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firstSheet="1" activeTab="3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">Masques!$I$7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Masques!$I$14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Masques!$V$10</definedName>
    <definedName name="Hobs2">Masques!$V$11</definedName>
    <definedName name="Hobs3">Masques!$V$12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c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Masques!$I$5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_sol">Masques!$T$11</definedName>
  </definedNames>
  <calcPr calcId="152511"/>
</workbook>
</file>

<file path=xl/calcChain.xml><?xml version="1.0" encoding="utf-8"?>
<calcChain xmlns="http://schemas.openxmlformats.org/spreadsheetml/2006/main">
  <c r="B35" i="20" l="1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B380" i="18" l="1"/>
  <c r="B71" i="18"/>
  <c r="B9" i="7" l="1"/>
  <c r="C9" i="7"/>
  <c r="H9" i="7"/>
  <c r="I9" i="7" s="1"/>
  <c r="B10" i="7"/>
  <c r="F9" i="7" s="1"/>
  <c r="L9" i="7" s="1"/>
  <c r="R9" i="7" s="1"/>
  <c r="D10" i="7"/>
  <c r="E10" i="7"/>
  <c r="H10" i="7"/>
  <c r="I10" i="7" s="1"/>
  <c r="N10" i="7"/>
  <c r="O10" i="7" s="1"/>
  <c r="T10" i="7"/>
  <c r="U10" i="7" s="1"/>
  <c r="X10" i="7"/>
  <c r="Z10" i="7"/>
  <c r="AA10" i="7" s="1"/>
  <c r="AD10" i="7"/>
  <c r="AJ10" i="7" s="1"/>
  <c r="AP10" i="7" s="1"/>
  <c r="AV10" i="7" s="1"/>
  <c r="BB10" i="7" s="1"/>
  <c r="BH10" i="7" s="1"/>
  <c r="BN10" i="7" s="1"/>
  <c r="BT10" i="7" s="1"/>
  <c r="BZ10" i="7" s="1"/>
  <c r="M32" i="19"/>
  <c r="J10" i="7" l="1"/>
  <c r="X9" i="7"/>
  <c r="AD9" i="7" s="1"/>
  <c r="P10" i="7"/>
  <c r="V10" i="7" s="1"/>
  <c r="AB10" i="7" s="1"/>
  <c r="AH5" i="7" s="1"/>
  <c r="K10" i="7"/>
  <c r="Q10" i="7"/>
  <c r="W10" i="7" s="1"/>
  <c r="AC10" i="7" s="1"/>
  <c r="AI5" i="7" s="1"/>
  <c r="C10" i="7"/>
  <c r="L10" i="7" s="1"/>
  <c r="R10" i="7" s="1"/>
  <c r="N9" i="7"/>
  <c r="CF380" i="6"/>
  <c r="CE380" i="6"/>
  <c r="CD380" i="6"/>
  <c r="CB380" i="6"/>
  <c r="CA380" i="6"/>
  <c r="BZ380" i="6"/>
  <c r="BX380" i="6"/>
  <c r="BW380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O9" i="7" l="1"/>
  <c r="T9" i="7"/>
  <c r="U9" i="7" l="1"/>
  <c r="Z9" i="7"/>
  <c r="AA9" i="7" l="1"/>
  <c r="AF9" i="7"/>
  <c r="AG9" i="7" l="1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I14" i="26"/>
  <c r="Z65" i="26"/>
  <c r="Y65" i="26"/>
  <c r="X65" i="26"/>
  <c r="W65" i="26"/>
  <c r="V65" i="26"/>
  <c r="U65" i="26"/>
  <c r="T65" i="26"/>
  <c r="S65" i="26"/>
  <c r="R65" i="26"/>
  <c r="Q65" i="26"/>
  <c r="P65" i="26"/>
  <c r="Z64" i="26"/>
  <c r="Y64" i="26"/>
  <c r="X64" i="26"/>
  <c r="W64" i="26"/>
  <c r="V64" i="26"/>
  <c r="U64" i="26"/>
  <c r="T64" i="26"/>
  <c r="S64" i="26"/>
  <c r="R64" i="26"/>
  <c r="Q64" i="26"/>
  <c r="P64" i="26"/>
  <c r="Z63" i="26"/>
  <c r="Y63" i="26"/>
  <c r="X63" i="26"/>
  <c r="W63" i="26"/>
  <c r="V63" i="26"/>
  <c r="U63" i="26"/>
  <c r="T63" i="26"/>
  <c r="S63" i="26"/>
  <c r="R63" i="26"/>
  <c r="Q63" i="26"/>
  <c r="P63" i="26"/>
  <c r="Z62" i="26"/>
  <c r="Y62" i="26"/>
  <c r="X62" i="26"/>
  <c r="W62" i="26"/>
  <c r="V62" i="26"/>
  <c r="U62" i="26"/>
  <c r="T62" i="26"/>
  <c r="S62" i="26"/>
  <c r="R62" i="26"/>
  <c r="Q62" i="26"/>
  <c r="P62" i="26"/>
  <c r="Z61" i="26"/>
  <c r="Y61" i="26"/>
  <c r="X61" i="26"/>
  <c r="W61" i="26"/>
  <c r="V61" i="26"/>
  <c r="U61" i="26"/>
  <c r="T61" i="26"/>
  <c r="S61" i="26"/>
  <c r="R61" i="26"/>
  <c r="Q61" i="26"/>
  <c r="P61" i="26"/>
  <c r="Z60" i="26"/>
  <c r="Y60" i="26"/>
  <c r="X60" i="26"/>
  <c r="W60" i="26"/>
  <c r="V60" i="26"/>
  <c r="U60" i="26"/>
  <c r="T60" i="26"/>
  <c r="S60" i="26"/>
  <c r="R60" i="26"/>
  <c r="Q60" i="26"/>
  <c r="P60" i="26"/>
  <c r="Z59" i="26"/>
  <c r="Y59" i="26"/>
  <c r="X59" i="26"/>
  <c r="W59" i="26"/>
  <c r="V59" i="26"/>
  <c r="U59" i="26"/>
  <c r="T59" i="26"/>
  <c r="S59" i="26"/>
  <c r="R59" i="26"/>
  <c r="Q59" i="26"/>
  <c r="P59" i="26"/>
  <c r="Z58" i="26"/>
  <c r="Y58" i="26"/>
  <c r="X58" i="26"/>
  <c r="W58" i="26"/>
  <c r="V58" i="26"/>
  <c r="U58" i="26"/>
  <c r="T58" i="26"/>
  <c r="S58" i="26"/>
  <c r="R58" i="26"/>
  <c r="Q58" i="26"/>
  <c r="P58" i="26"/>
  <c r="Z50" i="26"/>
  <c r="Y50" i="26"/>
  <c r="X50" i="26"/>
  <c r="W50" i="26"/>
  <c r="V50" i="26"/>
  <c r="U50" i="26"/>
  <c r="T50" i="26"/>
  <c r="S50" i="26"/>
  <c r="R50" i="26"/>
  <c r="Q50" i="26"/>
  <c r="P50" i="26"/>
  <c r="L65" i="26"/>
  <c r="K65" i="26"/>
  <c r="J65" i="26"/>
  <c r="I65" i="26"/>
  <c r="H65" i="26"/>
  <c r="G65" i="26"/>
  <c r="F65" i="26"/>
  <c r="E65" i="26"/>
  <c r="D65" i="26"/>
  <c r="C65" i="26"/>
  <c r="B65" i="26"/>
  <c r="A65" i="26"/>
  <c r="L64" i="26"/>
  <c r="K64" i="26"/>
  <c r="J64" i="26"/>
  <c r="I64" i="26"/>
  <c r="H64" i="26"/>
  <c r="G64" i="26"/>
  <c r="F64" i="26"/>
  <c r="E64" i="26"/>
  <c r="D64" i="26"/>
  <c r="C64" i="26"/>
  <c r="B64" i="26"/>
  <c r="A64" i="26"/>
  <c r="L63" i="26"/>
  <c r="K63" i="26"/>
  <c r="J63" i="26"/>
  <c r="I63" i="26"/>
  <c r="H63" i="26"/>
  <c r="G63" i="26"/>
  <c r="F63" i="26"/>
  <c r="E63" i="26"/>
  <c r="D63" i="26"/>
  <c r="C63" i="26"/>
  <c r="B63" i="26"/>
  <c r="A63" i="26"/>
  <c r="L62" i="26"/>
  <c r="K62" i="26"/>
  <c r="J62" i="26"/>
  <c r="I62" i="26"/>
  <c r="H62" i="26"/>
  <c r="G62" i="26"/>
  <c r="F62" i="26"/>
  <c r="E62" i="26"/>
  <c r="D62" i="26"/>
  <c r="C62" i="26"/>
  <c r="B62" i="26"/>
  <c r="A62" i="26"/>
  <c r="L61" i="26"/>
  <c r="K61" i="26"/>
  <c r="J61" i="26"/>
  <c r="I61" i="26"/>
  <c r="H61" i="26"/>
  <c r="G61" i="26"/>
  <c r="F61" i="26"/>
  <c r="E61" i="26"/>
  <c r="D61" i="26"/>
  <c r="C61" i="26"/>
  <c r="B61" i="26"/>
  <c r="A61" i="26"/>
  <c r="L60" i="26"/>
  <c r="K60" i="26"/>
  <c r="J60" i="26"/>
  <c r="I60" i="26"/>
  <c r="H60" i="26"/>
  <c r="G60" i="26"/>
  <c r="F60" i="26"/>
  <c r="E60" i="26"/>
  <c r="D60" i="26"/>
  <c r="C60" i="26"/>
  <c r="B60" i="26"/>
  <c r="A60" i="26"/>
  <c r="L59" i="26"/>
  <c r="K59" i="26"/>
  <c r="J59" i="26"/>
  <c r="I59" i="26"/>
  <c r="H59" i="26"/>
  <c r="G59" i="26"/>
  <c r="F59" i="26"/>
  <c r="E59" i="26"/>
  <c r="D59" i="26"/>
  <c r="C59" i="26"/>
  <c r="B59" i="26"/>
  <c r="A59" i="26"/>
  <c r="L58" i="26"/>
  <c r="K58" i="26"/>
  <c r="J58" i="26"/>
  <c r="I58" i="26"/>
  <c r="H58" i="26"/>
  <c r="G58" i="26"/>
  <c r="F58" i="26"/>
  <c r="E58" i="26"/>
  <c r="D58" i="26"/>
  <c r="C58" i="26"/>
  <c r="B58" i="26"/>
  <c r="A58" i="26"/>
  <c r="L57" i="26"/>
  <c r="K57" i="26"/>
  <c r="J57" i="26"/>
  <c r="I57" i="26"/>
  <c r="H57" i="26"/>
  <c r="G57" i="26"/>
  <c r="F57" i="26"/>
  <c r="E57" i="26"/>
  <c r="D57" i="26"/>
  <c r="C57" i="26"/>
  <c r="B57" i="26"/>
  <c r="A57" i="26"/>
  <c r="L56" i="26"/>
  <c r="K56" i="26"/>
  <c r="J56" i="26"/>
  <c r="I56" i="26"/>
  <c r="H56" i="26"/>
  <c r="G56" i="26"/>
  <c r="F56" i="26"/>
  <c r="E56" i="26"/>
  <c r="D56" i="26"/>
  <c r="C56" i="26"/>
  <c r="B56" i="26"/>
  <c r="A56" i="26"/>
  <c r="L55" i="26"/>
  <c r="K55" i="26"/>
  <c r="J55" i="26"/>
  <c r="I55" i="26"/>
  <c r="H55" i="26"/>
  <c r="G55" i="26"/>
  <c r="F55" i="26"/>
  <c r="E55" i="26"/>
  <c r="D55" i="26"/>
  <c r="C55" i="26"/>
  <c r="B55" i="26"/>
  <c r="A55" i="26"/>
  <c r="L54" i="26"/>
  <c r="K54" i="26"/>
  <c r="J54" i="26"/>
  <c r="I54" i="26"/>
  <c r="H54" i="26"/>
  <c r="G54" i="26"/>
  <c r="F54" i="26"/>
  <c r="E54" i="26"/>
  <c r="D54" i="26"/>
  <c r="C54" i="26"/>
  <c r="B54" i="26"/>
  <c r="A54" i="26"/>
  <c r="L53" i="26"/>
  <c r="K53" i="26"/>
  <c r="J53" i="26"/>
  <c r="I53" i="26"/>
  <c r="H53" i="26"/>
  <c r="G53" i="26"/>
  <c r="F53" i="26"/>
  <c r="E53" i="26"/>
  <c r="D53" i="26"/>
  <c r="C53" i="26"/>
  <c r="B53" i="26"/>
  <c r="A53" i="26"/>
  <c r="L52" i="26"/>
  <c r="K52" i="26"/>
  <c r="J52" i="26"/>
  <c r="I52" i="26"/>
  <c r="H52" i="26"/>
  <c r="G52" i="26"/>
  <c r="F52" i="26"/>
  <c r="E52" i="26"/>
  <c r="D52" i="26"/>
  <c r="C52" i="26"/>
  <c r="B52" i="26"/>
  <c r="A52" i="26"/>
  <c r="L50" i="26"/>
  <c r="K50" i="26"/>
  <c r="J50" i="26"/>
  <c r="I50" i="26"/>
  <c r="H50" i="26"/>
  <c r="G50" i="26"/>
  <c r="F50" i="26"/>
  <c r="E50" i="26"/>
  <c r="D50" i="26"/>
  <c r="C50" i="26"/>
  <c r="B50" i="26"/>
  <c r="A50" i="26"/>
  <c r="J33" i="26"/>
  <c r="J32" i="26"/>
  <c r="I34" i="26"/>
  <c r="H34" i="26"/>
  <c r="H33" i="26"/>
  <c r="G33" i="26"/>
  <c r="E33" i="26"/>
  <c r="D33" i="26"/>
  <c r="F33" i="26"/>
  <c r="H32" i="26"/>
  <c r="O64" i="26"/>
  <c r="G32" i="26"/>
  <c r="E32" i="26"/>
  <c r="D32" i="26"/>
  <c r="F32" i="26"/>
  <c r="G31" i="26"/>
  <c r="E31" i="26"/>
  <c r="F31" i="26"/>
  <c r="D31" i="26"/>
  <c r="H30" i="26"/>
  <c r="G30" i="26"/>
  <c r="E30" i="26"/>
  <c r="F30" i="26"/>
  <c r="D30" i="26"/>
  <c r="G29" i="26"/>
  <c r="E29" i="26"/>
  <c r="D29" i="26"/>
  <c r="F29" i="26"/>
  <c r="I29" i="26"/>
  <c r="H28" i="26"/>
  <c r="G28" i="26"/>
  <c r="E28" i="26"/>
  <c r="D28" i="26"/>
  <c r="F28" i="26"/>
  <c r="H27" i="26"/>
  <c r="O59" i="26"/>
  <c r="G27" i="26"/>
  <c r="E27" i="26"/>
  <c r="D27" i="26"/>
  <c r="F27" i="26"/>
  <c r="G26" i="26"/>
  <c r="E26" i="26"/>
  <c r="F26" i="26"/>
  <c r="D26" i="26"/>
  <c r="H25" i="26"/>
  <c r="G25" i="26"/>
  <c r="M57" i="26"/>
  <c r="E25" i="26"/>
  <c r="F25" i="26"/>
  <c r="D25" i="26"/>
  <c r="G24" i="26"/>
  <c r="E24" i="26"/>
  <c r="D24" i="26"/>
  <c r="F24" i="26"/>
  <c r="I24" i="26"/>
  <c r="H23" i="26"/>
  <c r="O55" i="26"/>
  <c r="G23" i="26"/>
  <c r="D23" i="26"/>
  <c r="B23" i="26"/>
  <c r="E23" i="26"/>
  <c r="F23" i="26"/>
  <c r="H22" i="26"/>
  <c r="G22" i="26"/>
  <c r="I22" i="26"/>
  <c r="E22" i="26"/>
  <c r="F22" i="26"/>
  <c r="B22" i="26"/>
  <c r="D22" i="26"/>
  <c r="H21" i="26"/>
  <c r="G21" i="26"/>
  <c r="D21" i="26"/>
  <c r="B21" i="26"/>
  <c r="E21" i="26"/>
  <c r="F21" i="26"/>
  <c r="H20" i="26"/>
  <c r="G20" i="26"/>
  <c r="I20" i="26"/>
  <c r="E20" i="26"/>
  <c r="F20" i="26"/>
  <c r="D20" i="26"/>
  <c r="G19" i="26"/>
  <c r="D19" i="26"/>
  <c r="B19" i="26"/>
  <c r="E19" i="26"/>
  <c r="F19" i="26"/>
  <c r="I19" i="26"/>
  <c r="H18" i="26"/>
  <c r="G18" i="26"/>
  <c r="E18" i="26"/>
  <c r="F18" i="26"/>
  <c r="D18" i="26"/>
  <c r="I17" i="26"/>
  <c r="H17" i="26"/>
  <c r="D16" i="26"/>
  <c r="B16" i="26"/>
  <c r="E16" i="26"/>
  <c r="F16" i="26"/>
  <c r="V12" i="26"/>
  <c r="V11" i="26"/>
  <c r="V10" i="26"/>
  <c r="K12" i="26"/>
  <c r="F12" i="26"/>
  <c r="G12" i="26"/>
  <c r="F11" i="26"/>
  <c r="G11" i="26"/>
  <c r="G10" i="26"/>
  <c r="F10" i="26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15" i="1"/>
  <c r="A16" i="1"/>
  <c r="J17" i="26"/>
  <c r="K11" i="26"/>
  <c r="K10" i="26"/>
  <c r="J7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AC156" i="1" s="1"/>
  <c r="BF155" i="6"/>
  <c r="AC155" i="1" s="1"/>
  <c r="BF154" i="6"/>
  <c r="BF153" i="6"/>
  <c r="AC153" i="1" s="1"/>
  <c r="BF152" i="6"/>
  <c r="BF151" i="6"/>
  <c r="O151" i="1" s="1"/>
  <c r="BF150" i="6"/>
  <c r="O150" i="1" s="1"/>
  <c r="BF149" i="6"/>
  <c r="AC149" i="1" s="1"/>
  <c r="BF148" i="6"/>
  <c r="AC148" i="1" s="1"/>
  <c r="BF147" i="6"/>
  <c r="O147" i="1" s="1"/>
  <c r="BF146" i="6"/>
  <c r="AC146" i="1" s="1"/>
  <c r="BF145" i="6"/>
  <c r="O145" i="1" s="1"/>
  <c r="BF144" i="6"/>
  <c r="AC144" i="1" s="1"/>
  <c r="BF143" i="6"/>
  <c r="O143" i="1" s="1"/>
  <c r="BF142" i="6"/>
  <c r="BF141" i="6"/>
  <c r="O141" i="1" s="1"/>
  <c r="BF140" i="6"/>
  <c r="AC140" i="1" s="1"/>
  <c r="BF139" i="6"/>
  <c r="O139" i="1" s="1"/>
  <c r="BF138" i="6"/>
  <c r="BF137" i="6"/>
  <c r="O137" i="1" s="1"/>
  <c r="BF136" i="6"/>
  <c r="AC136" i="1" s="1"/>
  <c r="BF135" i="6"/>
  <c r="O135" i="1" s="1"/>
  <c r="BF134" i="6"/>
  <c r="BF133" i="6"/>
  <c r="BF132" i="6"/>
  <c r="AC132" i="1" s="1"/>
  <c r="BF131" i="6"/>
  <c r="AC131" i="1" s="1"/>
  <c r="BF130" i="6"/>
  <c r="BF129" i="6"/>
  <c r="AC129" i="1" s="1"/>
  <c r="BF128" i="6"/>
  <c r="BF127" i="6"/>
  <c r="O127" i="1" s="1"/>
  <c r="BF126" i="6"/>
  <c r="BF125" i="6"/>
  <c r="O125" i="1" s="1"/>
  <c r="BF124" i="6"/>
  <c r="O124" i="1" s="1"/>
  <c r="BF123" i="6"/>
  <c r="O123" i="1" s="1"/>
  <c r="BF122" i="6"/>
  <c r="AC122" i="1" s="1"/>
  <c r="BF121" i="6"/>
  <c r="O121" i="1" s="1"/>
  <c r="BF120" i="6"/>
  <c r="BF119" i="6"/>
  <c r="AC119" i="1" s="1"/>
  <c r="BF118" i="6"/>
  <c r="O118" i="1" s="1"/>
  <c r="BF117" i="6"/>
  <c r="O117" i="1" s="1"/>
  <c r="BF116" i="6"/>
  <c r="AC116" i="1" s="1"/>
  <c r="BF115" i="6"/>
  <c r="AC115" i="1" s="1"/>
  <c r="BF114" i="6"/>
  <c r="BF113" i="6"/>
  <c r="AC113" i="1" s="1"/>
  <c r="BF112" i="6"/>
  <c r="AC112" i="1" s="1"/>
  <c r="BF111" i="6"/>
  <c r="BF110" i="6"/>
  <c r="AC110" i="1" s="1"/>
  <c r="BF109" i="6"/>
  <c r="AC109" i="1" s="1"/>
  <c r="BF108" i="6"/>
  <c r="BF107" i="6"/>
  <c r="AC107" i="1" s="1"/>
  <c r="BF106" i="6"/>
  <c r="BF105" i="6"/>
  <c r="O105" i="1" s="1"/>
  <c r="BF104" i="6"/>
  <c r="BF103" i="6"/>
  <c r="O103" i="1" s="1"/>
  <c r="BF102" i="6"/>
  <c r="BF101" i="6"/>
  <c r="BF100" i="6"/>
  <c r="O100" i="1" s="1"/>
  <c r="BF99" i="6"/>
  <c r="AC99" i="1" s="1"/>
  <c r="BF98" i="6"/>
  <c r="AC98" i="1" s="1"/>
  <c r="BF97" i="6"/>
  <c r="BF96" i="6"/>
  <c r="O96" i="1" s="1"/>
  <c r="BF95" i="6"/>
  <c r="AC95" i="1" s="1"/>
  <c r="BF94" i="6"/>
  <c r="O94" i="1" s="1"/>
  <c r="BF93" i="6"/>
  <c r="AC93" i="1" s="1"/>
  <c r="BF92" i="6"/>
  <c r="BF91" i="6"/>
  <c r="BF90" i="6"/>
  <c r="O90" i="1" s="1"/>
  <c r="BF89" i="6"/>
  <c r="O89" i="1" s="1"/>
  <c r="BF88" i="6"/>
  <c r="AC88" i="1" s="1"/>
  <c r="BF87" i="6"/>
  <c r="O87" i="1" s="1"/>
  <c r="BF86" i="6"/>
  <c r="O86" i="1" s="1"/>
  <c r="BF85" i="6"/>
  <c r="BF84" i="6"/>
  <c r="AC84" i="1" s="1"/>
  <c r="BF83" i="6"/>
  <c r="O83" i="1" s="1"/>
  <c r="BF82" i="6"/>
  <c r="AC82" i="1" s="1"/>
  <c r="BF81" i="6"/>
  <c r="AC81" i="1" s="1"/>
  <c r="BF80" i="6"/>
  <c r="AC80" i="1" s="1"/>
  <c r="BF79" i="6"/>
  <c r="O79" i="1" s="1"/>
  <c r="BF78" i="6"/>
  <c r="AC78" i="1" s="1"/>
  <c r="BF77" i="6"/>
  <c r="AC77" i="1" s="1"/>
  <c r="BF76" i="6"/>
  <c r="AC76" i="1" s="1"/>
  <c r="BF75" i="6"/>
  <c r="O75" i="1" s="1"/>
  <c r="BF74" i="6"/>
  <c r="O74" i="1" s="1"/>
  <c r="BF73" i="6"/>
  <c r="O73" i="1" s="1"/>
  <c r="BF72" i="6"/>
  <c r="O72" i="1" s="1"/>
  <c r="BF71" i="6"/>
  <c r="O71" i="1" s="1"/>
  <c r="BF70" i="6"/>
  <c r="O70" i="1" s="1"/>
  <c r="BF69" i="6"/>
  <c r="O69" i="1" s="1"/>
  <c r="BF68" i="6"/>
  <c r="BF67" i="6"/>
  <c r="AC67" i="1" s="1"/>
  <c r="BF66" i="6"/>
  <c r="BF65" i="6"/>
  <c r="O65" i="1" s="1"/>
  <c r="BF64" i="6"/>
  <c r="AC64" i="1" s="1"/>
  <c r="BF63" i="6"/>
  <c r="AC63" i="1" s="1"/>
  <c r="BF62" i="6"/>
  <c r="O62" i="1" s="1"/>
  <c r="BF61" i="6"/>
  <c r="O61" i="1" s="1"/>
  <c r="BF60" i="6"/>
  <c r="AC60" i="1" s="1"/>
  <c r="BF59" i="6"/>
  <c r="O59" i="1" s="1"/>
  <c r="BF58" i="6"/>
  <c r="AC58" i="1" s="1"/>
  <c r="BF57" i="6"/>
  <c r="AC57" i="1" s="1"/>
  <c r="BF56" i="6"/>
  <c r="AC56" i="1" s="1"/>
  <c r="BF55" i="6"/>
  <c r="O55" i="1" s="1"/>
  <c r="BF54" i="6"/>
  <c r="BF53" i="6"/>
  <c r="O53" i="1" s="1"/>
  <c r="BF52" i="6"/>
  <c r="BF51" i="6"/>
  <c r="BF50" i="6"/>
  <c r="O50" i="1" s="1"/>
  <c r="BF49" i="6"/>
  <c r="AC49" i="1" s="1"/>
  <c r="BF48" i="6"/>
  <c r="AC48" i="1" s="1"/>
  <c r="BF47" i="6"/>
  <c r="BF46" i="6"/>
  <c r="O46" i="1" s="1"/>
  <c r="BF45" i="6"/>
  <c r="AC45" i="1" s="1"/>
  <c r="BF44" i="6"/>
  <c r="O44" i="1" s="1"/>
  <c r="BF43" i="6"/>
  <c r="O43" i="1" s="1"/>
  <c r="BF42" i="6"/>
  <c r="AC42" i="1" s="1"/>
  <c r="BF41" i="6"/>
  <c r="O41" i="1" s="1"/>
  <c r="BF40" i="6"/>
  <c r="BF39" i="6"/>
  <c r="BF38" i="6"/>
  <c r="O38" i="1" s="1"/>
  <c r="BF37" i="6"/>
  <c r="O37" i="1" s="1"/>
  <c r="BF36" i="6"/>
  <c r="BF35" i="6"/>
  <c r="BF34" i="6"/>
  <c r="AC34" i="1" s="1"/>
  <c r="BF33" i="6"/>
  <c r="AC33" i="1" s="1"/>
  <c r="BF32" i="6"/>
  <c r="O32" i="1" s="1"/>
  <c r="BF31" i="6"/>
  <c r="O31" i="1" s="1"/>
  <c r="BF30" i="6"/>
  <c r="BF29" i="6"/>
  <c r="O29" i="1" s="1"/>
  <c r="C20" i="7" s="1"/>
  <c r="BF28" i="6"/>
  <c r="AC28" i="1" s="1"/>
  <c r="BF27" i="6"/>
  <c r="AC27" i="1" s="1"/>
  <c r="BF26" i="6"/>
  <c r="AC26" i="1" s="1"/>
  <c r="BF25" i="6"/>
  <c r="AC25" i="1" s="1"/>
  <c r="BF24" i="6"/>
  <c r="O24" i="1" s="1"/>
  <c r="BF23" i="6"/>
  <c r="O23" i="1" s="1"/>
  <c r="BF22" i="6"/>
  <c r="O22" i="1" s="1"/>
  <c r="BF21" i="6"/>
  <c r="BF20" i="6"/>
  <c r="O20" i="1" s="1"/>
  <c r="BF19" i="6"/>
  <c r="BF18" i="6"/>
  <c r="BF17" i="6"/>
  <c r="O17" i="1" s="1"/>
  <c r="BF16" i="6"/>
  <c r="AC16" i="1" s="1"/>
  <c r="BF15" i="6"/>
  <c r="O15" i="1" s="1"/>
  <c r="BP4" i="6"/>
  <c r="BR11" i="6"/>
  <c r="J18" i="26"/>
  <c r="K38" i="26"/>
  <c r="K37" i="26"/>
  <c r="N69" i="26"/>
  <c r="K36" i="26"/>
  <c r="K35" i="26"/>
  <c r="N67" i="26"/>
  <c r="K34" i="26"/>
  <c r="K33" i="26"/>
  <c r="N65" i="26"/>
  <c r="K32" i="26"/>
  <c r="N64" i="26"/>
  <c r="K31" i="26"/>
  <c r="N63" i="26"/>
  <c r="K30" i="26"/>
  <c r="K29" i="26"/>
  <c r="N61" i="26"/>
  <c r="K28" i="26"/>
  <c r="N60" i="26"/>
  <c r="K27" i="26"/>
  <c r="N59" i="26"/>
  <c r="K26" i="26"/>
  <c r="K25" i="26"/>
  <c r="N57" i="26"/>
  <c r="K24" i="26"/>
  <c r="N56" i="26"/>
  <c r="K23" i="26"/>
  <c r="N55" i="26"/>
  <c r="K22" i="26"/>
  <c r="N54" i="26"/>
  <c r="K21" i="26"/>
  <c r="N53" i="26"/>
  <c r="K20" i="26"/>
  <c r="N52" i="26"/>
  <c r="K19" i="26"/>
  <c r="N51" i="26"/>
  <c r="K18" i="26"/>
  <c r="K17" i="26"/>
  <c r="N49" i="26"/>
  <c r="N58" i="26"/>
  <c r="N62" i="26"/>
  <c r="N66" i="26"/>
  <c r="M65" i="26"/>
  <c r="M64" i="26"/>
  <c r="O63" i="26"/>
  <c r="O62" i="26"/>
  <c r="M62" i="26"/>
  <c r="O61" i="26"/>
  <c r="M61" i="26"/>
  <c r="M60" i="26"/>
  <c r="M59" i="26"/>
  <c r="O58" i="26"/>
  <c r="M58" i="26"/>
  <c r="O57" i="26"/>
  <c r="O56" i="26"/>
  <c r="M56" i="26"/>
  <c r="O50" i="26"/>
  <c r="N50" i="26"/>
  <c r="M50" i="26"/>
  <c r="J19" i="26"/>
  <c r="J25" i="26"/>
  <c r="J22" i="26"/>
  <c r="J29" i="26"/>
  <c r="J23" i="26"/>
  <c r="H12" i="26"/>
  <c r="H11" i="26"/>
  <c r="H10" i="26"/>
  <c r="E10" i="26"/>
  <c r="AO12" i="6"/>
  <c r="AN19" i="6"/>
  <c r="AN12" i="6"/>
  <c r="AM12" i="6"/>
  <c r="AM17" i="6" s="1"/>
  <c r="AL12" i="6"/>
  <c r="AK12" i="6"/>
  <c r="AJ12" i="6"/>
  <c r="AI12" i="6"/>
  <c r="AH12" i="6"/>
  <c r="AG12" i="6"/>
  <c r="AF12" i="6"/>
  <c r="AE19" i="6" s="1"/>
  <c r="AE12" i="6"/>
  <c r="AD12" i="6"/>
  <c r="AC12" i="6"/>
  <c r="AB12" i="6"/>
  <c r="AA12" i="6"/>
  <c r="Z12" i="6"/>
  <c r="T28" i="6" s="1"/>
  <c r="Y12" i="6"/>
  <c r="X12" i="6"/>
  <c r="W12" i="6"/>
  <c r="V12" i="6"/>
  <c r="U19" i="6" s="1"/>
  <c r="U12" i="6"/>
  <c r="T12" i="6"/>
  <c r="Q28" i="6" s="1"/>
  <c r="Q32" i="6" s="1"/>
  <c r="S12" i="6"/>
  <c r="R12" i="6"/>
  <c r="Q12" i="6"/>
  <c r="P12" i="6"/>
  <c r="O12" i="6"/>
  <c r="N12" i="6"/>
  <c r="M12" i="6"/>
  <c r="L12" i="6"/>
  <c r="AM13" i="6"/>
  <c r="AM18" i="6" s="1"/>
  <c r="M3" i="6"/>
  <c r="AL13" i="6"/>
  <c r="E358" i="6" s="1"/>
  <c r="AK13" i="6"/>
  <c r="L44" i="6" s="1"/>
  <c r="M46" i="6" s="1"/>
  <c r="AJ13" i="6"/>
  <c r="L29" i="6" s="1"/>
  <c r="M31" i="6" s="1"/>
  <c r="AI13" i="6"/>
  <c r="AI18" i="6" s="1"/>
  <c r="AH13" i="6"/>
  <c r="AG20" i="6" s="1"/>
  <c r="AG13" i="6"/>
  <c r="W44" i="6" s="1"/>
  <c r="AF13" i="6"/>
  <c r="AF18" i="6" s="1"/>
  <c r="AE13" i="6"/>
  <c r="AD20" i="6" s="1"/>
  <c r="AD13" i="6"/>
  <c r="AD18" i="6" s="1"/>
  <c r="AC13" i="6"/>
  <c r="AB20" i="6" s="1"/>
  <c r="AB13" i="6"/>
  <c r="AC16" i="6" s="1"/>
  <c r="AA13" i="6"/>
  <c r="Z20" i="6" s="1"/>
  <c r="Z13" i="6"/>
  <c r="Y20" i="6" s="1"/>
  <c r="Y13" i="6"/>
  <c r="X20" i="6" s="1"/>
  <c r="X13" i="6"/>
  <c r="W20" i="6" s="1"/>
  <c r="W13" i="6"/>
  <c r="W18" i="6" s="1"/>
  <c r="V13" i="6"/>
  <c r="R29" i="6" s="1"/>
  <c r="R33" i="6" s="1"/>
  <c r="U13" i="6"/>
  <c r="Q44" i="6" s="1"/>
  <c r="T13" i="6"/>
  <c r="E106" i="6" s="1"/>
  <c r="S13" i="6"/>
  <c r="P44" i="6" s="1"/>
  <c r="R13" i="6"/>
  <c r="R18" i="6" s="1"/>
  <c r="Q13" i="6"/>
  <c r="AB44" i="6" s="1"/>
  <c r="AA50" i="6" s="1"/>
  <c r="P13" i="6"/>
  <c r="P18" i="6" s="1"/>
  <c r="O13" i="6"/>
  <c r="O18" i="6" s="1"/>
  <c r="N13" i="6"/>
  <c r="M20" i="6" s="1"/>
  <c r="L3" i="6"/>
  <c r="AO3" i="6"/>
  <c r="AN3" i="6"/>
  <c r="F48" i="26"/>
  <c r="BO14" i="6"/>
  <c r="BN14" i="6"/>
  <c r="BN12" i="6"/>
  <c r="BO12" i="6"/>
  <c r="BO13" i="6"/>
  <c r="BP13" i="6" s="1"/>
  <c r="A47" i="26"/>
  <c r="N48" i="26"/>
  <c r="M49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H5" i="19"/>
  <c r="H4" i="19"/>
  <c r="D5" i="26"/>
  <c r="F5" i="26"/>
  <c r="C6" i="19"/>
  <c r="C6" i="26"/>
  <c r="B6" i="26"/>
  <c r="N70" i="26"/>
  <c r="M70" i="26"/>
  <c r="A70" i="26"/>
  <c r="M69" i="26"/>
  <c r="A69" i="26"/>
  <c r="N68" i="26"/>
  <c r="M68" i="26"/>
  <c r="A68" i="26"/>
  <c r="M67" i="26"/>
  <c r="A67" i="26"/>
  <c r="M66" i="26"/>
  <c r="A66" i="26"/>
  <c r="A51" i="26"/>
  <c r="A49" i="26"/>
  <c r="J46" i="26"/>
  <c r="M55" i="26"/>
  <c r="M51" i="26"/>
  <c r="J5" i="26"/>
  <c r="B1" i="26"/>
  <c r="J1" i="1"/>
  <c r="G3" i="1"/>
  <c r="AF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BK15" i="7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M54" i="26"/>
  <c r="O54" i="26"/>
  <c r="G39" i="26"/>
  <c r="E48" i="26"/>
  <c r="S48" i="26"/>
  <c r="M52" i="26"/>
  <c r="M53" i="26"/>
  <c r="U48" i="26"/>
  <c r="D48" i="26"/>
  <c r="H48" i="26"/>
  <c r="O51" i="26"/>
  <c r="O52" i="26"/>
  <c r="O53" i="26"/>
  <c r="C48" i="26"/>
  <c r="BK14" i="6"/>
  <c r="V14" i="1"/>
  <c r="R48" i="26"/>
  <c r="BL14" i="6"/>
  <c r="BM14" i="6"/>
  <c r="AA15" i="6"/>
  <c r="Y17" i="6"/>
  <c r="S28" i="6"/>
  <c r="S32" i="6" s="1"/>
  <c r="V28" i="6"/>
  <c r="V32" i="6" s="1"/>
  <c r="AA43" i="6"/>
  <c r="T30" i="6"/>
  <c r="R30" i="6"/>
  <c r="AA19" i="6"/>
  <c r="M19" i="6"/>
  <c r="AB43" i="6"/>
  <c r="AA49" i="6" s="1"/>
  <c r="O28" i="6"/>
  <c r="Q15" i="6"/>
  <c r="P28" i="6"/>
  <c r="R17" i="6"/>
  <c r="AI15" i="6"/>
  <c r="AH17" i="6"/>
  <c r="AI19" i="6"/>
  <c r="Y28" i="6"/>
  <c r="AK19" i="6"/>
  <c r="Z28" i="6"/>
  <c r="Y34" i="6" s="1"/>
  <c r="AM15" i="6"/>
  <c r="AL17" i="6"/>
  <c r="AM19" i="6"/>
  <c r="AA28" i="6"/>
  <c r="AN17" i="6"/>
  <c r="AN22" i="6" s="1"/>
  <c r="P34" i="6"/>
  <c r="R34" i="6"/>
  <c r="AA30" i="6"/>
  <c r="Z32" i="6"/>
  <c r="N34" i="6"/>
  <c r="O32" i="6"/>
  <c r="P30" i="6"/>
  <c r="Z30" i="6"/>
  <c r="Z36" i="6" s="1"/>
  <c r="O34" i="6"/>
  <c r="Q30" i="6"/>
  <c r="Q36" i="6" s="1"/>
  <c r="P32" i="6"/>
  <c r="O37" i="6"/>
  <c r="Q48" i="26"/>
  <c r="B48" i="26"/>
  <c r="V48" i="26"/>
  <c r="BP14" i="6"/>
  <c r="T48" i="26"/>
  <c r="J24" i="26"/>
  <c r="J26" i="26"/>
  <c r="J30" i="26"/>
  <c r="BJ14" i="6"/>
  <c r="P48" i="26"/>
  <c r="O49" i="26"/>
  <c r="W49" i="26"/>
  <c r="P49" i="26"/>
  <c r="U30" i="6"/>
  <c r="T32" i="6"/>
  <c r="S34" i="6"/>
  <c r="S37" i="6" s="1"/>
  <c r="N17" i="6"/>
  <c r="O15" i="6"/>
  <c r="N28" i="6"/>
  <c r="T17" i="6"/>
  <c r="S19" i="6"/>
  <c r="U15" i="6"/>
  <c r="R28" i="6"/>
  <c r="V17" i="6"/>
  <c r="W15" i="6"/>
  <c r="X17" i="6"/>
  <c r="Y15" i="6"/>
  <c r="W19" i="6"/>
  <c r="Z17" i="6"/>
  <c r="Y19" i="6"/>
  <c r="U28" i="6"/>
  <c r="T34" i="6"/>
  <c r="AC15" i="6"/>
  <c r="AB17" i="6"/>
  <c r="AD17" i="6"/>
  <c r="AE15" i="6"/>
  <c r="AC19" i="6"/>
  <c r="W28" i="6"/>
  <c r="W32" i="6" s="1"/>
  <c r="AF17" i="6"/>
  <c r="AG15" i="6"/>
  <c r="U32" i="6"/>
  <c r="V30" i="6"/>
  <c r="Q34" i="6"/>
  <c r="Q37" i="6" s="1"/>
  <c r="BR4" i="6"/>
  <c r="BR8" i="6"/>
  <c r="BR6" i="6"/>
  <c r="BR10" i="6"/>
  <c r="BR5" i="6"/>
  <c r="BR7" i="6"/>
  <c r="BR9" i="6"/>
  <c r="N32" i="6"/>
  <c r="O30" i="6"/>
  <c r="O36" i="6" s="1"/>
  <c r="M34" i="6"/>
  <c r="T37" i="6"/>
  <c r="AQ76" i="6"/>
  <c r="AP68" i="6"/>
  <c r="AR68" i="6" s="1"/>
  <c r="AP64" i="6"/>
  <c r="AR64" i="6" s="1"/>
  <c r="AP60" i="6"/>
  <c r="AR60" i="6" s="1"/>
  <c r="AP54" i="6"/>
  <c r="AR54" i="6" s="1"/>
  <c r="AP50" i="6"/>
  <c r="AR50" i="6" s="1"/>
  <c r="AQ74" i="6"/>
  <c r="AQ28" i="6"/>
  <c r="AP72" i="6"/>
  <c r="AR72" i="6" s="1"/>
  <c r="AP58" i="6"/>
  <c r="AR58" i="6" s="1"/>
  <c r="AP61" i="6"/>
  <c r="AR61" i="6" s="1"/>
  <c r="AQ68" i="6"/>
  <c r="AQ22" i="6"/>
  <c r="AP43" i="6"/>
  <c r="AR43" i="6" s="1"/>
  <c r="AP22" i="6"/>
  <c r="AR22" i="6" s="1"/>
  <c r="AS22" i="6" s="1"/>
  <c r="AP33" i="6"/>
  <c r="AR33" i="6" s="1"/>
  <c r="AP75" i="6"/>
  <c r="AR75" i="6" s="1"/>
  <c r="AQ33" i="6"/>
  <c r="AQ77" i="6"/>
  <c r="AP46" i="6"/>
  <c r="AR46" i="6" s="1"/>
  <c r="AQ41" i="6"/>
  <c r="AQ42" i="6"/>
  <c r="AQ50" i="6"/>
  <c r="AP77" i="6"/>
  <c r="AR77" i="6" s="1"/>
  <c r="AQ31" i="6"/>
  <c r="AQ23" i="6"/>
  <c r="AQ30" i="6"/>
  <c r="AQ34" i="6"/>
  <c r="AP74" i="6"/>
  <c r="AR74" i="6" s="1"/>
  <c r="AS74" i="6" s="1"/>
  <c r="AP66" i="6"/>
  <c r="AR66" i="6" s="1"/>
  <c r="AP62" i="6"/>
  <c r="AR62" i="6" s="1"/>
  <c r="AP56" i="6"/>
  <c r="AR56" i="6" s="1"/>
  <c r="AP52" i="6"/>
  <c r="AR52" i="6" s="1"/>
  <c r="AP30" i="6"/>
  <c r="AR30" i="6" s="1"/>
  <c r="AQ24" i="6"/>
  <c r="AP70" i="6"/>
  <c r="AR70" i="6" s="1"/>
  <c r="AQ73" i="6"/>
  <c r="AP53" i="6"/>
  <c r="AR53" i="6" s="1"/>
  <c r="AQ45" i="6"/>
  <c r="AP31" i="6"/>
  <c r="AR31" i="6" s="1"/>
  <c r="AQ35" i="6"/>
  <c r="AQ69" i="6"/>
  <c r="AP59" i="6"/>
  <c r="AR59" i="6" s="1"/>
  <c r="AQ52" i="6"/>
  <c r="AP39" i="6"/>
  <c r="AR39" i="6" s="1"/>
  <c r="AP37" i="6"/>
  <c r="AR37" i="6" s="1"/>
  <c r="AQ47" i="6"/>
  <c r="AQ61" i="6"/>
  <c r="AP29" i="6"/>
  <c r="AR29" i="6" s="1"/>
  <c r="AQ67" i="6"/>
  <c r="AQ54" i="6"/>
  <c r="AQ56" i="6"/>
  <c r="AS56" i="6" s="1"/>
  <c r="AQ71" i="6"/>
  <c r="AP24" i="6"/>
  <c r="AR24" i="6" s="1"/>
  <c r="AP73" i="6"/>
  <c r="AR73" i="6" s="1"/>
  <c r="AP26" i="6"/>
  <c r="AR26" i="6" s="1"/>
  <c r="AP35" i="6"/>
  <c r="AR35" i="6" s="1"/>
  <c r="AP67" i="6"/>
  <c r="AR67" i="6"/>
  <c r="AP44" i="6"/>
  <c r="AR44" i="6" s="1"/>
  <c r="AQ38" i="6"/>
  <c r="AQ66" i="6"/>
  <c r="AS66" i="6" s="1"/>
  <c r="AQ40" i="6"/>
  <c r="AQ63" i="6"/>
  <c r="AP57" i="6"/>
  <c r="AR57" i="6" s="1"/>
  <c r="AQ75" i="6"/>
  <c r="AP48" i="6"/>
  <c r="AR48" i="6" s="1"/>
  <c r="AQ29" i="6"/>
  <c r="AP34" i="6"/>
  <c r="AR34" i="6" s="1"/>
  <c r="AS34" i="6" s="1"/>
  <c r="AP32" i="6"/>
  <c r="AR32" i="6" s="1"/>
  <c r="AP69" i="6"/>
  <c r="AR69" i="6" s="1"/>
  <c r="AS69" i="6" s="1"/>
  <c r="AP71" i="6"/>
  <c r="AR71" i="6"/>
  <c r="AS71" i="6" s="1"/>
  <c r="AQ59" i="6"/>
  <c r="AQ78" i="6"/>
  <c r="AP49" i="6"/>
  <c r="AR49" i="6" s="1"/>
  <c r="AQ39" i="6"/>
  <c r="AS39" i="6" s="1"/>
  <c r="AP25" i="6"/>
  <c r="AR25" i="6" s="1"/>
  <c r="AP38" i="6"/>
  <c r="AR38" i="6" s="1"/>
  <c r="AP78" i="6"/>
  <c r="AR78" i="6" s="1"/>
  <c r="AP76" i="6"/>
  <c r="AR76" i="6" s="1"/>
  <c r="AS76" i="6" s="1"/>
  <c r="AP55" i="6"/>
  <c r="AR55" i="6" s="1"/>
  <c r="AP45" i="6"/>
  <c r="AR45" i="6" s="1"/>
  <c r="AP23" i="6"/>
  <c r="AR23" i="6" s="1"/>
  <c r="AS23" i="6" s="1"/>
  <c r="AQ44" i="6"/>
  <c r="AP40" i="6"/>
  <c r="AR40" i="6" s="1"/>
  <c r="AS40" i="6" s="1"/>
  <c r="AQ37" i="6"/>
  <c r="AQ48" i="6"/>
  <c r="AQ62" i="6"/>
  <c r="AS62" i="6" s="1"/>
  <c r="AQ72" i="6"/>
  <c r="AS72" i="6" s="1"/>
  <c r="AP36" i="6"/>
  <c r="AR36" i="6" s="1"/>
  <c r="AP51" i="6"/>
  <c r="AR51" i="6" s="1"/>
  <c r="AQ46" i="6"/>
  <c r="AS46" i="6" s="1"/>
  <c r="AQ60" i="6"/>
  <c r="AS60" i="6" s="1"/>
  <c r="AQ32" i="6"/>
  <c r="AS32" i="6" s="1"/>
  <c r="AP27" i="6"/>
  <c r="AR27" i="6" s="1"/>
  <c r="AQ26" i="6"/>
  <c r="AQ27" i="6"/>
  <c r="AQ70" i="6"/>
  <c r="AQ55" i="6"/>
  <c r="AQ57" i="6"/>
  <c r="AP28" i="6"/>
  <c r="AR28" i="6" s="1"/>
  <c r="AS28" i="6" s="1"/>
  <c r="AQ64" i="6"/>
  <c r="AP63" i="6"/>
  <c r="AR63" i="6" s="1"/>
  <c r="AS63" i="6" s="1"/>
  <c r="AQ25" i="6"/>
  <c r="AP41" i="6"/>
  <c r="AR41" i="6" s="1"/>
  <c r="AS41" i="6" s="1"/>
  <c r="AP42" i="6"/>
  <c r="AR42" i="6" s="1"/>
  <c r="AS42" i="6" s="1"/>
  <c r="AP65" i="6"/>
  <c r="AR65" i="6" s="1"/>
  <c r="AQ43" i="6"/>
  <c r="AQ36" i="6"/>
  <c r="AQ58" i="6"/>
  <c r="AQ65" i="6"/>
  <c r="AQ49" i="6"/>
  <c r="AQ51" i="6"/>
  <c r="AQ53" i="6"/>
  <c r="AS53" i="6" s="1"/>
  <c r="AP47" i="6"/>
  <c r="AR47" i="6" s="1"/>
  <c r="AS47" i="6" s="1"/>
  <c r="AQ190" i="6"/>
  <c r="AP190" i="6"/>
  <c r="U36" i="6"/>
  <c r="AS36" i="6"/>
  <c r="AS67" i="6"/>
  <c r="AS29" i="6"/>
  <c r="AS70" i="6"/>
  <c r="AS61" i="6"/>
  <c r="AS58" i="6"/>
  <c r="AS49" i="6"/>
  <c r="AS26" i="6"/>
  <c r="AS59" i="6"/>
  <c r="AS33" i="6"/>
  <c r="AS64" i="6"/>
  <c r="N37" i="6"/>
  <c r="AR190" i="6"/>
  <c r="AS190" i="6" s="1"/>
  <c r="I48" i="26"/>
  <c r="J48" i="26"/>
  <c r="BQ14" i="6"/>
  <c r="W48" i="26"/>
  <c r="K48" i="26"/>
  <c r="BR14" i="6"/>
  <c r="X48" i="26"/>
  <c r="BS14" i="6"/>
  <c r="Y48" i="26"/>
  <c r="L48" i="26"/>
  <c r="Z48" i="26"/>
  <c r="BT14" i="6"/>
  <c r="BE369" i="6"/>
  <c r="AE369" i="1" s="1"/>
  <c r="BE370" i="6"/>
  <c r="AE370" i="1" s="1"/>
  <c r="BE368" i="6"/>
  <c r="AE368" i="1" s="1"/>
  <c r="BE367" i="6"/>
  <c r="AE367" i="1" s="1"/>
  <c r="BE366" i="6"/>
  <c r="AE366" i="1" s="1"/>
  <c r="BE365" i="6"/>
  <c r="Q365" i="1" s="1"/>
  <c r="BE364" i="6"/>
  <c r="Q364" i="1" s="1"/>
  <c r="BE363" i="6"/>
  <c r="AE363" i="1" s="1"/>
  <c r="BE362" i="6"/>
  <c r="AE362" i="1" s="1"/>
  <c r="BE361" i="6"/>
  <c r="BE360" i="6"/>
  <c r="AE360" i="1" s="1"/>
  <c r="BE359" i="6"/>
  <c r="Q359" i="1" s="1"/>
  <c r="BE358" i="6"/>
  <c r="AE358" i="1" s="1"/>
  <c r="BE357" i="6"/>
  <c r="BE356" i="6"/>
  <c r="AE356" i="1" s="1"/>
  <c r="BE355" i="6"/>
  <c r="AE355" i="1" s="1"/>
  <c r="BE354" i="6"/>
  <c r="AE354" i="1" s="1"/>
  <c r="BE353" i="6"/>
  <c r="Q353" i="1" s="1"/>
  <c r="BE352" i="6"/>
  <c r="AE352" i="1" s="1"/>
  <c r="BE351" i="6"/>
  <c r="AE351" i="1" s="1"/>
  <c r="BE350" i="6"/>
  <c r="AE350" i="1" s="1"/>
  <c r="BE349" i="6"/>
  <c r="Q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BE342" i="6"/>
  <c r="Q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BE329" i="6"/>
  <c r="AE329" i="1" s="1"/>
  <c r="BE328" i="6"/>
  <c r="AE328" i="1" s="1"/>
  <c r="BE327" i="6"/>
  <c r="Q327" i="1" s="1"/>
  <c r="BE326" i="6"/>
  <c r="AE326" i="1" s="1"/>
  <c r="BE325" i="6"/>
  <c r="AE325" i="1" s="1"/>
  <c r="BE324" i="6"/>
  <c r="AE324" i="1" s="1"/>
  <c r="BE323" i="6"/>
  <c r="BE322" i="6"/>
  <c r="AE322" i="1" s="1"/>
  <c r="BE321" i="6"/>
  <c r="BE320" i="6"/>
  <c r="AE320" i="1" s="1"/>
  <c r="BE319" i="6"/>
  <c r="BE318" i="6"/>
  <c r="AE318" i="1" s="1"/>
  <c r="BE317" i="6"/>
  <c r="BE316" i="6"/>
  <c r="AE316" i="1" s="1"/>
  <c r="BE315" i="6"/>
  <c r="BE314" i="6"/>
  <c r="AE314" i="1" s="1"/>
  <c r="BE313" i="6"/>
  <c r="Q313" i="1" s="1"/>
  <c r="BE312" i="6"/>
  <c r="AE312" i="1" s="1"/>
  <c r="BE311" i="6"/>
  <c r="Q311" i="1" s="1"/>
  <c r="BE310" i="6"/>
  <c r="AE310" i="1" s="1"/>
  <c r="BE309" i="6"/>
  <c r="BE308" i="6"/>
  <c r="AE308" i="1" s="1"/>
  <c r="BE307" i="6"/>
  <c r="AE307" i="1" s="1"/>
  <c r="BE306" i="6"/>
  <c r="BE305" i="6"/>
  <c r="AE305" i="1" s="1"/>
  <c r="BE304" i="6"/>
  <c r="BE303" i="6"/>
  <c r="BE302" i="6"/>
  <c r="BE301" i="6"/>
  <c r="BE300" i="6"/>
  <c r="AE300" i="1" s="1"/>
  <c r="BE299" i="6"/>
  <c r="AE299" i="1" s="1"/>
  <c r="BE298" i="6"/>
  <c r="BE297" i="6"/>
  <c r="BE296" i="6"/>
  <c r="AE296" i="1" s="1"/>
  <c r="BE295" i="6"/>
  <c r="AE295" i="1" s="1"/>
  <c r="BE294" i="6"/>
  <c r="Q294" i="1" s="1"/>
  <c r="BE293" i="6"/>
  <c r="BE292" i="6"/>
  <c r="AE292" i="1" s="1"/>
  <c r="BE291" i="6"/>
  <c r="Q291" i="1" s="1"/>
  <c r="BE290" i="6"/>
  <c r="AE290" i="1" s="1"/>
  <c r="BE289" i="6"/>
  <c r="Q289" i="1" s="1"/>
  <c r="BE288" i="6"/>
  <c r="AE288" i="1" s="1"/>
  <c r="BE287" i="6"/>
  <c r="BE286" i="6"/>
  <c r="AE286" i="1" s="1"/>
  <c r="BE285" i="6"/>
  <c r="BE284" i="6"/>
  <c r="AE284" i="1" s="1"/>
  <c r="BE283" i="6"/>
  <c r="AE283" i="1" s="1"/>
  <c r="BE282" i="6"/>
  <c r="AE282" i="1" s="1"/>
  <c r="BE281" i="6"/>
  <c r="BE280" i="6"/>
  <c r="AE280" i="1" s="1"/>
  <c r="BE279" i="6"/>
  <c r="BE278" i="6"/>
  <c r="AE278" i="1" s="1"/>
  <c r="BE277" i="6"/>
  <c r="AE277" i="1" s="1"/>
  <c r="BE276" i="6"/>
  <c r="AE276" i="1" s="1"/>
  <c r="BE275" i="6"/>
  <c r="AE275" i="1" s="1"/>
  <c r="BE274" i="6"/>
  <c r="AE274" i="1" s="1"/>
  <c r="BE273" i="6"/>
  <c r="BE272" i="6"/>
  <c r="AE272" i="1" s="1"/>
  <c r="BE271" i="6"/>
  <c r="AE271" i="1" s="1"/>
  <c r="BE270" i="6"/>
  <c r="AE270" i="1" s="1"/>
  <c r="BE269" i="6"/>
  <c r="BE268" i="6"/>
  <c r="AE268" i="1" s="1"/>
  <c r="BE267" i="6"/>
  <c r="BE266" i="6"/>
  <c r="Q266" i="1" s="1"/>
  <c r="BE265" i="6"/>
  <c r="Q265" i="1" s="1"/>
  <c r="BE264" i="6"/>
  <c r="AE264" i="1" s="1"/>
  <c r="BE263" i="6"/>
  <c r="Q263" i="1" s="1"/>
  <c r="BE262" i="6"/>
  <c r="AE262" i="1" s="1"/>
  <c r="BE261" i="6"/>
  <c r="Q261" i="1" s="1"/>
  <c r="BE260" i="6"/>
  <c r="AE260" i="1" s="1"/>
  <c r="BE259" i="6"/>
  <c r="BE258" i="6"/>
  <c r="AE258" i="1" s="1"/>
  <c r="BE257" i="6"/>
  <c r="BE256" i="6"/>
  <c r="AE256" i="1" s="1"/>
  <c r="BE255" i="6"/>
  <c r="Q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BE248" i="6"/>
  <c r="AE248" i="1" s="1"/>
  <c r="BE247" i="6"/>
  <c r="BE246" i="6"/>
  <c r="AE246" i="1" s="1"/>
  <c r="BE245" i="6"/>
  <c r="Q245" i="1" s="1"/>
  <c r="BE244" i="6"/>
  <c r="AE244" i="1" s="1"/>
  <c r="BE243" i="6"/>
  <c r="BE242" i="6"/>
  <c r="AE242" i="1" s="1"/>
  <c r="BE241" i="6"/>
  <c r="AE241" i="1" s="1"/>
  <c r="BE240" i="6"/>
  <c r="AE240" i="1" s="1"/>
  <c r="BE239" i="6"/>
  <c r="AE239" i="1" s="1"/>
  <c r="BE238" i="6"/>
  <c r="AE238" i="1" s="1"/>
  <c r="BE237" i="6"/>
  <c r="Q237" i="1" s="1"/>
  <c r="BE236" i="6"/>
  <c r="AE236" i="1" s="1"/>
  <c r="BE235" i="6"/>
  <c r="BE234" i="6"/>
  <c r="AE234" i="1" s="1"/>
  <c r="BE233" i="6"/>
  <c r="AE233" i="1" s="1"/>
  <c r="BE232" i="6"/>
  <c r="AE232" i="1" s="1"/>
  <c r="BE231" i="6"/>
  <c r="Q231" i="1" s="1"/>
  <c r="BE230" i="6"/>
  <c r="AE230" i="1" s="1"/>
  <c r="BE229" i="6"/>
  <c r="BE228" i="6"/>
  <c r="Q228" i="1" s="1"/>
  <c r="BE227" i="6"/>
  <c r="AE227" i="1" s="1"/>
  <c r="BE226" i="6"/>
  <c r="AE226" i="1" s="1"/>
  <c r="BE225" i="6"/>
  <c r="BE224" i="6"/>
  <c r="AE224" i="1" s="1"/>
  <c r="BE223" i="6"/>
  <c r="AE223" i="1" s="1"/>
  <c r="BE222" i="6"/>
  <c r="AE222" i="1" s="1"/>
  <c r="BE221" i="6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BE206" i="6"/>
  <c r="AE206" i="1" s="1"/>
  <c r="BE205" i="6"/>
  <c r="BE204" i="6"/>
  <c r="AE204" i="1" s="1"/>
  <c r="BE203" i="6"/>
  <c r="BE202" i="6"/>
  <c r="AE202" i="1" s="1"/>
  <c r="BE201" i="6"/>
  <c r="BE200" i="6"/>
  <c r="AE200" i="1" s="1"/>
  <c r="BE199" i="6"/>
  <c r="BE198" i="6"/>
  <c r="AE198" i="1" s="1"/>
  <c r="BE197" i="6"/>
  <c r="BE196" i="6"/>
  <c r="AE196" i="1" s="1"/>
  <c r="BE195" i="6"/>
  <c r="BE194" i="6"/>
  <c r="AE194" i="1" s="1"/>
  <c r="BE193" i="6"/>
  <c r="AE193" i="1" s="1"/>
  <c r="BE192" i="6"/>
  <c r="BE191" i="6"/>
  <c r="BE190" i="6"/>
  <c r="AE190" i="1" s="1"/>
  <c r="BE189" i="6"/>
  <c r="BE188" i="6"/>
  <c r="AE188" i="1" s="1"/>
  <c r="BE187" i="6"/>
  <c r="BE186" i="6"/>
  <c r="AE186" i="1" s="1"/>
  <c r="BE185" i="6"/>
  <c r="AE185" i="1" s="1"/>
  <c r="BE184" i="6"/>
  <c r="AE184" i="1" s="1"/>
  <c r="BE183" i="6"/>
  <c r="BE182" i="6"/>
  <c r="BE181" i="6"/>
  <c r="BE180" i="6"/>
  <c r="AE180" i="1" s="1"/>
  <c r="BE179" i="6"/>
  <c r="BE178" i="6"/>
  <c r="AE178" i="1" s="1"/>
  <c r="BE177" i="6"/>
  <c r="BE176" i="6"/>
  <c r="AE176" i="1" s="1"/>
  <c r="BE175" i="6"/>
  <c r="AE175" i="1" s="1"/>
  <c r="BE174" i="6"/>
  <c r="AE174" i="1" s="1"/>
  <c r="BE173" i="6"/>
  <c r="AE173" i="1" s="1"/>
  <c r="BE172" i="6"/>
  <c r="AE172" i="1" s="1"/>
  <c r="BE171" i="6"/>
  <c r="AE171" i="1" s="1"/>
  <c r="BE170" i="6"/>
  <c r="AE170" i="1" s="1"/>
  <c r="BE169" i="6"/>
  <c r="Q169" i="1" s="1"/>
  <c r="BE168" i="6"/>
  <c r="AE168" i="1" s="1"/>
  <c r="BE167" i="6"/>
  <c r="AE167" i="1" s="1"/>
  <c r="BE166" i="6"/>
  <c r="AE166" i="1" s="1"/>
  <c r="BE165" i="6"/>
  <c r="AE165" i="1" s="1"/>
  <c r="BE164" i="6"/>
  <c r="BE163" i="6"/>
  <c r="AE163" i="1" s="1"/>
  <c r="BE162" i="6"/>
  <c r="BE161" i="6"/>
  <c r="AE161" i="1" s="1"/>
  <c r="BE160" i="6"/>
  <c r="BE159" i="6"/>
  <c r="BE158" i="6"/>
  <c r="AE158" i="1" s="1"/>
  <c r="BE157" i="6"/>
  <c r="AE157" i="1" s="1"/>
  <c r="BE156" i="6"/>
  <c r="AE156" i="1" s="1"/>
  <c r="BE155" i="6"/>
  <c r="BE154" i="6"/>
  <c r="AE154" i="1" s="1"/>
  <c r="BE153" i="6"/>
  <c r="BE152" i="6"/>
  <c r="Q152" i="1" s="1"/>
  <c r="BE151" i="6"/>
  <c r="BE150" i="6"/>
  <c r="AE150" i="1" s="1"/>
  <c r="BE149" i="6"/>
  <c r="BE148" i="6"/>
  <c r="AE148" i="1" s="1"/>
  <c r="BE147" i="6"/>
  <c r="Q147" i="1" s="1"/>
  <c r="BE146" i="6"/>
  <c r="AE146" i="1" s="1"/>
  <c r="BE145" i="6"/>
  <c r="BE144" i="6"/>
  <c r="BE143" i="6"/>
  <c r="BE142" i="6"/>
  <c r="BE141" i="6"/>
  <c r="BE140" i="6"/>
  <c r="BE139" i="6"/>
  <c r="Q139" i="1" s="1"/>
  <c r="BE138" i="6"/>
  <c r="AE138" i="1" s="1"/>
  <c r="BE137" i="6"/>
  <c r="BE136" i="6"/>
  <c r="AE136" i="1" s="1"/>
  <c r="BE135" i="6"/>
  <c r="AE135" i="1" s="1"/>
  <c r="BE134" i="6"/>
  <c r="AE134" i="1" s="1"/>
  <c r="BE133" i="6"/>
  <c r="AE133" i="1" s="1"/>
  <c r="BE132" i="6"/>
  <c r="AE132" i="1" s="1"/>
  <c r="BE131" i="6"/>
  <c r="AE131" i="1" s="1"/>
  <c r="BE130" i="6"/>
  <c r="Q130" i="1" s="1"/>
  <c r="BE129" i="6"/>
  <c r="AE129" i="1" s="1"/>
  <c r="BE128" i="6"/>
  <c r="Q128" i="1" s="1"/>
  <c r="BE127" i="6"/>
  <c r="AE127" i="1" s="1"/>
  <c r="BE126" i="6"/>
  <c r="Q126" i="1" s="1"/>
  <c r="BE125" i="6"/>
  <c r="BE124" i="6"/>
  <c r="Q124" i="1" s="1"/>
  <c r="BE123" i="6"/>
  <c r="BE122" i="6"/>
  <c r="BE121" i="6"/>
  <c r="BE120" i="6"/>
  <c r="BE119" i="6"/>
  <c r="BE118" i="6"/>
  <c r="BE117" i="6"/>
  <c r="BE116" i="6"/>
  <c r="AE116" i="1" s="1"/>
  <c r="BE115" i="6"/>
  <c r="AE115" i="1" s="1"/>
  <c r="BE114" i="6"/>
  <c r="AE114" i="1" s="1"/>
  <c r="BE113" i="6"/>
  <c r="AE113" i="1" s="1"/>
  <c r="BE112" i="6"/>
  <c r="BE111" i="6"/>
  <c r="AE111" i="1" s="1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AE99" i="1" s="1"/>
  <c r="BE98" i="6"/>
  <c r="BE97" i="6"/>
  <c r="BE96" i="6"/>
  <c r="AE96" i="1" s="1"/>
  <c r="BE95" i="6"/>
  <c r="Q95" i="1" s="1"/>
  <c r="BE94" i="6"/>
  <c r="BE93" i="6"/>
  <c r="BE92" i="6"/>
  <c r="AE92" i="1" s="1"/>
  <c r="BE91" i="6"/>
  <c r="BE90" i="6"/>
  <c r="AE90" i="1" s="1"/>
  <c r="BE89" i="6"/>
  <c r="BE88" i="6"/>
  <c r="AE88" i="1" s="1"/>
  <c r="BE87" i="6"/>
  <c r="BE86" i="6"/>
  <c r="Q86" i="1" s="1"/>
  <c r="BE85" i="6"/>
  <c r="AE85" i="1" s="1"/>
  <c r="BE84" i="6"/>
  <c r="AE84" i="1" s="1"/>
  <c r="BE83" i="6"/>
  <c r="BE82" i="6"/>
  <c r="AE82" i="1" s="1"/>
  <c r="BE81" i="6"/>
  <c r="BE80" i="6"/>
  <c r="AE80" i="1" s="1"/>
  <c r="BE79" i="6"/>
  <c r="AE79" i="1" s="1"/>
  <c r="BE78" i="6"/>
  <c r="Q78" i="1" s="1"/>
  <c r="BE77" i="6"/>
  <c r="BE76" i="6"/>
  <c r="BE75" i="6"/>
  <c r="AE75" i="1" s="1"/>
  <c r="BE74" i="6"/>
  <c r="Q74" i="1" s="1"/>
  <c r="BE73" i="6"/>
  <c r="BE72" i="6"/>
  <c r="Q72" i="1" s="1"/>
  <c r="BE71" i="6"/>
  <c r="BE70" i="6"/>
  <c r="AE70" i="1" s="1"/>
  <c r="BE69" i="6"/>
  <c r="AE69" i="1" s="1"/>
  <c r="BE68" i="6"/>
  <c r="BE67" i="6"/>
  <c r="BE66" i="6"/>
  <c r="AE66" i="1" s="1"/>
  <c r="BE65" i="6"/>
  <c r="AE65" i="1" s="1"/>
  <c r="BE64" i="6"/>
  <c r="AE64" i="1" s="1"/>
  <c r="BE63" i="6"/>
  <c r="Q63" i="1" s="1"/>
  <c r="BE62" i="6"/>
  <c r="BE61" i="6"/>
  <c r="AE61" i="1" s="1"/>
  <c r="BE60" i="6"/>
  <c r="AE60" i="1" s="1"/>
  <c r="BE59" i="6"/>
  <c r="AE59" i="1" s="1"/>
  <c r="BE58" i="6"/>
  <c r="BE57" i="6"/>
  <c r="BE56" i="6"/>
  <c r="BE55" i="6"/>
  <c r="AE55" i="1" s="1"/>
  <c r="BE54" i="6"/>
  <c r="BE53" i="6"/>
  <c r="AE53" i="1" s="1"/>
  <c r="BE52" i="6"/>
  <c r="BE51" i="6"/>
  <c r="BE50" i="6"/>
  <c r="BE49" i="6"/>
  <c r="BE48" i="6"/>
  <c r="AE48" i="1" s="1"/>
  <c r="BE47" i="6"/>
  <c r="BE46" i="6"/>
  <c r="AE46" i="1" s="1"/>
  <c r="BE45" i="6"/>
  <c r="BE44" i="6"/>
  <c r="AE44" i="1" s="1"/>
  <c r="BE43" i="6"/>
  <c r="AE43" i="1" s="1"/>
  <c r="BE42" i="6"/>
  <c r="AE42" i="1" s="1"/>
  <c r="BE41" i="6"/>
  <c r="Q41" i="1" s="1"/>
  <c r="BE40" i="6"/>
  <c r="BE39" i="6"/>
  <c r="BE38" i="6"/>
  <c r="AE38" i="1" s="1"/>
  <c r="BE37" i="6"/>
  <c r="AE37" i="1" s="1"/>
  <c r="BE36" i="6"/>
  <c r="Q36" i="1" s="1"/>
  <c r="BE35" i="6"/>
  <c r="BE34" i="6"/>
  <c r="AE34" i="1" s="1"/>
  <c r="BE33" i="6"/>
  <c r="BE32" i="6"/>
  <c r="BE31" i="6"/>
  <c r="BE30" i="6"/>
  <c r="AE30" i="1" s="1"/>
  <c r="BE29" i="6"/>
  <c r="Q29" i="1" s="1"/>
  <c r="BE28" i="6"/>
  <c r="Q28" i="1" s="1"/>
  <c r="BE27" i="6"/>
  <c r="BE26" i="6"/>
  <c r="AE26" i="1" s="1"/>
  <c r="BE25" i="6"/>
  <c r="BE24" i="6"/>
  <c r="AE24" i="1" s="1"/>
  <c r="BE23" i="6"/>
  <c r="AE23" i="1" s="1"/>
  <c r="BE22" i="6"/>
  <c r="BE21" i="6"/>
  <c r="Q21" i="1" s="1"/>
  <c r="BE20" i="6"/>
  <c r="AE20" i="1" s="1"/>
  <c r="BE19" i="6"/>
  <c r="Q19" i="1" s="1"/>
  <c r="BE18" i="6"/>
  <c r="Q18" i="1" s="1"/>
  <c r="BE17" i="6"/>
  <c r="AE17" i="1" s="1"/>
  <c r="BE16" i="6"/>
  <c r="BE15" i="6"/>
  <c r="AE15" i="1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AE372" i="1" s="1"/>
  <c r="BE373" i="6"/>
  <c r="BE374" i="6"/>
  <c r="AE374" i="1" s="1"/>
  <c r="BE375" i="6"/>
  <c r="BE376" i="6"/>
  <c r="AE376" i="1" s="1"/>
  <c r="BE377" i="6"/>
  <c r="BE378" i="6"/>
  <c r="AE378" i="1" s="1"/>
  <c r="BE379" i="6"/>
  <c r="BE380" i="6"/>
  <c r="I35" i="26"/>
  <c r="I36" i="26"/>
  <c r="I37" i="26"/>
  <c r="I38" i="26"/>
  <c r="Y66" i="26"/>
  <c r="Y67" i="26"/>
  <c r="Y68" i="26"/>
  <c r="Y69" i="26"/>
  <c r="Y70" i="26"/>
  <c r="W66" i="26"/>
  <c r="W67" i="26"/>
  <c r="W68" i="26"/>
  <c r="W69" i="26"/>
  <c r="W70" i="26"/>
  <c r="U66" i="26"/>
  <c r="U67" i="26"/>
  <c r="U68" i="26"/>
  <c r="U69" i="26"/>
  <c r="U70" i="26"/>
  <c r="S66" i="26"/>
  <c r="S67" i="26"/>
  <c r="S68" i="26"/>
  <c r="S69" i="26"/>
  <c r="S70" i="26"/>
  <c r="Q66" i="26"/>
  <c r="Q67" i="26"/>
  <c r="Q68" i="26"/>
  <c r="Q69" i="26"/>
  <c r="Q70" i="26"/>
  <c r="Z66" i="26"/>
  <c r="Z67" i="26"/>
  <c r="Z68" i="26"/>
  <c r="Z69" i="26"/>
  <c r="Z70" i="26"/>
  <c r="X66" i="26"/>
  <c r="X67" i="26"/>
  <c r="X68" i="26"/>
  <c r="X69" i="26"/>
  <c r="X70" i="26"/>
  <c r="V66" i="26"/>
  <c r="V67" i="26"/>
  <c r="V68" i="26"/>
  <c r="V69" i="26"/>
  <c r="V70" i="26"/>
  <c r="T66" i="26"/>
  <c r="T67" i="26"/>
  <c r="T68" i="26"/>
  <c r="T69" i="26"/>
  <c r="T70" i="26"/>
  <c r="R66" i="26"/>
  <c r="R67" i="26"/>
  <c r="R68" i="26"/>
  <c r="R69" i="26"/>
  <c r="R70" i="26"/>
  <c r="P66" i="26"/>
  <c r="P67" i="26"/>
  <c r="P68" i="26"/>
  <c r="P69" i="26"/>
  <c r="P70" i="26"/>
  <c r="Y14" i="1"/>
  <c r="F14" i="1"/>
  <c r="L1" i="1"/>
  <c r="A11" i="19"/>
  <c r="J1" i="15"/>
  <c r="A6" i="6"/>
  <c r="A3" i="7"/>
  <c r="X1" i="1"/>
  <c r="L12" i="1"/>
  <c r="B11" i="7"/>
  <c r="K15" i="1"/>
  <c r="A15" i="15"/>
  <c r="AB15" i="15"/>
  <c r="BW15" i="7"/>
  <c r="C15" i="7"/>
  <c r="O9" i="1"/>
  <c r="O11" i="1"/>
  <c r="A16" i="15"/>
  <c r="X15" i="15"/>
  <c r="B15" i="7"/>
  <c r="P11" i="1"/>
  <c r="AK380" i="1"/>
  <c r="AK15" i="1"/>
  <c r="L15" i="1"/>
  <c r="A12" i="19"/>
  <c r="B6" i="6"/>
  <c r="G3" i="7"/>
  <c r="L1" i="15"/>
  <c r="Y14" i="15"/>
  <c r="AB16" i="15"/>
  <c r="X16" i="15"/>
  <c r="F8" i="1"/>
  <c r="K15" i="15"/>
  <c r="F14" i="15"/>
  <c r="V14" i="15"/>
  <c r="J380" i="15"/>
  <c r="J1" i="16"/>
  <c r="X1" i="15"/>
  <c r="AB15" i="1"/>
  <c r="X15" i="1"/>
  <c r="BV13" i="7"/>
  <c r="A15" i="16"/>
  <c r="A16" i="16"/>
  <c r="Y14" i="16"/>
  <c r="J1" i="17"/>
  <c r="C6" i="6"/>
  <c r="M3" i="7"/>
  <c r="A13" i="19"/>
  <c r="V14" i="16"/>
  <c r="F14" i="16"/>
  <c r="A14" i="19"/>
  <c r="V14" i="17"/>
  <c r="D6" i="6"/>
  <c r="AJ380" i="1"/>
  <c r="BJ13" i="7"/>
  <c r="L1" i="16"/>
  <c r="X1" i="16"/>
  <c r="L11" i="15"/>
  <c r="AK16" i="1"/>
  <c r="AB16" i="1"/>
  <c r="X16" i="1"/>
  <c r="AJ16" i="1"/>
  <c r="L16" i="1"/>
  <c r="K16" i="1"/>
  <c r="AI11" i="1"/>
  <c r="L11" i="19"/>
  <c r="AE11" i="1"/>
  <c r="P10" i="1"/>
  <c r="X15" i="16"/>
  <c r="AB15" i="16"/>
  <c r="K15" i="16"/>
  <c r="A17" i="16"/>
  <c r="A15" i="17"/>
  <c r="F14" i="17"/>
  <c r="L1" i="17"/>
  <c r="J1" i="18"/>
  <c r="AJ17" i="1"/>
  <c r="L11" i="16"/>
  <c r="E6" i="6"/>
  <c r="J1" i="20"/>
  <c r="V14" i="18"/>
  <c r="X1" i="18"/>
  <c r="L1" i="18"/>
  <c r="Y3" i="7"/>
  <c r="A16" i="17"/>
  <c r="K15" i="17"/>
  <c r="L11" i="17"/>
  <c r="X16" i="17"/>
  <c r="A17" i="17"/>
  <c r="K16" i="17"/>
  <c r="AB16" i="17"/>
  <c r="AE3" i="7"/>
  <c r="L1" i="20"/>
  <c r="X1" i="20"/>
  <c r="F14" i="20"/>
  <c r="A15" i="20"/>
  <c r="V14" i="20"/>
  <c r="J1" i="22"/>
  <c r="A16" i="19"/>
  <c r="F6" i="6"/>
  <c r="Y14" i="20"/>
  <c r="L11" i="18"/>
  <c r="L1" i="22"/>
  <c r="X1" i="22"/>
  <c r="G6" i="6"/>
  <c r="A17" i="19"/>
  <c r="AK3" i="7"/>
  <c r="J1" i="23"/>
  <c r="V14" i="22"/>
  <c r="F14" i="22"/>
  <c r="A15" i="22"/>
  <c r="Y14" i="22"/>
  <c r="A16" i="20"/>
  <c r="X15" i="20"/>
  <c r="AB15" i="20"/>
  <c r="K15" i="20"/>
  <c r="X17" i="17"/>
  <c r="AB17" i="17"/>
  <c r="A18" i="17"/>
  <c r="AB18" i="17"/>
  <c r="K17" i="17"/>
  <c r="L11" i="20"/>
  <c r="K16" i="20"/>
  <c r="AB16" i="20"/>
  <c r="A17" i="20"/>
  <c r="X16" i="20"/>
  <c r="K15" i="22"/>
  <c r="AB15" i="22"/>
  <c r="X15" i="22"/>
  <c r="A16" i="22"/>
  <c r="K16" i="22"/>
  <c r="A19" i="17"/>
  <c r="X18" i="17"/>
  <c r="A15" i="23"/>
  <c r="AB15" i="23"/>
  <c r="V14" i="23"/>
  <c r="X1" i="23"/>
  <c r="A18" i="19"/>
  <c r="H6" i="6"/>
  <c r="Y14" i="23"/>
  <c r="F14" i="23"/>
  <c r="J1" i="24"/>
  <c r="L1" i="23"/>
  <c r="AQ3" i="7"/>
  <c r="L11" i="22"/>
  <c r="X15" i="23"/>
  <c r="K15" i="23"/>
  <c r="AB16" i="22"/>
  <c r="X16" i="22"/>
  <c r="AB17" i="20"/>
  <c r="A18" i="20"/>
  <c r="X17" i="20"/>
  <c r="K17" i="20"/>
  <c r="J1" i="25"/>
  <c r="F14" i="25"/>
  <c r="Y14" i="24"/>
  <c r="V14" i="24"/>
  <c r="L1" i="24"/>
  <c r="I6" i="6"/>
  <c r="A15" i="24"/>
  <c r="A19" i="19"/>
  <c r="F14" i="24"/>
  <c r="X1" i="24"/>
  <c r="AW3" i="7"/>
  <c r="X19" i="17"/>
  <c r="K19" i="17"/>
  <c r="L11" i="23"/>
  <c r="AB15" i="24"/>
  <c r="A16" i="24"/>
  <c r="AB16" i="24"/>
  <c r="K15" i="24"/>
  <c r="X15" i="24"/>
  <c r="A15" i="25"/>
  <c r="A16" i="25"/>
  <c r="J6" i="6"/>
  <c r="BC3" i="7"/>
  <c r="Y14" i="25"/>
  <c r="X18" i="20"/>
  <c r="K18" i="20"/>
  <c r="K15" i="25"/>
  <c r="X15" i="25"/>
  <c r="X16" i="24"/>
  <c r="A17" i="24"/>
  <c r="AB17" i="24"/>
  <c r="K17" i="24"/>
  <c r="Q10" i="1"/>
  <c r="I18" i="26"/>
  <c r="Y49" i="26"/>
  <c r="T49" i="26"/>
  <c r="Z49" i="26"/>
  <c r="U49" i="26"/>
  <c r="V49" i="26"/>
  <c r="S49" i="26"/>
  <c r="J20" i="26"/>
  <c r="J21" i="26"/>
  <c r="I25" i="26"/>
  <c r="I28" i="26"/>
  <c r="I32" i="26"/>
  <c r="I33" i="26"/>
  <c r="X49" i="26"/>
  <c r="R49" i="26"/>
  <c r="Q49" i="26"/>
  <c r="J27" i="26"/>
  <c r="I21" i="26"/>
  <c r="I23" i="26"/>
  <c r="I26" i="26"/>
  <c r="I27" i="26"/>
  <c r="O60" i="26"/>
  <c r="J28" i="26"/>
  <c r="I30" i="26"/>
  <c r="I31" i="26"/>
  <c r="M63" i="26"/>
  <c r="E12" i="26"/>
  <c r="D10" i="26"/>
  <c r="I10" i="26"/>
  <c r="E11" i="26"/>
  <c r="D12" i="26"/>
  <c r="I12" i="26"/>
  <c r="D11" i="26"/>
  <c r="I11" i="26"/>
  <c r="O65" i="26"/>
  <c r="J31" i="26"/>
  <c r="BM15" i="7"/>
  <c r="BQ15" i="7"/>
  <c r="AE261" i="1"/>
  <c r="AE228" i="1"/>
  <c r="AE237" i="1"/>
  <c r="L11" i="24"/>
  <c r="A17" i="25"/>
  <c r="AB16" i="25"/>
  <c r="K16" i="25"/>
  <c r="X16" i="25"/>
  <c r="X17" i="24"/>
  <c r="A18" i="24"/>
  <c r="K16" i="24"/>
  <c r="AB15" i="25"/>
  <c r="A19" i="20"/>
  <c r="AB18" i="20"/>
  <c r="X1" i="25"/>
  <c r="A20" i="19"/>
  <c r="L1" i="25"/>
  <c r="V14" i="25"/>
  <c r="A20" i="17"/>
  <c r="AB19" i="17"/>
  <c r="A17" i="22"/>
  <c r="A16" i="23"/>
  <c r="K18" i="17"/>
  <c r="K17" i="16"/>
  <c r="X17" i="16"/>
  <c r="A18" i="16"/>
  <c r="AB17" i="16"/>
  <c r="AK17" i="1"/>
  <c r="X17" i="1"/>
  <c r="AB17" i="1"/>
  <c r="K17" i="1"/>
  <c r="AC17" i="1"/>
  <c r="L17" i="1"/>
  <c r="F14" i="18"/>
  <c r="Y14" i="18"/>
  <c r="A15" i="19"/>
  <c r="A15" i="18"/>
  <c r="X15" i="17"/>
  <c r="AB15" i="17"/>
  <c r="L12" i="15"/>
  <c r="L12" i="16"/>
  <c r="AB16" i="16"/>
  <c r="X16" i="16"/>
  <c r="K16" i="16"/>
  <c r="X1" i="17"/>
  <c r="Y14" i="17"/>
  <c r="S3" i="7"/>
  <c r="K16" i="15"/>
  <c r="A17" i="15"/>
  <c r="E8" i="1"/>
  <c r="K11" i="19" s="1"/>
  <c r="K35" i="19" s="1"/>
  <c r="BP13" i="7"/>
  <c r="F7" i="1"/>
  <c r="AJ15" i="1"/>
  <c r="E7" i="1"/>
  <c r="AC10" i="1" s="1"/>
  <c r="B13" i="7"/>
  <c r="AE364" i="1"/>
  <c r="AE95" i="1"/>
  <c r="AE245" i="1"/>
  <c r="AE289" i="1"/>
  <c r="BY15" i="7"/>
  <c r="AE247" i="1"/>
  <c r="AE169" i="1"/>
  <c r="E15" i="7"/>
  <c r="AE19" i="1"/>
  <c r="BS15" i="7"/>
  <c r="V57" i="26"/>
  <c r="S57" i="26"/>
  <c r="P57" i="26"/>
  <c r="R57" i="26"/>
  <c r="W57" i="26"/>
  <c r="Z57" i="26"/>
  <c r="X57" i="26"/>
  <c r="U57" i="26"/>
  <c r="Y57" i="26"/>
  <c r="T57" i="26"/>
  <c r="Q57" i="26"/>
  <c r="X52" i="26"/>
  <c r="Q52" i="26"/>
  <c r="R52" i="26"/>
  <c r="S52" i="26"/>
  <c r="Y52" i="26"/>
  <c r="P52" i="26"/>
  <c r="U52" i="26"/>
  <c r="T52" i="26"/>
  <c r="Z52" i="26"/>
  <c r="V52" i="26"/>
  <c r="W52" i="26"/>
  <c r="V54" i="26"/>
  <c r="Y54" i="26"/>
  <c r="W54" i="26"/>
  <c r="X54" i="26"/>
  <c r="P54" i="26"/>
  <c r="T54" i="26"/>
  <c r="U54" i="26"/>
  <c r="Q54" i="26"/>
  <c r="Z54" i="26"/>
  <c r="R54" i="26"/>
  <c r="S54" i="26"/>
  <c r="H35" i="26"/>
  <c r="O66" i="26"/>
  <c r="X17" i="15"/>
  <c r="K17" i="15"/>
  <c r="AB17" i="15"/>
  <c r="A18" i="15"/>
  <c r="X15" i="18"/>
  <c r="K15" i="18"/>
  <c r="AB15" i="18"/>
  <c r="A16" i="18"/>
  <c r="K18" i="1"/>
  <c r="X18" i="1"/>
  <c r="AB18" i="1"/>
  <c r="AK18" i="1"/>
  <c r="AJ18" i="1"/>
  <c r="L18" i="1"/>
  <c r="A18" i="22"/>
  <c r="K17" i="22"/>
  <c r="X17" i="22"/>
  <c r="AB17" i="22"/>
  <c r="K20" i="17"/>
  <c r="AB20" i="17"/>
  <c r="A21" i="17"/>
  <c r="X20" i="17"/>
  <c r="X19" i="20"/>
  <c r="A20" i="20"/>
  <c r="AB19" i="20"/>
  <c r="K19" i="20"/>
  <c r="K18" i="24"/>
  <c r="X18" i="24"/>
  <c r="A19" i="24"/>
  <c r="AB18" i="24"/>
  <c r="O10" i="1"/>
  <c r="O9" i="18"/>
  <c r="AJ46" i="18" s="1"/>
  <c r="X18" i="16"/>
  <c r="AB18" i="16"/>
  <c r="A19" i="16"/>
  <c r="K18" i="16"/>
  <c r="AB16" i="23"/>
  <c r="A17" i="23"/>
  <c r="K16" i="23"/>
  <c r="X16" i="23"/>
  <c r="A18" i="25"/>
  <c r="AB17" i="25"/>
  <c r="K17" i="25"/>
  <c r="X17" i="25"/>
  <c r="F39" i="26"/>
  <c r="L51" i="26"/>
  <c r="Z51" i="26"/>
  <c r="D51" i="26"/>
  <c r="R51" i="26"/>
  <c r="I51" i="26"/>
  <c r="W51" i="26"/>
  <c r="E51" i="26"/>
  <c r="S51" i="26"/>
  <c r="K51" i="26"/>
  <c r="Y51" i="26"/>
  <c r="C51" i="26"/>
  <c r="Q51" i="26"/>
  <c r="H51" i="26"/>
  <c r="V51" i="26"/>
  <c r="B51" i="26"/>
  <c r="P51" i="26"/>
  <c r="F51" i="26"/>
  <c r="T51" i="26"/>
  <c r="G51" i="26"/>
  <c r="U51" i="26"/>
  <c r="J51" i="26"/>
  <c r="X51" i="26"/>
  <c r="W55" i="26"/>
  <c r="Z55" i="26"/>
  <c r="Y55" i="26"/>
  <c r="P55" i="26"/>
  <c r="T55" i="26"/>
  <c r="U55" i="26"/>
  <c r="V55" i="26"/>
  <c r="X55" i="26"/>
  <c r="S55" i="26"/>
  <c r="R55" i="26"/>
  <c r="Q55" i="26"/>
  <c r="Y53" i="26"/>
  <c r="W53" i="26"/>
  <c r="S53" i="26"/>
  <c r="U53" i="26"/>
  <c r="V53" i="26"/>
  <c r="Z53" i="26"/>
  <c r="T53" i="26"/>
  <c r="Q53" i="26"/>
  <c r="X53" i="26"/>
  <c r="R53" i="26"/>
  <c r="P53" i="26"/>
  <c r="Q56" i="26"/>
  <c r="X56" i="26"/>
  <c r="R56" i="26"/>
  <c r="S56" i="26"/>
  <c r="T56" i="26"/>
  <c r="P56" i="26"/>
  <c r="W56" i="26"/>
  <c r="Z56" i="26"/>
  <c r="V56" i="26"/>
  <c r="Y56" i="26"/>
  <c r="U56" i="26"/>
  <c r="H36" i="26"/>
  <c r="O67" i="26"/>
  <c r="A19" i="25"/>
  <c r="K18" i="25"/>
  <c r="AB18" i="25"/>
  <c r="X18" i="25"/>
  <c r="C13" i="7"/>
  <c r="A21" i="20"/>
  <c r="X20" i="20"/>
  <c r="K20" i="20"/>
  <c r="AB20" i="20"/>
  <c r="K21" i="17"/>
  <c r="X21" i="17"/>
  <c r="AB21" i="17"/>
  <c r="A22" i="17"/>
  <c r="K18" i="22"/>
  <c r="X18" i="22"/>
  <c r="AB18" i="22"/>
  <c r="A19" i="22"/>
  <c r="K19" i="1"/>
  <c r="L19" i="1"/>
  <c r="AJ19" i="1"/>
  <c r="X19" i="1"/>
  <c r="AK19" i="1"/>
  <c r="AB19" i="1"/>
  <c r="A17" i="18"/>
  <c r="K16" i="18"/>
  <c r="AB16" i="18"/>
  <c r="X16" i="18"/>
  <c r="AB17" i="23"/>
  <c r="K17" i="23"/>
  <c r="A18" i="23"/>
  <c r="X17" i="23"/>
  <c r="A20" i="16"/>
  <c r="K19" i="16"/>
  <c r="AB19" i="16"/>
  <c r="X19" i="16"/>
  <c r="L12" i="17"/>
  <c r="X19" i="24"/>
  <c r="K19" i="24"/>
  <c r="A20" i="24"/>
  <c r="AB19" i="24"/>
  <c r="X18" i="15"/>
  <c r="AB18" i="15"/>
  <c r="K18" i="15"/>
  <c r="A19" i="15"/>
  <c r="I39" i="26"/>
  <c r="H37" i="26"/>
  <c r="O68" i="26"/>
  <c r="AB20" i="16"/>
  <c r="K20" i="16"/>
  <c r="A21" i="16"/>
  <c r="X20" i="16"/>
  <c r="X18" i="23"/>
  <c r="AB18" i="23"/>
  <c r="A19" i="23"/>
  <c r="K18" i="23"/>
  <c r="AJ20" i="1"/>
  <c r="L20" i="1"/>
  <c r="K20" i="1"/>
  <c r="AK20" i="1"/>
  <c r="X20" i="1"/>
  <c r="AB20" i="1"/>
  <c r="X21" i="20"/>
  <c r="K21" i="20"/>
  <c r="AB21" i="20"/>
  <c r="A22" i="20"/>
  <c r="X19" i="15"/>
  <c r="K19" i="15"/>
  <c r="A20" i="15"/>
  <c r="AB19" i="15"/>
  <c r="X20" i="24"/>
  <c r="A21" i="24"/>
  <c r="K20" i="24"/>
  <c r="AB20" i="24"/>
  <c r="L12" i="18"/>
  <c r="AB17" i="18"/>
  <c r="A18" i="18"/>
  <c r="K17" i="18"/>
  <c r="X17" i="18"/>
  <c r="X19" i="22"/>
  <c r="AB19" i="22"/>
  <c r="A20" i="22"/>
  <c r="K19" i="22"/>
  <c r="A23" i="17"/>
  <c r="X22" i="17"/>
  <c r="K22" i="17"/>
  <c r="AB22" i="17"/>
  <c r="X19" i="25"/>
  <c r="K19" i="25"/>
  <c r="A20" i="25"/>
  <c r="AB19" i="25"/>
  <c r="H38" i="26"/>
  <c r="O70" i="26"/>
  <c r="O69" i="26"/>
  <c r="H39" i="26"/>
  <c r="AB20" i="25"/>
  <c r="A21" i="25"/>
  <c r="X20" i="25"/>
  <c r="K20" i="25"/>
  <c r="A24" i="17"/>
  <c r="X23" i="17"/>
  <c r="AB23" i="17"/>
  <c r="K23" i="17"/>
  <c r="X20" i="22"/>
  <c r="K20" i="22"/>
  <c r="A21" i="22"/>
  <c r="AB20" i="22"/>
  <c r="A21" i="15"/>
  <c r="X20" i="15"/>
  <c r="K20" i="15"/>
  <c r="AB20" i="15"/>
  <c r="AJ21" i="1"/>
  <c r="AB21" i="1"/>
  <c r="AK21" i="1"/>
  <c r="L21" i="1"/>
  <c r="X21" i="1"/>
  <c r="K21" i="1"/>
  <c r="X21" i="16"/>
  <c r="A22" i="16"/>
  <c r="AB21" i="16"/>
  <c r="K21" i="16"/>
  <c r="K18" i="18"/>
  <c r="AB18" i="18"/>
  <c r="A19" i="18"/>
  <c r="X18" i="18"/>
  <c r="AB21" i="24"/>
  <c r="X21" i="24"/>
  <c r="A22" i="24"/>
  <c r="K21" i="24"/>
  <c r="K22" i="20"/>
  <c r="X22" i="20"/>
  <c r="AB22" i="20"/>
  <c r="A23" i="20"/>
  <c r="A20" i="23"/>
  <c r="X19" i="23"/>
  <c r="K19" i="23"/>
  <c r="AB19" i="23"/>
  <c r="A73" i="26" a="1"/>
  <c r="X20" i="23"/>
  <c r="AB20" i="23"/>
  <c r="K20" i="23"/>
  <c r="A21" i="23"/>
  <c r="A24" i="20"/>
  <c r="K23" i="20"/>
  <c r="X23" i="20"/>
  <c r="AB23" i="20"/>
  <c r="X22" i="24"/>
  <c r="AB22" i="24"/>
  <c r="A23" i="24"/>
  <c r="K22" i="24"/>
  <c r="AK22" i="1"/>
  <c r="L22" i="1"/>
  <c r="AJ22" i="1"/>
  <c r="K22" i="1"/>
  <c r="X22" i="1"/>
  <c r="AB22" i="1"/>
  <c r="X21" i="25"/>
  <c r="A22" i="25"/>
  <c r="K21" i="25"/>
  <c r="AB21" i="25"/>
  <c r="X19" i="18"/>
  <c r="K19" i="18"/>
  <c r="AB19" i="18"/>
  <c r="A20" i="18"/>
  <c r="X22" i="16"/>
  <c r="A23" i="16"/>
  <c r="AB22" i="16"/>
  <c r="K22" i="16"/>
  <c r="A22" i="15"/>
  <c r="AB21" i="15"/>
  <c r="X21" i="15"/>
  <c r="K21" i="15"/>
  <c r="X21" i="22"/>
  <c r="A22" i="22"/>
  <c r="AB21" i="22"/>
  <c r="K21" i="22"/>
  <c r="AB24" i="17"/>
  <c r="X24" i="17"/>
  <c r="K24" i="17"/>
  <c r="A25" i="17"/>
  <c r="I79" i="26"/>
  <c r="W82" i="26"/>
  <c r="V81" i="26"/>
  <c r="C78" i="26"/>
  <c r="A78" i="26"/>
  <c r="L75" i="26"/>
  <c r="B83" i="26"/>
  <c r="L78" i="26"/>
  <c r="M83" i="26"/>
  <c r="P85" i="26"/>
  <c r="G85" i="26"/>
  <c r="U79" i="26"/>
  <c r="I80" i="26"/>
  <c r="N81" i="26"/>
  <c r="D81" i="26"/>
  <c r="F81" i="26"/>
  <c r="T78" i="26"/>
  <c r="N75" i="26"/>
  <c r="O80" i="26"/>
  <c r="W80" i="26"/>
  <c r="N84" i="26"/>
  <c r="Q74" i="26"/>
  <c r="L79" i="26"/>
  <c r="W78" i="26"/>
  <c r="B79" i="26"/>
  <c r="M81" i="26"/>
  <c r="R82" i="26"/>
  <c r="K75" i="26"/>
  <c r="A76" i="26"/>
  <c r="S75" i="26"/>
  <c r="P79" i="26"/>
  <c r="H77" i="26"/>
  <c r="U75" i="26"/>
  <c r="D82" i="26"/>
  <c r="P74" i="26"/>
  <c r="F76" i="26"/>
  <c r="D74" i="26"/>
  <c r="H80" i="26"/>
  <c r="E81" i="26"/>
  <c r="S81" i="26"/>
  <c r="U81" i="26"/>
  <c r="J75" i="26"/>
  <c r="S82" i="26"/>
  <c r="A81" i="26"/>
  <c r="R74" i="26"/>
  <c r="J84" i="26"/>
  <c r="A73" i="26"/>
  <c r="J78" i="26"/>
  <c r="M84" i="26"/>
  <c r="O75" i="26"/>
  <c r="U80" i="26"/>
  <c r="W81" i="26"/>
  <c r="V78" i="26"/>
  <c r="M75" i="26"/>
  <c r="U82" i="26"/>
  <c r="J79" i="26"/>
  <c r="D84" i="26"/>
  <c r="K74" i="26"/>
  <c r="S73" i="26"/>
  <c r="P76" i="26"/>
  <c r="B85" i="26"/>
  <c r="I81" i="26"/>
  <c r="S74" i="26"/>
  <c r="B76" i="26"/>
  <c r="O83" i="26"/>
  <c r="L82" i="26"/>
  <c r="B81" i="26"/>
  <c r="W76" i="26"/>
  <c r="D76" i="26"/>
  <c r="O73" i="26"/>
  <c r="B82" i="26"/>
  <c r="F83" i="26"/>
  <c r="B80" i="26"/>
  <c r="O84" i="26"/>
  <c r="E79" i="26"/>
  <c r="R79" i="26"/>
  <c r="B75" i="26"/>
  <c r="E84" i="26"/>
  <c r="Q79" i="26"/>
  <c r="L73" i="26"/>
  <c r="N73" i="26"/>
  <c r="L85" i="26"/>
  <c r="P75" i="26"/>
  <c r="S79" i="26"/>
  <c r="R73" i="26"/>
  <c r="G80" i="26"/>
  <c r="O77" i="26"/>
  <c r="A74" i="26"/>
  <c r="A75" i="26"/>
  <c r="H73" i="26"/>
  <c r="R78" i="26"/>
  <c r="T85" i="26"/>
  <c r="V85" i="26"/>
  <c r="K76" i="26"/>
  <c r="F77" i="26"/>
  <c r="K85" i="26"/>
  <c r="E74" i="26"/>
  <c r="S83" i="26"/>
  <c r="H84" i="26"/>
  <c r="A80" i="26"/>
  <c r="H74" i="26"/>
  <c r="O78" i="26"/>
  <c r="K73" i="26"/>
  <c r="W83" i="26"/>
  <c r="M73" i="26"/>
  <c r="W74" i="26"/>
  <c r="C77" i="26"/>
  <c r="A85" i="26"/>
  <c r="V84" i="26"/>
  <c r="T74" i="26"/>
  <c r="Q75" i="26"/>
  <c r="H82" i="26"/>
  <c r="V77" i="26"/>
  <c r="K81" i="26"/>
  <c r="F82" i="26"/>
  <c r="C73" i="26"/>
  <c r="A83" i="26"/>
  <c r="G82" i="26"/>
  <c r="T75" i="26"/>
  <c r="G73" i="26"/>
  <c r="P78" i="26"/>
  <c r="E76" i="26"/>
  <c r="E80" i="26"/>
  <c r="V76" i="26"/>
  <c r="I84" i="26"/>
  <c r="W77" i="26"/>
  <c r="G77" i="26"/>
  <c r="U74" i="26"/>
  <c r="H79" i="26"/>
  <c r="J77" i="26"/>
  <c r="F74" i="26"/>
  <c r="T76" i="26"/>
  <c r="E77" i="26"/>
  <c r="L74" i="26"/>
  <c r="B73" i="26"/>
  <c r="R84" i="26"/>
  <c r="M74" i="26"/>
  <c r="T80" i="26"/>
  <c r="J83" i="26"/>
  <c r="Q83" i="26"/>
  <c r="B78" i="26"/>
  <c r="L83" i="26"/>
  <c r="J73" i="26"/>
  <c r="U76" i="26"/>
  <c r="K82" i="26"/>
  <c r="M82" i="26"/>
  <c r="Q82" i="26"/>
  <c r="T84" i="26"/>
  <c r="W73" i="26"/>
  <c r="T79" i="26"/>
  <c r="N76" i="26"/>
  <c r="I77" i="26"/>
  <c r="O74" i="26"/>
  <c r="N74" i="26"/>
  <c r="I83" i="26"/>
  <c r="U73" i="26"/>
  <c r="F75" i="26"/>
  <c r="F78" i="26"/>
  <c r="Q81" i="26"/>
  <c r="G74" i="26"/>
  <c r="Q85" i="26"/>
  <c r="O79" i="26"/>
  <c r="L76" i="26"/>
  <c r="U77" i="26"/>
  <c r="M79" i="26"/>
  <c r="M76" i="26"/>
  <c r="I85" i="26"/>
  <c r="P84" i="26"/>
  <c r="G81" i="26"/>
  <c r="K79" i="26"/>
  <c r="K84" i="26"/>
  <c r="U85" i="26"/>
  <c r="S84" i="26"/>
  <c r="I75" i="26"/>
  <c r="N85" i="26"/>
  <c r="K78" i="26"/>
  <c r="L77" i="26"/>
  <c r="G78" i="26"/>
  <c r="R85" i="26"/>
  <c r="W79" i="26"/>
  <c r="W85" i="26"/>
  <c r="S85" i="26"/>
  <c r="H83" i="26"/>
  <c r="G75" i="26"/>
  <c r="B74" i="26"/>
  <c r="P73" i="26"/>
  <c r="V74" i="26"/>
  <c r="A79" i="26"/>
  <c r="J74" i="26"/>
  <c r="M78" i="26"/>
  <c r="H81" i="26"/>
  <c r="V82" i="26"/>
  <c r="L81" i="26"/>
  <c r="O81" i="26"/>
  <c r="Q77" i="26"/>
  <c r="H75" i="26"/>
  <c r="S77" i="26"/>
  <c r="S80" i="26"/>
  <c r="C81" i="26"/>
  <c r="N78" i="26"/>
  <c r="K77" i="26"/>
  <c r="Q76" i="26"/>
  <c r="F84" i="26"/>
  <c r="R77" i="26"/>
  <c r="A82" i="26"/>
  <c r="P77" i="26"/>
  <c r="D80" i="26"/>
  <c r="Q78" i="26"/>
  <c r="G84" i="26"/>
  <c r="I74" i="26"/>
  <c r="E78" i="26"/>
  <c r="A84" i="26"/>
  <c r="P80" i="26"/>
  <c r="G83" i="26"/>
  <c r="T81" i="26"/>
  <c r="U78" i="26"/>
  <c r="F79" i="26"/>
  <c r="T73" i="26"/>
  <c r="M77" i="26"/>
  <c r="C75" i="26"/>
  <c r="F73" i="26"/>
  <c r="I82" i="26"/>
  <c r="N82" i="26"/>
  <c r="M85" i="26"/>
  <c r="O76" i="26"/>
  <c r="B77" i="26"/>
  <c r="E75" i="26"/>
  <c r="V73" i="26"/>
  <c r="C84" i="26"/>
  <c r="N80" i="26"/>
  <c r="T82" i="26"/>
  <c r="R83" i="26"/>
  <c r="F85" i="26"/>
  <c r="J81" i="26"/>
  <c r="J80" i="26"/>
  <c r="H78" i="26"/>
  <c r="C76" i="26"/>
  <c r="C83" i="26"/>
  <c r="F80" i="26"/>
  <c r="P81" i="26"/>
  <c r="C80" i="26"/>
  <c r="S78" i="26"/>
  <c r="D85" i="26"/>
  <c r="E82" i="26"/>
  <c r="D79" i="26"/>
  <c r="Q84" i="26"/>
  <c r="O85" i="26"/>
  <c r="D75" i="26"/>
  <c r="E83" i="26"/>
  <c r="G76" i="26"/>
  <c r="J82" i="26"/>
  <c r="E73" i="26"/>
  <c r="Q80" i="26"/>
  <c r="I73" i="26"/>
  <c r="S76" i="26"/>
  <c r="R75" i="26"/>
  <c r="V79" i="26"/>
  <c r="K80" i="26"/>
  <c r="T83" i="26"/>
  <c r="K83" i="26"/>
  <c r="A77" i="26"/>
  <c r="V83" i="26"/>
  <c r="U84" i="26"/>
  <c r="C82" i="26"/>
  <c r="P82" i="26"/>
  <c r="N83" i="26"/>
  <c r="D83" i="26"/>
  <c r="G79" i="26"/>
  <c r="N77" i="26"/>
  <c r="T77" i="26"/>
  <c r="W75" i="26"/>
  <c r="H76" i="26"/>
  <c r="I76" i="26"/>
  <c r="R81" i="26"/>
  <c r="H85" i="26"/>
  <c r="J76" i="26"/>
  <c r="J85" i="26"/>
  <c r="N79" i="26"/>
  <c r="D73" i="26"/>
  <c r="O82" i="26"/>
  <c r="C85" i="26"/>
  <c r="C79" i="26"/>
  <c r="V80" i="26"/>
  <c r="E85" i="26"/>
  <c r="L84" i="26"/>
  <c r="L80" i="26"/>
  <c r="D78" i="26"/>
  <c r="B84" i="26"/>
  <c r="C74" i="26"/>
  <c r="V75" i="26"/>
  <c r="R76" i="26"/>
  <c r="P83" i="26"/>
  <c r="Q73" i="26"/>
  <c r="D77" i="26"/>
  <c r="R80" i="26"/>
  <c r="I78" i="26"/>
  <c r="W84" i="26"/>
  <c r="U83" i="26"/>
  <c r="M80" i="26"/>
  <c r="AB22" i="22"/>
  <c r="K22" i="22"/>
  <c r="A23" i="22"/>
  <c r="X22" i="22"/>
  <c r="X23" i="16"/>
  <c r="AB23" i="16"/>
  <c r="A24" i="16"/>
  <c r="K23" i="16"/>
  <c r="X20" i="18"/>
  <c r="A21" i="18"/>
  <c r="AB20" i="18"/>
  <c r="K20" i="18"/>
  <c r="X23" i="24"/>
  <c r="A24" i="24"/>
  <c r="AB23" i="24"/>
  <c r="K23" i="24"/>
  <c r="K24" i="20"/>
  <c r="X24" i="20"/>
  <c r="AB24" i="20"/>
  <c r="A25" i="20"/>
  <c r="K21" i="23"/>
  <c r="A22" i="23"/>
  <c r="AB21" i="23"/>
  <c r="X21" i="23"/>
  <c r="K25" i="17"/>
  <c r="X25" i="17"/>
  <c r="A26" i="17"/>
  <c r="AB25" i="17"/>
  <c r="AB22" i="15"/>
  <c r="X22" i="15"/>
  <c r="K22" i="15"/>
  <c r="A23" i="15"/>
  <c r="A23" i="25"/>
  <c r="AB22" i="25"/>
  <c r="K22" i="25"/>
  <c r="X22" i="25"/>
  <c r="AJ23" i="1"/>
  <c r="X23" i="1"/>
  <c r="L23" i="1"/>
  <c r="AB23" i="1"/>
  <c r="AK23" i="1"/>
  <c r="K23" i="1"/>
  <c r="X23" i="25"/>
  <c r="A24" i="25"/>
  <c r="K23" i="25"/>
  <c r="AB23" i="25"/>
  <c r="X23" i="15"/>
  <c r="A24" i="15"/>
  <c r="AB23" i="15"/>
  <c r="K23" i="15"/>
  <c r="AB22" i="23"/>
  <c r="A23" i="23"/>
  <c r="K22" i="23"/>
  <c r="X22" i="23"/>
  <c r="A26" i="20"/>
  <c r="AB25" i="20"/>
  <c r="K25" i="20"/>
  <c r="X25" i="20"/>
  <c r="A24" i="22"/>
  <c r="AB23" i="22"/>
  <c r="X23" i="22"/>
  <c r="K23" i="22"/>
  <c r="AJ24" i="1"/>
  <c r="AB24" i="1"/>
  <c r="L24" i="1"/>
  <c r="AK24" i="1"/>
  <c r="X24" i="1"/>
  <c r="K24" i="1"/>
  <c r="K26" i="17"/>
  <c r="A27" i="17"/>
  <c r="AB26" i="17"/>
  <c r="X26" i="17"/>
  <c r="A25" i="24"/>
  <c r="X24" i="24"/>
  <c r="K24" i="24"/>
  <c r="AB24" i="24"/>
  <c r="K21" i="18"/>
  <c r="A22" i="18"/>
  <c r="AB21" i="18"/>
  <c r="X21" i="18"/>
  <c r="X24" i="16"/>
  <c r="AB24" i="16"/>
  <c r="A25" i="16"/>
  <c r="K24" i="16"/>
  <c r="AB25" i="16"/>
  <c r="K25" i="16"/>
  <c r="X25" i="16"/>
  <c r="A26" i="16"/>
  <c r="K25" i="24"/>
  <c r="X25" i="24"/>
  <c r="AB25" i="24"/>
  <c r="A26" i="24"/>
  <c r="K27" i="17"/>
  <c r="AB27" i="17"/>
  <c r="X27" i="17"/>
  <c r="A28" i="17"/>
  <c r="AK25" i="1"/>
  <c r="X25" i="1"/>
  <c r="AB25" i="1"/>
  <c r="K25" i="1"/>
  <c r="AJ25" i="1"/>
  <c r="L25" i="1"/>
  <c r="K26" i="20"/>
  <c r="X26" i="20"/>
  <c r="AB26" i="20"/>
  <c r="A27" i="20"/>
  <c r="X23" i="23"/>
  <c r="A24" i="23"/>
  <c r="K23" i="23"/>
  <c r="AB23" i="23"/>
  <c r="X24" i="25"/>
  <c r="K24" i="25"/>
  <c r="A25" i="25"/>
  <c r="AB24" i="25"/>
  <c r="K22" i="18"/>
  <c r="A23" i="18"/>
  <c r="AB22" i="18"/>
  <c r="X22" i="18"/>
  <c r="AB24" i="22"/>
  <c r="K24" i="22"/>
  <c r="X24" i="22"/>
  <c r="A25" i="22"/>
  <c r="X24" i="15"/>
  <c r="A25" i="15"/>
  <c r="AB24" i="15"/>
  <c r="K24" i="15"/>
  <c r="K25" i="22"/>
  <c r="AB25" i="22"/>
  <c r="X25" i="22"/>
  <c r="A26" i="22"/>
  <c r="AB25" i="25"/>
  <c r="K25" i="25"/>
  <c r="A26" i="25"/>
  <c r="X25" i="25"/>
  <c r="AK26" i="1"/>
  <c r="L26" i="1"/>
  <c r="K26" i="1"/>
  <c r="AJ26" i="1"/>
  <c r="X26" i="1"/>
  <c r="AB26" i="1"/>
  <c r="X28" i="17"/>
  <c r="A29" i="17"/>
  <c r="AB28" i="17"/>
  <c r="K28" i="17"/>
  <c r="K25" i="15"/>
  <c r="AB25" i="15"/>
  <c r="X25" i="15"/>
  <c r="A26" i="15"/>
  <c r="K23" i="18"/>
  <c r="A24" i="18"/>
  <c r="AB23" i="18"/>
  <c r="X23" i="18"/>
  <c r="A25" i="23"/>
  <c r="X24" i="23"/>
  <c r="K24" i="23"/>
  <c r="AB24" i="23"/>
  <c r="X27" i="20"/>
  <c r="AB27" i="20"/>
  <c r="K27" i="20"/>
  <c r="A28" i="20"/>
  <c r="K26" i="24"/>
  <c r="AB26" i="24"/>
  <c r="A27" i="24"/>
  <c r="X26" i="24"/>
  <c r="K26" i="16"/>
  <c r="AB26" i="16"/>
  <c r="X26" i="16"/>
  <c r="A27" i="16"/>
  <c r="A26" i="23"/>
  <c r="X25" i="23"/>
  <c r="AB25" i="23"/>
  <c r="K25" i="23"/>
  <c r="AB29" i="17"/>
  <c r="A56" i="7"/>
  <c r="X29" i="17"/>
  <c r="A30" i="17"/>
  <c r="K29" i="17"/>
  <c r="L27" i="1"/>
  <c r="K27" i="1"/>
  <c r="AB27" i="1"/>
  <c r="AK27" i="1"/>
  <c r="AJ27" i="1"/>
  <c r="X27" i="1"/>
  <c r="X26" i="25"/>
  <c r="A27" i="25"/>
  <c r="AB26" i="25"/>
  <c r="K26" i="25"/>
  <c r="X26" i="22"/>
  <c r="A27" i="22"/>
  <c r="AB26" i="22"/>
  <c r="K26" i="22"/>
  <c r="AB27" i="16"/>
  <c r="A28" i="16"/>
  <c r="X27" i="16"/>
  <c r="K27" i="16"/>
  <c r="AB27" i="24"/>
  <c r="K27" i="24"/>
  <c r="X27" i="24"/>
  <c r="A28" i="24"/>
  <c r="A29" i="20"/>
  <c r="K28" i="20"/>
  <c r="X28" i="20"/>
  <c r="AB28" i="20"/>
  <c r="A25" i="18"/>
  <c r="X24" i="18"/>
  <c r="K24" i="18"/>
  <c r="AB24" i="18"/>
  <c r="K26" i="15"/>
  <c r="X26" i="15"/>
  <c r="A27" i="15"/>
  <c r="AB26" i="15"/>
  <c r="X27" i="15"/>
  <c r="K27" i="15"/>
  <c r="A28" i="15"/>
  <c r="AB27" i="15"/>
  <c r="AB29" i="20"/>
  <c r="K29" i="20"/>
  <c r="X29" i="20"/>
  <c r="A30" i="20"/>
  <c r="AE20" i="7"/>
  <c r="X28" i="24"/>
  <c r="K28" i="24"/>
  <c r="AB28" i="24"/>
  <c r="A29" i="24"/>
  <c r="AB27" i="22"/>
  <c r="A28" i="22"/>
  <c r="K27" i="22"/>
  <c r="X27" i="22"/>
  <c r="AB27" i="25"/>
  <c r="A28" i="25"/>
  <c r="K27" i="25"/>
  <c r="X27" i="25"/>
  <c r="AK28" i="1"/>
  <c r="K28" i="1"/>
  <c r="X28" i="1"/>
  <c r="AB28" i="1"/>
  <c r="AJ28" i="1"/>
  <c r="L28" i="1"/>
  <c r="A31" i="17"/>
  <c r="X30" i="17"/>
  <c r="AB30" i="17"/>
  <c r="K30" i="17"/>
  <c r="AB26" i="23"/>
  <c r="K26" i="23"/>
  <c r="A27" i="23"/>
  <c r="X26" i="23"/>
  <c r="AB25" i="18"/>
  <c r="K25" i="18"/>
  <c r="X25" i="18"/>
  <c r="A26" i="18"/>
  <c r="A29" i="16"/>
  <c r="AB28" i="16"/>
  <c r="K28" i="16"/>
  <c r="X28" i="16"/>
  <c r="A30" i="16"/>
  <c r="K29" i="16"/>
  <c r="AB29" i="16"/>
  <c r="X29" i="16"/>
  <c r="A44" i="7"/>
  <c r="X26" i="18"/>
  <c r="A27" i="18"/>
  <c r="K26" i="18"/>
  <c r="AB26" i="18"/>
  <c r="X28" i="22"/>
  <c r="A29" i="22"/>
  <c r="AB28" i="22"/>
  <c r="K28" i="22"/>
  <c r="X30" i="20"/>
  <c r="K30" i="20"/>
  <c r="A31" i="20"/>
  <c r="AB30" i="20"/>
  <c r="AB28" i="15"/>
  <c r="A29" i="15"/>
  <c r="X28" i="15"/>
  <c r="K28" i="15"/>
  <c r="A28" i="23"/>
  <c r="AB27" i="23"/>
  <c r="X27" i="23"/>
  <c r="K27" i="23"/>
  <c r="AB31" i="17"/>
  <c r="K31" i="17"/>
  <c r="A32" i="17"/>
  <c r="X31" i="17"/>
  <c r="AJ29" i="1"/>
  <c r="K29" i="1"/>
  <c r="A20" i="7"/>
  <c r="L29" i="1"/>
  <c r="B20" i="7" s="1"/>
  <c r="AK29" i="1"/>
  <c r="AB29" i="1"/>
  <c r="X29" i="1"/>
  <c r="K28" i="25"/>
  <c r="A29" i="25"/>
  <c r="X28" i="25"/>
  <c r="AB28" i="25"/>
  <c r="K29" i="24"/>
  <c r="X29" i="24"/>
  <c r="AB29" i="24"/>
  <c r="A30" i="24"/>
  <c r="AE56" i="7"/>
  <c r="K30" i="24"/>
  <c r="X30" i="24"/>
  <c r="A31" i="24"/>
  <c r="AB30" i="24"/>
  <c r="X28" i="23"/>
  <c r="K28" i="23"/>
  <c r="AB28" i="23"/>
  <c r="A29" i="23"/>
  <c r="X29" i="25"/>
  <c r="AE68" i="7"/>
  <c r="K29" i="25"/>
  <c r="A30" i="25"/>
  <c r="AB29" i="25"/>
  <c r="AJ30" i="1"/>
  <c r="L30" i="1"/>
  <c r="AK30" i="1"/>
  <c r="AB30" i="1"/>
  <c r="X30" i="1"/>
  <c r="K30" i="1"/>
  <c r="AB32" i="17"/>
  <c r="A33" i="17"/>
  <c r="X32" i="17"/>
  <c r="K32" i="17"/>
  <c r="K29" i="15"/>
  <c r="AB29" i="15"/>
  <c r="X29" i="15"/>
  <c r="A30" i="15"/>
  <c r="A32" i="7"/>
  <c r="A32" i="20"/>
  <c r="AB31" i="20"/>
  <c r="K31" i="20"/>
  <c r="X31" i="20"/>
  <c r="A30" i="22"/>
  <c r="AE32" i="7"/>
  <c r="K29" i="22"/>
  <c r="X29" i="22"/>
  <c r="AB29" i="22"/>
  <c r="A28" i="18"/>
  <c r="AB27" i="18"/>
  <c r="X27" i="18"/>
  <c r="K27" i="18"/>
  <c r="K30" i="16"/>
  <c r="A31" i="16"/>
  <c r="AB30" i="16"/>
  <c r="X30" i="16"/>
  <c r="K28" i="18"/>
  <c r="X28" i="18"/>
  <c r="AB28" i="18"/>
  <c r="A29" i="18"/>
  <c r="X33" i="17"/>
  <c r="K33" i="17"/>
  <c r="A34" i="17"/>
  <c r="AB33" i="17"/>
  <c r="K31" i="24"/>
  <c r="A32" i="24"/>
  <c r="X31" i="24"/>
  <c r="AB31" i="24"/>
  <c r="X31" i="16"/>
  <c r="AB31" i="16"/>
  <c r="K31" i="16"/>
  <c r="A32" i="16"/>
  <c r="K30" i="22"/>
  <c r="X30" i="22"/>
  <c r="A31" i="22"/>
  <c r="AB30" i="22"/>
  <c r="K32" i="20"/>
  <c r="AB32" i="20"/>
  <c r="A33" i="20"/>
  <c r="X32" i="20"/>
  <c r="X30" i="15"/>
  <c r="AB30" i="15"/>
  <c r="A31" i="15"/>
  <c r="K30" i="15"/>
  <c r="AK31" i="1"/>
  <c r="AB31" i="1"/>
  <c r="K31" i="1"/>
  <c r="AJ31" i="1"/>
  <c r="L31" i="1"/>
  <c r="X31" i="1"/>
  <c r="A31" i="25"/>
  <c r="X30" i="25"/>
  <c r="AB30" i="25"/>
  <c r="K30" i="25"/>
  <c r="A30" i="23"/>
  <c r="AB29" i="23"/>
  <c r="X29" i="23"/>
  <c r="AE44" i="7"/>
  <c r="K29" i="23"/>
  <c r="A32" i="25"/>
  <c r="AB31" i="25"/>
  <c r="X31" i="25"/>
  <c r="K31" i="25"/>
  <c r="AK32" i="1"/>
  <c r="L32" i="1"/>
  <c r="K32" i="1"/>
  <c r="X32" i="1"/>
  <c r="AB32" i="1"/>
  <c r="AJ32" i="1"/>
  <c r="K33" i="20"/>
  <c r="X33" i="20"/>
  <c r="A34" i="20"/>
  <c r="AB33" i="20"/>
  <c r="AB34" i="17"/>
  <c r="X34" i="17"/>
  <c r="A35" i="17"/>
  <c r="K34" i="17"/>
  <c r="K30" i="23"/>
  <c r="X30" i="23"/>
  <c r="AB30" i="23"/>
  <c r="A31" i="23"/>
  <c r="A32" i="15"/>
  <c r="AB31" i="15"/>
  <c r="K31" i="15"/>
  <c r="X31" i="15"/>
  <c r="AB31" i="22"/>
  <c r="X31" i="22"/>
  <c r="A32" i="22"/>
  <c r="K31" i="22"/>
  <c r="AB32" i="16"/>
  <c r="X32" i="16"/>
  <c r="K32" i="16"/>
  <c r="A33" i="16"/>
  <c r="X32" i="24"/>
  <c r="K32" i="24"/>
  <c r="AB32" i="24"/>
  <c r="A33" i="24"/>
  <c r="X29" i="18"/>
  <c r="K29" i="18"/>
  <c r="A68" i="7"/>
  <c r="A30" i="18"/>
  <c r="AB29" i="18"/>
  <c r="X32" i="22"/>
  <c r="K32" i="22"/>
  <c r="A33" i="22"/>
  <c r="AB32" i="22"/>
  <c r="X32" i="15"/>
  <c r="A33" i="15"/>
  <c r="K32" i="15"/>
  <c r="AB32" i="15"/>
  <c r="X31" i="23"/>
  <c r="A32" i="23"/>
  <c r="K31" i="23"/>
  <c r="AB31" i="23"/>
  <c r="AJ33" i="1"/>
  <c r="K33" i="1"/>
  <c r="AB33" i="1"/>
  <c r="X33" i="1"/>
  <c r="AK33" i="1"/>
  <c r="L33" i="1"/>
  <c r="A31" i="18"/>
  <c r="X30" i="18"/>
  <c r="K30" i="18"/>
  <c r="AB30" i="18"/>
  <c r="K33" i="24"/>
  <c r="X33" i="24"/>
  <c r="AB33" i="24"/>
  <c r="A34" i="24"/>
  <c r="K33" i="16"/>
  <c r="A34" i="16"/>
  <c r="X33" i="16"/>
  <c r="AB33" i="16"/>
  <c r="AB35" i="17"/>
  <c r="A36" i="17"/>
  <c r="X35" i="17"/>
  <c r="K35" i="17"/>
  <c r="K34" i="20"/>
  <c r="A35" i="20"/>
  <c r="X34" i="20"/>
  <c r="AB34" i="20"/>
  <c r="A33" i="25"/>
  <c r="X32" i="25"/>
  <c r="AB32" i="25"/>
  <c r="K32" i="25"/>
  <c r="K33" i="25"/>
  <c r="AB33" i="25"/>
  <c r="A34" i="25"/>
  <c r="X33" i="25"/>
  <c r="AB35" i="20"/>
  <c r="X35" i="20"/>
  <c r="K35" i="20"/>
  <c r="A36" i="20"/>
  <c r="A37" i="17"/>
  <c r="K36" i="17"/>
  <c r="AB36" i="17"/>
  <c r="X36" i="17"/>
  <c r="AB34" i="16"/>
  <c r="K34" i="16"/>
  <c r="A35" i="16"/>
  <c r="X34" i="16"/>
  <c r="A35" i="24"/>
  <c r="AB34" i="24"/>
  <c r="K34" i="24"/>
  <c r="X34" i="24"/>
  <c r="AJ34" i="1"/>
  <c r="L34" i="1"/>
  <c r="AB34" i="1"/>
  <c r="K34" i="1"/>
  <c r="AK34" i="1"/>
  <c r="X34" i="1"/>
  <c r="K32" i="23"/>
  <c r="X32" i="23"/>
  <c r="A33" i="23"/>
  <c r="AB32" i="23"/>
  <c r="K33" i="15"/>
  <c r="A34" i="15"/>
  <c r="X33" i="15"/>
  <c r="AB33" i="15"/>
  <c r="K31" i="18"/>
  <c r="X31" i="18"/>
  <c r="A32" i="18"/>
  <c r="AB31" i="18"/>
  <c r="AB33" i="22"/>
  <c r="K33" i="22"/>
  <c r="X33" i="22"/>
  <c r="A34" i="22"/>
  <c r="AB32" i="18"/>
  <c r="K32" i="18"/>
  <c r="A33" i="18"/>
  <c r="X32" i="18"/>
  <c r="K34" i="15"/>
  <c r="AB34" i="15"/>
  <c r="A35" i="15"/>
  <c r="X34" i="15"/>
  <c r="A34" i="23"/>
  <c r="AB33" i="23"/>
  <c r="X33" i="23"/>
  <c r="K33" i="23"/>
  <c r="AK35" i="1"/>
  <c r="K35" i="1"/>
  <c r="L35" i="1"/>
  <c r="AB35" i="1"/>
  <c r="AJ35" i="1"/>
  <c r="X35" i="1"/>
  <c r="AB35" i="24"/>
  <c r="X35" i="24"/>
  <c r="K35" i="24"/>
  <c r="A36" i="24"/>
  <c r="A36" i="16"/>
  <c r="X35" i="16"/>
  <c r="K35" i="16"/>
  <c r="AB35" i="16"/>
  <c r="K37" i="17"/>
  <c r="AB37" i="17"/>
  <c r="X37" i="17"/>
  <c r="A38" i="17"/>
  <c r="A37" i="20"/>
  <c r="AB36" i="20"/>
  <c r="K36" i="20"/>
  <c r="X36" i="20"/>
  <c r="X34" i="25"/>
  <c r="AB34" i="25"/>
  <c r="K34" i="25"/>
  <c r="A35" i="25"/>
  <c r="AB34" i="22"/>
  <c r="K34" i="22"/>
  <c r="A35" i="22"/>
  <c r="X34" i="22"/>
  <c r="AB38" i="17"/>
  <c r="X38" i="17"/>
  <c r="A39" i="17"/>
  <c r="K38" i="17"/>
  <c r="X36" i="16"/>
  <c r="AB36" i="16"/>
  <c r="K36" i="16"/>
  <c r="A37" i="16"/>
  <c r="A34" i="18"/>
  <c r="X33" i="18"/>
  <c r="K33" i="18"/>
  <c r="AB33" i="18"/>
  <c r="K35" i="22"/>
  <c r="A36" i="22"/>
  <c r="AB35" i="22"/>
  <c r="X35" i="22"/>
  <c r="X35" i="25"/>
  <c r="A36" i="25"/>
  <c r="K35" i="25"/>
  <c r="AB35" i="25"/>
  <c r="X37" i="20"/>
  <c r="AB37" i="20"/>
  <c r="K37" i="20"/>
  <c r="A38" i="20"/>
  <c r="K36" i="24"/>
  <c r="A37" i="24"/>
  <c r="X36" i="24"/>
  <c r="AB36" i="24"/>
  <c r="AJ36" i="1"/>
  <c r="K36" i="1"/>
  <c r="AB36" i="1"/>
  <c r="L36" i="1"/>
  <c r="AK36" i="1"/>
  <c r="X36" i="1"/>
  <c r="K34" i="23"/>
  <c r="AB34" i="23"/>
  <c r="X34" i="23"/>
  <c r="A35" i="23"/>
  <c r="A36" i="15"/>
  <c r="AB35" i="15"/>
  <c r="X35" i="15"/>
  <c r="K35" i="15"/>
  <c r="AJ37" i="1"/>
  <c r="X37" i="1"/>
  <c r="AK37" i="1"/>
  <c r="AB37" i="1"/>
  <c r="K37" i="1"/>
  <c r="L37" i="1"/>
  <c r="K37" i="16"/>
  <c r="X37" i="16"/>
  <c r="A38" i="16"/>
  <c r="AB37" i="16"/>
  <c r="A37" i="15"/>
  <c r="AB36" i="15"/>
  <c r="X36" i="15"/>
  <c r="K36" i="15"/>
  <c r="A36" i="23"/>
  <c r="K35" i="23"/>
  <c r="AB35" i="23"/>
  <c r="X35" i="23"/>
  <c r="K37" i="24"/>
  <c r="AB37" i="24"/>
  <c r="A38" i="24"/>
  <c r="X37" i="24"/>
  <c r="X38" i="20"/>
  <c r="K38" i="20"/>
  <c r="AB38" i="20"/>
  <c r="A39" i="20"/>
  <c r="A37" i="25"/>
  <c r="AB36" i="25"/>
  <c r="X36" i="25"/>
  <c r="K36" i="25"/>
  <c r="K36" i="22"/>
  <c r="A37" i="22"/>
  <c r="X36" i="22"/>
  <c r="AB36" i="22"/>
  <c r="AB34" i="18"/>
  <c r="X34" i="18"/>
  <c r="K34" i="18"/>
  <c r="A35" i="18"/>
  <c r="A40" i="17"/>
  <c r="AB39" i="17"/>
  <c r="K39" i="17"/>
  <c r="X39" i="17"/>
  <c r="X40" i="17"/>
  <c r="K40" i="17"/>
  <c r="A41" i="17"/>
  <c r="AB40" i="17"/>
  <c r="AB35" i="18"/>
  <c r="K35" i="18"/>
  <c r="A36" i="18"/>
  <c r="X35" i="18"/>
  <c r="X38" i="16"/>
  <c r="AB38" i="16"/>
  <c r="K38" i="16"/>
  <c r="A39" i="16"/>
  <c r="K37" i="22"/>
  <c r="X37" i="22"/>
  <c r="AB37" i="22"/>
  <c r="A38" i="22"/>
  <c r="A38" i="25"/>
  <c r="X37" i="25"/>
  <c r="K37" i="25"/>
  <c r="AB37" i="25"/>
  <c r="AB39" i="20"/>
  <c r="K39" i="20"/>
  <c r="A40" i="20"/>
  <c r="X39" i="20"/>
  <c r="AB38" i="24"/>
  <c r="K38" i="24"/>
  <c r="X38" i="24"/>
  <c r="A39" i="24"/>
  <c r="X36" i="23"/>
  <c r="A37" i="23"/>
  <c r="K36" i="23"/>
  <c r="AB36" i="23"/>
  <c r="K37" i="15"/>
  <c r="X37" i="15"/>
  <c r="A38" i="15"/>
  <c r="AB37" i="15"/>
  <c r="AJ38" i="1"/>
  <c r="AB38" i="1"/>
  <c r="L38" i="1"/>
  <c r="X38" i="1"/>
  <c r="K38" i="1"/>
  <c r="AK38" i="1"/>
  <c r="A41" i="20"/>
  <c r="AB40" i="20"/>
  <c r="X40" i="20"/>
  <c r="K40" i="20"/>
  <c r="K38" i="22"/>
  <c r="AB38" i="22"/>
  <c r="A39" i="22"/>
  <c r="X38" i="22"/>
  <c r="A40" i="16"/>
  <c r="K39" i="16"/>
  <c r="AB39" i="16"/>
  <c r="X39" i="16"/>
  <c r="AB41" i="17"/>
  <c r="K41" i="17"/>
  <c r="A42" i="17"/>
  <c r="X41" i="17"/>
  <c r="AK39" i="1"/>
  <c r="K39" i="1"/>
  <c r="X39" i="1"/>
  <c r="L39" i="1"/>
  <c r="AJ39" i="1"/>
  <c r="AB39" i="1"/>
  <c r="A39" i="15"/>
  <c r="K38" i="15"/>
  <c r="X38" i="15"/>
  <c r="AB38" i="15"/>
  <c r="X37" i="23"/>
  <c r="AB37" i="23"/>
  <c r="K37" i="23"/>
  <c r="A38" i="23"/>
  <c r="A40" i="24"/>
  <c r="K39" i="24"/>
  <c r="AB39" i="24"/>
  <c r="X39" i="24"/>
  <c r="X38" i="25"/>
  <c r="AB38" i="25"/>
  <c r="K38" i="25"/>
  <c r="A39" i="25"/>
  <c r="X36" i="18"/>
  <c r="A37" i="18"/>
  <c r="K36" i="18"/>
  <c r="AB36" i="18"/>
  <c r="A40" i="25"/>
  <c r="K39" i="25"/>
  <c r="AB39" i="25"/>
  <c r="X39" i="25"/>
  <c r="K38" i="23"/>
  <c r="A39" i="23"/>
  <c r="AB38" i="23"/>
  <c r="X38" i="23"/>
  <c r="AB39" i="15"/>
  <c r="X39" i="15"/>
  <c r="K39" i="15"/>
  <c r="A40" i="15"/>
  <c r="AJ40" i="1"/>
  <c r="X40" i="1"/>
  <c r="K40" i="1"/>
  <c r="AK40" i="1"/>
  <c r="AB40" i="1"/>
  <c r="L40" i="1"/>
  <c r="AB40" i="16"/>
  <c r="A41" i="16"/>
  <c r="X40" i="16"/>
  <c r="K40" i="16"/>
  <c r="A42" i="20"/>
  <c r="X41" i="20"/>
  <c r="AB41" i="20"/>
  <c r="K41" i="20"/>
  <c r="X37" i="18"/>
  <c r="A38" i="18"/>
  <c r="AB37" i="18"/>
  <c r="K37" i="18"/>
  <c r="X40" i="24"/>
  <c r="A41" i="24"/>
  <c r="K40" i="24"/>
  <c r="AB40" i="24"/>
  <c r="A43" i="17"/>
  <c r="X42" i="17"/>
  <c r="K42" i="17"/>
  <c r="AB42" i="17"/>
  <c r="A40" i="22"/>
  <c r="K39" i="22"/>
  <c r="X39" i="22"/>
  <c r="AB39" i="22"/>
  <c r="K43" i="17"/>
  <c r="X43" i="17"/>
  <c r="A44" i="17"/>
  <c r="AB43" i="17"/>
  <c r="K41" i="24"/>
  <c r="A42" i="24"/>
  <c r="X41" i="24"/>
  <c r="AB41" i="24"/>
  <c r="A43" i="20"/>
  <c r="X42" i="20"/>
  <c r="AB42" i="20"/>
  <c r="K42" i="20"/>
  <c r="K41" i="16"/>
  <c r="X41" i="16"/>
  <c r="A42" i="16"/>
  <c r="AB41" i="16"/>
  <c r="AK41" i="1"/>
  <c r="X41" i="1"/>
  <c r="AB41" i="1"/>
  <c r="L41" i="1"/>
  <c r="AJ41" i="1"/>
  <c r="K41" i="1"/>
  <c r="X40" i="15"/>
  <c r="K40" i="15"/>
  <c r="A41" i="15"/>
  <c r="AB40" i="15"/>
  <c r="X39" i="23"/>
  <c r="A40" i="23"/>
  <c r="K39" i="23"/>
  <c r="AB39" i="23"/>
  <c r="AB40" i="25"/>
  <c r="A41" i="25"/>
  <c r="K40" i="25"/>
  <c r="X40" i="25"/>
  <c r="X40" i="22"/>
  <c r="A41" i="22"/>
  <c r="K40" i="22"/>
  <c r="AB40" i="22"/>
  <c r="A39" i="18"/>
  <c r="K38" i="18"/>
  <c r="X38" i="18"/>
  <c r="AB38" i="18"/>
  <c r="K39" i="18"/>
  <c r="A40" i="18"/>
  <c r="X39" i="18"/>
  <c r="AB39" i="18"/>
  <c r="K41" i="22"/>
  <c r="X41" i="22"/>
  <c r="A42" i="22"/>
  <c r="AB41" i="22"/>
  <c r="AB40" i="23"/>
  <c r="K40" i="23"/>
  <c r="X40" i="23"/>
  <c r="A41" i="23"/>
  <c r="K41" i="15"/>
  <c r="A42" i="15"/>
  <c r="AB41" i="15"/>
  <c r="X41" i="15"/>
  <c r="AB42" i="16"/>
  <c r="A43" i="16"/>
  <c r="X42" i="16"/>
  <c r="K42" i="16"/>
  <c r="A45" i="17"/>
  <c r="AB44" i="17"/>
  <c r="X44" i="17"/>
  <c r="K44" i="17"/>
  <c r="AB41" i="25"/>
  <c r="A42" i="25"/>
  <c r="X41" i="25"/>
  <c r="K41" i="25"/>
  <c r="AJ42" i="1"/>
  <c r="X42" i="1"/>
  <c r="K42" i="1"/>
  <c r="AK42" i="1"/>
  <c r="L42" i="1"/>
  <c r="AB42" i="1"/>
  <c r="X43" i="20"/>
  <c r="K43" i="20"/>
  <c r="AB43" i="20"/>
  <c r="A44" i="20"/>
  <c r="A43" i="24"/>
  <c r="K42" i="24"/>
  <c r="AB42" i="24"/>
  <c r="X42" i="24"/>
  <c r="A44" i="24"/>
  <c r="X43" i="24"/>
  <c r="K43" i="24"/>
  <c r="AB43" i="24"/>
  <c r="AB44" i="20"/>
  <c r="X44" i="20"/>
  <c r="A45" i="20"/>
  <c r="K44" i="20"/>
  <c r="AK43" i="1"/>
  <c r="AJ43" i="1"/>
  <c r="L43" i="1"/>
  <c r="K43" i="1"/>
  <c r="AB43" i="1"/>
  <c r="X43" i="1"/>
  <c r="A43" i="25"/>
  <c r="AB42" i="25"/>
  <c r="X42" i="25"/>
  <c r="K42" i="25"/>
  <c r="AB45" i="17"/>
  <c r="X45" i="17"/>
  <c r="A46" i="17"/>
  <c r="K45" i="17"/>
  <c r="K42" i="15"/>
  <c r="X42" i="15"/>
  <c r="AB42" i="15"/>
  <c r="A43" i="15"/>
  <c r="A41" i="18"/>
  <c r="AB40" i="18"/>
  <c r="K40" i="18"/>
  <c r="X40" i="18"/>
  <c r="K43" i="16"/>
  <c r="AB43" i="16"/>
  <c r="A44" i="16"/>
  <c r="X43" i="16"/>
  <c r="A42" i="23"/>
  <c r="X41" i="23"/>
  <c r="AB41" i="23"/>
  <c r="K41" i="23"/>
  <c r="AB42" i="22"/>
  <c r="X42" i="22"/>
  <c r="A43" i="22"/>
  <c r="K42" i="22"/>
  <c r="A43" i="23"/>
  <c r="X42" i="23"/>
  <c r="AB42" i="23"/>
  <c r="K42" i="23"/>
  <c r="A45" i="16"/>
  <c r="K44" i="16"/>
  <c r="AB44" i="16"/>
  <c r="X44" i="16"/>
  <c r="AB43" i="25"/>
  <c r="K43" i="25"/>
  <c r="X43" i="25"/>
  <c r="A44" i="25"/>
  <c r="AK44" i="1"/>
  <c r="AJ44" i="1"/>
  <c r="AB44" i="1"/>
  <c r="K44" i="1"/>
  <c r="L44" i="1"/>
  <c r="X44" i="1"/>
  <c r="A44" i="22"/>
  <c r="AB43" i="22"/>
  <c r="K43" i="22"/>
  <c r="X43" i="22"/>
  <c r="A42" i="18"/>
  <c r="AB41" i="18"/>
  <c r="K41" i="18"/>
  <c r="X41" i="18"/>
  <c r="A44" i="15"/>
  <c r="X43" i="15"/>
  <c r="K43" i="15"/>
  <c r="AB43" i="15"/>
  <c r="AB46" i="17"/>
  <c r="X46" i="17"/>
  <c r="K46" i="17"/>
  <c r="A47" i="17"/>
  <c r="K45" i="20"/>
  <c r="AB45" i="20"/>
  <c r="A46" i="20"/>
  <c r="X45" i="20"/>
  <c r="X44" i="24"/>
  <c r="AB44" i="24"/>
  <c r="A45" i="24"/>
  <c r="K44" i="24"/>
  <c r="K46" i="20"/>
  <c r="AB46" i="20"/>
  <c r="X46" i="20"/>
  <c r="A47" i="20"/>
  <c r="X47" i="17"/>
  <c r="A48" i="17"/>
  <c r="AB47" i="17"/>
  <c r="K47" i="17"/>
  <c r="L47" i="17"/>
  <c r="D47" i="17" s="1"/>
  <c r="X44" i="15"/>
  <c r="A45" i="15"/>
  <c r="AB44" i="15"/>
  <c r="K44" i="15"/>
  <c r="X42" i="18"/>
  <c r="K42" i="18"/>
  <c r="AB42" i="18"/>
  <c r="A43" i="18"/>
  <c r="A45" i="22"/>
  <c r="K44" i="22"/>
  <c r="X44" i="22"/>
  <c r="AB44" i="22"/>
  <c r="K45" i="16"/>
  <c r="A46" i="16"/>
  <c r="AB45" i="16"/>
  <c r="X45" i="16"/>
  <c r="A46" i="24"/>
  <c r="X45" i="24"/>
  <c r="K45" i="24"/>
  <c r="AB45" i="24"/>
  <c r="AK45" i="1"/>
  <c r="K45" i="1"/>
  <c r="X45" i="1"/>
  <c r="AB45" i="1"/>
  <c r="AJ45" i="1"/>
  <c r="L45" i="1"/>
  <c r="AB44" i="25"/>
  <c r="A45" i="25"/>
  <c r="X44" i="25"/>
  <c r="K44" i="25"/>
  <c r="A44" i="23"/>
  <c r="AB43" i="23"/>
  <c r="K43" i="23"/>
  <c r="X43" i="23"/>
  <c r="K44" i="23"/>
  <c r="A45" i="23"/>
  <c r="X44" i="23"/>
  <c r="AB44" i="23"/>
  <c r="X45" i="25"/>
  <c r="AB45" i="25"/>
  <c r="A46" i="25"/>
  <c r="K45" i="25"/>
  <c r="K46" i="16"/>
  <c r="X46" i="16"/>
  <c r="AB46" i="16"/>
  <c r="A47" i="16"/>
  <c r="K45" i="22"/>
  <c r="A46" i="22"/>
  <c r="AB45" i="22"/>
  <c r="X45" i="22"/>
  <c r="AK46" i="1"/>
  <c r="AB46" i="1"/>
  <c r="K46" i="1"/>
  <c r="X46" i="1"/>
  <c r="AJ46" i="1"/>
  <c r="L46" i="1"/>
  <c r="A47" i="24"/>
  <c r="K46" i="24"/>
  <c r="X46" i="24"/>
  <c r="AB46" i="24"/>
  <c r="A44" i="18"/>
  <c r="AB43" i="18"/>
  <c r="X43" i="18"/>
  <c r="K43" i="18"/>
  <c r="X45" i="15"/>
  <c r="AB45" i="15"/>
  <c r="K45" i="15"/>
  <c r="A46" i="15"/>
  <c r="X48" i="17"/>
  <c r="A49" i="17"/>
  <c r="K48" i="17"/>
  <c r="AB48" i="17"/>
  <c r="A48" i="20"/>
  <c r="K47" i="20"/>
  <c r="AB47" i="20"/>
  <c r="X47" i="20"/>
  <c r="X46" i="15"/>
  <c r="AB46" i="15"/>
  <c r="K46" i="15"/>
  <c r="A47" i="15"/>
  <c r="X47" i="24"/>
  <c r="K47" i="24"/>
  <c r="A48" i="24"/>
  <c r="AB47" i="24"/>
  <c r="AJ47" i="1"/>
  <c r="K47" i="1"/>
  <c r="AB47" i="1"/>
  <c r="X47" i="1"/>
  <c r="AK47" i="1"/>
  <c r="L47" i="1"/>
  <c r="AB46" i="22"/>
  <c r="A47" i="22"/>
  <c r="K46" i="22"/>
  <c r="X46" i="22"/>
  <c r="X47" i="16"/>
  <c r="K47" i="16"/>
  <c r="L47" i="16"/>
  <c r="A48" i="16"/>
  <c r="AB47" i="16"/>
  <c r="AB45" i="23"/>
  <c r="X45" i="23"/>
  <c r="A46" i="23"/>
  <c r="K45" i="23"/>
  <c r="AB48" i="20"/>
  <c r="X48" i="20"/>
  <c r="A49" i="20"/>
  <c r="K48" i="20"/>
  <c r="AB49" i="17"/>
  <c r="A50" i="17"/>
  <c r="K49" i="17"/>
  <c r="L49" i="17"/>
  <c r="D49" i="17" s="1"/>
  <c r="X49" i="17"/>
  <c r="AB44" i="18"/>
  <c r="X44" i="18"/>
  <c r="K44" i="18"/>
  <c r="A45" i="18"/>
  <c r="A47" i="25"/>
  <c r="K46" i="25"/>
  <c r="AB46" i="25"/>
  <c r="X46" i="25"/>
  <c r="X45" i="18"/>
  <c r="A46" i="18"/>
  <c r="AB45" i="18"/>
  <c r="K45" i="18"/>
  <c r="A51" i="17"/>
  <c r="X50" i="17"/>
  <c r="K50" i="17"/>
  <c r="AB50" i="17"/>
  <c r="A50" i="20"/>
  <c r="AB49" i="20"/>
  <c r="X49" i="20"/>
  <c r="K49" i="20"/>
  <c r="K46" i="23"/>
  <c r="AB46" i="23"/>
  <c r="A47" i="23"/>
  <c r="X46" i="23"/>
  <c r="D47" i="16"/>
  <c r="AB47" i="22"/>
  <c r="K47" i="22"/>
  <c r="A48" i="22"/>
  <c r="X47" i="22"/>
  <c r="AK48" i="1"/>
  <c r="AB48" i="1"/>
  <c r="L48" i="1"/>
  <c r="K48" i="1"/>
  <c r="AJ48" i="1"/>
  <c r="X48" i="1"/>
  <c r="K47" i="25"/>
  <c r="A48" i="25"/>
  <c r="X47" i="25"/>
  <c r="AB47" i="25"/>
  <c r="A49" i="16"/>
  <c r="X48" i="16"/>
  <c r="AB48" i="16"/>
  <c r="K48" i="16"/>
  <c r="K48" i="24"/>
  <c r="A49" i="24"/>
  <c r="X48" i="24"/>
  <c r="AB48" i="24"/>
  <c r="AB47" i="15"/>
  <c r="K47" i="15"/>
  <c r="A48" i="15"/>
  <c r="X47" i="15"/>
  <c r="AB48" i="15"/>
  <c r="X48" i="15"/>
  <c r="A49" i="15"/>
  <c r="K48" i="15"/>
  <c r="A50" i="24"/>
  <c r="AB49" i="24"/>
  <c r="K49" i="24"/>
  <c r="X49" i="24"/>
  <c r="X49" i="16"/>
  <c r="K49" i="16"/>
  <c r="A50" i="16"/>
  <c r="AB49" i="16"/>
  <c r="A49" i="25"/>
  <c r="AB48" i="25"/>
  <c r="K48" i="25"/>
  <c r="X48" i="25"/>
  <c r="AK49" i="1"/>
  <c r="X49" i="1"/>
  <c r="L49" i="1"/>
  <c r="K49" i="1"/>
  <c r="AJ49" i="1"/>
  <c r="AB49" i="1"/>
  <c r="AB51" i="17"/>
  <c r="K51" i="17"/>
  <c r="X51" i="17"/>
  <c r="A52" i="17"/>
  <c r="A49" i="22"/>
  <c r="X48" i="22"/>
  <c r="K48" i="22"/>
  <c r="AB48" i="22"/>
  <c r="X47" i="23"/>
  <c r="AB47" i="23"/>
  <c r="K47" i="23"/>
  <c r="A48" i="23"/>
  <c r="X50" i="20"/>
  <c r="AB50" i="20"/>
  <c r="K50" i="20"/>
  <c r="A51" i="20"/>
  <c r="AB46" i="18"/>
  <c r="A47" i="18"/>
  <c r="K46" i="18"/>
  <c r="X46" i="18"/>
  <c r="X52" i="17"/>
  <c r="K52" i="17"/>
  <c r="AB52" i="17"/>
  <c r="A53" i="17"/>
  <c r="AK50" i="1"/>
  <c r="L50" i="1"/>
  <c r="X50" i="1"/>
  <c r="K50" i="1"/>
  <c r="AJ50" i="1"/>
  <c r="AB50" i="1"/>
  <c r="X50" i="24"/>
  <c r="AB50" i="24"/>
  <c r="A51" i="24"/>
  <c r="K50" i="24"/>
  <c r="A48" i="18"/>
  <c r="AB47" i="18"/>
  <c r="K47" i="18"/>
  <c r="X47" i="18"/>
  <c r="A52" i="20"/>
  <c r="K51" i="20"/>
  <c r="AB51" i="20"/>
  <c r="X51" i="20"/>
  <c r="K48" i="23"/>
  <c r="AB48" i="23"/>
  <c r="A49" i="23"/>
  <c r="X48" i="23"/>
  <c r="K49" i="22"/>
  <c r="X49" i="22"/>
  <c r="AB49" i="22"/>
  <c r="A50" i="22"/>
  <c r="X49" i="25"/>
  <c r="A50" i="25"/>
  <c r="AB49" i="25"/>
  <c r="K49" i="25"/>
  <c r="K50" i="16"/>
  <c r="AB50" i="16"/>
  <c r="X50" i="16"/>
  <c r="A51" i="16"/>
  <c r="X49" i="15"/>
  <c r="A50" i="15"/>
  <c r="K49" i="15"/>
  <c r="AB49" i="15"/>
  <c r="AB50" i="25"/>
  <c r="A51" i="25"/>
  <c r="K50" i="25"/>
  <c r="X50" i="25"/>
  <c r="AB51" i="16"/>
  <c r="K51" i="16"/>
  <c r="A52" i="16"/>
  <c r="X51" i="16"/>
  <c r="K52" i="20"/>
  <c r="X52" i="20"/>
  <c r="AB52" i="20"/>
  <c r="A53" i="20"/>
  <c r="AB48" i="18"/>
  <c r="A49" i="18"/>
  <c r="X48" i="18"/>
  <c r="K48" i="18"/>
  <c r="X51" i="24"/>
  <c r="A52" i="24"/>
  <c r="K51" i="24"/>
  <c r="AB51" i="24"/>
  <c r="K51" i="1"/>
  <c r="AB51" i="1"/>
  <c r="AK51" i="1"/>
  <c r="AJ51" i="1"/>
  <c r="L51" i="1"/>
  <c r="X51" i="1"/>
  <c r="A54" i="17"/>
  <c r="X53" i="17"/>
  <c r="K53" i="17"/>
  <c r="AB53" i="17"/>
  <c r="K50" i="15"/>
  <c r="AB50" i="15"/>
  <c r="A51" i="15"/>
  <c r="X50" i="15"/>
  <c r="AB50" i="22"/>
  <c r="K50" i="22"/>
  <c r="A51" i="22"/>
  <c r="X50" i="22"/>
  <c r="X49" i="23"/>
  <c r="AB49" i="23"/>
  <c r="A50" i="23"/>
  <c r="K49" i="23"/>
  <c r="AB51" i="22"/>
  <c r="K51" i="22"/>
  <c r="X51" i="22"/>
  <c r="A52" i="22"/>
  <c r="A55" i="17"/>
  <c r="X54" i="17"/>
  <c r="K54" i="17"/>
  <c r="AB54" i="17"/>
  <c r="A50" i="18"/>
  <c r="AB49" i="18"/>
  <c r="X49" i="18"/>
  <c r="K49" i="18"/>
  <c r="AB51" i="25"/>
  <c r="K51" i="25"/>
  <c r="X51" i="25"/>
  <c r="A52" i="25"/>
  <c r="X50" i="23"/>
  <c r="K50" i="23"/>
  <c r="A51" i="23"/>
  <c r="AB50" i="23"/>
  <c r="A52" i="15"/>
  <c r="AB51" i="15"/>
  <c r="X51" i="15"/>
  <c r="K51" i="15"/>
  <c r="AJ52" i="1"/>
  <c r="X52" i="1"/>
  <c r="L52" i="1"/>
  <c r="AK52" i="1"/>
  <c r="AB52" i="1"/>
  <c r="K52" i="1"/>
  <c r="K52" i="24"/>
  <c r="A53" i="24"/>
  <c r="AB52" i="24"/>
  <c r="X52" i="24"/>
  <c r="K53" i="20"/>
  <c r="AB53" i="20"/>
  <c r="X53" i="20"/>
  <c r="A54" i="20"/>
  <c r="K52" i="16"/>
  <c r="AB52" i="16"/>
  <c r="X52" i="16"/>
  <c r="A53" i="16"/>
  <c r="K54" i="20"/>
  <c r="AB54" i="20"/>
  <c r="X54" i="20"/>
  <c r="A55" i="20"/>
  <c r="AB53" i="24"/>
  <c r="K53" i="24"/>
  <c r="A54" i="24"/>
  <c r="X53" i="24"/>
  <c r="A52" i="23"/>
  <c r="AB51" i="23"/>
  <c r="K51" i="23"/>
  <c r="X51" i="23"/>
  <c r="AB52" i="25"/>
  <c r="A53" i="25"/>
  <c r="K52" i="25"/>
  <c r="X52" i="25"/>
  <c r="K50" i="18"/>
  <c r="X50" i="18"/>
  <c r="A51" i="18"/>
  <c r="AB50" i="18"/>
  <c r="X53" i="16"/>
  <c r="A54" i="16"/>
  <c r="K53" i="16"/>
  <c r="AB53" i="16"/>
  <c r="AK53" i="1"/>
  <c r="X53" i="1"/>
  <c r="L53" i="1"/>
  <c r="AJ53" i="1"/>
  <c r="K53" i="1"/>
  <c r="AB53" i="1"/>
  <c r="AB52" i="15"/>
  <c r="A53" i="15"/>
  <c r="X52" i="15"/>
  <c r="K52" i="15"/>
  <c r="AB55" i="17"/>
  <c r="A56" i="17"/>
  <c r="X55" i="17"/>
  <c r="K55" i="17"/>
  <c r="A53" i="22"/>
  <c r="K52" i="22"/>
  <c r="AB52" i="22"/>
  <c r="X52" i="22"/>
  <c r="AB53" i="22"/>
  <c r="K53" i="22"/>
  <c r="X53" i="22"/>
  <c r="A54" i="22"/>
  <c r="A55" i="16"/>
  <c r="K54" i="16"/>
  <c r="X54" i="16"/>
  <c r="AB54" i="16"/>
  <c r="X51" i="18"/>
  <c r="AB51" i="18"/>
  <c r="A52" i="18"/>
  <c r="K51" i="18"/>
  <c r="K53" i="25"/>
  <c r="AB53" i="25"/>
  <c r="X53" i="25"/>
  <c r="A54" i="25"/>
  <c r="X52" i="23"/>
  <c r="AB52" i="23"/>
  <c r="A53" i="23"/>
  <c r="K52" i="23"/>
  <c r="K56" i="17"/>
  <c r="A57" i="17"/>
  <c r="X56" i="17"/>
  <c r="AB56" i="17"/>
  <c r="X53" i="15"/>
  <c r="A54" i="15"/>
  <c r="K53" i="15"/>
  <c r="AB53" i="15"/>
  <c r="AK54" i="1"/>
  <c r="AB54" i="1"/>
  <c r="X54" i="1"/>
  <c r="AJ54" i="1"/>
  <c r="K54" i="1"/>
  <c r="L54" i="1"/>
  <c r="K54" i="24"/>
  <c r="A55" i="24"/>
  <c r="AB54" i="24"/>
  <c r="X54" i="24"/>
  <c r="A56" i="20"/>
  <c r="AB55" i="20"/>
  <c r="X55" i="20"/>
  <c r="K55" i="20"/>
  <c r="A57" i="20"/>
  <c r="AB56" i="20"/>
  <c r="X56" i="20"/>
  <c r="K56" i="20"/>
  <c r="X55" i="24"/>
  <c r="AB55" i="24"/>
  <c r="K55" i="24"/>
  <c r="A56" i="24"/>
  <c r="AK55" i="1"/>
  <c r="AJ55" i="1"/>
  <c r="L55" i="1"/>
  <c r="AB55" i="1"/>
  <c r="K55" i="1"/>
  <c r="X55" i="1"/>
  <c r="K54" i="15"/>
  <c r="AB54" i="15"/>
  <c r="A55" i="15"/>
  <c r="X54" i="15"/>
  <c r="A58" i="17"/>
  <c r="K57" i="17"/>
  <c r="X57" i="17"/>
  <c r="AB57" i="17"/>
  <c r="X54" i="22"/>
  <c r="A55" i="22"/>
  <c r="K54" i="22"/>
  <c r="AB54" i="22"/>
  <c r="AB53" i="23"/>
  <c r="X53" i="23"/>
  <c r="K53" i="23"/>
  <c r="A54" i="23"/>
  <c r="A55" i="25"/>
  <c r="K54" i="25"/>
  <c r="X54" i="25"/>
  <c r="AB54" i="25"/>
  <c r="K52" i="18"/>
  <c r="AB52" i="18"/>
  <c r="X52" i="18"/>
  <c r="A53" i="18"/>
  <c r="X55" i="16"/>
  <c r="AB55" i="16"/>
  <c r="K55" i="16"/>
  <c r="A56" i="16"/>
  <c r="A57" i="16"/>
  <c r="AB56" i="16"/>
  <c r="X56" i="16"/>
  <c r="K56" i="16"/>
  <c r="K55" i="25"/>
  <c r="AB55" i="25"/>
  <c r="X55" i="25"/>
  <c r="A56" i="25"/>
  <c r="K54" i="23"/>
  <c r="AB54" i="23"/>
  <c r="A55" i="23"/>
  <c r="X54" i="23"/>
  <c r="K55" i="22"/>
  <c r="X55" i="22"/>
  <c r="A56" i="22"/>
  <c r="AB55" i="22"/>
  <c r="K57" i="20"/>
  <c r="A58" i="20"/>
  <c r="AB57" i="20"/>
  <c r="X57" i="20"/>
  <c r="AB53" i="18"/>
  <c r="X53" i="18"/>
  <c r="A54" i="18"/>
  <c r="K53" i="18"/>
  <c r="K58" i="17"/>
  <c r="A59" i="17"/>
  <c r="AB58" i="17"/>
  <c r="X58" i="17"/>
  <c r="K55" i="15"/>
  <c r="AB55" i="15"/>
  <c r="A56" i="15"/>
  <c r="X55" i="15"/>
  <c r="AK56" i="1"/>
  <c r="X56" i="1"/>
  <c r="L56" i="1"/>
  <c r="AJ56" i="1"/>
  <c r="AB56" i="1"/>
  <c r="K56" i="1"/>
  <c r="AB56" i="24"/>
  <c r="A57" i="24"/>
  <c r="K56" i="24"/>
  <c r="X56" i="24"/>
  <c r="A58" i="24"/>
  <c r="X57" i="24"/>
  <c r="K57" i="24"/>
  <c r="AB57" i="24"/>
  <c r="AB56" i="15"/>
  <c r="K56" i="15"/>
  <c r="X56" i="15"/>
  <c r="A57" i="15"/>
  <c r="K55" i="23"/>
  <c r="AB55" i="23"/>
  <c r="X55" i="23"/>
  <c r="A56" i="23"/>
  <c r="L57" i="1"/>
  <c r="X57" i="1"/>
  <c r="AK57" i="1"/>
  <c r="AJ57" i="1"/>
  <c r="AB57" i="1"/>
  <c r="K57" i="1"/>
  <c r="K59" i="17"/>
  <c r="AB59" i="17"/>
  <c r="A60" i="17"/>
  <c r="X59" i="17"/>
  <c r="X54" i="18"/>
  <c r="AB54" i="18"/>
  <c r="A55" i="18"/>
  <c r="K54" i="18"/>
  <c r="K58" i="20"/>
  <c r="A59" i="20"/>
  <c r="X58" i="20"/>
  <c r="AB58" i="20"/>
  <c r="A57" i="22"/>
  <c r="AB56" i="22"/>
  <c r="K56" i="22"/>
  <c r="X56" i="22"/>
  <c r="K56" i="25"/>
  <c r="X56" i="25"/>
  <c r="AB56" i="25"/>
  <c r="A57" i="25"/>
  <c r="A58" i="16"/>
  <c r="X57" i="16"/>
  <c r="AB57" i="16"/>
  <c r="K57" i="16"/>
  <c r="K59" i="20"/>
  <c r="A60" i="20"/>
  <c r="AB59" i="20"/>
  <c r="X59" i="20"/>
  <c r="AB58" i="16"/>
  <c r="X58" i="16"/>
  <c r="K58" i="16"/>
  <c r="A59" i="16"/>
  <c r="X57" i="25"/>
  <c r="K57" i="25"/>
  <c r="A58" i="25"/>
  <c r="AB57" i="25"/>
  <c r="X57" i="22"/>
  <c r="AB57" i="22"/>
  <c r="K57" i="22"/>
  <c r="A58" i="22"/>
  <c r="X55" i="18"/>
  <c r="A56" i="18"/>
  <c r="AB55" i="18"/>
  <c r="K55" i="18"/>
  <c r="K60" i="17"/>
  <c r="A57" i="7"/>
  <c r="A61" i="17"/>
  <c r="AB60" i="17"/>
  <c r="X60" i="17"/>
  <c r="AJ58" i="1"/>
  <c r="K58" i="1"/>
  <c r="X58" i="1"/>
  <c r="AK58" i="1"/>
  <c r="L58" i="1"/>
  <c r="AB58" i="1"/>
  <c r="A57" i="23"/>
  <c r="X56" i="23"/>
  <c r="AB56" i="23"/>
  <c r="K56" i="23"/>
  <c r="A58" i="15"/>
  <c r="AB57" i="15"/>
  <c r="K57" i="15"/>
  <c r="X57" i="15"/>
  <c r="AB58" i="24"/>
  <c r="X58" i="24"/>
  <c r="K58" i="24"/>
  <c r="A59" i="24"/>
  <c r="AB61" i="17"/>
  <c r="K61" i="17"/>
  <c r="L61" i="17"/>
  <c r="D61" i="17" s="1"/>
  <c r="A62" i="17"/>
  <c r="X61" i="17"/>
  <c r="AB56" i="18"/>
  <c r="K56" i="18"/>
  <c r="X56" i="18"/>
  <c r="A57" i="18"/>
  <c r="K59" i="16"/>
  <c r="AB59" i="16"/>
  <c r="X59" i="16"/>
  <c r="A60" i="16"/>
  <c r="A61" i="20"/>
  <c r="X60" i="20"/>
  <c r="AB60" i="20"/>
  <c r="AE21" i="7"/>
  <c r="K60" i="20"/>
  <c r="X59" i="24"/>
  <c r="A60" i="24"/>
  <c r="AB59" i="24"/>
  <c r="K59" i="24"/>
  <c r="K58" i="15"/>
  <c r="A59" i="15"/>
  <c r="AB58" i="15"/>
  <c r="X58" i="15"/>
  <c r="AB57" i="23"/>
  <c r="A58" i="23"/>
  <c r="X57" i="23"/>
  <c r="K57" i="23"/>
  <c r="K59" i="1"/>
  <c r="AB59" i="1"/>
  <c r="AK59" i="1"/>
  <c r="AJ59" i="1"/>
  <c r="L59" i="1"/>
  <c r="X59" i="1"/>
  <c r="A59" i="22"/>
  <c r="K58" i="22"/>
  <c r="X58" i="22"/>
  <c r="AB58" i="22"/>
  <c r="X58" i="25"/>
  <c r="A59" i="25"/>
  <c r="AB58" i="25"/>
  <c r="K58" i="25"/>
  <c r="K59" i="25"/>
  <c r="A60" i="25"/>
  <c r="X59" i="25"/>
  <c r="AB59" i="25"/>
  <c r="AB59" i="22"/>
  <c r="X59" i="22"/>
  <c r="A60" i="22"/>
  <c r="K59" i="22"/>
  <c r="AJ60" i="1"/>
  <c r="K60" i="1"/>
  <c r="A21" i="7"/>
  <c r="AK60" i="1"/>
  <c r="X60" i="1"/>
  <c r="AB60" i="1"/>
  <c r="L60" i="1"/>
  <c r="B21" i="7" s="1"/>
  <c r="A59" i="23"/>
  <c r="X58" i="23"/>
  <c r="K58" i="23"/>
  <c r="AB58" i="23"/>
  <c r="A61" i="24"/>
  <c r="K60" i="24"/>
  <c r="AE57" i="7"/>
  <c r="X60" i="24"/>
  <c r="AB60" i="24"/>
  <c r="A62" i="20"/>
  <c r="K61" i="20"/>
  <c r="X61" i="20"/>
  <c r="AB61" i="20"/>
  <c r="A61" i="16"/>
  <c r="K60" i="16"/>
  <c r="A45" i="7"/>
  <c r="AB60" i="16"/>
  <c r="X60" i="16"/>
  <c r="X62" i="17"/>
  <c r="K62" i="17"/>
  <c r="A63" i="17"/>
  <c r="AB62" i="17"/>
  <c r="A60" i="15"/>
  <c r="X59" i="15"/>
  <c r="AB59" i="15"/>
  <c r="K59" i="15"/>
  <c r="AB57" i="18"/>
  <c r="X57" i="18"/>
  <c r="K57" i="18"/>
  <c r="A58" i="18"/>
  <c r="A64" i="17"/>
  <c r="K63" i="17"/>
  <c r="AB63" i="17"/>
  <c r="X63" i="17"/>
  <c r="A62" i="16"/>
  <c r="X61" i="16"/>
  <c r="AB61" i="16"/>
  <c r="K61" i="16"/>
  <c r="X62" i="20"/>
  <c r="A63" i="20"/>
  <c r="K62" i="20"/>
  <c r="AB62" i="20"/>
  <c r="K59" i="23"/>
  <c r="X59" i="23"/>
  <c r="A60" i="23"/>
  <c r="AB59" i="23"/>
  <c r="AE69" i="7"/>
  <c r="K60" i="25"/>
  <c r="A61" i="25"/>
  <c r="AB60" i="25"/>
  <c r="X60" i="25"/>
  <c r="AB58" i="18"/>
  <c r="X58" i="18"/>
  <c r="K58" i="18"/>
  <c r="A59" i="18"/>
  <c r="X60" i="15"/>
  <c r="K60" i="15"/>
  <c r="A61" i="15"/>
  <c r="AB60" i="15"/>
  <c r="A33" i="7"/>
  <c r="AB61" i="24"/>
  <c r="A62" i="24"/>
  <c r="X61" i="24"/>
  <c r="K61" i="24"/>
  <c r="AK61" i="1"/>
  <c r="AJ61" i="1"/>
  <c r="AB61" i="1"/>
  <c r="X61" i="1"/>
  <c r="K61" i="1"/>
  <c r="L61" i="1"/>
  <c r="AE33" i="7"/>
  <c r="X60" i="22"/>
  <c r="AB60" i="22"/>
  <c r="K60" i="22"/>
  <c r="A61" i="22"/>
  <c r="A62" i="22"/>
  <c r="X61" i="22"/>
  <c r="AB61" i="22"/>
  <c r="K61" i="22"/>
  <c r="AB62" i="24"/>
  <c r="K62" i="24"/>
  <c r="A63" i="24"/>
  <c r="X62" i="24"/>
  <c r="AB61" i="15"/>
  <c r="L61" i="15"/>
  <c r="D61" i="15" s="1"/>
  <c r="A62" i="15"/>
  <c r="X61" i="15"/>
  <c r="K61" i="15"/>
  <c r="A60" i="18"/>
  <c r="K59" i="18"/>
  <c r="AB59" i="18"/>
  <c r="X59" i="18"/>
  <c r="A64" i="20"/>
  <c r="AB63" i="20"/>
  <c r="K63" i="20"/>
  <c r="X63" i="20"/>
  <c r="AK62" i="1"/>
  <c r="L62" i="1"/>
  <c r="K62" i="1"/>
  <c r="AJ62" i="1"/>
  <c r="X62" i="1"/>
  <c r="AB62" i="1"/>
  <c r="AB61" i="25"/>
  <c r="X61" i="25"/>
  <c r="K61" i="25"/>
  <c r="A62" i="25"/>
  <c r="K60" i="23"/>
  <c r="AB60" i="23"/>
  <c r="A61" i="23"/>
  <c r="AE45" i="7"/>
  <c r="X60" i="23"/>
  <c r="K62" i="16"/>
  <c r="X62" i="16"/>
  <c r="A63" i="16"/>
  <c r="AB62" i="16"/>
  <c r="A65" i="17"/>
  <c r="K64" i="17"/>
  <c r="AB64" i="17"/>
  <c r="X64" i="17"/>
  <c r="X65" i="17"/>
  <c r="AB65" i="17"/>
  <c r="K65" i="17"/>
  <c r="A66" i="17"/>
  <c r="X62" i="25"/>
  <c r="A63" i="25"/>
  <c r="K62" i="25"/>
  <c r="AB62" i="25"/>
  <c r="AK63" i="1"/>
  <c r="X63" i="1"/>
  <c r="L63" i="1"/>
  <c r="AJ63" i="1"/>
  <c r="AB63" i="1"/>
  <c r="K63" i="1"/>
  <c r="A61" i="18"/>
  <c r="X60" i="18"/>
  <c r="K60" i="18"/>
  <c r="A69" i="7"/>
  <c r="AB60" i="18"/>
  <c r="X62" i="15"/>
  <c r="AB62" i="15"/>
  <c r="K62" i="15"/>
  <c r="A63" i="15"/>
  <c r="A64" i="24"/>
  <c r="X63" i="24"/>
  <c r="AB63" i="24"/>
  <c r="K63" i="24"/>
  <c r="K63" i="16"/>
  <c r="A64" i="16"/>
  <c r="X63" i="16"/>
  <c r="AB63" i="16"/>
  <c r="X61" i="23"/>
  <c r="AB61" i="23"/>
  <c r="K61" i="23"/>
  <c r="A62" i="23"/>
  <c r="K64" i="20"/>
  <c r="AB64" i="20"/>
  <c r="X64" i="20"/>
  <c r="A65" i="20"/>
  <c r="K62" i="22"/>
  <c r="AB62" i="22"/>
  <c r="A63" i="22"/>
  <c r="X62" i="22"/>
  <c r="AB64" i="16"/>
  <c r="A65" i="16"/>
  <c r="K64" i="16"/>
  <c r="X64" i="16"/>
  <c r="X63" i="25"/>
  <c r="K63" i="25"/>
  <c r="AB63" i="25"/>
  <c r="A64" i="25"/>
  <c r="AB63" i="22"/>
  <c r="K63" i="22"/>
  <c r="X63" i="22"/>
  <c r="A64" i="22"/>
  <c r="A66" i="20"/>
  <c r="K65" i="20"/>
  <c r="AB65" i="20"/>
  <c r="X65" i="20"/>
  <c r="K62" i="23"/>
  <c r="X62" i="23"/>
  <c r="A63" i="23"/>
  <c r="AB62" i="23"/>
  <c r="A65" i="24"/>
  <c r="AB64" i="24"/>
  <c r="K64" i="24"/>
  <c r="X64" i="24"/>
  <c r="K63" i="15"/>
  <c r="AB63" i="15"/>
  <c r="X63" i="15"/>
  <c r="A64" i="15"/>
  <c r="AB61" i="18"/>
  <c r="K61" i="18"/>
  <c r="X61" i="18"/>
  <c r="A62" i="18"/>
  <c r="AK64" i="1"/>
  <c r="K64" i="1"/>
  <c r="L64" i="1"/>
  <c r="AJ64" i="1"/>
  <c r="AB64" i="1"/>
  <c r="X64" i="1"/>
  <c r="K66" i="17"/>
  <c r="A67" i="17"/>
  <c r="X66" i="17"/>
  <c r="AB66" i="17"/>
  <c r="AK65" i="1"/>
  <c r="K65" i="1"/>
  <c r="AJ65" i="1"/>
  <c r="X65" i="1"/>
  <c r="L65" i="1"/>
  <c r="AB65" i="1"/>
  <c r="K62" i="18"/>
  <c r="X62" i="18"/>
  <c r="AB62" i="18"/>
  <c r="A63" i="18"/>
  <c r="K64" i="15"/>
  <c r="X64" i="15"/>
  <c r="A65" i="15"/>
  <c r="AB64" i="15"/>
  <c r="X63" i="23"/>
  <c r="AB63" i="23"/>
  <c r="A64" i="23"/>
  <c r="K63" i="23"/>
  <c r="X64" i="22"/>
  <c r="AB64" i="22"/>
  <c r="K64" i="22"/>
  <c r="A65" i="22"/>
  <c r="A66" i="16"/>
  <c r="X65" i="16"/>
  <c r="AB65" i="16"/>
  <c r="K65" i="16"/>
  <c r="AB67" i="17"/>
  <c r="K67" i="17"/>
  <c r="A68" i="17"/>
  <c r="X67" i="17"/>
  <c r="X65" i="24"/>
  <c r="AB65" i="24"/>
  <c r="K65" i="24"/>
  <c r="A66" i="24"/>
  <c r="K66" i="20"/>
  <c r="AB66" i="20"/>
  <c r="A67" i="20"/>
  <c r="X66" i="20"/>
  <c r="AB64" i="25"/>
  <c r="K64" i="25"/>
  <c r="A65" i="25"/>
  <c r="X64" i="25"/>
  <c r="AB66" i="16"/>
  <c r="A67" i="16"/>
  <c r="K66" i="16"/>
  <c r="X66" i="16"/>
  <c r="AB65" i="25"/>
  <c r="K65" i="25"/>
  <c r="X65" i="25"/>
  <c r="A66" i="25"/>
  <c r="A68" i="20"/>
  <c r="K67" i="20"/>
  <c r="X67" i="20"/>
  <c r="AB67" i="20"/>
  <c r="K66" i="24"/>
  <c r="A67" i="24"/>
  <c r="AB66" i="24"/>
  <c r="X66" i="24"/>
  <c r="A69" i="17"/>
  <c r="K68" i="17"/>
  <c r="X68" i="17"/>
  <c r="AB68" i="17"/>
  <c r="A66" i="22"/>
  <c r="AB65" i="22"/>
  <c r="K65" i="22"/>
  <c r="X65" i="22"/>
  <c r="K64" i="23"/>
  <c r="A65" i="23"/>
  <c r="X64" i="23"/>
  <c r="AB64" i="23"/>
  <c r="AB65" i="15"/>
  <c r="A66" i="15"/>
  <c r="X65" i="15"/>
  <c r="K65" i="15"/>
  <c r="A64" i="18"/>
  <c r="AB63" i="18"/>
  <c r="X63" i="18"/>
  <c r="K63" i="18"/>
  <c r="AK66" i="1"/>
  <c r="K66" i="1"/>
  <c r="X66" i="1"/>
  <c r="AJ66" i="1"/>
  <c r="AB66" i="1"/>
  <c r="L66" i="1"/>
  <c r="A66" i="23"/>
  <c r="AB65" i="23"/>
  <c r="X65" i="23"/>
  <c r="K65" i="23"/>
  <c r="A67" i="22"/>
  <c r="X66" i="22"/>
  <c r="AB66" i="22"/>
  <c r="K66" i="22"/>
  <c r="AB69" i="17"/>
  <c r="X69" i="17"/>
  <c r="K69" i="17"/>
  <c r="A70" i="17"/>
  <c r="X67" i="24"/>
  <c r="AB67" i="24"/>
  <c r="K67" i="24"/>
  <c r="A68" i="24"/>
  <c r="X67" i="16"/>
  <c r="K67" i="16"/>
  <c r="A68" i="16"/>
  <c r="AB67" i="16"/>
  <c r="K67" i="1"/>
  <c r="X67" i="1"/>
  <c r="AK67" i="1"/>
  <c r="AJ67" i="1"/>
  <c r="L67" i="1"/>
  <c r="AB67" i="1"/>
  <c r="A65" i="18"/>
  <c r="X64" i="18"/>
  <c r="K64" i="18"/>
  <c r="AB64" i="18"/>
  <c r="X66" i="15"/>
  <c r="AB66" i="15"/>
  <c r="A67" i="15"/>
  <c r="K66" i="15"/>
  <c r="AB68" i="20"/>
  <c r="K68" i="20"/>
  <c r="A69" i="20"/>
  <c r="X68" i="20"/>
  <c r="K66" i="25"/>
  <c r="A67" i="25"/>
  <c r="AB66" i="25"/>
  <c r="X66" i="25"/>
  <c r="K67" i="15"/>
  <c r="X67" i="15"/>
  <c r="A68" i="15"/>
  <c r="AB67" i="15"/>
  <c r="K65" i="18"/>
  <c r="A66" i="18"/>
  <c r="AB65" i="18"/>
  <c r="X65" i="18"/>
  <c r="AK68" i="1"/>
  <c r="L68" i="1"/>
  <c r="AB68" i="1"/>
  <c r="AJ68" i="1"/>
  <c r="X68" i="1"/>
  <c r="K68" i="1"/>
  <c r="K68" i="24"/>
  <c r="AB68" i="24"/>
  <c r="X68" i="24"/>
  <c r="A69" i="24"/>
  <c r="K70" i="17"/>
  <c r="X70" i="17"/>
  <c r="A71" i="17"/>
  <c r="AB70" i="17"/>
  <c r="X67" i="22"/>
  <c r="K67" i="22"/>
  <c r="AB67" i="22"/>
  <c r="A68" i="22"/>
  <c r="K67" i="25"/>
  <c r="X67" i="25"/>
  <c r="AB67" i="25"/>
  <c r="A68" i="25"/>
  <c r="A70" i="20"/>
  <c r="K69" i="20"/>
  <c r="AB69" i="20"/>
  <c r="X69" i="20"/>
  <c r="A69" i="16"/>
  <c r="AB68" i="16"/>
  <c r="X68" i="16"/>
  <c r="K68" i="16"/>
  <c r="A67" i="23"/>
  <c r="X66" i="23"/>
  <c r="K66" i="23"/>
  <c r="AB66" i="23"/>
  <c r="K70" i="20"/>
  <c r="A71" i="20"/>
  <c r="X70" i="20"/>
  <c r="AB70" i="20"/>
  <c r="A69" i="22"/>
  <c r="K68" i="22"/>
  <c r="X68" i="22"/>
  <c r="AB68" i="22"/>
  <c r="X71" i="17"/>
  <c r="K71" i="17"/>
  <c r="AB71" i="17"/>
  <c r="A72" i="17"/>
  <c r="A67" i="18"/>
  <c r="X66" i="18"/>
  <c r="AB66" i="18"/>
  <c r="K66" i="18"/>
  <c r="X68" i="15"/>
  <c r="K68" i="15"/>
  <c r="AB68" i="15"/>
  <c r="A69" i="15"/>
  <c r="AB67" i="23"/>
  <c r="A68" i="23"/>
  <c r="K67" i="23"/>
  <c r="X67" i="23"/>
  <c r="A70" i="16"/>
  <c r="AB69" i="16"/>
  <c r="X69" i="16"/>
  <c r="K69" i="16"/>
  <c r="AB68" i="25"/>
  <c r="K68" i="25"/>
  <c r="A69" i="25"/>
  <c r="X68" i="25"/>
  <c r="AB69" i="24"/>
  <c r="X69" i="24"/>
  <c r="A70" i="24"/>
  <c r="K69" i="24"/>
  <c r="AJ69" i="1"/>
  <c r="K69" i="1"/>
  <c r="X69" i="1"/>
  <c r="AK69" i="1"/>
  <c r="AB69" i="1"/>
  <c r="L69" i="1"/>
  <c r="A71" i="24"/>
  <c r="AB70" i="24"/>
  <c r="X70" i="24"/>
  <c r="K70" i="24"/>
  <c r="X69" i="25"/>
  <c r="A70" i="25"/>
  <c r="K69" i="25"/>
  <c r="AB69" i="25"/>
  <c r="A71" i="16"/>
  <c r="AB70" i="16"/>
  <c r="K70" i="16"/>
  <c r="X70" i="16"/>
  <c r="X68" i="23"/>
  <c r="K68" i="23"/>
  <c r="A69" i="23"/>
  <c r="AB68" i="23"/>
  <c r="A73" i="17"/>
  <c r="AB72" i="17"/>
  <c r="K72" i="17"/>
  <c r="X72" i="17"/>
  <c r="AB71" i="20"/>
  <c r="K71" i="20"/>
  <c r="A72" i="20"/>
  <c r="X71" i="20"/>
  <c r="AK70" i="1"/>
  <c r="L70" i="1"/>
  <c r="K70" i="1"/>
  <c r="AJ70" i="1"/>
  <c r="X70" i="1"/>
  <c r="AB70" i="1"/>
  <c r="AB69" i="15"/>
  <c r="A70" i="15"/>
  <c r="K69" i="15"/>
  <c r="X69" i="15"/>
  <c r="X67" i="18"/>
  <c r="AB67" i="18"/>
  <c r="K67" i="18"/>
  <c r="A68" i="18"/>
  <c r="AB69" i="22"/>
  <c r="A70" i="22"/>
  <c r="K69" i="22"/>
  <c r="X69" i="22"/>
  <c r="X68" i="18"/>
  <c r="A69" i="18"/>
  <c r="AB68" i="18"/>
  <c r="K68" i="18"/>
  <c r="X72" i="20"/>
  <c r="A73" i="20"/>
  <c r="AB72" i="20"/>
  <c r="K72" i="20"/>
  <c r="K71" i="16"/>
  <c r="AB71" i="16"/>
  <c r="A72" i="16"/>
  <c r="X71" i="16"/>
  <c r="X70" i="22"/>
  <c r="A71" i="22"/>
  <c r="AB70" i="22"/>
  <c r="K70" i="22"/>
  <c r="X70" i="15"/>
  <c r="K70" i="15"/>
  <c r="AB70" i="15"/>
  <c r="A71" i="15"/>
  <c r="AJ71" i="1"/>
  <c r="L71" i="1"/>
  <c r="AB71" i="1"/>
  <c r="AK71" i="1"/>
  <c r="K71" i="1"/>
  <c r="X71" i="1"/>
  <c r="K73" i="17"/>
  <c r="AB73" i="17"/>
  <c r="A74" i="17"/>
  <c r="X73" i="17"/>
  <c r="AB69" i="23"/>
  <c r="A70" i="23"/>
  <c r="X69" i="23"/>
  <c r="K69" i="23"/>
  <c r="A71" i="25"/>
  <c r="AB70" i="25"/>
  <c r="K70" i="25"/>
  <c r="X70" i="25"/>
  <c r="K71" i="24"/>
  <c r="A72" i="24"/>
  <c r="X71" i="24"/>
  <c r="AB71" i="24"/>
  <c r="A73" i="24"/>
  <c r="X72" i="24"/>
  <c r="AB72" i="24"/>
  <c r="K72" i="24"/>
  <c r="AB71" i="25"/>
  <c r="X71" i="25"/>
  <c r="A72" i="25"/>
  <c r="K71" i="25"/>
  <c r="A72" i="15"/>
  <c r="K71" i="15"/>
  <c r="X71" i="15"/>
  <c r="AB71" i="15"/>
  <c r="A72" i="22"/>
  <c r="AB71" i="22"/>
  <c r="K71" i="22"/>
  <c r="X71" i="22"/>
  <c r="K69" i="18"/>
  <c r="AB69" i="18"/>
  <c r="A70" i="18"/>
  <c r="X69" i="18"/>
  <c r="X70" i="23"/>
  <c r="K70" i="23"/>
  <c r="A71" i="23"/>
  <c r="AB70" i="23"/>
  <c r="AB74" i="17"/>
  <c r="X74" i="17"/>
  <c r="K74" i="17"/>
  <c r="A75" i="17"/>
  <c r="AJ72" i="1"/>
  <c r="K72" i="1"/>
  <c r="AK72" i="1"/>
  <c r="X72" i="1"/>
  <c r="AB72" i="1"/>
  <c r="L72" i="1"/>
  <c r="X72" i="16"/>
  <c r="AB72" i="16"/>
  <c r="K72" i="16"/>
  <c r="A73" i="16"/>
  <c r="AB73" i="20"/>
  <c r="K73" i="20"/>
  <c r="A74" i="20"/>
  <c r="X73" i="20"/>
  <c r="K73" i="16"/>
  <c r="AB73" i="16"/>
  <c r="L73" i="16"/>
  <c r="D73" i="16" s="1"/>
  <c r="A74" i="16"/>
  <c r="X73" i="16"/>
  <c r="AK73" i="1"/>
  <c r="K73" i="1"/>
  <c r="AJ73" i="1"/>
  <c r="X73" i="1"/>
  <c r="L73" i="1"/>
  <c r="AB73" i="1"/>
  <c r="AB72" i="22"/>
  <c r="K72" i="22"/>
  <c r="X72" i="22"/>
  <c r="A73" i="22"/>
  <c r="A73" i="15"/>
  <c r="K72" i="15"/>
  <c r="X72" i="15"/>
  <c r="AB72" i="15"/>
  <c r="AB73" i="24"/>
  <c r="X73" i="24"/>
  <c r="A74" i="24"/>
  <c r="K73" i="24"/>
  <c r="K74" i="20"/>
  <c r="X74" i="20"/>
  <c r="A75" i="20"/>
  <c r="AB74" i="20"/>
  <c r="A76" i="17"/>
  <c r="AB75" i="17"/>
  <c r="K75" i="17"/>
  <c r="X75" i="17"/>
  <c r="AB71" i="23"/>
  <c r="X71" i="23"/>
  <c r="K71" i="23"/>
  <c r="A72" i="23"/>
  <c r="AB70" i="18"/>
  <c r="X70" i="18"/>
  <c r="K70" i="18"/>
  <c r="A71" i="18"/>
  <c r="K72" i="25"/>
  <c r="A73" i="25"/>
  <c r="X72" i="25"/>
  <c r="AB72" i="25"/>
  <c r="AB71" i="18"/>
  <c r="K71" i="18"/>
  <c r="A72" i="18"/>
  <c r="X71" i="18"/>
  <c r="A77" i="17"/>
  <c r="AB76" i="17"/>
  <c r="K76" i="17"/>
  <c r="X76" i="17"/>
  <c r="AB75" i="20"/>
  <c r="K75" i="20"/>
  <c r="A76" i="20"/>
  <c r="X75" i="20"/>
  <c r="A75" i="24"/>
  <c r="AB74" i="24"/>
  <c r="X74" i="24"/>
  <c r="K74" i="24"/>
  <c r="X74" i="16"/>
  <c r="AB74" i="16"/>
  <c r="K74" i="16"/>
  <c r="A75" i="16"/>
  <c r="A74" i="25"/>
  <c r="AB73" i="25"/>
  <c r="X73" i="25"/>
  <c r="K73" i="25"/>
  <c r="X72" i="23"/>
  <c r="K72" i="23"/>
  <c r="AB72" i="23"/>
  <c r="A73" i="23"/>
  <c r="AB73" i="15"/>
  <c r="A74" i="15"/>
  <c r="K73" i="15"/>
  <c r="X73" i="15"/>
  <c r="X73" i="22"/>
  <c r="AB73" i="22"/>
  <c r="K73" i="22"/>
  <c r="A74" i="22"/>
  <c r="AK74" i="1"/>
  <c r="X74" i="1"/>
  <c r="L74" i="1"/>
  <c r="AJ74" i="1"/>
  <c r="K74" i="1"/>
  <c r="AB74" i="1"/>
  <c r="A75" i="15"/>
  <c r="X74" i="15"/>
  <c r="AB74" i="15"/>
  <c r="K74" i="15"/>
  <c r="K74" i="25"/>
  <c r="X74" i="25"/>
  <c r="AB74" i="25"/>
  <c r="A75" i="25"/>
  <c r="A76" i="24"/>
  <c r="X75" i="24"/>
  <c r="AB75" i="24"/>
  <c r="K75" i="24"/>
  <c r="A73" i="18"/>
  <c r="X72" i="18"/>
  <c r="K72" i="18"/>
  <c r="AB72" i="18"/>
  <c r="AK75" i="1"/>
  <c r="K75" i="1"/>
  <c r="X75" i="1"/>
  <c r="AJ75" i="1"/>
  <c r="AB75" i="1"/>
  <c r="L75" i="1"/>
  <c r="K74" i="22"/>
  <c r="X74" i="22"/>
  <c r="AB74" i="22"/>
  <c r="A75" i="22"/>
  <c r="X73" i="23"/>
  <c r="AB73" i="23"/>
  <c r="K73" i="23"/>
  <c r="A74" i="23"/>
  <c r="K75" i="16"/>
  <c r="X75" i="16"/>
  <c r="AB75" i="16"/>
  <c r="A76" i="16"/>
  <c r="AB76" i="20"/>
  <c r="K76" i="20"/>
  <c r="X76" i="20"/>
  <c r="A77" i="20"/>
  <c r="A78" i="17"/>
  <c r="X77" i="17"/>
  <c r="K77" i="17"/>
  <c r="AB77" i="17"/>
  <c r="A75" i="23"/>
  <c r="X74" i="23"/>
  <c r="AB74" i="23"/>
  <c r="K74" i="23"/>
  <c r="K75" i="22"/>
  <c r="A76" i="22"/>
  <c r="X75" i="22"/>
  <c r="AB75" i="22"/>
  <c r="AJ76" i="1"/>
  <c r="L76" i="1"/>
  <c r="AB76" i="1"/>
  <c r="AK76" i="1"/>
  <c r="K76" i="1"/>
  <c r="X76" i="1"/>
  <c r="A74" i="18"/>
  <c r="X73" i="18"/>
  <c r="AB73" i="18"/>
  <c r="K73" i="18"/>
  <c r="K76" i="24"/>
  <c r="X76" i="24"/>
  <c r="A77" i="24"/>
  <c r="AB76" i="24"/>
  <c r="K75" i="25"/>
  <c r="AB75" i="25"/>
  <c r="A76" i="25"/>
  <c r="X75" i="25"/>
  <c r="K78" i="17"/>
  <c r="AB78" i="17"/>
  <c r="A79" i="17"/>
  <c r="X78" i="17"/>
  <c r="X77" i="20"/>
  <c r="AB77" i="20"/>
  <c r="K77" i="20"/>
  <c r="A78" i="20"/>
  <c r="A77" i="16"/>
  <c r="K76" i="16"/>
  <c r="X76" i="16"/>
  <c r="AB76" i="16"/>
  <c r="L76" i="16"/>
  <c r="D76" i="16" s="1"/>
  <c r="A76" i="15"/>
  <c r="K75" i="15"/>
  <c r="X75" i="15"/>
  <c r="AB75" i="15"/>
  <c r="K76" i="15"/>
  <c r="AB76" i="15"/>
  <c r="X76" i="15"/>
  <c r="A77" i="15"/>
  <c r="X79" i="17"/>
  <c r="A80" i="17"/>
  <c r="AB79" i="17"/>
  <c r="K79" i="17"/>
  <c r="X76" i="25"/>
  <c r="AB76" i="25"/>
  <c r="A77" i="25"/>
  <c r="K76" i="25"/>
  <c r="AK77" i="1"/>
  <c r="K77" i="1"/>
  <c r="X77" i="1"/>
  <c r="AJ77" i="1"/>
  <c r="L77" i="1"/>
  <c r="AB77" i="1"/>
  <c r="A78" i="16"/>
  <c r="AB77" i="16"/>
  <c r="K77" i="16"/>
  <c r="X77" i="16"/>
  <c r="AB78" i="20"/>
  <c r="A79" i="20"/>
  <c r="K78" i="20"/>
  <c r="X78" i="20"/>
  <c r="X77" i="24"/>
  <c r="AB77" i="24"/>
  <c r="K77" i="24"/>
  <c r="A78" i="24"/>
  <c r="K74" i="18"/>
  <c r="AB74" i="18"/>
  <c r="A75" i="18"/>
  <c r="X74" i="18"/>
  <c r="AB76" i="22"/>
  <c r="A77" i="22"/>
  <c r="X76" i="22"/>
  <c r="K76" i="22"/>
  <c r="K75" i="23"/>
  <c r="X75" i="23"/>
  <c r="AB75" i="23"/>
  <c r="A76" i="23"/>
  <c r="AB76" i="23"/>
  <c r="K76" i="23"/>
  <c r="A77" i="23"/>
  <c r="X76" i="23"/>
  <c r="AB79" i="20"/>
  <c r="A80" i="20"/>
  <c r="K79" i="20"/>
  <c r="X79" i="20"/>
  <c r="AJ78" i="1"/>
  <c r="X78" i="1"/>
  <c r="AB78" i="1"/>
  <c r="AK78" i="1"/>
  <c r="K78" i="1"/>
  <c r="L78" i="1"/>
  <c r="K77" i="25"/>
  <c r="A78" i="25"/>
  <c r="AB77" i="25"/>
  <c r="X77" i="25"/>
  <c r="K77" i="22"/>
  <c r="A78" i="22"/>
  <c r="AB77" i="22"/>
  <c r="X77" i="22"/>
  <c r="X75" i="18"/>
  <c r="K75" i="18"/>
  <c r="AB75" i="18"/>
  <c r="A76" i="18"/>
  <c r="X78" i="24"/>
  <c r="A79" i="24"/>
  <c r="AB78" i="24"/>
  <c r="K78" i="24"/>
  <c r="K78" i="16"/>
  <c r="A79" i="16"/>
  <c r="X78" i="16"/>
  <c r="AB78" i="16"/>
  <c r="A81" i="17"/>
  <c r="K80" i="17"/>
  <c r="X80" i="17"/>
  <c r="AB80" i="17"/>
  <c r="A78" i="15"/>
  <c r="X77" i="15"/>
  <c r="K77" i="15"/>
  <c r="AB77" i="15"/>
  <c r="K81" i="17"/>
  <c r="AB81" i="17"/>
  <c r="X81" i="17"/>
  <c r="A82" i="17"/>
  <c r="X78" i="15"/>
  <c r="AB78" i="15"/>
  <c r="K78" i="15"/>
  <c r="A79" i="15"/>
  <c r="X79" i="16"/>
  <c r="AB79" i="16"/>
  <c r="K79" i="16"/>
  <c r="A80" i="16"/>
  <c r="L79" i="16"/>
  <c r="D79" i="16" s="1"/>
  <c r="AB76" i="18"/>
  <c r="A77" i="18"/>
  <c r="X76" i="18"/>
  <c r="K76" i="18"/>
  <c r="A79" i="25"/>
  <c r="X78" i="25"/>
  <c r="K78" i="25"/>
  <c r="AB78" i="25"/>
  <c r="A81" i="20"/>
  <c r="X80" i="20"/>
  <c r="K80" i="20"/>
  <c r="AB80" i="20"/>
  <c r="AB77" i="23"/>
  <c r="X77" i="23"/>
  <c r="K77" i="23"/>
  <c r="A78" i="23"/>
  <c r="A80" i="24"/>
  <c r="X79" i="24"/>
  <c r="K79" i="24"/>
  <c r="AB79" i="24"/>
  <c r="AB78" i="22"/>
  <c r="K78" i="22"/>
  <c r="A79" i="22"/>
  <c r="X78" i="22"/>
  <c r="K79" i="1"/>
  <c r="X79" i="1"/>
  <c r="AK79" i="1"/>
  <c r="AJ79" i="1"/>
  <c r="L79" i="1"/>
  <c r="AB79" i="1"/>
  <c r="X81" i="20"/>
  <c r="K81" i="20"/>
  <c r="A82" i="20"/>
  <c r="AB81" i="20"/>
  <c r="X80" i="16"/>
  <c r="A81" i="16"/>
  <c r="K80" i="16"/>
  <c r="AB80" i="16"/>
  <c r="K82" i="17"/>
  <c r="A83" i="17"/>
  <c r="AB82" i="17"/>
  <c r="X82" i="17"/>
  <c r="AJ80" i="1"/>
  <c r="X80" i="1"/>
  <c r="L80" i="1"/>
  <c r="AK80" i="1"/>
  <c r="K80" i="1"/>
  <c r="AB80" i="1"/>
  <c r="AB79" i="22"/>
  <c r="A80" i="22"/>
  <c r="K79" i="22"/>
  <c r="X79" i="22"/>
  <c r="K80" i="24"/>
  <c r="A81" i="24"/>
  <c r="X80" i="24"/>
  <c r="AB80" i="24"/>
  <c r="K78" i="23"/>
  <c r="AB78" i="23"/>
  <c r="X78" i="23"/>
  <c r="A79" i="23"/>
  <c r="AB79" i="25"/>
  <c r="A80" i="25"/>
  <c r="X79" i="25"/>
  <c r="K79" i="25"/>
  <c r="X77" i="18"/>
  <c r="A78" i="18"/>
  <c r="AB77" i="18"/>
  <c r="K77" i="18"/>
  <c r="X79" i="15"/>
  <c r="AB79" i="15"/>
  <c r="K79" i="15"/>
  <c r="A80" i="15"/>
  <c r="AB80" i="25"/>
  <c r="A81" i="25"/>
  <c r="K80" i="25"/>
  <c r="X80" i="25"/>
  <c r="X79" i="23"/>
  <c r="A80" i="23"/>
  <c r="K79" i="23"/>
  <c r="AB79" i="23"/>
  <c r="AB81" i="16"/>
  <c r="X81" i="16"/>
  <c r="A82" i="16"/>
  <c r="K81" i="16"/>
  <c r="A83" i="20"/>
  <c r="X82" i="20"/>
  <c r="K82" i="20"/>
  <c r="AB82" i="20"/>
  <c r="K80" i="15"/>
  <c r="AB80" i="15"/>
  <c r="A81" i="15"/>
  <c r="X80" i="15"/>
  <c r="AB78" i="18"/>
  <c r="X78" i="18"/>
  <c r="A79" i="18"/>
  <c r="K78" i="18"/>
  <c r="AB81" i="24"/>
  <c r="A82" i="24"/>
  <c r="X81" i="24"/>
  <c r="K81" i="24"/>
  <c r="AB80" i="22"/>
  <c r="K80" i="22"/>
  <c r="X80" i="22"/>
  <c r="A81" i="22"/>
  <c r="AB81" i="1"/>
  <c r="X81" i="1"/>
  <c r="L81" i="1"/>
  <c r="AK81" i="1"/>
  <c r="AJ81" i="1"/>
  <c r="K81" i="1"/>
  <c r="K83" i="17"/>
  <c r="X83" i="17"/>
  <c r="A84" i="17"/>
  <c r="AB83" i="17"/>
  <c r="K84" i="17"/>
  <c r="AB84" i="17"/>
  <c r="X84" i="17"/>
  <c r="A85" i="17"/>
  <c r="AK82" i="1"/>
  <c r="K82" i="1"/>
  <c r="L82" i="1"/>
  <c r="X82" i="1"/>
  <c r="AJ82" i="1"/>
  <c r="AB82" i="1"/>
  <c r="X79" i="18"/>
  <c r="AB79" i="18"/>
  <c r="A80" i="18"/>
  <c r="K79" i="18"/>
  <c r="AB82" i="16"/>
  <c r="X82" i="16"/>
  <c r="K82" i="16"/>
  <c r="A83" i="16"/>
  <c r="A81" i="23"/>
  <c r="X80" i="23"/>
  <c r="AB80" i="23"/>
  <c r="K80" i="23"/>
  <c r="K81" i="25"/>
  <c r="A82" i="25"/>
  <c r="AB81" i="25"/>
  <c r="X81" i="25"/>
  <c r="K81" i="22"/>
  <c r="A82" i="22"/>
  <c r="AB81" i="22"/>
  <c r="X81" i="22"/>
  <c r="A83" i="24"/>
  <c r="AB82" i="24"/>
  <c r="K82" i="24"/>
  <c r="X82" i="24"/>
  <c r="A82" i="15"/>
  <c r="AB81" i="15"/>
  <c r="X81" i="15"/>
  <c r="K81" i="15"/>
  <c r="K83" i="20"/>
  <c r="A84" i="20"/>
  <c r="AB83" i="20"/>
  <c r="X83" i="20"/>
  <c r="X84" i="20"/>
  <c r="A85" i="20"/>
  <c r="AB84" i="20"/>
  <c r="K84" i="20"/>
  <c r="A84" i="24"/>
  <c r="X83" i="24"/>
  <c r="AB83" i="24"/>
  <c r="K83" i="24"/>
  <c r="AB82" i="22"/>
  <c r="K82" i="22"/>
  <c r="A83" i="22"/>
  <c r="X82" i="22"/>
  <c r="AB82" i="25"/>
  <c r="K82" i="25"/>
  <c r="X82" i="25"/>
  <c r="A83" i="25"/>
  <c r="A82" i="23"/>
  <c r="AB81" i="23"/>
  <c r="K81" i="23"/>
  <c r="X81" i="23"/>
  <c r="AB83" i="16"/>
  <c r="K83" i="16"/>
  <c r="X83" i="16"/>
  <c r="A84" i="16"/>
  <c r="AB85" i="17"/>
  <c r="A86" i="17"/>
  <c r="K85" i="17"/>
  <c r="X85" i="17"/>
  <c r="A83" i="15"/>
  <c r="K82" i="15"/>
  <c r="X82" i="15"/>
  <c r="AB82" i="15"/>
  <c r="K80" i="18"/>
  <c r="AB80" i="18"/>
  <c r="A81" i="18"/>
  <c r="X80" i="18"/>
  <c r="AJ83" i="1"/>
  <c r="K83" i="1"/>
  <c r="AK83" i="1"/>
  <c r="L83" i="1"/>
  <c r="AB83" i="1"/>
  <c r="X83" i="1"/>
  <c r="AB86" i="17"/>
  <c r="A87" i="17"/>
  <c r="K86" i="17"/>
  <c r="X86" i="17"/>
  <c r="AK84" i="1"/>
  <c r="L84" i="1"/>
  <c r="K84" i="1"/>
  <c r="AJ84" i="1"/>
  <c r="X84" i="1"/>
  <c r="AB84" i="1"/>
  <c r="A82" i="18"/>
  <c r="AB81" i="18"/>
  <c r="K81" i="18"/>
  <c r="X81" i="18"/>
  <c r="K83" i="15"/>
  <c r="AB83" i="15"/>
  <c r="X83" i="15"/>
  <c r="A84" i="15"/>
  <c r="AB84" i="16"/>
  <c r="L84" i="16"/>
  <c r="X84" i="16"/>
  <c r="K84" i="16"/>
  <c r="A85" i="16"/>
  <c r="X82" i="23"/>
  <c r="K82" i="23"/>
  <c r="A83" i="23"/>
  <c r="AB82" i="23"/>
  <c r="A85" i="24"/>
  <c r="K84" i="24"/>
  <c r="X84" i="24"/>
  <c r="AB84" i="24"/>
  <c r="A84" i="25"/>
  <c r="X83" i="25"/>
  <c r="AB83" i="25"/>
  <c r="K83" i="25"/>
  <c r="X83" i="22"/>
  <c r="A84" i="22"/>
  <c r="AB83" i="22"/>
  <c r="K83" i="22"/>
  <c r="AB85" i="20"/>
  <c r="X85" i="20"/>
  <c r="K85" i="20"/>
  <c r="A86" i="20"/>
  <c r="A87" i="20"/>
  <c r="AB86" i="20"/>
  <c r="K86" i="20"/>
  <c r="X86" i="20"/>
  <c r="D84" i="16"/>
  <c r="K84" i="15"/>
  <c r="A85" i="15"/>
  <c r="X84" i="15"/>
  <c r="AB84" i="15"/>
  <c r="A83" i="18"/>
  <c r="AB82" i="18"/>
  <c r="K82" i="18"/>
  <c r="X82" i="18"/>
  <c r="AJ85" i="1"/>
  <c r="L85" i="1"/>
  <c r="K85" i="1"/>
  <c r="X85" i="1"/>
  <c r="AK85" i="1"/>
  <c r="AB85" i="1"/>
  <c r="AB84" i="22"/>
  <c r="X84" i="22"/>
  <c r="A85" i="22"/>
  <c r="K84" i="22"/>
  <c r="A85" i="25"/>
  <c r="AB84" i="25"/>
  <c r="X84" i="25"/>
  <c r="K84" i="25"/>
  <c r="K85" i="24"/>
  <c r="X85" i="24"/>
  <c r="A86" i="24"/>
  <c r="AB85" i="24"/>
  <c r="X83" i="23"/>
  <c r="A84" i="23"/>
  <c r="K83" i="23"/>
  <c r="AB83" i="23"/>
  <c r="AB85" i="16"/>
  <c r="X85" i="16"/>
  <c r="A86" i="16"/>
  <c r="K85" i="16"/>
  <c r="A88" i="17"/>
  <c r="K87" i="17"/>
  <c r="X87" i="17"/>
  <c r="AB87" i="17"/>
  <c r="AB86" i="16"/>
  <c r="A87" i="16"/>
  <c r="K86" i="16"/>
  <c r="X86" i="16"/>
  <c r="K84" i="23"/>
  <c r="AB84" i="23"/>
  <c r="A85" i="23"/>
  <c r="X84" i="23"/>
  <c r="K85" i="22"/>
  <c r="AB85" i="22"/>
  <c r="X85" i="22"/>
  <c r="A86" i="22"/>
  <c r="AK86" i="1"/>
  <c r="AB86" i="1"/>
  <c r="X86" i="1"/>
  <c r="AJ86" i="1"/>
  <c r="L86" i="1"/>
  <c r="K86" i="1"/>
  <c r="X83" i="18"/>
  <c r="K83" i="18"/>
  <c r="AB83" i="18"/>
  <c r="A84" i="18"/>
  <c r="A89" i="17"/>
  <c r="A58" i="7"/>
  <c r="AB88" i="17"/>
  <c r="X88" i="17"/>
  <c r="K88" i="17"/>
  <c r="X86" i="24"/>
  <c r="K86" i="24"/>
  <c r="A87" i="24"/>
  <c r="AB86" i="24"/>
  <c r="X85" i="25"/>
  <c r="AB85" i="25"/>
  <c r="K85" i="25"/>
  <c r="A86" i="25"/>
  <c r="A86" i="15"/>
  <c r="X85" i="15"/>
  <c r="AB85" i="15"/>
  <c r="K85" i="15"/>
  <c r="X87" i="20"/>
  <c r="K87" i="20"/>
  <c r="AB87" i="20"/>
  <c r="A88" i="20"/>
  <c r="AB89" i="17"/>
  <c r="A90" i="17"/>
  <c r="K89" i="17"/>
  <c r="X89" i="17"/>
  <c r="K86" i="22"/>
  <c r="A87" i="22"/>
  <c r="X86" i="22"/>
  <c r="AB86" i="22"/>
  <c r="K87" i="16"/>
  <c r="A88" i="16"/>
  <c r="AB87" i="16"/>
  <c r="X87" i="16"/>
  <c r="K88" i="20"/>
  <c r="X88" i="20"/>
  <c r="A89" i="20"/>
  <c r="AB88" i="20"/>
  <c r="AE22" i="7"/>
  <c r="AB86" i="15"/>
  <c r="A87" i="15"/>
  <c r="K86" i="15"/>
  <c r="X86" i="15"/>
  <c r="AB86" i="25"/>
  <c r="K86" i="25"/>
  <c r="A87" i="25"/>
  <c r="X86" i="25"/>
  <c r="AB87" i="24"/>
  <c r="A88" i="24"/>
  <c r="X87" i="24"/>
  <c r="K87" i="24"/>
  <c r="AB84" i="18"/>
  <c r="K84" i="18"/>
  <c r="X84" i="18"/>
  <c r="A85" i="18"/>
  <c r="AJ87" i="1"/>
  <c r="X87" i="1"/>
  <c r="AK87" i="1"/>
  <c r="L87" i="1"/>
  <c r="AB87" i="1"/>
  <c r="K87" i="1"/>
  <c r="AB85" i="23"/>
  <c r="X85" i="23"/>
  <c r="K85" i="23"/>
  <c r="A86" i="23"/>
  <c r="A86" i="18"/>
  <c r="X85" i="18"/>
  <c r="AB85" i="18"/>
  <c r="K85" i="18"/>
  <c r="X87" i="25"/>
  <c r="AB87" i="25"/>
  <c r="K87" i="25"/>
  <c r="A88" i="25"/>
  <c r="X89" i="20"/>
  <c r="AB89" i="20"/>
  <c r="K89" i="20"/>
  <c r="A90" i="20"/>
  <c r="K87" i="22"/>
  <c r="AB87" i="22"/>
  <c r="A88" i="22"/>
  <c r="X87" i="22"/>
  <c r="X90" i="17"/>
  <c r="K90" i="17"/>
  <c r="AB90" i="17"/>
  <c r="A91" i="17"/>
  <c r="AB86" i="23"/>
  <c r="X86" i="23"/>
  <c r="K86" i="23"/>
  <c r="A87" i="23"/>
  <c r="AJ88" i="1"/>
  <c r="AB88" i="1"/>
  <c r="X88" i="1"/>
  <c r="AK88" i="1"/>
  <c r="K88" i="1"/>
  <c r="L88" i="1"/>
  <c r="B22" i="7" s="1"/>
  <c r="A22" i="7"/>
  <c r="A89" i="24"/>
  <c r="X88" i="24"/>
  <c r="K88" i="24"/>
  <c r="AB88" i="24"/>
  <c r="AE58" i="7"/>
  <c r="K87" i="15"/>
  <c r="A88" i="15"/>
  <c r="X87" i="15"/>
  <c r="AB87" i="15"/>
  <c r="X88" i="16"/>
  <c r="L88" i="16"/>
  <c r="B46" i="7" s="1"/>
  <c r="K88" i="16"/>
  <c r="A46" i="7"/>
  <c r="A89" i="16"/>
  <c r="AB88" i="16"/>
  <c r="AJ89" i="1"/>
  <c r="X89" i="1"/>
  <c r="AK89" i="1"/>
  <c r="K89" i="1"/>
  <c r="L89" i="1"/>
  <c r="AB89" i="1"/>
  <c r="X87" i="23"/>
  <c r="AB87" i="23"/>
  <c r="A88" i="23"/>
  <c r="K87" i="23"/>
  <c r="K91" i="17"/>
  <c r="X91" i="17"/>
  <c r="A92" i="17"/>
  <c r="AB91" i="17"/>
  <c r="AB90" i="20"/>
  <c r="X90" i="20"/>
  <c r="K90" i="20"/>
  <c r="A91" i="20"/>
  <c r="AB88" i="25"/>
  <c r="X88" i="25"/>
  <c r="A89" i="25"/>
  <c r="K88" i="25"/>
  <c r="AE70" i="7"/>
  <c r="X89" i="16"/>
  <c r="AB89" i="16"/>
  <c r="K89" i="16"/>
  <c r="A90" i="16"/>
  <c r="A34" i="7"/>
  <c r="AB88" i="15"/>
  <c r="A89" i="15"/>
  <c r="K88" i="15"/>
  <c r="X88" i="15"/>
  <c r="X89" i="24"/>
  <c r="K89" i="24"/>
  <c r="AB89" i="24"/>
  <c r="A90" i="24"/>
  <c r="AE34" i="7"/>
  <c r="K88" i="22"/>
  <c r="X88" i="22"/>
  <c r="AB88" i="22"/>
  <c r="A89" i="22"/>
  <c r="K86" i="18"/>
  <c r="X86" i="18"/>
  <c r="AB86" i="18"/>
  <c r="A87" i="18"/>
  <c r="A91" i="24"/>
  <c r="X90" i="24"/>
  <c r="AB90" i="24"/>
  <c r="K90" i="24"/>
  <c r="K89" i="15"/>
  <c r="X89" i="15"/>
  <c r="AB89" i="15"/>
  <c r="A90" i="15"/>
  <c r="A91" i="16"/>
  <c r="AB90" i="16"/>
  <c r="X90" i="16"/>
  <c r="K90" i="16"/>
  <c r="AB89" i="22"/>
  <c r="K89" i="22"/>
  <c r="X89" i="22"/>
  <c r="A90" i="22"/>
  <c r="X87" i="18"/>
  <c r="A88" i="18"/>
  <c r="K87" i="18"/>
  <c r="AB87" i="18"/>
  <c r="A90" i="25"/>
  <c r="X89" i="25"/>
  <c r="K89" i="25"/>
  <c r="AB89" i="25"/>
  <c r="X91" i="20"/>
  <c r="A92" i="20"/>
  <c r="K91" i="20"/>
  <c r="AB91" i="20"/>
  <c r="A93" i="17"/>
  <c r="K92" i="17"/>
  <c r="AB92" i="17"/>
  <c r="X92" i="17"/>
  <c r="AB88" i="23"/>
  <c r="X88" i="23"/>
  <c r="AE46" i="7"/>
  <c r="A89" i="23"/>
  <c r="K88" i="23"/>
  <c r="AJ90" i="1"/>
  <c r="L90" i="1"/>
  <c r="K90" i="1"/>
  <c r="AK90" i="1"/>
  <c r="X90" i="1"/>
  <c r="AB90" i="1"/>
  <c r="AB89" i="23"/>
  <c r="A90" i="23"/>
  <c r="K89" i="23"/>
  <c r="X89" i="23"/>
  <c r="A70" i="7"/>
  <c r="X88" i="18"/>
  <c r="A89" i="18"/>
  <c r="AB88" i="18"/>
  <c r="K88" i="18"/>
  <c r="A91" i="22"/>
  <c r="K90" i="22"/>
  <c r="X90" i="22"/>
  <c r="AB90" i="22"/>
  <c r="A91" i="15"/>
  <c r="AB90" i="15"/>
  <c r="K90" i="15"/>
  <c r="X90" i="15"/>
  <c r="AK91" i="1"/>
  <c r="X91" i="1"/>
  <c r="K91" i="1"/>
  <c r="L91" i="1"/>
  <c r="AJ91" i="1"/>
  <c r="AB91" i="1"/>
  <c r="K93" i="17"/>
  <c r="AB93" i="17"/>
  <c r="A94" i="17"/>
  <c r="X93" i="17"/>
  <c r="K92" i="20"/>
  <c r="X92" i="20"/>
  <c r="A93" i="20"/>
  <c r="AB92" i="20"/>
  <c r="X90" i="25"/>
  <c r="K90" i="25"/>
  <c r="A91" i="25"/>
  <c r="AB90" i="25"/>
  <c r="AB91" i="16"/>
  <c r="X91" i="16"/>
  <c r="A92" i="16"/>
  <c r="K91" i="16"/>
  <c r="X91" i="24"/>
  <c r="K91" i="24"/>
  <c r="A92" i="24"/>
  <c r="AB91" i="24"/>
  <c r="AB92" i="24"/>
  <c r="K92" i="24"/>
  <c r="X92" i="24"/>
  <c r="A93" i="24"/>
  <c r="A93" i="16"/>
  <c r="AB92" i="16"/>
  <c r="X92" i="16"/>
  <c r="K92" i="16"/>
  <c r="A94" i="20"/>
  <c r="K93" i="20"/>
  <c r="AB93" i="20"/>
  <c r="X93" i="20"/>
  <c r="AB91" i="15"/>
  <c r="X91" i="15"/>
  <c r="K91" i="15"/>
  <c r="A92" i="15"/>
  <c r="X91" i="22"/>
  <c r="AB91" i="22"/>
  <c r="K91" i="22"/>
  <c r="A92" i="22"/>
  <c r="AB89" i="18"/>
  <c r="K89" i="18"/>
  <c r="X89" i="18"/>
  <c r="A90" i="18"/>
  <c r="X91" i="25"/>
  <c r="AB91" i="25"/>
  <c r="K91" i="25"/>
  <c r="A92" i="25"/>
  <c r="AB94" i="17"/>
  <c r="X94" i="17"/>
  <c r="K94" i="17"/>
  <c r="A95" i="17"/>
  <c r="AJ92" i="1"/>
  <c r="AB92" i="1"/>
  <c r="L92" i="1"/>
  <c r="X92" i="1"/>
  <c r="AK92" i="1"/>
  <c r="K92" i="1"/>
  <c r="X90" i="23"/>
  <c r="AB90" i="23"/>
  <c r="A91" i="23"/>
  <c r="K90" i="23"/>
  <c r="K95" i="17"/>
  <c r="X95" i="17"/>
  <c r="AB95" i="17"/>
  <c r="A96" i="17"/>
  <c r="X92" i="25"/>
  <c r="A93" i="25"/>
  <c r="AB92" i="25"/>
  <c r="K92" i="25"/>
  <c r="X94" i="20"/>
  <c r="A95" i="20"/>
  <c r="AB94" i="20"/>
  <c r="K94" i="20"/>
  <c r="X91" i="23"/>
  <c r="A92" i="23"/>
  <c r="K91" i="23"/>
  <c r="AB91" i="23"/>
  <c r="AK93" i="1"/>
  <c r="X93" i="1"/>
  <c r="K93" i="1"/>
  <c r="AJ93" i="1"/>
  <c r="AB93" i="1"/>
  <c r="L93" i="1"/>
  <c r="X90" i="18"/>
  <c r="AB90" i="18"/>
  <c r="A91" i="18"/>
  <c r="K90" i="18"/>
  <c r="A93" i="22"/>
  <c r="X92" i="22"/>
  <c r="K92" i="22"/>
  <c r="AB92" i="22"/>
  <c r="K92" i="15"/>
  <c r="X92" i="15"/>
  <c r="A93" i="15"/>
  <c r="AB92" i="15"/>
  <c r="K93" i="16"/>
  <c r="A94" i="16"/>
  <c r="X93" i="16"/>
  <c r="AB93" i="16"/>
  <c r="A94" i="24"/>
  <c r="X93" i="24"/>
  <c r="K93" i="24"/>
  <c r="AB93" i="24"/>
  <c r="A95" i="24"/>
  <c r="AB94" i="24"/>
  <c r="K94" i="24"/>
  <c r="X94" i="24"/>
  <c r="A95" i="16"/>
  <c r="K94" i="16"/>
  <c r="AB94" i="16"/>
  <c r="X94" i="16"/>
  <c r="AJ94" i="1"/>
  <c r="L94" i="1"/>
  <c r="AB94" i="1"/>
  <c r="X94" i="1"/>
  <c r="AK94" i="1"/>
  <c r="K94" i="1"/>
  <c r="AB93" i="15"/>
  <c r="K93" i="15"/>
  <c r="A94" i="15"/>
  <c r="X93" i="15"/>
  <c r="K93" i="22"/>
  <c r="X93" i="22"/>
  <c r="AB93" i="22"/>
  <c r="A94" i="22"/>
  <c r="A92" i="18"/>
  <c r="K91" i="18"/>
  <c r="AB91" i="18"/>
  <c r="X91" i="18"/>
  <c r="K92" i="23"/>
  <c r="X92" i="23"/>
  <c r="AB92" i="23"/>
  <c r="A93" i="23"/>
  <c r="A96" i="20"/>
  <c r="K95" i="20"/>
  <c r="AB95" i="20"/>
  <c r="X95" i="20"/>
  <c r="X93" i="25"/>
  <c r="K93" i="25"/>
  <c r="A94" i="25"/>
  <c r="AB93" i="25"/>
  <c r="K96" i="17"/>
  <c r="A97" i="17"/>
  <c r="X96" i="17"/>
  <c r="AB96" i="17"/>
  <c r="A98" i="17"/>
  <c r="AB97" i="17"/>
  <c r="X97" i="17"/>
  <c r="K97" i="17"/>
  <c r="K94" i="25"/>
  <c r="X94" i="25"/>
  <c r="AB94" i="25"/>
  <c r="A95" i="25"/>
  <c r="A94" i="23"/>
  <c r="AB93" i="23"/>
  <c r="K93" i="23"/>
  <c r="X93" i="23"/>
  <c r="AB92" i="18"/>
  <c r="A93" i="18"/>
  <c r="K92" i="18"/>
  <c r="X92" i="18"/>
  <c r="X94" i="22"/>
  <c r="AB94" i="22"/>
  <c r="A95" i="22"/>
  <c r="K94" i="22"/>
  <c r="AK95" i="1"/>
  <c r="AB95" i="1"/>
  <c r="L95" i="1"/>
  <c r="AJ95" i="1"/>
  <c r="K95" i="1"/>
  <c r="X95" i="1"/>
  <c r="AB95" i="24"/>
  <c r="X95" i="24"/>
  <c r="A96" i="24"/>
  <c r="K95" i="24"/>
  <c r="X96" i="20"/>
  <c r="AB96" i="20"/>
  <c r="A97" i="20"/>
  <c r="K96" i="20"/>
  <c r="K94" i="15"/>
  <c r="AB94" i="15"/>
  <c r="X94" i="15"/>
  <c r="A95" i="15"/>
  <c r="K95" i="16"/>
  <c r="A96" i="16"/>
  <c r="AB95" i="16"/>
  <c r="X95" i="16"/>
  <c r="K96" i="16"/>
  <c r="AB96" i="16"/>
  <c r="X96" i="16"/>
  <c r="A97" i="16"/>
  <c r="X97" i="20"/>
  <c r="AB97" i="20"/>
  <c r="K97" i="20"/>
  <c r="A98" i="20"/>
  <c r="X98" i="17"/>
  <c r="K98" i="17"/>
  <c r="AB98" i="17"/>
  <c r="A99" i="17"/>
  <c r="X95" i="15"/>
  <c r="K95" i="15"/>
  <c r="A96" i="15"/>
  <c r="AB95" i="15"/>
  <c r="X96" i="24"/>
  <c r="K96" i="24"/>
  <c r="A97" i="24"/>
  <c r="AB96" i="24"/>
  <c r="AK96" i="1"/>
  <c r="AB96" i="1"/>
  <c r="AJ96" i="1"/>
  <c r="L96" i="1"/>
  <c r="K96" i="1"/>
  <c r="X96" i="1"/>
  <c r="K95" i="22"/>
  <c r="A96" i="22"/>
  <c r="AB95" i="22"/>
  <c r="X95" i="22"/>
  <c r="X93" i="18"/>
  <c r="AB93" i="18"/>
  <c r="K93" i="18"/>
  <c r="A94" i="18"/>
  <c r="AB94" i="23"/>
  <c r="A95" i="23"/>
  <c r="K94" i="23"/>
  <c r="X94" i="23"/>
  <c r="A96" i="25"/>
  <c r="AB95" i="25"/>
  <c r="K95" i="25"/>
  <c r="X95" i="25"/>
  <c r="A95" i="18"/>
  <c r="X94" i="18"/>
  <c r="K94" i="18"/>
  <c r="AB94" i="18"/>
  <c r="X96" i="22"/>
  <c r="AB96" i="22"/>
  <c r="K96" i="22"/>
  <c r="A97" i="22"/>
  <c r="K97" i="24"/>
  <c r="A98" i="24"/>
  <c r="X97" i="24"/>
  <c r="AB97" i="24"/>
  <c r="K99" i="17"/>
  <c r="X99" i="17"/>
  <c r="AB99" i="17"/>
  <c r="A100" i="17"/>
  <c r="X96" i="25"/>
  <c r="K96" i="25"/>
  <c r="AB96" i="25"/>
  <c r="A97" i="25"/>
  <c r="K95" i="23"/>
  <c r="A96" i="23"/>
  <c r="X95" i="23"/>
  <c r="AB95" i="23"/>
  <c r="AJ97" i="1"/>
  <c r="AB97" i="1"/>
  <c r="AK97" i="1"/>
  <c r="L97" i="1"/>
  <c r="X97" i="1"/>
  <c r="K97" i="1"/>
  <c r="K96" i="15"/>
  <c r="X96" i="15"/>
  <c r="A97" i="15"/>
  <c r="AB96" i="15"/>
  <c r="X98" i="20"/>
  <c r="A99" i="20"/>
  <c r="AB98" i="20"/>
  <c r="K98" i="20"/>
  <c r="AB97" i="16"/>
  <c r="X97" i="16"/>
  <c r="A98" i="16"/>
  <c r="K97" i="16"/>
  <c r="X99" i="20"/>
  <c r="A100" i="20"/>
  <c r="K99" i="20"/>
  <c r="AB99" i="20"/>
  <c r="K96" i="23"/>
  <c r="AB96" i="23"/>
  <c r="A97" i="23"/>
  <c r="X96" i="23"/>
  <c r="A98" i="25"/>
  <c r="X97" i="25"/>
  <c r="K97" i="25"/>
  <c r="AB97" i="25"/>
  <c r="K98" i="24"/>
  <c r="X98" i="24"/>
  <c r="AB98" i="24"/>
  <c r="A99" i="24"/>
  <c r="A96" i="18"/>
  <c r="X95" i="18"/>
  <c r="AB95" i="18"/>
  <c r="K95" i="18"/>
  <c r="A99" i="16"/>
  <c r="K98" i="16"/>
  <c r="X98" i="16"/>
  <c r="AB98" i="16"/>
  <c r="A98" i="15"/>
  <c r="K97" i="15"/>
  <c r="AB97" i="15"/>
  <c r="X97" i="15"/>
  <c r="AJ98" i="1"/>
  <c r="L98" i="1"/>
  <c r="K98" i="1"/>
  <c r="AB98" i="1"/>
  <c r="AK98" i="1"/>
  <c r="X98" i="1"/>
  <c r="K100" i="17"/>
  <c r="AB100" i="17"/>
  <c r="A101" i="17"/>
  <c r="X100" i="17"/>
  <c r="K97" i="22"/>
  <c r="X97" i="22"/>
  <c r="AB97" i="22"/>
  <c r="A98" i="22"/>
  <c r="AB101" i="17"/>
  <c r="X101" i="17"/>
  <c r="K101" i="17"/>
  <c r="A102" i="17"/>
  <c r="K99" i="16"/>
  <c r="A100" i="16"/>
  <c r="X99" i="16"/>
  <c r="AB99" i="16"/>
  <c r="X99" i="24"/>
  <c r="AB99" i="24"/>
  <c r="K99" i="24"/>
  <c r="A100" i="24"/>
  <c r="A98" i="23"/>
  <c r="X97" i="23"/>
  <c r="K97" i="23"/>
  <c r="AB97" i="23"/>
  <c r="A101" i="20"/>
  <c r="X100" i="20"/>
  <c r="AB100" i="20"/>
  <c r="K100" i="20"/>
  <c r="X98" i="22"/>
  <c r="K98" i="22"/>
  <c r="A99" i="22"/>
  <c r="AB98" i="22"/>
  <c r="AJ99" i="1"/>
  <c r="L99" i="1"/>
  <c r="K99" i="1"/>
  <c r="AK99" i="1"/>
  <c r="X99" i="1"/>
  <c r="AB99" i="1"/>
  <c r="X98" i="15"/>
  <c r="AB98" i="15"/>
  <c r="K98" i="15"/>
  <c r="A99" i="15"/>
  <c r="K96" i="18"/>
  <c r="AB96" i="18"/>
  <c r="A97" i="18"/>
  <c r="X96" i="18"/>
  <c r="X98" i="25"/>
  <c r="A99" i="25"/>
  <c r="K98" i="25"/>
  <c r="AB98" i="25"/>
  <c r="X99" i="15"/>
  <c r="K99" i="15"/>
  <c r="AB99" i="15"/>
  <c r="A100" i="15"/>
  <c r="AK100" i="1"/>
  <c r="AB100" i="1"/>
  <c r="L100" i="1"/>
  <c r="AJ100" i="1"/>
  <c r="X100" i="1"/>
  <c r="K100" i="1"/>
  <c r="X101" i="20"/>
  <c r="K101" i="20"/>
  <c r="A102" i="20"/>
  <c r="AB101" i="20"/>
  <c r="X100" i="24"/>
  <c r="A101" i="24"/>
  <c r="K100" i="24"/>
  <c r="AB100" i="24"/>
  <c r="A101" i="16"/>
  <c r="X100" i="16"/>
  <c r="AB100" i="16"/>
  <c r="K100" i="16"/>
  <c r="L100" i="16"/>
  <c r="D100" i="16" s="1"/>
  <c r="K99" i="25"/>
  <c r="X99" i="25"/>
  <c r="A100" i="25"/>
  <c r="AB99" i="25"/>
  <c r="K97" i="18"/>
  <c r="A98" i="18"/>
  <c r="AB97" i="18"/>
  <c r="X97" i="18"/>
  <c r="AB99" i="22"/>
  <c r="K99" i="22"/>
  <c r="X99" i="22"/>
  <c r="A100" i="22"/>
  <c r="K98" i="23"/>
  <c r="A99" i="23"/>
  <c r="X98" i="23"/>
  <c r="AB98" i="23"/>
  <c r="K102" i="17"/>
  <c r="X102" i="17"/>
  <c r="AB102" i="17"/>
  <c r="A103" i="17"/>
  <c r="K99" i="23"/>
  <c r="AB99" i="23"/>
  <c r="A100" i="23"/>
  <c r="X99" i="23"/>
  <c r="X100" i="22"/>
  <c r="A101" i="22"/>
  <c r="K100" i="22"/>
  <c r="AB100" i="22"/>
  <c r="K98" i="18"/>
  <c r="X98" i="18"/>
  <c r="A99" i="18"/>
  <c r="AB98" i="18"/>
  <c r="K100" i="25"/>
  <c r="A101" i="25"/>
  <c r="AB100" i="25"/>
  <c r="X100" i="25"/>
  <c r="A102" i="16"/>
  <c r="X101" i="16"/>
  <c r="L101" i="16"/>
  <c r="D101" i="16" s="1"/>
  <c r="K101" i="16"/>
  <c r="AB101" i="16"/>
  <c r="A104" i="17"/>
  <c r="AB103" i="17"/>
  <c r="K103" i="17"/>
  <c r="X103" i="17"/>
  <c r="K101" i="24"/>
  <c r="AB101" i="24"/>
  <c r="X101" i="24"/>
  <c r="A102" i="24"/>
  <c r="X102" i="20"/>
  <c r="AB102" i="20"/>
  <c r="A103" i="20"/>
  <c r="K102" i="20"/>
  <c r="AJ101" i="1"/>
  <c r="L101" i="1"/>
  <c r="X101" i="1"/>
  <c r="AK101" i="1"/>
  <c r="K101" i="1"/>
  <c r="AB101" i="1"/>
  <c r="K100" i="15"/>
  <c r="X100" i="15"/>
  <c r="A101" i="15"/>
  <c r="AB100" i="15"/>
  <c r="X101" i="15"/>
  <c r="K101" i="15"/>
  <c r="A102" i="15"/>
  <c r="AB101" i="15"/>
  <c r="AJ102" i="1"/>
  <c r="X102" i="1"/>
  <c r="L102" i="1"/>
  <c r="AB102" i="1"/>
  <c r="AK102" i="1"/>
  <c r="K102" i="1"/>
  <c r="AB104" i="17"/>
  <c r="X104" i="17"/>
  <c r="A105" i="17"/>
  <c r="K104" i="17"/>
  <c r="A103" i="16"/>
  <c r="K102" i="16"/>
  <c r="AB102" i="16"/>
  <c r="X102" i="16"/>
  <c r="A102" i="25"/>
  <c r="X101" i="25"/>
  <c r="AB101" i="25"/>
  <c r="K101" i="25"/>
  <c r="K101" i="22"/>
  <c r="AB101" i="22"/>
  <c r="X101" i="22"/>
  <c r="A102" i="22"/>
  <c r="A101" i="23"/>
  <c r="AB100" i="23"/>
  <c r="K100" i="23"/>
  <c r="X100" i="23"/>
  <c r="A104" i="20"/>
  <c r="AB103" i="20"/>
  <c r="X103" i="20"/>
  <c r="K103" i="20"/>
  <c r="K102" i="24"/>
  <c r="AB102" i="24"/>
  <c r="A103" i="24"/>
  <c r="X102" i="24"/>
  <c r="X99" i="18"/>
  <c r="AB99" i="18"/>
  <c r="K99" i="18"/>
  <c r="A100" i="18"/>
  <c r="K103" i="24"/>
  <c r="A104" i="24"/>
  <c r="AB103" i="24"/>
  <c r="X103" i="24"/>
  <c r="K104" i="20"/>
  <c r="A105" i="20"/>
  <c r="AB104" i="20"/>
  <c r="X104" i="20"/>
  <c r="K101" i="23"/>
  <c r="A102" i="23"/>
  <c r="AB101" i="23"/>
  <c r="X101" i="23"/>
  <c r="A103" i="25"/>
  <c r="K102" i="25"/>
  <c r="X102" i="25"/>
  <c r="AB102" i="25"/>
  <c r="AK103" i="1"/>
  <c r="L103" i="1"/>
  <c r="X103" i="1"/>
  <c r="AJ103" i="1"/>
  <c r="K103" i="1"/>
  <c r="AB103" i="1"/>
  <c r="A103" i="15"/>
  <c r="K102" i="15"/>
  <c r="AB102" i="15"/>
  <c r="X102" i="15"/>
  <c r="X100" i="18"/>
  <c r="AB100" i="18"/>
  <c r="K100" i="18"/>
  <c r="A101" i="18"/>
  <c r="AB102" i="22"/>
  <c r="X102" i="22"/>
  <c r="A103" i="22"/>
  <c r="K102" i="22"/>
  <c r="A104" i="16"/>
  <c r="X103" i="16"/>
  <c r="K103" i="16"/>
  <c r="AB103" i="16"/>
  <c r="L103" i="16"/>
  <c r="D103" i="16" s="1"/>
  <c r="A106" i="17"/>
  <c r="AB105" i="17"/>
  <c r="X105" i="17"/>
  <c r="K105" i="17"/>
  <c r="AB104" i="16"/>
  <c r="X104" i="16"/>
  <c r="A105" i="16"/>
  <c r="K104" i="16"/>
  <c r="K102" i="23"/>
  <c r="X102" i="23"/>
  <c r="A103" i="23"/>
  <c r="AB102" i="23"/>
  <c r="AB105" i="20"/>
  <c r="K105" i="20"/>
  <c r="A106" i="20"/>
  <c r="X105" i="20"/>
  <c r="X104" i="24"/>
  <c r="K104" i="24"/>
  <c r="AB104" i="24"/>
  <c r="A105" i="24"/>
  <c r="X106" i="17"/>
  <c r="A107" i="17"/>
  <c r="K106" i="17"/>
  <c r="AB106" i="17"/>
  <c r="AB103" i="22"/>
  <c r="X103" i="22"/>
  <c r="A104" i="22"/>
  <c r="K103" i="22"/>
  <c r="K101" i="18"/>
  <c r="X101" i="18"/>
  <c r="A102" i="18"/>
  <c r="AB101" i="18"/>
  <c r="A104" i="15"/>
  <c r="AB103" i="15"/>
  <c r="X103" i="15"/>
  <c r="K103" i="15"/>
  <c r="AJ104" i="1"/>
  <c r="AK104" i="1"/>
  <c r="AB104" i="1"/>
  <c r="K104" i="1"/>
  <c r="X104" i="1"/>
  <c r="L104" i="1"/>
  <c r="K103" i="25"/>
  <c r="X103" i="25"/>
  <c r="A104" i="25"/>
  <c r="AB103" i="25"/>
  <c r="A105" i="15"/>
  <c r="AB104" i="15"/>
  <c r="X104" i="15"/>
  <c r="K104" i="15"/>
  <c r="AB104" i="25"/>
  <c r="X104" i="25"/>
  <c r="A105" i="25"/>
  <c r="K104" i="25"/>
  <c r="AK105" i="1"/>
  <c r="K105" i="1"/>
  <c r="X105" i="1"/>
  <c r="AJ105" i="1"/>
  <c r="L105" i="1"/>
  <c r="AB105" i="1"/>
  <c r="X102" i="18"/>
  <c r="AB102" i="18"/>
  <c r="A103" i="18"/>
  <c r="K102" i="18"/>
  <c r="A105" i="22"/>
  <c r="K104" i="22"/>
  <c r="X104" i="22"/>
  <c r="AB104" i="22"/>
  <c r="AB106" i="20"/>
  <c r="X106" i="20"/>
  <c r="A107" i="20"/>
  <c r="K106" i="20"/>
  <c r="X103" i="23"/>
  <c r="K103" i="23"/>
  <c r="A104" i="23"/>
  <c r="AB103" i="23"/>
  <c r="AB107" i="17"/>
  <c r="A108" i="17"/>
  <c r="K107" i="17"/>
  <c r="X107" i="17"/>
  <c r="AB105" i="24"/>
  <c r="X105" i="24"/>
  <c r="A106" i="24"/>
  <c r="K105" i="24"/>
  <c r="AB105" i="16"/>
  <c r="X105" i="16"/>
  <c r="K105" i="16"/>
  <c r="A106" i="16"/>
  <c r="K107" i="20"/>
  <c r="X107" i="20"/>
  <c r="AB107" i="20"/>
  <c r="A108" i="20"/>
  <c r="A106" i="22"/>
  <c r="AB105" i="22"/>
  <c r="K105" i="22"/>
  <c r="X105" i="22"/>
  <c r="K103" i="18"/>
  <c r="X103" i="18"/>
  <c r="AB103" i="18"/>
  <c r="A104" i="18"/>
  <c r="K105" i="25"/>
  <c r="X105" i="25"/>
  <c r="AB105" i="25"/>
  <c r="A106" i="25"/>
  <c r="AB105" i="15"/>
  <c r="K105" i="15"/>
  <c r="A106" i="15"/>
  <c r="X105" i="15"/>
  <c r="K106" i="16"/>
  <c r="AB106" i="16"/>
  <c r="A107" i="16"/>
  <c r="X106" i="16"/>
  <c r="X106" i="24"/>
  <c r="K106" i="24"/>
  <c r="AB106" i="24"/>
  <c r="A107" i="24"/>
  <c r="X108" i="17"/>
  <c r="A109" i="17"/>
  <c r="AB108" i="17"/>
  <c r="K108" i="17"/>
  <c r="K104" i="23"/>
  <c r="AB104" i="23"/>
  <c r="X104" i="23"/>
  <c r="A105" i="23"/>
  <c r="AK106" i="1"/>
  <c r="X106" i="1"/>
  <c r="L106" i="1"/>
  <c r="AJ106" i="1"/>
  <c r="K106" i="1"/>
  <c r="AB106" i="1"/>
  <c r="AK107" i="1"/>
  <c r="X107" i="1"/>
  <c r="L107" i="1"/>
  <c r="AB107" i="1"/>
  <c r="AJ107" i="1"/>
  <c r="K107" i="1"/>
  <c r="K109" i="17"/>
  <c r="X109" i="17"/>
  <c r="A110" i="17"/>
  <c r="AB109" i="17"/>
  <c r="AB107" i="16"/>
  <c r="L107" i="16"/>
  <c r="D107" i="16" s="1"/>
  <c r="K107" i="16"/>
  <c r="A108" i="16"/>
  <c r="X107" i="16"/>
  <c r="AB105" i="23"/>
  <c r="X105" i="23"/>
  <c r="K105" i="23"/>
  <c r="A106" i="23"/>
  <c r="X107" i="24"/>
  <c r="K107" i="24"/>
  <c r="A108" i="24"/>
  <c r="AB107" i="24"/>
  <c r="K106" i="15"/>
  <c r="X106" i="15"/>
  <c r="AB106" i="15"/>
  <c r="A107" i="15"/>
  <c r="A107" i="25"/>
  <c r="X106" i="25"/>
  <c r="AB106" i="25"/>
  <c r="K106" i="25"/>
  <c r="A105" i="18"/>
  <c r="AB104" i="18"/>
  <c r="K104" i="18"/>
  <c r="X104" i="18"/>
  <c r="X106" i="22"/>
  <c r="K106" i="22"/>
  <c r="AB106" i="22"/>
  <c r="A107" i="22"/>
  <c r="X108" i="20"/>
  <c r="K108" i="20"/>
  <c r="AB108" i="20"/>
  <c r="A109" i="20"/>
  <c r="K105" i="18"/>
  <c r="X105" i="18"/>
  <c r="AB105" i="18"/>
  <c r="A106" i="18"/>
  <c r="K107" i="25"/>
  <c r="A108" i="25"/>
  <c r="AB107" i="25"/>
  <c r="X107" i="25"/>
  <c r="AB107" i="15"/>
  <c r="X107" i="15"/>
  <c r="A108" i="15"/>
  <c r="K107" i="15"/>
  <c r="K108" i="24"/>
  <c r="X108" i="24"/>
  <c r="A109" i="24"/>
  <c r="AB108" i="24"/>
  <c r="X106" i="23"/>
  <c r="K106" i="23"/>
  <c r="AB106" i="23"/>
  <c r="A107" i="23"/>
  <c r="A109" i="16"/>
  <c r="AB108" i="16"/>
  <c r="X108" i="16"/>
  <c r="K108" i="16"/>
  <c r="L108" i="16"/>
  <c r="D108" i="16" s="1"/>
  <c r="K110" i="17"/>
  <c r="A111" i="17"/>
  <c r="AB110" i="17"/>
  <c r="X110" i="17"/>
  <c r="AK108" i="1"/>
  <c r="K108" i="1"/>
  <c r="AJ108" i="1"/>
  <c r="X108" i="1"/>
  <c r="L108" i="1"/>
  <c r="AB108" i="1"/>
  <c r="X109" i="20"/>
  <c r="K109" i="20"/>
  <c r="AB109" i="20"/>
  <c r="A110" i="20"/>
  <c r="X107" i="22"/>
  <c r="AB107" i="22"/>
  <c r="A108" i="22"/>
  <c r="K107" i="22"/>
  <c r="AB110" i="20"/>
  <c r="A111" i="20"/>
  <c r="K110" i="20"/>
  <c r="X110" i="20"/>
  <c r="AJ109" i="1"/>
  <c r="L109" i="1"/>
  <c r="K109" i="1"/>
  <c r="AK109" i="1"/>
  <c r="AB109" i="1"/>
  <c r="X109" i="1"/>
  <c r="X109" i="16"/>
  <c r="AB109" i="16"/>
  <c r="K109" i="16"/>
  <c r="A110" i="16"/>
  <c r="AB108" i="25"/>
  <c r="A109" i="25"/>
  <c r="K108" i="25"/>
  <c r="X108" i="25"/>
  <c r="AB108" i="22"/>
  <c r="X108" i="22"/>
  <c r="K108" i="22"/>
  <c r="A109" i="22"/>
  <c r="AB111" i="17"/>
  <c r="A112" i="17"/>
  <c r="X111" i="17"/>
  <c r="K111" i="17"/>
  <c r="X107" i="23"/>
  <c r="AB107" i="23"/>
  <c r="A108" i="23"/>
  <c r="K107" i="23"/>
  <c r="A110" i="24"/>
  <c r="K109" i="24"/>
  <c r="AB109" i="24"/>
  <c r="X109" i="24"/>
  <c r="X108" i="15"/>
  <c r="A109" i="15"/>
  <c r="K108" i="15"/>
  <c r="AB108" i="15"/>
  <c r="X106" i="18"/>
  <c r="K106" i="18"/>
  <c r="AB106" i="18"/>
  <c r="A107" i="18"/>
  <c r="A110" i="15"/>
  <c r="K109" i="15"/>
  <c r="X109" i="15"/>
  <c r="AB109" i="15"/>
  <c r="K110" i="24"/>
  <c r="AB110" i="24"/>
  <c r="X110" i="24"/>
  <c r="A111" i="24"/>
  <c r="AK110" i="1"/>
  <c r="K110" i="1"/>
  <c r="L110" i="1"/>
  <c r="AJ110" i="1"/>
  <c r="AB110" i="1"/>
  <c r="X110" i="1"/>
  <c r="X111" i="20"/>
  <c r="A112" i="20"/>
  <c r="AB111" i="20"/>
  <c r="K111" i="20"/>
  <c r="X107" i="18"/>
  <c r="A108" i="18"/>
  <c r="K107" i="18"/>
  <c r="AB107" i="18"/>
  <c r="K108" i="23"/>
  <c r="X108" i="23"/>
  <c r="AB108" i="23"/>
  <c r="A109" i="23"/>
  <c r="X112" i="17"/>
  <c r="A113" i="17"/>
  <c r="AB112" i="17"/>
  <c r="K112" i="17"/>
  <c r="K109" i="22"/>
  <c r="AB109" i="22"/>
  <c r="A110" i="22"/>
  <c r="X109" i="22"/>
  <c r="A110" i="25"/>
  <c r="X109" i="25"/>
  <c r="K109" i="25"/>
  <c r="AB109" i="25"/>
  <c r="A111" i="16"/>
  <c r="AB110" i="16"/>
  <c r="K110" i="16"/>
  <c r="X110" i="16"/>
  <c r="L110" i="16"/>
  <c r="D110" i="16" s="1"/>
  <c r="A112" i="16"/>
  <c r="X111" i="16"/>
  <c r="AB111" i="16"/>
  <c r="K111" i="16"/>
  <c r="A111" i="25"/>
  <c r="AB110" i="25"/>
  <c r="K110" i="25"/>
  <c r="X110" i="25"/>
  <c r="K110" i="22"/>
  <c r="AB110" i="22"/>
  <c r="X110" i="22"/>
  <c r="A111" i="22"/>
  <c r="L113" i="17"/>
  <c r="D113" i="17" s="1"/>
  <c r="A114" i="17"/>
  <c r="K113" i="17"/>
  <c r="AB113" i="17"/>
  <c r="X113" i="17"/>
  <c r="AB108" i="18"/>
  <c r="A109" i="18"/>
  <c r="X108" i="18"/>
  <c r="K108" i="18"/>
  <c r="A111" i="15"/>
  <c r="AB110" i="15"/>
  <c r="X110" i="15"/>
  <c r="K110" i="15"/>
  <c r="K109" i="23"/>
  <c r="AB109" i="23"/>
  <c r="X109" i="23"/>
  <c r="A110" i="23"/>
  <c r="K112" i="20"/>
  <c r="X112" i="20"/>
  <c r="A113" i="20"/>
  <c r="AB112" i="20"/>
  <c r="AJ111" i="1"/>
  <c r="L111" i="1"/>
  <c r="AB111" i="1"/>
  <c r="AK111" i="1"/>
  <c r="X111" i="1"/>
  <c r="K111" i="1"/>
  <c r="X111" i="24"/>
  <c r="AB111" i="24"/>
  <c r="A112" i="24"/>
  <c r="K111" i="24"/>
  <c r="AK112" i="1"/>
  <c r="L112" i="1"/>
  <c r="K112" i="1"/>
  <c r="AJ112" i="1"/>
  <c r="AB112" i="1"/>
  <c r="X112" i="1"/>
  <c r="K112" i="24"/>
  <c r="A113" i="24"/>
  <c r="X112" i="24"/>
  <c r="AB112" i="24"/>
  <c r="K110" i="23"/>
  <c r="X110" i="23"/>
  <c r="AB110" i="23"/>
  <c r="A111" i="23"/>
  <c r="A112" i="15"/>
  <c r="K111" i="15"/>
  <c r="AB111" i="15"/>
  <c r="X111" i="15"/>
  <c r="AB114" i="17"/>
  <c r="K114" i="17"/>
  <c r="X114" i="17"/>
  <c r="A115" i="17"/>
  <c r="X111" i="22"/>
  <c r="K111" i="22"/>
  <c r="A112" i="22"/>
  <c r="AB111" i="22"/>
  <c r="A112" i="25"/>
  <c r="X111" i="25"/>
  <c r="K111" i="25"/>
  <c r="AB111" i="25"/>
  <c r="AB112" i="16"/>
  <c r="K112" i="16"/>
  <c r="A113" i="16"/>
  <c r="X112" i="16"/>
  <c r="A114" i="20"/>
  <c r="K113" i="20"/>
  <c r="AB113" i="20"/>
  <c r="X113" i="20"/>
  <c r="X109" i="18"/>
  <c r="K109" i="18"/>
  <c r="AB109" i="18"/>
  <c r="A110" i="18"/>
  <c r="AB112" i="25"/>
  <c r="A113" i="25"/>
  <c r="K112" i="25"/>
  <c r="X112" i="25"/>
  <c r="AB112" i="22"/>
  <c r="K112" i="22"/>
  <c r="A113" i="22"/>
  <c r="X112" i="22"/>
  <c r="A113" i="15"/>
  <c r="AB112" i="15"/>
  <c r="K112" i="15"/>
  <c r="X112" i="15"/>
  <c r="A114" i="24"/>
  <c r="AB113" i="24"/>
  <c r="X113" i="24"/>
  <c r="K113" i="24"/>
  <c r="AK113" i="1"/>
  <c r="K113" i="1"/>
  <c r="L113" i="1"/>
  <c r="X113" i="1"/>
  <c r="AJ113" i="1"/>
  <c r="AB113" i="1"/>
  <c r="A111" i="18"/>
  <c r="X110" i="18"/>
  <c r="K110" i="18"/>
  <c r="AB110" i="18"/>
  <c r="K114" i="20"/>
  <c r="A115" i="20"/>
  <c r="AB114" i="20"/>
  <c r="X114" i="20"/>
  <c r="K113" i="16"/>
  <c r="A114" i="16"/>
  <c r="X113" i="16"/>
  <c r="AB113" i="16"/>
  <c r="A116" i="17"/>
  <c r="K115" i="17"/>
  <c r="X115" i="17"/>
  <c r="AB115" i="17"/>
  <c r="A112" i="23"/>
  <c r="AB111" i="23"/>
  <c r="K111" i="23"/>
  <c r="X111" i="23"/>
  <c r="K112" i="23"/>
  <c r="X112" i="23"/>
  <c r="A113" i="23"/>
  <c r="AB112" i="23"/>
  <c r="A115" i="16"/>
  <c r="X114" i="16"/>
  <c r="K114" i="16"/>
  <c r="AB114" i="16"/>
  <c r="AB116" i="17"/>
  <c r="K116" i="17"/>
  <c r="X116" i="17"/>
  <c r="A117" i="17"/>
  <c r="AB115" i="20"/>
  <c r="K115" i="20"/>
  <c r="X115" i="20"/>
  <c r="A116" i="20"/>
  <c r="K111" i="18"/>
  <c r="A112" i="18"/>
  <c r="X111" i="18"/>
  <c r="AB111" i="18"/>
  <c r="AJ114" i="1"/>
  <c r="L114" i="1"/>
  <c r="AK114" i="1"/>
  <c r="X114" i="1"/>
  <c r="K114" i="1"/>
  <c r="AB114" i="1"/>
  <c r="A115" i="24"/>
  <c r="AB114" i="24"/>
  <c r="X114" i="24"/>
  <c r="K114" i="24"/>
  <c r="A114" i="15"/>
  <c r="X113" i="15"/>
  <c r="K113" i="15"/>
  <c r="AB113" i="15"/>
  <c r="A114" i="22"/>
  <c r="K113" i="22"/>
  <c r="AB113" i="22"/>
  <c r="X113" i="22"/>
  <c r="X113" i="25"/>
  <c r="K113" i="25"/>
  <c r="A114" i="25"/>
  <c r="AB113" i="25"/>
  <c r="A115" i="25"/>
  <c r="X114" i="25"/>
  <c r="K114" i="25"/>
  <c r="AB114" i="25"/>
  <c r="A115" i="22"/>
  <c r="AB114" i="22"/>
  <c r="K114" i="22"/>
  <c r="X114" i="22"/>
  <c r="A116" i="24"/>
  <c r="X115" i="24"/>
  <c r="K115" i="24"/>
  <c r="AB115" i="24"/>
  <c r="A113" i="18"/>
  <c r="K112" i="18"/>
  <c r="AB112" i="18"/>
  <c r="X112" i="18"/>
  <c r="AB116" i="20"/>
  <c r="A117" i="20"/>
  <c r="X116" i="20"/>
  <c r="K116" i="20"/>
  <c r="A116" i="16"/>
  <c r="X115" i="16"/>
  <c r="K115" i="16"/>
  <c r="AB115" i="16"/>
  <c r="K114" i="15"/>
  <c r="AB114" i="15"/>
  <c r="X114" i="15"/>
  <c r="A115" i="15"/>
  <c r="AJ115" i="1"/>
  <c r="L115" i="1"/>
  <c r="X115" i="1"/>
  <c r="AK115" i="1"/>
  <c r="K115" i="1"/>
  <c r="AB115" i="1"/>
  <c r="X117" i="17"/>
  <c r="AB117" i="17"/>
  <c r="A118" i="17"/>
  <c r="K117" i="17"/>
  <c r="AB113" i="23"/>
  <c r="K113" i="23"/>
  <c r="X113" i="23"/>
  <c r="A114" i="23"/>
  <c r="A119" i="17"/>
  <c r="AB118" i="17"/>
  <c r="X118" i="17"/>
  <c r="K118" i="17"/>
  <c r="AK116" i="1"/>
  <c r="L116" i="1"/>
  <c r="K116" i="1"/>
  <c r="AJ116" i="1"/>
  <c r="X116" i="1"/>
  <c r="AB116" i="1"/>
  <c r="AB116" i="16"/>
  <c r="A117" i="16"/>
  <c r="L116" i="16"/>
  <c r="D116" i="16" s="1"/>
  <c r="X116" i="16"/>
  <c r="K116" i="16"/>
  <c r="X116" i="24"/>
  <c r="A117" i="24"/>
  <c r="AB116" i="24"/>
  <c r="K116" i="24"/>
  <c r="A116" i="22"/>
  <c r="X115" i="22"/>
  <c r="AB115" i="22"/>
  <c r="K115" i="22"/>
  <c r="X114" i="23"/>
  <c r="AB114" i="23"/>
  <c r="A115" i="23"/>
  <c r="K114" i="23"/>
  <c r="A116" i="15"/>
  <c r="K115" i="15"/>
  <c r="AB115" i="15"/>
  <c r="X115" i="15"/>
  <c r="K117" i="20"/>
  <c r="X117" i="20"/>
  <c r="AB117" i="20"/>
  <c r="A118" i="20"/>
  <c r="A114" i="18"/>
  <c r="AB113" i="18"/>
  <c r="X113" i="18"/>
  <c r="K113" i="18"/>
  <c r="AB115" i="25"/>
  <c r="K115" i="25"/>
  <c r="A116" i="25"/>
  <c r="X115" i="25"/>
  <c r="X114" i="18"/>
  <c r="K114" i="18"/>
  <c r="A115" i="18"/>
  <c r="AB114" i="18"/>
  <c r="A117" i="15"/>
  <c r="X116" i="15"/>
  <c r="AB116" i="15"/>
  <c r="K116" i="15"/>
  <c r="AB115" i="23"/>
  <c r="A116" i="23"/>
  <c r="X115" i="23"/>
  <c r="K115" i="23"/>
  <c r="AB117" i="16"/>
  <c r="X117" i="16"/>
  <c r="A118" i="16"/>
  <c r="K117" i="16"/>
  <c r="AK117" i="1"/>
  <c r="K117" i="1"/>
  <c r="X117" i="1"/>
  <c r="AJ117" i="1"/>
  <c r="AB117" i="1"/>
  <c r="L117" i="1"/>
  <c r="A59" i="7"/>
  <c r="X119" i="17"/>
  <c r="A120" i="17"/>
  <c r="K119" i="17"/>
  <c r="AB119" i="17"/>
  <c r="AB116" i="25"/>
  <c r="X116" i="25"/>
  <c r="A117" i="25"/>
  <c r="K116" i="25"/>
  <c r="AB118" i="20"/>
  <c r="A119" i="20"/>
  <c r="X118" i="20"/>
  <c r="K118" i="20"/>
  <c r="AB116" i="22"/>
  <c r="X116" i="22"/>
  <c r="K116" i="22"/>
  <c r="A117" i="22"/>
  <c r="X117" i="24"/>
  <c r="AB117" i="24"/>
  <c r="A118" i="24"/>
  <c r="K117" i="24"/>
  <c r="AB117" i="22"/>
  <c r="K117" i="22"/>
  <c r="A118" i="22"/>
  <c r="X117" i="22"/>
  <c r="K120" i="17"/>
  <c r="X120" i="17"/>
  <c r="AB120" i="17"/>
  <c r="A121" i="17"/>
  <c r="AK118" i="1"/>
  <c r="L118" i="1"/>
  <c r="AC118" i="1"/>
  <c r="AJ118" i="1"/>
  <c r="K118" i="1"/>
  <c r="AB118" i="1"/>
  <c r="X118" i="1"/>
  <c r="K116" i="23"/>
  <c r="AB116" i="23"/>
  <c r="A117" i="23"/>
  <c r="X116" i="23"/>
  <c r="X117" i="15"/>
  <c r="A118" i="15"/>
  <c r="K117" i="15"/>
  <c r="AB117" i="15"/>
  <c r="AB115" i="18"/>
  <c r="A116" i="18"/>
  <c r="X115" i="18"/>
  <c r="K115" i="18"/>
  <c r="K118" i="24"/>
  <c r="X118" i="24"/>
  <c r="A119" i="24"/>
  <c r="AB118" i="24"/>
  <c r="X119" i="20"/>
  <c r="A120" i="20"/>
  <c r="AB119" i="20"/>
  <c r="AE23" i="7"/>
  <c r="K119" i="20"/>
  <c r="A118" i="25"/>
  <c r="K117" i="25"/>
  <c r="AB117" i="25"/>
  <c r="X117" i="25"/>
  <c r="X118" i="16"/>
  <c r="L118" i="16"/>
  <c r="D118" i="16" s="1"/>
  <c r="AB118" i="16"/>
  <c r="A119" i="16"/>
  <c r="K118" i="16"/>
  <c r="K119" i="16"/>
  <c r="A120" i="16"/>
  <c r="AB119" i="16"/>
  <c r="X119" i="16"/>
  <c r="A47" i="7"/>
  <c r="A119" i="25"/>
  <c r="K118" i="25"/>
  <c r="X118" i="25"/>
  <c r="AB118" i="25"/>
  <c r="K120" i="20"/>
  <c r="AB120" i="20"/>
  <c r="X120" i="20"/>
  <c r="A121" i="20"/>
  <c r="X117" i="23"/>
  <c r="AB117" i="23"/>
  <c r="A118" i="23"/>
  <c r="K117" i="23"/>
  <c r="X121" i="17"/>
  <c r="K121" i="17"/>
  <c r="AB121" i="17"/>
  <c r="A122" i="17"/>
  <c r="AB118" i="22"/>
  <c r="K118" i="22"/>
  <c r="A119" i="22"/>
  <c r="X118" i="22"/>
  <c r="X119" i="24"/>
  <c r="AE59" i="7"/>
  <c r="A120" i="24"/>
  <c r="AB119" i="24"/>
  <c r="K119" i="24"/>
  <c r="K116" i="18"/>
  <c r="X116" i="18"/>
  <c r="A117" i="18"/>
  <c r="AB116" i="18"/>
  <c r="K118" i="15"/>
  <c r="AB118" i="15"/>
  <c r="A119" i="15"/>
  <c r="X118" i="15"/>
  <c r="AK119" i="1"/>
  <c r="X119" i="1"/>
  <c r="K119" i="1"/>
  <c r="AJ119" i="1"/>
  <c r="L119" i="1"/>
  <c r="B23" i="7" s="1"/>
  <c r="A23" i="7"/>
  <c r="AB119" i="1"/>
  <c r="AK120" i="1"/>
  <c r="K120" i="1"/>
  <c r="AB120" i="1"/>
  <c r="AJ120" i="1"/>
  <c r="X120" i="1"/>
  <c r="L120" i="1"/>
  <c r="A118" i="18"/>
  <c r="K117" i="18"/>
  <c r="AB117" i="18"/>
  <c r="X117" i="18"/>
  <c r="AB119" i="22"/>
  <c r="AE35" i="7"/>
  <c r="X119" i="22"/>
  <c r="A120" i="22"/>
  <c r="K119" i="22"/>
  <c r="A123" i="17"/>
  <c r="AB122" i="17"/>
  <c r="X122" i="17"/>
  <c r="K122" i="17"/>
  <c r="AB119" i="25"/>
  <c r="AE71" i="7"/>
  <c r="K119" i="25"/>
  <c r="A120" i="25"/>
  <c r="X119" i="25"/>
  <c r="AB120" i="16"/>
  <c r="L120" i="16"/>
  <c r="D120" i="16" s="1"/>
  <c r="K120" i="16"/>
  <c r="X120" i="16"/>
  <c r="A121" i="16"/>
  <c r="A120" i="15"/>
  <c r="A35" i="7"/>
  <c r="K119" i="15"/>
  <c r="AB119" i="15"/>
  <c r="X119" i="15"/>
  <c r="X120" i="24"/>
  <c r="K120" i="24"/>
  <c r="A121" i="24"/>
  <c r="AB120" i="24"/>
  <c r="X118" i="23"/>
  <c r="K118" i="23"/>
  <c r="A119" i="23"/>
  <c r="AB118" i="23"/>
  <c r="A122" i="20"/>
  <c r="AB121" i="20"/>
  <c r="X121" i="20"/>
  <c r="K121" i="20"/>
  <c r="X121" i="24"/>
  <c r="A122" i="24"/>
  <c r="K121" i="24"/>
  <c r="AB121" i="24"/>
  <c r="K123" i="17"/>
  <c r="AB123" i="17"/>
  <c r="X123" i="17"/>
  <c r="A124" i="17"/>
  <c r="X122" i="20"/>
  <c r="A123" i="20"/>
  <c r="AB122" i="20"/>
  <c r="K122" i="20"/>
  <c r="X119" i="23"/>
  <c r="AE47" i="7"/>
  <c r="K119" i="23"/>
  <c r="AB119" i="23"/>
  <c r="A120" i="23"/>
  <c r="A121" i="15"/>
  <c r="K120" i="15"/>
  <c r="X120" i="15"/>
  <c r="AB120" i="15"/>
  <c r="AB121" i="16"/>
  <c r="X121" i="16"/>
  <c r="K121" i="16"/>
  <c r="A122" i="16"/>
  <c r="AB120" i="25"/>
  <c r="K120" i="25"/>
  <c r="A121" i="25"/>
  <c r="X120" i="25"/>
  <c r="AB120" i="22"/>
  <c r="A121" i="22"/>
  <c r="X120" i="22"/>
  <c r="K120" i="22"/>
  <c r="AB118" i="18"/>
  <c r="A119" i="18"/>
  <c r="K118" i="18"/>
  <c r="X118" i="18"/>
  <c r="AK121" i="1"/>
  <c r="L121" i="1"/>
  <c r="AB121" i="1"/>
  <c r="AJ121" i="1"/>
  <c r="K121" i="1"/>
  <c r="X121" i="1"/>
  <c r="AB119" i="18"/>
  <c r="X119" i="18"/>
  <c r="A71" i="7"/>
  <c r="A120" i="18"/>
  <c r="K119" i="18"/>
  <c r="A122" i="22"/>
  <c r="K121" i="22"/>
  <c r="X121" i="22"/>
  <c r="AB121" i="22"/>
  <c r="A123" i="24"/>
  <c r="AB122" i="24"/>
  <c r="X122" i="24"/>
  <c r="K122" i="24"/>
  <c r="AJ122" i="1"/>
  <c r="L122" i="1"/>
  <c r="X122" i="1"/>
  <c r="AB122" i="1"/>
  <c r="AK122" i="1"/>
  <c r="K122" i="1"/>
  <c r="O122" i="1"/>
  <c r="A122" i="25"/>
  <c r="X121" i="25"/>
  <c r="K121" i="25"/>
  <c r="AB121" i="25"/>
  <c r="X122" i="16"/>
  <c r="AB122" i="16"/>
  <c r="L122" i="16"/>
  <c r="D122" i="16" s="1"/>
  <c r="A123" i="16"/>
  <c r="K122" i="16"/>
  <c r="AB121" i="15"/>
  <c r="K121" i="15"/>
  <c r="A122" i="15"/>
  <c r="X121" i="15"/>
  <c r="K120" i="23"/>
  <c r="AB120" i="23"/>
  <c r="X120" i="23"/>
  <c r="A121" i="23"/>
  <c r="AB123" i="20"/>
  <c r="X123" i="20"/>
  <c r="A124" i="20"/>
  <c r="K123" i="20"/>
  <c r="K124" i="17"/>
  <c r="AB124" i="17"/>
  <c r="A125" i="17"/>
  <c r="X124" i="17"/>
  <c r="X124" i="20"/>
  <c r="AB124" i="20"/>
  <c r="A125" i="20"/>
  <c r="K124" i="20"/>
  <c r="AB122" i="25"/>
  <c r="X122" i="25"/>
  <c r="A123" i="25"/>
  <c r="K122" i="25"/>
  <c r="A126" i="17"/>
  <c r="K125" i="17"/>
  <c r="AB125" i="17"/>
  <c r="X125" i="17"/>
  <c r="K121" i="23"/>
  <c r="AB121" i="23"/>
  <c r="X121" i="23"/>
  <c r="A122" i="23"/>
  <c r="K122" i="15"/>
  <c r="A123" i="15"/>
  <c r="X122" i="15"/>
  <c r="AB122" i="15"/>
  <c r="A124" i="16"/>
  <c r="K123" i="16"/>
  <c r="X123" i="16"/>
  <c r="AB123" i="16"/>
  <c r="L123" i="16"/>
  <c r="D123" i="16" s="1"/>
  <c r="AK123" i="1"/>
  <c r="X123" i="1"/>
  <c r="AB123" i="1"/>
  <c r="L123" i="1"/>
  <c r="AJ123" i="1"/>
  <c r="K123" i="1"/>
  <c r="K123" i="24"/>
  <c r="AB123" i="24"/>
  <c r="A124" i="24"/>
  <c r="X123" i="24"/>
  <c r="AB122" i="22"/>
  <c r="X122" i="22"/>
  <c r="A123" i="22"/>
  <c r="K122" i="22"/>
  <c r="AB120" i="18"/>
  <c r="X120" i="18"/>
  <c r="K120" i="18"/>
  <c r="A121" i="18"/>
  <c r="X124" i="24"/>
  <c r="AB124" i="24"/>
  <c r="K124" i="24"/>
  <c r="A125" i="24"/>
  <c r="A124" i="25"/>
  <c r="AB123" i="25"/>
  <c r="K123" i="25"/>
  <c r="X123" i="25"/>
  <c r="AB125" i="20"/>
  <c r="X125" i="20"/>
  <c r="A126" i="20"/>
  <c r="K125" i="20"/>
  <c r="A122" i="18"/>
  <c r="X121" i="18"/>
  <c r="AB121" i="18"/>
  <c r="K121" i="18"/>
  <c r="AB123" i="22"/>
  <c r="A124" i="22"/>
  <c r="X123" i="22"/>
  <c r="K123" i="22"/>
  <c r="AK124" i="1"/>
  <c r="AB124" i="1"/>
  <c r="X124" i="1"/>
  <c r="AJ124" i="1"/>
  <c r="K124" i="1"/>
  <c r="L124" i="1"/>
  <c r="X124" i="16"/>
  <c r="AB124" i="16"/>
  <c r="K124" i="16"/>
  <c r="A125" i="16"/>
  <c r="X123" i="15"/>
  <c r="A124" i="15"/>
  <c r="AB123" i="15"/>
  <c r="K123" i="15"/>
  <c r="A123" i="23"/>
  <c r="X122" i="23"/>
  <c r="AB122" i="23"/>
  <c r="K122" i="23"/>
  <c r="K126" i="17"/>
  <c r="A127" i="17"/>
  <c r="AB126" i="17"/>
  <c r="X126" i="17"/>
  <c r="X123" i="23"/>
  <c r="A124" i="23"/>
  <c r="K123" i="23"/>
  <c r="AB123" i="23"/>
  <c r="K126" i="20"/>
  <c r="AB126" i="20"/>
  <c r="X126" i="20"/>
  <c r="A127" i="20"/>
  <c r="X125" i="24"/>
  <c r="A126" i="24"/>
  <c r="AB125" i="24"/>
  <c r="K125" i="24"/>
  <c r="A128" i="17"/>
  <c r="K127" i="17"/>
  <c r="AB127" i="17"/>
  <c r="X127" i="17"/>
  <c r="A125" i="15"/>
  <c r="X124" i="15"/>
  <c r="K124" i="15"/>
  <c r="AB124" i="15"/>
  <c r="A126" i="16"/>
  <c r="AB125" i="16"/>
  <c r="K125" i="16"/>
  <c r="X125" i="16"/>
  <c r="AJ125" i="1"/>
  <c r="X125" i="1"/>
  <c r="K125" i="1"/>
  <c r="AK125" i="1"/>
  <c r="AB125" i="1"/>
  <c r="L125" i="1"/>
  <c r="K124" i="22"/>
  <c r="X124" i="22"/>
  <c r="AB124" i="22"/>
  <c r="A125" i="22"/>
  <c r="A123" i="18"/>
  <c r="X122" i="18"/>
  <c r="AB122" i="18"/>
  <c r="K122" i="18"/>
  <c r="AB124" i="25"/>
  <c r="A125" i="25"/>
  <c r="X124" i="25"/>
  <c r="K124" i="25"/>
  <c r="K125" i="25"/>
  <c r="AB125" i="25"/>
  <c r="X125" i="25"/>
  <c r="A126" i="25"/>
  <c r="X127" i="20"/>
  <c r="A128" i="20"/>
  <c r="AB127" i="20"/>
  <c r="K127" i="20"/>
  <c r="AB125" i="22"/>
  <c r="A126" i="22"/>
  <c r="X125" i="22"/>
  <c r="K125" i="22"/>
  <c r="K126" i="16"/>
  <c r="L126" i="16"/>
  <c r="D126" i="16" s="1"/>
  <c r="A127" i="16"/>
  <c r="X126" i="16"/>
  <c r="AB126" i="16"/>
  <c r="AB126" i="24"/>
  <c r="K126" i="24"/>
  <c r="X126" i="24"/>
  <c r="A127" i="24"/>
  <c r="X124" i="23"/>
  <c r="A125" i="23"/>
  <c r="K124" i="23"/>
  <c r="AB124" i="23"/>
  <c r="A124" i="18"/>
  <c r="X123" i="18"/>
  <c r="K123" i="18"/>
  <c r="AB123" i="18"/>
  <c r="AJ126" i="1"/>
  <c r="AB126" i="1"/>
  <c r="L126" i="1"/>
  <c r="AK126" i="1"/>
  <c r="X126" i="1"/>
  <c r="K126" i="1"/>
  <c r="X125" i="15"/>
  <c r="K125" i="15"/>
  <c r="AB125" i="15"/>
  <c r="A126" i="15"/>
  <c r="K128" i="17"/>
  <c r="X128" i="17"/>
  <c r="AB128" i="17"/>
  <c r="A129" i="17"/>
  <c r="A130" i="17"/>
  <c r="X129" i="17"/>
  <c r="AB129" i="17"/>
  <c r="K129" i="17"/>
  <c r="AB127" i="24"/>
  <c r="K127" i="24"/>
  <c r="X127" i="24"/>
  <c r="A128" i="24"/>
  <c r="AB127" i="16"/>
  <c r="X127" i="16"/>
  <c r="A128" i="16"/>
  <c r="K127" i="16"/>
  <c r="AB126" i="22"/>
  <c r="K126" i="22"/>
  <c r="A127" i="22"/>
  <c r="X126" i="22"/>
  <c r="X126" i="25"/>
  <c r="AB126" i="25"/>
  <c r="A127" i="25"/>
  <c r="K126" i="25"/>
  <c r="AB126" i="15"/>
  <c r="A127" i="15"/>
  <c r="K126" i="15"/>
  <c r="X126" i="15"/>
  <c r="AJ127" i="1"/>
  <c r="X127" i="1"/>
  <c r="L127" i="1"/>
  <c r="AK127" i="1"/>
  <c r="AB127" i="1"/>
  <c r="K127" i="1"/>
  <c r="A125" i="18"/>
  <c r="X124" i="18"/>
  <c r="K124" i="18"/>
  <c r="AB124" i="18"/>
  <c r="A126" i="23"/>
  <c r="AB125" i="23"/>
  <c r="K125" i="23"/>
  <c r="X125" i="23"/>
  <c r="A129" i="20"/>
  <c r="K128" i="20"/>
  <c r="X128" i="20"/>
  <c r="AB128" i="20"/>
  <c r="X129" i="20"/>
  <c r="AB129" i="20"/>
  <c r="K129" i="20"/>
  <c r="A130" i="20"/>
  <c r="A126" i="18"/>
  <c r="K125" i="18"/>
  <c r="AB125" i="18"/>
  <c r="X125" i="18"/>
  <c r="AK128" i="1"/>
  <c r="X128" i="1"/>
  <c r="AB128" i="1"/>
  <c r="AJ128" i="1"/>
  <c r="K128" i="1"/>
  <c r="L128" i="1"/>
  <c r="X127" i="15"/>
  <c r="K127" i="15"/>
  <c r="AB127" i="15"/>
  <c r="A128" i="15"/>
  <c r="A128" i="25"/>
  <c r="X127" i="25"/>
  <c r="AB127" i="25"/>
  <c r="K127" i="25"/>
  <c r="K127" i="22"/>
  <c r="X127" i="22"/>
  <c r="A128" i="22"/>
  <c r="AB127" i="22"/>
  <c r="X126" i="23"/>
  <c r="AB126" i="23"/>
  <c r="A127" i="23"/>
  <c r="K126" i="23"/>
  <c r="A129" i="16"/>
  <c r="AB128" i="16"/>
  <c r="X128" i="16"/>
  <c r="K128" i="16"/>
  <c r="AB128" i="24"/>
  <c r="K128" i="24"/>
  <c r="X128" i="24"/>
  <c r="A129" i="24"/>
  <c r="K130" i="17"/>
  <c r="A131" i="17"/>
  <c r="X130" i="17"/>
  <c r="AB130" i="17"/>
  <c r="AB129" i="24"/>
  <c r="K129" i="24"/>
  <c r="A130" i="24"/>
  <c r="X129" i="24"/>
  <c r="X127" i="23"/>
  <c r="K127" i="23"/>
  <c r="AB127" i="23"/>
  <c r="A128" i="23"/>
  <c r="A129" i="22"/>
  <c r="K128" i="22"/>
  <c r="X128" i="22"/>
  <c r="AB128" i="22"/>
  <c r="K128" i="25"/>
  <c r="AB128" i="25"/>
  <c r="X128" i="25"/>
  <c r="A129" i="25"/>
  <c r="AK129" i="1"/>
  <c r="AB129" i="1"/>
  <c r="L129" i="1"/>
  <c r="AJ129" i="1"/>
  <c r="K129" i="1"/>
  <c r="X129" i="1"/>
  <c r="K130" i="20"/>
  <c r="X130" i="20"/>
  <c r="A131" i="20"/>
  <c r="AB130" i="20"/>
  <c r="AB131" i="17"/>
  <c r="A132" i="17"/>
  <c r="X131" i="17"/>
  <c r="K131" i="17"/>
  <c r="K129" i="16"/>
  <c r="X129" i="16"/>
  <c r="A130" i="16"/>
  <c r="AB129" i="16"/>
  <c r="A129" i="15"/>
  <c r="X128" i="15"/>
  <c r="K128" i="15"/>
  <c r="AB128" i="15"/>
  <c r="K126" i="18"/>
  <c r="AB126" i="18"/>
  <c r="X126" i="18"/>
  <c r="A127" i="18"/>
  <c r="K127" i="18"/>
  <c r="A128" i="18"/>
  <c r="X127" i="18"/>
  <c r="AB127" i="18"/>
  <c r="AB129" i="15"/>
  <c r="K129" i="15"/>
  <c r="A130" i="15"/>
  <c r="X129" i="15"/>
  <c r="X130" i="16"/>
  <c r="AB130" i="16"/>
  <c r="K130" i="16"/>
  <c r="A131" i="16"/>
  <c r="AK130" i="1"/>
  <c r="K130" i="1"/>
  <c r="AJ130" i="1"/>
  <c r="AB130" i="1"/>
  <c r="X130" i="1"/>
  <c r="L130" i="1"/>
  <c r="AB129" i="25"/>
  <c r="X129" i="25"/>
  <c r="A130" i="25"/>
  <c r="K129" i="25"/>
  <c r="AB129" i="22"/>
  <c r="X129" i="22"/>
  <c r="A130" i="22"/>
  <c r="K129" i="22"/>
  <c r="K132" i="17"/>
  <c r="A133" i="17"/>
  <c r="X132" i="17"/>
  <c r="AB132" i="17"/>
  <c r="K131" i="20"/>
  <c r="A132" i="20"/>
  <c r="X131" i="20"/>
  <c r="AB131" i="20"/>
  <c r="A129" i="23"/>
  <c r="X128" i="23"/>
  <c r="AB128" i="23"/>
  <c r="K128" i="23"/>
  <c r="AB130" i="24"/>
  <c r="K130" i="24"/>
  <c r="A131" i="24"/>
  <c r="X130" i="24"/>
  <c r="AB129" i="23"/>
  <c r="X129" i="23"/>
  <c r="A130" i="23"/>
  <c r="K129" i="23"/>
  <c r="K130" i="22"/>
  <c r="AB130" i="22"/>
  <c r="A131" i="22"/>
  <c r="X130" i="22"/>
  <c r="A131" i="25"/>
  <c r="X130" i="25"/>
  <c r="AB130" i="25"/>
  <c r="K130" i="25"/>
  <c r="AJ131" i="1"/>
  <c r="K131" i="1"/>
  <c r="L131" i="1"/>
  <c r="AK131" i="1"/>
  <c r="X131" i="1"/>
  <c r="AB131" i="1"/>
  <c r="K131" i="16"/>
  <c r="AB131" i="16"/>
  <c r="X131" i="16"/>
  <c r="A132" i="16"/>
  <c r="L131" i="16"/>
  <c r="D131" i="16" s="1"/>
  <c r="A131" i="15"/>
  <c r="X130" i="15"/>
  <c r="K130" i="15"/>
  <c r="AB130" i="15"/>
  <c r="K128" i="18"/>
  <c r="A129" i="18"/>
  <c r="X128" i="18"/>
  <c r="AB128" i="18"/>
  <c r="X131" i="24"/>
  <c r="AB131" i="24"/>
  <c r="A132" i="24"/>
  <c r="K131" i="24"/>
  <c r="X132" i="20"/>
  <c r="AB132" i="20"/>
  <c r="K132" i="20"/>
  <c r="A133" i="20"/>
  <c r="X133" i="17"/>
  <c r="AB133" i="17"/>
  <c r="K133" i="17"/>
  <c r="A134" i="17"/>
  <c r="K134" i="17"/>
  <c r="AB134" i="17"/>
  <c r="A135" i="17"/>
  <c r="X134" i="17"/>
  <c r="X133" i="20"/>
  <c r="K133" i="20"/>
  <c r="A134" i="20"/>
  <c r="AB133" i="20"/>
  <c r="AB132" i="24"/>
  <c r="K132" i="24"/>
  <c r="X132" i="24"/>
  <c r="A133" i="24"/>
  <c r="A130" i="18"/>
  <c r="X129" i="18"/>
  <c r="AB129" i="18"/>
  <c r="K129" i="18"/>
  <c r="AK132" i="1"/>
  <c r="AB132" i="1"/>
  <c r="L132" i="1"/>
  <c r="AJ132" i="1"/>
  <c r="K132" i="1"/>
  <c r="X132" i="1"/>
  <c r="A132" i="25"/>
  <c r="AB131" i="25"/>
  <c r="K131" i="25"/>
  <c r="X131" i="25"/>
  <c r="AB131" i="15"/>
  <c r="K131" i="15"/>
  <c r="X131" i="15"/>
  <c r="A132" i="15"/>
  <c r="X132" i="16"/>
  <c r="A133" i="16"/>
  <c r="AB132" i="16"/>
  <c r="K132" i="16"/>
  <c r="X131" i="22"/>
  <c r="A132" i="22"/>
  <c r="K131" i="22"/>
  <c r="AB131" i="22"/>
  <c r="K130" i="23"/>
  <c r="X130" i="23"/>
  <c r="A131" i="23"/>
  <c r="AB130" i="23"/>
  <c r="AB133" i="16"/>
  <c r="X133" i="16"/>
  <c r="A134" i="16"/>
  <c r="L133" i="16"/>
  <c r="D133" i="16" s="1"/>
  <c r="K133" i="16"/>
  <c r="X130" i="18"/>
  <c r="K130" i="18"/>
  <c r="AB130" i="18"/>
  <c r="A131" i="18"/>
  <c r="X133" i="24"/>
  <c r="A134" i="24"/>
  <c r="K133" i="24"/>
  <c r="AB133" i="24"/>
  <c r="X134" i="20"/>
  <c r="A135" i="20"/>
  <c r="AB134" i="20"/>
  <c r="K134" i="20"/>
  <c r="K135" i="17"/>
  <c r="A136" i="17"/>
  <c r="AB135" i="17"/>
  <c r="X135" i="17"/>
  <c r="A132" i="23"/>
  <c r="X131" i="23"/>
  <c r="K131" i="23"/>
  <c r="AB131" i="23"/>
  <c r="A133" i="22"/>
  <c r="K132" i="22"/>
  <c r="AB132" i="22"/>
  <c r="X132" i="22"/>
  <c r="X132" i="15"/>
  <c r="A133" i="15"/>
  <c r="K132" i="15"/>
  <c r="AB132" i="15"/>
  <c r="X132" i="25"/>
  <c r="A133" i="25"/>
  <c r="K132" i="25"/>
  <c r="AB132" i="25"/>
  <c r="AK133" i="1"/>
  <c r="AB133" i="1"/>
  <c r="X133" i="1"/>
  <c r="AJ133" i="1"/>
  <c r="L133" i="1"/>
  <c r="K133" i="1"/>
  <c r="K133" i="25"/>
  <c r="X133" i="25"/>
  <c r="AB133" i="25"/>
  <c r="A134" i="25"/>
  <c r="X132" i="23"/>
  <c r="K132" i="23"/>
  <c r="AB132" i="23"/>
  <c r="A133" i="23"/>
  <c r="X134" i="24"/>
  <c r="AB134" i="24"/>
  <c r="K134" i="24"/>
  <c r="A135" i="24"/>
  <c r="A132" i="18"/>
  <c r="X131" i="18"/>
  <c r="K131" i="18"/>
  <c r="AB131" i="18"/>
  <c r="AK134" i="1"/>
  <c r="X134" i="1"/>
  <c r="AJ134" i="1"/>
  <c r="AB134" i="1"/>
  <c r="K134" i="1"/>
  <c r="L134" i="1"/>
  <c r="K133" i="15"/>
  <c r="X133" i="15"/>
  <c r="A134" i="15"/>
  <c r="AB133" i="15"/>
  <c r="K133" i="22"/>
  <c r="A134" i="22"/>
  <c r="X133" i="22"/>
  <c r="AB133" i="22"/>
  <c r="K136" i="17"/>
  <c r="X136" i="17"/>
  <c r="A137" i="17"/>
  <c r="AB136" i="17"/>
  <c r="AB135" i="20"/>
  <c r="K135" i="20"/>
  <c r="A136" i="20"/>
  <c r="X135" i="20"/>
  <c r="X134" i="16"/>
  <c r="AB134" i="16"/>
  <c r="A135" i="16"/>
  <c r="K134" i="16"/>
  <c r="K136" i="20"/>
  <c r="A137" i="20"/>
  <c r="X136" i="20"/>
  <c r="AB136" i="20"/>
  <c r="A138" i="17"/>
  <c r="X137" i="17"/>
  <c r="AB137" i="17"/>
  <c r="K137" i="17"/>
  <c r="X134" i="15"/>
  <c r="AB134" i="15"/>
  <c r="A135" i="15"/>
  <c r="K134" i="15"/>
  <c r="X135" i="24"/>
  <c r="AB135" i="24"/>
  <c r="A136" i="24"/>
  <c r="K135" i="24"/>
  <c r="A136" i="16"/>
  <c r="K135" i="16"/>
  <c r="X135" i="16"/>
  <c r="AB135" i="16"/>
  <c r="L135" i="16"/>
  <c r="D135" i="16" s="1"/>
  <c r="A135" i="22"/>
  <c r="K134" i="22"/>
  <c r="AB134" i="22"/>
  <c r="X134" i="22"/>
  <c r="AK135" i="1"/>
  <c r="K135" i="1"/>
  <c r="AB135" i="1"/>
  <c r="L135" i="1"/>
  <c r="AJ135" i="1"/>
  <c r="X135" i="1"/>
  <c r="AB132" i="18"/>
  <c r="K132" i="18"/>
  <c r="A133" i="18"/>
  <c r="X132" i="18"/>
  <c r="AB133" i="23"/>
  <c r="K133" i="23"/>
  <c r="A134" i="23"/>
  <c r="X133" i="23"/>
  <c r="X134" i="25"/>
  <c r="AB134" i="25"/>
  <c r="A135" i="25"/>
  <c r="K134" i="25"/>
  <c r="K135" i="25"/>
  <c r="X135" i="25"/>
  <c r="AB135" i="25"/>
  <c r="A136" i="25"/>
  <c r="A135" i="23"/>
  <c r="X134" i="23"/>
  <c r="AB134" i="23"/>
  <c r="K134" i="23"/>
  <c r="AK136" i="1"/>
  <c r="AB136" i="1"/>
  <c r="X136" i="1"/>
  <c r="AJ136" i="1"/>
  <c r="K136" i="1"/>
  <c r="L136" i="1"/>
  <c r="AB135" i="22"/>
  <c r="K135" i="22"/>
  <c r="A136" i="22"/>
  <c r="X135" i="22"/>
  <c r="K136" i="16"/>
  <c r="A137" i="16"/>
  <c r="AB136" i="16"/>
  <c r="X136" i="16"/>
  <c r="AB136" i="24"/>
  <c r="X136" i="24"/>
  <c r="A137" i="24"/>
  <c r="K136" i="24"/>
  <c r="X133" i="18"/>
  <c r="AB133" i="18"/>
  <c r="K133" i="18"/>
  <c r="A134" i="18"/>
  <c r="A136" i="15"/>
  <c r="X135" i="15"/>
  <c r="AB135" i="15"/>
  <c r="K135" i="15"/>
  <c r="A139" i="17"/>
  <c r="K138" i="17"/>
  <c r="X138" i="17"/>
  <c r="AB138" i="17"/>
  <c r="K137" i="20"/>
  <c r="X137" i="20"/>
  <c r="AB137" i="20"/>
  <c r="A138" i="20"/>
  <c r="AB139" i="17"/>
  <c r="A140" i="17"/>
  <c r="K139" i="17"/>
  <c r="X139" i="17"/>
  <c r="AB138" i="20"/>
  <c r="X138" i="20"/>
  <c r="K138" i="20"/>
  <c r="A139" i="20"/>
  <c r="X137" i="24"/>
  <c r="A138" i="24"/>
  <c r="AB137" i="24"/>
  <c r="K137" i="24"/>
  <c r="A138" i="16"/>
  <c r="AB137" i="16"/>
  <c r="X137" i="16"/>
  <c r="K137" i="16"/>
  <c r="A137" i="25"/>
  <c r="K136" i="25"/>
  <c r="X136" i="25"/>
  <c r="AB136" i="25"/>
  <c r="K136" i="15"/>
  <c r="AB136" i="15"/>
  <c r="X136" i="15"/>
  <c r="A137" i="15"/>
  <c r="AB134" i="18"/>
  <c r="A135" i="18"/>
  <c r="K134" i="18"/>
  <c r="X134" i="18"/>
  <c r="K136" i="22"/>
  <c r="A137" i="22"/>
  <c r="X136" i="22"/>
  <c r="AB136" i="22"/>
  <c r="AJ137" i="1"/>
  <c r="AB137" i="1"/>
  <c r="X137" i="1"/>
  <c r="L137" i="1"/>
  <c r="AK137" i="1"/>
  <c r="K137" i="1"/>
  <c r="AB135" i="23"/>
  <c r="X135" i="23"/>
  <c r="A136" i="23"/>
  <c r="K135" i="23"/>
  <c r="AK138" i="1"/>
  <c r="X138" i="1"/>
  <c r="AB138" i="1"/>
  <c r="AJ138" i="1"/>
  <c r="K138" i="1"/>
  <c r="L138" i="1"/>
  <c r="A138" i="22"/>
  <c r="X137" i="22"/>
  <c r="K137" i="22"/>
  <c r="AB137" i="22"/>
  <c r="X135" i="18"/>
  <c r="AB135" i="18"/>
  <c r="A136" i="18"/>
  <c r="K135" i="18"/>
  <c r="A138" i="15"/>
  <c r="K137" i="15"/>
  <c r="AB137" i="15"/>
  <c r="X137" i="15"/>
  <c r="AB137" i="25"/>
  <c r="A138" i="25"/>
  <c r="K137" i="25"/>
  <c r="X137" i="25"/>
  <c r="A139" i="24"/>
  <c r="AB138" i="24"/>
  <c r="K138" i="24"/>
  <c r="X138" i="24"/>
  <c r="A137" i="23"/>
  <c r="X136" i="23"/>
  <c r="K136" i="23"/>
  <c r="AB136" i="23"/>
  <c r="X138" i="16"/>
  <c r="AB138" i="16"/>
  <c r="K138" i="16"/>
  <c r="A139" i="16"/>
  <c r="A140" i="20"/>
  <c r="X139" i="20"/>
  <c r="AB139" i="20"/>
  <c r="K139" i="20"/>
  <c r="X140" i="17"/>
  <c r="AB140" i="17"/>
  <c r="K140" i="17"/>
  <c r="A141" i="17"/>
  <c r="A142" i="17"/>
  <c r="AB141" i="17"/>
  <c r="X141" i="17"/>
  <c r="K141" i="17"/>
  <c r="X140" i="20"/>
  <c r="A141" i="20"/>
  <c r="K140" i="20"/>
  <c r="AB140" i="20"/>
  <c r="A140" i="16"/>
  <c r="L139" i="16"/>
  <c r="D139" i="16" s="1"/>
  <c r="X139" i="16"/>
  <c r="AB139" i="16"/>
  <c r="K139" i="16"/>
  <c r="K137" i="23"/>
  <c r="AB137" i="23"/>
  <c r="A138" i="23"/>
  <c r="X137" i="23"/>
  <c r="K139" i="24"/>
  <c r="X139" i="24"/>
  <c r="A140" i="24"/>
  <c r="AB139" i="24"/>
  <c r="K138" i="25"/>
  <c r="AB138" i="25"/>
  <c r="A139" i="25"/>
  <c r="X138" i="25"/>
  <c r="A139" i="15"/>
  <c r="AB138" i="15"/>
  <c r="K138" i="15"/>
  <c r="X138" i="15"/>
  <c r="AB138" i="22"/>
  <c r="K138" i="22"/>
  <c r="X138" i="22"/>
  <c r="A139" i="22"/>
  <c r="AB136" i="18"/>
  <c r="X136" i="18"/>
  <c r="K136" i="18"/>
  <c r="A137" i="18"/>
  <c r="AK139" i="1"/>
  <c r="K139" i="1"/>
  <c r="X139" i="1"/>
  <c r="L139" i="1"/>
  <c r="AJ139" i="1"/>
  <c r="AB139" i="1"/>
  <c r="A138" i="18"/>
  <c r="X137" i="18"/>
  <c r="K137" i="18"/>
  <c r="AB137" i="18"/>
  <c r="AB139" i="15"/>
  <c r="X139" i="15"/>
  <c r="A140" i="15"/>
  <c r="K139" i="15"/>
  <c r="K138" i="23"/>
  <c r="AB138" i="23"/>
  <c r="X138" i="23"/>
  <c r="A139" i="23"/>
  <c r="AJ140" i="1"/>
  <c r="X140" i="1"/>
  <c r="L140" i="1"/>
  <c r="AK140" i="1"/>
  <c r="K140" i="1"/>
  <c r="AB140" i="1"/>
  <c r="AB139" i="22"/>
  <c r="A140" i="22"/>
  <c r="K139" i="22"/>
  <c r="X139" i="22"/>
  <c r="X139" i="25"/>
  <c r="A140" i="25"/>
  <c r="AB139" i="25"/>
  <c r="K139" i="25"/>
  <c r="A141" i="24"/>
  <c r="AB140" i="24"/>
  <c r="K140" i="24"/>
  <c r="X140" i="24"/>
  <c r="K140" i="16"/>
  <c r="A141" i="16"/>
  <c r="AB140" i="16"/>
  <c r="X140" i="16"/>
  <c r="L140" i="16"/>
  <c r="D140" i="16" s="1"/>
  <c r="A142" i="20"/>
  <c r="AB141" i="20"/>
  <c r="X141" i="20"/>
  <c r="K141" i="20"/>
  <c r="AB142" i="17"/>
  <c r="A143" i="17"/>
  <c r="K142" i="17"/>
  <c r="X142" i="17"/>
  <c r="AB143" i="17"/>
  <c r="A144" i="17"/>
  <c r="K143" i="17"/>
  <c r="X143" i="17"/>
  <c r="K142" i="20"/>
  <c r="X142" i="20"/>
  <c r="AB142" i="20"/>
  <c r="A143" i="20"/>
  <c r="K141" i="16"/>
  <c r="X141" i="16"/>
  <c r="A142" i="16"/>
  <c r="AB141" i="16"/>
  <c r="X141" i="24"/>
  <c r="AB141" i="24"/>
  <c r="A142" i="24"/>
  <c r="K141" i="24"/>
  <c r="AB140" i="22"/>
  <c r="X140" i="22"/>
  <c r="K140" i="22"/>
  <c r="A141" i="22"/>
  <c r="AJ141" i="1"/>
  <c r="AB141" i="1"/>
  <c r="X141" i="1"/>
  <c r="AK141" i="1"/>
  <c r="K141" i="1"/>
  <c r="L141" i="1"/>
  <c r="AB139" i="23"/>
  <c r="X139" i="23"/>
  <c r="A140" i="23"/>
  <c r="K139" i="23"/>
  <c r="AB138" i="18"/>
  <c r="A139" i="18"/>
  <c r="X138" i="18"/>
  <c r="K138" i="18"/>
  <c r="A141" i="25"/>
  <c r="X140" i="25"/>
  <c r="K140" i="25"/>
  <c r="AB140" i="25"/>
  <c r="AB140" i="15"/>
  <c r="K140" i="15"/>
  <c r="A141" i="15"/>
  <c r="X140" i="15"/>
  <c r="A142" i="25"/>
  <c r="K141" i="25"/>
  <c r="AB141" i="25"/>
  <c r="X141" i="25"/>
  <c r="AB139" i="18"/>
  <c r="K139" i="18"/>
  <c r="X139" i="18"/>
  <c r="A140" i="18"/>
  <c r="K140" i="23"/>
  <c r="AB140" i="23"/>
  <c r="A141" i="23"/>
  <c r="X140" i="23"/>
  <c r="K142" i="24"/>
  <c r="X142" i="24"/>
  <c r="AB142" i="24"/>
  <c r="A143" i="24"/>
  <c r="X143" i="20"/>
  <c r="K143" i="20"/>
  <c r="A144" i="20"/>
  <c r="AB143" i="20"/>
  <c r="AB144" i="17"/>
  <c r="K144" i="17"/>
  <c r="A145" i="17"/>
  <c r="X144" i="17"/>
  <c r="K141" i="15"/>
  <c r="X141" i="15"/>
  <c r="A142" i="15"/>
  <c r="AB141" i="15"/>
  <c r="AK142" i="1"/>
  <c r="K142" i="1"/>
  <c r="X142" i="1"/>
  <c r="AJ142" i="1"/>
  <c r="AB142" i="1"/>
  <c r="L142" i="1"/>
  <c r="K141" i="22"/>
  <c r="X141" i="22"/>
  <c r="AB141" i="22"/>
  <c r="A142" i="22"/>
  <c r="A143" i="16"/>
  <c r="X142" i="16"/>
  <c r="AB142" i="16"/>
  <c r="K142" i="16"/>
  <c r="AJ143" i="1"/>
  <c r="AB143" i="1"/>
  <c r="AK143" i="1"/>
  <c r="K143" i="1"/>
  <c r="X143" i="1"/>
  <c r="L143" i="1"/>
  <c r="K144" i="20"/>
  <c r="A145" i="20"/>
  <c r="X144" i="20"/>
  <c r="AB144" i="20"/>
  <c r="AB141" i="23"/>
  <c r="X141" i="23"/>
  <c r="K141" i="23"/>
  <c r="A142" i="23"/>
  <c r="A141" i="18"/>
  <c r="K140" i="18"/>
  <c r="AB140" i="18"/>
  <c r="X140" i="18"/>
  <c r="X142" i="25"/>
  <c r="A143" i="25"/>
  <c r="AB142" i="25"/>
  <c r="K142" i="25"/>
  <c r="A144" i="16"/>
  <c r="AB143" i="16"/>
  <c r="L143" i="16"/>
  <c r="D143" i="16" s="1"/>
  <c r="X143" i="16"/>
  <c r="K143" i="16"/>
  <c r="A143" i="22"/>
  <c r="K142" i="22"/>
  <c r="AB142" i="22"/>
  <c r="X142" i="22"/>
  <c r="AB142" i="15"/>
  <c r="K142" i="15"/>
  <c r="X142" i="15"/>
  <c r="A143" i="15"/>
  <c r="AB145" i="17"/>
  <c r="K145" i="17"/>
  <c r="A146" i="17"/>
  <c r="X145" i="17"/>
  <c r="AB143" i="24"/>
  <c r="X143" i="24"/>
  <c r="A144" i="24"/>
  <c r="K143" i="24"/>
  <c r="AB144" i="24"/>
  <c r="X144" i="24"/>
  <c r="A145" i="24"/>
  <c r="K144" i="24"/>
  <c r="K143" i="25"/>
  <c r="A144" i="25"/>
  <c r="X143" i="25"/>
  <c r="AB143" i="25"/>
  <c r="X141" i="18"/>
  <c r="AB141" i="18"/>
  <c r="A142" i="18"/>
  <c r="K141" i="18"/>
  <c r="AB146" i="17"/>
  <c r="X146" i="17"/>
  <c r="A147" i="17"/>
  <c r="K146" i="17"/>
  <c r="A144" i="15"/>
  <c r="K143" i="15"/>
  <c r="X143" i="15"/>
  <c r="AB143" i="15"/>
  <c r="AB143" i="22"/>
  <c r="X143" i="22"/>
  <c r="K143" i="22"/>
  <c r="A144" i="22"/>
  <c r="X144" i="16"/>
  <c r="AB144" i="16"/>
  <c r="A145" i="16"/>
  <c r="K144" i="16"/>
  <c r="L144" i="16"/>
  <c r="D144" i="16" s="1"/>
  <c r="AB142" i="23"/>
  <c r="K142" i="23"/>
  <c r="X142" i="23"/>
  <c r="A143" i="23"/>
  <c r="A146" i="20"/>
  <c r="X145" i="20"/>
  <c r="K145" i="20"/>
  <c r="AB145" i="20"/>
  <c r="AJ144" i="1"/>
  <c r="L144" i="1"/>
  <c r="K144" i="1"/>
  <c r="AB144" i="1"/>
  <c r="AK144" i="1"/>
  <c r="X144" i="1"/>
  <c r="A145" i="22"/>
  <c r="K144" i="22"/>
  <c r="X144" i="22"/>
  <c r="AB144" i="22"/>
  <c r="AB142" i="18"/>
  <c r="A143" i="18"/>
  <c r="X142" i="18"/>
  <c r="K142" i="18"/>
  <c r="A145" i="25"/>
  <c r="X144" i="25"/>
  <c r="AB144" i="25"/>
  <c r="K144" i="25"/>
  <c r="A146" i="24"/>
  <c r="K145" i="24"/>
  <c r="X145" i="24"/>
  <c r="AB145" i="24"/>
  <c r="AK145" i="1"/>
  <c r="X145" i="1"/>
  <c r="AB145" i="1"/>
  <c r="AJ145" i="1"/>
  <c r="K145" i="1"/>
  <c r="L145" i="1"/>
  <c r="A147" i="20"/>
  <c r="K146" i="20"/>
  <c r="AB146" i="20"/>
  <c r="X146" i="20"/>
  <c r="A144" i="23"/>
  <c r="AB143" i="23"/>
  <c r="K143" i="23"/>
  <c r="X143" i="23"/>
  <c r="X145" i="16"/>
  <c r="AB145" i="16"/>
  <c r="L145" i="16"/>
  <c r="D145" i="16" s="1"/>
  <c r="K145" i="16"/>
  <c r="A146" i="16"/>
  <c r="A145" i="15"/>
  <c r="X144" i="15"/>
  <c r="K144" i="15"/>
  <c r="AB144" i="15"/>
  <c r="A148" i="17"/>
  <c r="K147" i="17"/>
  <c r="AB147" i="17"/>
  <c r="X147" i="17"/>
  <c r="K148" i="17"/>
  <c r="X148" i="17"/>
  <c r="AB148" i="17"/>
  <c r="A149" i="17"/>
  <c r="K146" i="16"/>
  <c r="X146" i="16"/>
  <c r="L146" i="16"/>
  <c r="D146" i="16" s="1"/>
  <c r="A147" i="16"/>
  <c r="AB146" i="16"/>
  <c r="X144" i="23"/>
  <c r="A145" i="23"/>
  <c r="AB144" i="23"/>
  <c r="K144" i="23"/>
  <c r="AK146" i="1"/>
  <c r="AB146" i="1"/>
  <c r="AJ146" i="1"/>
  <c r="X146" i="1"/>
  <c r="K146" i="1"/>
  <c r="L146" i="1"/>
  <c r="O146" i="1"/>
  <c r="K145" i="25"/>
  <c r="A146" i="25"/>
  <c r="AB145" i="25"/>
  <c r="X145" i="25"/>
  <c r="X143" i="18"/>
  <c r="A144" i="18"/>
  <c r="K143" i="18"/>
  <c r="AB143" i="18"/>
  <c r="AB145" i="15"/>
  <c r="A146" i="15"/>
  <c r="X145" i="15"/>
  <c r="K145" i="15"/>
  <c r="X147" i="20"/>
  <c r="AB147" i="20"/>
  <c r="K147" i="20"/>
  <c r="A148" i="20"/>
  <c r="K146" i="24"/>
  <c r="X146" i="24"/>
  <c r="A147" i="24"/>
  <c r="AB146" i="24"/>
  <c r="AB145" i="22"/>
  <c r="K145" i="22"/>
  <c r="X145" i="22"/>
  <c r="A146" i="22"/>
  <c r="A147" i="15"/>
  <c r="X146" i="15"/>
  <c r="K146" i="15"/>
  <c r="AB146" i="15"/>
  <c r="A145" i="18"/>
  <c r="X144" i="18"/>
  <c r="K144" i="18"/>
  <c r="AB144" i="18"/>
  <c r="AB145" i="23"/>
  <c r="A146" i="23"/>
  <c r="K145" i="23"/>
  <c r="X145" i="23"/>
  <c r="X147" i="16"/>
  <c r="A148" i="16"/>
  <c r="L147" i="16"/>
  <c r="D147" i="16" s="1"/>
  <c r="K147" i="16"/>
  <c r="AB147" i="16"/>
  <c r="K146" i="22"/>
  <c r="X146" i="22"/>
  <c r="AB146" i="22"/>
  <c r="A147" i="22"/>
  <c r="K147" i="24"/>
  <c r="AB147" i="24"/>
  <c r="A148" i="24"/>
  <c r="X147" i="24"/>
  <c r="A149" i="20"/>
  <c r="K148" i="20"/>
  <c r="X148" i="20"/>
  <c r="AB148" i="20"/>
  <c r="A147" i="25"/>
  <c r="AB146" i="25"/>
  <c r="X146" i="25"/>
  <c r="K146" i="25"/>
  <c r="AJ147" i="1"/>
  <c r="X147" i="1"/>
  <c r="AK147" i="1"/>
  <c r="K147" i="1"/>
  <c r="AB147" i="1"/>
  <c r="L147" i="1"/>
  <c r="X149" i="17"/>
  <c r="A60" i="7"/>
  <c r="AB149" i="17"/>
  <c r="K149" i="17"/>
  <c r="A150" i="17"/>
  <c r="X150" i="17"/>
  <c r="A151" i="17"/>
  <c r="K150" i="17"/>
  <c r="AB150" i="17"/>
  <c r="X147" i="25"/>
  <c r="K147" i="25"/>
  <c r="A148" i="25"/>
  <c r="AB147" i="25"/>
  <c r="X146" i="23"/>
  <c r="A147" i="23"/>
  <c r="AB146" i="23"/>
  <c r="K146" i="23"/>
  <c r="K145" i="18"/>
  <c r="AB145" i="18"/>
  <c r="A146" i="18"/>
  <c r="X145" i="18"/>
  <c r="A148" i="15"/>
  <c r="X147" i="15"/>
  <c r="K147" i="15"/>
  <c r="AB147" i="15"/>
  <c r="AK148" i="1"/>
  <c r="AB148" i="1"/>
  <c r="X148" i="1"/>
  <c r="AJ148" i="1"/>
  <c r="K148" i="1"/>
  <c r="L148" i="1"/>
  <c r="AB149" i="20"/>
  <c r="AE24" i="7"/>
  <c r="K149" i="20"/>
  <c r="A150" i="20"/>
  <c r="X149" i="20"/>
  <c r="A149" i="24"/>
  <c r="X148" i="24"/>
  <c r="AB148" i="24"/>
  <c r="K148" i="24"/>
  <c r="X147" i="22"/>
  <c r="A148" i="22"/>
  <c r="AB147" i="22"/>
  <c r="K147" i="22"/>
  <c r="K148" i="16"/>
  <c r="A149" i="16"/>
  <c r="X148" i="16"/>
  <c r="AB148" i="16"/>
  <c r="L148" i="16"/>
  <c r="D148" i="16" s="1"/>
  <c r="K149" i="16"/>
  <c r="A48" i="7"/>
  <c r="AB149" i="16"/>
  <c r="A150" i="16"/>
  <c r="L149" i="16"/>
  <c r="X149" i="16"/>
  <c r="AB148" i="22"/>
  <c r="X148" i="22"/>
  <c r="K148" i="22"/>
  <c r="A149" i="22"/>
  <c r="AE60" i="7"/>
  <c r="AB149" i="24"/>
  <c r="X149" i="24"/>
  <c r="K149" i="24"/>
  <c r="A150" i="24"/>
  <c r="A151" i="20"/>
  <c r="AB150" i="20"/>
  <c r="K150" i="20"/>
  <c r="X150" i="20"/>
  <c r="AJ149" i="1"/>
  <c r="X149" i="1"/>
  <c r="A24" i="7"/>
  <c r="AB149" i="1"/>
  <c r="L149" i="1"/>
  <c r="B24" i="7" s="1"/>
  <c r="AK149" i="1"/>
  <c r="K149" i="1"/>
  <c r="X148" i="15"/>
  <c r="A149" i="15"/>
  <c r="AB148" i="15"/>
  <c r="K148" i="15"/>
  <c r="X146" i="18"/>
  <c r="A147" i="18"/>
  <c r="AB146" i="18"/>
  <c r="K146" i="18"/>
  <c r="A149" i="25"/>
  <c r="AB148" i="25"/>
  <c r="K148" i="25"/>
  <c r="X148" i="25"/>
  <c r="A148" i="23"/>
  <c r="AB147" i="23"/>
  <c r="K147" i="23"/>
  <c r="X147" i="23"/>
  <c r="A152" i="17"/>
  <c r="K151" i="17"/>
  <c r="X151" i="17"/>
  <c r="AB151" i="17"/>
  <c r="K149" i="15"/>
  <c r="AB149" i="15"/>
  <c r="A36" i="7"/>
  <c r="A150" i="15"/>
  <c r="X149" i="15"/>
  <c r="AJ150" i="1"/>
  <c r="X150" i="1"/>
  <c r="AB150" i="1"/>
  <c r="L150" i="1"/>
  <c r="AK150" i="1"/>
  <c r="K150" i="1"/>
  <c r="AC150" i="1"/>
  <c r="K149" i="22"/>
  <c r="A150" i="22"/>
  <c r="AB149" i="22"/>
  <c r="AE36" i="7"/>
  <c r="X149" i="22"/>
  <c r="K150" i="16"/>
  <c r="X150" i="16"/>
  <c r="AB150" i="16"/>
  <c r="A151" i="16"/>
  <c r="L150" i="16"/>
  <c r="D150" i="16" s="1"/>
  <c r="K152" i="17"/>
  <c r="A153" i="17"/>
  <c r="X152" i="17"/>
  <c r="AB152" i="17"/>
  <c r="X148" i="23"/>
  <c r="K148" i="23"/>
  <c r="AB148" i="23"/>
  <c r="A149" i="23"/>
  <c r="X149" i="25"/>
  <c r="AB149" i="25"/>
  <c r="AE72" i="7"/>
  <c r="A150" i="25"/>
  <c r="K149" i="25"/>
  <c r="K147" i="18"/>
  <c r="X147" i="18"/>
  <c r="AB147" i="18"/>
  <c r="A148" i="18"/>
  <c r="X151" i="20"/>
  <c r="AB151" i="20"/>
  <c r="K151" i="20"/>
  <c r="A152" i="20"/>
  <c r="A151" i="24"/>
  <c r="X150" i="24"/>
  <c r="K150" i="24"/>
  <c r="AB150" i="24"/>
  <c r="X150" i="15"/>
  <c r="AB150" i="15"/>
  <c r="K150" i="15"/>
  <c r="A151" i="15"/>
  <c r="X151" i="24"/>
  <c r="K151" i="24"/>
  <c r="AB151" i="24"/>
  <c r="A152" i="24"/>
  <c r="AB152" i="20"/>
  <c r="X152" i="20"/>
  <c r="K152" i="20"/>
  <c r="A153" i="20"/>
  <c r="AB148" i="18"/>
  <c r="X148" i="18"/>
  <c r="A149" i="18"/>
  <c r="K148" i="18"/>
  <c r="X150" i="25"/>
  <c r="K150" i="25"/>
  <c r="AB150" i="25"/>
  <c r="A151" i="25"/>
  <c r="A150" i="23"/>
  <c r="K149" i="23"/>
  <c r="AE48" i="7"/>
  <c r="X149" i="23"/>
  <c r="AB149" i="23"/>
  <c r="AB153" i="17"/>
  <c r="A154" i="17"/>
  <c r="K153" i="17"/>
  <c r="X153" i="17"/>
  <c r="A152" i="16"/>
  <c r="K151" i="16"/>
  <c r="X151" i="16"/>
  <c r="AB151" i="16"/>
  <c r="L151" i="16"/>
  <c r="D151" i="16" s="1"/>
  <c r="A151" i="22"/>
  <c r="K150" i="22"/>
  <c r="X150" i="22"/>
  <c r="AB150" i="22"/>
  <c r="AJ151" i="1"/>
  <c r="X151" i="1"/>
  <c r="L151" i="1"/>
  <c r="K151" i="1"/>
  <c r="AK151" i="1"/>
  <c r="AB151" i="1"/>
  <c r="K151" i="22"/>
  <c r="X151" i="22"/>
  <c r="A152" i="22"/>
  <c r="AB151" i="22"/>
  <c r="X154" i="17"/>
  <c r="A155" i="17"/>
  <c r="AB154" i="17"/>
  <c r="K154" i="17"/>
  <c r="AK152" i="1"/>
  <c r="X152" i="1"/>
  <c r="AB152" i="1"/>
  <c r="AJ152" i="1"/>
  <c r="L152" i="1"/>
  <c r="K152" i="1"/>
  <c r="AB149" i="18"/>
  <c r="K149" i="18"/>
  <c r="X149" i="18"/>
  <c r="A72" i="7"/>
  <c r="A150" i="18"/>
  <c r="A152" i="15"/>
  <c r="X151" i="15"/>
  <c r="K151" i="15"/>
  <c r="AB151" i="15"/>
  <c r="K152" i="16"/>
  <c r="L152" i="16"/>
  <c r="D152" i="16" s="1"/>
  <c r="X152" i="16"/>
  <c r="A153" i="16"/>
  <c r="AB152" i="16"/>
  <c r="AB150" i="23"/>
  <c r="K150" i="23"/>
  <c r="A151" i="23"/>
  <c r="X150" i="23"/>
  <c r="A152" i="25"/>
  <c r="AB151" i="25"/>
  <c r="X151" i="25"/>
  <c r="K151" i="25"/>
  <c r="X153" i="20"/>
  <c r="AB153" i="20"/>
  <c r="K153" i="20"/>
  <c r="A154" i="20"/>
  <c r="AB152" i="24"/>
  <c r="A153" i="24"/>
  <c r="X152" i="24"/>
  <c r="K152" i="24"/>
  <c r="AB152" i="25"/>
  <c r="A153" i="25"/>
  <c r="K152" i="25"/>
  <c r="X152" i="25"/>
  <c r="K151" i="23"/>
  <c r="A152" i="23"/>
  <c r="AB151" i="23"/>
  <c r="X151" i="23"/>
  <c r="X153" i="16"/>
  <c r="L153" i="16"/>
  <c r="D153" i="16" s="1"/>
  <c r="A154" i="16"/>
  <c r="K153" i="16"/>
  <c r="AB153" i="16"/>
  <c r="AJ153" i="1"/>
  <c r="X153" i="1"/>
  <c r="AB153" i="1"/>
  <c r="L153" i="1"/>
  <c r="AK153" i="1"/>
  <c r="K153" i="1"/>
  <c r="A154" i="24"/>
  <c r="K153" i="24"/>
  <c r="X153" i="24"/>
  <c r="AB153" i="24"/>
  <c r="K154" i="20"/>
  <c r="X154" i="20"/>
  <c r="A155" i="20"/>
  <c r="AB154" i="20"/>
  <c r="A153" i="15"/>
  <c r="X152" i="15"/>
  <c r="K152" i="15"/>
  <c r="AB152" i="15"/>
  <c r="A151" i="18"/>
  <c r="X150" i="18"/>
  <c r="AB150" i="18"/>
  <c r="K150" i="18"/>
  <c r="AB155" i="17"/>
  <c r="X155" i="17"/>
  <c r="A156" i="17"/>
  <c r="K155" i="17"/>
  <c r="K152" i="22"/>
  <c r="A153" i="22"/>
  <c r="X152" i="22"/>
  <c r="AB152" i="22"/>
  <c r="A154" i="15"/>
  <c r="K153" i="15"/>
  <c r="AB153" i="15"/>
  <c r="X153" i="15"/>
  <c r="X155" i="20"/>
  <c r="K155" i="20"/>
  <c r="AB155" i="20"/>
  <c r="A156" i="20"/>
  <c r="AB154" i="16"/>
  <c r="X154" i="16"/>
  <c r="A155" i="16"/>
  <c r="L154" i="16"/>
  <c r="D154" i="16" s="1"/>
  <c r="K154" i="16"/>
  <c r="AB153" i="22"/>
  <c r="X153" i="22"/>
  <c r="K153" i="22"/>
  <c r="A154" i="22"/>
  <c r="K156" i="17"/>
  <c r="L156" i="17"/>
  <c r="D156" i="17" s="1"/>
  <c r="X156" i="17"/>
  <c r="AB156" i="17"/>
  <c r="A157" i="17"/>
  <c r="AB151" i="18"/>
  <c r="K151" i="18"/>
  <c r="X151" i="18"/>
  <c r="A152" i="18"/>
  <c r="X154" i="24"/>
  <c r="AB154" i="24"/>
  <c r="K154" i="24"/>
  <c r="A155" i="24"/>
  <c r="AJ154" i="1"/>
  <c r="AB154" i="1"/>
  <c r="X154" i="1"/>
  <c r="AK154" i="1"/>
  <c r="K154" i="1"/>
  <c r="L154" i="1"/>
  <c r="A153" i="23"/>
  <c r="X152" i="23"/>
  <c r="AB152" i="23"/>
  <c r="K152" i="23"/>
  <c r="A154" i="25"/>
  <c r="X153" i="25"/>
  <c r="K153" i="25"/>
  <c r="AB153" i="25"/>
  <c r="K154" i="25"/>
  <c r="AB154" i="25"/>
  <c r="X154" i="25"/>
  <c r="A155" i="25"/>
  <c r="K153" i="23"/>
  <c r="A154" i="23"/>
  <c r="X153" i="23"/>
  <c r="AB153" i="23"/>
  <c r="AK155" i="1"/>
  <c r="K155" i="1"/>
  <c r="AJ155" i="1"/>
  <c r="X155" i="1"/>
  <c r="AB155" i="1"/>
  <c r="L155" i="1"/>
  <c r="K152" i="18"/>
  <c r="AB152" i="18"/>
  <c r="A153" i="18"/>
  <c r="X152" i="18"/>
  <c r="K155" i="16"/>
  <c r="AB155" i="16"/>
  <c r="X155" i="16"/>
  <c r="L155" i="16"/>
  <c r="D155" i="16" s="1"/>
  <c r="A156" i="16"/>
  <c r="K156" i="20"/>
  <c r="AB156" i="20"/>
  <c r="X156" i="20"/>
  <c r="A157" i="20"/>
  <c r="K155" i="24"/>
  <c r="AB155" i="24"/>
  <c r="A156" i="24"/>
  <c r="X155" i="24"/>
  <c r="X157" i="17"/>
  <c r="AB157" i="17"/>
  <c r="A158" i="17"/>
  <c r="K157" i="17"/>
  <c r="A155" i="22"/>
  <c r="K154" i="22"/>
  <c r="AB154" i="22"/>
  <c r="X154" i="22"/>
  <c r="A155" i="15"/>
  <c r="X154" i="15"/>
  <c r="AB154" i="15"/>
  <c r="K154" i="15"/>
  <c r="X155" i="15"/>
  <c r="AB155" i="15"/>
  <c r="L155" i="15"/>
  <c r="D155" i="15" s="1"/>
  <c r="K155" i="15"/>
  <c r="A156" i="15"/>
  <c r="A157" i="16"/>
  <c r="K156" i="16"/>
  <c r="L156" i="16"/>
  <c r="D156" i="16" s="1"/>
  <c r="X156" i="16"/>
  <c r="AB156" i="16"/>
  <c r="L153" i="18"/>
  <c r="AB153" i="18"/>
  <c r="X153" i="18"/>
  <c r="K153" i="18"/>
  <c r="A154" i="18"/>
  <c r="AK156" i="1"/>
  <c r="AB156" i="1"/>
  <c r="L156" i="1"/>
  <c r="AJ156" i="1"/>
  <c r="K156" i="1"/>
  <c r="X156" i="1"/>
  <c r="K155" i="25"/>
  <c r="A156" i="25"/>
  <c r="AB155" i="25"/>
  <c r="X155" i="25"/>
  <c r="A156" i="22"/>
  <c r="X155" i="22"/>
  <c r="K155" i="22"/>
  <c r="AB155" i="22"/>
  <c r="X158" i="17"/>
  <c r="A159" i="17"/>
  <c r="K158" i="17"/>
  <c r="AB158" i="17"/>
  <c r="X156" i="24"/>
  <c r="A157" i="24"/>
  <c r="AB156" i="24"/>
  <c r="K156" i="24"/>
  <c r="X157" i="20"/>
  <c r="K157" i="20"/>
  <c r="A158" i="20"/>
  <c r="AB157" i="20"/>
  <c r="K154" i="23"/>
  <c r="X154" i="23"/>
  <c r="A155" i="23"/>
  <c r="AB154" i="23"/>
  <c r="AB155" i="23"/>
  <c r="K155" i="23"/>
  <c r="X155" i="23"/>
  <c r="A156" i="23"/>
  <c r="AB156" i="22"/>
  <c r="A157" i="22"/>
  <c r="X156" i="22"/>
  <c r="K156" i="22"/>
  <c r="X156" i="25"/>
  <c r="A157" i="25"/>
  <c r="AB156" i="25"/>
  <c r="K156" i="25"/>
  <c r="A158" i="16"/>
  <c r="AB157" i="16"/>
  <c r="X157" i="16"/>
  <c r="K157" i="16"/>
  <c r="L157" i="16"/>
  <c r="D157" i="16" s="1"/>
  <c r="K156" i="15"/>
  <c r="X156" i="15"/>
  <c r="AB156" i="15"/>
  <c r="L156" i="15"/>
  <c r="D156" i="15" s="1"/>
  <c r="A157" i="15"/>
  <c r="A159" i="20"/>
  <c r="AB158" i="20"/>
  <c r="K158" i="20"/>
  <c r="X158" i="20"/>
  <c r="K157" i="24"/>
  <c r="X157" i="24"/>
  <c r="A158" i="24"/>
  <c r="AB157" i="24"/>
  <c r="A160" i="17"/>
  <c r="K159" i="17"/>
  <c r="X159" i="17"/>
  <c r="AB159" i="17"/>
  <c r="L159" i="17"/>
  <c r="D159" i="17" s="1"/>
  <c r="AJ157" i="1"/>
  <c r="K157" i="1"/>
  <c r="AB157" i="1"/>
  <c r="AK157" i="1"/>
  <c r="X157" i="1"/>
  <c r="AB154" i="18"/>
  <c r="A155" i="18"/>
  <c r="X154" i="18"/>
  <c r="K154" i="18"/>
  <c r="AJ158" i="1"/>
  <c r="X158" i="1"/>
  <c r="AB158" i="1"/>
  <c r="K158" i="1"/>
  <c r="AK158" i="1"/>
  <c r="A161" i="17"/>
  <c r="AB160" i="17"/>
  <c r="X160" i="17"/>
  <c r="K160" i="17"/>
  <c r="A159" i="24"/>
  <c r="X158" i="24"/>
  <c r="K158" i="24"/>
  <c r="AB158" i="24"/>
  <c r="AB159" i="20"/>
  <c r="K159" i="20"/>
  <c r="X159" i="20"/>
  <c r="A160" i="20"/>
  <c r="A158" i="15"/>
  <c r="K157" i="15"/>
  <c r="X157" i="15"/>
  <c r="AB157" i="15"/>
  <c r="X157" i="25"/>
  <c r="K157" i="25"/>
  <c r="A158" i="25"/>
  <c r="AB157" i="25"/>
  <c r="K156" i="23"/>
  <c r="A157" i="23"/>
  <c r="AB156" i="23"/>
  <c r="X156" i="23"/>
  <c r="A156" i="18"/>
  <c r="AB155" i="18"/>
  <c r="X155" i="18"/>
  <c r="K155" i="18"/>
  <c r="AB158" i="16"/>
  <c r="L158" i="16"/>
  <c r="D158" i="16" s="1"/>
  <c r="A159" i="16"/>
  <c r="K158" i="16"/>
  <c r="X158" i="16"/>
  <c r="A158" i="22"/>
  <c r="AB157" i="22"/>
  <c r="K157" i="22"/>
  <c r="X157" i="22"/>
  <c r="AB160" i="20"/>
  <c r="A161" i="20"/>
  <c r="K160" i="20"/>
  <c r="X160" i="20"/>
  <c r="K156" i="18"/>
  <c r="A157" i="18"/>
  <c r="X156" i="18"/>
  <c r="AB156" i="18"/>
  <c r="K158" i="15"/>
  <c r="AB158" i="15"/>
  <c r="A159" i="15"/>
  <c r="X158" i="15"/>
  <c r="A159" i="22"/>
  <c r="AB158" i="22"/>
  <c r="K158" i="22"/>
  <c r="X158" i="22"/>
  <c r="A160" i="16"/>
  <c r="AB159" i="16"/>
  <c r="L159" i="16"/>
  <c r="D159" i="16" s="1"/>
  <c r="K159" i="16"/>
  <c r="X159" i="16"/>
  <c r="A158" i="23"/>
  <c r="X157" i="23"/>
  <c r="AB157" i="23"/>
  <c r="K157" i="23"/>
  <c r="K158" i="25"/>
  <c r="X158" i="25"/>
  <c r="AB158" i="25"/>
  <c r="A159" i="25"/>
  <c r="A160" i="24"/>
  <c r="AB159" i="24"/>
  <c r="K159" i="24"/>
  <c r="X159" i="24"/>
  <c r="AB161" i="17"/>
  <c r="K161" i="17"/>
  <c r="A162" i="17"/>
  <c r="X161" i="17"/>
  <c r="AJ159" i="1"/>
  <c r="X159" i="1"/>
  <c r="AB159" i="1"/>
  <c r="K159" i="1"/>
  <c r="AK159" i="1"/>
  <c r="A160" i="25"/>
  <c r="AB159" i="25"/>
  <c r="K159" i="25"/>
  <c r="X159" i="25"/>
  <c r="A159" i="23"/>
  <c r="AB158" i="23"/>
  <c r="X158" i="23"/>
  <c r="K158" i="23"/>
  <c r="X160" i="16"/>
  <c r="L160" i="16"/>
  <c r="A161" i="16"/>
  <c r="AB160" i="16"/>
  <c r="K160" i="16"/>
  <c r="K159" i="22"/>
  <c r="X159" i="22"/>
  <c r="A160" i="22"/>
  <c r="AB159" i="22"/>
  <c r="AB159" i="15"/>
  <c r="A160" i="15"/>
  <c r="K159" i="15"/>
  <c r="X159" i="15"/>
  <c r="X162" i="17"/>
  <c r="A163" i="17"/>
  <c r="AB162" i="17"/>
  <c r="K162" i="17"/>
  <c r="AB160" i="24"/>
  <c r="A161" i="24"/>
  <c r="K160" i="24"/>
  <c r="X160" i="24"/>
  <c r="X157" i="18"/>
  <c r="K157" i="18"/>
  <c r="A158" i="18"/>
  <c r="AB157" i="18"/>
  <c r="AB161" i="20"/>
  <c r="X161" i="20"/>
  <c r="K161" i="20"/>
  <c r="A162" i="20"/>
  <c r="AJ160" i="1"/>
  <c r="AB160" i="1"/>
  <c r="X160" i="1"/>
  <c r="AK160" i="1"/>
  <c r="K160" i="1"/>
  <c r="A163" i="20"/>
  <c r="K162" i="20"/>
  <c r="AB162" i="20"/>
  <c r="X162" i="20"/>
  <c r="K161" i="24"/>
  <c r="A162" i="24"/>
  <c r="AB161" i="24"/>
  <c r="X161" i="24"/>
  <c r="X163" i="17"/>
  <c r="K163" i="17"/>
  <c r="AB163" i="17"/>
  <c r="A164" i="17"/>
  <c r="AB160" i="22"/>
  <c r="K160" i="22"/>
  <c r="A161" i="22"/>
  <c r="X160" i="22"/>
  <c r="X161" i="16"/>
  <c r="A162" i="16"/>
  <c r="L161" i="16"/>
  <c r="D161" i="16" s="1"/>
  <c r="AB161" i="16"/>
  <c r="K161" i="16"/>
  <c r="AJ161" i="1"/>
  <c r="AB161" i="1"/>
  <c r="K161" i="1"/>
  <c r="AK161" i="1"/>
  <c r="X161" i="1"/>
  <c r="A159" i="18"/>
  <c r="AB158" i="18"/>
  <c r="K158" i="18"/>
  <c r="X158" i="18"/>
  <c r="A161" i="15"/>
  <c r="K160" i="15"/>
  <c r="AB160" i="15"/>
  <c r="X160" i="15"/>
  <c r="D160" i="16"/>
  <c r="AB159" i="23"/>
  <c r="A160" i="23"/>
  <c r="X159" i="23"/>
  <c r="K159" i="23"/>
  <c r="A161" i="25"/>
  <c r="K160" i="25"/>
  <c r="AB160" i="25"/>
  <c r="X160" i="25"/>
  <c r="K161" i="25"/>
  <c r="X161" i="25"/>
  <c r="AB161" i="25"/>
  <c r="A162" i="25"/>
  <c r="A161" i="23"/>
  <c r="AB160" i="23"/>
  <c r="K160" i="23"/>
  <c r="X160" i="23"/>
  <c r="K161" i="15"/>
  <c r="AB161" i="15"/>
  <c r="X161" i="15"/>
  <c r="A162" i="15"/>
  <c r="A160" i="18"/>
  <c r="X159" i="18"/>
  <c r="AB159" i="18"/>
  <c r="K159" i="18"/>
  <c r="X164" i="17"/>
  <c r="K164" i="17"/>
  <c r="AB164" i="17"/>
  <c r="A165" i="17"/>
  <c r="AJ162" i="1"/>
  <c r="K162" i="1"/>
  <c r="X162" i="1"/>
  <c r="AK162" i="1"/>
  <c r="AB162" i="1"/>
  <c r="K162" i="16"/>
  <c r="AB162" i="16"/>
  <c r="A163" i="16"/>
  <c r="X162" i="16"/>
  <c r="L162" i="16"/>
  <c r="K161" i="22"/>
  <c r="AB161" i="22"/>
  <c r="A162" i="22"/>
  <c r="X161" i="22"/>
  <c r="K162" i="24"/>
  <c r="A163" i="24"/>
  <c r="X162" i="24"/>
  <c r="AB162" i="24"/>
  <c r="X163" i="20"/>
  <c r="K163" i="20"/>
  <c r="AB163" i="20"/>
  <c r="A164" i="20"/>
  <c r="A165" i="20"/>
  <c r="K164" i="20"/>
  <c r="X164" i="20"/>
  <c r="AB164" i="20"/>
  <c r="AB163" i="24"/>
  <c r="K163" i="24"/>
  <c r="A164" i="24"/>
  <c r="X163" i="24"/>
  <c r="A163" i="22"/>
  <c r="AB162" i="22"/>
  <c r="X162" i="22"/>
  <c r="K162" i="22"/>
  <c r="K163" i="16"/>
  <c r="X163" i="16"/>
  <c r="L163" i="16"/>
  <c r="D163" i="16" s="1"/>
  <c r="A164" i="16"/>
  <c r="AB163" i="16"/>
  <c r="A161" i="18"/>
  <c r="X160" i="18"/>
  <c r="AB160" i="18"/>
  <c r="K160" i="18"/>
  <c r="AB162" i="15"/>
  <c r="X162" i="15"/>
  <c r="K162" i="15"/>
  <c r="A163" i="15"/>
  <c r="D162" i="16"/>
  <c r="AK163" i="1"/>
  <c r="X163" i="1"/>
  <c r="K163" i="1"/>
  <c r="AB163" i="1"/>
  <c r="AJ163" i="1"/>
  <c r="AB165" i="17"/>
  <c r="K165" i="17"/>
  <c r="A166" i="17"/>
  <c r="X165" i="17"/>
  <c r="A162" i="23"/>
  <c r="X161" i="23"/>
  <c r="K161" i="23"/>
  <c r="AB161" i="23"/>
  <c r="X162" i="25"/>
  <c r="K162" i="25"/>
  <c r="A163" i="25"/>
  <c r="AB162" i="25"/>
  <c r="A164" i="25"/>
  <c r="K163" i="25"/>
  <c r="X163" i="25"/>
  <c r="AB163" i="25"/>
  <c r="X162" i="23"/>
  <c r="AB162" i="23"/>
  <c r="K162" i="23"/>
  <c r="A163" i="23"/>
  <c r="A164" i="15"/>
  <c r="X163" i="15"/>
  <c r="AB163" i="15"/>
  <c r="K163" i="15"/>
  <c r="K164" i="16"/>
  <c r="AB164" i="16"/>
  <c r="L164" i="16"/>
  <c r="A165" i="16"/>
  <c r="X164" i="16"/>
  <c r="AB163" i="22"/>
  <c r="X163" i="22"/>
  <c r="A164" i="22"/>
  <c r="K163" i="22"/>
  <c r="X165" i="20"/>
  <c r="AB165" i="20"/>
  <c r="A166" i="20"/>
  <c r="K165" i="20"/>
  <c r="A167" i="17"/>
  <c r="K166" i="17"/>
  <c r="X166" i="17"/>
  <c r="AB166" i="17"/>
  <c r="AK164" i="1"/>
  <c r="K164" i="1"/>
  <c r="AJ164" i="1"/>
  <c r="X164" i="1"/>
  <c r="AB164" i="1"/>
  <c r="K161" i="18"/>
  <c r="AB161" i="18"/>
  <c r="A162" i="18"/>
  <c r="X161" i="18"/>
  <c r="A165" i="24"/>
  <c r="X164" i="24"/>
  <c r="AB164" i="24"/>
  <c r="K164" i="24"/>
  <c r="K165" i="24"/>
  <c r="X165" i="24"/>
  <c r="A166" i="24"/>
  <c r="AB165" i="24"/>
  <c r="A163" i="18"/>
  <c r="AB162" i="18"/>
  <c r="X162" i="18"/>
  <c r="K162" i="18"/>
  <c r="AJ165" i="1"/>
  <c r="K165" i="1"/>
  <c r="AB165" i="1"/>
  <c r="X165" i="1"/>
  <c r="AK165" i="1"/>
  <c r="K164" i="22"/>
  <c r="AB164" i="22"/>
  <c r="A165" i="22"/>
  <c r="X164" i="22"/>
  <c r="D164" i="16"/>
  <c r="K163" i="23"/>
  <c r="A164" i="23"/>
  <c r="AB163" i="23"/>
  <c r="X163" i="23"/>
  <c r="A168" i="17"/>
  <c r="AB167" i="17"/>
  <c r="X167" i="17"/>
  <c r="K167" i="17"/>
  <c r="A167" i="20"/>
  <c r="AB166" i="20"/>
  <c r="K166" i="20"/>
  <c r="X166" i="20"/>
  <c r="AB165" i="16"/>
  <c r="X165" i="16"/>
  <c r="A166" i="16"/>
  <c r="L165" i="16"/>
  <c r="D165" i="16" s="1"/>
  <c r="K165" i="16"/>
  <c r="AB164" i="15"/>
  <c r="K164" i="15"/>
  <c r="A165" i="15"/>
  <c r="X164" i="15"/>
  <c r="K164" i="25"/>
  <c r="A165" i="25"/>
  <c r="AB164" i="25"/>
  <c r="X164" i="25"/>
  <c r="X165" i="15"/>
  <c r="AB165" i="15"/>
  <c r="K165" i="15"/>
  <c r="A166" i="15"/>
  <c r="A167" i="16"/>
  <c r="L166" i="16"/>
  <c r="D166" i="16" s="1"/>
  <c r="K166" i="16"/>
  <c r="AB166" i="16"/>
  <c r="X166" i="16"/>
  <c r="AB164" i="23"/>
  <c r="A165" i="23"/>
  <c r="K164" i="23"/>
  <c r="X164" i="23"/>
  <c r="X165" i="25"/>
  <c r="AB165" i="25"/>
  <c r="K165" i="25"/>
  <c r="A166" i="25"/>
  <c r="A168" i="20"/>
  <c r="K167" i="20"/>
  <c r="AB167" i="20"/>
  <c r="X167" i="20"/>
  <c r="K168" i="17"/>
  <c r="X168" i="17"/>
  <c r="A169" i="17"/>
  <c r="AB168" i="17"/>
  <c r="A166" i="22"/>
  <c r="AB165" i="22"/>
  <c r="K165" i="22"/>
  <c r="X165" i="22"/>
  <c r="AJ166" i="1"/>
  <c r="AB166" i="1"/>
  <c r="AK166" i="1"/>
  <c r="X166" i="1"/>
  <c r="K166" i="1"/>
  <c r="X163" i="18"/>
  <c r="K163" i="18"/>
  <c r="A164" i="18"/>
  <c r="AB163" i="18"/>
  <c r="A167" i="24"/>
  <c r="K166" i="24"/>
  <c r="X166" i="24"/>
  <c r="AB166" i="24"/>
  <c r="X167" i="24"/>
  <c r="AB167" i="24"/>
  <c r="K167" i="24"/>
  <c r="A168" i="24"/>
  <c r="X164" i="18"/>
  <c r="A165" i="18"/>
  <c r="AB164" i="18"/>
  <c r="K164" i="18"/>
  <c r="K166" i="25"/>
  <c r="AB166" i="25"/>
  <c r="A167" i="25"/>
  <c r="X166" i="25"/>
  <c r="AB167" i="16"/>
  <c r="K167" i="16"/>
  <c r="A168" i="16"/>
  <c r="X167" i="16"/>
  <c r="L167" i="16"/>
  <c r="D167" i="16" s="1"/>
  <c r="AJ167" i="1"/>
  <c r="K167" i="1"/>
  <c r="AK167" i="1"/>
  <c r="X167" i="1"/>
  <c r="AB167" i="1"/>
  <c r="X166" i="22"/>
  <c r="AB166" i="22"/>
  <c r="A167" i="22"/>
  <c r="K166" i="22"/>
  <c r="A170" i="17"/>
  <c r="AB169" i="17"/>
  <c r="K169" i="17"/>
  <c r="X169" i="17"/>
  <c r="A169" i="20"/>
  <c r="X168" i="20"/>
  <c r="AB168" i="20"/>
  <c r="K168" i="20"/>
  <c r="K165" i="23"/>
  <c r="AB165" i="23"/>
  <c r="X165" i="23"/>
  <c r="A166" i="23"/>
  <c r="X166" i="15"/>
  <c r="A167" i="15"/>
  <c r="AB166" i="15"/>
  <c r="K166" i="15"/>
  <c r="AB166" i="23"/>
  <c r="A167" i="23"/>
  <c r="K166" i="23"/>
  <c r="X166" i="23"/>
  <c r="K167" i="15"/>
  <c r="A168" i="15"/>
  <c r="X167" i="15"/>
  <c r="AB167" i="15"/>
  <c r="X170" i="17"/>
  <c r="K170" i="17"/>
  <c r="AB170" i="17"/>
  <c r="A171" i="17"/>
  <c r="AJ168" i="1"/>
  <c r="K168" i="1"/>
  <c r="AB168" i="1"/>
  <c r="AK168" i="1"/>
  <c r="X168" i="1"/>
  <c r="X169" i="20"/>
  <c r="AB169" i="20"/>
  <c r="A170" i="20"/>
  <c r="K169" i="20"/>
  <c r="X167" i="22"/>
  <c r="AB167" i="22"/>
  <c r="A168" i="22"/>
  <c r="K167" i="22"/>
  <c r="X168" i="16"/>
  <c r="A169" i="16"/>
  <c r="K168" i="16"/>
  <c r="AB168" i="16"/>
  <c r="L168" i="16"/>
  <c r="D168" i="16" s="1"/>
  <c r="X167" i="25"/>
  <c r="A168" i="25"/>
  <c r="AB167" i="25"/>
  <c r="K167" i="25"/>
  <c r="A166" i="18"/>
  <c r="X165" i="18"/>
  <c r="K165" i="18"/>
  <c r="AB165" i="18"/>
  <c r="K168" i="24"/>
  <c r="X168" i="24"/>
  <c r="A169" i="24"/>
  <c r="AB168" i="24"/>
  <c r="K169" i="16"/>
  <c r="L169" i="16"/>
  <c r="D169" i="16" s="1"/>
  <c r="AB169" i="16"/>
  <c r="X169" i="16"/>
  <c r="A170" i="16"/>
  <c r="AK169" i="1"/>
  <c r="X169" i="1"/>
  <c r="AJ169" i="1"/>
  <c r="AB169" i="1"/>
  <c r="K169" i="1"/>
  <c r="AB168" i="15"/>
  <c r="A169" i="15"/>
  <c r="K168" i="15"/>
  <c r="X168" i="15"/>
  <c r="X169" i="24"/>
  <c r="AB169" i="24"/>
  <c r="K169" i="24"/>
  <c r="A170" i="24"/>
  <c r="K166" i="18"/>
  <c r="AB166" i="18"/>
  <c r="A167" i="18"/>
  <c r="X166" i="18"/>
  <c r="AB168" i="25"/>
  <c r="A169" i="25"/>
  <c r="K168" i="25"/>
  <c r="X168" i="25"/>
  <c r="AB168" i="22"/>
  <c r="K168" i="22"/>
  <c r="X168" i="22"/>
  <c r="A169" i="22"/>
  <c r="A171" i="20"/>
  <c r="AB170" i="20"/>
  <c r="X170" i="20"/>
  <c r="K170" i="20"/>
  <c r="X171" i="17"/>
  <c r="A172" i="17"/>
  <c r="AB171" i="17"/>
  <c r="K171" i="17"/>
  <c r="A168" i="23"/>
  <c r="X167" i="23"/>
  <c r="K167" i="23"/>
  <c r="AB167" i="23"/>
  <c r="AB168" i="23"/>
  <c r="K168" i="23"/>
  <c r="A169" i="23"/>
  <c r="X168" i="23"/>
  <c r="A170" i="22"/>
  <c r="AB169" i="22"/>
  <c r="K169" i="22"/>
  <c r="X169" i="22"/>
  <c r="AB169" i="15"/>
  <c r="K169" i="15"/>
  <c r="X169" i="15"/>
  <c r="A170" i="15"/>
  <c r="AJ170" i="1"/>
  <c r="X170" i="1"/>
  <c r="K170" i="1"/>
  <c r="AK170" i="1"/>
  <c r="AB170" i="1"/>
  <c r="A171" i="16"/>
  <c r="AB170" i="16"/>
  <c r="L170" i="16"/>
  <c r="D170" i="16" s="1"/>
  <c r="X170" i="16"/>
  <c r="K170" i="16"/>
  <c r="X172" i="17"/>
  <c r="K172" i="17"/>
  <c r="AB172" i="17"/>
  <c r="A173" i="17"/>
  <c r="AB171" i="20"/>
  <c r="A172" i="20"/>
  <c r="X171" i="20"/>
  <c r="K171" i="20"/>
  <c r="X169" i="25"/>
  <c r="AB169" i="25"/>
  <c r="A170" i="25"/>
  <c r="K169" i="25"/>
  <c r="AB167" i="18"/>
  <c r="X167" i="18"/>
  <c r="K167" i="18"/>
  <c r="A168" i="18"/>
  <c r="K170" i="24"/>
  <c r="AB170" i="24"/>
  <c r="A171" i="24"/>
  <c r="X170" i="24"/>
  <c r="AB173" i="17"/>
  <c r="A174" i="17"/>
  <c r="X173" i="17"/>
  <c r="K173" i="17"/>
  <c r="AB171" i="16"/>
  <c r="L171" i="16"/>
  <c r="D171" i="16" s="1"/>
  <c r="A172" i="16"/>
  <c r="X171" i="16"/>
  <c r="K171" i="16"/>
  <c r="AB170" i="15"/>
  <c r="X170" i="15"/>
  <c r="K170" i="15"/>
  <c r="A171" i="15"/>
  <c r="K169" i="23"/>
  <c r="AB169" i="23"/>
  <c r="X169" i="23"/>
  <c r="A170" i="23"/>
  <c r="AB171" i="24"/>
  <c r="X171" i="24"/>
  <c r="A172" i="24"/>
  <c r="K171" i="24"/>
  <c r="K168" i="18"/>
  <c r="X168" i="18"/>
  <c r="AB168" i="18"/>
  <c r="A169" i="18"/>
  <c r="K170" i="25"/>
  <c r="AB170" i="25"/>
  <c r="A171" i="25"/>
  <c r="X170" i="25"/>
  <c r="K172" i="20"/>
  <c r="A173" i="20"/>
  <c r="X172" i="20"/>
  <c r="AB172" i="20"/>
  <c r="AK171" i="1"/>
  <c r="K171" i="1"/>
  <c r="AJ171" i="1"/>
  <c r="AB171" i="1"/>
  <c r="X171" i="1"/>
  <c r="A171" i="22"/>
  <c r="X170" i="22"/>
  <c r="K170" i="22"/>
  <c r="AB170" i="22"/>
  <c r="AB171" i="22"/>
  <c r="K171" i="22"/>
  <c r="X171" i="22"/>
  <c r="A172" i="22"/>
  <c r="AJ172" i="1"/>
  <c r="K172" i="1"/>
  <c r="X172" i="1"/>
  <c r="AB172" i="1"/>
  <c r="AK172" i="1"/>
  <c r="X171" i="15"/>
  <c r="A172" i="15"/>
  <c r="AB171" i="15"/>
  <c r="K171" i="15"/>
  <c r="X173" i="20"/>
  <c r="AB173" i="20"/>
  <c r="K173" i="20"/>
  <c r="A174" i="20"/>
  <c r="K171" i="25"/>
  <c r="A172" i="25"/>
  <c r="AB171" i="25"/>
  <c r="X171" i="25"/>
  <c r="AB169" i="18"/>
  <c r="K169" i="18"/>
  <c r="X169" i="18"/>
  <c r="A170" i="18"/>
  <c r="K172" i="24"/>
  <c r="A173" i="24"/>
  <c r="AB172" i="24"/>
  <c r="X172" i="24"/>
  <c r="X170" i="23"/>
  <c r="A171" i="23"/>
  <c r="K170" i="23"/>
  <c r="AB170" i="23"/>
  <c r="K172" i="16"/>
  <c r="A173" i="16"/>
  <c r="AB172" i="16"/>
  <c r="L172" i="16"/>
  <c r="D172" i="16" s="1"/>
  <c r="X172" i="16"/>
  <c r="X174" i="17"/>
  <c r="AB174" i="17"/>
  <c r="A175" i="17"/>
  <c r="K174" i="17"/>
  <c r="A174" i="16"/>
  <c r="X173" i="16"/>
  <c r="L173" i="16"/>
  <c r="D173" i="16" s="1"/>
  <c r="K173" i="16"/>
  <c r="AB173" i="16"/>
  <c r="K172" i="25"/>
  <c r="A173" i="25"/>
  <c r="AB172" i="25"/>
  <c r="X172" i="25"/>
  <c r="X172" i="15"/>
  <c r="K172" i="15"/>
  <c r="AB172" i="15"/>
  <c r="A173" i="15"/>
  <c r="AJ173" i="1"/>
  <c r="K173" i="1"/>
  <c r="AB173" i="1"/>
  <c r="AK173" i="1"/>
  <c r="X173" i="1"/>
  <c r="AB175" i="17"/>
  <c r="K175" i="17"/>
  <c r="A176" i="17"/>
  <c r="X175" i="17"/>
  <c r="A172" i="23"/>
  <c r="X171" i="23"/>
  <c r="AB171" i="23"/>
  <c r="K171" i="23"/>
  <c r="AB173" i="24"/>
  <c r="X173" i="24"/>
  <c r="A174" i="24"/>
  <c r="K173" i="24"/>
  <c r="A171" i="18"/>
  <c r="AB170" i="18"/>
  <c r="K170" i="18"/>
  <c r="X170" i="18"/>
  <c r="AB174" i="20"/>
  <c r="K174" i="20"/>
  <c r="A175" i="20"/>
  <c r="X174" i="20"/>
  <c r="K172" i="22"/>
  <c r="X172" i="22"/>
  <c r="A173" i="22"/>
  <c r="AB172" i="22"/>
  <c r="X174" i="24"/>
  <c r="K174" i="24"/>
  <c r="A175" i="24"/>
  <c r="AB174" i="24"/>
  <c r="K176" i="17"/>
  <c r="AB176" i="17"/>
  <c r="A177" i="17"/>
  <c r="X176" i="17"/>
  <c r="K173" i="22"/>
  <c r="X173" i="22"/>
  <c r="A174" i="22"/>
  <c r="AB173" i="22"/>
  <c r="X175" i="20"/>
  <c r="AB175" i="20"/>
  <c r="A176" i="20"/>
  <c r="K175" i="20"/>
  <c r="K171" i="18"/>
  <c r="AB171" i="18"/>
  <c r="X171" i="18"/>
  <c r="A172" i="18"/>
  <c r="K172" i="23"/>
  <c r="AB172" i="23"/>
  <c r="A173" i="23"/>
  <c r="X172" i="23"/>
  <c r="AJ174" i="1"/>
  <c r="X174" i="1"/>
  <c r="AB174" i="1"/>
  <c r="AK174" i="1"/>
  <c r="K174" i="1"/>
  <c r="AB173" i="15"/>
  <c r="X173" i="15"/>
  <c r="A174" i="15"/>
  <c r="K173" i="15"/>
  <c r="AB173" i="25"/>
  <c r="K173" i="25"/>
  <c r="X173" i="25"/>
  <c r="A174" i="25"/>
  <c r="K174" i="16"/>
  <c r="X174" i="16"/>
  <c r="L174" i="16"/>
  <c r="D174" i="16" s="1"/>
  <c r="A175" i="16"/>
  <c r="AB174" i="16"/>
  <c r="X174" i="15"/>
  <c r="A175" i="15"/>
  <c r="AB174" i="15"/>
  <c r="K174" i="15"/>
  <c r="AJ175" i="1"/>
  <c r="X175" i="1"/>
  <c r="AK175" i="1"/>
  <c r="K175" i="1"/>
  <c r="AB175" i="1"/>
  <c r="X172" i="18"/>
  <c r="A173" i="18"/>
  <c r="AB172" i="18"/>
  <c r="K172" i="18"/>
  <c r="K176" i="20"/>
  <c r="A177" i="20"/>
  <c r="X176" i="20"/>
  <c r="AB176" i="20"/>
  <c r="A175" i="22"/>
  <c r="K174" i="22"/>
  <c r="X174" i="22"/>
  <c r="AB174" i="22"/>
  <c r="AB175" i="16"/>
  <c r="K175" i="16"/>
  <c r="L175" i="16"/>
  <c r="D175" i="16" s="1"/>
  <c r="X175" i="16"/>
  <c r="A176" i="16"/>
  <c r="K174" i="25"/>
  <c r="AB174" i="25"/>
  <c r="A175" i="25"/>
  <c r="X174" i="25"/>
  <c r="K173" i="23"/>
  <c r="X173" i="23"/>
  <c r="AB173" i="23"/>
  <c r="A174" i="23"/>
  <c r="K177" i="17"/>
  <c r="A178" i="17"/>
  <c r="X177" i="17"/>
  <c r="AB177" i="17"/>
  <c r="K175" i="24"/>
  <c r="AB175" i="24"/>
  <c r="A176" i="24"/>
  <c r="X175" i="24"/>
  <c r="AB176" i="24"/>
  <c r="X176" i="24"/>
  <c r="K176" i="24"/>
  <c r="A177" i="24"/>
  <c r="K174" i="23"/>
  <c r="X174" i="23"/>
  <c r="AB174" i="23"/>
  <c r="A175" i="23"/>
  <c r="X175" i="25"/>
  <c r="K175" i="25"/>
  <c r="AB175" i="25"/>
  <c r="A176" i="25"/>
  <c r="K177" i="20"/>
  <c r="A178" i="20"/>
  <c r="AB177" i="20"/>
  <c r="X177" i="20"/>
  <c r="A174" i="18"/>
  <c r="K173" i="18"/>
  <c r="X173" i="18"/>
  <c r="AB173" i="18"/>
  <c r="K178" i="17"/>
  <c r="A179" i="17"/>
  <c r="X178" i="17"/>
  <c r="AB178" i="17"/>
  <c r="A177" i="16"/>
  <c r="L176" i="16"/>
  <c r="D176" i="16" s="1"/>
  <c r="X176" i="16"/>
  <c r="AB176" i="16"/>
  <c r="K176" i="16"/>
  <c r="AB175" i="22"/>
  <c r="A176" i="22"/>
  <c r="X175" i="22"/>
  <c r="K175" i="22"/>
  <c r="AK176" i="1"/>
  <c r="X176" i="1"/>
  <c r="AB176" i="1"/>
  <c r="K176" i="1"/>
  <c r="AJ176" i="1"/>
  <c r="K175" i="15"/>
  <c r="AB175" i="15"/>
  <c r="A176" i="15"/>
  <c r="X175" i="15"/>
  <c r="AJ177" i="1"/>
  <c r="AB177" i="1"/>
  <c r="X177" i="1"/>
  <c r="K177" i="1"/>
  <c r="AK177" i="1"/>
  <c r="A175" i="18"/>
  <c r="X174" i="18"/>
  <c r="AB174" i="18"/>
  <c r="K174" i="18"/>
  <c r="A178" i="24"/>
  <c r="K177" i="24"/>
  <c r="AB177" i="24"/>
  <c r="X177" i="24"/>
  <c r="AB176" i="15"/>
  <c r="X176" i="15"/>
  <c r="A177" i="15"/>
  <c r="K176" i="15"/>
  <c r="K176" i="22"/>
  <c r="X176" i="22"/>
  <c r="AB176" i="22"/>
  <c r="A177" i="22"/>
  <c r="A178" i="16"/>
  <c r="L177" i="16"/>
  <c r="D177" i="16" s="1"/>
  <c r="AB177" i="16"/>
  <c r="X177" i="16"/>
  <c r="K177" i="16"/>
  <c r="X179" i="17"/>
  <c r="A180" i="17"/>
  <c r="AB179" i="17"/>
  <c r="K179" i="17"/>
  <c r="X178" i="20"/>
  <c r="AB178" i="20"/>
  <c r="A179" i="20"/>
  <c r="K178" i="20"/>
  <c r="AB176" i="25"/>
  <c r="A177" i="25"/>
  <c r="K176" i="25"/>
  <c r="X176" i="25"/>
  <c r="A176" i="23"/>
  <c r="AB175" i="23"/>
  <c r="K175" i="23"/>
  <c r="X175" i="23"/>
  <c r="AB179" i="20"/>
  <c r="K179" i="20"/>
  <c r="A180" i="20"/>
  <c r="X179" i="20"/>
  <c r="K178" i="16"/>
  <c r="A179" i="16"/>
  <c r="AB178" i="16"/>
  <c r="L178" i="16"/>
  <c r="D178" i="16" s="1"/>
  <c r="X178" i="16"/>
  <c r="X177" i="22"/>
  <c r="K177" i="22"/>
  <c r="AB177" i="22"/>
  <c r="A178" i="22"/>
  <c r="A178" i="15"/>
  <c r="AB177" i="15"/>
  <c r="K177" i="15"/>
  <c r="X177" i="15"/>
  <c r="K176" i="23"/>
  <c r="X176" i="23"/>
  <c r="AB176" i="23"/>
  <c r="A177" i="23"/>
  <c r="A178" i="25"/>
  <c r="K177" i="25"/>
  <c r="AB177" i="25"/>
  <c r="X177" i="25"/>
  <c r="L180" i="17"/>
  <c r="X180" i="17"/>
  <c r="A181" i="17"/>
  <c r="A61" i="7"/>
  <c r="AB180" i="17"/>
  <c r="K180" i="17"/>
  <c r="A179" i="24"/>
  <c r="K178" i="24"/>
  <c r="AB178" i="24"/>
  <c r="X178" i="24"/>
  <c r="X175" i="18"/>
  <c r="A176" i="18"/>
  <c r="L175" i="18"/>
  <c r="K175" i="18"/>
  <c r="AB175" i="18"/>
  <c r="AJ178" i="1"/>
  <c r="X178" i="1"/>
  <c r="AB178" i="1"/>
  <c r="L178" i="1"/>
  <c r="D178" i="1" s="1"/>
  <c r="K178" i="1"/>
  <c r="AK178" i="1"/>
  <c r="A180" i="24"/>
  <c r="K179" i="24"/>
  <c r="AB179" i="24"/>
  <c r="X179" i="24"/>
  <c r="X181" i="17"/>
  <c r="AB181" i="17"/>
  <c r="L181" i="17"/>
  <c r="D181" i="17" s="1"/>
  <c r="A182" i="17"/>
  <c r="K181" i="17"/>
  <c r="X177" i="23"/>
  <c r="AB177" i="23"/>
  <c r="K177" i="23"/>
  <c r="A178" i="23"/>
  <c r="A179" i="15"/>
  <c r="X178" i="15"/>
  <c r="AB178" i="15"/>
  <c r="K178" i="15"/>
  <c r="A179" i="22"/>
  <c r="X178" i="22"/>
  <c r="AB178" i="22"/>
  <c r="K178" i="22"/>
  <c r="A180" i="16"/>
  <c r="L179" i="16"/>
  <c r="D179" i="16" s="1"/>
  <c r="K179" i="16"/>
  <c r="AB179" i="16"/>
  <c r="X179" i="16"/>
  <c r="X180" i="20"/>
  <c r="K180" i="20"/>
  <c r="AE25" i="7"/>
  <c r="AB180" i="20"/>
  <c r="A181" i="20"/>
  <c r="AJ179" i="1"/>
  <c r="L179" i="1"/>
  <c r="D179" i="1" s="1"/>
  <c r="X179" i="1"/>
  <c r="AB179" i="1"/>
  <c r="AK179" i="1"/>
  <c r="K179" i="1"/>
  <c r="X176" i="18"/>
  <c r="AB176" i="18"/>
  <c r="K176" i="18"/>
  <c r="A177" i="18"/>
  <c r="X178" i="25"/>
  <c r="K178" i="25"/>
  <c r="A179" i="25"/>
  <c r="AB178" i="25"/>
  <c r="X177" i="18"/>
  <c r="K177" i="18"/>
  <c r="AB177" i="18"/>
  <c r="A178" i="18"/>
  <c r="AB181" i="20"/>
  <c r="X181" i="20"/>
  <c r="A182" i="20"/>
  <c r="K181" i="20"/>
  <c r="A49" i="7"/>
  <c r="K180" i="16"/>
  <c r="L180" i="16"/>
  <c r="D180" i="16" s="1"/>
  <c r="AB180" i="16"/>
  <c r="X180" i="16"/>
  <c r="A181" i="16"/>
  <c r="A180" i="22"/>
  <c r="AB179" i="22"/>
  <c r="K179" i="22"/>
  <c r="X179" i="22"/>
  <c r="AB179" i="15"/>
  <c r="A180" i="15"/>
  <c r="K179" i="15"/>
  <c r="X179" i="15"/>
  <c r="A179" i="23"/>
  <c r="X178" i="23"/>
  <c r="AB178" i="23"/>
  <c r="K178" i="23"/>
  <c r="X180" i="24"/>
  <c r="AE61" i="7"/>
  <c r="AB180" i="24"/>
  <c r="A181" i="24"/>
  <c r="K180" i="24"/>
  <c r="AB179" i="25"/>
  <c r="A180" i="25"/>
  <c r="K179" i="25"/>
  <c r="X179" i="25"/>
  <c r="AJ180" i="1"/>
  <c r="X180" i="1"/>
  <c r="AB180" i="1"/>
  <c r="AK180" i="1"/>
  <c r="K180" i="1"/>
  <c r="A25" i="7"/>
  <c r="X182" i="17"/>
  <c r="K182" i="17"/>
  <c r="L182" i="17"/>
  <c r="D182" i="17" s="1"/>
  <c r="AB182" i="17"/>
  <c r="A183" i="17"/>
  <c r="AK181" i="1"/>
  <c r="AB181" i="1"/>
  <c r="AJ181" i="1"/>
  <c r="X181" i="1"/>
  <c r="K181" i="1"/>
  <c r="A182" i="24"/>
  <c r="K181" i="24"/>
  <c r="AB181" i="24"/>
  <c r="X181" i="24"/>
  <c r="AE37" i="7"/>
  <c r="A181" i="22"/>
  <c r="K180" i="22"/>
  <c r="AB180" i="22"/>
  <c r="X180" i="22"/>
  <c r="AB181" i="16"/>
  <c r="A182" i="16"/>
  <c r="X181" i="16"/>
  <c r="L181" i="16"/>
  <c r="D181" i="16" s="1"/>
  <c r="K181" i="16"/>
  <c r="AB178" i="18"/>
  <c r="K178" i="18"/>
  <c r="X178" i="18"/>
  <c r="A179" i="18"/>
  <c r="X183" i="17"/>
  <c r="AB183" i="17"/>
  <c r="K183" i="17"/>
  <c r="A184" i="17"/>
  <c r="K180" i="25"/>
  <c r="AE73" i="7"/>
  <c r="A181" i="25"/>
  <c r="X180" i="25"/>
  <c r="AB180" i="25"/>
  <c r="A180" i="23"/>
  <c r="X179" i="23"/>
  <c r="K179" i="23"/>
  <c r="AB179" i="23"/>
  <c r="AB180" i="15"/>
  <c r="A37" i="7"/>
  <c r="A181" i="15"/>
  <c r="X180" i="15"/>
  <c r="K180" i="15"/>
  <c r="K182" i="20"/>
  <c r="X182" i="20"/>
  <c r="AB182" i="20"/>
  <c r="A183" i="20"/>
  <c r="X183" i="20"/>
  <c r="AB183" i="20"/>
  <c r="K183" i="20"/>
  <c r="A184" i="20"/>
  <c r="AB181" i="15"/>
  <c r="K181" i="15"/>
  <c r="A182" i="15"/>
  <c r="X181" i="15"/>
  <c r="K180" i="23"/>
  <c r="AE49" i="7"/>
  <c r="AB180" i="23"/>
  <c r="A181" i="23"/>
  <c r="X180" i="23"/>
  <c r="X181" i="25"/>
  <c r="K181" i="25"/>
  <c r="AB181" i="25"/>
  <c r="A182" i="25"/>
  <c r="X179" i="18"/>
  <c r="A180" i="18"/>
  <c r="AB179" i="18"/>
  <c r="K179" i="18"/>
  <c r="A182" i="22"/>
  <c r="AB181" i="22"/>
  <c r="K181" i="22"/>
  <c r="X181" i="22"/>
  <c r="K182" i="24"/>
  <c r="AB182" i="24"/>
  <c r="X182" i="24"/>
  <c r="A183" i="24"/>
  <c r="AK182" i="1"/>
  <c r="X182" i="1"/>
  <c r="AB182" i="1"/>
  <c r="AJ182" i="1"/>
  <c r="K182" i="1"/>
  <c r="A185" i="17"/>
  <c r="X184" i="17"/>
  <c r="K184" i="17"/>
  <c r="AB184" i="17"/>
  <c r="A183" i="16"/>
  <c r="L182" i="16"/>
  <c r="D182" i="16" s="1"/>
  <c r="X182" i="16"/>
  <c r="K182" i="16"/>
  <c r="AB182" i="16"/>
  <c r="AB183" i="16"/>
  <c r="L183" i="16"/>
  <c r="X183" i="16"/>
  <c r="K183" i="16"/>
  <c r="A184" i="16"/>
  <c r="A186" i="17"/>
  <c r="X185" i="17"/>
  <c r="K185" i="17"/>
  <c r="AB185" i="17"/>
  <c r="A184" i="24"/>
  <c r="AB183" i="24"/>
  <c r="X183" i="24"/>
  <c r="K183" i="24"/>
  <c r="X180" i="18"/>
  <c r="AB180" i="18"/>
  <c r="A181" i="18"/>
  <c r="K180" i="18"/>
  <c r="A73" i="7"/>
  <c r="X181" i="23"/>
  <c r="AB181" i="23"/>
  <c r="K181" i="23"/>
  <c r="A182" i="23"/>
  <c r="A183" i="15"/>
  <c r="AB182" i="15"/>
  <c r="K182" i="15"/>
  <c r="X182" i="15"/>
  <c r="X184" i="20"/>
  <c r="AB184" i="20"/>
  <c r="K184" i="20"/>
  <c r="A185" i="20"/>
  <c r="AJ183" i="1"/>
  <c r="X183" i="1"/>
  <c r="AB183" i="1"/>
  <c r="AK183" i="1"/>
  <c r="K183" i="1"/>
  <c r="X182" i="22"/>
  <c r="AB182" i="22"/>
  <c r="K182" i="22"/>
  <c r="A183" i="22"/>
  <c r="A183" i="25"/>
  <c r="K182" i="25"/>
  <c r="X182" i="25"/>
  <c r="AB182" i="25"/>
  <c r="X183" i="25"/>
  <c r="AB183" i="25"/>
  <c r="K183" i="25"/>
  <c r="A184" i="25"/>
  <c r="AK184" i="1"/>
  <c r="AB184" i="1"/>
  <c r="K184" i="1"/>
  <c r="X184" i="1"/>
  <c r="AJ184" i="1"/>
  <c r="AB185" i="20"/>
  <c r="A186" i="20"/>
  <c r="X185" i="20"/>
  <c r="K185" i="20"/>
  <c r="X183" i="15"/>
  <c r="AB183" i="15"/>
  <c r="K183" i="15"/>
  <c r="A184" i="15"/>
  <c r="X181" i="18"/>
  <c r="A182" i="18"/>
  <c r="K181" i="18"/>
  <c r="AB181" i="18"/>
  <c r="AB186" i="17"/>
  <c r="K186" i="17"/>
  <c r="X186" i="17"/>
  <c r="A187" i="17"/>
  <c r="D183" i="16"/>
  <c r="X183" i="22"/>
  <c r="K183" i="22"/>
  <c r="AB183" i="22"/>
  <c r="A184" i="22"/>
  <c r="X182" i="23"/>
  <c r="A183" i="23"/>
  <c r="K182" i="23"/>
  <c r="AB182" i="23"/>
  <c r="X184" i="24"/>
  <c r="AB184" i="24"/>
  <c r="K184" i="24"/>
  <c r="A185" i="24"/>
  <c r="A185" i="16"/>
  <c r="L184" i="16"/>
  <c r="AB184" i="16"/>
  <c r="X184" i="16"/>
  <c r="K184" i="16"/>
  <c r="D184" i="16"/>
  <c r="AB187" i="17"/>
  <c r="X187" i="17"/>
  <c r="K187" i="17"/>
  <c r="A188" i="17"/>
  <c r="AB182" i="18"/>
  <c r="A183" i="18"/>
  <c r="K182" i="18"/>
  <c r="X182" i="18"/>
  <c r="X184" i="15"/>
  <c r="K184" i="15"/>
  <c r="A185" i="15"/>
  <c r="AB184" i="15"/>
  <c r="X186" i="20"/>
  <c r="K186" i="20"/>
  <c r="AB186" i="20"/>
  <c r="A187" i="20"/>
  <c r="X185" i="16"/>
  <c r="K185" i="16"/>
  <c r="L185" i="16"/>
  <c r="AB185" i="16"/>
  <c r="A186" i="16"/>
  <c r="X185" i="24"/>
  <c r="A186" i="24"/>
  <c r="K185" i="24"/>
  <c r="AB185" i="24"/>
  <c r="AB183" i="23"/>
  <c r="X183" i="23"/>
  <c r="A184" i="23"/>
  <c r="K183" i="23"/>
  <c r="X184" i="22"/>
  <c r="K184" i="22"/>
  <c r="A185" i="22"/>
  <c r="AB184" i="22"/>
  <c r="AK185" i="1"/>
  <c r="AB185" i="1"/>
  <c r="X185" i="1"/>
  <c r="K185" i="1"/>
  <c r="AJ185" i="1"/>
  <c r="Q185" i="1"/>
  <c r="A185" i="25"/>
  <c r="X184" i="25"/>
  <c r="AB184" i="25"/>
  <c r="K184" i="25"/>
  <c r="K186" i="16"/>
  <c r="A187" i="16"/>
  <c r="L186" i="16"/>
  <c r="D186" i="16" s="1"/>
  <c r="X186" i="16"/>
  <c r="AB186" i="16"/>
  <c r="D185" i="16"/>
  <c r="X187" i="20"/>
  <c r="K187" i="20"/>
  <c r="A188" i="20"/>
  <c r="AB187" i="20"/>
  <c r="X185" i="15"/>
  <c r="A186" i="15"/>
  <c r="AB185" i="15"/>
  <c r="K185" i="15"/>
  <c r="AB183" i="18"/>
  <c r="K183" i="18"/>
  <c r="A184" i="18"/>
  <c r="X183" i="18"/>
  <c r="AB188" i="17"/>
  <c r="A189" i="17"/>
  <c r="K188" i="17"/>
  <c r="X188" i="17"/>
  <c r="X185" i="25"/>
  <c r="A186" i="25"/>
  <c r="AB185" i="25"/>
  <c r="K185" i="25"/>
  <c r="AK186" i="1"/>
  <c r="X186" i="1"/>
  <c r="AJ186" i="1"/>
  <c r="AB186" i="1"/>
  <c r="K186" i="1"/>
  <c r="AB185" i="22"/>
  <c r="X185" i="22"/>
  <c r="A186" i="22"/>
  <c r="K185" i="22"/>
  <c r="AB184" i="23"/>
  <c r="X184" i="23"/>
  <c r="A185" i="23"/>
  <c r="K184" i="23"/>
  <c r="A187" i="24"/>
  <c r="K186" i="24"/>
  <c r="X186" i="24"/>
  <c r="AB186" i="24"/>
  <c r="A187" i="22"/>
  <c r="X186" i="22"/>
  <c r="K186" i="22"/>
  <c r="AB186" i="22"/>
  <c r="K186" i="25"/>
  <c r="AB186" i="25"/>
  <c r="X186" i="25"/>
  <c r="A187" i="25"/>
  <c r="AB187" i="24"/>
  <c r="X187" i="24"/>
  <c r="A188" i="24"/>
  <c r="K187" i="24"/>
  <c r="A186" i="23"/>
  <c r="K185" i="23"/>
  <c r="X185" i="23"/>
  <c r="AB185" i="23"/>
  <c r="AK187" i="1"/>
  <c r="K187" i="1"/>
  <c r="AJ187" i="1"/>
  <c r="X187" i="1"/>
  <c r="AB187" i="1"/>
  <c r="AB189" i="17"/>
  <c r="A190" i="17"/>
  <c r="X189" i="17"/>
  <c r="K189" i="17"/>
  <c r="A185" i="18"/>
  <c r="K184" i="18"/>
  <c r="AB184" i="18"/>
  <c r="X184" i="18"/>
  <c r="X186" i="15"/>
  <c r="A187" i="15"/>
  <c r="AB186" i="15"/>
  <c r="K186" i="15"/>
  <c r="A189" i="20"/>
  <c r="X188" i="20"/>
  <c r="AB188" i="20"/>
  <c r="K188" i="20"/>
  <c r="X187" i="16"/>
  <c r="AB187" i="16"/>
  <c r="L187" i="16"/>
  <c r="K187" i="16"/>
  <c r="A188" i="16"/>
  <c r="K188" i="16"/>
  <c r="AB188" i="16"/>
  <c r="A189" i="16"/>
  <c r="L188" i="16"/>
  <c r="D188" i="16" s="1"/>
  <c r="X188" i="16"/>
  <c r="D187" i="16"/>
  <c r="A188" i="15"/>
  <c r="X187" i="15"/>
  <c r="AB187" i="15"/>
  <c r="K187" i="15"/>
  <c r="AK188" i="1"/>
  <c r="AB188" i="1"/>
  <c r="AJ188" i="1"/>
  <c r="X188" i="1"/>
  <c r="K188" i="1"/>
  <c r="A187" i="23"/>
  <c r="X186" i="23"/>
  <c r="K186" i="23"/>
  <c r="AB186" i="23"/>
  <c r="K187" i="22"/>
  <c r="AB187" i="22"/>
  <c r="X187" i="22"/>
  <c r="A188" i="22"/>
  <c r="AB189" i="20"/>
  <c r="K189" i="20"/>
  <c r="A190" i="20"/>
  <c r="X189" i="20"/>
  <c r="AB185" i="18"/>
  <c r="A186" i="18"/>
  <c r="X185" i="18"/>
  <c r="K185" i="18"/>
  <c r="K190" i="17"/>
  <c r="X190" i="17"/>
  <c r="AB190" i="17"/>
  <c r="A191" i="17"/>
  <c r="AB188" i="24"/>
  <c r="K188" i="24"/>
  <c r="A189" i="24"/>
  <c r="X188" i="24"/>
  <c r="AB187" i="25"/>
  <c r="K187" i="25"/>
  <c r="X187" i="25"/>
  <c r="A188" i="25"/>
  <c r="A189" i="25"/>
  <c r="X188" i="25"/>
  <c r="K188" i="25"/>
  <c r="AB188" i="25"/>
  <c r="X191" i="17"/>
  <c r="A192" i="17"/>
  <c r="K191" i="17"/>
  <c r="AB191" i="17"/>
  <c r="K190" i="20"/>
  <c r="X190" i="20"/>
  <c r="A191" i="20"/>
  <c r="AB190" i="20"/>
  <c r="AB188" i="22"/>
  <c r="K188" i="22"/>
  <c r="X188" i="22"/>
  <c r="A189" i="22"/>
  <c r="X187" i="23"/>
  <c r="A188" i="23"/>
  <c r="K187" i="23"/>
  <c r="AB187" i="23"/>
  <c r="AK189" i="1"/>
  <c r="X189" i="1"/>
  <c r="K189" i="1"/>
  <c r="AB189" i="1"/>
  <c r="AJ189" i="1"/>
  <c r="A190" i="24"/>
  <c r="K189" i="24"/>
  <c r="AB189" i="24"/>
  <c r="X189" i="24"/>
  <c r="AB186" i="18"/>
  <c r="X186" i="18"/>
  <c r="K186" i="18"/>
  <c r="A187" i="18"/>
  <c r="AB188" i="15"/>
  <c r="X188" i="15"/>
  <c r="K188" i="15"/>
  <c r="A189" i="15"/>
  <c r="A190" i="16"/>
  <c r="X189" i="16"/>
  <c r="L189" i="16"/>
  <c r="D189" i="16" s="1"/>
  <c r="AB189" i="16"/>
  <c r="K189" i="16"/>
  <c r="X190" i="16"/>
  <c r="AB190" i="16"/>
  <c r="L190" i="16"/>
  <c r="D190" i="16" s="1"/>
  <c r="K190" i="16"/>
  <c r="A191" i="16"/>
  <c r="A190" i="15"/>
  <c r="X189" i="15"/>
  <c r="AB189" i="15"/>
  <c r="K189" i="15"/>
  <c r="K190" i="24"/>
  <c r="AB190" i="24"/>
  <c r="A191" i="24"/>
  <c r="X190" i="24"/>
  <c r="A193" i="17"/>
  <c r="X192" i="17"/>
  <c r="K192" i="17"/>
  <c r="AB192" i="17"/>
  <c r="A188" i="18"/>
  <c r="AB187" i="18"/>
  <c r="X187" i="18"/>
  <c r="K187" i="18"/>
  <c r="AJ190" i="1"/>
  <c r="AB190" i="1"/>
  <c r="X190" i="1"/>
  <c r="AK190" i="1"/>
  <c r="K190" i="1"/>
  <c r="A189" i="23"/>
  <c r="X188" i="23"/>
  <c r="K188" i="23"/>
  <c r="AB188" i="23"/>
  <c r="AB189" i="22"/>
  <c r="K189" i="22"/>
  <c r="A190" i="22"/>
  <c r="X189" i="22"/>
  <c r="K191" i="20"/>
  <c r="AB191" i="20"/>
  <c r="X191" i="20"/>
  <c r="A192" i="20"/>
  <c r="A190" i="25"/>
  <c r="AB189" i="25"/>
  <c r="X189" i="25"/>
  <c r="K189" i="25"/>
  <c r="AB192" i="20"/>
  <c r="X192" i="20"/>
  <c r="A193" i="20"/>
  <c r="K192" i="20"/>
  <c r="A191" i="22"/>
  <c r="K190" i="22"/>
  <c r="X190" i="22"/>
  <c r="AB190" i="22"/>
  <c r="A190" i="23"/>
  <c r="X189" i="23"/>
  <c r="K189" i="23"/>
  <c r="AB189" i="23"/>
  <c r="X188" i="18"/>
  <c r="A189" i="18"/>
  <c r="K188" i="18"/>
  <c r="AB188" i="18"/>
  <c r="K193" i="17"/>
  <c r="A194" i="17"/>
  <c r="AB193" i="17"/>
  <c r="X193" i="17"/>
  <c r="X191" i="24"/>
  <c r="A192" i="24"/>
  <c r="AB191" i="24"/>
  <c r="K191" i="24"/>
  <c r="AB190" i="15"/>
  <c r="K190" i="15"/>
  <c r="A191" i="15"/>
  <c r="X190" i="15"/>
  <c r="X190" i="25"/>
  <c r="AB190" i="25"/>
  <c r="K190" i="25"/>
  <c r="A191" i="25"/>
  <c r="AK191" i="1"/>
  <c r="K191" i="1"/>
  <c r="X191" i="1"/>
  <c r="AJ191" i="1"/>
  <c r="AB191" i="1"/>
  <c r="X191" i="16"/>
  <c r="K191" i="16"/>
  <c r="L191" i="16"/>
  <c r="D191" i="16" s="1"/>
  <c r="A192" i="16"/>
  <c r="AB191" i="16"/>
  <c r="AK192" i="1"/>
  <c r="AB192" i="1"/>
  <c r="X192" i="1"/>
  <c r="K192" i="1"/>
  <c r="AJ192" i="1"/>
  <c r="AB192" i="24"/>
  <c r="K192" i="24"/>
  <c r="A193" i="24"/>
  <c r="X192" i="24"/>
  <c r="A195" i="17"/>
  <c r="K194" i="17"/>
  <c r="AB194" i="17"/>
  <c r="X194" i="17"/>
  <c r="AB189" i="18"/>
  <c r="X189" i="18"/>
  <c r="K189" i="18"/>
  <c r="A190" i="18"/>
  <c r="A191" i="23"/>
  <c r="X190" i="23"/>
  <c r="K190" i="23"/>
  <c r="AB190" i="23"/>
  <c r="AB193" i="20"/>
  <c r="K193" i="20"/>
  <c r="A194" i="20"/>
  <c r="X193" i="20"/>
  <c r="X192" i="16"/>
  <c r="AB192" i="16"/>
  <c r="L192" i="16"/>
  <c r="D192" i="16" s="1"/>
  <c r="K192" i="16"/>
  <c r="A193" i="16"/>
  <c r="A192" i="25"/>
  <c r="X191" i="25"/>
  <c r="AB191" i="25"/>
  <c r="K191" i="25"/>
  <c r="A192" i="15"/>
  <c r="K191" i="15"/>
  <c r="AB191" i="15"/>
  <c r="X191" i="15"/>
  <c r="X191" i="22"/>
  <c r="AB191" i="22"/>
  <c r="K191" i="22"/>
  <c r="A192" i="22"/>
  <c r="X192" i="15"/>
  <c r="K192" i="15"/>
  <c r="AB192" i="15"/>
  <c r="A193" i="15"/>
  <c r="K194" i="20"/>
  <c r="AB194" i="20"/>
  <c r="X194" i="20"/>
  <c r="A195" i="20"/>
  <c r="A192" i="23"/>
  <c r="K191" i="23"/>
  <c r="AB191" i="23"/>
  <c r="X191" i="23"/>
  <c r="AB195" i="17"/>
  <c r="X195" i="17"/>
  <c r="K195" i="17"/>
  <c r="A196" i="17"/>
  <c r="X192" i="22"/>
  <c r="AB192" i="22"/>
  <c r="A193" i="22"/>
  <c r="K192" i="22"/>
  <c r="X192" i="25"/>
  <c r="A193" i="25"/>
  <c r="AB192" i="25"/>
  <c r="K192" i="25"/>
  <c r="K193" i="16"/>
  <c r="AB193" i="16"/>
  <c r="A194" i="16"/>
  <c r="X193" i="16"/>
  <c r="L193" i="16"/>
  <c r="D193" i="16" s="1"/>
  <c r="AB190" i="18"/>
  <c r="X190" i="18"/>
  <c r="A191" i="18"/>
  <c r="K190" i="18"/>
  <c r="A194" i="24"/>
  <c r="AB193" i="24"/>
  <c r="X193" i="24"/>
  <c r="K193" i="24"/>
  <c r="AK193" i="1"/>
  <c r="AB193" i="1"/>
  <c r="AJ193" i="1"/>
  <c r="X193" i="1"/>
  <c r="K193" i="1"/>
  <c r="X194" i="24"/>
  <c r="A195" i="24"/>
  <c r="AB194" i="24"/>
  <c r="K194" i="24"/>
  <c r="AB191" i="18"/>
  <c r="X191" i="18"/>
  <c r="K191" i="18"/>
  <c r="A192" i="18"/>
  <c r="A194" i="22"/>
  <c r="AB193" i="22"/>
  <c r="X193" i="22"/>
  <c r="K193" i="22"/>
  <c r="X192" i="23"/>
  <c r="A193" i="23"/>
  <c r="K192" i="23"/>
  <c r="AB192" i="23"/>
  <c r="AJ194" i="1"/>
  <c r="K194" i="1"/>
  <c r="X194" i="1"/>
  <c r="AK194" i="1"/>
  <c r="AB194" i="1"/>
  <c r="AB194" i="16"/>
  <c r="L194" i="16"/>
  <c r="X194" i="16"/>
  <c r="K194" i="16"/>
  <c r="A195" i="16"/>
  <c r="K193" i="25"/>
  <c r="X193" i="25"/>
  <c r="AB193" i="25"/>
  <c r="A194" i="25"/>
  <c r="K196" i="17"/>
  <c r="A197" i="17"/>
  <c r="AB196" i="17"/>
  <c r="X196" i="17"/>
  <c r="AB195" i="20"/>
  <c r="A196" i="20"/>
  <c r="K195" i="20"/>
  <c r="X195" i="20"/>
  <c r="X193" i="15"/>
  <c r="AB193" i="15"/>
  <c r="K193" i="15"/>
  <c r="A194" i="15"/>
  <c r="X194" i="15"/>
  <c r="A195" i="15"/>
  <c r="K194" i="15"/>
  <c r="AB194" i="15"/>
  <c r="X195" i="16"/>
  <c r="L195" i="16"/>
  <c r="D195" i="16" s="1"/>
  <c r="AB195" i="16"/>
  <c r="K195" i="16"/>
  <c r="A196" i="16"/>
  <c r="AB194" i="22"/>
  <c r="A195" i="22"/>
  <c r="K194" i="22"/>
  <c r="X194" i="22"/>
  <c r="AB195" i="24"/>
  <c r="A196" i="24"/>
  <c r="K195" i="24"/>
  <c r="X195" i="24"/>
  <c r="X196" i="20"/>
  <c r="A197" i="20"/>
  <c r="K196" i="20"/>
  <c r="AB196" i="20"/>
  <c r="A198" i="17"/>
  <c r="X197" i="17"/>
  <c r="AB197" i="17"/>
  <c r="K197" i="17"/>
  <c r="AB194" i="25"/>
  <c r="K194" i="25"/>
  <c r="A195" i="25"/>
  <c r="X194" i="25"/>
  <c r="D194" i="16"/>
  <c r="AJ195" i="1"/>
  <c r="AB195" i="1"/>
  <c r="AK195" i="1"/>
  <c r="K195" i="1"/>
  <c r="X195" i="1"/>
  <c r="X193" i="23"/>
  <c r="A194" i="23"/>
  <c r="AB193" i="23"/>
  <c r="K193" i="23"/>
  <c r="X192" i="18"/>
  <c r="A193" i="18"/>
  <c r="AB192" i="18"/>
  <c r="K192" i="18"/>
  <c r="AB193" i="18"/>
  <c r="K193" i="18"/>
  <c r="A194" i="18"/>
  <c r="X193" i="18"/>
  <c r="K197" i="20"/>
  <c r="A198" i="20"/>
  <c r="AB197" i="20"/>
  <c r="X197" i="20"/>
  <c r="K194" i="23"/>
  <c r="X194" i="23"/>
  <c r="A195" i="23"/>
  <c r="AB194" i="23"/>
  <c r="AJ196" i="1"/>
  <c r="AB196" i="1"/>
  <c r="K196" i="1"/>
  <c r="AK196" i="1"/>
  <c r="X196" i="1"/>
  <c r="K195" i="25"/>
  <c r="A196" i="25"/>
  <c r="X195" i="25"/>
  <c r="AB195" i="25"/>
  <c r="A199" i="17"/>
  <c r="AB198" i="17"/>
  <c r="X198" i="17"/>
  <c r="K198" i="17"/>
  <c r="AB196" i="24"/>
  <c r="X196" i="24"/>
  <c r="K196" i="24"/>
  <c r="A197" i="24"/>
  <c r="K195" i="22"/>
  <c r="AB195" i="22"/>
  <c r="A196" i="22"/>
  <c r="X195" i="22"/>
  <c r="K196" i="16"/>
  <c r="L196" i="16"/>
  <c r="D196" i="16" s="1"/>
  <c r="A197" i="16"/>
  <c r="AB196" i="16"/>
  <c r="X196" i="16"/>
  <c r="AB195" i="15"/>
  <c r="K195" i="15"/>
  <c r="A196" i="15"/>
  <c r="X195" i="15"/>
  <c r="X196" i="15"/>
  <c r="AB196" i="15"/>
  <c r="A197" i="15"/>
  <c r="K196" i="15"/>
  <c r="X197" i="16"/>
  <c r="AB197" i="16"/>
  <c r="A198" i="16"/>
  <c r="L197" i="16"/>
  <c r="D197" i="16" s="1"/>
  <c r="K197" i="16"/>
  <c r="K196" i="22"/>
  <c r="AB196" i="22"/>
  <c r="X196" i="22"/>
  <c r="A197" i="22"/>
  <c r="K197" i="24"/>
  <c r="AB197" i="24"/>
  <c r="X197" i="24"/>
  <c r="A198" i="24"/>
  <c r="X199" i="17"/>
  <c r="A200" i="17"/>
  <c r="L199" i="17"/>
  <c r="D199" i="17" s="1"/>
  <c r="AB199" i="17"/>
  <c r="K199" i="17"/>
  <c r="AB195" i="23"/>
  <c r="A196" i="23"/>
  <c r="K195" i="23"/>
  <c r="X195" i="23"/>
  <c r="A195" i="18"/>
  <c r="K194" i="18"/>
  <c r="AB194" i="18"/>
  <c r="X194" i="18"/>
  <c r="A197" i="25"/>
  <c r="K196" i="25"/>
  <c r="AB196" i="25"/>
  <c r="X196" i="25"/>
  <c r="AK197" i="1"/>
  <c r="K197" i="1"/>
  <c r="X197" i="1"/>
  <c r="AB197" i="1"/>
  <c r="AJ197" i="1"/>
  <c r="X198" i="20"/>
  <c r="AB198" i="20"/>
  <c r="A199" i="20"/>
  <c r="K198" i="20"/>
  <c r="K199" i="20"/>
  <c r="X199" i="20"/>
  <c r="AB199" i="20"/>
  <c r="A200" i="20"/>
  <c r="AJ198" i="1"/>
  <c r="K198" i="1"/>
  <c r="Q198" i="1"/>
  <c r="X198" i="1"/>
  <c r="AK198" i="1"/>
  <c r="AB198" i="1"/>
  <c r="A198" i="25"/>
  <c r="K197" i="25"/>
  <c r="X197" i="25"/>
  <c r="AB197" i="25"/>
  <c r="L195" i="18"/>
  <c r="AB195" i="18"/>
  <c r="K195" i="18"/>
  <c r="X195" i="18"/>
  <c r="A196" i="18"/>
  <c r="X196" i="23"/>
  <c r="A197" i="23"/>
  <c r="AB196" i="23"/>
  <c r="K196" i="23"/>
  <c r="L200" i="17"/>
  <c r="D200" i="17" s="1"/>
  <c r="AB200" i="17"/>
  <c r="A201" i="17"/>
  <c r="K200" i="17"/>
  <c r="X200" i="17"/>
  <c r="X197" i="22"/>
  <c r="AB197" i="22"/>
  <c r="K197" i="22"/>
  <c r="A198" i="22"/>
  <c r="AB198" i="16"/>
  <c r="K198" i="16"/>
  <c r="A199" i="16"/>
  <c r="L198" i="16"/>
  <c r="D198" i="16" s="1"/>
  <c r="X198" i="16"/>
  <c r="K197" i="15"/>
  <c r="AB197" i="15"/>
  <c r="X197" i="15"/>
  <c r="A198" i="15"/>
  <c r="A199" i="24"/>
  <c r="K198" i="24"/>
  <c r="AB198" i="24"/>
  <c r="X198" i="24"/>
  <c r="AB198" i="15"/>
  <c r="K198" i="15"/>
  <c r="X198" i="15"/>
  <c r="A199" i="15"/>
  <c r="A202" i="17"/>
  <c r="L201" i="17"/>
  <c r="D201" i="17" s="1"/>
  <c r="K201" i="17"/>
  <c r="AB201" i="17"/>
  <c r="X201" i="17"/>
  <c r="A198" i="23"/>
  <c r="X197" i="23"/>
  <c r="AB197" i="23"/>
  <c r="K197" i="23"/>
  <c r="A199" i="25"/>
  <c r="AB198" i="25"/>
  <c r="X198" i="25"/>
  <c r="K198" i="25"/>
  <c r="AJ199" i="1"/>
  <c r="K199" i="1"/>
  <c r="AB199" i="1"/>
  <c r="X199" i="1"/>
  <c r="L199" i="1"/>
  <c r="D199" i="1" s="1"/>
  <c r="AK199" i="1"/>
  <c r="X200" i="20"/>
  <c r="A201" i="20"/>
  <c r="K200" i="20"/>
  <c r="AB200" i="20"/>
  <c r="X199" i="24"/>
  <c r="A200" i="24"/>
  <c r="AB199" i="24"/>
  <c r="K199" i="24"/>
  <c r="AB199" i="16"/>
  <c r="K199" i="16"/>
  <c r="A200" i="16"/>
  <c r="L199" i="16"/>
  <c r="D199" i="16" s="1"/>
  <c r="X199" i="16"/>
  <c r="X198" i="22"/>
  <c r="AB198" i="22"/>
  <c r="K198" i="22"/>
  <c r="A199" i="22"/>
  <c r="AB196" i="18"/>
  <c r="A197" i="18"/>
  <c r="K196" i="18"/>
  <c r="X196" i="18"/>
  <c r="AB197" i="18"/>
  <c r="A198" i="18"/>
  <c r="K197" i="18"/>
  <c r="X197" i="18"/>
  <c r="K199" i="22"/>
  <c r="AB199" i="22"/>
  <c r="A200" i="22"/>
  <c r="X199" i="22"/>
  <c r="X200" i="16"/>
  <c r="A201" i="16"/>
  <c r="K200" i="16"/>
  <c r="L200" i="16"/>
  <c r="D200" i="16" s="1"/>
  <c r="AB200" i="16"/>
  <c r="X199" i="25"/>
  <c r="A200" i="25"/>
  <c r="AB199" i="25"/>
  <c r="K199" i="25"/>
  <c r="A199" i="23"/>
  <c r="K198" i="23"/>
  <c r="AB198" i="23"/>
  <c r="X198" i="23"/>
  <c r="A203" i="17"/>
  <c r="AB202" i="17"/>
  <c r="X202" i="17"/>
  <c r="K202" i="17"/>
  <c r="A200" i="15"/>
  <c r="K199" i="15"/>
  <c r="X199" i="15"/>
  <c r="AB199" i="15"/>
  <c r="A201" i="24"/>
  <c r="AB200" i="24"/>
  <c r="X200" i="24"/>
  <c r="K200" i="24"/>
  <c r="X201" i="20"/>
  <c r="K201" i="20"/>
  <c r="A202" i="20"/>
  <c r="AB201" i="20"/>
  <c r="AJ200" i="1"/>
  <c r="AB200" i="1"/>
  <c r="X200" i="1"/>
  <c r="AK200" i="1"/>
  <c r="K200" i="1"/>
  <c r="AK201" i="1"/>
  <c r="K201" i="1"/>
  <c r="X201" i="1"/>
  <c r="AB201" i="1"/>
  <c r="AJ201" i="1"/>
  <c r="A204" i="17"/>
  <c r="X203" i="17"/>
  <c r="L203" i="17"/>
  <c r="D203" i="17" s="1"/>
  <c r="AB203" i="17"/>
  <c r="K203" i="17"/>
  <c r="X201" i="16"/>
  <c r="L201" i="16"/>
  <c r="D201" i="16" s="1"/>
  <c r="AB201" i="16"/>
  <c r="A202" i="16"/>
  <c r="K201" i="16"/>
  <c r="K200" i="22"/>
  <c r="X200" i="22"/>
  <c r="AB200" i="22"/>
  <c r="A201" i="22"/>
  <c r="X202" i="20"/>
  <c r="AB202" i="20"/>
  <c r="K202" i="20"/>
  <c r="A203" i="20"/>
  <c r="K201" i="24"/>
  <c r="A202" i="24"/>
  <c r="AB201" i="24"/>
  <c r="X201" i="24"/>
  <c r="A201" i="15"/>
  <c r="X200" i="15"/>
  <c r="K200" i="15"/>
  <c r="L200" i="15"/>
  <c r="D200" i="15" s="1"/>
  <c r="AB200" i="15"/>
  <c r="AB199" i="23"/>
  <c r="X199" i="23"/>
  <c r="K199" i="23"/>
  <c r="A200" i="23"/>
  <c r="X200" i="25"/>
  <c r="A201" i="25"/>
  <c r="AB200" i="25"/>
  <c r="K200" i="25"/>
  <c r="A199" i="18"/>
  <c r="AB198" i="18"/>
  <c r="K198" i="18"/>
  <c r="X198" i="18"/>
  <c r="AB199" i="18"/>
  <c r="A200" i="18"/>
  <c r="X199" i="18"/>
  <c r="K199" i="18"/>
  <c r="K201" i="25"/>
  <c r="X201" i="25"/>
  <c r="AB201" i="25"/>
  <c r="A202" i="25"/>
  <c r="AB200" i="23"/>
  <c r="X200" i="23"/>
  <c r="K200" i="23"/>
  <c r="A201" i="23"/>
  <c r="X201" i="15"/>
  <c r="A202" i="15"/>
  <c r="K201" i="15"/>
  <c r="L201" i="15"/>
  <c r="AB201" i="15"/>
  <c r="X202" i="24"/>
  <c r="AB202" i="24"/>
  <c r="K202" i="24"/>
  <c r="A203" i="24"/>
  <c r="A202" i="22"/>
  <c r="AB201" i="22"/>
  <c r="K201" i="22"/>
  <c r="X201" i="22"/>
  <c r="K202" i="16"/>
  <c r="L202" i="16"/>
  <c r="D202" i="16" s="1"/>
  <c r="A203" i="16"/>
  <c r="X202" i="16"/>
  <c r="AB202" i="16"/>
  <c r="AK202" i="1"/>
  <c r="AB202" i="1"/>
  <c r="K202" i="1"/>
  <c r="AJ202" i="1"/>
  <c r="X202" i="1"/>
  <c r="A204" i="20"/>
  <c r="K203" i="20"/>
  <c r="X203" i="20"/>
  <c r="AB203" i="20"/>
  <c r="K204" i="17"/>
  <c r="X204" i="17"/>
  <c r="AB204" i="17"/>
  <c r="A205" i="17"/>
  <c r="AB205" i="17"/>
  <c r="X205" i="17"/>
  <c r="A206" i="17"/>
  <c r="K205" i="17"/>
  <c r="AK203" i="1"/>
  <c r="AB203" i="1"/>
  <c r="X203" i="1"/>
  <c r="AJ203" i="1"/>
  <c r="K203" i="1"/>
  <c r="X203" i="16"/>
  <c r="K203" i="16"/>
  <c r="AB203" i="16"/>
  <c r="L203" i="16"/>
  <c r="D203" i="16" s="1"/>
  <c r="A204" i="16"/>
  <c r="K203" i="24"/>
  <c r="A204" i="24"/>
  <c r="X203" i="24"/>
  <c r="AB203" i="24"/>
  <c r="D201" i="15"/>
  <c r="AB202" i="15"/>
  <c r="K202" i="15"/>
  <c r="A203" i="15"/>
  <c r="X202" i="15"/>
  <c r="X201" i="23"/>
  <c r="K201" i="23"/>
  <c r="A202" i="23"/>
  <c r="AB201" i="23"/>
  <c r="A201" i="18"/>
  <c r="X200" i="18"/>
  <c r="K200" i="18"/>
  <c r="AB200" i="18"/>
  <c r="K204" i="20"/>
  <c r="X204" i="20"/>
  <c r="A205" i="20"/>
  <c r="AB204" i="20"/>
  <c r="AB202" i="22"/>
  <c r="K202" i="22"/>
  <c r="A203" i="22"/>
  <c r="X202" i="22"/>
  <c r="AB202" i="25"/>
  <c r="A203" i="25"/>
  <c r="X202" i="25"/>
  <c r="K202" i="25"/>
  <c r="X201" i="18"/>
  <c r="AB201" i="18"/>
  <c r="K201" i="18"/>
  <c r="A202" i="18"/>
  <c r="K204" i="24"/>
  <c r="A205" i="24"/>
  <c r="AB204" i="24"/>
  <c r="X204" i="24"/>
  <c r="K204" i="16"/>
  <c r="X204" i="16"/>
  <c r="A205" i="16"/>
  <c r="L204" i="16"/>
  <c r="D204" i="16" s="1"/>
  <c r="AB204" i="16"/>
  <c r="AB206" i="17"/>
  <c r="K206" i="17"/>
  <c r="A207" i="17"/>
  <c r="X206" i="17"/>
  <c r="AB203" i="25"/>
  <c r="X203" i="25"/>
  <c r="A204" i="25"/>
  <c r="K203" i="25"/>
  <c r="K203" i="22"/>
  <c r="X203" i="22"/>
  <c r="A204" i="22"/>
  <c r="AB203" i="22"/>
  <c r="AB205" i="20"/>
  <c r="X205" i="20"/>
  <c r="A206" i="20"/>
  <c r="K205" i="20"/>
  <c r="X202" i="23"/>
  <c r="AB202" i="23"/>
  <c r="A203" i="23"/>
  <c r="K202" i="23"/>
  <c r="K203" i="15"/>
  <c r="X203" i="15"/>
  <c r="A204" i="15"/>
  <c r="AB203" i="15"/>
  <c r="AK204" i="1"/>
  <c r="AB204" i="1"/>
  <c r="AJ204" i="1"/>
  <c r="X204" i="1"/>
  <c r="K204" i="1"/>
  <c r="A204" i="23"/>
  <c r="K203" i="23"/>
  <c r="AB203" i="23"/>
  <c r="X203" i="23"/>
  <c r="X204" i="22"/>
  <c r="AB204" i="22"/>
  <c r="K204" i="22"/>
  <c r="A205" i="22"/>
  <c r="X204" i="25"/>
  <c r="K204" i="25"/>
  <c r="A205" i="25"/>
  <c r="AB204" i="25"/>
  <c r="AK205" i="1"/>
  <c r="K205" i="1"/>
  <c r="X205" i="1"/>
  <c r="AB205" i="1"/>
  <c r="AJ205" i="1"/>
  <c r="X204" i="15"/>
  <c r="A205" i="15"/>
  <c r="AB204" i="15"/>
  <c r="K204" i="15"/>
  <c r="X206" i="20"/>
  <c r="AB206" i="20"/>
  <c r="K206" i="20"/>
  <c r="A207" i="20"/>
  <c r="A208" i="17"/>
  <c r="K207" i="17"/>
  <c r="AB207" i="17"/>
  <c r="X207" i="17"/>
  <c r="AB205" i="16"/>
  <c r="K205" i="16"/>
  <c r="X205" i="16"/>
  <c r="A206" i="16"/>
  <c r="L205" i="16"/>
  <c r="A206" i="24"/>
  <c r="K205" i="24"/>
  <c r="AB205" i="24"/>
  <c r="X205" i="24"/>
  <c r="X202" i="18"/>
  <c r="K202" i="18"/>
  <c r="AB202" i="18"/>
  <c r="A203" i="18"/>
  <c r="K203" i="18"/>
  <c r="X203" i="18"/>
  <c r="AB203" i="18"/>
  <c r="A204" i="18"/>
  <c r="X206" i="24"/>
  <c r="K206" i="24"/>
  <c r="AB206" i="24"/>
  <c r="A207" i="24"/>
  <c r="AB208" i="17"/>
  <c r="K208" i="17"/>
  <c r="X208" i="17"/>
  <c r="A209" i="17"/>
  <c r="AK206" i="1"/>
  <c r="X206" i="1"/>
  <c r="AB206" i="1"/>
  <c r="K206" i="1"/>
  <c r="AJ206" i="1"/>
  <c r="AB205" i="22"/>
  <c r="K205" i="22"/>
  <c r="X205" i="22"/>
  <c r="A206" i="22"/>
  <c r="A205" i="23"/>
  <c r="X204" i="23"/>
  <c r="AB204" i="23"/>
  <c r="K204" i="23"/>
  <c r="D205" i="16"/>
  <c r="K206" i="16"/>
  <c r="A207" i="16"/>
  <c r="L206" i="16"/>
  <c r="D206" i="16" s="1"/>
  <c r="X206" i="16"/>
  <c r="AB206" i="16"/>
  <c r="X207" i="20"/>
  <c r="K207" i="20"/>
  <c r="A208" i="20"/>
  <c r="AB207" i="20"/>
  <c r="A206" i="15"/>
  <c r="X205" i="15"/>
  <c r="K205" i="15"/>
  <c r="AB205" i="15"/>
  <c r="K205" i="25"/>
  <c r="X205" i="25"/>
  <c r="A206" i="25"/>
  <c r="AB205" i="25"/>
  <c r="X206" i="25"/>
  <c r="AB206" i="25"/>
  <c r="A207" i="25"/>
  <c r="K206" i="25"/>
  <c r="AB207" i="16"/>
  <c r="A208" i="16"/>
  <c r="L207" i="16"/>
  <c r="K207" i="16"/>
  <c r="X207" i="16"/>
  <c r="A206" i="23"/>
  <c r="X205" i="23"/>
  <c r="AB205" i="23"/>
  <c r="K205" i="23"/>
  <c r="AK207" i="1"/>
  <c r="X207" i="1"/>
  <c r="AB207" i="1"/>
  <c r="K207" i="1"/>
  <c r="AJ207" i="1"/>
  <c r="X204" i="18"/>
  <c r="A205" i="18"/>
  <c r="AB204" i="18"/>
  <c r="L204" i="18"/>
  <c r="K204" i="18"/>
  <c r="AB206" i="15"/>
  <c r="K206" i="15"/>
  <c r="A207" i="15"/>
  <c r="X206" i="15"/>
  <c r="AB208" i="20"/>
  <c r="X208" i="20"/>
  <c r="A209" i="20"/>
  <c r="K208" i="20"/>
  <c r="AB206" i="22"/>
  <c r="K206" i="22"/>
  <c r="A207" i="22"/>
  <c r="X206" i="22"/>
  <c r="X209" i="17"/>
  <c r="AB209" i="17"/>
  <c r="A210" i="17"/>
  <c r="K209" i="17"/>
  <c r="K207" i="24"/>
  <c r="X207" i="24"/>
  <c r="AB207" i="24"/>
  <c r="A208" i="24"/>
  <c r="K210" i="17"/>
  <c r="AB210" i="17"/>
  <c r="A211" i="17"/>
  <c r="X210" i="17"/>
  <c r="A62" i="7"/>
  <c r="X207" i="22"/>
  <c r="A208" i="22"/>
  <c r="K207" i="22"/>
  <c r="AB207" i="22"/>
  <c r="X205" i="18"/>
  <c r="K205" i="18"/>
  <c r="AB205" i="18"/>
  <c r="A206" i="18"/>
  <c r="AJ208" i="1"/>
  <c r="K208" i="1"/>
  <c r="X208" i="1"/>
  <c r="AK208" i="1"/>
  <c r="AB208" i="1"/>
  <c r="A207" i="23"/>
  <c r="X206" i="23"/>
  <c r="K206" i="23"/>
  <c r="AB206" i="23"/>
  <c r="A209" i="16"/>
  <c r="L208" i="16"/>
  <c r="D208" i="16" s="1"/>
  <c r="K208" i="16"/>
  <c r="X208" i="16"/>
  <c r="AB208" i="16"/>
  <c r="A208" i="25"/>
  <c r="K207" i="25"/>
  <c r="X207" i="25"/>
  <c r="AB207" i="25"/>
  <c r="K208" i="24"/>
  <c r="X208" i="24"/>
  <c r="AB208" i="24"/>
  <c r="A209" i="24"/>
  <c r="K209" i="20"/>
  <c r="A210" i="20"/>
  <c r="AB209" i="20"/>
  <c r="X209" i="20"/>
  <c r="A208" i="15"/>
  <c r="K207" i="15"/>
  <c r="X207" i="15"/>
  <c r="AB207" i="15"/>
  <c r="D207" i="16"/>
  <c r="X210" i="20"/>
  <c r="AE26" i="7"/>
  <c r="A211" i="20"/>
  <c r="AB210" i="20"/>
  <c r="K210" i="20"/>
  <c r="A209" i="25"/>
  <c r="X208" i="25"/>
  <c r="AB208" i="25"/>
  <c r="K208" i="25"/>
  <c r="K209" i="16"/>
  <c r="X209" i="16"/>
  <c r="L209" i="16"/>
  <c r="AB209" i="16"/>
  <c r="A210" i="16"/>
  <c r="A212" i="17"/>
  <c r="X211" i="17"/>
  <c r="AB211" i="17"/>
  <c r="K211" i="17"/>
  <c r="AB208" i="15"/>
  <c r="X208" i="15"/>
  <c r="K208" i="15"/>
  <c r="A209" i="15"/>
  <c r="AB209" i="24"/>
  <c r="A210" i="24"/>
  <c r="X209" i="24"/>
  <c r="K209" i="24"/>
  <c r="X207" i="23"/>
  <c r="A208" i="23"/>
  <c r="AB207" i="23"/>
  <c r="K207" i="23"/>
  <c r="AK209" i="1"/>
  <c r="AB209" i="1"/>
  <c r="X209" i="1"/>
  <c r="AJ209" i="1"/>
  <c r="K209" i="1"/>
  <c r="AB206" i="18"/>
  <c r="X206" i="18"/>
  <c r="A207" i="18"/>
  <c r="K206" i="18"/>
  <c r="A209" i="22"/>
  <c r="K208" i="22"/>
  <c r="X208" i="22"/>
  <c r="AB208" i="22"/>
  <c r="A210" i="22"/>
  <c r="K209" i="22"/>
  <c r="X209" i="22"/>
  <c r="AB209" i="22"/>
  <c r="AJ210" i="1"/>
  <c r="K210" i="1"/>
  <c r="A26" i="7"/>
  <c r="AK210" i="1"/>
  <c r="AB210" i="1"/>
  <c r="X210" i="1"/>
  <c r="AB209" i="15"/>
  <c r="X209" i="15"/>
  <c r="K209" i="15"/>
  <c r="A210" i="15"/>
  <c r="K212" i="17"/>
  <c r="A213" i="17"/>
  <c r="AB212" i="17"/>
  <c r="X212" i="17"/>
  <c r="D209" i="16"/>
  <c r="K211" i="20"/>
  <c r="A212" i="20"/>
  <c r="X211" i="20"/>
  <c r="AB211" i="20"/>
  <c r="A208" i="18"/>
  <c r="AB207" i="18"/>
  <c r="K207" i="18"/>
  <c r="X207" i="18"/>
  <c r="K208" i="23"/>
  <c r="A209" i="23"/>
  <c r="X208" i="23"/>
  <c r="AB208" i="23"/>
  <c r="K210" i="24"/>
  <c r="AB210" i="24"/>
  <c r="X210" i="24"/>
  <c r="AE62" i="7"/>
  <c r="A211" i="24"/>
  <c r="A211" i="16"/>
  <c r="L210" i="16"/>
  <c r="D210" i="16" s="1"/>
  <c r="AB210" i="16"/>
  <c r="X210" i="16"/>
  <c r="K210" i="16"/>
  <c r="A50" i="7"/>
  <c r="A210" i="25"/>
  <c r="AB209" i="25"/>
  <c r="K209" i="25"/>
  <c r="X209" i="25"/>
  <c r="A209" i="18"/>
  <c r="X208" i="18"/>
  <c r="K208" i="18"/>
  <c r="AB208" i="18"/>
  <c r="X212" i="20"/>
  <c r="AB212" i="20"/>
  <c r="K212" i="20"/>
  <c r="A213" i="20"/>
  <c r="K210" i="22"/>
  <c r="A211" i="22"/>
  <c r="AE38" i="7"/>
  <c r="X210" i="22"/>
  <c r="AB210" i="22"/>
  <c r="AE74" i="7"/>
  <c r="A211" i="25"/>
  <c r="AB210" i="25"/>
  <c r="X210" i="25"/>
  <c r="K210" i="25"/>
  <c r="B50" i="7"/>
  <c r="X211" i="16"/>
  <c r="L211" i="16"/>
  <c r="K211" i="16"/>
  <c r="A212" i="16"/>
  <c r="AB211" i="16"/>
  <c r="X211" i="24"/>
  <c r="A212" i="24"/>
  <c r="AB211" i="24"/>
  <c r="K211" i="24"/>
  <c r="A210" i="23"/>
  <c r="AB209" i="23"/>
  <c r="X209" i="23"/>
  <c r="K209" i="23"/>
  <c r="AB213" i="17"/>
  <c r="X213" i="17"/>
  <c r="A214" i="17"/>
  <c r="K213" i="17"/>
  <c r="K210" i="15"/>
  <c r="A211" i="15"/>
  <c r="A38" i="7"/>
  <c r="AB210" i="15"/>
  <c r="X210" i="15"/>
  <c r="AJ211" i="1"/>
  <c r="K211" i="1"/>
  <c r="X211" i="1"/>
  <c r="AB211" i="1"/>
  <c r="AK211" i="1"/>
  <c r="X211" i="15"/>
  <c r="A212" i="15"/>
  <c r="AB211" i="15"/>
  <c r="K211" i="15"/>
  <c r="AB214" i="17"/>
  <c r="A215" i="17"/>
  <c r="K214" i="17"/>
  <c r="X214" i="17"/>
  <c r="AB212" i="16"/>
  <c r="K212" i="16"/>
  <c r="A213" i="16"/>
  <c r="L212" i="16"/>
  <c r="D212" i="16" s="1"/>
  <c r="X212" i="16"/>
  <c r="D211" i="16"/>
  <c r="A212" i="25"/>
  <c r="AB211" i="25"/>
  <c r="K211" i="25"/>
  <c r="X211" i="25"/>
  <c r="AB213" i="20"/>
  <c r="A214" i="20"/>
  <c r="X213" i="20"/>
  <c r="K213" i="20"/>
  <c r="X209" i="18"/>
  <c r="K209" i="18"/>
  <c r="AB209" i="18"/>
  <c r="A210" i="18"/>
  <c r="AJ212" i="1"/>
  <c r="AB212" i="1"/>
  <c r="X212" i="1"/>
  <c r="K212" i="1"/>
  <c r="AK212" i="1"/>
  <c r="K210" i="23"/>
  <c r="AE50" i="7"/>
  <c r="A211" i="23"/>
  <c r="X210" i="23"/>
  <c r="AB210" i="23"/>
  <c r="K212" i="24"/>
  <c r="AB212" i="24"/>
  <c r="X212" i="24"/>
  <c r="A213" i="24"/>
  <c r="X211" i="22"/>
  <c r="AB211" i="22"/>
  <c r="K211" i="22"/>
  <c r="A212" i="22"/>
  <c r="AJ213" i="1"/>
  <c r="X213" i="1"/>
  <c r="K213" i="1"/>
  <c r="AB213" i="1"/>
  <c r="AK213" i="1"/>
  <c r="X214" i="20"/>
  <c r="K214" i="20"/>
  <c r="A215" i="20"/>
  <c r="AB214" i="20"/>
  <c r="X212" i="25"/>
  <c r="AB212" i="25"/>
  <c r="K212" i="25"/>
  <c r="A213" i="25"/>
  <c r="A213" i="15"/>
  <c r="K212" i="15"/>
  <c r="X212" i="15"/>
  <c r="AB212" i="15"/>
  <c r="A213" i="22"/>
  <c r="AB212" i="22"/>
  <c r="X212" i="22"/>
  <c r="K212" i="22"/>
  <c r="K213" i="24"/>
  <c r="AB213" i="24"/>
  <c r="A214" i="24"/>
  <c r="X213" i="24"/>
  <c r="A212" i="23"/>
  <c r="X211" i="23"/>
  <c r="K211" i="23"/>
  <c r="AB211" i="23"/>
  <c r="AB210" i="18"/>
  <c r="X210" i="18"/>
  <c r="A211" i="18"/>
  <c r="K210" i="18"/>
  <c r="A74" i="7"/>
  <c r="A214" i="16"/>
  <c r="K213" i="16"/>
  <c r="X213" i="16"/>
  <c r="L213" i="16"/>
  <c r="D213" i="16" s="1"/>
  <c r="AB213" i="16"/>
  <c r="X215" i="17"/>
  <c r="A216" i="17"/>
  <c r="AB215" i="17"/>
  <c r="K215" i="17"/>
  <c r="A215" i="16"/>
  <c r="X214" i="16"/>
  <c r="K214" i="16"/>
  <c r="L214" i="16"/>
  <c r="D214" i="16" s="1"/>
  <c r="AB214" i="16"/>
  <c r="K211" i="18"/>
  <c r="X211" i="18"/>
  <c r="AB211" i="18"/>
  <c r="A212" i="18"/>
  <c r="A213" i="23"/>
  <c r="K212" i="23"/>
  <c r="X212" i="23"/>
  <c r="AB212" i="23"/>
  <c r="K215" i="20"/>
  <c r="A216" i="20"/>
  <c r="AB215" i="20"/>
  <c r="X215" i="20"/>
  <c r="X216" i="17"/>
  <c r="A217" i="17"/>
  <c r="K216" i="17"/>
  <c r="AB216" i="17"/>
  <c r="A215" i="24"/>
  <c r="AB214" i="24"/>
  <c r="K214" i="24"/>
  <c r="X214" i="24"/>
  <c r="AB213" i="22"/>
  <c r="X213" i="22"/>
  <c r="A214" i="22"/>
  <c r="K213" i="22"/>
  <c r="K213" i="15"/>
  <c r="X213" i="15"/>
  <c r="A214" i="15"/>
  <c r="AB213" i="15"/>
  <c r="K213" i="25"/>
  <c r="AB213" i="25"/>
  <c r="A214" i="25"/>
  <c r="X213" i="25"/>
  <c r="AK214" i="1"/>
  <c r="X214" i="1"/>
  <c r="AJ214" i="1"/>
  <c r="K214" i="1"/>
  <c r="AB214" i="1"/>
  <c r="A215" i="25"/>
  <c r="AB214" i="25"/>
  <c r="X214" i="25"/>
  <c r="K214" i="25"/>
  <c r="K214" i="22"/>
  <c r="AB214" i="22"/>
  <c r="X214" i="22"/>
  <c r="A215" i="22"/>
  <c r="X217" i="17"/>
  <c r="K217" i="17"/>
  <c r="AB217" i="17"/>
  <c r="A218" i="17"/>
  <c r="X212" i="18"/>
  <c r="A213" i="18"/>
  <c r="K212" i="18"/>
  <c r="AB212" i="18"/>
  <c r="AK215" i="1"/>
  <c r="K215" i="1"/>
  <c r="X215" i="1"/>
  <c r="AJ215" i="1"/>
  <c r="AB215" i="1"/>
  <c r="K214" i="15"/>
  <c r="AB214" i="15"/>
  <c r="X214" i="15"/>
  <c r="A215" i="15"/>
  <c r="X215" i="24"/>
  <c r="A216" i="24"/>
  <c r="AB215" i="24"/>
  <c r="K215" i="24"/>
  <c r="A217" i="20"/>
  <c r="X216" i="20"/>
  <c r="AB216" i="20"/>
  <c r="K216" i="20"/>
  <c r="AB213" i="23"/>
  <c r="X213" i="23"/>
  <c r="A214" i="23"/>
  <c r="K213" i="23"/>
  <c r="A216" i="16"/>
  <c r="L215" i="16"/>
  <c r="AB215" i="16"/>
  <c r="K215" i="16"/>
  <c r="X215" i="16"/>
  <c r="X216" i="16"/>
  <c r="L216" i="16"/>
  <c r="AB216" i="16"/>
  <c r="A217" i="16"/>
  <c r="K216" i="16"/>
  <c r="K214" i="23"/>
  <c r="X214" i="23"/>
  <c r="A215" i="23"/>
  <c r="AB214" i="23"/>
  <c r="X217" i="20"/>
  <c r="A218" i="20"/>
  <c r="AB217" i="20"/>
  <c r="K217" i="20"/>
  <c r="K215" i="15"/>
  <c r="X215" i="15"/>
  <c r="A216" i="15"/>
  <c r="AB215" i="15"/>
  <c r="AK216" i="1"/>
  <c r="K216" i="1"/>
  <c r="AB216" i="1"/>
  <c r="X216" i="1"/>
  <c r="AJ216" i="1"/>
  <c r="A214" i="18"/>
  <c r="X213" i="18"/>
  <c r="K213" i="18"/>
  <c r="AB213" i="18"/>
  <c r="A219" i="17"/>
  <c r="K218" i="17"/>
  <c r="X218" i="17"/>
  <c r="AB218" i="17"/>
  <c r="AB215" i="22"/>
  <c r="A216" i="22"/>
  <c r="X215" i="22"/>
  <c r="K215" i="22"/>
  <c r="AB215" i="25"/>
  <c r="K215" i="25"/>
  <c r="A216" i="25"/>
  <c r="X215" i="25"/>
  <c r="D215" i="16"/>
  <c r="A217" i="24"/>
  <c r="AB216" i="24"/>
  <c r="X216" i="24"/>
  <c r="K216" i="24"/>
  <c r="A218" i="24"/>
  <c r="K217" i="24"/>
  <c r="X217" i="24"/>
  <c r="AB217" i="24"/>
  <c r="A215" i="18"/>
  <c r="X214" i="18"/>
  <c r="AB214" i="18"/>
  <c r="K214" i="18"/>
  <c r="K216" i="15"/>
  <c r="X216" i="15"/>
  <c r="AB216" i="15"/>
  <c r="A217" i="15"/>
  <c r="X216" i="25"/>
  <c r="A217" i="25"/>
  <c r="AB216" i="25"/>
  <c r="K216" i="25"/>
  <c r="A217" i="22"/>
  <c r="AB216" i="22"/>
  <c r="K216" i="22"/>
  <c r="X216" i="22"/>
  <c r="A220" i="17"/>
  <c r="AB219" i="17"/>
  <c r="K219" i="17"/>
  <c r="X219" i="17"/>
  <c r="AK217" i="1"/>
  <c r="K217" i="1"/>
  <c r="X217" i="1"/>
  <c r="AB217" i="1"/>
  <c r="AJ217" i="1"/>
  <c r="A219" i="20"/>
  <c r="K218" i="20"/>
  <c r="X218" i="20"/>
  <c r="AB218" i="20"/>
  <c r="K215" i="23"/>
  <c r="X215" i="23"/>
  <c r="AB215" i="23"/>
  <c r="A216" i="23"/>
  <c r="A218" i="16"/>
  <c r="L217" i="16"/>
  <c r="D217" i="16" s="1"/>
  <c r="AB217" i="16"/>
  <c r="X217" i="16"/>
  <c r="K217" i="16"/>
  <c r="D216" i="16"/>
  <c r="K218" i="16"/>
  <c r="L218" i="16"/>
  <c r="D218" i="16" s="1"/>
  <c r="AB218" i="16"/>
  <c r="X218" i="16"/>
  <c r="A219" i="16"/>
  <c r="X216" i="23"/>
  <c r="K216" i="23"/>
  <c r="AB216" i="23"/>
  <c r="A217" i="23"/>
  <c r="A220" i="20"/>
  <c r="AB219" i="20"/>
  <c r="K219" i="20"/>
  <c r="X219" i="20"/>
  <c r="AJ218" i="1"/>
  <c r="X218" i="1"/>
  <c r="K218" i="1"/>
  <c r="AK218" i="1"/>
  <c r="AB218" i="1"/>
  <c r="K220" i="17"/>
  <c r="X220" i="17"/>
  <c r="A221" i="17"/>
  <c r="AB220" i="17"/>
  <c r="A218" i="22"/>
  <c r="AB217" i="22"/>
  <c r="X217" i="22"/>
  <c r="K217" i="22"/>
  <c r="A218" i="15"/>
  <c r="X217" i="15"/>
  <c r="AB217" i="15"/>
  <c r="K217" i="15"/>
  <c r="X215" i="18"/>
  <c r="AB215" i="18"/>
  <c r="K215" i="18"/>
  <c r="A216" i="18"/>
  <c r="A218" i="25"/>
  <c r="AB217" i="25"/>
  <c r="X217" i="25"/>
  <c r="K217" i="25"/>
  <c r="AB218" i="24"/>
  <c r="K218" i="24"/>
  <c r="X218" i="24"/>
  <c r="A219" i="24"/>
  <c r="X219" i="24"/>
  <c r="A220" i="24"/>
  <c r="K219" i="24"/>
  <c r="AB219" i="24"/>
  <c r="X216" i="18"/>
  <c r="AB216" i="18"/>
  <c r="K216" i="18"/>
  <c r="A217" i="18"/>
  <c r="AK219" i="1"/>
  <c r="X219" i="1"/>
  <c r="K219" i="1"/>
  <c r="AB219" i="1"/>
  <c r="AJ219" i="1"/>
  <c r="AB220" i="20"/>
  <c r="K220" i="20"/>
  <c r="X220" i="20"/>
  <c r="A221" i="20"/>
  <c r="A218" i="23"/>
  <c r="K217" i="23"/>
  <c r="AB217" i="23"/>
  <c r="X217" i="23"/>
  <c r="A220" i="16"/>
  <c r="L219" i="16"/>
  <c r="D219" i="16" s="1"/>
  <c r="X219" i="16"/>
  <c r="AB219" i="16"/>
  <c r="K219" i="16"/>
  <c r="K218" i="25"/>
  <c r="AB218" i="25"/>
  <c r="A219" i="25"/>
  <c r="X218" i="25"/>
  <c r="AB218" i="15"/>
  <c r="A219" i="15"/>
  <c r="K218" i="15"/>
  <c r="X218" i="15"/>
  <c r="K218" i="22"/>
  <c r="AB218" i="22"/>
  <c r="X218" i="22"/>
  <c r="A219" i="22"/>
  <c r="X221" i="17"/>
  <c r="AB221" i="17"/>
  <c r="K221" i="17"/>
  <c r="A222" i="17"/>
  <c r="X222" i="17"/>
  <c r="K222" i="17"/>
  <c r="AB222" i="17"/>
  <c r="A223" i="17"/>
  <c r="X219" i="25"/>
  <c r="A220" i="25"/>
  <c r="K219" i="25"/>
  <c r="AB219" i="25"/>
  <c r="A221" i="16"/>
  <c r="AB220" i="16"/>
  <c r="X220" i="16"/>
  <c r="L220" i="16"/>
  <c r="D220" i="16" s="1"/>
  <c r="K220" i="16"/>
  <c r="K219" i="22"/>
  <c r="A220" i="22"/>
  <c r="X219" i="22"/>
  <c r="AB219" i="22"/>
  <c r="A220" i="15"/>
  <c r="K219" i="15"/>
  <c r="AB219" i="15"/>
  <c r="X219" i="15"/>
  <c r="AB218" i="23"/>
  <c r="X218" i="23"/>
  <c r="A219" i="23"/>
  <c r="K218" i="23"/>
  <c r="AB221" i="20"/>
  <c r="A222" i="20"/>
  <c r="K221" i="20"/>
  <c r="X221" i="20"/>
  <c r="AJ220" i="1"/>
  <c r="X220" i="1"/>
  <c r="AB220" i="1"/>
  <c r="AK220" i="1"/>
  <c r="K220" i="1"/>
  <c r="A218" i="18"/>
  <c r="K217" i="18"/>
  <c r="AB217" i="18"/>
  <c r="X217" i="18"/>
  <c r="AB220" i="24"/>
  <c r="A221" i="24"/>
  <c r="X220" i="24"/>
  <c r="K220" i="24"/>
  <c r="AK221" i="1"/>
  <c r="K221" i="1"/>
  <c r="AJ221" i="1"/>
  <c r="L221" i="1"/>
  <c r="D221" i="1" s="1"/>
  <c r="X221" i="1"/>
  <c r="AB221" i="1"/>
  <c r="X222" i="20"/>
  <c r="AB222" i="20"/>
  <c r="A223" i="20"/>
  <c r="K222" i="20"/>
  <c r="A221" i="15"/>
  <c r="AB220" i="15"/>
  <c r="K220" i="15"/>
  <c r="X220" i="15"/>
  <c r="AB221" i="16"/>
  <c r="L221" i="16"/>
  <c r="D221" i="16" s="1"/>
  <c r="K221" i="16"/>
  <c r="X221" i="16"/>
  <c r="A222" i="16"/>
  <c r="A221" i="25"/>
  <c r="X220" i="25"/>
  <c r="AB220" i="25"/>
  <c r="K220" i="25"/>
  <c r="X221" i="24"/>
  <c r="AB221" i="24"/>
  <c r="K221" i="24"/>
  <c r="A222" i="24"/>
  <c r="K218" i="18"/>
  <c r="A219" i="18"/>
  <c r="AB218" i="18"/>
  <c r="X218" i="18"/>
  <c r="X219" i="23"/>
  <c r="A220" i="23"/>
  <c r="K219" i="23"/>
  <c r="AB219" i="23"/>
  <c r="AB220" i="22"/>
  <c r="A221" i="22"/>
  <c r="X220" i="22"/>
  <c r="K220" i="22"/>
  <c r="AB223" i="17"/>
  <c r="A224" i="17"/>
  <c r="K223" i="17"/>
  <c r="X223" i="17"/>
  <c r="K220" i="23"/>
  <c r="A221" i="23"/>
  <c r="X220" i="23"/>
  <c r="AB220" i="23"/>
  <c r="AB221" i="15"/>
  <c r="A222" i="15"/>
  <c r="X221" i="15"/>
  <c r="K221" i="15"/>
  <c r="A225" i="17"/>
  <c r="X224" i="17"/>
  <c r="K224" i="17"/>
  <c r="AB224" i="17"/>
  <c r="K221" i="22"/>
  <c r="A222" i="22"/>
  <c r="AB221" i="22"/>
  <c r="X221" i="22"/>
  <c r="AB219" i="18"/>
  <c r="A220" i="18"/>
  <c r="X219" i="18"/>
  <c r="K219" i="18"/>
  <c r="K222" i="24"/>
  <c r="AB222" i="24"/>
  <c r="X222" i="24"/>
  <c r="A223" i="24"/>
  <c r="K221" i="25"/>
  <c r="AB221" i="25"/>
  <c r="X221" i="25"/>
  <c r="A222" i="25"/>
  <c r="K222" i="16"/>
  <c r="AB222" i="16"/>
  <c r="A223" i="16"/>
  <c r="X222" i="16"/>
  <c r="L222" i="16"/>
  <c r="K223" i="20"/>
  <c r="AB223" i="20"/>
  <c r="X223" i="20"/>
  <c r="A224" i="20"/>
  <c r="AK222" i="1"/>
  <c r="AB222" i="1"/>
  <c r="K222" i="1"/>
  <c r="AJ222" i="1"/>
  <c r="X222" i="1"/>
  <c r="AK223" i="1"/>
  <c r="AB223" i="1"/>
  <c r="X223" i="1"/>
  <c r="K223" i="1"/>
  <c r="AJ223" i="1"/>
  <c r="X224" i="20"/>
  <c r="AB224" i="20"/>
  <c r="A225" i="20"/>
  <c r="K224" i="20"/>
  <c r="K222" i="25"/>
  <c r="X222" i="25"/>
  <c r="A223" i="25"/>
  <c r="AB222" i="25"/>
  <c r="K223" i="24"/>
  <c r="X223" i="24"/>
  <c r="A224" i="24"/>
  <c r="AB223" i="24"/>
  <c r="K220" i="18"/>
  <c r="AB220" i="18"/>
  <c r="X220" i="18"/>
  <c r="A221" i="18"/>
  <c r="D222" i="16"/>
  <c r="X223" i="16"/>
  <c r="L223" i="16"/>
  <c r="D223" i="16" s="1"/>
  <c r="K223" i="16"/>
  <c r="AB223" i="16"/>
  <c r="A224" i="16"/>
  <c r="AB222" i="22"/>
  <c r="A223" i="22"/>
  <c r="X222" i="22"/>
  <c r="K222" i="22"/>
  <c r="A226" i="17"/>
  <c r="AB225" i="17"/>
  <c r="K225" i="17"/>
  <c r="X225" i="17"/>
  <c r="A223" i="15"/>
  <c r="X222" i="15"/>
  <c r="AB222" i="15"/>
  <c r="K222" i="15"/>
  <c r="AB221" i="23"/>
  <c r="A222" i="23"/>
  <c r="X221" i="23"/>
  <c r="K221" i="23"/>
  <c r="X222" i="23"/>
  <c r="K222" i="23"/>
  <c r="AB222" i="23"/>
  <c r="A223" i="23"/>
  <c r="A224" i="22"/>
  <c r="X223" i="22"/>
  <c r="K223" i="22"/>
  <c r="AB223" i="22"/>
  <c r="K224" i="16"/>
  <c r="A225" i="16"/>
  <c r="AB224" i="16"/>
  <c r="L224" i="16"/>
  <c r="D224" i="16" s="1"/>
  <c r="X224" i="16"/>
  <c r="K221" i="18"/>
  <c r="X221" i="18"/>
  <c r="A222" i="18"/>
  <c r="AB221" i="18"/>
  <c r="A224" i="25"/>
  <c r="K223" i="25"/>
  <c r="AB223" i="25"/>
  <c r="X223" i="25"/>
  <c r="AB225" i="20"/>
  <c r="X225" i="20"/>
  <c r="K225" i="20"/>
  <c r="A226" i="20"/>
  <c r="AJ224" i="1"/>
  <c r="K224" i="1"/>
  <c r="X224" i="1"/>
  <c r="AB224" i="1"/>
  <c r="AK224" i="1"/>
  <c r="K223" i="15"/>
  <c r="X223" i="15"/>
  <c r="A224" i="15"/>
  <c r="AB223" i="15"/>
  <c r="A227" i="17"/>
  <c r="AB226" i="17"/>
  <c r="X226" i="17"/>
  <c r="K226" i="17"/>
  <c r="A225" i="24"/>
  <c r="AB224" i="24"/>
  <c r="X224" i="24"/>
  <c r="K224" i="24"/>
  <c r="X227" i="17"/>
  <c r="K227" i="17"/>
  <c r="A228" i="17"/>
  <c r="AB227" i="17"/>
  <c r="K224" i="15"/>
  <c r="AB224" i="15"/>
  <c r="A225" i="15"/>
  <c r="X224" i="15"/>
  <c r="X226" i="20"/>
  <c r="K226" i="20"/>
  <c r="A227" i="20"/>
  <c r="AB226" i="20"/>
  <c r="K224" i="25"/>
  <c r="AB224" i="25"/>
  <c r="X224" i="25"/>
  <c r="A225" i="25"/>
  <c r="AB224" i="22"/>
  <c r="K224" i="22"/>
  <c r="X224" i="22"/>
  <c r="A225" i="22"/>
  <c r="X223" i="23"/>
  <c r="AB223" i="23"/>
  <c r="K223" i="23"/>
  <c r="A224" i="23"/>
  <c r="X225" i="24"/>
  <c r="K225" i="24"/>
  <c r="AB225" i="24"/>
  <c r="A226" i="24"/>
  <c r="AK225" i="1"/>
  <c r="AB225" i="1"/>
  <c r="X225" i="1"/>
  <c r="K225" i="1"/>
  <c r="AJ225" i="1"/>
  <c r="AB222" i="18"/>
  <c r="X222" i="18"/>
  <c r="K222" i="18"/>
  <c r="A223" i="18"/>
  <c r="X225" i="16"/>
  <c r="AB225" i="16"/>
  <c r="K225" i="16"/>
  <c r="L225" i="16"/>
  <c r="D225" i="16" s="1"/>
  <c r="A226" i="16"/>
  <c r="A227" i="16"/>
  <c r="L226" i="16"/>
  <c r="D226" i="16" s="1"/>
  <c r="K226" i="16"/>
  <c r="AB226" i="16"/>
  <c r="X226" i="16"/>
  <c r="AK226" i="1"/>
  <c r="X226" i="1"/>
  <c r="K226" i="1"/>
  <c r="AB226" i="1"/>
  <c r="AJ226" i="1"/>
  <c r="L226" i="1"/>
  <c r="D226" i="1" s="1"/>
  <c r="A225" i="23"/>
  <c r="AB224" i="23"/>
  <c r="X224" i="23"/>
  <c r="K224" i="23"/>
  <c r="AB225" i="25"/>
  <c r="X225" i="25"/>
  <c r="K225" i="25"/>
  <c r="A226" i="25"/>
  <c r="A228" i="20"/>
  <c r="X227" i="20"/>
  <c r="AB227" i="20"/>
  <c r="K227" i="20"/>
  <c r="AB225" i="15"/>
  <c r="K225" i="15"/>
  <c r="X225" i="15"/>
  <c r="A226" i="15"/>
  <c r="AB223" i="18"/>
  <c r="X223" i="18"/>
  <c r="A224" i="18"/>
  <c r="K223" i="18"/>
  <c r="X226" i="24"/>
  <c r="AB226" i="24"/>
  <c r="A227" i="24"/>
  <c r="K226" i="24"/>
  <c r="A226" i="22"/>
  <c r="X225" i="22"/>
  <c r="AB225" i="22"/>
  <c r="K225" i="22"/>
  <c r="A229" i="17"/>
  <c r="K228" i="17"/>
  <c r="X228" i="17"/>
  <c r="AB228" i="17"/>
  <c r="X229" i="17"/>
  <c r="K229" i="17"/>
  <c r="A230" i="17"/>
  <c r="AB229" i="17"/>
  <c r="K226" i="22"/>
  <c r="A227" i="22"/>
  <c r="AB226" i="22"/>
  <c r="X226" i="22"/>
  <c r="A229" i="20"/>
  <c r="AB228" i="20"/>
  <c r="X228" i="20"/>
  <c r="K228" i="20"/>
  <c r="K227" i="16"/>
  <c r="AB227" i="16"/>
  <c r="X227" i="16"/>
  <c r="A228" i="16"/>
  <c r="L227" i="16"/>
  <c r="D227" i="16" s="1"/>
  <c r="X227" i="24"/>
  <c r="A228" i="24"/>
  <c r="AB227" i="24"/>
  <c r="K227" i="24"/>
  <c r="K224" i="18"/>
  <c r="AB224" i="18"/>
  <c r="A225" i="18"/>
  <c r="X224" i="18"/>
  <c r="K226" i="15"/>
  <c r="A227" i="15"/>
  <c r="AB226" i="15"/>
  <c r="X226" i="15"/>
  <c r="AB226" i="25"/>
  <c r="X226" i="25"/>
  <c r="K226" i="25"/>
  <c r="A227" i="25"/>
  <c r="A226" i="23"/>
  <c r="X225" i="23"/>
  <c r="K225" i="23"/>
  <c r="AB225" i="23"/>
  <c r="AJ227" i="1"/>
  <c r="X227" i="1"/>
  <c r="K227" i="1"/>
  <c r="AK227" i="1"/>
  <c r="AB227" i="1"/>
  <c r="AB227" i="15"/>
  <c r="K227" i="15"/>
  <c r="A228" i="15"/>
  <c r="X227" i="15"/>
  <c r="A229" i="16"/>
  <c r="L228" i="16"/>
  <c r="D228" i="16" s="1"/>
  <c r="X228" i="16"/>
  <c r="K228" i="16"/>
  <c r="AB228" i="16"/>
  <c r="AB230" i="17"/>
  <c r="A231" i="17"/>
  <c r="K230" i="17"/>
  <c r="X230" i="17"/>
  <c r="AK228" i="1"/>
  <c r="K228" i="1"/>
  <c r="X228" i="1"/>
  <c r="AB228" i="1"/>
  <c r="AJ228" i="1"/>
  <c r="AB226" i="23"/>
  <c r="A227" i="23"/>
  <c r="K226" i="23"/>
  <c r="X226" i="23"/>
  <c r="K227" i="25"/>
  <c r="AB227" i="25"/>
  <c r="A228" i="25"/>
  <c r="X227" i="25"/>
  <c r="AB225" i="18"/>
  <c r="K225" i="18"/>
  <c r="A226" i="18"/>
  <c r="X225" i="18"/>
  <c r="K228" i="24"/>
  <c r="X228" i="24"/>
  <c r="AB228" i="24"/>
  <c r="A229" i="24"/>
  <c r="K229" i="20"/>
  <c r="AB229" i="20"/>
  <c r="A230" i="20"/>
  <c r="X229" i="20"/>
  <c r="X227" i="22"/>
  <c r="K227" i="22"/>
  <c r="AB227" i="22"/>
  <c r="A228" i="22"/>
  <c r="X230" i="20"/>
  <c r="A231" i="20"/>
  <c r="K230" i="20"/>
  <c r="AB230" i="20"/>
  <c r="AB229" i="24"/>
  <c r="X229" i="24"/>
  <c r="A230" i="24"/>
  <c r="K229" i="24"/>
  <c r="X226" i="18"/>
  <c r="K226" i="18"/>
  <c r="AB226" i="18"/>
  <c r="A227" i="18"/>
  <c r="X228" i="25"/>
  <c r="A229" i="25"/>
  <c r="AB228" i="25"/>
  <c r="K228" i="25"/>
  <c r="AJ229" i="1"/>
  <c r="K229" i="1"/>
  <c r="X229" i="1"/>
  <c r="AK229" i="1"/>
  <c r="AB229" i="1"/>
  <c r="K231" i="17"/>
  <c r="AB231" i="17"/>
  <c r="A232" i="17"/>
  <c r="X231" i="17"/>
  <c r="A230" i="16"/>
  <c r="L229" i="16"/>
  <c r="D229" i="16" s="1"/>
  <c r="X229" i="16"/>
  <c r="K229" i="16"/>
  <c r="AB229" i="16"/>
  <c r="X228" i="22"/>
  <c r="AB228" i="22"/>
  <c r="K228" i="22"/>
  <c r="A229" i="22"/>
  <c r="A228" i="23"/>
  <c r="X227" i="23"/>
  <c r="K227" i="23"/>
  <c r="AB227" i="23"/>
  <c r="AB228" i="15"/>
  <c r="X228" i="15"/>
  <c r="K228" i="15"/>
  <c r="A229" i="15"/>
  <c r="AB228" i="23"/>
  <c r="X228" i="23"/>
  <c r="K228" i="23"/>
  <c r="A229" i="23"/>
  <c r="AB229" i="22"/>
  <c r="K229" i="22"/>
  <c r="X229" i="22"/>
  <c r="A230" i="22"/>
  <c r="AK230" i="1"/>
  <c r="AB230" i="1"/>
  <c r="K230" i="1"/>
  <c r="AJ230" i="1"/>
  <c r="X230" i="1"/>
  <c r="AB230" i="24"/>
  <c r="A231" i="24"/>
  <c r="X230" i="24"/>
  <c r="K230" i="24"/>
  <c r="A232" i="20"/>
  <c r="X231" i="20"/>
  <c r="K231" i="20"/>
  <c r="AB231" i="20"/>
  <c r="K229" i="15"/>
  <c r="X229" i="15"/>
  <c r="A230" i="15"/>
  <c r="AB229" i="15"/>
  <c r="AB230" i="16"/>
  <c r="K230" i="16"/>
  <c r="A231" i="16"/>
  <c r="X230" i="16"/>
  <c r="L230" i="16"/>
  <c r="D230" i="16" s="1"/>
  <c r="A233" i="17"/>
  <c r="K232" i="17"/>
  <c r="X232" i="17"/>
  <c r="AB232" i="17"/>
  <c r="X229" i="25"/>
  <c r="A230" i="25"/>
  <c r="AB229" i="25"/>
  <c r="K229" i="25"/>
  <c r="K227" i="18"/>
  <c r="AB227" i="18"/>
  <c r="X227" i="18"/>
  <c r="A228" i="18"/>
  <c r="K230" i="25"/>
  <c r="A231" i="25"/>
  <c r="X230" i="25"/>
  <c r="AB230" i="25"/>
  <c r="X233" i="17"/>
  <c r="AB233" i="17"/>
  <c r="K233" i="17"/>
  <c r="A234" i="17"/>
  <c r="K231" i="16"/>
  <c r="X231" i="16"/>
  <c r="AB231" i="16"/>
  <c r="A232" i="16"/>
  <c r="L231" i="16"/>
  <c r="D231" i="16" s="1"/>
  <c r="AB230" i="15"/>
  <c r="X230" i="15"/>
  <c r="A231" i="15"/>
  <c r="L230" i="15"/>
  <c r="D230" i="15" s="1"/>
  <c r="K230" i="15"/>
  <c r="K232" i="20"/>
  <c r="A233" i="20"/>
  <c r="AB232" i="20"/>
  <c r="X232" i="20"/>
  <c r="X230" i="22"/>
  <c r="AB230" i="22"/>
  <c r="A231" i="22"/>
  <c r="K230" i="22"/>
  <c r="X229" i="23"/>
  <c r="K229" i="23"/>
  <c r="A230" i="23"/>
  <c r="AB229" i="23"/>
  <c r="A229" i="18"/>
  <c r="X228" i="18"/>
  <c r="AB228" i="18"/>
  <c r="K228" i="18"/>
  <c r="K231" i="24"/>
  <c r="A232" i="24"/>
  <c r="X231" i="24"/>
  <c r="AB231" i="24"/>
  <c r="AK231" i="1"/>
  <c r="X231" i="1"/>
  <c r="K231" i="1"/>
  <c r="AB231" i="1"/>
  <c r="AJ231" i="1"/>
  <c r="X231" i="22"/>
  <c r="AB231" i="22"/>
  <c r="A232" i="22"/>
  <c r="K231" i="22"/>
  <c r="AB233" i="20"/>
  <c r="K233" i="20"/>
  <c r="X233" i="20"/>
  <c r="A234" i="20"/>
  <c r="X234" i="17"/>
  <c r="K234" i="17"/>
  <c r="A235" i="17"/>
  <c r="AB234" i="17"/>
  <c r="X231" i="25"/>
  <c r="K231" i="25"/>
  <c r="A232" i="25"/>
  <c r="AB231" i="25"/>
  <c r="AK232" i="1"/>
  <c r="AB232" i="1"/>
  <c r="K232" i="1"/>
  <c r="AJ232" i="1"/>
  <c r="X232" i="1"/>
  <c r="K232" i="24"/>
  <c r="A233" i="24"/>
  <c r="X232" i="24"/>
  <c r="AB232" i="24"/>
  <c r="X229" i="18"/>
  <c r="A230" i="18"/>
  <c r="AB229" i="18"/>
  <c r="K229" i="18"/>
  <c r="A231" i="23"/>
  <c r="AB230" i="23"/>
  <c r="X230" i="23"/>
  <c r="K230" i="23"/>
  <c r="X231" i="15"/>
  <c r="AB231" i="15"/>
  <c r="A232" i="15"/>
  <c r="K231" i="15"/>
  <c r="AB232" i="16"/>
  <c r="K232" i="16"/>
  <c r="X232" i="16"/>
  <c r="L232" i="16"/>
  <c r="A233" i="16"/>
  <c r="D232" i="16"/>
  <c r="A232" i="23"/>
  <c r="K231" i="23"/>
  <c r="X231" i="23"/>
  <c r="AB231" i="23"/>
  <c r="K230" i="18"/>
  <c r="AB230" i="18"/>
  <c r="A231" i="18"/>
  <c r="X230" i="18"/>
  <c r="AK233" i="1"/>
  <c r="K233" i="1"/>
  <c r="X233" i="1"/>
  <c r="AB233" i="1"/>
  <c r="AJ233" i="1"/>
  <c r="AB232" i="25"/>
  <c r="K232" i="25"/>
  <c r="X232" i="25"/>
  <c r="A233" i="25"/>
  <c r="K234" i="20"/>
  <c r="X234" i="20"/>
  <c r="A235" i="20"/>
  <c r="AB234" i="20"/>
  <c r="K232" i="22"/>
  <c r="AB232" i="22"/>
  <c r="A233" i="22"/>
  <c r="X232" i="22"/>
  <c r="A234" i="16"/>
  <c r="L233" i="16"/>
  <c r="D233" i="16" s="1"/>
  <c r="K233" i="16"/>
  <c r="X233" i="16"/>
  <c r="AB233" i="16"/>
  <c r="K232" i="15"/>
  <c r="AB232" i="15"/>
  <c r="X232" i="15"/>
  <c r="A233" i="15"/>
  <c r="A234" i="24"/>
  <c r="X233" i="24"/>
  <c r="K233" i="24"/>
  <c r="AB233" i="24"/>
  <c r="A236" i="17"/>
  <c r="AB235" i="17"/>
  <c r="K235" i="17"/>
  <c r="X235" i="17"/>
  <c r="X234" i="24"/>
  <c r="A235" i="24"/>
  <c r="K234" i="24"/>
  <c r="AB234" i="24"/>
  <c r="K233" i="15"/>
  <c r="A234" i="15"/>
  <c r="X233" i="15"/>
  <c r="AB233" i="15"/>
  <c r="X233" i="22"/>
  <c r="AB233" i="22"/>
  <c r="K233" i="22"/>
  <c r="A234" i="22"/>
  <c r="AB235" i="20"/>
  <c r="A236" i="20"/>
  <c r="K235" i="20"/>
  <c r="X235" i="20"/>
  <c r="X236" i="17"/>
  <c r="AB236" i="17"/>
  <c r="K236" i="17"/>
  <c r="A237" i="17"/>
  <c r="AB234" i="16"/>
  <c r="K234" i="16"/>
  <c r="L234" i="16"/>
  <c r="D234" i="16" s="1"/>
  <c r="X234" i="16"/>
  <c r="A235" i="16"/>
  <c r="X233" i="25"/>
  <c r="A234" i="25"/>
  <c r="K233" i="25"/>
  <c r="AB233" i="25"/>
  <c r="AK234" i="1"/>
  <c r="AB234" i="1"/>
  <c r="K234" i="1"/>
  <c r="AJ234" i="1"/>
  <c r="X234" i="1"/>
  <c r="A232" i="18"/>
  <c r="AB231" i="18"/>
  <c r="K231" i="18"/>
  <c r="X231" i="18"/>
  <c r="X232" i="23"/>
  <c r="A233" i="23"/>
  <c r="AB232" i="23"/>
  <c r="K232" i="23"/>
  <c r="X233" i="23"/>
  <c r="A234" i="23"/>
  <c r="AB233" i="23"/>
  <c r="K233" i="23"/>
  <c r="X236" i="20"/>
  <c r="A237" i="20"/>
  <c r="K236" i="20"/>
  <c r="AB236" i="20"/>
  <c r="A235" i="22"/>
  <c r="X234" i="22"/>
  <c r="K234" i="22"/>
  <c r="AB234" i="22"/>
  <c r="A236" i="24"/>
  <c r="K235" i="24"/>
  <c r="X235" i="24"/>
  <c r="AB235" i="24"/>
  <c r="K232" i="18"/>
  <c r="X232" i="18"/>
  <c r="A233" i="18"/>
  <c r="AB232" i="18"/>
  <c r="AJ235" i="1"/>
  <c r="X235" i="1"/>
  <c r="K235" i="1"/>
  <c r="AB235" i="1"/>
  <c r="AK235" i="1"/>
  <c r="AB234" i="25"/>
  <c r="X234" i="25"/>
  <c r="K234" i="25"/>
  <c r="A235" i="25"/>
  <c r="K235" i="16"/>
  <c r="X235" i="16"/>
  <c r="L235" i="16"/>
  <c r="D235" i="16" s="1"/>
  <c r="AB235" i="16"/>
  <c r="A236" i="16"/>
  <c r="X237" i="17"/>
  <c r="K237" i="17"/>
  <c r="A238" i="17"/>
  <c r="L237" i="17"/>
  <c r="D237" i="17" s="1"/>
  <c r="AB237" i="17"/>
  <c r="A235" i="15"/>
  <c r="X234" i="15"/>
  <c r="AB234" i="15"/>
  <c r="K234" i="15"/>
  <c r="L234" i="15"/>
  <c r="D234" i="15" s="1"/>
  <c r="X235" i="15"/>
  <c r="AB235" i="15"/>
  <c r="A236" i="15"/>
  <c r="L235" i="15"/>
  <c r="K235" i="15"/>
  <c r="A237" i="16"/>
  <c r="K236" i="16"/>
  <c r="AB236" i="16"/>
  <c r="X236" i="16"/>
  <c r="L236" i="16"/>
  <c r="D236" i="16" s="1"/>
  <c r="AB235" i="25"/>
  <c r="A236" i="25"/>
  <c r="X235" i="25"/>
  <c r="K235" i="25"/>
  <c r="AK236" i="1"/>
  <c r="L236" i="1"/>
  <c r="D236" i="1" s="1"/>
  <c r="AB236" i="1"/>
  <c r="K236" i="1"/>
  <c r="X236" i="1"/>
  <c r="AJ236" i="1"/>
  <c r="AB235" i="22"/>
  <c r="A236" i="22"/>
  <c r="X235" i="22"/>
  <c r="K235" i="22"/>
  <c r="A238" i="20"/>
  <c r="X237" i="20"/>
  <c r="AB237" i="20"/>
  <c r="K237" i="20"/>
  <c r="X238" i="17"/>
  <c r="A239" i="17"/>
  <c r="AB238" i="17"/>
  <c r="K238" i="17"/>
  <c r="L238" i="17"/>
  <c r="D238" i="17" s="1"/>
  <c r="A234" i="18"/>
  <c r="L233" i="18"/>
  <c r="X233" i="18"/>
  <c r="K233" i="18"/>
  <c r="AB233" i="18"/>
  <c r="K236" i="24"/>
  <c r="X236" i="24"/>
  <c r="A237" i="24"/>
  <c r="AB236" i="24"/>
  <c r="X234" i="23"/>
  <c r="K234" i="23"/>
  <c r="A235" i="23"/>
  <c r="AB234" i="23"/>
  <c r="AB237" i="24"/>
  <c r="A238" i="24"/>
  <c r="K237" i="24"/>
  <c r="X237" i="24"/>
  <c r="X234" i="18"/>
  <c r="AB234" i="18"/>
  <c r="L234" i="18"/>
  <c r="K234" i="18"/>
  <c r="A235" i="18"/>
  <c r="AB236" i="25"/>
  <c r="A237" i="25"/>
  <c r="X236" i="25"/>
  <c r="K236" i="25"/>
  <c r="A238" i="16"/>
  <c r="X237" i="16"/>
  <c r="K237" i="16"/>
  <c r="L237" i="16"/>
  <c r="D237" i="16" s="1"/>
  <c r="AB237" i="16"/>
  <c r="AB235" i="23"/>
  <c r="X235" i="23"/>
  <c r="A236" i="23"/>
  <c r="K235" i="23"/>
  <c r="AB239" i="17"/>
  <c r="K239" i="17"/>
  <c r="A240" i="17"/>
  <c r="X239" i="17"/>
  <c r="AB238" i="20"/>
  <c r="X238" i="20"/>
  <c r="A239" i="20"/>
  <c r="K238" i="20"/>
  <c r="AB236" i="22"/>
  <c r="X236" i="22"/>
  <c r="A237" i="22"/>
  <c r="K236" i="22"/>
  <c r="AK237" i="1"/>
  <c r="X237" i="1"/>
  <c r="AB237" i="1"/>
  <c r="K237" i="1"/>
  <c r="AJ237" i="1"/>
  <c r="X236" i="15"/>
  <c r="AB236" i="15"/>
  <c r="K236" i="15"/>
  <c r="A237" i="15"/>
  <c r="D235" i="15"/>
  <c r="K237" i="22"/>
  <c r="AB237" i="22"/>
  <c r="X237" i="22"/>
  <c r="A238" i="22"/>
  <c r="X240" i="17"/>
  <c r="K240" i="17"/>
  <c r="A241" i="17"/>
  <c r="AB240" i="17"/>
  <c r="X237" i="25"/>
  <c r="A238" i="25"/>
  <c r="AB237" i="25"/>
  <c r="K237" i="25"/>
  <c r="X238" i="24"/>
  <c r="K238" i="24"/>
  <c r="A239" i="24"/>
  <c r="AB238" i="24"/>
  <c r="AB237" i="15"/>
  <c r="K237" i="15"/>
  <c r="A238" i="15"/>
  <c r="X237" i="15"/>
  <c r="AK238" i="1"/>
  <c r="K238" i="1"/>
  <c r="X238" i="1"/>
  <c r="AJ238" i="1"/>
  <c r="AB238" i="1"/>
  <c r="AB239" i="20"/>
  <c r="A240" i="20"/>
  <c r="K239" i="20"/>
  <c r="X239" i="20"/>
  <c r="K236" i="23"/>
  <c r="A237" i="23"/>
  <c r="AB236" i="23"/>
  <c r="X236" i="23"/>
  <c r="A239" i="16"/>
  <c r="K238" i="16"/>
  <c r="AB238" i="16"/>
  <c r="L238" i="16"/>
  <c r="D238" i="16" s="1"/>
  <c r="X238" i="16"/>
  <c r="A236" i="18"/>
  <c r="AB235" i="18"/>
  <c r="X235" i="18"/>
  <c r="K235" i="18"/>
  <c r="A240" i="16"/>
  <c r="L239" i="16"/>
  <c r="D239" i="16" s="1"/>
  <c r="X239" i="16"/>
  <c r="AB239" i="16"/>
  <c r="K239" i="16"/>
  <c r="X237" i="23"/>
  <c r="A238" i="23"/>
  <c r="K237" i="23"/>
  <c r="AB237" i="23"/>
  <c r="AB239" i="24"/>
  <c r="X239" i="24"/>
  <c r="K239" i="24"/>
  <c r="A240" i="24"/>
  <c r="AB236" i="18"/>
  <c r="X236" i="18"/>
  <c r="A237" i="18"/>
  <c r="K236" i="18"/>
  <c r="X240" i="20"/>
  <c r="AB240" i="20"/>
  <c r="A241" i="20"/>
  <c r="K240" i="20"/>
  <c r="AK239" i="1"/>
  <c r="AB239" i="1"/>
  <c r="K239" i="1"/>
  <c r="Q239" i="1"/>
  <c r="AJ239" i="1"/>
  <c r="X239" i="1"/>
  <c r="AB238" i="15"/>
  <c r="A239" i="15"/>
  <c r="L238" i="15"/>
  <c r="D238" i="15" s="1"/>
  <c r="K238" i="15"/>
  <c r="X238" i="15"/>
  <c r="A239" i="25"/>
  <c r="X238" i="25"/>
  <c r="AB238" i="25"/>
  <c r="K238" i="25"/>
  <c r="AB241" i="17"/>
  <c r="X241" i="17"/>
  <c r="A242" i="17"/>
  <c r="K241" i="17"/>
  <c r="A63" i="7"/>
  <c r="A239" i="22"/>
  <c r="K238" i="22"/>
  <c r="AB238" i="22"/>
  <c r="X238" i="22"/>
  <c r="AB242" i="17"/>
  <c r="K242" i="17"/>
  <c r="X242" i="17"/>
  <c r="A243" i="17"/>
  <c r="A240" i="25"/>
  <c r="AB239" i="25"/>
  <c r="X239" i="25"/>
  <c r="K239" i="25"/>
  <c r="AB239" i="15"/>
  <c r="A240" i="15"/>
  <c r="K239" i="15"/>
  <c r="X239" i="15"/>
  <c r="AE27" i="7"/>
  <c r="K241" i="20"/>
  <c r="X241" i="20"/>
  <c r="A242" i="20"/>
  <c r="AB241" i="20"/>
  <c r="AB237" i="18"/>
  <c r="K237" i="18"/>
  <c r="X237" i="18"/>
  <c r="A238" i="18"/>
  <c r="K239" i="22"/>
  <c r="X239" i="22"/>
  <c r="AB239" i="22"/>
  <c r="A240" i="22"/>
  <c r="AK240" i="1"/>
  <c r="AB240" i="1"/>
  <c r="K240" i="1"/>
  <c r="X240" i="1"/>
  <c r="AJ240" i="1"/>
  <c r="K240" i="24"/>
  <c r="A241" i="24"/>
  <c r="AB240" i="24"/>
  <c r="X240" i="24"/>
  <c r="A239" i="23"/>
  <c r="AB238" i="23"/>
  <c r="X238" i="23"/>
  <c r="K238" i="23"/>
  <c r="K240" i="16"/>
  <c r="L240" i="16"/>
  <c r="AB240" i="16"/>
  <c r="A241" i="16"/>
  <c r="X240" i="16"/>
  <c r="A51" i="7"/>
  <c r="X241" i="16"/>
  <c r="AB241" i="16"/>
  <c r="K241" i="16"/>
  <c r="L241" i="16"/>
  <c r="D241" i="16" s="1"/>
  <c r="A242" i="16"/>
  <c r="D240" i="16"/>
  <c r="X241" i="24"/>
  <c r="A242" i="24"/>
  <c r="AB241" i="24"/>
  <c r="K241" i="24"/>
  <c r="AE63" i="7"/>
  <c r="K240" i="15"/>
  <c r="A241" i="15"/>
  <c r="L240" i="15"/>
  <c r="D240" i="15" s="1"/>
  <c r="X240" i="15"/>
  <c r="AB240" i="15"/>
  <c r="AB240" i="25"/>
  <c r="A241" i="25"/>
  <c r="K240" i="25"/>
  <c r="X240" i="25"/>
  <c r="K243" i="17"/>
  <c r="X243" i="17"/>
  <c r="A244" i="17"/>
  <c r="AB243" i="17"/>
  <c r="X239" i="23"/>
  <c r="K239" i="23"/>
  <c r="AB239" i="23"/>
  <c r="A240" i="23"/>
  <c r="AJ241" i="1"/>
  <c r="K241" i="1"/>
  <c r="AB241" i="1"/>
  <c r="A27" i="7"/>
  <c r="Q241" i="1"/>
  <c r="AK241" i="1"/>
  <c r="X241" i="1"/>
  <c r="AB240" i="22"/>
  <c r="A241" i="22"/>
  <c r="K240" i="22"/>
  <c r="X240" i="22"/>
  <c r="K238" i="18"/>
  <c r="X238" i="18"/>
  <c r="AB238" i="18"/>
  <c r="A239" i="18"/>
  <c r="X242" i="20"/>
  <c r="A243" i="20"/>
  <c r="AB242" i="20"/>
  <c r="K242" i="20"/>
  <c r="A240" i="18"/>
  <c r="L239" i="18"/>
  <c r="AB239" i="18"/>
  <c r="X239" i="18"/>
  <c r="K239" i="18"/>
  <c r="X244" i="17"/>
  <c r="AB244" i="17"/>
  <c r="L244" i="17"/>
  <c r="D244" i="17" s="1"/>
  <c r="K244" i="17"/>
  <c r="A245" i="17"/>
  <c r="A39" i="7"/>
  <c r="K241" i="15"/>
  <c r="A242" i="15"/>
  <c r="AB241" i="15"/>
  <c r="X241" i="15"/>
  <c r="AB242" i="16"/>
  <c r="X242" i="16"/>
  <c r="L242" i="16"/>
  <c r="K242" i="16"/>
  <c r="A243" i="16"/>
  <c r="K243" i="20"/>
  <c r="AB243" i="20"/>
  <c r="X243" i="20"/>
  <c r="A244" i="20"/>
  <c r="AB241" i="22"/>
  <c r="K241" i="22"/>
  <c r="A242" i="22"/>
  <c r="AE39" i="7"/>
  <c r="X241" i="22"/>
  <c r="AK242" i="1"/>
  <c r="AB242" i="1"/>
  <c r="K242" i="1"/>
  <c r="AJ242" i="1"/>
  <c r="X242" i="1"/>
  <c r="K240" i="23"/>
  <c r="AB240" i="23"/>
  <c r="X240" i="23"/>
  <c r="A241" i="23"/>
  <c r="AB241" i="25"/>
  <c r="AE75" i="7"/>
  <c r="K241" i="25"/>
  <c r="X241" i="25"/>
  <c r="A242" i="25"/>
  <c r="AB242" i="24"/>
  <c r="A243" i="24"/>
  <c r="K242" i="24"/>
  <c r="X242" i="24"/>
  <c r="K244" i="20"/>
  <c r="AB244" i="20"/>
  <c r="A245" i="20"/>
  <c r="X244" i="20"/>
  <c r="D242" i="16"/>
  <c r="K242" i="25"/>
  <c r="A243" i="25"/>
  <c r="AB242" i="25"/>
  <c r="X242" i="25"/>
  <c r="X243" i="24"/>
  <c r="AB243" i="24"/>
  <c r="A244" i="24"/>
  <c r="K243" i="24"/>
  <c r="A242" i="23"/>
  <c r="AE51" i="7"/>
  <c r="X241" i="23"/>
  <c r="AB241" i="23"/>
  <c r="K241" i="23"/>
  <c r="AJ243" i="1"/>
  <c r="AB243" i="1"/>
  <c r="K243" i="1"/>
  <c r="X243" i="1"/>
  <c r="AK243" i="1"/>
  <c r="K242" i="22"/>
  <c r="X242" i="22"/>
  <c r="A243" i="22"/>
  <c r="AB242" i="22"/>
  <c r="AB243" i="16"/>
  <c r="X243" i="16"/>
  <c r="L243" i="16"/>
  <c r="D243" i="16" s="1"/>
  <c r="A244" i="16"/>
  <c r="K243" i="16"/>
  <c r="X242" i="15"/>
  <c r="K242" i="15"/>
  <c r="A243" i="15"/>
  <c r="AB242" i="15"/>
  <c r="X245" i="17"/>
  <c r="AB245" i="17"/>
  <c r="A246" i="17"/>
  <c r="K245" i="17"/>
  <c r="AB240" i="18"/>
  <c r="X240" i="18"/>
  <c r="K240" i="18"/>
  <c r="A241" i="18"/>
  <c r="A75" i="7"/>
  <c r="A242" i="18"/>
  <c r="X241" i="18"/>
  <c r="AB241" i="18"/>
  <c r="K241" i="18"/>
  <c r="X243" i="22"/>
  <c r="AB243" i="22"/>
  <c r="K243" i="22"/>
  <c r="A244" i="22"/>
  <c r="AB242" i="23"/>
  <c r="A243" i="23"/>
  <c r="X242" i="23"/>
  <c r="K242" i="23"/>
  <c r="AB244" i="24"/>
  <c r="X244" i="24"/>
  <c r="K244" i="24"/>
  <c r="A245" i="24"/>
  <c r="X243" i="25"/>
  <c r="K243" i="25"/>
  <c r="AB243" i="25"/>
  <c r="A244" i="25"/>
  <c r="AB246" i="17"/>
  <c r="X246" i="17"/>
  <c r="A247" i="17"/>
  <c r="K246" i="17"/>
  <c r="X243" i="15"/>
  <c r="A244" i="15"/>
  <c r="K243" i="15"/>
  <c r="AB243" i="15"/>
  <c r="AB244" i="16"/>
  <c r="L244" i="16"/>
  <c r="D244" i="16" s="1"/>
  <c r="X244" i="16"/>
  <c r="K244" i="16"/>
  <c r="A245" i="16"/>
  <c r="AK244" i="1"/>
  <c r="X244" i="1"/>
  <c r="AB244" i="1"/>
  <c r="AJ244" i="1"/>
  <c r="K244" i="1"/>
  <c r="X245" i="20"/>
  <c r="A246" i="20"/>
  <c r="AB245" i="20"/>
  <c r="K245" i="20"/>
  <c r="X245" i="16"/>
  <c r="L245" i="16"/>
  <c r="D245" i="16" s="1"/>
  <c r="AB245" i="16"/>
  <c r="A246" i="16"/>
  <c r="K245" i="16"/>
  <c r="K247" i="17"/>
  <c r="X247" i="17"/>
  <c r="AB247" i="17"/>
  <c r="A248" i="17"/>
  <c r="K245" i="24"/>
  <c r="X245" i="24"/>
  <c r="A246" i="24"/>
  <c r="AB245" i="24"/>
  <c r="K243" i="23"/>
  <c r="A244" i="23"/>
  <c r="AB243" i="23"/>
  <c r="X243" i="23"/>
  <c r="K242" i="18"/>
  <c r="X242" i="18"/>
  <c r="AB242" i="18"/>
  <c r="A243" i="18"/>
  <c r="A247" i="20"/>
  <c r="X246" i="20"/>
  <c r="K246" i="20"/>
  <c r="AB246" i="20"/>
  <c r="AJ245" i="1"/>
  <c r="X245" i="1"/>
  <c r="AB245" i="1"/>
  <c r="AK245" i="1"/>
  <c r="K245" i="1"/>
  <c r="K244" i="15"/>
  <c r="AB244" i="15"/>
  <c r="A245" i="15"/>
  <c r="X244" i="15"/>
  <c r="X244" i="25"/>
  <c r="A245" i="25"/>
  <c r="AB244" i="25"/>
  <c r="K244" i="25"/>
  <c r="X244" i="22"/>
  <c r="AB244" i="22"/>
  <c r="K244" i="22"/>
  <c r="A245" i="22"/>
  <c r="A246" i="22"/>
  <c r="AB245" i="22"/>
  <c r="X245" i="22"/>
  <c r="K245" i="22"/>
  <c r="K245" i="25"/>
  <c r="A246" i="25"/>
  <c r="AB245" i="25"/>
  <c r="X245" i="25"/>
  <c r="A246" i="15"/>
  <c r="AB245" i="15"/>
  <c r="K245" i="15"/>
  <c r="X245" i="15"/>
  <c r="A245" i="23"/>
  <c r="AB244" i="23"/>
  <c r="X244" i="23"/>
  <c r="K244" i="23"/>
  <c r="X246" i="24"/>
  <c r="A247" i="24"/>
  <c r="K246" i="24"/>
  <c r="AB246" i="24"/>
  <c r="AB248" i="17"/>
  <c r="K248" i="17"/>
  <c r="A249" i="17"/>
  <c r="X248" i="17"/>
  <c r="AJ246" i="1"/>
  <c r="AB246" i="1"/>
  <c r="K246" i="1"/>
  <c r="L246" i="1"/>
  <c r="D246" i="1" s="1"/>
  <c r="AK246" i="1"/>
  <c r="X246" i="1"/>
  <c r="AB247" i="20"/>
  <c r="A248" i="20"/>
  <c r="K247" i="20"/>
  <c r="X247" i="20"/>
  <c r="AB243" i="18"/>
  <c r="A244" i="18"/>
  <c r="L243" i="18"/>
  <c r="X243" i="18"/>
  <c r="K243" i="18"/>
  <c r="AB246" i="16"/>
  <c r="L246" i="16"/>
  <c r="K246" i="16"/>
  <c r="A247" i="16"/>
  <c r="X246" i="16"/>
  <c r="A248" i="16"/>
  <c r="L247" i="16"/>
  <c r="D247" i="16" s="1"/>
  <c r="AB247" i="16"/>
  <c r="X247" i="16"/>
  <c r="K247" i="16"/>
  <c r="D246" i="16"/>
  <c r="X248" i="20"/>
  <c r="A249" i="20"/>
  <c r="K248" i="20"/>
  <c r="AB248" i="20"/>
  <c r="A250" i="17"/>
  <c r="AB249" i="17"/>
  <c r="X249" i="17"/>
  <c r="K249" i="17"/>
  <c r="X247" i="24"/>
  <c r="K247" i="24"/>
  <c r="A248" i="24"/>
  <c r="AB247" i="24"/>
  <c r="X245" i="23"/>
  <c r="AB245" i="23"/>
  <c r="K245" i="23"/>
  <c r="A246" i="23"/>
  <c r="AB246" i="15"/>
  <c r="K246" i="15"/>
  <c r="X246" i="15"/>
  <c r="A247" i="15"/>
  <c r="AB246" i="25"/>
  <c r="X246" i="25"/>
  <c r="A247" i="25"/>
  <c r="K246" i="25"/>
  <c r="A247" i="22"/>
  <c r="X246" i="22"/>
  <c r="AB246" i="22"/>
  <c r="K246" i="22"/>
  <c r="A245" i="18"/>
  <c r="K244" i="18"/>
  <c r="AB244" i="18"/>
  <c r="X244" i="18"/>
  <c r="L244" i="18"/>
  <c r="AJ247" i="1"/>
  <c r="X247" i="1"/>
  <c r="AK247" i="1"/>
  <c r="AB247" i="1"/>
  <c r="Q247" i="1"/>
  <c r="K247" i="1"/>
  <c r="AJ248" i="1"/>
  <c r="AB248" i="1"/>
  <c r="K248" i="1"/>
  <c r="X248" i="1"/>
  <c r="AK248" i="1"/>
  <c r="K245" i="18"/>
  <c r="A246" i="18"/>
  <c r="AB245" i="18"/>
  <c r="X245" i="18"/>
  <c r="X247" i="22"/>
  <c r="K247" i="22"/>
  <c r="A248" i="22"/>
  <c r="AB247" i="22"/>
  <c r="X247" i="25"/>
  <c r="K247" i="25"/>
  <c r="A248" i="25"/>
  <c r="AB247" i="25"/>
  <c r="A248" i="15"/>
  <c r="AB247" i="15"/>
  <c r="X247" i="15"/>
  <c r="K247" i="15"/>
  <c r="K249" i="20"/>
  <c r="AB249" i="20"/>
  <c r="A250" i="20"/>
  <c r="X249" i="20"/>
  <c r="K246" i="23"/>
  <c r="A247" i="23"/>
  <c r="AB246" i="23"/>
  <c r="X246" i="23"/>
  <c r="AB248" i="24"/>
  <c r="K248" i="24"/>
  <c r="X248" i="24"/>
  <c r="A249" i="24"/>
  <c r="K250" i="17"/>
  <c r="A251" i="17"/>
  <c r="AB250" i="17"/>
  <c r="X250" i="17"/>
  <c r="AB248" i="16"/>
  <c r="K248" i="16"/>
  <c r="X248" i="16"/>
  <c r="A249" i="16"/>
  <c r="L248" i="16"/>
  <c r="D248" i="16" s="1"/>
  <c r="AB251" i="17"/>
  <c r="K251" i="17"/>
  <c r="X251" i="17"/>
  <c r="L251" i="17"/>
  <c r="D251" i="17" s="1"/>
  <c r="A252" i="17"/>
  <c r="K250" i="20"/>
  <c r="AB250" i="20"/>
  <c r="A251" i="20"/>
  <c r="X250" i="20"/>
  <c r="AB248" i="25"/>
  <c r="K248" i="25"/>
  <c r="X248" i="25"/>
  <c r="A249" i="25"/>
  <c r="K248" i="22"/>
  <c r="AB248" i="22"/>
  <c r="A249" i="22"/>
  <c r="X248" i="22"/>
  <c r="X246" i="18"/>
  <c r="A247" i="18"/>
  <c r="AB246" i="18"/>
  <c r="K246" i="18"/>
  <c r="A250" i="16"/>
  <c r="L249" i="16"/>
  <c r="D249" i="16" s="1"/>
  <c r="AB249" i="16"/>
  <c r="X249" i="16"/>
  <c r="K249" i="16"/>
  <c r="AB249" i="24"/>
  <c r="A250" i="24"/>
  <c r="X249" i="24"/>
  <c r="K249" i="24"/>
  <c r="X247" i="23"/>
  <c r="AB247" i="23"/>
  <c r="K247" i="23"/>
  <c r="A248" i="23"/>
  <c r="K248" i="15"/>
  <c r="A249" i="15"/>
  <c r="AB248" i="15"/>
  <c r="X248" i="15"/>
  <c r="AK249" i="1"/>
  <c r="K249" i="1"/>
  <c r="X249" i="1"/>
  <c r="AB249" i="1"/>
  <c r="AJ249" i="1"/>
  <c r="X249" i="15"/>
  <c r="A250" i="15"/>
  <c r="AB249" i="15"/>
  <c r="K249" i="15"/>
  <c r="X248" i="23"/>
  <c r="A249" i="23"/>
  <c r="AB248" i="23"/>
  <c r="K248" i="23"/>
  <c r="A251" i="16"/>
  <c r="AB250" i="16"/>
  <c r="K250" i="16"/>
  <c r="X250" i="16"/>
  <c r="L250" i="16"/>
  <c r="AK250" i="1"/>
  <c r="X250" i="1"/>
  <c r="AJ250" i="1"/>
  <c r="K250" i="1"/>
  <c r="AB250" i="1"/>
  <c r="AB250" i="24"/>
  <c r="X250" i="24"/>
  <c r="A251" i="24"/>
  <c r="K250" i="24"/>
  <c r="AB247" i="18"/>
  <c r="K247" i="18"/>
  <c r="A248" i="18"/>
  <c r="X247" i="18"/>
  <c r="A250" i="22"/>
  <c r="K249" i="22"/>
  <c r="AB249" i="22"/>
  <c r="X249" i="22"/>
  <c r="X249" i="25"/>
  <c r="K249" i="25"/>
  <c r="AB249" i="25"/>
  <c r="A250" i="25"/>
  <c r="K251" i="20"/>
  <c r="AB251" i="20"/>
  <c r="X251" i="20"/>
  <c r="A252" i="20"/>
  <c r="AB252" i="17"/>
  <c r="X252" i="17"/>
  <c r="K252" i="17"/>
  <c r="A253" i="17"/>
  <c r="K253" i="17"/>
  <c r="A254" i="17"/>
  <c r="X253" i="17"/>
  <c r="AB253" i="17"/>
  <c r="X250" i="22"/>
  <c r="K250" i="22"/>
  <c r="AB250" i="22"/>
  <c r="A251" i="22"/>
  <c r="K251" i="24"/>
  <c r="AB251" i="24"/>
  <c r="A252" i="24"/>
  <c r="X251" i="24"/>
  <c r="K251" i="16"/>
  <c r="X251" i="16"/>
  <c r="L251" i="16"/>
  <c r="D251" i="16" s="1"/>
  <c r="AB251" i="16"/>
  <c r="A252" i="16"/>
  <c r="K252" i="20"/>
  <c r="A253" i="20"/>
  <c r="AB252" i="20"/>
  <c r="X252" i="20"/>
  <c r="AB250" i="25"/>
  <c r="A251" i="25"/>
  <c r="X250" i="25"/>
  <c r="K250" i="25"/>
  <c r="A249" i="18"/>
  <c r="K248" i="18"/>
  <c r="AB248" i="18"/>
  <c r="X248" i="18"/>
  <c r="AK251" i="1"/>
  <c r="X251" i="1"/>
  <c r="K251" i="1"/>
  <c r="AJ251" i="1"/>
  <c r="Q251" i="1"/>
  <c r="AB251" i="1"/>
  <c r="D250" i="16"/>
  <c r="X249" i="23"/>
  <c r="AB249" i="23"/>
  <c r="K249" i="23"/>
  <c r="A250" i="23"/>
  <c r="K250" i="15"/>
  <c r="AB250" i="15"/>
  <c r="A251" i="15"/>
  <c r="X250" i="15"/>
  <c r="X250" i="23"/>
  <c r="AB250" i="23"/>
  <c r="K250" i="23"/>
  <c r="A251" i="23"/>
  <c r="A252" i="25"/>
  <c r="AB251" i="25"/>
  <c r="X251" i="25"/>
  <c r="K251" i="25"/>
  <c r="AB252" i="16"/>
  <c r="X252" i="16"/>
  <c r="K252" i="16"/>
  <c r="A253" i="16"/>
  <c r="L252" i="16"/>
  <c r="D252" i="16" s="1"/>
  <c r="A252" i="22"/>
  <c r="X251" i="22"/>
  <c r="K251" i="22"/>
  <c r="AB251" i="22"/>
  <c r="AB254" i="17"/>
  <c r="A255" i="17"/>
  <c r="X254" i="17"/>
  <c r="K254" i="17"/>
  <c r="AB251" i="15"/>
  <c r="X251" i="15"/>
  <c r="K251" i="15"/>
  <c r="A252" i="15"/>
  <c r="AK252" i="1"/>
  <c r="K252" i="1"/>
  <c r="AJ252" i="1"/>
  <c r="X252" i="1"/>
  <c r="AB252" i="1"/>
  <c r="X249" i="18"/>
  <c r="A250" i="18"/>
  <c r="K249" i="18"/>
  <c r="AB249" i="18"/>
  <c r="X253" i="20"/>
  <c r="A254" i="20"/>
  <c r="K253" i="20"/>
  <c r="AB253" i="20"/>
  <c r="AB252" i="24"/>
  <c r="X252" i="24"/>
  <c r="A253" i="24"/>
  <c r="K252" i="24"/>
  <c r="AB250" i="18"/>
  <c r="A251" i="18"/>
  <c r="K250" i="18"/>
  <c r="X250" i="18"/>
  <c r="X255" i="17"/>
  <c r="K255" i="17"/>
  <c r="L255" i="17"/>
  <c r="D255" i="17" s="1"/>
  <c r="AB255" i="17"/>
  <c r="A256" i="17"/>
  <c r="K252" i="22"/>
  <c r="X252" i="22"/>
  <c r="AB252" i="22"/>
  <c r="A253" i="22"/>
  <c r="X254" i="20"/>
  <c r="A255" i="20"/>
  <c r="K254" i="20"/>
  <c r="AB254" i="20"/>
  <c r="AB253" i="24"/>
  <c r="A254" i="24"/>
  <c r="K253" i="24"/>
  <c r="X253" i="24"/>
  <c r="AK253" i="1"/>
  <c r="AB253" i="1"/>
  <c r="X253" i="1"/>
  <c r="K253" i="1"/>
  <c r="AJ253" i="1"/>
  <c r="AB252" i="15"/>
  <c r="X252" i="15"/>
  <c r="A253" i="15"/>
  <c r="K252" i="15"/>
  <c r="K253" i="16"/>
  <c r="L253" i="16"/>
  <c r="D253" i="16" s="1"/>
  <c r="X253" i="16"/>
  <c r="A254" i="16"/>
  <c r="AB253" i="16"/>
  <c r="K252" i="25"/>
  <c r="AB252" i="25"/>
  <c r="X252" i="25"/>
  <c r="A253" i="25"/>
  <c r="X251" i="23"/>
  <c r="K251" i="23"/>
  <c r="AB251" i="23"/>
  <c r="A252" i="23"/>
  <c r="AJ254" i="1"/>
  <c r="X254" i="1"/>
  <c r="K254" i="1"/>
  <c r="AK254" i="1"/>
  <c r="AB254" i="1"/>
  <c r="A256" i="20"/>
  <c r="K255" i="20"/>
  <c r="AB255" i="20"/>
  <c r="X255" i="20"/>
  <c r="K253" i="22"/>
  <c r="AB253" i="22"/>
  <c r="A254" i="22"/>
  <c r="X253" i="22"/>
  <c r="AB251" i="18"/>
  <c r="K251" i="18"/>
  <c r="X251" i="18"/>
  <c r="A252" i="18"/>
  <c r="K252" i="23"/>
  <c r="X252" i="23"/>
  <c r="A253" i="23"/>
  <c r="AB252" i="23"/>
  <c r="AB253" i="25"/>
  <c r="A254" i="25"/>
  <c r="K253" i="25"/>
  <c r="X253" i="25"/>
  <c r="K254" i="16"/>
  <c r="L254" i="16"/>
  <c r="AB254" i="16"/>
  <c r="X254" i="16"/>
  <c r="A255" i="16"/>
  <c r="A254" i="15"/>
  <c r="K253" i="15"/>
  <c r="AB253" i="15"/>
  <c r="X253" i="15"/>
  <c r="K254" i="24"/>
  <c r="AB254" i="24"/>
  <c r="X254" i="24"/>
  <c r="A255" i="24"/>
  <c r="AB256" i="17"/>
  <c r="K256" i="17"/>
  <c r="X256" i="17"/>
  <c r="A257" i="17"/>
  <c r="X255" i="24"/>
  <c r="K255" i="24"/>
  <c r="AB255" i="24"/>
  <c r="A256" i="24"/>
  <c r="AB254" i="15"/>
  <c r="X254" i="15"/>
  <c r="K254" i="15"/>
  <c r="A255" i="15"/>
  <c r="K256" i="20"/>
  <c r="AB256" i="20"/>
  <c r="X256" i="20"/>
  <c r="A257" i="20"/>
  <c r="AK255" i="1"/>
  <c r="AB255" i="1"/>
  <c r="X255" i="1"/>
  <c r="AJ255" i="1"/>
  <c r="K255" i="1"/>
  <c r="X257" i="17"/>
  <c r="A258" i="17"/>
  <c r="AB257" i="17"/>
  <c r="K257" i="17"/>
  <c r="X255" i="16"/>
  <c r="L255" i="16"/>
  <c r="K255" i="16"/>
  <c r="A256" i="16"/>
  <c r="AB255" i="16"/>
  <c r="D254" i="16"/>
  <c r="AB254" i="25"/>
  <c r="K254" i="25"/>
  <c r="A255" i="25"/>
  <c r="X254" i="25"/>
  <c r="AB253" i="23"/>
  <c r="A254" i="23"/>
  <c r="K253" i="23"/>
  <c r="X253" i="23"/>
  <c r="A253" i="18"/>
  <c r="AB252" i="18"/>
  <c r="K252" i="18"/>
  <c r="X252" i="18"/>
  <c r="X254" i="22"/>
  <c r="AB254" i="22"/>
  <c r="A255" i="22"/>
  <c r="K254" i="22"/>
  <c r="A256" i="22"/>
  <c r="X255" i="22"/>
  <c r="K255" i="22"/>
  <c r="AB255" i="22"/>
  <c r="AB253" i="18"/>
  <c r="K253" i="18"/>
  <c r="X253" i="18"/>
  <c r="A254" i="18"/>
  <c r="K254" i="23"/>
  <c r="AB254" i="23"/>
  <c r="A255" i="23"/>
  <c r="X254" i="23"/>
  <c r="A257" i="16"/>
  <c r="L256" i="16"/>
  <c r="D256" i="16" s="1"/>
  <c r="X256" i="16"/>
  <c r="AB256" i="16"/>
  <c r="K256" i="16"/>
  <c r="D255" i="16"/>
  <c r="AJ256" i="1"/>
  <c r="X256" i="1"/>
  <c r="K256" i="1"/>
  <c r="AB256" i="1"/>
  <c r="AK256" i="1"/>
  <c r="A258" i="20"/>
  <c r="X257" i="20"/>
  <c r="AB257" i="20"/>
  <c r="K257" i="20"/>
  <c r="K255" i="25"/>
  <c r="A256" i="25"/>
  <c r="AB255" i="25"/>
  <c r="X255" i="25"/>
  <c r="A259" i="17"/>
  <c r="X258" i="17"/>
  <c r="K258" i="17"/>
  <c r="AB258" i="17"/>
  <c r="X255" i="15"/>
  <c r="K255" i="15"/>
  <c r="AB255" i="15"/>
  <c r="A256" i="15"/>
  <c r="X256" i="24"/>
  <c r="AB256" i="24"/>
  <c r="K256" i="24"/>
  <c r="A257" i="24"/>
  <c r="K257" i="24"/>
  <c r="A258" i="24"/>
  <c r="X257" i="24"/>
  <c r="AB257" i="24"/>
  <c r="AB256" i="15"/>
  <c r="A257" i="15"/>
  <c r="X256" i="15"/>
  <c r="K256" i="15"/>
  <c r="X256" i="25"/>
  <c r="AB256" i="25"/>
  <c r="K256" i="25"/>
  <c r="A257" i="25"/>
  <c r="AK257" i="1"/>
  <c r="X257" i="1"/>
  <c r="K257" i="1"/>
  <c r="AB257" i="1"/>
  <c r="AJ257" i="1"/>
  <c r="A257" i="22"/>
  <c r="K256" i="22"/>
  <c r="AB256" i="22"/>
  <c r="X256" i="22"/>
  <c r="AB259" i="17"/>
  <c r="A260" i="17"/>
  <c r="X259" i="17"/>
  <c r="K259" i="17"/>
  <c r="AB258" i="20"/>
  <c r="X258" i="20"/>
  <c r="A259" i="20"/>
  <c r="K258" i="20"/>
  <c r="X257" i="16"/>
  <c r="AB257" i="16"/>
  <c r="L257" i="16"/>
  <c r="D257" i="16" s="1"/>
  <c r="A258" i="16"/>
  <c r="K257" i="16"/>
  <c r="AB255" i="23"/>
  <c r="A256" i="23"/>
  <c r="X255" i="23"/>
  <c r="K255" i="23"/>
  <c r="AB254" i="18"/>
  <c r="A255" i="18"/>
  <c r="X254" i="18"/>
  <c r="K254" i="18"/>
  <c r="A256" i="18"/>
  <c r="X255" i="18"/>
  <c r="K255" i="18"/>
  <c r="AB255" i="18"/>
  <c r="AB260" i="17"/>
  <c r="X260" i="17"/>
  <c r="A261" i="17"/>
  <c r="K260" i="17"/>
  <c r="A258" i="25"/>
  <c r="X257" i="25"/>
  <c r="K257" i="25"/>
  <c r="AB257" i="25"/>
  <c r="X257" i="15"/>
  <c r="AB257" i="15"/>
  <c r="K257" i="15"/>
  <c r="A258" i="15"/>
  <c r="K258" i="24"/>
  <c r="X258" i="24"/>
  <c r="AB258" i="24"/>
  <c r="A259" i="24"/>
  <c r="A257" i="23"/>
  <c r="X256" i="23"/>
  <c r="K256" i="23"/>
  <c r="AB256" i="23"/>
  <c r="AB258" i="16"/>
  <c r="A259" i="16"/>
  <c r="K258" i="16"/>
  <c r="X258" i="16"/>
  <c r="L258" i="16"/>
  <c r="D258" i="16" s="1"/>
  <c r="K259" i="20"/>
  <c r="AB259" i="20"/>
  <c r="A260" i="20"/>
  <c r="X259" i="20"/>
  <c r="K257" i="22"/>
  <c r="A258" i="22"/>
  <c r="AB257" i="22"/>
  <c r="X257" i="22"/>
  <c r="AK258" i="1"/>
  <c r="K258" i="1"/>
  <c r="AB258" i="1"/>
  <c r="X258" i="1"/>
  <c r="AJ258" i="1"/>
  <c r="AK259" i="1"/>
  <c r="AB259" i="1"/>
  <c r="AJ259" i="1"/>
  <c r="K259" i="1"/>
  <c r="X259" i="1"/>
  <c r="K258" i="22"/>
  <c r="AB258" i="22"/>
  <c r="X258" i="22"/>
  <c r="A259" i="22"/>
  <c r="A260" i="16"/>
  <c r="AB259" i="16"/>
  <c r="K259" i="16"/>
  <c r="X259" i="16"/>
  <c r="L259" i="16"/>
  <c r="D259" i="16" s="1"/>
  <c r="AB259" i="24"/>
  <c r="A260" i="24"/>
  <c r="K259" i="24"/>
  <c r="X259" i="24"/>
  <c r="A259" i="15"/>
  <c r="AB258" i="15"/>
  <c r="X258" i="15"/>
  <c r="K258" i="15"/>
  <c r="X260" i="20"/>
  <c r="A261" i="20"/>
  <c r="K260" i="20"/>
  <c r="AB260" i="20"/>
  <c r="AB257" i="23"/>
  <c r="X257" i="23"/>
  <c r="K257" i="23"/>
  <c r="A258" i="23"/>
  <c r="AB258" i="25"/>
  <c r="A259" i="25"/>
  <c r="K258" i="25"/>
  <c r="X258" i="25"/>
  <c r="X261" i="17"/>
  <c r="AB261" i="17"/>
  <c r="A262" i="17"/>
  <c r="K261" i="17"/>
  <c r="AB256" i="18"/>
  <c r="A257" i="18"/>
  <c r="X256" i="18"/>
  <c r="K256" i="18"/>
  <c r="A258" i="18"/>
  <c r="X257" i="18"/>
  <c r="AB257" i="18"/>
  <c r="K257" i="18"/>
  <c r="AB262" i="17"/>
  <c r="X262" i="17"/>
  <c r="K262" i="17"/>
  <c r="A263" i="17"/>
  <c r="AB258" i="23"/>
  <c r="X258" i="23"/>
  <c r="A259" i="23"/>
  <c r="K258" i="23"/>
  <c r="X259" i="15"/>
  <c r="AB259" i="15"/>
  <c r="A260" i="15"/>
  <c r="K259" i="15"/>
  <c r="AK260" i="1"/>
  <c r="K260" i="1"/>
  <c r="AJ260" i="1"/>
  <c r="X260" i="1"/>
  <c r="AB260" i="1"/>
  <c r="L260" i="1"/>
  <c r="D260" i="1" s="1"/>
  <c r="K259" i="25"/>
  <c r="AB259" i="25"/>
  <c r="A260" i="25"/>
  <c r="X259" i="25"/>
  <c r="X261" i="20"/>
  <c r="K261" i="20"/>
  <c r="AB261" i="20"/>
  <c r="A262" i="20"/>
  <c r="A261" i="24"/>
  <c r="K260" i="24"/>
  <c r="X260" i="24"/>
  <c r="AB260" i="24"/>
  <c r="A261" i="16"/>
  <c r="L260" i="16"/>
  <c r="D260" i="16" s="1"/>
  <c r="X260" i="16"/>
  <c r="K260" i="16"/>
  <c r="AB260" i="16"/>
  <c r="A260" i="22"/>
  <c r="X259" i="22"/>
  <c r="K259" i="22"/>
  <c r="AB259" i="22"/>
  <c r="K260" i="22"/>
  <c r="X260" i="22"/>
  <c r="A261" i="22"/>
  <c r="AB260" i="22"/>
  <c r="X262" i="20"/>
  <c r="AB262" i="20"/>
  <c r="A263" i="20"/>
  <c r="K262" i="20"/>
  <c r="X260" i="25"/>
  <c r="AB260" i="25"/>
  <c r="A261" i="25"/>
  <c r="K260" i="25"/>
  <c r="AB261" i="16"/>
  <c r="K261" i="16"/>
  <c r="L261" i="16"/>
  <c r="D261" i="16" s="1"/>
  <c r="A262" i="16"/>
  <c r="X261" i="16"/>
  <c r="AB261" i="24"/>
  <c r="A262" i="24"/>
  <c r="K261" i="24"/>
  <c r="X261" i="24"/>
  <c r="AK261" i="1"/>
  <c r="K261" i="1"/>
  <c r="AB261" i="1"/>
  <c r="AJ261" i="1"/>
  <c r="X261" i="1"/>
  <c r="AB260" i="15"/>
  <c r="X260" i="15"/>
  <c r="A261" i="15"/>
  <c r="K260" i="15"/>
  <c r="X259" i="23"/>
  <c r="AB259" i="23"/>
  <c r="A260" i="23"/>
  <c r="K259" i="23"/>
  <c r="X263" i="17"/>
  <c r="A264" i="17"/>
  <c r="K263" i="17"/>
  <c r="AB263" i="17"/>
  <c r="A259" i="18"/>
  <c r="K258" i="18"/>
  <c r="AB258" i="18"/>
  <c r="X258" i="18"/>
  <c r="A263" i="16"/>
  <c r="X262" i="16"/>
  <c r="K262" i="16"/>
  <c r="AB262" i="16"/>
  <c r="L262" i="16"/>
  <c r="D262" i="16" s="1"/>
  <c r="AB261" i="25"/>
  <c r="K261" i="25"/>
  <c r="X261" i="25"/>
  <c r="A262" i="25"/>
  <c r="X259" i="18"/>
  <c r="AB259" i="18"/>
  <c r="A260" i="18"/>
  <c r="K259" i="18"/>
  <c r="A265" i="17"/>
  <c r="AB264" i="17"/>
  <c r="K264" i="17"/>
  <c r="X264" i="17"/>
  <c r="X260" i="23"/>
  <c r="AB260" i="23"/>
  <c r="A261" i="23"/>
  <c r="K260" i="23"/>
  <c r="K261" i="15"/>
  <c r="X261" i="15"/>
  <c r="AB261" i="15"/>
  <c r="A262" i="15"/>
  <c r="AK262" i="1"/>
  <c r="X262" i="1"/>
  <c r="AB262" i="1"/>
  <c r="K262" i="1"/>
  <c r="AJ262" i="1"/>
  <c r="A263" i="24"/>
  <c r="K262" i="24"/>
  <c r="X262" i="24"/>
  <c r="AB262" i="24"/>
  <c r="X263" i="20"/>
  <c r="A264" i="20"/>
  <c r="AB263" i="20"/>
  <c r="K263" i="20"/>
  <c r="X261" i="22"/>
  <c r="K261" i="22"/>
  <c r="A262" i="22"/>
  <c r="AB261" i="22"/>
  <c r="K262" i="22"/>
  <c r="AB262" i="22"/>
  <c r="X262" i="22"/>
  <c r="A263" i="22"/>
  <c r="X264" i="20"/>
  <c r="A265" i="20"/>
  <c r="AB264" i="20"/>
  <c r="K264" i="20"/>
  <c r="AB263" i="24"/>
  <c r="A264" i="24"/>
  <c r="X263" i="24"/>
  <c r="K263" i="24"/>
  <c r="K265" i="17"/>
  <c r="AB265" i="17"/>
  <c r="A266" i="17"/>
  <c r="X265" i="17"/>
  <c r="K260" i="18"/>
  <c r="X260" i="18"/>
  <c r="AB260" i="18"/>
  <c r="A261" i="18"/>
  <c r="AK263" i="1"/>
  <c r="K263" i="1"/>
  <c r="AB263" i="1"/>
  <c r="AJ263" i="1"/>
  <c r="X263" i="1"/>
  <c r="K262" i="15"/>
  <c r="AB262" i="15"/>
  <c r="X262" i="15"/>
  <c r="A263" i="15"/>
  <c r="L262" i="15"/>
  <c r="D262" i="15" s="1"/>
  <c r="K261" i="23"/>
  <c r="X261" i="23"/>
  <c r="AB261" i="23"/>
  <c r="A262" i="23"/>
  <c r="K262" i="25"/>
  <c r="A263" i="25"/>
  <c r="X262" i="25"/>
  <c r="AB262" i="25"/>
  <c r="AB263" i="16"/>
  <c r="L263" i="16"/>
  <c r="D263" i="16" s="1"/>
  <c r="X263" i="16"/>
  <c r="A264" i="16"/>
  <c r="K263" i="16"/>
  <c r="AB264" i="16"/>
  <c r="K264" i="16"/>
  <c r="X264" i="16"/>
  <c r="L264" i="16"/>
  <c r="D264" i="16" s="1"/>
  <c r="A265" i="16"/>
  <c r="A263" i="23"/>
  <c r="AB262" i="23"/>
  <c r="K262" i="23"/>
  <c r="X262" i="23"/>
  <c r="AJ264" i="1"/>
  <c r="AB264" i="1"/>
  <c r="K264" i="1"/>
  <c r="AK264" i="1"/>
  <c r="X264" i="1"/>
  <c r="A262" i="18"/>
  <c r="X261" i="18"/>
  <c r="K261" i="18"/>
  <c r="AB261" i="18"/>
  <c r="X265" i="20"/>
  <c r="AB265" i="20"/>
  <c r="A266" i="20"/>
  <c r="K265" i="20"/>
  <c r="A264" i="25"/>
  <c r="K263" i="25"/>
  <c r="AB263" i="25"/>
  <c r="X263" i="25"/>
  <c r="X263" i="15"/>
  <c r="K263" i="15"/>
  <c r="A264" i="15"/>
  <c r="AB263" i="15"/>
  <c r="X266" i="17"/>
  <c r="K266" i="17"/>
  <c r="AB266" i="17"/>
  <c r="A267" i="17"/>
  <c r="AB264" i="24"/>
  <c r="A265" i="24"/>
  <c r="X264" i="24"/>
  <c r="K264" i="24"/>
  <c r="K263" i="22"/>
  <c r="X263" i="22"/>
  <c r="AB263" i="22"/>
  <c r="A264" i="22"/>
  <c r="K267" i="17"/>
  <c r="AB267" i="17"/>
  <c r="X267" i="17"/>
  <c r="A268" i="17"/>
  <c r="K263" i="23"/>
  <c r="X263" i="23"/>
  <c r="AB263" i="23"/>
  <c r="A264" i="23"/>
  <c r="X265" i="16"/>
  <c r="A266" i="16"/>
  <c r="L265" i="16"/>
  <c r="D265" i="16" s="1"/>
  <c r="K265" i="16"/>
  <c r="AB265" i="16"/>
  <c r="A265" i="22"/>
  <c r="AB264" i="22"/>
  <c r="K264" i="22"/>
  <c r="X264" i="22"/>
  <c r="AB265" i="24"/>
  <c r="K265" i="24"/>
  <c r="A266" i="24"/>
  <c r="X265" i="24"/>
  <c r="K264" i="15"/>
  <c r="A265" i="15"/>
  <c r="AB264" i="15"/>
  <c r="X264" i="15"/>
  <c r="K264" i="25"/>
  <c r="X264" i="25"/>
  <c r="A265" i="25"/>
  <c r="AB264" i="25"/>
  <c r="K266" i="20"/>
  <c r="X266" i="20"/>
  <c r="A267" i="20"/>
  <c r="AB266" i="20"/>
  <c r="K262" i="18"/>
  <c r="A263" i="18"/>
  <c r="AB262" i="18"/>
  <c r="X262" i="18"/>
  <c r="AK265" i="1"/>
  <c r="K265" i="1"/>
  <c r="AJ265" i="1"/>
  <c r="AB265" i="1"/>
  <c r="X265" i="1"/>
  <c r="X266" i="16"/>
  <c r="K266" i="16"/>
  <c r="L266" i="16"/>
  <c r="D266" i="16" s="1"/>
  <c r="AB266" i="16"/>
  <c r="A267" i="16"/>
  <c r="A265" i="23"/>
  <c r="K264" i="23"/>
  <c r="AB264" i="23"/>
  <c r="X264" i="23"/>
  <c r="A264" i="18"/>
  <c r="AB263" i="18"/>
  <c r="X263" i="18"/>
  <c r="K263" i="18"/>
  <c r="K267" i="20"/>
  <c r="AB267" i="20"/>
  <c r="X267" i="20"/>
  <c r="A268" i="20"/>
  <c r="K266" i="24"/>
  <c r="AB266" i="24"/>
  <c r="A267" i="24"/>
  <c r="X266" i="24"/>
  <c r="A269" i="17"/>
  <c r="K268" i="17"/>
  <c r="X268" i="17"/>
  <c r="AB268" i="17"/>
  <c r="AJ266" i="1"/>
  <c r="K266" i="1"/>
  <c r="AK266" i="1"/>
  <c r="AB266" i="1"/>
  <c r="X266" i="1"/>
  <c r="X265" i="25"/>
  <c r="K265" i="25"/>
  <c r="A266" i="25"/>
  <c r="AB265" i="25"/>
  <c r="X265" i="15"/>
  <c r="AB265" i="15"/>
  <c r="K265" i="15"/>
  <c r="A266" i="15"/>
  <c r="X265" i="22"/>
  <c r="A266" i="22"/>
  <c r="K265" i="22"/>
  <c r="AB265" i="22"/>
  <c r="X266" i="22"/>
  <c r="K266" i="22"/>
  <c r="A267" i="22"/>
  <c r="AB266" i="22"/>
  <c r="AB269" i="17"/>
  <c r="X269" i="17"/>
  <c r="A270" i="17"/>
  <c r="K269" i="17"/>
  <c r="AB267" i="16"/>
  <c r="L267" i="16"/>
  <c r="D267" i="16" s="1"/>
  <c r="A268" i="16"/>
  <c r="K267" i="16"/>
  <c r="X267" i="16"/>
  <c r="K266" i="15"/>
  <c r="A267" i="15"/>
  <c r="X266" i="15"/>
  <c r="AB266" i="15"/>
  <c r="A267" i="25"/>
  <c r="K266" i="25"/>
  <c r="AB266" i="25"/>
  <c r="X266" i="25"/>
  <c r="AJ267" i="1"/>
  <c r="K267" i="1"/>
  <c r="X267" i="1"/>
  <c r="AB267" i="1"/>
  <c r="AK267" i="1"/>
  <c r="A268" i="24"/>
  <c r="AB267" i="24"/>
  <c r="X267" i="24"/>
  <c r="K267" i="24"/>
  <c r="A269" i="20"/>
  <c r="K268" i="20"/>
  <c r="X268" i="20"/>
  <c r="AB268" i="20"/>
  <c r="A265" i="18"/>
  <c r="K264" i="18"/>
  <c r="AB264" i="18"/>
  <c r="X264" i="18"/>
  <c r="A266" i="23"/>
  <c r="X265" i="23"/>
  <c r="K265" i="23"/>
  <c r="AB265" i="23"/>
  <c r="AB267" i="25"/>
  <c r="A268" i="25"/>
  <c r="K267" i="25"/>
  <c r="X267" i="25"/>
  <c r="AB270" i="17"/>
  <c r="X270" i="17"/>
  <c r="K270" i="17"/>
  <c r="A271" i="17"/>
  <c r="K267" i="22"/>
  <c r="A268" i="22"/>
  <c r="AB267" i="22"/>
  <c r="X267" i="22"/>
  <c r="X266" i="23"/>
  <c r="AB266" i="23"/>
  <c r="A267" i="23"/>
  <c r="K266" i="23"/>
  <c r="K265" i="18"/>
  <c r="AB265" i="18"/>
  <c r="A266" i="18"/>
  <c r="X265" i="18"/>
  <c r="X269" i="20"/>
  <c r="AB269" i="20"/>
  <c r="K269" i="20"/>
  <c r="A270" i="20"/>
  <c r="A269" i="24"/>
  <c r="X268" i="24"/>
  <c r="K268" i="24"/>
  <c r="AB268" i="24"/>
  <c r="AJ268" i="1"/>
  <c r="K268" i="1"/>
  <c r="AK268" i="1"/>
  <c r="AB268" i="1"/>
  <c r="X268" i="1"/>
  <c r="AB267" i="15"/>
  <c r="K267" i="15"/>
  <c r="X267" i="15"/>
  <c r="A268" i="15"/>
  <c r="A269" i="16"/>
  <c r="K268" i="16"/>
  <c r="L268" i="16"/>
  <c r="D268" i="16" s="1"/>
  <c r="X268" i="16"/>
  <c r="AB268" i="16"/>
  <c r="AB268" i="15"/>
  <c r="L268" i="15"/>
  <c r="D268" i="15" s="1"/>
  <c r="X268" i="15"/>
  <c r="A269" i="15"/>
  <c r="K268" i="15"/>
  <c r="AJ269" i="1"/>
  <c r="X269" i="1"/>
  <c r="K269" i="1"/>
  <c r="AK269" i="1"/>
  <c r="L269" i="1"/>
  <c r="D269" i="1" s="1"/>
  <c r="AB269" i="1"/>
  <c r="X269" i="24"/>
  <c r="A270" i="24"/>
  <c r="AB269" i="24"/>
  <c r="K269" i="24"/>
  <c r="X270" i="20"/>
  <c r="AB270" i="20"/>
  <c r="K270" i="20"/>
  <c r="A271" i="20"/>
  <c r="AB268" i="22"/>
  <c r="K268" i="22"/>
  <c r="A269" i="22"/>
  <c r="X268" i="22"/>
  <c r="A269" i="25"/>
  <c r="X268" i="25"/>
  <c r="K268" i="25"/>
  <c r="AB268" i="25"/>
  <c r="AB269" i="16"/>
  <c r="A270" i="16"/>
  <c r="L269" i="16"/>
  <c r="D269" i="16" s="1"/>
  <c r="X269" i="16"/>
  <c r="K269" i="16"/>
  <c r="A267" i="18"/>
  <c r="AB266" i="18"/>
  <c r="X266" i="18"/>
  <c r="K266" i="18"/>
  <c r="AB267" i="23"/>
  <c r="A268" i="23"/>
  <c r="K267" i="23"/>
  <c r="X267" i="23"/>
  <c r="K271" i="17"/>
  <c r="AB271" i="17"/>
  <c r="X271" i="17"/>
  <c r="A272" i="17"/>
  <c r="A64" i="7"/>
  <c r="X272" i="17"/>
  <c r="A273" i="17"/>
  <c r="AB272" i="17"/>
  <c r="K272" i="17"/>
  <c r="X269" i="25"/>
  <c r="A270" i="25"/>
  <c r="K269" i="25"/>
  <c r="AB269" i="25"/>
  <c r="K269" i="22"/>
  <c r="A270" i="22"/>
  <c r="AB269" i="22"/>
  <c r="X269" i="22"/>
  <c r="K270" i="24"/>
  <c r="X270" i="24"/>
  <c r="AB270" i="24"/>
  <c r="A271" i="24"/>
  <c r="AK270" i="1"/>
  <c r="X270" i="1"/>
  <c r="AJ270" i="1"/>
  <c r="AB270" i="1"/>
  <c r="K270" i="1"/>
  <c r="A270" i="15"/>
  <c r="AB269" i="15"/>
  <c r="K269" i="15"/>
  <c r="X269" i="15"/>
  <c r="A269" i="23"/>
  <c r="AB268" i="23"/>
  <c r="K268" i="23"/>
  <c r="X268" i="23"/>
  <c r="AB267" i="18"/>
  <c r="A268" i="18"/>
  <c r="X267" i="18"/>
  <c r="K267" i="18"/>
  <c r="K270" i="16"/>
  <c r="A271" i="16"/>
  <c r="L270" i="16"/>
  <c r="D270" i="16" s="1"/>
  <c r="X270" i="16"/>
  <c r="AB270" i="16"/>
  <c r="K271" i="20"/>
  <c r="AB271" i="20"/>
  <c r="A272" i="20"/>
  <c r="X271" i="20"/>
  <c r="K272" i="20"/>
  <c r="A273" i="20"/>
  <c r="X272" i="20"/>
  <c r="AE28" i="7"/>
  <c r="AB272" i="20"/>
  <c r="K271" i="16"/>
  <c r="AB271" i="16"/>
  <c r="L271" i="16"/>
  <c r="D271" i="16" s="1"/>
  <c r="X271" i="16"/>
  <c r="A272" i="16"/>
  <c r="AB270" i="15"/>
  <c r="A271" i="15"/>
  <c r="K270" i="15"/>
  <c r="X270" i="15"/>
  <c r="A271" i="22"/>
  <c r="AB270" i="22"/>
  <c r="K270" i="22"/>
  <c r="X270" i="22"/>
  <c r="AB273" i="17"/>
  <c r="X273" i="17"/>
  <c r="A274" i="17"/>
  <c r="K273" i="17"/>
  <c r="A269" i="18"/>
  <c r="X268" i="18"/>
  <c r="K268" i="18"/>
  <c r="AB268" i="18"/>
  <c r="A270" i="23"/>
  <c r="AB269" i="23"/>
  <c r="K269" i="23"/>
  <c r="X269" i="23"/>
  <c r="AK271" i="1"/>
  <c r="AB271" i="1"/>
  <c r="K271" i="1"/>
  <c r="X271" i="1"/>
  <c r="AJ271" i="1"/>
  <c r="Q271" i="1"/>
  <c r="AB271" i="24"/>
  <c r="K271" i="24"/>
  <c r="X271" i="24"/>
  <c r="A272" i="24"/>
  <c r="K270" i="25"/>
  <c r="AB270" i="25"/>
  <c r="A271" i="25"/>
  <c r="X270" i="25"/>
  <c r="K272" i="24"/>
  <c r="AE64" i="7"/>
  <c r="X272" i="24"/>
  <c r="AB272" i="24"/>
  <c r="A273" i="24"/>
  <c r="X269" i="18"/>
  <c r="AB269" i="18"/>
  <c r="A270" i="18"/>
  <c r="K269" i="18"/>
  <c r="AB271" i="22"/>
  <c r="A272" i="22"/>
  <c r="K271" i="22"/>
  <c r="X271" i="22"/>
  <c r="X271" i="25"/>
  <c r="AB271" i="25"/>
  <c r="A272" i="25"/>
  <c r="K271" i="25"/>
  <c r="AJ272" i="1"/>
  <c r="K272" i="1"/>
  <c r="A28" i="7"/>
  <c r="X272" i="1"/>
  <c r="AK272" i="1"/>
  <c r="AB272" i="1"/>
  <c r="X270" i="23"/>
  <c r="K270" i="23"/>
  <c r="A271" i="23"/>
  <c r="AB270" i="23"/>
  <c r="X274" i="17"/>
  <c r="AB274" i="17"/>
  <c r="A275" i="17"/>
  <c r="K274" i="17"/>
  <c r="AB271" i="15"/>
  <c r="X271" i="15"/>
  <c r="K271" i="15"/>
  <c r="A272" i="15"/>
  <c r="A273" i="16"/>
  <c r="AB272" i="16"/>
  <c r="A52" i="7"/>
  <c r="K272" i="16"/>
  <c r="L272" i="16"/>
  <c r="B52" i="7" s="1"/>
  <c r="X272" i="16"/>
  <c r="X273" i="20"/>
  <c r="AB273" i="20"/>
  <c r="A274" i="20"/>
  <c r="K273" i="20"/>
  <c r="AB273" i="16"/>
  <c r="L273" i="16"/>
  <c r="X273" i="16"/>
  <c r="A274" i="16"/>
  <c r="K273" i="16"/>
  <c r="K275" i="17"/>
  <c r="X275" i="17"/>
  <c r="A276" i="17"/>
  <c r="AB275" i="17"/>
  <c r="K271" i="23"/>
  <c r="AB271" i="23"/>
  <c r="X271" i="23"/>
  <c r="A272" i="23"/>
  <c r="AB272" i="22"/>
  <c r="A273" i="22"/>
  <c r="K272" i="22"/>
  <c r="X272" i="22"/>
  <c r="AE40" i="7"/>
  <c r="AB270" i="18"/>
  <c r="A271" i="18"/>
  <c r="X270" i="18"/>
  <c r="K270" i="18"/>
  <c r="X274" i="20"/>
  <c r="AB274" i="20"/>
  <c r="A275" i="20"/>
  <c r="K274" i="20"/>
  <c r="A273" i="15"/>
  <c r="X272" i="15"/>
  <c r="AB272" i="15"/>
  <c r="A40" i="7"/>
  <c r="K272" i="15"/>
  <c r="AK273" i="1"/>
  <c r="X273" i="1"/>
  <c r="AB273" i="1"/>
  <c r="AJ273" i="1"/>
  <c r="K273" i="1"/>
  <c r="X272" i="25"/>
  <c r="A273" i="25"/>
  <c r="AB272" i="25"/>
  <c r="AE76" i="7"/>
  <c r="K272" i="25"/>
  <c r="A274" i="24"/>
  <c r="X273" i="24"/>
  <c r="AB273" i="24"/>
  <c r="K273" i="24"/>
  <c r="AB273" i="25"/>
  <c r="A274" i="25"/>
  <c r="K273" i="25"/>
  <c r="X273" i="25"/>
  <c r="AJ274" i="1"/>
  <c r="X274" i="1"/>
  <c r="AB274" i="1"/>
  <c r="AK274" i="1"/>
  <c r="K274" i="1"/>
  <c r="K275" i="20"/>
  <c r="AB275" i="20"/>
  <c r="A276" i="20"/>
  <c r="X275" i="20"/>
  <c r="X271" i="18"/>
  <c r="AB271" i="18"/>
  <c r="K271" i="18"/>
  <c r="A272" i="18"/>
  <c r="X273" i="22"/>
  <c r="AB273" i="22"/>
  <c r="A274" i="22"/>
  <c r="K273" i="22"/>
  <c r="A275" i="24"/>
  <c r="X274" i="24"/>
  <c r="K274" i="24"/>
  <c r="AB274" i="24"/>
  <c r="L273" i="15"/>
  <c r="D273" i="15" s="1"/>
  <c r="A274" i="15"/>
  <c r="X273" i="15"/>
  <c r="K273" i="15"/>
  <c r="AB273" i="15"/>
  <c r="A273" i="23"/>
  <c r="K272" i="23"/>
  <c r="AB272" i="23"/>
  <c r="AE52" i="7"/>
  <c r="X272" i="23"/>
  <c r="K276" i="17"/>
  <c r="A277" i="17"/>
  <c r="AB276" i="17"/>
  <c r="X276" i="17"/>
  <c r="L276" i="17"/>
  <c r="D276" i="17" s="1"/>
  <c r="K274" i="16"/>
  <c r="X274" i="16"/>
  <c r="A275" i="16"/>
  <c r="L274" i="16"/>
  <c r="D274" i="16" s="1"/>
  <c r="AB274" i="16"/>
  <c r="D273" i="16"/>
  <c r="AB273" i="23"/>
  <c r="K273" i="23"/>
  <c r="A274" i="23"/>
  <c r="X273" i="23"/>
  <c r="AB274" i="15"/>
  <c r="X274" i="15"/>
  <c r="A275" i="15"/>
  <c r="K274" i="15"/>
  <c r="K274" i="22"/>
  <c r="AB274" i="22"/>
  <c r="X274" i="22"/>
  <c r="A275" i="22"/>
  <c r="A76" i="7"/>
  <c r="X272" i="18"/>
  <c r="AB272" i="18"/>
  <c r="K272" i="18"/>
  <c r="A273" i="18"/>
  <c r="AJ275" i="1"/>
  <c r="X275" i="1"/>
  <c r="Q275" i="1"/>
  <c r="K275" i="1"/>
  <c r="AB275" i="1"/>
  <c r="AK275" i="1"/>
  <c r="X274" i="25"/>
  <c r="A275" i="25"/>
  <c r="AB274" i="25"/>
  <c r="K274" i="25"/>
  <c r="K275" i="16"/>
  <c r="L275" i="16"/>
  <c r="D275" i="16" s="1"/>
  <c r="A276" i="16"/>
  <c r="X275" i="16"/>
  <c r="AB275" i="16"/>
  <c r="AB277" i="17"/>
  <c r="X277" i="17"/>
  <c r="A278" i="17"/>
  <c r="K277" i="17"/>
  <c r="K275" i="24"/>
  <c r="AB275" i="24"/>
  <c r="A276" i="24"/>
  <c r="X275" i="24"/>
  <c r="AB276" i="20"/>
  <c r="K276" i="20"/>
  <c r="A277" i="20"/>
  <c r="X276" i="20"/>
  <c r="K277" i="20"/>
  <c r="AB277" i="20"/>
  <c r="X277" i="20"/>
  <c r="A278" i="20"/>
  <c r="AB276" i="24"/>
  <c r="A277" i="24"/>
  <c r="X276" i="24"/>
  <c r="K276" i="24"/>
  <c r="K278" i="17"/>
  <c r="AB278" i="17"/>
  <c r="A279" i="17"/>
  <c r="X278" i="17"/>
  <c r="A277" i="16"/>
  <c r="AB276" i="16"/>
  <c r="L276" i="16"/>
  <c r="D276" i="16" s="1"/>
  <c r="K276" i="16"/>
  <c r="X276" i="16"/>
  <c r="AB275" i="25"/>
  <c r="K275" i="25"/>
  <c r="X275" i="25"/>
  <c r="A276" i="25"/>
  <c r="AJ276" i="1"/>
  <c r="X276" i="1"/>
  <c r="K276" i="1"/>
  <c r="AB276" i="1"/>
  <c r="AK276" i="1"/>
  <c r="K275" i="15"/>
  <c r="L275" i="15"/>
  <c r="D275" i="15" s="1"/>
  <c r="AB275" i="15"/>
  <c r="X275" i="15"/>
  <c r="A276" i="15"/>
  <c r="X274" i="23"/>
  <c r="K274" i="23"/>
  <c r="AB274" i="23"/>
  <c r="A275" i="23"/>
  <c r="K273" i="18"/>
  <c r="X273" i="18"/>
  <c r="A274" i="18"/>
  <c r="AB273" i="18"/>
  <c r="K275" i="22"/>
  <c r="A276" i="22"/>
  <c r="AB275" i="22"/>
  <c r="X275" i="22"/>
  <c r="K276" i="22"/>
  <c r="X276" i="22"/>
  <c r="A277" i="22"/>
  <c r="AB276" i="22"/>
  <c r="A277" i="15"/>
  <c r="AB276" i="15"/>
  <c r="X276" i="15"/>
  <c r="K276" i="15"/>
  <c r="AK277" i="1"/>
  <c r="AB277" i="1"/>
  <c r="Q277" i="1"/>
  <c r="X277" i="1"/>
  <c r="K277" i="1"/>
  <c r="AJ277" i="1"/>
  <c r="K277" i="16"/>
  <c r="AB277" i="16"/>
  <c r="L277" i="16"/>
  <c r="X277" i="16"/>
  <c r="A278" i="16"/>
  <c r="AB279" i="17"/>
  <c r="X279" i="17"/>
  <c r="K279" i="17"/>
  <c r="A280" i="17"/>
  <c r="X278" i="20"/>
  <c r="A279" i="20"/>
  <c r="K278" i="20"/>
  <c r="AB278" i="20"/>
  <c r="AB274" i="18"/>
  <c r="A275" i="18"/>
  <c r="K274" i="18"/>
  <c r="X274" i="18"/>
  <c r="AB275" i="23"/>
  <c r="A276" i="23"/>
  <c r="K275" i="23"/>
  <c r="X275" i="23"/>
  <c r="K276" i="25"/>
  <c r="A277" i="25"/>
  <c r="AB276" i="25"/>
  <c r="X276" i="25"/>
  <c r="A278" i="24"/>
  <c r="X277" i="24"/>
  <c r="AB277" i="24"/>
  <c r="K277" i="24"/>
  <c r="K278" i="24"/>
  <c r="AB278" i="24"/>
  <c r="X278" i="24"/>
  <c r="A279" i="24"/>
  <c r="A278" i="25"/>
  <c r="AB277" i="25"/>
  <c r="K277" i="25"/>
  <c r="X277" i="25"/>
  <c r="K276" i="23"/>
  <c r="X276" i="23"/>
  <c r="AB276" i="23"/>
  <c r="A277" i="23"/>
  <c r="X279" i="20"/>
  <c r="K279" i="20"/>
  <c r="AB279" i="20"/>
  <c r="A280" i="20"/>
  <c r="A281" i="17"/>
  <c r="AB280" i="17"/>
  <c r="X280" i="17"/>
  <c r="K280" i="17"/>
  <c r="K278" i="16"/>
  <c r="X278" i="16"/>
  <c r="L278" i="16"/>
  <c r="D278" i="16" s="1"/>
  <c r="AB278" i="16"/>
  <c r="A279" i="16"/>
  <c r="AK278" i="1"/>
  <c r="X278" i="1"/>
  <c r="K278" i="1"/>
  <c r="AB278" i="1"/>
  <c r="AJ278" i="1"/>
  <c r="AB277" i="22"/>
  <c r="X277" i="22"/>
  <c r="K277" i="22"/>
  <c r="A278" i="22"/>
  <c r="X275" i="18"/>
  <c r="K275" i="18"/>
  <c r="A276" i="18"/>
  <c r="AB275" i="18"/>
  <c r="D277" i="16"/>
  <c r="X277" i="15"/>
  <c r="AB277" i="15"/>
  <c r="A278" i="15"/>
  <c r="K277" i="15"/>
  <c r="K278" i="22"/>
  <c r="AB278" i="22"/>
  <c r="A279" i="22"/>
  <c r="X278" i="22"/>
  <c r="AJ279" i="1"/>
  <c r="AB279" i="1"/>
  <c r="X279" i="1"/>
  <c r="K279" i="1"/>
  <c r="AK279" i="1"/>
  <c r="X281" i="17"/>
  <c r="AB281" i="17"/>
  <c r="K281" i="17"/>
  <c r="A282" i="17"/>
  <c r="AB280" i="20"/>
  <c r="X280" i="20"/>
  <c r="A281" i="20"/>
  <c r="K280" i="20"/>
  <c r="AB279" i="24"/>
  <c r="K279" i="24"/>
  <c r="A280" i="24"/>
  <c r="X279" i="24"/>
  <c r="A279" i="15"/>
  <c r="X278" i="15"/>
  <c r="K278" i="15"/>
  <c r="AB278" i="15"/>
  <c r="K276" i="18"/>
  <c r="X276" i="18"/>
  <c r="AB276" i="18"/>
  <c r="A277" i="18"/>
  <c r="AB279" i="16"/>
  <c r="X279" i="16"/>
  <c r="L279" i="16"/>
  <c r="D279" i="16" s="1"/>
  <c r="A280" i="16"/>
  <c r="K279" i="16"/>
  <c r="K277" i="23"/>
  <c r="A278" i="23"/>
  <c r="X277" i="23"/>
  <c r="AB277" i="23"/>
  <c r="A279" i="25"/>
  <c r="K278" i="25"/>
  <c r="AB278" i="25"/>
  <c r="X278" i="25"/>
  <c r="X280" i="16"/>
  <c r="K280" i="16"/>
  <c r="L280" i="16"/>
  <c r="A281" i="16"/>
  <c r="AB280" i="16"/>
  <c r="A278" i="18"/>
  <c r="K277" i="18"/>
  <c r="X277" i="18"/>
  <c r="AB277" i="18"/>
  <c r="AB279" i="15"/>
  <c r="L279" i="15"/>
  <c r="D279" i="15" s="1"/>
  <c r="X279" i="15"/>
  <c r="A280" i="15"/>
  <c r="K279" i="15"/>
  <c r="K282" i="17"/>
  <c r="X282" i="17"/>
  <c r="AB282" i="17"/>
  <c r="A283" i="17"/>
  <c r="L282" i="17"/>
  <c r="D282" i="17" s="1"/>
  <c r="A280" i="25"/>
  <c r="AB279" i="25"/>
  <c r="X279" i="25"/>
  <c r="K279" i="25"/>
  <c r="K278" i="23"/>
  <c r="X278" i="23"/>
  <c r="AB278" i="23"/>
  <c r="A279" i="23"/>
  <c r="K280" i="24"/>
  <c r="AB280" i="24"/>
  <c r="A281" i="24"/>
  <c r="X280" i="24"/>
  <c r="A282" i="20"/>
  <c r="X281" i="20"/>
  <c r="K281" i="20"/>
  <c r="AB281" i="20"/>
  <c r="AJ280" i="1"/>
  <c r="X280" i="1"/>
  <c r="AB280" i="1"/>
  <c r="K280" i="1"/>
  <c r="AK280" i="1"/>
  <c r="X279" i="22"/>
  <c r="AB279" i="22"/>
  <c r="A280" i="22"/>
  <c r="K279" i="22"/>
  <c r="AB281" i="24"/>
  <c r="K281" i="24"/>
  <c r="X281" i="24"/>
  <c r="A282" i="24"/>
  <c r="AB280" i="25"/>
  <c r="A281" i="25"/>
  <c r="X280" i="25"/>
  <c r="K280" i="25"/>
  <c r="A284" i="17"/>
  <c r="K283" i="17"/>
  <c r="AB283" i="17"/>
  <c r="X283" i="17"/>
  <c r="X278" i="18"/>
  <c r="K278" i="18"/>
  <c r="AB278" i="18"/>
  <c r="A279" i="18"/>
  <c r="L278" i="18"/>
  <c r="K280" i="22"/>
  <c r="X280" i="22"/>
  <c r="AB280" i="22"/>
  <c r="A281" i="22"/>
  <c r="AK281" i="1"/>
  <c r="X281" i="1"/>
  <c r="K281" i="1"/>
  <c r="AB281" i="1"/>
  <c r="AJ281" i="1"/>
  <c r="K282" i="20"/>
  <c r="A283" i="20"/>
  <c r="AB282" i="20"/>
  <c r="X282" i="20"/>
  <c r="AB279" i="23"/>
  <c r="X279" i="23"/>
  <c r="A280" i="23"/>
  <c r="K279" i="23"/>
  <c r="AB280" i="15"/>
  <c r="K280" i="15"/>
  <c r="X280" i="15"/>
  <c r="A281" i="15"/>
  <c r="AB281" i="16"/>
  <c r="L281" i="16"/>
  <c r="X281" i="16"/>
  <c r="K281" i="16"/>
  <c r="A282" i="16"/>
  <c r="D280" i="16"/>
  <c r="X282" i="16"/>
  <c r="K282" i="16"/>
  <c r="AB282" i="16"/>
  <c r="A283" i="16"/>
  <c r="L282" i="16"/>
  <c r="D282" i="16" s="1"/>
  <c r="D281" i="16"/>
  <c r="AB280" i="23"/>
  <c r="X280" i="23"/>
  <c r="K280" i="23"/>
  <c r="A281" i="23"/>
  <c r="AK282" i="1"/>
  <c r="K282" i="1"/>
  <c r="X282" i="1"/>
  <c r="AB282" i="1"/>
  <c r="AJ282" i="1"/>
  <c r="X281" i="22"/>
  <c r="K281" i="22"/>
  <c r="A282" i="22"/>
  <c r="AB281" i="22"/>
  <c r="X279" i="18"/>
  <c r="AB279" i="18"/>
  <c r="K279" i="18"/>
  <c r="A280" i="18"/>
  <c r="A283" i="24"/>
  <c r="K282" i="24"/>
  <c r="X282" i="24"/>
  <c r="AB282" i="24"/>
  <c r="L281" i="15"/>
  <c r="D281" i="15" s="1"/>
  <c r="A282" i="15"/>
  <c r="AB281" i="15"/>
  <c r="X281" i="15"/>
  <c r="K281" i="15"/>
  <c r="X283" i="20"/>
  <c r="A284" i="20"/>
  <c r="K283" i="20"/>
  <c r="AB283" i="20"/>
  <c r="X284" i="17"/>
  <c r="A285" i="17"/>
  <c r="AB284" i="17"/>
  <c r="L284" i="17"/>
  <c r="D284" i="17" s="1"/>
  <c r="K284" i="17"/>
  <c r="X281" i="25"/>
  <c r="K281" i="25"/>
  <c r="A282" i="25"/>
  <c r="AB281" i="25"/>
  <c r="K284" i="20"/>
  <c r="X284" i="20"/>
  <c r="A285" i="20"/>
  <c r="AB284" i="20"/>
  <c r="AJ283" i="1"/>
  <c r="AB283" i="1"/>
  <c r="X283" i="1"/>
  <c r="K283" i="1"/>
  <c r="AK283" i="1"/>
  <c r="Q283" i="1"/>
  <c r="A284" i="16"/>
  <c r="K283" i="16"/>
  <c r="AB283" i="16"/>
  <c r="L283" i="16"/>
  <c r="D283" i="16" s="1"/>
  <c r="X283" i="16"/>
  <c r="AB282" i="25"/>
  <c r="X282" i="25"/>
  <c r="K282" i="25"/>
  <c r="A283" i="25"/>
  <c r="K285" i="17"/>
  <c r="X285" i="17"/>
  <c r="L285" i="17"/>
  <c r="AB285" i="17"/>
  <c r="A286" i="17"/>
  <c r="X282" i="15"/>
  <c r="L282" i="15"/>
  <c r="D282" i="15" s="1"/>
  <c r="AB282" i="15"/>
  <c r="A283" i="15"/>
  <c r="K282" i="15"/>
  <c r="K283" i="24"/>
  <c r="AB283" i="24"/>
  <c r="A284" i="24"/>
  <c r="X283" i="24"/>
  <c r="L280" i="18"/>
  <c r="AB280" i="18"/>
  <c r="K280" i="18"/>
  <c r="A281" i="18"/>
  <c r="X280" i="18"/>
  <c r="X282" i="22"/>
  <c r="AB282" i="22"/>
  <c r="A283" i="22"/>
  <c r="K282" i="22"/>
  <c r="AB281" i="23"/>
  <c r="K281" i="23"/>
  <c r="X281" i="23"/>
  <c r="A282" i="23"/>
  <c r="K284" i="24"/>
  <c r="AB284" i="24"/>
  <c r="X284" i="24"/>
  <c r="A285" i="24"/>
  <c r="AJ284" i="1"/>
  <c r="AB284" i="1"/>
  <c r="L284" i="1"/>
  <c r="D284" i="1" s="1"/>
  <c r="AK284" i="1"/>
  <c r="X284" i="1"/>
  <c r="K284" i="1"/>
  <c r="K282" i="23"/>
  <c r="X282" i="23"/>
  <c r="AB282" i="23"/>
  <c r="A283" i="23"/>
  <c r="K283" i="22"/>
  <c r="X283" i="22"/>
  <c r="A284" i="22"/>
  <c r="AB283" i="22"/>
  <c r="X281" i="18"/>
  <c r="K281" i="18"/>
  <c r="A282" i="18"/>
  <c r="AB281" i="18"/>
  <c r="L281" i="18"/>
  <c r="X283" i="15"/>
  <c r="AB283" i="15"/>
  <c r="A284" i="15"/>
  <c r="K283" i="15"/>
  <c r="K286" i="17"/>
  <c r="A287" i="17"/>
  <c r="AB286" i="17"/>
  <c r="X286" i="17"/>
  <c r="D285" i="17"/>
  <c r="X283" i="25"/>
  <c r="A284" i="25"/>
  <c r="AB283" i="25"/>
  <c r="K283" i="25"/>
  <c r="A285" i="16"/>
  <c r="L284" i="16"/>
  <c r="D284" i="16" s="1"/>
  <c r="X284" i="16"/>
  <c r="K284" i="16"/>
  <c r="AB284" i="16"/>
  <c r="AB285" i="20"/>
  <c r="A286" i="20"/>
  <c r="K285" i="20"/>
  <c r="X285" i="20"/>
  <c r="AB285" i="16"/>
  <c r="L285" i="16"/>
  <c r="D285" i="16" s="1"/>
  <c r="X285" i="16"/>
  <c r="K285" i="16"/>
  <c r="A286" i="16"/>
  <c r="AB287" i="17"/>
  <c r="X287" i="17"/>
  <c r="A288" i="17"/>
  <c r="K287" i="17"/>
  <c r="A284" i="23"/>
  <c r="K283" i="23"/>
  <c r="X283" i="23"/>
  <c r="AB283" i="23"/>
  <c r="K285" i="24"/>
  <c r="A286" i="24"/>
  <c r="AB285" i="24"/>
  <c r="X285" i="24"/>
  <c r="AB286" i="20"/>
  <c r="A287" i="20"/>
  <c r="K286" i="20"/>
  <c r="X286" i="20"/>
  <c r="AB284" i="25"/>
  <c r="K284" i="25"/>
  <c r="X284" i="25"/>
  <c r="A285" i="25"/>
  <c r="AB284" i="15"/>
  <c r="X284" i="15"/>
  <c r="K284" i="15"/>
  <c r="A285" i="15"/>
  <c r="L282" i="18"/>
  <c r="AB282" i="18"/>
  <c r="A283" i="18"/>
  <c r="K282" i="18"/>
  <c r="X282" i="18"/>
  <c r="X284" i="22"/>
  <c r="A285" i="22"/>
  <c r="K284" i="22"/>
  <c r="AB284" i="22"/>
  <c r="AJ285" i="1"/>
  <c r="X285" i="1"/>
  <c r="K285" i="1"/>
  <c r="AB285" i="1"/>
  <c r="AK285" i="1"/>
  <c r="A286" i="15"/>
  <c r="X285" i="15"/>
  <c r="L285" i="15"/>
  <c r="D285" i="15" s="1"/>
  <c r="K285" i="15"/>
  <c r="AB285" i="15"/>
  <c r="AB288" i="17"/>
  <c r="K288" i="17"/>
  <c r="X288" i="17"/>
  <c r="A289" i="17"/>
  <c r="X286" i="16"/>
  <c r="A287" i="16"/>
  <c r="AB286" i="16"/>
  <c r="L286" i="16"/>
  <c r="D286" i="16" s="1"/>
  <c r="K286" i="16"/>
  <c r="AK286" i="1"/>
  <c r="X286" i="1"/>
  <c r="AB286" i="1"/>
  <c r="K286" i="1"/>
  <c r="AJ286" i="1"/>
  <c r="AB285" i="22"/>
  <c r="X285" i="22"/>
  <c r="K285" i="22"/>
  <c r="A286" i="22"/>
  <c r="X283" i="18"/>
  <c r="L283" i="18"/>
  <c r="AB283" i="18"/>
  <c r="K283" i="18"/>
  <c r="A284" i="18"/>
  <c r="K285" i="25"/>
  <c r="A286" i="25"/>
  <c r="AB285" i="25"/>
  <c r="X285" i="25"/>
  <c r="X287" i="20"/>
  <c r="A288" i="20"/>
  <c r="AB287" i="20"/>
  <c r="K287" i="20"/>
  <c r="A287" i="24"/>
  <c r="AB286" i="24"/>
  <c r="X286" i="24"/>
  <c r="K286" i="24"/>
  <c r="A285" i="23"/>
  <c r="X284" i="23"/>
  <c r="AB284" i="23"/>
  <c r="K284" i="23"/>
  <c r="A287" i="25"/>
  <c r="X286" i="25"/>
  <c r="K286" i="25"/>
  <c r="AB286" i="25"/>
  <c r="X286" i="15"/>
  <c r="A287" i="15"/>
  <c r="AB286" i="15"/>
  <c r="K286" i="15"/>
  <c r="A288" i="24"/>
  <c r="X287" i="24"/>
  <c r="K287" i="24"/>
  <c r="AB287" i="24"/>
  <c r="A286" i="23"/>
  <c r="X285" i="23"/>
  <c r="K285" i="23"/>
  <c r="AB285" i="23"/>
  <c r="AB288" i="20"/>
  <c r="X288" i="20"/>
  <c r="A289" i="20"/>
  <c r="K288" i="20"/>
  <c r="X284" i="18"/>
  <c r="A285" i="18"/>
  <c r="L284" i="18"/>
  <c r="AB284" i="18"/>
  <c r="K284" i="18"/>
  <c r="A287" i="22"/>
  <c r="X286" i="22"/>
  <c r="AB286" i="22"/>
  <c r="K286" i="22"/>
  <c r="AK287" i="1"/>
  <c r="X287" i="1"/>
  <c r="AJ287" i="1"/>
  <c r="AB287" i="1"/>
  <c r="K287" i="1"/>
  <c r="X287" i="16"/>
  <c r="AB287" i="16"/>
  <c r="L287" i="16"/>
  <c r="D287" i="16" s="1"/>
  <c r="A288" i="16"/>
  <c r="K287" i="16"/>
  <c r="A290" i="17"/>
  <c r="K289" i="17"/>
  <c r="AB289" i="17"/>
  <c r="X289" i="17"/>
  <c r="X290" i="17"/>
  <c r="K290" i="17"/>
  <c r="AB290" i="17"/>
  <c r="A291" i="17"/>
  <c r="AB285" i="18"/>
  <c r="X285" i="18"/>
  <c r="K285" i="18"/>
  <c r="A286" i="18"/>
  <c r="K287" i="15"/>
  <c r="AB287" i="15"/>
  <c r="X287" i="15"/>
  <c r="A288" i="15"/>
  <c r="X288" i="16"/>
  <c r="L288" i="16"/>
  <c r="AB288" i="16"/>
  <c r="K288" i="16"/>
  <c r="A289" i="16"/>
  <c r="AJ288" i="1"/>
  <c r="K288" i="1"/>
  <c r="X288" i="1"/>
  <c r="AK288" i="1"/>
  <c r="AB288" i="1"/>
  <c r="A288" i="22"/>
  <c r="AB287" i="22"/>
  <c r="X287" i="22"/>
  <c r="K287" i="22"/>
  <c r="X289" i="20"/>
  <c r="A290" i="20"/>
  <c r="AB289" i="20"/>
  <c r="K289" i="20"/>
  <c r="K286" i="23"/>
  <c r="A287" i="23"/>
  <c r="AB286" i="23"/>
  <c r="X286" i="23"/>
  <c r="K288" i="24"/>
  <c r="X288" i="24"/>
  <c r="A289" i="24"/>
  <c r="AB288" i="24"/>
  <c r="X287" i="25"/>
  <c r="A288" i="25"/>
  <c r="AB287" i="25"/>
  <c r="K287" i="25"/>
  <c r="AB288" i="25"/>
  <c r="X288" i="25"/>
  <c r="A289" i="25"/>
  <c r="K288" i="25"/>
  <c r="X289" i="24"/>
  <c r="AB289" i="24"/>
  <c r="A290" i="24"/>
  <c r="K289" i="24"/>
  <c r="AB287" i="23"/>
  <c r="K287" i="23"/>
  <c r="A288" i="23"/>
  <c r="X287" i="23"/>
  <c r="AB288" i="22"/>
  <c r="A289" i="22"/>
  <c r="X288" i="22"/>
  <c r="K288" i="22"/>
  <c r="D288" i="16"/>
  <c r="A289" i="15"/>
  <c r="AB288" i="15"/>
  <c r="K288" i="15"/>
  <c r="X288" i="15"/>
  <c r="A287" i="18"/>
  <c r="AB286" i="18"/>
  <c r="X286" i="18"/>
  <c r="K286" i="18"/>
  <c r="X291" i="17"/>
  <c r="K291" i="17"/>
  <c r="AB291" i="17"/>
  <c r="A292" i="17"/>
  <c r="AB290" i="20"/>
  <c r="K290" i="20"/>
  <c r="X290" i="20"/>
  <c r="A291" i="20"/>
  <c r="AK289" i="1"/>
  <c r="X289" i="1"/>
  <c r="AJ289" i="1"/>
  <c r="K289" i="1"/>
  <c r="AB289" i="1"/>
  <c r="A290" i="16"/>
  <c r="AB289" i="16"/>
  <c r="K289" i="16"/>
  <c r="L289" i="16"/>
  <c r="X289" i="16"/>
  <c r="D289" i="16"/>
  <c r="AB290" i="16"/>
  <c r="A291" i="16"/>
  <c r="X290" i="16"/>
  <c r="K290" i="16"/>
  <c r="L290" i="16"/>
  <c r="D290" i="16" s="1"/>
  <c r="AK290" i="1"/>
  <c r="AB290" i="1"/>
  <c r="X290" i="1"/>
  <c r="AJ290" i="1"/>
  <c r="K290" i="1"/>
  <c r="X291" i="20"/>
  <c r="AB291" i="20"/>
  <c r="A292" i="20"/>
  <c r="K291" i="20"/>
  <c r="K292" i="17"/>
  <c r="A293" i="17"/>
  <c r="AB292" i="17"/>
  <c r="X292" i="17"/>
  <c r="AB287" i="18"/>
  <c r="K287" i="18"/>
  <c r="A288" i="18"/>
  <c r="X287" i="18"/>
  <c r="AB289" i="15"/>
  <c r="X289" i="15"/>
  <c r="A290" i="15"/>
  <c r="K289" i="15"/>
  <c r="X290" i="24"/>
  <c r="A291" i="24"/>
  <c r="K290" i="24"/>
  <c r="AB290" i="24"/>
  <c r="A290" i="22"/>
  <c r="X289" i="22"/>
  <c r="K289" i="22"/>
  <c r="AB289" i="22"/>
  <c r="X288" i="23"/>
  <c r="K288" i="23"/>
  <c r="A289" i="23"/>
  <c r="AB288" i="23"/>
  <c r="X289" i="25"/>
  <c r="A290" i="25"/>
  <c r="AB289" i="25"/>
  <c r="K289" i="25"/>
  <c r="A291" i="25"/>
  <c r="AB290" i="25"/>
  <c r="K290" i="25"/>
  <c r="X290" i="25"/>
  <c r="K289" i="23"/>
  <c r="X289" i="23"/>
  <c r="AB289" i="23"/>
  <c r="A290" i="23"/>
  <c r="X290" i="22"/>
  <c r="K290" i="22"/>
  <c r="AB290" i="22"/>
  <c r="A291" i="22"/>
  <c r="X290" i="15"/>
  <c r="K290" i="15"/>
  <c r="A291" i="15"/>
  <c r="AB290" i="15"/>
  <c r="K292" i="20"/>
  <c r="X292" i="20"/>
  <c r="A293" i="20"/>
  <c r="AB292" i="20"/>
  <c r="AK291" i="1"/>
  <c r="K291" i="1"/>
  <c r="AB291" i="1"/>
  <c r="X291" i="1"/>
  <c r="AJ291" i="1"/>
  <c r="X291" i="16"/>
  <c r="A292" i="16"/>
  <c r="AB291" i="16"/>
  <c r="L291" i="16"/>
  <c r="D291" i="16" s="1"/>
  <c r="K291" i="16"/>
  <c r="A292" i="24"/>
  <c r="X291" i="24"/>
  <c r="K291" i="24"/>
  <c r="AB291" i="24"/>
  <c r="A289" i="18"/>
  <c r="X288" i="18"/>
  <c r="AB288" i="18"/>
  <c r="L288" i="18"/>
  <c r="K288" i="18"/>
  <c r="AB293" i="17"/>
  <c r="K293" i="17"/>
  <c r="X293" i="17"/>
  <c r="A294" i="17"/>
  <c r="X294" i="17"/>
  <c r="K294" i="17"/>
  <c r="AB294" i="17"/>
  <c r="A295" i="17"/>
  <c r="A293" i="24"/>
  <c r="K292" i="24"/>
  <c r="AB292" i="24"/>
  <c r="X292" i="24"/>
  <c r="AJ292" i="1"/>
  <c r="K292" i="1"/>
  <c r="AB292" i="1"/>
  <c r="L292" i="1"/>
  <c r="D292" i="1" s="1"/>
  <c r="AK292" i="1"/>
  <c r="X292" i="1"/>
  <c r="AB291" i="15"/>
  <c r="X291" i="15"/>
  <c r="A292" i="15"/>
  <c r="K291" i="15"/>
  <c r="K290" i="23"/>
  <c r="A291" i="23"/>
  <c r="X290" i="23"/>
  <c r="AB290" i="23"/>
  <c r="L289" i="18"/>
  <c r="AB289" i="18"/>
  <c r="A290" i="18"/>
  <c r="K289" i="18"/>
  <c r="X289" i="18"/>
  <c r="K292" i="16"/>
  <c r="A293" i="16"/>
  <c r="AB292" i="16"/>
  <c r="X292" i="16"/>
  <c r="L292" i="16"/>
  <c r="AB293" i="20"/>
  <c r="X293" i="20"/>
  <c r="A294" i="20"/>
  <c r="K293" i="20"/>
  <c r="X291" i="22"/>
  <c r="AB291" i="22"/>
  <c r="A292" i="22"/>
  <c r="K291" i="22"/>
  <c r="K291" i="25"/>
  <c r="A292" i="25"/>
  <c r="X291" i="25"/>
  <c r="AB291" i="25"/>
  <c r="A293" i="25"/>
  <c r="X292" i="25"/>
  <c r="K292" i="25"/>
  <c r="AB292" i="25"/>
  <c r="A293" i="22"/>
  <c r="K292" i="22"/>
  <c r="AB292" i="22"/>
  <c r="X292" i="22"/>
  <c r="D292" i="16"/>
  <c r="X292" i="15"/>
  <c r="K292" i="15"/>
  <c r="AB292" i="15"/>
  <c r="A293" i="15"/>
  <c r="AB295" i="17"/>
  <c r="X295" i="17"/>
  <c r="A296" i="17"/>
  <c r="K295" i="17"/>
  <c r="A295" i="20"/>
  <c r="X294" i="20"/>
  <c r="AB294" i="20"/>
  <c r="K294" i="20"/>
  <c r="A294" i="16"/>
  <c r="L293" i="16"/>
  <c r="D293" i="16" s="1"/>
  <c r="K293" i="16"/>
  <c r="AB293" i="16"/>
  <c r="X293" i="16"/>
  <c r="X290" i="18"/>
  <c r="A291" i="18"/>
  <c r="AB290" i="18"/>
  <c r="K290" i="18"/>
  <c r="K291" i="23"/>
  <c r="A292" i="23"/>
  <c r="X291" i="23"/>
  <c r="AB291" i="23"/>
  <c r="AJ293" i="1"/>
  <c r="AB293" i="1"/>
  <c r="L293" i="1"/>
  <c r="D293" i="1" s="1"/>
  <c r="X293" i="1"/>
  <c r="K293" i="1"/>
  <c r="AK293" i="1"/>
  <c r="K293" i="24"/>
  <c r="X293" i="24"/>
  <c r="AB293" i="24"/>
  <c r="A294" i="24"/>
  <c r="K294" i="24"/>
  <c r="X294" i="24"/>
  <c r="A295" i="24"/>
  <c r="AB294" i="24"/>
  <c r="A293" i="23"/>
  <c r="K292" i="23"/>
  <c r="AB292" i="23"/>
  <c r="X292" i="23"/>
  <c r="AJ294" i="1"/>
  <c r="X294" i="1"/>
  <c r="K294" i="1"/>
  <c r="AB294" i="1"/>
  <c r="AK294" i="1"/>
  <c r="K291" i="18"/>
  <c r="A292" i="18"/>
  <c r="X291" i="18"/>
  <c r="AB291" i="18"/>
  <c r="AB294" i="16"/>
  <c r="K294" i="16"/>
  <c r="L294" i="16"/>
  <c r="D294" i="16" s="1"/>
  <c r="X294" i="16"/>
  <c r="A295" i="16"/>
  <c r="AB293" i="22"/>
  <c r="K293" i="22"/>
  <c r="A294" i="22"/>
  <c r="X293" i="22"/>
  <c r="X295" i="20"/>
  <c r="AB295" i="20"/>
  <c r="K295" i="20"/>
  <c r="A296" i="20"/>
  <c r="X296" i="17"/>
  <c r="A297" i="17"/>
  <c r="K296" i="17"/>
  <c r="AB296" i="17"/>
  <c r="X293" i="15"/>
  <c r="A294" i="15"/>
  <c r="K293" i="15"/>
  <c r="AB293" i="15"/>
  <c r="K293" i="25"/>
  <c r="AB293" i="25"/>
  <c r="A294" i="25"/>
  <c r="X293" i="25"/>
  <c r="A295" i="25"/>
  <c r="K294" i="25"/>
  <c r="AB294" i="25"/>
  <c r="X294" i="25"/>
  <c r="AB297" i="17"/>
  <c r="X297" i="17"/>
  <c r="A298" i="17"/>
  <c r="K297" i="17"/>
  <c r="A297" i="20"/>
  <c r="X296" i="20"/>
  <c r="AB296" i="20"/>
  <c r="K296" i="20"/>
  <c r="X292" i="18"/>
  <c r="A293" i="18"/>
  <c r="AB292" i="18"/>
  <c r="K292" i="18"/>
  <c r="AJ295" i="1"/>
  <c r="AB295" i="1"/>
  <c r="X295" i="1"/>
  <c r="K295" i="1"/>
  <c r="AK295" i="1"/>
  <c r="X294" i="15"/>
  <c r="K294" i="15"/>
  <c r="AB294" i="15"/>
  <c r="A295" i="15"/>
  <c r="AB294" i="22"/>
  <c r="A295" i="22"/>
  <c r="X294" i="22"/>
  <c r="K294" i="22"/>
  <c r="X295" i="16"/>
  <c r="L295" i="16"/>
  <c r="D295" i="16" s="1"/>
  <c r="AB295" i="16"/>
  <c r="K295" i="16"/>
  <c r="A296" i="16"/>
  <c r="K293" i="23"/>
  <c r="AB293" i="23"/>
  <c r="A294" i="23"/>
  <c r="X293" i="23"/>
  <c r="K295" i="24"/>
  <c r="A296" i="24"/>
  <c r="X295" i="24"/>
  <c r="AB295" i="24"/>
  <c r="K295" i="22"/>
  <c r="X295" i="22"/>
  <c r="A296" i="22"/>
  <c r="AB295" i="22"/>
  <c r="AB295" i="15"/>
  <c r="A296" i="15"/>
  <c r="L295" i="15"/>
  <c r="D295" i="15" s="1"/>
  <c r="K295" i="15"/>
  <c r="X295" i="15"/>
  <c r="AJ296" i="1"/>
  <c r="X296" i="1"/>
  <c r="AB296" i="1"/>
  <c r="K296" i="1"/>
  <c r="AK296" i="1"/>
  <c r="A297" i="24"/>
  <c r="X296" i="24"/>
  <c r="AB296" i="24"/>
  <c r="K296" i="24"/>
  <c r="AB294" i="23"/>
  <c r="X294" i="23"/>
  <c r="K294" i="23"/>
  <c r="A295" i="23"/>
  <c r="A297" i="16"/>
  <c r="K296" i="16"/>
  <c r="L296" i="16"/>
  <c r="D296" i="16" s="1"/>
  <c r="X296" i="16"/>
  <c r="AB296" i="16"/>
  <c r="X293" i="18"/>
  <c r="A294" i="18"/>
  <c r="AB293" i="18"/>
  <c r="K293" i="18"/>
  <c r="K297" i="20"/>
  <c r="AB297" i="20"/>
  <c r="A298" i="20"/>
  <c r="X297" i="20"/>
  <c r="X298" i="17"/>
  <c r="A299" i="17"/>
  <c r="K298" i="17"/>
  <c r="AB298" i="17"/>
  <c r="A296" i="25"/>
  <c r="X295" i="25"/>
  <c r="K295" i="25"/>
  <c r="AB295" i="25"/>
  <c r="A298" i="16"/>
  <c r="K297" i="16"/>
  <c r="L297" i="16"/>
  <c r="D297" i="16" s="1"/>
  <c r="X297" i="16"/>
  <c r="AB297" i="16"/>
  <c r="A296" i="23"/>
  <c r="K295" i="23"/>
  <c r="X295" i="23"/>
  <c r="AB295" i="23"/>
  <c r="AK297" i="1"/>
  <c r="AB297" i="1"/>
  <c r="X297" i="1"/>
  <c r="K297" i="1"/>
  <c r="AJ297" i="1"/>
  <c r="A297" i="15"/>
  <c r="AB296" i="15"/>
  <c r="X296" i="15"/>
  <c r="K296" i="15"/>
  <c r="X296" i="22"/>
  <c r="K296" i="22"/>
  <c r="A297" i="22"/>
  <c r="AB296" i="22"/>
  <c r="AB296" i="25"/>
  <c r="A297" i="25"/>
  <c r="K296" i="25"/>
  <c r="X296" i="25"/>
  <c r="K299" i="17"/>
  <c r="AB299" i="17"/>
  <c r="X299" i="17"/>
  <c r="A300" i="17"/>
  <c r="A299" i="20"/>
  <c r="X298" i="20"/>
  <c r="AB298" i="20"/>
  <c r="K298" i="20"/>
  <c r="K294" i="18"/>
  <c r="A295" i="18"/>
  <c r="AB294" i="18"/>
  <c r="X294" i="18"/>
  <c r="K297" i="24"/>
  <c r="AB297" i="24"/>
  <c r="X297" i="24"/>
  <c r="A298" i="24"/>
  <c r="AB295" i="18"/>
  <c r="K295" i="18"/>
  <c r="L295" i="18"/>
  <c r="A296" i="18"/>
  <c r="X295" i="18"/>
  <c r="K299" i="20"/>
  <c r="AB299" i="20"/>
  <c r="A300" i="20"/>
  <c r="X299" i="20"/>
  <c r="A299" i="24"/>
  <c r="X298" i="24"/>
  <c r="K298" i="24"/>
  <c r="AB298" i="24"/>
  <c r="A301" i="17"/>
  <c r="K300" i="17"/>
  <c r="X300" i="17"/>
  <c r="AB300" i="17"/>
  <c r="AB297" i="25"/>
  <c r="A298" i="25"/>
  <c r="K297" i="25"/>
  <c r="X297" i="25"/>
  <c r="AB297" i="22"/>
  <c r="A298" i="22"/>
  <c r="X297" i="22"/>
  <c r="K297" i="22"/>
  <c r="AB297" i="15"/>
  <c r="A298" i="15"/>
  <c r="X297" i="15"/>
  <c r="K297" i="15"/>
  <c r="AK298" i="1"/>
  <c r="K298" i="1"/>
  <c r="L298" i="1"/>
  <c r="D298" i="1" s="1"/>
  <c r="AJ298" i="1"/>
  <c r="AB298" i="1"/>
  <c r="X298" i="1"/>
  <c r="X296" i="23"/>
  <c r="K296" i="23"/>
  <c r="AB296" i="23"/>
  <c r="A297" i="23"/>
  <c r="X298" i="16"/>
  <c r="AB298" i="16"/>
  <c r="L298" i="16"/>
  <c r="K298" i="16"/>
  <c r="A299" i="16"/>
  <c r="X299" i="16"/>
  <c r="L299" i="16"/>
  <c r="K299" i="16"/>
  <c r="A300" i="16"/>
  <c r="AB299" i="16"/>
  <c r="D298" i="16"/>
  <c r="AB297" i="23"/>
  <c r="A298" i="23"/>
  <c r="K297" i="23"/>
  <c r="X297" i="23"/>
  <c r="AK299" i="1"/>
  <c r="AB299" i="1"/>
  <c r="X299" i="1"/>
  <c r="K299" i="1"/>
  <c r="AJ299" i="1"/>
  <c r="A299" i="15"/>
  <c r="X298" i="15"/>
  <c r="K298" i="15"/>
  <c r="AB298" i="15"/>
  <c r="L298" i="15"/>
  <c r="D298" i="15" s="1"/>
  <c r="A299" i="25"/>
  <c r="AB298" i="25"/>
  <c r="K298" i="25"/>
  <c r="X298" i="25"/>
  <c r="K301" i="17"/>
  <c r="A302" i="17"/>
  <c r="AB301" i="17"/>
  <c r="X301" i="17"/>
  <c r="K298" i="22"/>
  <c r="AB298" i="22"/>
  <c r="X298" i="22"/>
  <c r="A299" i="22"/>
  <c r="AB299" i="24"/>
  <c r="A300" i="24"/>
  <c r="K299" i="24"/>
  <c r="X299" i="24"/>
  <c r="X300" i="20"/>
  <c r="K300" i="20"/>
  <c r="A301" i="20"/>
  <c r="AB300" i="20"/>
  <c r="A297" i="18"/>
  <c r="AB296" i="18"/>
  <c r="X296" i="18"/>
  <c r="K296" i="18"/>
  <c r="K297" i="18"/>
  <c r="X297" i="18"/>
  <c r="A298" i="18"/>
  <c r="AB297" i="18"/>
  <c r="AB300" i="24"/>
  <c r="X300" i="24"/>
  <c r="K300" i="24"/>
  <c r="A301" i="24"/>
  <c r="A300" i="22"/>
  <c r="X299" i="22"/>
  <c r="K299" i="22"/>
  <c r="AB299" i="22"/>
  <c r="AB299" i="15"/>
  <c r="K299" i="15"/>
  <c r="A300" i="15"/>
  <c r="X299" i="15"/>
  <c r="D299" i="16"/>
  <c r="A302" i="20"/>
  <c r="K301" i="20"/>
  <c r="X301" i="20"/>
  <c r="AB301" i="20"/>
  <c r="X302" i="17"/>
  <c r="K302" i="17"/>
  <c r="AB302" i="17"/>
  <c r="A65" i="7"/>
  <c r="A303" i="17"/>
  <c r="X299" i="25"/>
  <c r="K299" i="25"/>
  <c r="AB299" i="25"/>
  <c r="A300" i="25"/>
  <c r="AK300" i="1"/>
  <c r="AB300" i="1"/>
  <c r="K300" i="1"/>
  <c r="X300" i="1"/>
  <c r="AJ300" i="1"/>
  <c r="A299" i="23"/>
  <c r="K298" i="23"/>
  <c r="X298" i="23"/>
  <c r="AB298" i="23"/>
  <c r="X300" i="16"/>
  <c r="AB300" i="16"/>
  <c r="A301" i="16"/>
  <c r="K300" i="16"/>
  <c r="L300" i="16"/>
  <c r="D300" i="16" s="1"/>
  <c r="AJ301" i="1"/>
  <c r="K301" i="1"/>
  <c r="X301" i="1"/>
  <c r="AK301" i="1"/>
  <c r="AB301" i="1"/>
  <c r="A302" i="16"/>
  <c r="X301" i="16"/>
  <c r="K301" i="16"/>
  <c r="L301" i="16"/>
  <c r="AB301" i="16"/>
  <c r="A300" i="23"/>
  <c r="K299" i="23"/>
  <c r="X299" i="23"/>
  <c r="AB299" i="23"/>
  <c r="K300" i="25"/>
  <c r="AB300" i="25"/>
  <c r="X300" i="25"/>
  <c r="A301" i="25"/>
  <c r="K303" i="17"/>
  <c r="A304" i="17"/>
  <c r="AB303" i="17"/>
  <c r="X303" i="17"/>
  <c r="A303" i="20"/>
  <c r="K302" i="20"/>
  <c r="AE29" i="7"/>
  <c r="AB302" i="20"/>
  <c r="X302" i="20"/>
  <c r="A301" i="15"/>
  <c r="X300" i="15"/>
  <c r="AB300" i="15"/>
  <c r="K300" i="15"/>
  <c r="K300" i="22"/>
  <c r="A301" i="22"/>
  <c r="X300" i="22"/>
  <c r="AB300" i="22"/>
  <c r="AB301" i="24"/>
  <c r="X301" i="24"/>
  <c r="A302" i="24"/>
  <c r="K301" i="24"/>
  <c r="A299" i="18"/>
  <c r="K298" i="18"/>
  <c r="AB298" i="18"/>
  <c r="X298" i="18"/>
  <c r="A302" i="15"/>
  <c r="X301" i="15"/>
  <c r="K301" i="15"/>
  <c r="AB301" i="15"/>
  <c r="K304" i="17"/>
  <c r="X304" i="17"/>
  <c r="AB304" i="17"/>
  <c r="A305" i="17"/>
  <c r="A302" i="25"/>
  <c r="K301" i="25"/>
  <c r="X301" i="25"/>
  <c r="AB301" i="25"/>
  <c r="A300" i="18"/>
  <c r="K299" i="18"/>
  <c r="X299" i="18"/>
  <c r="AB299" i="18"/>
  <c r="A303" i="24"/>
  <c r="AB302" i="24"/>
  <c r="X302" i="24"/>
  <c r="K302" i="24"/>
  <c r="AE65" i="7"/>
  <c r="K301" i="22"/>
  <c r="A302" i="22"/>
  <c r="AB301" i="22"/>
  <c r="X301" i="22"/>
  <c r="K303" i="20"/>
  <c r="AB303" i="20"/>
  <c r="A304" i="20"/>
  <c r="X303" i="20"/>
  <c r="K300" i="23"/>
  <c r="AB300" i="23"/>
  <c r="X300" i="23"/>
  <c r="A301" i="23"/>
  <c r="D301" i="16"/>
  <c r="A303" i="16"/>
  <c r="L302" i="16"/>
  <c r="D302" i="16" s="1"/>
  <c r="AB302" i="16"/>
  <c r="A53" i="7"/>
  <c r="X302" i="16"/>
  <c r="K302" i="16"/>
  <c r="AJ302" i="1"/>
  <c r="X302" i="1"/>
  <c r="K302" i="1"/>
  <c r="A29" i="7"/>
  <c r="AK302" i="1"/>
  <c r="AB302" i="1"/>
  <c r="AB303" i="16"/>
  <c r="L303" i="16"/>
  <c r="D303" i="16" s="1"/>
  <c r="X303" i="16"/>
  <c r="K303" i="16"/>
  <c r="A304" i="16"/>
  <c r="A305" i="20"/>
  <c r="K304" i="20"/>
  <c r="AB304" i="20"/>
  <c r="X304" i="20"/>
  <c r="K303" i="24"/>
  <c r="X303" i="24"/>
  <c r="AB303" i="24"/>
  <c r="A304" i="24"/>
  <c r="AB302" i="25"/>
  <c r="AE77" i="7"/>
  <c r="K302" i="25"/>
  <c r="X302" i="25"/>
  <c r="A303" i="25"/>
  <c r="AB302" i="15"/>
  <c r="K302" i="15"/>
  <c r="X302" i="15"/>
  <c r="A303" i="15"/>
  <c r="A41" i="7"/>
  <c r="AJ303" i="1"/>
  <c r="X303" i="1"/>
  <c r="AB303" i="1"/>
  <c r="K303" i="1"/>
  <c r="AK303" i="1"/>
  <c r="A302" i="23"/>
  <c r="AB301" i="23"/>
  <c r="X301" i="23"/>
  <c r="K301" i="23"/>
  <c r="X302" i="22"/>
  <c r="AB302" i="22"/>
  <c r="K302" i="22"/>
  <c r="AE41" i="7"/>
  <c r="A303" i="22"/>
  <c r="AB300" i="18"/>
  <c r="K300" i="18"/>
  <c r="A301" i="18"/>
  <c r="X300" i="18"/>
  <c r="A306" i="17"/>
  <c r="X305" i="17"/>
  <c r="K305" i="17"/>
  <c r="AB305" i="17"/>
  <c r="A307" i="17"/>
  <c r="X306" i="17"/>
  <c r="AB306" i="17"/>
  <c r="K306" i="17"/>
  <c r="X301" i="18"/>
  <c r="AB301" i="18"/>
  <c r="A302" i="18"/>
  <c r="K301" i="18"/>
  <c r="AB303" i="22"/>
  <c r="X303" i="22"/>
  <c r="K303" i="22"/>
  <c r="A304" i="22"/>
  <c r="X302" i="23"/>
  <c r="AB302" i="23"/>
  <c r="A303" i="23"/>
  <c r="AE53" i="7"/>
  <c r="K302" i="23"/>
  <c r="AJ304" i="1"/>
  <c r="AB304" i="1"/>
  <c r="K304" i="1"/>
  <c r="AK304" i="1"/>
  <c r="X304" i="1"/>
  <c r="A304" i="15"/>
  <c r="K303" i="15"/>
  <c r="AB303" i="15"/>
  <c r="X303" i="15"/>
  <c r="A304" i="25"/>
  <c r="AB303" i="25"/>
  <c r="K303" i="25"/>
  <c r="X303" i="25"/>
  <c r="X304" i="24"/>
  <c r="K304" i="24"/>
  <c r="AB304" i="24"/>
  <c r="A305" i="24"/>
  <c r="A306" i="20"/>
  <c r="AB305" i="20"/>
  <c r="K305" i="20"/>
  <c r="X305" i="20"/>
  <c r="X304" i="16"/>
  <c r="AB304" i="16"/>
  <c r="A305" i="16"/>
  <c r="K304" i="16"/>
  <c r="L304" i="16"/>
  <c r="D304" i="16" s="1"/>
  <c r="AB306" i="20"/>
  <c r="A307" i="20"/>
  <c r="X306" i="20"/>
  <c r="K306" i="20"/>
  <c r="A305" i="25"/>
  <c r="AB304" i="25"/>
  <c r="X304" i="25"/>
  <c r="K304" i="25"/>
  <c r="K303" i="23"/>
  <c r="A304" i="23"/>
  <c r="AB303" i="23"/>
  <c r="X303" i="23"/>
  <c r="K302" i="18"/>
  <c r="AB302" i="18"/>
  <c r="A303" i="18"/>
  <c r="A77" i="7"/>
  <c r="X302" i="18"/>
  <c r="X307" i="17"/>
  <c r="K307" i="17"/>
  <c r="AB307" i="17"/>
  <c r="A308" i="17"/>
  <c r="X305" i="16"/>
  <c r="AB305" i="16"/>
  <c r="L305" i="16"/>
  <c r="D305" i="16" s="1"/>
  <c r="A306" i="16"/>
  <c r="K305" i="16"/>
  <c r="A306" i="24"/>
  <c r="AB305" i="24"/>
  <c r="K305" i="24"/>
  <c r="X305" i="24"/>
  <c r="K304" i="15"/>
  <c r="AB304" i="15"/>
  <c r="X304" i="15"/>
  <c r="A305" i="15"/>
  <c r="AK305" i="1"/>
  <c r="AB305" i="1"/>
  <c r="X305" i="1"/>
  <c r="Q305" i="1"/>
  <c r="AJ305" i="1"/>
  <c r="K305" i="1"/>
  <c r="AB304" i="22"/>
  <c r="X304" i="22"/>
  <c r="K304" i="22"/>
  <c r="A305" i="22"/>
  <c r="X305" i="15"/>
  <c r="K305" i="15"/>
  <c r="L305" i="15"/>
  <c r="D305" i="15" s="1"/>
  <c r="AB305" i="15"/>
  <c r="A306" i="15"/>
  <c r="X306" i="24"/>
  <c r="AB306" i="24"/>
  <c r="K306" i="24"/>
  <c r="A307" i="24"/>
  <c r="X303" i="18"/>
  <c r="K303" i="18"/>
  <c r="A304" i="18"/>
  <c r="AB303" i="18"/>
  <c r="AB305" i="25"/>
  <c r="A306" i="25"/>
  <c r="X305" i="25"/>
  <c r="K305" i="25"/>
  <c r="X307" i="20"/>
  <c r="A308" i="20"/>
  <c r="AB307" i="20"/>
  <c r="K307" i="20"/>
  <c r="A306" i="22"/>
  <c r="K305" i="22"/>
  <c r="X305" i="22"/>
  <c r="AB305" i="22"/>
  <c r="AJ306" i="1"/>
  <c r="X306" i="1"/>
  <c r="AB306" i="1"/>
  <c r="AK306" i="1"/>
  <c r="K306" i="1"/>
  <c r="AB306" i="16"/>
  <c r="X306" i="16"/>
  <c r="K306" i="16"/>
  <c r="A307" i="16"/>
  <c r="L306" i="16"/>
  <c r="D306" i="16" s="1"/>
  <c r="X308" i="17"/>
  <c r="K308" i="17"/>
  <c r="AB308" i="17"/>
  <c r="A309" i="17"/>
  <c r="K304" i="23"/>
  <c r="X304" i="23"/>
  <c r="A305" i="23"/>
  <c r="AB304" i="23"/>
  <c r="AB305" i="23"/>
  <c r="K305" i="23"/>
  <c r="X305" i="23"/>
  <c r="A306" i="23"/>
  <c r="X309" i="17"/>
  <c r="K309" i="17"/>
  <c r="AB309" i="17"/>
  <c r="A310" i="17"/>
  <c r="K306" i="22"/>
  <c r="AB306" i="22"/>
  <c r="X306" i="22"/>
  <c r="A307" i="22"/>
  <c r="K304" i="18"/>
  <c r="AB304" i="18"/>
  <c r="A305" i="18"/>
  <c r="X304" i="18"/>
  <c r="X307" i="16"/>
  <c r="A308" i="16"/>
  <c r="K307" i="16"/>
  <c r="L307" i="16"/>
  <c r="D307" i="16" s="1"/>
  <c r="AB307" i="16"/>
  <c r="AK307" i="1"/>
  <c r="AB307" i="1"/>
  <c r="X307" i="1"/>
  <c r="AJ307" i="1"/>
  <c r="K307" i="1"/>
  <c r="Q307" i="1"/>
  <c r="A309" i="20"/>
  <c r="K308" i="20"/>
  <c r="X308" i="20"/>
  <c r="AB308" i="20"/>
  <c r="K306" i="25"/>
  <c r="AB306" i="25"/>
  <c r="X306" i="25"/>
  <c r="A307" i="25"/>
  <c r="K307" i="24"/>
  <c r="AB307" i="24"/>
  <c r="X307" i="24"/>
  <c r="A308" i="24"/>
  <c r="AB306" i="15"/>
  <c r="A307" i="15"/>
  <c r="X306" i="15"/>
  <c r="K306" i="15"/>
  <c r="A309" i="24"/>
  <c r="X308" i="24"/>
  <c r="AB308" i="24"/>
  <c r="K308" i="24"/>
  <c r="K307" i="25"/>
  <c r="AB307" i="25"/>
  <c r="X307" i="25"/>
  <c r="A308" i="25"/>
  <c r="K308" i="16"/>
  <c r="X308" i="16"/>
  <c r="A309" i="16"/>
  <c r="L308" i="16"/>
  <c r="D308" i="16" s="1"/>
  <c r="AB308" i="16"/>
  <c r="X305" i="18"/>
  <c r="K305" i="18"/>
  <c r="AB305" i="18"/>
  <c r="A306" i="18"/>
  <c r="AB307" i="22"/>
  <c r="X307" i="22"/>
  <c r="K307" i="22"/>
  <c r="A308" i="22"/>
  <c r="K310" i="17"/>
  <c r="X310" i="17"/>
  <c r="A311" i="17"/>
  <c r="AB310" i="17"/>
  <c r="X306" i="23"/>
  <c r="A307" i="23"/>
  <c r="AB306" i="23"/>
  <c r="K306" i="23"/>
  <c r="A308" i="15"/>
  <c r="AB307" i="15"/>
  <c r="X307" i="15"/>
  <c r="K307" i="15"/>
  <c r="X309" i="20"/>
  <c r="A310" i="20"/>
  <c r="AB309" i="20"/>
  <c r="K309" i="20"/>
  <c r="AK308" i="1"/>
  <c r="X308" i="1"/>
  <c r="K308" i="1"/>
  <c r="AJ308" i="1"/>
  <c r="AB308" i="1"/>
  <c r="A311" i="20"/>
  <c r="AB310" i="20"/>
  <c r="K310" i="20"/>
  <c r="X310" i="20"/>
  <c r="X307" i="23"/>
  <c r="AB307" i="23"/>
  <c r="A308" i="23"/>
  <c r="K307" i="23"/>
  <c r="A312" i="17"/>
  <c r="X311" i="17"/>
  <c r="K311" i="17"/>
  <c r="AB311" i="17"/>
  <c r="L311" i="17"/>
  <c r="D311" i="17" s="1"/>
  <c r="AB309" i="24"/>
  <c r="K309" i="24"/>
  <c r="X309" i="24"/>
  <c r="A310" i="24"/>
  <c r="AJ309" i="1"/>
  <c r="X309" i="1"/>
  <c r="K309" i="1"/>
  <c r="AB309" i="1"/>
  <c r="AK309" i="1"/>
  <c r="L309" i="1"/>
  <c r="D309" i="1" s="1"/>
  <c r="AB308" i="15"/>
  <c r="K308" i="15"/>
  <c r="X308" i="15"/>
  <c r="L308" i="15"/>
  <c r="D308" i="15" s="1"/>
  <c r="A309" i="15"/>
  <c r="A309" i="22"/>
  <c r="X308" i="22"/>
  <c r="K308" i="22"/>
  <c r="AB308" i="22"/>
  <c r="K306" i="18"/>
  <c r="X306" i="18"/>
  <c r="A307" i="18"/>
  <c r="AB306" i="18"/>
  <c r="X309" i="16"/>
  <c r="A310" i="16"/>
  <c r="AB309" i="16"/>
  <c r="K309" i="16"/>
  <c r="L309" i="16"/>
  <c r="D309" i="16" s="1"/>
  <c r="A309" i="25"/>
  <c r="K308" i="25"/>
  <c r="X308" i="25"/>
  <c r="AB308" i="25"/>
  <c r="X309" i="25"/>
  <c r="K309" i="25"/>
  <c r="AB309" i="25"/>
  <c r="A310" i="25"/>
  <c r="X310" i="16"/>
  <c r="K310" i="16"/>
  <c r="AB310" i="16"/>
  <c r="L310" i="16"/>
  <c r="D310" i="16" s="1"/>
  <c r="A311" i="16"/>
  <c r="X309" i="15"/>
  <c r="K309" i="15"/>
  <c r="AB309" i="15"/>
  <c r="A310" i="15"/>
  <c r="AJ310" i="1"/>
  <c r="AB310" i="1"/>
  <c r="X310" i="1"/>
  <c r="AK310" i="1"/>
  <c r="K310" i="1"/>
  <c r="AB308" i="23"/>
  <c r="K308" i="23"/>
  <c r="X308" i="23"/>
  <c r="A309" i="23"/>
  <c r="K307" i="18"/>
  <c r="X307" i="18"/>
  <c r="A308" i="18"/>
  <c r="L307" i="18"/>
  <c r="AB307" i="18"/>
  <c r="X309" i="22"/>
  <c r="AB309" i="22"/>
  <c r="A310" i="22"/>
  <c r="K309" i="22"/>
  <c r="A311" i="24"/>
  <c r="AB310" i="24"/>
  <c r="K310" i="24"/>
  <c r="X310" i="24"/>
  <c r="A313" i="17"/>
  <c r="X312" i="17"/>
  <c r="AB312" i="17"/>
  <c r="K312" i="17"/>
  <c r="X311" i="20"/>
  <c r="AB311" i="20"/>
  <c r="A312" i="20"/>
  <c r="K311" i="20"/>
  <c r="AB313" i="17"/>
  <c r="A314" i="17"/>
  <c r="K313" i="17"/>
  <c r="X313" i="17"/>
  <c r="AK311" i="1"/>
  <c r="K311" i="1"/>
  <c r="AJ311" i="1"/>
  <c r="X311" i="1"/>
  <c r="L311" i="1"/>
  <c r="D311" i="1" s="1"/>
  <c r="AB311" i="1"/>
  <c r="AB311" i="16"/>
  <c r="K311" i="16"/>
  <c r="X311" i="16"/>
  <c r="A312" i="16"/>
  <c r="L311" i="16"/>
  <c r="D311" i="16" s="1"/>
  <c r="A311" i="25"/>
  <c r="X310" i="25"/>
  <c r="AB310" i="25"/>
  <c r="K310" i="25"/>
  <c r="A313" i="20"/>
  <c r="X312" i="20"/>
  <c r="AB312" i="20"/>
  <c r="K312" i="20"/>
  <c r="A312" i="24"/>
  <c r="X311" i="24"/>
  <c r="AB311" i="24"/>
  <c r="K311" i="24"/>
  <c r="A311" i="22"/>
  <c r="AB310" i="22"/>
  <c r="X310" i="22"/>
  <c r="K310" i="22"/>
  <c r="K308" i="18"/>
  <c r="L308" i="18"/>
  <c r="A309" i="18"/>
  <c r="AB308" i="18"/>
  <c r="X308" i="18"/>
  <c r="A310" i="23"/>
  <c r="X309" i="23"/>
  <c r="AB309" i="23"/>
  <c r="K309" i="23"/>
  <c r="AB310" i="15"/>
  <c r="A311" i="15"/>
  <c r="X310" i="15"/>
  <c r="K310" i="15"/>
  <c r="AJ312" i="1"/>
  <c r="X312" i="1"/>
  <c r="AK312" i="1"/>
  <c r="K312" i="1"/>
  <c r="AB312" i="1"/>
  <c r="K310" i="23"/>
  <c r="X310" i="23"/>
  <c r="AB310" i="23"/>
  <c r="A311" i="23"/>
  <c r="AB311" i="15"/>
  <c r="L311" i="15"/>
  <c r="D311" i="15" s="1"/>
  <c r="X311" i="15"/>
  <c r="K311" i="15"/>
  <c r="A312" i="15"/>
  <c r="K309" i="18"/>
  <c r="A310" i="18"/>
  <c r="X309" i="18"/>
  <c r="AB309" i="18"/>
  <c r="AB311" i="22"/>
  <c r="X311" i="22"/>
  <c r="A312" i="22"/>
  <c r="K311" i="22"/>
  <c r="A313" i="24"/>
  <c r="K312" i="24"/>
  <c r="AB312" i="24"/>
  <c r="X312" i="24"/>
  <c r="A314" i="20"/>
  <c r="K313" i="20"/>
  <c r="AB313" i="20"/>
  <c r="X313" i="20"/>
  <c r="A312" i="25"/>
  <c r="AB311" i="25"/>
  <c r="X311" i="25"/>
  <c r="K311" i="25"/>
  <c r="A313" i="16"/>
  <c r="AB312" i="16"/>
  <c r="K312" i="16"/>
  <c r="X312" i="16"/>
  <c r="L312" i="16"/>
  <c r="D312" i="16" s="1"/>
  <c r="L314" i="17"/>
  <c r="D314" i="17" s="1"/>
  <c r="X314" i="17"/>
  <c r="AB314" i="17"/>
  <c r="A315" i="17"/>
  <c r="K314" i="17"/>
  <c r="K312" i="25"/>
  <c r="A313" i="25"/>
  <c r="AB312" i="25"/>
  <c r="X312" i="25"/>
  <c r="K313" i="24"/>
  <c r="A314" i="24"/>
  <c r="X313" i="24"/>
  <c r="AB313" i="24"/>
  <c r="A313" i="22"/>
  <c r="AB312" i="22"/>
  <c r="X312" i="22"/>
  <c r="K312" i="22"/>
  <c r="A313" i="15"/>
  <c r="X312" i="15"/>
  <c r="K312" i="15"/>
  <c r="AB312" i="15"/>
  <c r="A312" i="23"/>
  <c r="X311" i="23"/>
  <c r="K311" i="23"/>
  <c r="AB311" i="23"/>
  <c r="AJ313" i="1"/>
  <c r="K313" i="1"/>
  <c r="AK313" i="1"/>
  <c r="X313" i="1"/>
  <c r="AB313" i="1"/>
  <c r="AB315" i="17"/>
  <c r="K315" i="17"/>
  <c r="X315" i="17"/>
  <c r="A316" i="17"/>
  <c r="X313" i="16"/>
  <c r="L313" i="16"/>
  <c r="D313" i="16" s="1"/>
  <c r="A314" i="16"/>
  <c r="K313" i="16"/>
  <c r="AB313" i="16"/>
  <c r="X314" i="20"/>
  <c r="AB314" i="20"/>
  <c r="K314" i="20"/>
  <c r="A315" i="20"/>
  <c r="L310" i="18"/>
  <c r="K310" i="18"/>
  <c r="AB310" i="18"/>
  <c r="A311" i="18"/>
  <c r="X310" i="18"/>
  <c r="K315" i="20"/>
  <c r="AB315" i="20"/>
  <c r="A316" i="20"/>
  <c r="X315" i="20"/>
  <c r="AJ314" i="1"/>
  <c r="X314" i="1"/>
  <c r="AK314" i="1"/>
  <c r="AB314" i="1"/>
  <c r="K314" i="1"/>
  <c r="X313" i="15"/>
  <c r="AB313" i="15"/>
  <c r="A314" i="15"/>
  <c r="K313" i="15"/>
  <c r="X314" i="24"/>
  <c r="K314" i="24"/>
  <c r="AB314" i="24"/>
  <c r="A315" i="24"/>
  <c r="K311" i="18"/>
  <c r="AB311" i="18"/>
  <c r="A312" i="18"/>
  <c r="X311" i="18"/>
  <c r="A315" i="16"/>
  <c r="X314" i="16"/>
  <c r="K314" i="16"/>
  <c r="AB314" i="16"/>
  <c r="L314" i="16"/>
  <c r="D314" i="16" s="1"/>
  <c r="A317" i="17"/>
  <c r="K316" i="17"/>
  <c r="AB316" i="17"/>
  <c r="X316" i="17"/>
  <c r="AB312" i="23"/>
  <c r="A313" i="23"/>
  <c r="K312" i="23"/>
  <c r="X312" i="23"/>
  <c r="X313" i="22"/>
  <c r="A314" i="22"/>
  <c r="AB313" i="22"/>
  <c r="K313" i="22"/>
  <c r="AB313" i="25"/>
  <c r="A314" i="25"/>
  <c r="K313" i="25"/>
  <c r="X313" i="25"/>
  <c r="A315" i="25"/>
  <c r="AB314" i="25"/>
  <c r="X314" i="25"/>
  <c r="K314" i="25"/>
  <c r="K314" i="22"/>
  <c r="X314" i="22"/>
  <c r="A315" i="22"/>
  <c r="AB314" i="22"/>
  <c r="AB317" i="17"/>
  <c r="A318" i="17"/>
  <c r="X317" i="17"/>
  <c r="K317" i="17"/>
  <c r="X312" i="18"/>
  <c r="K312" i="18"/>
  <c r="A313" i="18"/>
  <c r="AB312" i="18"/>
  <c r="K315" i="24"/>
  <c r="AB315" i="24"/>
  <c r="X315" i="24"/>
  <c r="A316" i="24"/>
  <c r="X314" i="15"/>
  <c r="A315" i="15"/>
  <c r="K314" i="15"/>
  <c r="AB314" i="15"/>
  <c r="AK315" i="1"/>
  <c r="X315" i="1"/>
  <c r="K315" i="1"/>
  <c r="AJ315" i="1"/>
  <c r="AB315" i="1"/>
  <c r="A317" i="20"/>
  <c r="X316" i="20"/>
  <c r="AB316" i="20"/>
  <c r="K316" i="20"/>
  <c r="K313" i="23"/>
  <c r="AB313" i="23"/>
  <c r="A314" i="23"/>
  <c r="X313" i="23"/>
  <c r="X315" i="16"/>
  <c r="K315" i="16"/>
  <c r="A316" i="16"/>
  <c r="L315" i="16"/>
  <c r="D315" i="16" s="1"/>
  <c r="AB315" i="16"/>
  <c r="X316" i="16"/>
  <c r="A317" i="16"/>
  <c r="AB316" i="16"/>
  <c r="K316" i="16"/>
  <c r="L316" i="16"/>
  <c r="D316" i="16" s="1"/>
  <c r="X314" i="23"/>
  <c r="AB314" i="23"/>
  <c r="K314" i="23"/>
  <c r="A315" i="23"/>
  <c r="A318" i="20"/>
  <c r="AB317" i="20"/>
  <c r="K317" i="20"/>
  <c r="X317" i="20"/>
  <c r="AK316" i="1"/>
  <c r="K316" i="1"/>
  <c r="X316" i="1"/>
  <c r="AJ316" i="1"/>
  <c r="AB316" i="1"/>
  <c r="K315" i="15"/>
  <c r="AB315" i="15"/>
  <c r="X315" i="15"/>
  <c r="A316" i="15"/>
  <c r="AB316" i="24"/>
  <c r="K316" i="24"/>
  <c r="X316" i="24"/>
  <c r="A317" i="24"/>
  <c r="AB313" i="18"/>
  <c r="X313" i="18"/>
  <c r="L313" i="18"/>
  <c r="K313" i="18"/>
  <c r="A314" i="18"/>
  <c r="K318" i="17"/>
  <c r="A319" i="17"/>
  <c r="AB318" i="17"/>
  <c r="X318" i="17"/>
  <c r="K315" i="22"/>
  <c r="X315" i="22"/>
  <c r="AB315" i="22"/>
  <c r="A316" i="22"/>
  <c r="K315" i="25"/>
  <c r="AB315" i="25"/>
  <c r="A316" i="25"/>
  <c r="X315" i="25"/>
  <c r="AB319" i="17"/>
  <c r="K319" i="17"/>
  <c r="A320" i="17"/>
  <c r="X319" i="17"/>
  <c r="X314" i="18"/>
  <c r="K314" i="18"/>
  <c r="AB314" i="18"/>
  <c r="A315" i="18"/>
  <c r="A318" i="24"/>
  <c r="X317" i="24"/>
  <c r="AB317" i="24"/>
  <c r="K317" i="24"/>
  <c r="AK317" i="1"/>
  <c r="K317" i="1"/>
  <c r="X317" i="1"/>
  <c r="L317" i="1"/>
  <c r="D317" i="1" s="1"/>
  <c r="AB317" i="1"/>
  <c r="AJ317" i="1"/>
  <c r="AB318" i="20"/>
  <c r="X318" i="20"/>
  <c r="A319" i="20"/>
  <c r="K318" i="20"/>
  <c r="AB317" i="16"/>
  <c r="A318" i="16"/>
  <c r="X317" i="16"/>
  <c r="L317" i="16"/>
  <c r="D317" i="16" s="1"/>
  <c r="K317" i="16"/>
  <c r="K316" i="25"/>
  <c r="X316" i="25"/>
  <c r="AB316" i="25"/>
  <c r="A317" i="25"/>
  <c r="X316" i="22"/>
  <c r="K316" i="22"/>
  <c r="A317" i="22"/>
  <c r="AB316" i="22"/>
  <c r="K316" i="15"/>
  <c r="X316" i="15"/>
  <c r="L316" i="15"/>
  <c r="D316" i="15" s="1"/>
  <c r="A317" i="15"/>
  <c r="AB316" i="15"/>
  <c r="X315" i="23"/>
  <c r="AB315" i="23"/>
  <c r="K315" i="23"/>
  <c r="A316" i="23"/>
  <c r="AB317" i="15"/>
  <c r="A318" i="15"/>
  <c r="X317" i="15"/>
  <c r="K317" i="15"/>
  <c r="L317" i="15"/>
  <c r="K320" i="17"/>
  <c r="X320" i="17"/>
  <c r="A321" i="17"/>
  <c r="AB320" i="17"/>
  <c r="A317" i="23"/>
  <c r="AB316" i="23"/>
  <c r="K316" i="23"/>
  <c r="X316" i="23"/>
  <c r="AB317" i="22"/>
  <c r="K317" i="22"/>
  <c r="A318" i="22"/>
  <c r="X317" i="22"/>
  <c r="A318" i="25"/>
  <c r="X317" i="25"/>
  <c r="K317" i="25"/>
  <c r="AB317" i="25"/>
  <c r="AJ318" i="1"/>
  <c r="AB318" i="1"/>
  <c r="AK318" i="1"/>
  <c r="X318" i="1"/>
  <c r="K318" i="1"/>
  <c r="X318" i="16"/>
  <c r="A319" i="16"/>
  <c r="L318" i="16"/>
  <c r="AB318" i="16"/>
  <c r="K318" i="16"/>
  <c r="AB319" i="20"/>
  <c r="X319" i="20"/>
  <c r="K319" i="20"/>
  <c r="A320" i="20"/>
  <c r="A319" i="24"/>
  <c r="AB318" i="24"/>
  <c r="K318" i="24"/>
  <c r="X318" i="24"/>
  <c r="K315" i="18"/>
  <c r="A316" i="18"/>
  <c r="AB315" i="18"/>
  <c r="X315" i="18"/>
  <c r="D317" i="15"/>
  <c r="A320" i="24"/>
  <c r="K319" i="24"/>
  <c r="AB319" i="24"/>
  <c r="X319" i="24"/>
  <c r="D318" i="16"/>
  <c r="AB318" i="22"/>
  <c r="K318" i="22"/>
  <c r="X318" i="22"/>
  <c r="A319" i="22"/>
  <c r="AB317" i="23"/>
  <c r="X317" i="23"/>
  <c r="A318" i="23"/>
  <c r="K317" i="23"/>
  <c r="K321" i="17"/>
  <c r="A322" i="17"/>
  <c r="AB321" i="17"/>
  <c r="X321" i="17"/>
  <c r="L321" i="17"/>
  <c r="D321" i="17" s="1"/>
  <c r="X316" i="18"/>
  <c r="K316" i="18"/>
  <c r="A317" i="18"/>
  <c r="AB316" i="18"/>
  <c r="A321" i="20"/>
  <c r="AB320" i="20"/>
  <c r="K320" i="20"/>
  <c r="X320" i="20"/>
  <c r="A320" i="16"/>
  <c r="L319" i="16"/>
  <c r="D319" i="16" s="1"/>
  <c r="K319" i="16"/>
  <c r="AB319" i="16"/>
  <c r="X319" i="16"/>
  <c r="AK319" i="1"/>
  <c r="X319" i="1"/>
  <c r="AJ319" i="1"/>
  <c r="K319" i="1"/>
  <c r="AB319" i="1"/>
  <c r="X318" i="25"/>
  <c r="AB318" i="25"/>
  <c r="A319" i="25"/>
  <c r="K318" i="25"/>
  <c r="AB318" i="15"/>
  <c r="K318" i="15"/>
  <c r="A319" i="15"/>
  <c r="X318" i="15"/>
  <c r="K321" i="20"/>
  <c r="X321" i="20"/>
  <c r="A322" i="20"/>
  <c r="AB321" i="20"/>
  <c r="K318" i="23"/>
  <c r="A319" i="23"/>
  <c r="AB318" i="23"/>
  <c r="X318" i="23"/>
  <c r="AJ320" i="1"/>
  <c r="K320" i="1"/>
  <c r="AB320" i="1"/>
  <c r="X320" i="1"/>
  <c r="AK320" i="1"/>
  <c r="K320" i="16"/>
  <c r="L320" i="16"/>
  <c r="D320" i="16" s="1"/>
  <c r="A321" i="16"/>
  <c r="X320" i="16"/>
  <c r="AB320" i="16"/>
  <c r="A318" i="18"/>
  <c r="X317" i="18"/>
  <c r="AB317" i="18"/>
  <c r="L317" i="18"/>
  <c r="K317" i="18"/>
  <c r="X322" i="17"/>
  <c r="A323" i="17"/>
  <c r="K322" i="17"/>
  <c r="AB322" i="17"/>
  <c r="L322" i="17"/>
  <c r="D322" i="17" s="1"/>
  <c r="K319" i="22"/>
  <c r="AB319" i="22"/>
  <c r="X319" i="22"/>
  <c r="A320" i="22"/>
  <c r="X320" i="24"/>
  <c r="A321" i="24"/>
  <c r="AB320" i="24"/>
  <c r="K320" i="24"/>
  <c r="A320" i="15"/>
  <c r="K319" i="15"/>
  <c r="X319" i="15"/>
  <c r="AB319" i="15"/>
  <c r="A320" i="25"/>
  <c r="AB319" i="25"/>
  <c r="K319" i="25"/>
  <c r="X319" i="25"/>
  <c r="AB320" i="15"/>
  <c r="A321" i="15"/>
  <c r="K320" i="15"/>
  <c r="L320" i="15"/>
  <c r="D320" i="15" s="1"/>
  <c r="X320" i="15"/>
  <c r="AB321" i="24"/>
  <c r="A322" i="24"/>
  <c r="X321" i="24"/>
  <c r="K321" i="24"/>
  <c r="A324" i="17"/>
  <c r="K323" i="17"/>
  <c r="X323" i="17"/>
  <c r="AB323" i="17"/>
  <c r="K318" i="18"/>
  <c r="AB318" i="18"/>
  <c r="A319" i="18"/>
  <c r="X318" i="18"/>
  <c r="K319" i="23"/>
  <c r="AB319" i="23"/>
  <c r="X319" i="23"/>
  <c r="A320" i="23"/>
  <c r="A323" i="20"/>
  <c r="K322" i="20"/>
  <c r="X322" i="20"/>
  <c r="AB322" i="20"/>
  <c r="K320" i="25"/>
  <c r="X320" i="25"/>
  <c r="AB320" i="25"/>
  <c r="A321" i="25"/>
  <c r="X320" i="22"/>
  <c r="AB320" i="22"/>
  <c r="A321" i="22"/>
  <c r="K320" i="22"/>
  <c r="AB321" i="16"/>
  <c r="A322" i="16"/>
  <c r="L321" i="16"/>
  <c r="D321" i="16" s="1"/>
  <c r="K321" i="16"/>
  <c r="X321" i="16"/>
  <c r="AJ321" i="1"/>
  <c r="K321" i="1"/>
  <c r="L321" i="1"/>
  <c r="D321" i="1" s="1"/>
  <c r="AB321" i="1"/>
  <c r="X321" i="1"/>
  <c r="AK321" i="1"/>
  <c r="AB320" i="23"/>
  <c r="K320" i="23"/>
  <c r="A321" i="23"/>
  <c r="X320" i="23"/>
  <c r="AB324" i="17"/>
  <c r="A325" i="17"/>
  <c r="X324" i="17"/>
  <c r="K324" i="17"/>
  <c r="A323" i="24"/>
  <c r="AB322" i="24"/>
  <c r="K322" i="24"/>
  <c r="X322" i="24"/>
  <c r="AK322" i="1"/>
  <c r="X322" i="1"/>
  <c r="AJ322" i="1"/>
  <c r="K322" i="1"/>
  <c r="AB322" i="1"/>
  <c r="A323" i="16"/>
  <c r="L322" i="16"/>
  <c r="D322" i="16" s="1"/>
  <c r="X322" i="16"/>
  <c r="K322" i="16"/>
  <c r="AB322" i="16"/>
  <c r="A322" i="22"/>
  <c r="X321" i="22"/>
  <c r="AB321" i="22"/>
  <c r="K321" i="22"/>
  <c r="X321" i="25"/>
  <c r="AB321" i="25"/>
  <c r="A322" i="25"/>
  <c r="K321" i="25"/>
  <c r="AB323" i="20"/>
  <c r="X323" i="20"/>
  <c r="K323" i="20"/>
  <c r="A324" i="20"/>
  <c r="AB319" i="18"/>
  <c r="A320" i="18"/>
  <c r="X319" i="18"/>
  <c r="K319" i="18"/>
  <c r="X321" i="15"/>
  <c r="AB321" i="15"/>
  <c r="K321" i="15"/>
  <c r="A322" i="15"/>
  <c r="X322" i="15"/>
  <c r="A323" i="15"/>
  <c r="AB322" i="15"/>
  <c r="K322" i="15"/>
  <c r="AB320" i="18"/>
  <c r="X320" i="18"/>
  <c r="K320" i="18"/>
  <c r="A321" i="18"/>
  <c r="K322" i="25"/>
  <c r="X322" i="25"/>
  <c r="A323" i="25"/>
  <c r="AB322" i="25"/>
  <c r="K322" i="22"/>
  <c r="AB322" i="22"/>
  <c r="X322" i="22"/>
  <c r="A323" i="22"/>
  <c r="AB321" i="23"/>
  <c r="K321" i="23"/>
  <c r="A322" i="23"/>
  <c r="X321" i="23"/>
  <c r="AB324" i="20"/>
  <c r="K324" i="20"/>
  <c r="X324" i="20"/>
  <c r="A325" i="20"/>
  <c r="X323" i="16"/>
  <c r="K323" i="16"/>
  <c r="A324" i="16"/>
  <c r="AB323" i="16"/>
  <c r="L323" i="16"/>
  <c r="D323" i="16" s="1"/>
  <c r="AK323" i="1"/>
  <c r="K323" i="1"/>
  <c r="AJ323" i="1"/>
  <c r="AB323" i="1"/>
  <c r="X323" i="1"/>
  <c r="K323" i="24"/>
  <c r="X323" i="24"/>
  <c r="AB323" i="24"/>
  <c r="A324" i="24"/>
  <c r="L325" i="17"/>
  <c r="D325" i="17" s="1"/>
  <c r="X325" i="17"/>
  <c r="AB325" i="17"/>
  <c r="K325" i="17"/>
  <c r="A326" i="17"/>
  <c r="AB324" i="24"/>
  <c r="X324" i="24"/>
  <c r="K324" i="24"/>
  <c r="A325" i="24"/>
  <c r="AK324" i="1"/>
  <c r="K324" i="1"/>
  <c r="L324" i="1"/>
  <c r="D324" i="1" s="1"/>
  <c r="AJ324" i="1"/>
  <c r="AB324" i="1"/>
  <c r="X324" i="1"/>
  <c r="X324" i="16"/>
  <c r="L324" i="16"/>
  <c r="D324" i="16" s="1"/>
  <c r="AB324" i="16"/>
  <c r="K324" i="16"/>
  <c r="A325" i="16"/>
  <c r="X325" i="20"/>
  <c r="A326" i="20"/>
  <c r="AB325" i="20"/>
  <c r="K325" i="20"/>
  <c r="X322" i="23"/>
  <c r="A323" i="23"/>
  <c r="AB322" i="23"/>
  <c r="K322" i="23"/>
  <c r="A324" i="25"/>
  <c r="X323" i="25"/>
  <c r="K323" i="25"/>
  <c r="AB323" i="25"/>
  <c r="AB321" i="18"/>
  <c r="A322" i="18"/>
  <c r="X321" i="18"/>
  <c r="K321" i="18"/>
  <c r="X323" i="15"/>
  <c r="AB323" i="15"/>
  <c r="A324" i="15"/>
  <c r="K323" i="15"/>
  <c r="A327" i="17"/>
  <c r="K326" i="17"/>
  <c r="X326" i="17"/>
  <c r="AB326" i="17"/>
  <c r="A324" i="22"/>
  <c r="AB323" i="22"/>
  <c r="K323" i="22"/>
  <c r="X323" i="22"/>
  <c r="AB322" i="18"/>
  <c r="A323" i="18"/>
  <c r="X322" i="18"/>
  <c r="K322" i="18"/>
  <c r="A327" i="20"/>
  <c r="K326" i="20"/>
  <c r="AB326" i="20"/>
  <c r="X326" i="20"/>
  <c r="AJ325" i="1"/>
  <c r="AB325" i="1"/>
  <c r="X325" i="1"/>
  <c r="AK325" i="1"/>
  <c r="K325" i="1"/>
  <c r="AB325" i="24"/>
  <c r="X325" i="24"/>
  <c r="A326" i="24"/>
  <c r="K325" i="24"/>
  <c r="X324" i="22"/>
  <c r="A325" i="22"/>
  <c r="AB324" i="22"/>
  <c r="K324" i="22"/>
  <c r="AB327" i="17"/>
  <c r="K327" i="17"/>
  <c r="X327" i="17"/>
  <c r="A328" i="17"/>
  <c r="K324" i="15"/>
  <c r="X324" i="15"/>
  <c r="AB324" i="15"/>
  <c r="A325" i="15"/>
  <c r="K324" i="25"/>
  <c r="X324" i="25"/>
  <c r="AB324" i="25"/>
  <c r="A325" i="25"/>
  <c r="K323" i="23"/>
  <c r="X323" i="23"/>
  <c r="A324" i="23"/>
  <c r="AB323" i="23"/>
  <c r="K325" i="16"/>
  <c r="X325" i="16"/>
  <c r="AB325" i="16"/>
  <c r="L325" i="16"/>
  <c r="D325" i="16" s="1"/>
  <c r="A326" i="16"/>
  <c r="K326" i="16"/>
  <c r="L326" i="16"/>
  <c r="D326" i="16" s="1"/>
  <c r="A327" i="16"/>
  <c r="X326" i="16"/>
  <c r="AB326" i="16"/>
  <c r="X325" i="15"/>
  <c r="AB325" i="15"/>
  <c r="K325" i="15"/>
  <c r="L325" i="15"/>
  <c r="D325" i="15" s="1"/>
  <c r="A326" i="15"/>
  <c r="AB325" i="22"/>
  <c r="K325" i="22"/>
  <c r="A326" i="22"/>
  <c r="X325" i="22"/>
  <c r="K326" i="24"/>
  <c r="AB326" i="24"/>
  <c r="A327" i="24"/>
  <c r="X326" i="24"/>
  <c r="AJ326" i="1"/>
  <c r="X326" i="1"/>
  <c r="AB326" i="1"/>
  <c r="K326" i="1"/>
  <c r="AK326" i="1"/>
  <c r="A328" i="20"/>
  <c r="X327" i="20"/>
  <c r="AB327" i="20"/>
  <c r="K327" i="20"/>
  <c r="A325" i="23"/>
  <c r="K324" i="23"/>
  <c r="AB324" i="23"/>
  <c r="X324" i="23"/>
  <c r="AB325" i="25"/>
  <c r="K325" i="25"/>
  <c r="A326" i="25"/>
  <c r="X325" i="25"/>
  <c r="K328" i="17"/>
  <c r="AB328" i="17"/>
  <c r="L328" i="17"/>
  <c r="D328" i="17" s="1"/>
  <c r="X328" i="17"/>
  <c r="A329" i="17"/>
  <c r="A324" i="18"/>
  <c r="AB323" i="18"/>
  <c r="K323" i="18"/>
  <c r="X323" i="18"/>
  <c r="X329" i="17"/>
  <c r="AB329" i="17"/>
  <c r="A330" i="17"/>
  <c r="K329" i="17"/>
  <c r="A327" i="25"/>
  <c r="X326" i="25"/>
  <c r="K326" i="25"/>
  <c r="AB326" i="25"/>
  <c r="K325" i="23"/>
  <c r="A326" i="23"/>
  <c r="AB325" i="23"/>
  <c r="X325" i="23"/>
  <c r="K327" i="24"/>
  <c r="A328" i="24"/>
  <c r="X327" i="24"/>
  <c r="AB327" i="24"/>
  <c r="X326" i="22"/>
  <c r="AB326" i="22"/>
  <c r="A327" i="22"/>
  <c r="K326" i="22"/>
  <c r="X327" i="16"/>
  <c r="L327" i="16"/>
  <c r="D327" i="16" s="1"/>
  <c r="K327" i="16"/>
  <c r="AB327" i="16"/>
  <c r="A328" i="16"/>
  <c r="AB324" i="18"/>
  <c r="K324" i="18"/>
  <c r="X324" i="18"/>
  <c r="A325" i="18"/>
  <c r="X328" i="20"/>
  <c r="A329" i="20"/>
  <c r="K328" i="20"/>
  <c r="AB328" i="20"/>
  <c r="AK327" i="1"/>
  <c r="AJ327" i="1"/>
  <c r="X327" i="1"/>
  <c r="K327" i="1"/>
  <c r="AB327" i="1"/>
  <c r="L326" i="15"/>
  <c r="D326" i="15" s="1"/>
  <c r="AB326" i="15"/>
  <c r="X326" i="15"/>
  <c r="K326" i="15"/>
  <c r="A327" i="15"/>
  <c r="AB327" i="15"/>
  <c r="K327" i="15"/>
  <c r="A328" i="15"/>
  <c r="X327" i="15"/>
  <c r="AJ328" i="1"/>
  <c r="K328" i="1"/>
  <c r="AK328" i="1"/>
  <c r="L328" i="1"/>
  <c r="D328" i="1" s="1"/>
  <c r="AB328" i="1"/>
  <c r="X328" i="1"/>
  <c r="X328" i="24"/>
  <c r="A329" i="24"/>
  <c r="K328" i="24"/>
  <c r="AB328" i="24"/>
  <c r="AB330" i="17"/>
  <c r="X330" i="17"/>
  <c r="K330" i="17"/>
  <c r="A331" i="17"/>
  <c r="AB329" i="20"/>
  <c r="A330" i="20"/>
  <c r="K329" i="20"/>
  <c r="X329" i="20"/>
  <c r="AB325" i="18"/>
  <c r="X325" i="18"/>
  <c r="A326" i="18"/>
  <c r="K325" i="18"/>
  <c r="AB328" i="16"/>
  <c r="A329" i="16"/>
  <c r="K328" i="16"/>
  <c r="L328" i="16"/>
  <c r="D328" i="16" s="1"/>
  <c r="X328" i="16"/>
  <c r="K327" i="22"/>
  <c r="AB327" i="22"/>
  <c r="A328" i="22"/>
  <c r="X327" i="22"/>
  <c r="AB326" i="23"/>
  <c r="X326" i="23"/>
  <c r="K326" i="23"/>
  <c r="A327" i="23"/>
  <c r="X327" i="25"/>
  <c r="K327" i="25"/>
  <c r="AB327" i="25"/>
  <c r="A328" i="25"/>
  <c r="A328" i="23"/>
  <c r="K327" i="23"/>
  <c r="X327" i="23"/>
  <c r="AB327" i="23"/>
  <c r="AB328" i="22"/>
  <c r="K328" i="22"/>
  <c r="A329" i="22"/>
  <c r="X328" i="22"/>
  <c r="A329" i="15"/>
  <c r="L328" i="15"/>
  <c r="D328" i="15" s="1"/>
  <c r="X328" i="15"/>
  <c r="K328" i="15"/>
  <c r="AB328" i="15"/>
  <c r="A329" i="25"/>
  <c r="X328" i="25"/>
  <c r="K328" i="25"/>
  <c r="AB328" i="25"/>
  <c r="A330" i="16"/>
  <c r="X329" i="16"/>
  <c r="AB329" i="16"/>
  <c r="L329" i="16"/>
  <c r="D329" i="16" s="1"/>
  <c r="K329" i="16"/>
  <c r="X326" i="18"/>
  <c r="A327" i="18"/>
  <c r="K326" i="18"/>
  <c r="AB326" i="18"/>
  <c r="AB330" i="20"/>
  <c r="K330" i="20"/>
  <c r="X330" i="20"/>
  <c r="A331" i="20"/>
  <c r="K331" i="17"/>
  <c r="A332" i="17"/>
  <c r="X331" i="17"/>
  <c r="AB331" i="17"/>
  <c r="K329" i="24"/>
  <c r="X329" i="24"/>
  <c r="A330" i="24"/>
  <c r="AB329" i="24"/>
  <c r="AK329" i="1"/>
  <c r="AB329" i="1"/>
  <c r="K329" i="1"/>
  <c r="AJ329" i="1"/>
  <c r="X329" i="1"/>
  <c r="AB330" i="24"/>
  <c r="A331" i="24"/>
  <c r="X330" i="24"/>
  <c r="K330" i="24"/>
  <c r="X332" i="17"/>
  <c r="A333" i="17"/>
  <c r="K332" i="17"/>
  <c r="AB332" i="17"/>
  <c r="A332" i="20"/>
  <c r="X331" i="20"/>
  <c r="K331" i="20"/>
  <c r="AB331" i="20"/>
  <c r="AB327" i="18"/>
  <c r="K327" i="18"/>
  <c r="A328" i="18"/>
  <c r="X327" i="18"/>
  <c r="AB329" i="25"/>
  <c r="A330" i="25"/>
  <c r="X329" i="25"/>
  <c r="K329" i="25"/>
  <c r="K329" i="22"/>
  <c r="X329" i="22"/>
  <c r="A330" i="22"/>
  <c r="AB329" i="22"/>
  <c r="AK330" i="1"/>
  <c r="K330" i="1"/>
  <c r="X330" i="1"/>
  <c r="AJ330" i="1"/>
  <c r="AB330" i="1"/>
  <c r="AB330" i="16"/>
  <c r="L330" i="16"/>
  <c r="D330" i="16" s="1"/>
  <c r="A331" i="16"/>
  <c r="X330" i="16"/>
  <c r="K330" i="16"/>
  <c r="K329" i="15"/>
  <c r="L329" i="15"/>
  <c r="D329" i="15" s="1"/>
  <c r="A330" i="15"/>
  <c r="X329" i="15"/>
  <c r="AB329" i="15"/>
  <c r="AB328" i="23"/>
  <c r="A329" i="23"/>
  <c r="X328" i="23"/>
  <c r="K328" i="23"/>
  <c r="X329" i="23"/>
  <c r="K329" i="23"/>
  <c r="AB329" i="23"/>
  <c r="A330" i="23"/>
  <c r="L330" i="15"/>
  <c r="D330" i="15" s="1"/>
  <c r="X330" i="15"/>
  <c r="A331" i="15"/>
  <c r="K330" i="15"/>
  <c r="AB330" i="15"/>
  <c r="X331" i="16"/>
  <c r="K331" i="16"/>
  <c r="L331" i="16"/>
  <c r="D331" i="16" s="1"/>
  <c r="AB331" i="16"/>
  <c r="A332" i="16"/>
  <c r="K328" i="18"/>
  <c r="A329" i="18"/>
  <c r="AB328" i="18"/>
  <c r="X328" i="18"/>
  <c r="L328" i="18"/>
  <c r="K332" i="20"/>
  <c r="AB332" i="20"/>
  <c r="A333" i="20"/>
  <c r="X332" i="20"/>
  <c r="K331" i="24"/>
  <c r="A332" i="24"/>
  <c r="X331" i="24"/>
  <c r="AB331" i="24"/>
  <c r="AJ331" i="1"/>
  <c r="X331" i="1"/>
  <c r="L331" i="1"/>
  <c r="D331" i="1" s="1"/>
  <c r="AB331" i="1"/>
  <c r="K331" i="1"/>
  <c r="Q331" i="1"/>
  <c r="AK331" i="1"/>
  <c r="AB330" i="22"/>
  <c r="K330" i="22"/>
  <c r="A331" i="22"/>
  <c r="X330" i="22"/>
  <c r="X330" i="25"/>
  <c r="K330" i="25"/>
  <c r="A331" i="25"/>
  <c r="AB330" i="25"/>
  <c r="AB333" i="17"/>
  <c r="K333" i="17"/>
  <c r="A334" i="17"/>
  <c r="X333" i="17"/>
  <c r="A66" i="7"/>
  <c r="AJ332" i="1"/>
  <c r="K332" i="1"/>
  <c r="X332" i="1"/>
  <c r="AB332" i="1"/>
  <c r="AK332" i="1"/>
  <c r="X333" i="20"/>
  <c r="AB333" i="20"/>
  <c r="A334" i="20"/>
  <c r="AE30" i="7"/>
  <c r="K333" i="20"/>
  <c r="X329" i="18"/>
  <c r="A330" i="18"/>
  <c r="AB329" i="18"/>
  <c r="K329" i="18"/>
  <c r="AB332" i="16"/>
  <c r="L332" i="16"/>
  <c r="D332" i="16" s="1"/>
  <c r="X332" i="16"/>
  <c r="A333" i="16"/>
  <c r="K332" i="16"/>
  <c r="X331" i="15"/>
  <c r="K331" i="15"/>
  <c r="AB331" i="15"/>
  <c r="A332" i="15"/>
  <c r="X330" i="23"/>
  <c r="K330" i="23"/>
  <c r="AB330" i="23"/>
  <c r="A331" i="23"/>
  <c r="A335" i="17"/>
  <c r="AB334" i="17"/>
  <c r="K334" i="17"/>
  <c r="X334" i="17"/>
  <c r="AB331" i="25"/>
  <c r="K331" i="25"/>
  <c r="A332" i="25"/>
  <c r="X331" i="25"/>
  <c r="AB331" i="22"/>
  <c r="X331" i="22"/>
  <c r="K331" i="22"/>
  <c r="A332" i="22"/>
  <c r="X332" i="24"/>
  <c r="AB332" i="24"/>
  <c r="K332" i="24"/>
  <c r="A333" i="24"/>
  <c r="AB333" i="24"/>
  <c r="A334" i="24"/>
  <c r="AE66" i="7"/>
  <c r="K333" i="24"/>
  <c r="X333" i="24"/>
  <c r="AB331" i="23"/>
  <c r="K331" i="23"/>
  <c r="X331" i="23"/>
  <c r="A332" i="23"/>
  <c r="K332" i="15"/>
  <c r="AB332" i="15"/>
  <c r="A333" i="15"/>
  <c r="X332" i="15"/>
  <c r="AB330" i="18"/>
  <c r="K330" i="18"/>
  <c r="A331" i="18"/>
  <c r="X330" i="18"/>
  <c r="A333" i="22"/>
  <c r="X332" i="22"/>
  <c r="K332" i="22"/>
  <c r="AB332" i="22"/>
  <c r="X332" i="25"/>
  <c r="K332" i="25"/>
  <c r="AB332" i="25"/>
  <c r="A333" i="25"/>
  <c r="K335" i="17"/>
  <c r="A336" i="17"/>
  <c r="AB335" i="17"/>
  <c r="X335" i="17"/>
  <c r="A334" i="16"/>
  <c r="A54" i="7"/>
  <c r="L333" i="16"/>
  <c r="AB333" i="16"/>
  <c r="K333" i="16"/>
  <c r="X333" i="16"/>
  <c r="A335" i="20"/>
  <c r="X334" i="20"/>
  <c r="K334" i="20"/>
  <c r="AB334" i="20"/>
  <c r="AJ333" i="1"/>
  <c r="K333" i="1"/>
  <c r="AK333" i="1"/>
  <c r="AB333" i="1"/>
  <c r="L333" i="1"/>
  <c r="D333" i="1" s="1"/>
  <c r="A30" i="7"/>
  <c r="X333" i="1"/>
  <c r="AJ334" i="1"/>
  <c r="X334" i="1"/>
  <c r="AK334" i="1"/>
  <c r="AB334" i="1"/>
  <c r="K334" i="1"/>
  <c r="L334" i="1"/>
  <c r="D334" i="1" s="1"/>
  <c r="K336" i="17"/>
  <c r="L336" i="17"/>
  <c r="AB336" i="17"/>
  <c r="A337" i="17"/>
  <c r="X336" i="17"/>
  <c r="X333" i="25"/>
  <c r="A334" i="25"/>
  <c r="AE78" i="7"/>
  <c r="K333" i="25"/>
  <c r="AB333" i="25"/>
  <c r="X332" i="23"/>
  <c r="K332" i="23"/>
  <c r="AB332" i="23"/>
  <c r="A333" i="23"/>
  <c r="X335" i="20"/>
  <c r="AB335" i="20"/>
  <c r="A336" i="20"/>
  <c r="K335" i="20"/>
  <c r="A335" i="16"/>
  <c r="L334" i="16"/>
  <c r="AB334" i="16"/>
  <c r="X334" i="16"/>
  <c r="K334" i="16"/>
  <c r="AE42" i="7"/>
  <c r="X333" i="22"/>
  <c r="A334" i="22"/>
  <c r="K333" i="22"/>
  <c r="AB333" i="22"/>
  <c r="AB331" i="18"/>
  <c r="K331" i="18"/>
  <c r="A332" i="18"/>
  <c r="X331" i="18"/>
  <c r="L331" i="18"/>
  <c r="A334" i="15"/>
  <c r="X333" i="15"/>
  <c r="A42" i="7"/>
  <c r="AB333" i="15"/>
  <c r="K333" i="15"/>
  <c r="L333" i="15"/>
  <c r="D333" i="15" s="1"/>
  <c r="AB334" i="24"/>
  <c r="A335" i="24"/>
  <c r="K334" i="24"/>
  <c r="X334" i="24"/>
  <c r="A336" i="24"/>
  <c r="AB335" i="24"/>
  <c r="K335" i="24"/>
  <c r="X335" i="24"/>
  <c r="K335" i="16"/>
  <c r="L335" i="16"/>
  <c r="D335" i="16" s="1"/>
  <c r="AB335" i="16"/>
  <c r="A336" i="16"/>
  <c r="X335" i="16"/>
  <c r="K334" i="25"/>
  <c r="X334" i="25"/>
  <c r="AB334" i="25"/>
  <c r="A335" i="25"/>
  <c r="X337" i="17"/>
  <c r="A338" i="17"/>
  <c r="L337" i="17"/>
  <c r="D337" i="17" s="1"/>
  <c r="AB337" i="17"/>
  <c r="K337" i="17"/>
  <c r="AB334" i="15"/>
  <c r="K334" i="15"/>
  <c r="X334" i="15"/>
  <c r="A335" i="15"/>
  <c r="AB332" i="18"/>
  <c r="X332" i="18"/>
  <c r="A333" i="18"/>
  <c r="K332" i="18"/>
  <c r="K334" i="22"/>
  <c r="AB334" i="22"/>
  <c r="A335" i="22"/>
  <c r="X334" i="22"/>
  <c r="D334" i="16"/>
  <c r="K336" i="20"/>
  <c r="X336" i="20"/>
  <c r="AB336" i="20"/>
  <c r="A337" i="20"/>
  <c r="X333" i="23"/>
  <c r="K333" i="23"/>
  <c r="A334" i="23"/>
  <c r="AE54" i="7"/>
  <c r="AB333" i="23"/>
  <c r="D336" i="17"/>
  <c r="AK335" i="1"/>
  <c r="AB335" i="1"/>
  <c r="X335" i="1"/>
  <c r="L335" i="1"/>
  <c r="D335" i="1" s="1"/>
  <c r="K335" i="1"/>
  <c r="AJ335" i="1"/>
  <c r="A338" i="20"/>
  <c r="AB337" i="20"/>
  <c r="K337" i="20"/>
  <c r="X337" i="20"/>
  <c r="K335" i="22"/>
  <c r="A336" i="22"/>
  <c r="X335" i="22"/>
  <c r="AB335" i="22"/>
  <c r="A78" i="7"/>
  <c r="K333" i="18"/>
  <c r="A334" i="18"/>
  <c r="AB333" i="18"/>
  <c r="X333" i="18"/>
  <c r="L333" i="18"/>
  <c r="B78" i="7" s="1"/>
  <c r="X335" i="25"/>
  <c r="K335" i="25"/>
  <c r="A336" i="25"/>
  <c r="AB335" i="25"/>
  <c r="AK336" i="1"/>
  <c r="AB336" i="1"/>
  <c r="K336" i="1"/>
  <c r="AJ336" i="1"/>
  <c r="X336" i="1"/>
  <c r="K334" i="23"/>
  <c r="AB334" i="23"/>
  <c r="X334" i="23"/>
  <c r="A335" i="23"/>
  <c r="AB335" i="15"/>
  <c r="X335" i="15"/>
  <c r="K335" i="15"/>
  <c r="A336" i="15"/>
  <c r="L338" i="17"/>
  <c r="D338" i="17" s="1"/>
  <c r="A339" i="17"/>
  <c r="X338" i="17"/>
  <c r="AB338" i="17"/>
  <c r="K338" i="17"/>
  <c r="K336" i="16"/>
  <c r="AB336" i="16"/>
  <c r="X336" i="16"/>
  <c r="A337" i="16"/>
  <c r="L336" i="16"/>
  <c r="D336" i="16" s="1"/>
  <c r="K336" i="24"/>
  <c r="AB336" i="24"/>
  <c r="X336" i="24"/>
  <c r="A337" i="24"/>
  <c r="A338" i="16"/>
  <c r="K337" i="16"/>
  <c r="X337" i="16"/>
  <c r="AB337" i="16"/>
  <c r="L337" i="16"/>
  <c r="D337" i="16" s="1"/>
  <c r="AB335" i="23"/>
  <c r="X335" i="23"/>
  <c r="K335" i="23"/>
  <c r="A336" i="23"/>
  <c r="AJ337" i="1"/>
  <c r="AB337" i="1"/>
  <c r="AK337" i="1"/>
  <c r="X337" i="1"/>
  <c r="K337" i="1"/>
  <c r="X337" i="24"/>
  <c r="AB337" i="24"/>
  <c r="A338" i="24"/>
  <c r="K337" i="24"/>
  <c r="A340" i="17"/>
  <c r="K339" i="17"/>
  <c r="AB339" i="17"/>
  <c r="X339" i="17"/>
  <c r="AB336" i="15"/>
  <c r="K336" i="15"/>
  <c r="A337" i="15"/>
  <c r="X336" i="15"/>
  <c r="X336" i="25"/>
  <c r="A337" i="25"/>
  <c r="AB336" i="25"/>
  <c r="K336" i="25"/>
  <c r="X334" i="18"/>
  <c r="AB334" i="18"/>
  <c r="K334" i="18"/>
  <c r="A335" i="18"/>
  <c r="AB336" i="22"/>
  <c r="K336" i="22"/>
  <c r="X336" i="22"/>
  <c r="A337" i="22"/>
  <c r="A339" i="20"/>
  <c r="K338" i="20"/>
  <c r="AB338" i="20"/>
  <c r="X338" i="20"/>
  <c r="AB339" i="20"/>
  <c r="A340" i="20"/>
  <c r="X339" i="20"/>
  <c r="K339" i="20"/>
  <c r="X337" i="22"/>
  <c r="AB337" i="22"/>
  <c r="K337" i="22"/>
  <c r="A338" i="22"/>
  <c r="K335" i="18"/>
  <c r="L335" i="18"/>
  <c r="A336" i="18"/>
  <c r="X335" i="18"/>
  <c r="AB335" i="18"/>
  <c r="A338" i="15"/>
  <c r="AB337" i="15"/>
  <c r="K337" i="15"/>
  <c r="X337" i="15"/>
  <c r="L340" i="17"/>
  <c r="D340" i="17" s="1"/>
  <c r="A341" i="17"/>
  <c r="AB340" i="17"/>
  <c r="X340" i="17"/>
  <c r="K340" i="17"/>
  <c r="AB338" i="16"/>
  <c r="L338" i="16"/>
  <c r="D338" i="16" s="1"/>
  <c r="K338" i="16"/>
  <c r="X338" i="16"/>
  <c r="A339" i="16"/>
  <c r="X337" i="25"/>
  <c r="AB337" i="25"/>
  <c r="K337" i="25"/>
  <c r="A338" i="25"/>
  <c r="A339" i="24"/>
  <c r="AB338" i="24"/>
  <c r="K338" i="24"/>
  <c r="X338" i="24"/>
  <c r="AJ338" i="1"/>
  <c r="K338" i="1"/>
  <c r="AB338" i="1"/>
  <c r="AK338" i="1"/>
  <c r="L338" i="1"/>
  <c r="X338" i="1"/>
  <c r="A337" i="23"/>
  <c r="K336" i="23"/>
  <c r="AB336" i="23"/>
  <c r="X336" i="23"/>
  <c r="K337" i="23"/>
  <c r="X337" i="23"/>
  <c r="A338" i="23"/>
  <c r="AB337" i="23"/>
  <c r="D338" i="1"/>
  <c r="K338" i="25"/>
  <c r="A339" i="25"/>
  <c r="AB338" i="25"/>
  <c r="X338" i="25"/>
  <c r="X338" i="15"/>
  <c r="AB338" i="15"/>
  <c r="K338" i="15"/>
  <c r="A339" i="15"/>
  <c r="K336" i="18"/>
  <c r="X336" i="18"/>
  <c r="AB336" i="18"/>
  <c r="A337" i="18"/>
  <c r="X338" i="22"/>
  <c r="AB338" i="22"/>
  <c r="K338" i="22"/>
  <c r="A339" i="22"/>
  <c r="AK339" i="1"/>
  <c r="X339" i="1"/>
  <c r="AJ339" i="1"/>
  <c r="K339" i="1"/>
  <c r="AB339" i="1"/>
  <c r="A340" i="24"/>
  <c r="AB339" i="24"/>
  <c r="X339" i="24"/>
  <c r="K339" i="24"/>
  <c r="AB339" i="16"/>
  <c r="L339" i="16"/>
  <c r="K339" i="16"/>
  <c r="X339" i="16"/>
  <c r="A340" i="16"/>
  <c r="A342" i="17"/>
  <c r="K341" i="17"/>
  <c r="X341" i="17"/>
  <c r="AB341" i="17"/>
  <c r="A341" i="20"/>
  <c r="X340" i="20"/>
  <c r="AB340" i="20"/>
  <c r="K340" i="20"/>
  <c r="K341" i="20"/>
  <c r="X341" i="20"/>
  <c r="A342" i="20"/>
  <c r="AB341" i="20"/>
  <c r="K342" i="17"/>
  <c r="X342" i="17"/>
  <c r="A343" i="17"/>
  <c r="AB342" i="17"/>
  <c r="D339" i="16"/>
  <c r="K340" i="24"/>
  <c r="AB340" i="24"/>
  <c r="A341" i="24"/>
  <c r="X340" i="24"/>
  <c r="AJ340" i="1"/>
  <c r="X340" i="1"/>
  <c r="AK340" i="1"/>
  <c r="AB340" i="1"/>
  <c r="K340" i="1"/>
  <c r="AB339" i="22"/>
  <c r="K339" i="22"/>
  <c r="X339" i="22"/>
  <c r="A340" i="22"/>
  <c r="A338" i="18"/>
  <c r="AB337" i="18"/>
  <c r="K337" i="18"/>
  <c r="X337" i="18"/>
  <c r="AB339" i="25"/>
  <c r="X339" i="25"/>
  <c r="K339" i="25"/>
  <c r="A340" i="25"/>
  <c r="AB340" i="16"/>
  <c r="A341" i="16"/>
  <c r="L340" i="16"/>
  <c r="X340" i="16"/>
  <c r="K340" i="16"/>
  <c r="AB339" i="15"/>
  <c r="A340" i="15"/>
  <c r="K339" i="15"/>
  <c r="X339" i="15"/>
  <c r="X338" i="23"/>
  <c r="K338" i="23"/>
  <c r="AB338" i="23"/>
  <c r="A339" i="23"/>
  <c r="A340" i="23"/>
  <c r="AB339" i="23"/>
  <c r="X339" i="23"/>
  <c r="K339" i="23"/>
  <c r="A342" i="16"/>
  <c r="AB341" i="16"/>
  <c r="L341" i="16"/>
  <c r="D341" i="16" s="1"/>
  <c r="K341" i="16"/>
  <c r="X341" i="16"/>
  <c r="AB340" i="22"/>
  <c r="K340" i="22"/>
  <c r="A341" i="22"/>
  <c r="X340" i="22"/>
  <c r="AK341" i="1"/>
  <c r="AB341" i="1"/>
  <c r="K341" i="1"/>
  <c r="AJ341" i="1"/>
  <c r="X341" i="1"/>
  <c r="X343" i="17"/>
  <c r="AB343" i="17"/>
  <c r="K343" i="17"/>
  <c r="L343" i="17"/>
  <c r="D343" i="17" s="1"/>
  <c r="A344" i="17"/>
  <c r="K342" i="20"/>
  <c r="A343" i="20"/>
  <c r="X342" i="20"/>
  <c r="AB342" i="20"/>
  <c r="A341" i="15"/>
  <c r="X340" i="15"/>
  <c r="K340" i="15"/>
  <c r="AB340" i="15"/>
  <c r="D340" i="16"/>
  <c r="X340" i="25"/>
  <c r="AB340" i="25"/>
  <c r="K340" i="25"/>
  <c r="A341" i="25"/>
  <c r="K338" i="18"/>
  <c r="X338" i="18"/>
  <c r="A339" i="18"/>
  <c r="AB338" i="18"/>
  <c r="A342" i="24"/>
  <c r="K341" i="24"/>
  <c r="AB341" i="24"/>
  <c r="X341" i="24"/>
  <c r="A343" i="24"/>
  <c r="X342" i="24"/>
  <c r="AB342" i="24"/>
  <c r="K342" i="24"/>
  <c r="K341" i="25"/>
  <c r="X341" i="25"/>
  <c r="AB341" i="25"/>
  <c r="A342" i="25"/>
  <c r="A345" i="17"/>
  <c r="K344" i="17"/>
  <c r="AB344" i="17"/>
  <c r="X344" i="17"/>
  <c r="K342" i="16"/>
  <c r="L342" i="16"/>
  <c r="D342" i="16" s="1"/>
  <c r="X342" i="16"/>
  <c r="AB342" i="16"/>
  <c r="A343" i="16"/>
  <c r="K340" i="23"/>
  <c r="AB340" i="23"/>
  <c r="A341" i="23"/>
  <c r="X340" i="23"/>
  <c r="AB339" i="18"/>
  <c r="A340" i="18"/>
  <c r="K339" i="18"/>
  <c r="X339" i="18"/>
  <c r="A342" i="15"/>
  <c r="AB341" i="15"/>
  <c r="K341" i="15"/>
  <c r="X341" i="15"/>
  <c r="X343" i="20"/>
  <c r="A344" i="20"/>
  <c r="K343" i="20"/>
  <c r="AB343" i="20"/>
  <c r="AJ342" i="1"/>
  <c r="L342" i="1"/>
  <c r="D342" i="1" s="1"/>
  <c r="K342" i="1"/>
  <c r="X342" i="1"/>
  <c r="AB342" i="1"/>
  <c r="AK342" i="1"/>
  <c r="K341" i="22"/>
  <c r="X341" i="22"/>
  <c r="A342" i="22"/>
  <c r="AB341" i="22"/>
  <c r="K344" i="20"/>
  <c r="X344" i="20"/>
  <c r="A345" i="20"/>
  <c r="AB344" i="20"/>
  <c r="A343" i="15"/>
  <c r="AB342" i="15"/>
  <c r="X342" i="15"/>
  <c r="K342" i="15"/>
  <c r="K340" i="18"/>
  <c r="A341" i="18"/>
  <c r="AB340" i="18"/>
  <c r="X340" i="18"/>
  <c r="A346" i="17"/>
  <c r="X345" i="17"/>
  <c r="K345" i="17"/>
  <c r="AB345" i="17"/>
  <c r="AB342" i="25"/>
  <c r="X342" i="25"/>
  <c r="A343" i="25"/>
  <c r="K342" i="25"/>
  <c r="X342" i="22"/>
  <c r="AB342" i="22"/>
  <c r="K342" i="22"/>
  <c r="A343" i="22"/>
  <c r="AJ343" i="1"/>
  <c r="X343" i="1"/>
  <c r="AB343" i="1"/>
  <c r="AK343" i="1"/>
  <c r="K343" i="1"/>
  <c r="AB341" i="23"/>
  <c r="A342" i="23"/>
  <c r="X341" i="23"/>
  <c r="K341" i="23"/>
  <c r="X343" i="16"/>
  <c r="K343" i="16"/>
  <c r="A344" i="16"/>
  <c r="AB343" i="16"/>
  <c r="L343" i="16"/>
  <c r="D343" i="16" s="1"/>
  <c r="X343" i="24"/>
  <c r="K343" i="24"/>
  <c r="A344" i="24"/>
  <c r="AB343" i="24"/>
  <c r="AB344" i="24"/>
  <c r="X344" i="24"/>
  <c r="A345" i="24"/>
  <c r="K344" i="24"/>
  <c r="AJ344" i="1"/>
  <c r="X344" i="1"/>
  <c r="AK344" i="1"/>
  <c r="AB344" i="1"/>
  <c r="K344" i="1"/>
  <c r="A344" i="25"/>
  <c r="K343" i="25"/>
  <c r="X343" i="25"/>
  <c r="AB343" i="25"/>
  <c r="K341" i="18"/>
  <c r="A342" i="18"/>
  <c r="X341" i="18"/>
  <c r="AB341" i="18"/>
  <c r="X344" i="16"/>
  <c r="K344" i="16"/>
  <c r="L344" i="16"/>
  <c r="D344" i="16" s="1"/>
  <c r="AB344" i="16"/>
  <c r="A345" i="16"/>
  <c r="AB342" i="23"/>
  <c r="K342" i="23"/>
  <c r="A343" i="23"/>
  <c r="X342" i="23"/>
  <c r="K343" i="22"/>
  <c r="X343" i="22"/>
  <c r="AB343" i="22"/>
  <c r="A344" i="22"/>
  <c r="K346" i="17"/>
  <c r="X346" i="17"/>
  <c r="AB346" i="17"/>
  <c r="A347" i="17"/>
  <c r="X343" i="15"/>
  <c r="A344" i="15"/>
  <c r="AB343" i="15"/>
  <c r="K343" i="15"/>
  <c r="L343" i="15"/>
  <c r="D343" i="15" s="1"/>
  <c r="A346" i="20"/>
  <c r="AB345" i="20"/>
  <c r="K345" i="20"/>
  <c r="X345" i="20"/>
  <c r="X346" i="20"/>
  <c r="AB346" i="20"/>
  <c r="A347" i="20"/>
  <c r="K346" i="20"/>
  <c r="A345" i="15"/>
  <c r="L344" i="15"/>
  <c r="D344" i="15" s="1"/>
  <c r="K344" i="15"/>
  <c r="X344" i="15"/>
  <c r="AB344" i="15"/>
  <c r="L347" i="17"/>
  <c r="D347" i="17" s="1"/>
  <c r="X347" i="17"/>
  <c r="AB347" i="17"/>
  <c r="K347" i="17"/>
  <c r="A348" i="17"/>
  <c r="K344" i="22"/>
  <c r="AB344" i="22"/>
  <c r="A345" i="22"/>
  <c r="X344" i="22"/>
  <c r="X343" i="23"/>
  <c r="K343" i="23"/>
  <c r="A344" i="23"/>
  <c r="AB343" i="23"/>
  <c r="K345" i="16"/>
  <c r="A346" i="16"/>
  <c r="AB345" i="16"/>
  <c r="X345" i="16"/>
  <c r="L345" i="16"/>
  <c r="D345" i="16" s="1"/>
  <c r="X342" i="18"/>
  <c r="K342" i="18"/>
  <c r="L342" i="18"/>
  <c r="AB342" i="18"/>
  <c r="A343" i="18"/>
  <c r="X344" i="25"/>
  <c r="K344" i="25"/>
  <c r="A345" i="25"/>
  <c r="AB344" i="25"/>
  <c r="AK345" i="1"/>
  <c r="X345" i="1"/>
  <c r="AB345" i="1"/>
  <c r="L345" i="1"/>
  <c r="D345" i="1" s="1"/>
  <c r="AJ345" i="1"/>
  <c r="K345" i="1"/>
  <c r="A346" i="24"/>
  <c r="AB345" i="24"/>
  <c r="K345" i="24"/>
  <c r="X345" i="24"/>
  <c r="A347" i="24"/>
  <c r="AB346" i="24"/>
  <c r="X346" i="24"/>
  <c r="K346" i="24"/>
  <c r="K343" i="18"/>
  <c r="AB343" i="18"/>
  <c r="A344" i="18"/>
  <c r="X343" i="18"/>
  <c r="X346" i="16"/>
  <c r="L346" i="16"/>
  <c r="D346" i="16" s="1"/>
  <c r="A347" i="16"/>
  <c r="AB346" i="16"/>
  <c r="K346" i="16"/>
  <c r="K348" i="17"/>
  <c r="A349" i="17"/>
  <c r="X348" i="17"/>
  <c r="AB348" i="17"/>
  <c r="AB345" i="15"/>
  <c r="X345" i="15"/>
  <c r="K345" i="15"/>
  <c r="A346" i="15"/>
  <c r="L345" i="15"/>
  <c r="D345" i="15" s="1"/>
  <c r="A348" i="20"/>
  <c r="K347" i="20"/>
  <c r="X347" i="20"/>
  <c r="AB347" i="20"/>
  <c r="AK346" i="1"/>
  <c r="X346" i="1"/>
  <c r="AB346" i="1"/>
  <c r="L346" i="1"/>
  <c r="D346" i="1" s="1"/>
  <c r="AJ346" i="1"/>
  <c r="K346" i="1"/>
  <c r="K345" i="25"/>
  <c r="X345" i="25"/>
  <c r="A346" i="25"/>
  <c r="AB345" i="25"/>
  <c r="A345" i="23"/>
  <c r="X344" i="23"/>
  <c r="K344" i="23"/>
  <c r="AB344" i="23"/>
  <c r="AB345" i="22"/>
  <c r="X345" i="22"/>
  <c r="K345" i="22"/>
  <c r="A346" i="22"/>
  <c r="K345" i="23"/>
  <c r="A346" i="23"/>
  <c r="X345" i="23"/>
  <c r="AB345" i="23"/>
  <c r="AB346" i="25"/>
  <c r="A347" i="25"/>
  <c r="X346" i="25"/>
  <c r="K346" i="25"/>
  <c r="AK347" i="1"/>
  <c r="AB347" i="1"/>
  <c r="X347" i="1"/>
  <c r="Q347" i="1"/>
  <c r="AJ347" i="1"/>
  <c r="K347" i="1"/>
  <c r="AB348" i="20"/>
  <c r="K348" i="20"/>
  <c r="X348" i="20"/>
  <c r="A349" i="20"/>
  <c r="K346" i="15"/>
  <c r="A347" i="15"/>
  <c r="AB346" i="15"/>
  <c r="X346" i="15"/>
  <c r="A347" i="22"/>
  <c r="AB346" i="22"/>
  <c r="X346" i="22"/>
  <c r="K346" i="22"/>
  <c r="A350" i="17"/>
  <c r="K349" i="17"/>
  <c r="X349" i="17"/>
  <c r="AB349" i="17"/>
  <c r="K347" i="16"/>
  <c r="A348" i="16"/>
  <c r="AB347" i="16"/>
  <c r="L347" i="16"/>
  <c r="D347" i="16" s="1"/>
  <c r="X347" i="16"/>
  <c r="X344" i="18"/>
  <c r="A345" i="18"/>
  <c r="AB344" i="18"/>
  <c r="K344" i="18"/>
  <c r="AB347" i="24"/>
  <c r="K347" i="24"/>
  <c r="X347" i="24"/>
  <c r="A348" i="24"/>
  <c r="X345" i="18"/>
  <c r="AB345" i="18"/>
  <c r="A346" i="18"/>
  <c r="K345" i="18"/>
  <c r="AB348" i="24"/>
  <c r="X348" i="24"/>
  <c r="A349" i="24"/>
  <c r="K348" i="24"/>
  <c r="A349" i="16"/>
  <c r="X348" i="16"/>
  <c r="L348" i="16"/>
  <c r="AB348" i="16"/>
  <c r="K348" i="16"/>
  <c r="A348" i="22"/>
  <c r="AB347" i="22"/>
  <c r="X347" i="22"/>
  <c r="K347" i="22"/>
  <c r="AB347" i="15"/>
  <c r="A348" i="15"/>
  <c r="K347" i="15"/>
  <c r="X347" i="15"/>
  <c r="A350" i="20"/>
  <c r="K349" i="20"/>
  <c r="X349" i="20"/>
  <c r="AB349" i="20"/>
  <c r="AJ348" i="1"/>
  <c r="X348" i="1"/>
  <c r="AB348" i="1"/>
  <c r="AK348" i="1"/>
  <c r="L348" i="1"/>
  <c r="D348" i="1" s="1"/>
  <c r="K348" i="1"/>
  <c r="K346" i="23"/>
  <c r="A347" i="23"/>
  <c r="AB346" i="23"/>
  <c r="X346" i="23"/>
  <c r="X350" i="17"/>
  <c r="AB350" i="17"/>
  <c r="A351" i="17"/>
  <c r="K350" i="17"/>
  <c r="A348" i="25"/>
  <c r="K347" i="25"/>
  <c r="AB347" i="25"/>
  <c r="X347" i="25"/>
  <c r="X351" i="17"/>
  <c r="K351" i="17"/>
  <c r="A352" i="17"/>
  <c r="AB351" i="17"/>
  <c r="AK349" i="1"/>
  <c r="X349" i="1"/>
  <c r="AB349" i="1"/>
  <c r="K349" i="1"/>
  <c r="AJ349" i="1"/>
  <c r="A351" i="20"/>
  <c r="X350" i="20"/>
  <c r="AB350" i="20"/>
  <c r="K350" i="20"/>
  <c r="X348" i="15"/>
  <c r="K348" i="15"/>
  <c r="AB348" i="15"/>
  <c r="A349" i="15"/>
  <c r="AB348" i="22"/>
  <c r="K348" i="22"/>
  <c r="A349" i="22"/>
  <c r="X348" i="22"/>
  <c r="X346" i="18"/>
  <c r="A347" i="18"/>
  <c r="AB346" i="18"/>
  <c r="K346" i="18"/>
  <c r="K348" i="25"/>
  <c r="A349" i="25"/>
  <c r="X348" i="25"/>
  <c r="AB348" i="25"/>
  <c r="A348" i="23"/>
  <c r="K347" i="23"/>
  <c r="AB347" i="23"/>
  <c r="X347" i="23"/>
  <c r="D348" i="16"/>
  <c r="A350" i="16"/>
  <c r="L349" i="16"/>
  <c r="D349" i="16" s="1"/>
  <c r="AB349" i="16"/>
  <c r="K349" i="16"/>
  <c r="X349" i="16"/>
  <c r="K349" i="24"/>
  <c r="X349" i="24"/>
  <c r="A350" i="24"/>
  <c r="AB349" i="24"/>
  <c r="K350" i="24"/>
  <c r="X350" i="24"/>
  <c r="A351" i="24"/>
  <c r="AB350" i="24"/>
  <c r="K350" i="16"/>
  <c r="X350" i="16"/>
  <c r="A351" i="16"/>
  <c r="AB350" i="16"/>
  <c r="L350" i="16"/>
  <c r="D350" i="16" s="1"/>
  <c r="AB349" i="22"/>
  <c r="A350" i="22"/>
  <c r="K349" i="22"/>
  <c r="X349" i="22"/>
  <c r="A350" i="15"/>
  <c r="K349" i="15"/>
  <c r="AB349" i="15"/>
  <c r="X349" i="15"/>
  <c r="K348" i="23"/>
  <c r="AB348" i="23"/>
  <c r="X348" i="23"/>
  <c r="A349" i="23"/>
  <c r="K349" i="25"/>
  <c r="X349" i="25"/>
  <c r="A350" i="25"/>
  <c r="AB349" i="25"/>
  <c r="L347" i="18"/>
  <c r="AB347" i="18"/>
  <c r="A348" i="18"/>
  <c r="K347" i="18"/>
  <c r="X347" i="18"/>
  <c r="AB351" i="20"/>
  <c r="A352" i="20"/>
  <c r="K351" i="20"/>
  <c r="X351" i="20"/>
  <c r="AK350" i="1"/>
  <c r="X350" i="1"/>
  <c r="AB350" i="1"/>
  <c r="AJ350" i="1"/>
  <c r="K350" i="1"/>
  <c r="A353" i="17"/>
  <c r="X352" i="17"/>
  <c r="K352" i="17"/>
  <c r="AB352" i="17"/>
  <c r="A354" i="17"/>
  <c r="K353" i="17"/>
  <c r="AB353" i="17"/>
  <c r="X353" i="17"/>
  <c r="AJ351" i="1"/>
  <c r="K351" i="1"/>
  <c r="AB351" i="1"/>
  <c r="L351" i="1"/>
  <c r="D351" i="1" s="1"/>
  <c r="AK351" i="1"/>
  <c r="X351" i="1"/>
  <c r="A353" i="20"/>
  <c r="AB352" i="20"/>
  <c r="X352" i="20"/>
  <c r="K352" i="20"/>
  <c r="L348" i="18"/>
  <c r="K348" i="18"/>
  <c r="X348" i="18"/>
  <c r="AB348" i="18"/>
  <c r="A349" i="18"/>
  <c r="A350" i="23"/>
  <c r="AB349" i="23"/>
  <c r="X349" i="23"/>
  <c r="K349" i="23"/>
  <c r="K350" i="15"/>
  <c r="AB350" i="15"/>
  <c r="L350" i="15"/>
  <c r="X350" i="15"/>
  <c r="A351" i="15"/>
  <c r="K351" i="16"/>
  <c r="L351" i="16"/>
  <c r="D351" i="16" s="1"/>
  <c r="AB351" i="16"/>
  <c r="X351" i="16"/>
  <c r="A352" i="16"/>
  <c r="AB350" i="25"/>
  <c r="A351" i="25"/>
  <c r="X350" i="25"/>
  <c r="K350" i="25"/>
  <c r="AB350" i="22"/>
  <c r="K350" i="22"/>
  <c r="A351" i="22"/>
  <c r="X350" i="22"/>
  <c r="AB351" i="24"/>
  <c r="A352" i="24"/>
  <c r="X351" i="24"/>
  <c r="K351" i="24"/>
  <c r="A353" i="24"/>
  <c r="AB352" i="24"/>
  <c r="K352" i="24"/>
  <c r="X352" i="24"/>
  <c r="A352" i="22"/>
  <c r="K351" i="22"/>
  <c r="X351" i="22"/>
  <c r="AB351" i="22"/>
  <c r="X351" i="25"/>
  <c r="AB351" i="25"/>
  <c r="A352" i="25"/>
  <c r="K351" i="25"/>
  <c r="D350" i="15"/>
  <c r="AJ352" i="1"/>
  <c r="X352" i="1"/>
  <c r="AK352" i="1"/>
  <c r="AB352" i="1"/>
  <c r="K352" i="1"/>
  <c r="K352" i="16"/>
  <c r="X352" i="16"/>
  <c r="L352" i="16"/>
  <c r="D352" i="16" s="1"/>
  <c r="A353" i="16"/>
  <c r="AB352" i="16"/>
  <c r="K351" i="15"/>
  <c r="A352" i="15"/>
  <c r="AB351" i="15"/>
  <c r="X351" i="15"/>
  <c r="A351" i="23"/>
  <c r="AB350" i="23"/>
  <c r="K350" i="23"/>
  <c r="X350" i="23"/>
  <c r="A350" i="18"/>
  <c r="AB349" i="18"/>
  <c r="K349" i="18"/>
  <c r="X349" i="18"/>
  <c r="X353" i="20"/>
  <c r="AB353" i="20"/>
  <c r="K353" i="20"/>
  <c r="A354" i="20"/>
  <c r="A355" i="17"/>
  <c r="K354" i="17"/>
  <c r="AB354" i="17"/>
  <c r="X354" i="17"/>
  <c r="A355" i="20"/>
  <c r="X354" i="20"/>
  <c r="AB354" i="20"/>
  <c r="K354" i="20"/>
  <c r="K351" i="23"/>
  <c r="X351" i="23"/>
  <c r="A352" i="23"/>
  <c r="AB351" i="23"/>
  <c r="A354" i="16"/>
  <c r="AB353" i="16"/>
  <c r="L353" i="16"/>
  <c r="D353" i="16" s="1"/>
  <c r="K353" i="16"/>
  <c r="X353" i="16"/>
  <c r="AJ353" i="1"/>
  <c r="AB353" i="1"/>
  <c r="AK353" i="1"/>
  <c r="K353" i="1"/>
  <c r="X353" i="1"/>
  <c r="K352" i="25"/>
  <c r="A353" i="25"/>
  <c r="AB352" i="25"/>
  <c r="X352" i="25"/>
  <c r="K352" i="22"/>
  <c r="A353" i="22"/>
  <c r="X352" i="22"/>
  <c r="AB352" i="22"/>
  <c r="A356" i="17"/>
  <c r="X355" i="17"/>
  <c r="K355" i="17"/>
  <c r="AB355" i="17"/>
  <c r="A351" i="18"/>
  <c r="X350" i="18"/>
  <c r="L350" i="18"/>
  <c r="AB350" i="18"/>
  <c r="K350" i="18"/>
  <c r="A353" i="15"/>
  <c r="K352" i="15"/>
  <c r="AB352" i="15"/>
  <c r="L352" i="15"/>
  <c r="D352" i="15" s="1"/>
  <c r="X352" i="15"/>
  <c r="K353" i="24"/>
  <c r="AB353" i="24"/>
  <c r="A354" i="24"/>
  <c r="X353" i="24"/>
  <c r="K353" i="15"/>
  <c r="A354" i="15"/>
  <c r="X353" i="15"/>
  <c r="AB353" i="15"/>
  <c r="X356" i="17"/>
  <c r="K356" i="17"/>
  <c r="A357" i="17"/>
  <c r="AB356" i="17"/>
  <c r="X353" i="22"/>
  <c r="K353" i="22"/>
  <c r="A354" i="22"/>
  <c r="AB353" i="22"/>
  <c r="AB354" i="16"/>
  <c r="X354" i="16"/>
  <c r="A355" i="16"/>
  <c r="K354" i="16"/>
  <c r="L354" i="16"/>
  <c r="X355" i="20"/>
  <c r="K355" i="20"/>
  <c r="AB355" i="20"/>
  <c r="A356" i="20"/>
  <c r="K354" i="24"/>
  <c r="AB354" i="24"/>
  <c r="A355" i="24"/>
  <c r="X354" i="24"/>
  <c r="K351" i="18"/>
  <c r="X351" i="18"/>
  <c r="A352" i="18"/>
  <c r="AB351" i="18"/>
  <c r="K353" i="25"/>
  <c r="AB353" i="25"/>
  <c r="A354" i="25"/>
  <c r="X353" i="25"/>
  <c r="AJ354" i="1"/>
  <c r="X354" i="1"/>
  <c r="K354" i="1"/>
  <c r="AB354" i="1"/>
  <c r="AK354" i="1"/>
  <c r="A353" i="23"/>
  <c r="K352" i="23"/>
  <c r="AB352" i="23"/>
  <c r="X352" i="23"/>
  <c r="AB354" i="25"/>
  <c r="K354" i="25"/>
  <c r="A355" i="25"/>
  <c r="X354" i="25"/>
  <c r="AB355" i="24"/>
  <c r="A356" i="24"/>
  <c r="X355" i="24"/>
  <c r="K355" i="24"/>
  <c r="A357" i="20"/>
  <c r="X356" i="20"/>
  <c r="K356" i="20"/>
  <c r="AB356" i="20"/>
  <c r="AB354" i="15"/>
  <c r="X354" i="15"/>
  <c r="A355" i="15"/>
  <c r="K354" i="15"/>
  <c r="A354" i="23"/>
  <c r="AB353" i="23"/>
  <c r="X353" i="23"/>
  <c r="K353" i="23"/>
  <c r="AK355" i="1"/>
  <c r="X355" i="1"/>
  <c r="K355" i="1"/>
  <c r="AB355" i="1"/>
  <c r="Q355" i="1"/>
  <c r="AJ355" i="1"/>
  <c r="A353" i="18"/>
  <c r="X352" i="18"/>
  <c r="K352" i="18"/>
  <c r="AB352" i="18"/>
  <c r="D354" i="16"/>
  <c r="K355" i="16"/>
  <c r="A356" i="16"/>
  <c r="X355" i="16"/>
  <c r="AB355" i="16"/>
  <c r="L355" i="16"/>
  <c r="D355" i="16" s="1"/>
  <c r="A355" i="22"/>
  <c r="AB354" i="22"/>
  <c r="X354" i="22"/>
  <c r="K354" i="22"/>
  <c r="K357" i="17"/>
  <c r="AB357" i="17"/>
  <c r="L357" i="17"/>
  <c r="D357" i="17" s="1"/>
  <c r="X357" i="17"/>
  <c r="A358" i="17"/>
  <c r="X355" i="15"/>
  <c r="K355" i="15"/>
  <c r="AB355" i="15"/>
  <c r="A356" i="15"/>
  <c r="X357" i="20"/>
  <c r="AB357" i="20"/>
  <c r="K357" i="20"/>
  <c r="A358" i="20"/>
  <c r="AB356" i="24"/>
  <c r="A357" i="24"/>
  <c r="X356" i="24"/>
  <c r="K356" i="24"/>
  <c r="L358" i="17"/>
  <c r="D358" i="17" s="1"/>
  <c r="K358" i="17"/>
  <c r="X358" i="17"/>
  <c r="A359" i="17"/>
  <c r="AB358" i="17"/>
  <c r="K355" i="22"/>
  <c r="AB355" i="22"/>
  <c r="A356" i="22"/>
  <c r="X355" i="22"/>
  <c r="X356" i="16"/>
  <c r="A357" i="16"/>
  <c r="L356" i="16"/>
  <c r="D356" i="16" s="1"/>
  <c r="AB356" i="16"/>
  <c r="K356" i="16"/>
  <c r="X353" i="18"/>
  <c r="L353" i="18"/>
  <c r="K353" i="18"/>
  <c r="A354" i="18"/>
  <c r="AB353" i="18"/>
  <c r="AJ356" i="1"/>
  <c r="K356" i="1"/>
  <c r="AB356" i="1"/>
  <c r="X356" i="1"/>
  <c r="AK356" i="1"/>
  <c r="K354" i="23"/>
  <c r="AB354" i="23"/>
  <c r="A355" i="23"/>
  <c r="X354" i="23"/>
  <c r="K355" i="25"/>
  <c r="X355" i="25"/>
  <c r="AB355" i="25"/>
  <c r="A356" i="25"/>
  <c r="X356" i="25"/>
  <c r="A357" i="25"/>
  <c r="AB356" i="25"/>
  <c r="K356" i="25"/>
  <c r="A356" i="23"/>
  <c r="X355" i="23"/>
  <c r="AB355" i="23"/>
  <c r="K355" i="23"/>
  <c r="AJ357" i="1"/>
  <c r="X357" i="1"/>
  <c r="AB357" i="1"/>
  <c r="AK357" i="1"/>
  <c r="K357" i="1"/>
  <c r="AB354" i="18"/>
  <c r="A355" i="18"/>
  <c r="K354" i="18"/>
  <c r="X354" i="18"/>
  <c r="K357" i="16"/>
  <c r="X357" i="16"/>
  <c r="L357" i="16"/>
  <c r="D357" i="16" s="1"/>
  <c r="A358" i="16"/>
  <c r="AB357" i="16"/>
  <c r="A357" i="22"/>
  <c r="K356" i="22"/>
  <c r="AB356" i="22"/>
  <c r="X356" i="22"/>
  <c r="A360" i="17"/>
  <c r="AB359" i="17"/>
  <c r="K359" i="17"/>
  <c r="X359" i="17"/>
  <c r="X357" i="24"/>
  <c r="K357" i="24"/>
  <c r="A358" i="24"/>
  <c r="AB357" i="24"/>
  <c r="A359" i="20"/>
  <c r="X358" i="20"/>
  <c r="AB358" i="20"/>
  <c r="K358" i="20"/>
  <c r="K356" i="15"/>
  <c r="A357" i="15"/>
  <c r="L356" i="15"/>
  <c r="D356" i="15" s="1"/>
  <c r="AB356" i="15"/>
  <c r="X356" i="15"/>
  <c r="X358" i="24"/>
  <c r="K358" i="24"/>
  <c r="AB358" i="24"/>
  <c r="A359" i="24"/>
  <c r="AB360" i="17"/>
  <c r="K360" i="17"/>
  <c r="X360" i="17"/>
  <c r="A361" i="17"/>
  <c r="A359" i="16"/>
  <c r="X358" i="16"/>
  <c r="K358" i="16"/>
  <c r="AB358" i="16"/>
  <c r="L358" i="16"/>
  <c r="D358" i="16" s="1"/>
  <c r="AJ358" i="1"/>
  <c r="AB358" i="1"/>
  <c r="AK358" i="1"/>
  <c r="X358" i="1"/>
  <c r="K358" i="1"/>
  <c r="X356" i="23"/>
  <c r="A357" i="23"/>
  <c r="AB356" i="23"/>
  <c r="K356" i="23"/>
  <c r="K357" i="25"/>
  <c r="A358" i="25"/>
  <c r="X357" i="25"/>
  <c r="AB357" i="25"/>
  <c r="A358" i="15"/>
  <c r="AB357" i="15"/>
  <c r="K357" i="15"/>
  <c r="L357" i="15"/>
  <c r="X357" i="15"/>
  <c r="A360" i="20"/>
  <c r="X359" i="20"/>
  <c r="K359" i="20"/>
  <c r="AB359" i="20"/>
  <c r="X357" i="22"/>
  <c r="K357" i="22"/>
  <c r="A358" i="22"/>
  <c r="AB357" i="22"/>
  <c r="L355" i="18"/>
  <c r="AB355" i="18"/>
  <c r="X355" i="18"/>
  <c r="A356" i="18"/>
  <c r="K355" i="18"/>
  <c r="AB356" i="18"/>
  <c r="X356" i="18"/>
  <c r="K356" i="18"/>
  <c r="L356" i="18"/>
  <c r="A357" i="18"/>
  <c r="A359" i="22"/>
  <c r="X358" i="22"/>
  <c r="AB358" i="22"/>
  <c r="K358" i="22"/>
  <c r="X360" i="20"/>
  <c r="K360" i="20"/>
  <c r="A361" i="20"/>
  <c r="AB360" i="20"/>
  <c r="D357" i="15"/>
  <c r="AB357" i="23"/>
  <c r="X357" i="23"/>
  <c r="A358" i="23"/>
  <c r="K357" i="23"/>
  <c r="AJ359" i="1"/>
  <c r="AB359" i="1"/>
  <c r="AK359" i="1"/>
  <c r="K359" i="1"/>
  <c r="X359" i="1"/>
  <c r="K358" i="15"/>
  <c r="AB358" i="15"/>
  <c r="X358" i="15"/>
  <c r="A359" i="15"/>
  <c r="A359" i="25"/>
  <c r="AB358" i="25"/>
  <c r="K358" i="25"/>
  <c r="X358" i="25"/>
  <c r="A360" i="16"/>
  <c r="X359" i="16"/>
  <c r="L359" i="16"/>
  <c r="D359" i="16" s="1"/>
  <c r="K359" i="16"/>
  <c r="AB359" i="16"/>
  <c r="AB361" i="17"/>
  <c r="X361" i="17"/>
  <c r="A362" i="17"/>
  <c r="K361" i="17"/>
  <c r="AB359" i="24"/>
  <c r="X359" i="24"/>
  <c r="K359" i="24"/>
  <c r="A360" i="24"/>
  <c r="A363" i="17"/>
  <c r="L362" i="17"/>
  <c r="D362" i="17" s="1"/>
  <c r="AB362" i="17"/>
  <c r="K362" i="17"/>
  <c r="X362" i="17"/>
  <c r="X360" i="24"/>
  <c r="A361" i="24"/>
  <c r="AB360" i="24"/>
  <c r="K360" i="24"/>
  <c r="X360" i="16"/>
  <c r="L360" i="16"/>
  <c r="A361" i="16"/>
  <c r="K360" i="16"/>
  <c r="AB360" i="16"/>
  <c r="K359" i="25"/>
  <c r="AB359" i="25"/>
  <c r="A360" i="25"/>
  <c r="X359" i="25"/>
  <c r="A360" i="15"/>
  <c r="X359" i="15"/>
  <c r="AB359" i="15"/>
  <c r="K359" i="15"/>
  <c r="AJ360" i="1"/>
  <c r="K360" i="1"/>
  <c r="X360" i="1"/>
  <c r="AK360" i="1"/>
  <c r="AB360" i="1"/>
  <c r="X358" i="23"/>
  <c r="AB358" i="23"/>
  <c r="K358" i="23"/>
  <c r="A359" i="23"/>
  <c r="K361" i="20"/>
  <c r="A362" i="20"/>
  <c r="AB361" i="20"/>
  <c r="X361" i="20"/>
  <c r="AB359" i="22"/>
  <c r="A360" i="22"/>
  <c r="X359" i="22"/>
  <c r="K359" i="22"/>
  <c r="AB357" i="18"/>
  <c r="K357" i="18"/>
  <c r="X357" i="18"/>
  <c r="A358" i="18"/>
  <c r="K358" i="18"/>
  <c r="AB358" i="18"/>
  <c r="A359" i="18"/>
  <c r="X358" i="18"/>
  <c r="A363" i="20"/>
  <c r="AB362" i="20"/>
  <c r="K362" i="20"/>
  <c r="X362" i="20"/>
  <c r="X359" i="23"/>
  <c r="K359" i="23"/>
  <c r="AB359" i="23"/>
  <c r="A360" i="23"/>
  <c r="D360" i="16"/>
  <c r="K361" i="24"/>
  <c r="A362" i="24"/>
  <c r="X361" i="24"/>
  <c r="AB361" i="24"/>
  <c r="A364" i="17"/>
  <c r="K363" i="17"/>
  <c r="AB363" i="17"/>
  <c r="X363" i="17"/>
  <c r="A67" i="7"/>
  <c r="L363" i="17"/>
  <c r="A361" i="22"/>
  <c r="X360" i="22"/>
  <c r="AB360" i="22"/>
  <c r="K360" i="22"/>
  <c r="AK361" i="1"/>
  <c r="K361" i="1"/>
  <c r="AB361" i="1"/>
  <c r="X361" i="1"/>
  <c r="AJ361" i="1"/>
  <c r="A361" i="15"/>
  <c r="K360" i="15"/>
  <c r="AB360" i="15"/>
  <c r="X360" i="15"/>
  <c r="A361" i="25"/>
  <c r="K360" i="25"/>
  <c r="X360" i="25"/>
  <c r="AB360" i="25"/>
  <c r="X361" i="16"/>
  <c r="L361" i="16"/>
  <c r="D361" i="16" s="1"/>
  <c r="AB361" i="16"/>
  <c r="K361" i="16"/>
  <c r="A362" i="16"/>
  <c r="AJ362" i="1"/>
  <c r="AB362" i="1"/>
  <c r="X362" i="1"/>
  <c r="K362" i="1"/>
  <c r="AK362" i="1"/>
  <c r="AB361" i="22"/>
  <c r="K361" i="22"/>
  <c r="X361" i="22"/>
  <c r="A362" i="22"/>
  <c r="X364" i="17"/>
  <c r="K364" i="17"/>
  <c r="A365" i="17"/>
  <c r="AB364" i="17"/>
  <c r="A363" i="24"/>
  <c r="X362" i="24"/>
  <c r="AB362" i="24"/>
  <c r="K362" i="24"/>
  <c r="AE31" i="7"/>
  <c r="A364" i="20"/>
  <c r="X363" i="20"/>
  <c r="AB363" i="20"/>
  <c r="K363" i="20"/>
  <c r="K359" i="18"/>
  <c r="AB359" i="18"/>
  <c r="X359" i="18"/>
  <c r="A360" i="18"/>
  <c r="A363" i="16"/>
  <c r="X362" i="16"/>
  <c r="L362" i="16"/>
  <c r="D362" i="16" s="1"/>
  <c r="AB362" i="16"/>
  <c r="K362" i="16"/>
  <c r="K361" i="25"/>
  <c r="AB361" i="25"/>
  <c r="X361" i="25"/>
  <c r="A362" i="25"/>
  <c r="AB361" i="15"/>
  <c r="A362" i="15"/>
  <c r="L361" i="15"/>
  <c r="D361" i="15" s="1"/>
  <c r="K361" i="15"/>
  <c r="X361" i="15"/>
  <c r="X360" i="23"/>
  <c r="AB360" i="23"/>
  <c r="A361" i="23"/>
  <c r="K360" i="23"/>
  <c r="X361" i="23"/>
  <c r="K361" i="23"/>
  <c r="A362" i="23"/>
  <c r="AB361" i="23"/>
  <c r="A365" i="20"/>
  <c r="AB364" i="20"/>
  <c r="K364" i="20"/>
  <c r="X364" i="20"/>
  <c r="A363" i="22"/>
  <c r="AB362" i="22"/>
  <c r="X362" i="22"/>
  <c r="K362" i="22"/>
  <c r="K362" i="15"/>
  <c r="A363" i="15"/>
  <c r="X362" i="15"/>
  <c r="AB362" i="15"/>
  <c r="X362" i="25"/>
  <c r="A363" i="25"/>
  <c r="AB362" i="25"/>
  <c r="K362" i="25"/>
  <c r="K363" i="16"/>
  <c r="X363" i="16"/>
  <c r="AB363" i="16"/>
  <c r="A55" i="7"/>
  <c r="A364" i="16"/>
  <c r="L363" i="16"/>
  <c r="D363" i="16" s="1"/>
  <c r="AB360" i="18"/>
  <c r="X360" i="18"/>
  <c r="K360" i="18"/>
  <c r="A361" i="18"/>
  <c r="AE67" i="7"/>
  <c r="X363" i="24"/>
  <c r="AB363" i="24"/>
  <c r="A364" i="24"/>
  <c r="K363" i="24"/>
  <c r="AB365" i="17"/>
  <c r="A366" i="17"/>
  <c r="X365" i="17"/>
  <c r="K365" i="17"/>
  <c r="AJ363" i="1"/>
  <c r="AB363" i="1"/>
  <c r="AK363" i="1"/>
  <c r="K363" i="1"/>
  <c r="X363" i="1"/>
  <c r="A31" i="7"/>
  <c r="AB366" i="17"/>
  <c r="X366" i="17"/>
  <c r="K366" i="17"/>
  <c r="L366" i="17"/>
  <c r="D366" i="17" s="1"/>
  <c r="A367" i="17"/>
  <c r="AE79" i="7"/>
  <c r="X363" i="25"/>
  <c r="AB363" i="25"/>
  <c r="A364" i="25"/>
  <c r="K363" i="25"/>
  <c r="A366" i="20"/>
  <c r="X365" i="20"/>
  <c r="AB365" i="20"/>
  <c r="K365" i="20"/>
  <c r="AJ364" i="1"/>
  <c r="K364" i="1"/>
  <c r="AB364" i="1"/>
  <c r="X364" i="1"/>
  <c r="L364" i="1"/>
  <c r="D364" i="1" s="1"/>
  <c r="AK364" i="1"/>
  <c r="A365" i="24"/>
  <c r="AB364" i="24"/>
  <c r="K364" i="24"/>
  <c r="X364" i="24"/>
  <c r="AB361" i="18"/>
  <c r="X361" i="18"/>
  <c r="K361" i="18"/>
  <c r="A362" i="18"/>
  <c r="A365" i="16"/>
  <c r="AB364" i="16"/>
  <c r="L364" i="16"/>
  <c r="D364" i="16" s="1"/>
  <c r="K364" i="16"/>
  <c r="X364" i="16"/>
  <c r="A364" i="15"/>
  <c r="A43" i="7"/>
  <c r="K363" i="15"/>
  <c r="AB363" i="15"/>
  <c r="X363" i="15"/>
  <c r="AB363" i="22"/>
  <c r="K363" i="22"/>
  <c r="A364" i="22"/>
  <c r="AE43" i="7"/>
  <c r="X363" i="22"/>
  <c r="A363" i="23"/>
  <c r="AB362" i="23"/>
  <c r="K362" i="23"/>
  <c r="X362" i="23"/>
  <c r="K364" i="22"/>
  <c r="A365" i="22"/>
  <c r="X364" i="22"/>
  <c r="AB364" i="22"/>
  <c r="K365" i="16"/>
  <c r="X365" i="16"/>
  <c r="A366" i="16"/>
  <c r="L365" i="16"/>
  <c r="D365" i="16" s="1"/>
  <c r="AB365" i="16"/>
  <c r="AB365" i="24"/>
  <c r="K365" i="24"/>
  <c r="X365" i="24"/>
  <c r="A366" i="24"/>
  <c r="AK365" i="1"/>
  <c r="K365" i="1"/>
  <c r="X365" i="1"/>
  <c r="AB365" i="1"/>
  <c r="AJ365" i="1"/>
  <c r="A367" i="20"/>
  <c r="AB366" i="20"/>
  <c r="K366" i="20"/>
  <c r="X366" i="20"/>
  <c r="AB367" i="17"/>
  <c r="A368" i="17"/>
  <c r="X367" i="17"/>
  <c r="K367" i="17"/>
  <c r="K364" i="15"/>
  <c r="X364" i="15"/>
  <c r="AB364" i="15"/>
  <c r="A365" i="15"/>
  <c r="AB363" i="23"/>
  <c r="K363" i="23"/>
  <c r="AE55" i="7"/>
  <c r="A364" i="23"/>
  <c r="X363" i="23"/>
  <c r="A363" i="18"/>
  <c r="K362" i="18"/>
  <c r="X362" i="18"/>
  <c r="AB362" i="18"/>
  <c r="K364" i="25"/>
  <c r="AB364" i="25"/>
  <c r="A365" i="25"/>
  <c r="X364" i="25"/>
  <c r="A366" i="25"/>
  <c r="X365" i="25"/>
  <c r="K365" i="25"/>
  <c r="AB365" i="25"/>
  <c r="K363" i="18"/>
  <c r="A364" i="18"/>
  <c r="X363" i="18"/>
  <c r="AB363" i="18"/>
  <c r="L363" i="18"/>
  <c r="B79" i="7" s="1"/>
  <c r="A79" i="7"/>
  <c r="X368" i="17"/>
  <c r="A369" i="17"/>
  <c r="K368" i="17"/>
  <c r="AB368" i="17"/>
  <c r="K367" i="20"/>
  <c r="AB367" i="20"/>
  <c r="X367" i="20"/>
  <c r="A368" i="20"/>
  <c r="X366" i="24"/>
  <c r="A367" i="24"/>
  <c r="K366" i="24"/>
  <c r="AB366" i="24"/>
  <c r="AB365" i="22"/>
  <c r="K365" i="22"/>
  <c r="X365" i="22"/>
  <c r="A366" i="22"/>
  <c r="K364" i="23"/>
  <c r="A365" i="23"/>
  <c r="X364" i="23"/>
  <c r="AB364" i="23"/>
  <c r="A366" i="15"/>
  <c r="AB365" i="15"/>
  <c r="X365" i="15"/>
  <c r="K365" i="15"/>
  <c r="AK366" i="1"/>
  <c r="X366" i="1"/>
  <c r="AJ366" i="1"/>
  <c r="AB366" i="1"/>
  <c r="K366" i="1"/>
  <c r="A367" i="16"/>
  <c r="K366" i="16"/>
  <c r="AB366" i="16"/>
  <c r="L366" i="16"/>
  <c r="D366" i="16" s="1"/>
  <c r="X366" i="16"/>
  <c r="AB367" i="16"/>
  <c r="L367" i="16"/>
  <c r="D367" i="16" s="1"/>
  <c r="X367" i="16"/>
  <c r="A368" i="16"/>
  <c r="K367" i="16"/>
  <c r="AK367" i="1"/>
  <c r="X367" i="1"/>
  <c r="AB367" i="1"/>
  <c r="AJ367" i="1"/>
  <c r="K367" i="1"/>
  <c r="X365" i="23"/>
  <c r="AB365" i="23"/>
  <c r="A366" i="23"/>
  <c r="K365" i="23"/>
  <c r="X366" i="15"/>
  <c r="AB366" i="15"/>
  <c r="K366" i="15"/>
  <c r="A367" i="15"/>
  <c r="A367" i="22"/>
  <c r="K366" i="22"/>
  <c r="AB366" i="22"/>
  <c r="X366" i="22"/>
  <c r="X367" i="24"/>
  <c r="AB367" i="24"/>
  <c r="A368" i="24"/>
  <c r="K367" i="24"/>
  <c r="AB368" i="20"/>
  <c r="K368" i="20"/>
  <c r="A369" i="20"/>
  <c r="X368" i="20"/>
  <c r="A370" i="17"/>
  <c r="AB369" i="17"/>
  <c r="X369" i="17"/>
  <c r="K369" i="17"/>
  <c r="X364" i="18"/>
  <c r="AB364" i="18"/>
  <c r="A365" i="18"/>
  <c r="K364" i="18"/>
  <c r="K366" i="25"/>
  <c r="X366" i="25"/>
  <c r="A367" i="25"/>
  <c r="AB366" i="25"/>
  <c r="K370" i="17"/>
  <c r="A371" i="17"/>
  <c r="X370" i="17"/>
  <c r="AB370" i="17"/>
  <c r="AB369" i="20"/>
  <c r="K369" i="20"/>
  <c r="X369" i="20"/>
  <c r="A370" i="20"/>
  <c r="AB368" i="24"/>
  <c r="K368" i="24"/>
  <c r="A369" i="24"/>
  <c r="X368" i="24"/>
  <c r="K367" i="15"/>
  <c r="A368" i="15"/>
  <c r="X367" i="15"/>
  <c r="AB367" i="15"/>
  <c r="K366" i="23"/>
  <c r="AB366" i="23"/>
  <c r="A367" i="23"/>
  <c r="X366" i="23"/>
  <c r="A369" i="16"/>
  <c r="L368" i="16"/>
  <c r="D368" i="16" s="1"/>
  <c r="K368" i="16"/>
  <c r="X368" i="16"/>
  <c r="AB368" i="16"/>
  <c r="X367" i="25"/>
  <c r="K367" i="25"/>
  <c r="A368" i="25"/>
  <c r="AB367" i="25"/>
  <c r="X365" i="18"/>
  <c r="A366" i="18"/>
  <c r="AB365" i="18"/>
  <c r="K365" i="18"/>
  <c r="X367" i="22"/>
  <c r="A368" i="22"/>
  <c r="K367" i="22"/>
  <c r="AB367" i="22"/>
  <c r="AK368" i="1"/>
  <c r="K368" i="1"/>
  <c r="X368" i="1"/>
  <c r="AB368" i="1"/>
  <c r="AJ368" i="1"/>
  <c r="AB369" i="16"/>
  <c r="L369" i="16"/>
  <c r="D369" i="16" s="1"/>
  <c r="X369" i="16"/>
  <c r="A370" i="16"/>
  <c r="K369" i="16"/>
  <c r="A370" i="24"/>
  <c r="X369" i="24"/>
  <c r="K369" i="24"/>
  <c r="AB369" i="24"/>
  <c r="X371" i="17"/>
  <c r="A372" i="17"/>
  <c r="AB371" i="17"/>
  <c r="K371" i="17"/>
  <c r="AK369" i="1"/>
  <c r="AB369" i="1"/>
  <c r="X369" i="1"/>
  <c r="AJ369" i="1"/>
  <c r="K369" i="1"/>
  <c r="K368" i="22"/>
  <c r="A369" i="22"/>
  <c r="AB368" i="22"/>
  <c r="X368" i="22"/>
  <c r="K366" i="18"/>
  <c r="AB366" i="18"/>
  <c r="A367" i="18"/>
  <c r="X366" i="18"/>
  <c r="AB368" i="25"/>
  <c r="X368" i="25"/>
  <c r="A369" i="25"/>
  <c r="K368" i="25"/>
  <c r="X367" i="23"/>
  <c r="A368" i="23"/>
  <c r="K367" i="23"/>
  <c r="AB367" i="23"/>
  <c r="AB368" i="15"/>
  <c r="X368" i="15"/>
  <c r="A369" i="15"/>
  <c r="K368" i="15"/>
  <c r="X370" i="20"/>
  <c r="AB370" i="20"/>
  <c r="K370" i="20"/>
  <c r="A371" i="20"/>
  <c r="AB371" i="20"/>
  <c r="X371" i="20"/>
  <c r="A372" i="20"/>
  <c r="K371" i="20"/>
  <c r="K369" i="15"/>
  <c r="X369" i="15"/>
  <c r="AB369" i="15"/>
  <c r="A370" i="15"/>
  <c r="AB368" i="23"/>
  <c r="K368" i="23"/>
  <c r="X368" i="23"/>
  <c r="A369" i="23"/>
  <c r="K369" i="25"/>
  <c r="A370" i="25"/>
  <c r="X369" i="25"/>
  <c r="AB369" i="25"/>
  <c r="AB367" i="18"/>
  <c r="A368" i="18"/>
  <c r="X367" i="18"/>
  <c r="K367" i="18"/>
  <c r="AB369" i="22"/>
  <c r="X369" i="22"/>
  <c r="K369" i="22"/>
  <c r="A370" i="22"/>
  <c r="AJ370" i="1"/>
  <c r="AB370" i="1"/>
  <c r="Q370" i="1"/>
  <c r="X370" i="1"/>
  <c r="K370" i="1"/>
  <c r="AK370" i="1"/>
  <c r="X372" i="17"/>
  <c r="K372" i="17"/>
  <c r="A373" i="17"/>
  <c r="AB372" i="17"/>
  <c r="K370" i="24"/>
  <c r="X370" i="24"/>
  <c r="AB370" i="24"/>
  <c r="A371" i="24"/>
  <c r="A371" i="16"/>
  <c r="K370" i="16"/>
  <c r="L370" i="16"/>
  <c r="D370" i="16" s="1"/>
  <c r="X370" i="16"/>
  <c r="AB370" i="16"/>
  <c r="K371" i="16"/>
  <c r="L371" i="16"/>
  <c r="D371" i="16" s="1"/>
  <c r="X371" i="16"/>
  <c r="AB371" i="16"/>
  <c r="A372" i="16"/>
  <c r="X373" i="17"/>
  <c r="A374" i="17"/>
  <c r="AB373" i="17"/>
  <c r="K373" i="17"/>
  <c r="X370" i="22"/>
  <c r="AB370" i="22"/>
  <c r="K370" i="22"/>
  <c r="A371" i="22"/>
  <c r="X370" i="25"/>
  <c r="AB370" i="25"/>
  <c r="K370" i="25"/>
  <c r="A371" i="25"/>
  <c r="A370" i="23"/>
  <c r="AB369" i="23"/>
  <c r="K369" i="23"/>
  <c r="X369" i="23"/>
  <c r="X370" i="15"/>
  <c r="A371" i="15"/>
  <c r="K370" i="15"/>
  <c r="AB370" i="15"/>
  <c r="A372" i="24"/>
  <c r="X371" i="24"/>
  <c r="K371" i="24"/>
  <c r="AB371" i="24"/>
  <c r="AJ371" i="1"/>
  <c r="X371" i="1"/>
  <c r="K371" i="1"/>
  <c r="AK371" i="1"/>
  <c r="AB371" i="1"/>
  <c r="L371" i="1"/>
  <c r="D371" i="1" s="1"/>
  <c r="A369" i="18"/>
  <c r="AB368" i="18"/>
  <c r="K368" i="18"/>
  <c r="X368" i="18"/>
  <c r="AB372" i="20"/>
  <c r="K372" i="20"/>
  <c r="A373" i="20"/>
  <c r="X372" i="20"/>
  <c r="X373" i="20"/>
  <c r="A374" i="20"/>
  <c r="K373" i="20"/>
  <c r="AB373" i="20"/>
  <c r="K371" i="15"/>
  <c r="A372" i="15"/>
  <c r="X371" i="15"/>
  <c r="AB371" i="15"/>
  <c r="X371" i="25"/>
  <c r="AB371" i="25"/>
  <c r="A372" i="25"/>
  <c r="K371" i="25"/>
  <c r="X371" i="22"/>
  <c r="A372" i="22"/>
  <c r="K371" i="22"/>
  <c r="AB371" i="22"/>
  <c r="A370" i="18"/>
  <c r="K369" i="18"/>
  <c r="AB369" i="18"/>
  <c r="X369" i="18"/>
  <c r="AK372" i="1"/>
  <c r="AB372" i="1"/>
  <c r="X372" i="1"/>
  <c r="K372" i="1"/>
  <c r="Q372" i="1"/>
  <c r="AJ372" i="1"/>
  <c r="AB372" i="24"/>
  <c r="K372" i="24"/>
  <c r="A373" i="24"/>
  <c r="X372" i="24"/>
  <c r="AB370" i="23"/>
  <c r="K370" i="23"/>
  <c r="A371" i="23"/>
  <c r="X370" i="23"/>
  <c r="AB374" i="17"/>
  <c r="A375" i="17"/>
  <c r="K374" i="17"/>
  <c r="X374" i="17"/>
  <c r="AB372" i="16"/>
  <c r="L372" i="16"/>
  <c r="D372" i="16" s="1"/>
  <c r="A373" i="16"/>
  <c r="X372" i="16"/>
  <c r="K372" i="16"/>
  <c r="K373" i="24"/>
  <c r="A374" i="24"/>
  <c r="X373" i="24"/>
  <c r="AB373" i="24"/>
  <c r="A373" i="15"/>
  <c r="X372" i="15"/>
  <c r="K372" i="15"/>
  <c r="L372" i="15"/>
  <c r="D372" i="15" s="1"/>
  <c r="AB372" i="15"/>
  <c r="X373" i="16"/>
  <c r="L373" i="16"/>
  <c r="D373" i="16" s="1"/>
  <c r="AB373" i="16"/>
  <c r="A374" i="16"/>
  <c r="K373" i="16"/>
  <c r="AB375" i="17"/>
  <c r="K375" i="17"/>
  <c r="X375" i="17"/>
  <c r="A376" i="17"/>
  <c r="X371" i="23"/>
  <c r="A372" i="23"/>
  <c r="AB371" i="23"/>
  <c r="K371" i="23"/>
  <c r="AK373" i="1"/>
  <c r="K373" i="1"/>
  <c r="AJ373" i="1"/>
  <c r="X373" i="1"/>
  <c r="AB373" i="1"/>
  <c r="A371" i="18"/>
  <c r="K370" i="18"/>
  <c r="AB370" i="18"/>
  <c r="X370" i="18"/>
  <c r="X372" i="22"/>
  <c r="AB372" i="22"/>
  <c r="K372" i="22"/>
  <c r="A373" i="22"/>
  <c r="A373" i="25"/>
  <c r="K372" i="25"/>
  <c r="X372" i="25"/>
  <c r="AB372" i="25"/>
  <c r="AB374" i="20"/>
  <c r="A375" i="20"/>
  <c r="K374" i="20"/>
  <c r="X374" i="20"/>
  <c r="X373" i="22"/>
  <c r="K373" i="22"/>
  <c r="AB373" i="22"/>
  <c r="A374" i="22"/>
  <c r="AJ374" i="1"/>
  <c r="X374" i="1"/>
  <c r="Q374" i="1"/>
  <c r="AK374" i="1"/>
  <c r="AB374" i="1"/>
  <c r="K374" i="1"/>
  <c r="A373" i="23"/>
  <c r="X372" i="23"/>
  <c r="AB372" i="23"/>
  <c r="K372" i="23"/>
  <c r="X376" i="17"/>
  <c r="A377" i="17"/>
  <c r="K376" i="17"/>
  <c r="AB376" i="17"/>
  <c r="A375" i="16"/>
  <c r="L374" i="16"/>
  <c r="D374" i="16" s="1"/>
  <c r="AB374" i="16"/>
  <c r="X374" i="16"/>
  <c r="K374" i="16"/>
  <c r="A374" i="15"/>
  <c r="X373" i="15"/>
  <c r="AB373" i="15"/>
  <c r="K373" i="15"/>
  <c r="X374" i="24"/>
  <c r="AB374" i="24"/>
  <c r="A375" i="24"/>
  <c r="K374" i="24"/>
  <c r="AB375" i="20"/>
  <c r="K375" i="20"/>
  <c r="A376" i="20"/>
  <c r="X375" i="20"/>
  <c r="X373" i="25"/>
  <c r="AB373" i="25"/>
  <c r="K373" i="25"/>
  <c r="A374" i="25"/>
  <c r="AB371" i="18"/>
  <c r="A372" i="18"/>
  <c r="X371" i="18"/>
  <c r="K371" i="18"/>
  <c r="A373" i="18"/>
  <c r="X372" i="18"/>
  <c r="K372" i="18"/>
  <c r="AB372" i="18"/>
  <c r="K375" i="24"/>
  <c r="AB375" i="24"/>
  <c r="A376" i="24"/>
  <c r="X375" i="24"/>
  <c r="K374" i="15"/>
  <c r="A375" i="15"/>
  <c r="AB374" i="15"/>
  <c r="X374" i="15"/>
  <c r="A378" i="17"/>
  <c r="AB377" i="17"/>
  <c r="X377" i="17"/>
  <c r="K377" i="17"/>
  <c r="AB373" i="23"/>
  <c r="X373" i="23"/>
  <c r="K373" i="23"/>
  <c r="A374" i="23"/>
  <c r="A375" i="25"/>
  <c r="X374" i="25"/>
  <c r="K374" i="25"/>
  <c r="AB374" i="25"/>
  <c r="X376" i="20"/>
  <c r="A377" i="20"/>
  <c r="K376" i="20"/>
  <c r="AB376" i="20"/>
  <c r="X375" i="16"/>
  <c r="L375" i="16"/>
  <c r="K375" i="16"/>
  <c r="A376" i="16"/>
  <c r="AB375" i="16"/>
  <c r="AK375" i="1"/>
  <c r="AB375" i="1"/>
  <c r="K375" i="1"/>
  <c r="X375" i="1"/>
  <c r="AJ375" i="1"/>
  <c r="X374" i="22"/>
  <c r="A375" i="22"/>
  <c r="K374" i="22"/>
  <c r="AB374" i="22"/>
  <c r="AB377" i="20"/>
  <c r="K377" i="20"/>
  <c r="A378" i="20"/>
  <c r="X377" i="20"/>
  <c r="X375" i="15"/>
  <c r="K375" i="15"/>
  <c r="A376" i="15"/>
  <c r="AB375" i="15"/>
  <c r="K376" i="24"/>
  <c r="X376" i="24"/>
  <c r="A377" i="24"/>
  <c r="AB376" i="24"/>
  <c r="AB373" i="18"/>
  <c r="X373" i="18"/>
  <c r="A374" i="18"/>
  <c r="K373" i="18"/>
  <c r="A376" i="22"/>
  <c r="AB375" i="22"/>
  <c r="X375" i="22"/>
  <c r="K375" i="22"/>
  <c r="AJ376" i="1"/>
  <c r="K376" i="1"/>
  <c r="AK376" i="1"/>
  <c r="X376" i="1"/>
  <c r="AB376" i="1"/>
  <c r="X376" i="16"/>
  <c r="K376" i="16"/>
  <c r="A377" i="16"/>
  <c r="AB376" i="16"/>
  <c r="L376" i="16"/>
  <c r="D376" i="16" s="1"/>
  <c r="D375" i="16"/>
  <c r="A376" i="25"/>
  <c r="AB375" i="25"/>
  <c r="K375" i="25"/>
  <c r="X375" i="25"/>
  <c r="AB374" i="23"/>
  <c r="K374" i="23"/>
  <c r="X374" i="23"/>
  <c r="A375" i="23"/>
  <c r="K378" i="17"/>
  <c r="A379" i="17"/>
  <c r="AB378" i="17"/>
  <c r="X378" i="17"/>
  <c r="AB375" i="23"/>
  <c r="X375" i="23"/>
  <c r="K375" i="23"/>
  <c r="A376" i="23"/>
  <c r="X376" i="22"/>
  <c r="K376" i="22"/>
  <c r="A377" i="22"/>
  <c r="AB376" i="22"/>
  <c r="A375" i="18"/>
  <c r="K374" i="18"/>
  <c r="X374" i="18"/>
  <c r="AB374" i="18"/>
  <c r="K376" i="15"/>
  <c r="A377" i="15"/>
  <c r="X376" i="15"/>
  <c r="AB376" i="15"/>
  <c r="AB379" i="17"/>
  <c r="X379" i="17"/>
  <c r="K379" i="17"/>
  <c r="AB376" i="25"/>
  <c r="A377" i="25"/>
  <c r="K376" i="25"/>
  <c r="X376" i="25"/>
  <c r="AB377" i="16"/>
  <c r="L377" i="16"/>
  <c r="D377" i="16" s="1"/>
  <c r="A378" i="16"/>
  <c r="K377" i="16"/>
  <c r="X377" i="16"/>
  <c r="AJ377" i="1"/>
  <c r="K377" i="1"/>
  <c r="AB377" i="1"/>
  <c r="X377" i="1"/>
  <c r="AK377" i="1"/>
  <c r="X377" i="24"/>
  <c r="AB377" i="24"/>
  <c r="K377" i="24"/>
  <c r="A378" i="24"/>
  <c r="K378" i="20"/>
  <c r="AB378" i="20"/>
  <c r="X378" i="20"/>
  <c r="A379" i="20"/>
  <c r="AJ378" i="1"/>
  <c r="X378" i="1"/>
  <c r="L378" i="1"/>
  <c r="D378" i="1" s="1"/>
  <c r="AK378" i="1"/>
  <c r="AB378" i="1"/>
  <c r="K378" i="1"/>
  <c r="A379" i="16"/>
  <c r="L378" i="16"/>
  <c r="K378" i="16"/>
  <c r="AB378" i="16"/>
  <c r="X378" i="16"/>
  <c r="A378" i="25"/>
  <c r="AB377" i="25"/>
  <c r="X377" i="25"/>
  <c r="K377" i="25"/>
  <c r="X375" i="18"/>
  <c r="K375" i="18"/>
  <c r="AB375" i="18"/>
  <c r="A376" i="18"/>
  <c r="X377" i="22"/>
  <c r="K377" i="22"/>
  <c r="A378" i="22"/>
  <c r="AB377" i="22"/>
  <c r="AB379" i="20"/>
  <c r="X379" i="20"/>
  <c r="K379" i="20"/>
  <c r="A379" i="24"/>
  <c r="K378" i="24"/>
  <c r="X378" i="24"/>
  <c r="AB378" i="24"/>
  <c r="X377" i="15"/>
  <c r="A378" i="15"/>
  <c r="K377" i="15"/>
  <c r="AB377" i="15"/>
  <c r="K376" i="23"/>
  <c r="AB376" i="23"/>
  <c r="A377" i="23"/>
  <c r="X376" i="23"/>
  <c r="AB377" i="23"/>
  <c r="A378" i="23"/>
  <c r="X377" i="23"/>
  <c r="K377" i="23"/>
  <c r="AB378" i="22"/>
  <c r="X378" i="22"/>
  <c r="A379" i="22"/>
  <c r="K378" i="22"/>
  <c r="A380" i="16"/>
  <c r="L379" i="16"/>
  <c r="B37" i="19" s="1"/>
  <c r="AB379" i="16"/>
  <c r="X379" i="16"/>
  <c r="K379" i="16"/>
  <c r="X378" i="15"/>
  <c r="AB378" i="15"/>
  <c r="K378" i="15"/>
  <c r="A379" i="15"/>
  <c r="AB379" i="24"/>
  <c r="X379" i="24"/>
  <c r="K379" i="24"/>
  <c r="X376" i="18"/>
  <c r="K376" i="18"/>
  <c r="AB376" i="18"/>
  <c r="L376" i="18"/>
  <c r="A377" i="18"/>
  <c r="X378" i="25"/>
  <c r="K378" i="25"/>
  <c r="A379" i="25"/>
  <c r="AB378" i="25"/>
  <c r="D378" i="16"/>
  <c r="AK379" i="1"/>
  <c r="K379" i="1"/>
  <c r="AB379" i="1"/>
  <c r="X379" i="1"/>
  <c r="AJ379" i="1"/>
  <c r="AM9" i="1"/>
  <c r="AK7" i="1"/>
  <c r="AK11" i="1" s="1"/>
  <c r="AM7" i="1"/>
  <c r="AM11" i="1" s="1"/>
  <c r="AK6" i="1"/>
  <c r="AK5" i="1"/>
  <c r="AK9" i="1"/>
  <c r="AM5" i="1"/>
  <c r="K379" i="25"/>
  <c r="AB379" i="25"/>
  <c r="X379" i="25"/>
  <c r="K379" i="15"/>
  <c r="AB379" i="15"/>
  <c r="X379" i="15"/>
  <c r="L380" i="16"/>
  <c r="D380" i="16" s="1"/>
  <c r="X380" i="16"/>
  <c r="AB380" i="16"/>
  <c r="K380" i="16"/>
  <c r="A379" i="23"/>
  <c r="X378" i="23"/>
  <c r="K378" i="23"/>
  <c r="AB378" i="23"/>
  <c r="X377" i="18"/>
  <c r="AB377" i="18"/>
  <c r="A378" i="18"/>
  <c r="K377" i="18"/>
  <c r="AB379" i="22"/>
  <c r="X379" i="22"/>
  <c r="K379" i="22"/>
  <c r="A380" i="22"/>
  <c r="K380" i="22"/>
  <c r="X380" i="22"/>
  <c r="AB380" i="22"/>
  <c r="A379" i="18"/>
  <c r="AB378" i="18"/>
  <c r="X378" i="18"/>
  <c r="K378" i="18"/>
  <c r="X379" i="23"/>
  <c r="K379" i="23"/>
  <c r="AB379" i="23"/>
  <c r="X379" i="18"/>
  <c r="K379" i="18"/>
  <c r="AB379" i="18"/>
  <c r="AC38" i="1"/>
  <c r="O80" i="1"/>
  <c r="L46" i="16"/>
  <c r="D46" i="16" s="1"/>
  <c r="L49" i="16"/>
  <c r="D49" i="16" s="1"/>
  <c r="L53" i="17"/>
  <c r="L55" i="16"/>
  <c r="L57" i="16"/>
  <c r="D57" i="16" s="1"/>
  <c r="L58" i="16"/>
  <c r="L55" i="18"/>
  <c r="L61" i="16"/>
  <c r="D61" i="16" s="1"/>
  <c r="L58" i="18"/>
  <c r="L62" i="16"/>
  <c r="D62" i="16" s="1"/>
  <c r="L63" i="16"/>
  <c r="D63" i="16" s="1"/>
  <c r="L65" i="16"/>
  <c r="D65" i="16" s="1"/>
  <c r="L67" i="17"/>
  <c r="D67" i="17" s="1"/>
  <c r="L66" i="16"/>
  <c r="D66" i="16" s="1"/>
  <c r="L68" i="17"/>
  <c r="D68" i="17" s="1"/>
  <c r="L67" i="16"/>
  <c r="D67" i="16" s="1"/>
  <c r="L68" i="16"/>
  <c r="D68" i="16" s="1"/>
  <c r="L68" i="15"/>
  <c r="D68" i="15" s="1"/>
  <c r="L70" i="16"/>
  <c r="D70" i="16" s="1"/>
  <c r="L67" i="18"/>
  <c r="L71" i="16"/>
  <c r="D71" i="16" s="1"/>
  <c r="L73" i="17"/>
  <c r="D88" i="16"/>
  <c r="L45" i="16"/>
  <c r="D45" i="16" s="1"/>
  <c r="L39" i="16"/>
  <c r="D39" i="16" s="1"/>
  <c r="L37" i="16"/>
  <c r="D37" i="16" s="1"/>
  <c r="L38" i="18"/>
  <c r="L44" i="16"/>
  <c r="L48" i="16"/>
  <c r="L47" i="15"/>
  <c r="L53" i="16"/>
  <c r="D53" i="16" s="1"/>
  <c r="L53" i="18"/>
  <c r="L60" i="17"/>
  <c r="L59" i="16"/>
  <c r="D59" i="16" s="1"/>
  <c r="L60" i="16"/>
  <c r="B45" i="7" s="1"/>
  <c r="L22" i="16"/>
  <c r="L34" i="16"/>
  <c r="D34" i="16" s="1"/>
  <c r="L35" i="16"/>
  <c r="D35" i="16" s="1"/>
  <c r="L40" i="16"/>
  <c r="D40" i="16" s="1"/>
  <c r="L41" i="16"/>
  <c r="D41" i="16" s="1"/>
  <c r="L40" i="15"/>
  <c r="L42" i="16"/>
  <c r="D42" i="16" s="1"/>
  <c r="L41" i="18"/>
  <c r="L48" i="17"/>
  <c r="D48" i="17" s="1"/>
  <c r="L46" i="18"/>
  <c r="L51" i="16"/>
  <c r="D51" i="16" s="1"/>
  <c r="L54" i="16"/>
  <c r="D54" i="16" s="1"/>
  <c r="L56" i="17"/>
  <c r="D56" i="17" s="1"/>
  <c r="L56" i="16"/>
  <c r="D56" i="16" s="1"/>
  <c r="L15" i="16"/>
  <c r="L17" i="16"/>
  <c r="D17" i="16" s="1"/>
  <c r="L18" i="16"/>
  <c r="D18" i="16" s="1"/>
  <c r="L27" i="16"/>
  <c r="L24" i="18"/>
  <c r="L29" i="15"/>
  <c r="B32" i="7" s="1"/>
  <c r="L32" i="15"/>
  <c r="D32" i="15" s="1"/>
  <c r="L36" i="16"/>
  <c r="L40" i="17"/>
  <c r="D40" i="17" s="1"/>
  <c r="L38" i="16"/>
  <c r="L36" i="18"/>
  <c r="L43" i="17"/>
  <c r="D43" i="17" s="1"/>
  <c r="L41" i="15"/>
  <c r="L40" i="18"/>
  <c r="L43" i="16"/>
  <c r="D43" i="16" s="1"/>
  <c r="L21" i="17"/>
  <c r="D21" i="17" s="1"/>
  <c r="L19" i="16"/>
  <c r="D19" i="16" s="1"/>
  <c r="L18" i="15"/>
  <c r="D18" i="15" s="1"/>
  <c r="L20" i="16"/>
  <c r="D20" i="16" s="1"/>
  <c r="L16" i="18"/>
  <c r="L21" i="16"/>
  <c r="L18" i="18"/>
  <c r="L24" i="16"/>
  <c r="D24" i="16" s="1"/>
  <c r="L27" i="15"/>
  <c r="L28" i="16"/>
  <c r="D28" i="16" s="1"/>
  <c r="L29" i="16"/>
  <c r="L32" i="17"/>
  <c r="D32" i="17" s="1"/>
  <c r="L30" i="16"/>
  <c r="D30" i="16" s="1"/>
  <c r="L30" i="15"/>
  <c r="D30" i="15" s="1"/>
  <c r="L31" i="15"/>
  <c r="D31" i="15" s="1"/>
  <c r="L31" i="18"/>
  <c r="L33" i="16"/>
  <c r="L30" i="18"/>
  <c r="L31" i="16"/>
  <c r="D31" i="16" s="1"/>
  <c r="L26" i="16"/>
  <c r="D26" i="16" s="1"/>
  <c r="L25" i="16"/>
  <c r="D25" i="16" s="1"/>
  <c r="L20" i="18"/>
  <c r="L23" i="16"/>
  <c r="D23" i="16" s="1"/>
  <c r="L18" i="17"/>
  <c r="D18" i="17" s="1"/>
  <c r="L16" i="16"/>
  <c r="D16" i="16" s="1"/>
  <c r="D73" i="17"/>
  <c r="D53" i="17"/>
  <c r="D58" i="16"/>
  <c r="D55" i="16"/>
  <c r="D60" i="16"/>
  <c r="D47" i="15"/>
  <c r="D48" i="16"/>
  <c r="D44" i="16"/>
  <c r="D40" i="15"/>
  <c r="D22" i="16"/>
  <c r="D38" i="16"/>
  <c r="D27" i="16"/>
  <c r="D15" i="16"/>
  <c r="D41" i="15"/>
  <c r="D36" i="16"/>
  <c r="D21" i="16"/>
  <c r="D33" i="16"/>
  <c r="D27" i="15"/>
  <c r="AC22" i="1"/>
  <c r="BL13" i="7"/>
  <c r="O88" i="1"/>
  <c r="C22" i="7" s="1"/>
  <c r="O58" i="1"/>
  <c r="O98" i="1"/>
  <c r="L12" i="24"/>
  <c r="L43" i="24"/>
  <c r="L70" i="24"/>
  <c r="L77" i="24"/>
  <c r="L79" i="24"/>
  <c r="L32" i="24"/>
  <c r="L57" i="24"/>
  <c r="L67" i="24"/>
  <c r="L71" i="24"/>
  <c r="L74" i="24"/>
  <c r="L76" i="24"/>
  <c r="L81" i="24"/>
  <c r="L86" i="24"/>
  <c r="L88" i="24"/>
  <c r="AF58" i="7" s="1"/>
  <c r="L94" i="24"/>
  <c r="L96" i="24"/>
  <c r="L105" i="24"/>
  <c r="L12" i="25"/>
  <c r="L85" i="24"/>
  <c r="L90" i="24"/>
  <c r="L97" i="24"/>
  <c r="L104" i="24"/>
  <c r="L109" i="24"/>
  <c r="L111" i="24"/>
  <c r="L113" i="24"/>
  <c r="L91" i="24"/>
  <c r="L114" i="24"/>
  <c r="L118" i="24"/>
  <c r="L122" i="24"/>
  <c r="L126" i="24"/>
  <c r="L128" i="24"/>
  <c r="L134" i="24"/>
  <c r="L136" i="24"/>
  <c r="L140" i="24"/>
  <c r="L144" i="24"/>
  <c r="L151" i="24"/>
  <c r="L155" i="24"/>
  <c r="L158" i="24"/>
  <c r="L167" i="24"/>
  <c r="L120" i="24"/>
  <c r="L124" i="24"/>
  <c r="L139" i="24"/>
  <c r="L148" i="24"/>
  <c r="L150" i="24"/>
  <c r="L156" i="24"/>
  <c r="L161" i="24"/>
  <c r="L164" i="24"/>
  <c r="L170" i="24"/>
  <c r="L173" i="24"/>
  <c r="L175" i="24"/>
  <c r="L178" i="24"/>
  <c r="L186" i="24"/>
  <c r="L189" i="24"/>
  <c r="L191" i="24"/>
  <c r="L194" i="24"/>
  <c r="L197" i="24"/>
  <c r="L200" i="24"/>
  <c r="L202" i="24"/>
  <c r="L207" i="24"/>
  <c r="L209" i="24"/>
  <c r="L221" i="24"/>
  <c r="L230" i="24"/>
  <c r="L238" i="24"/>
  <c r="L243" i="24"/>
  <c r="L247" i="24"/>
  <c r="L251" i="24"/>
  <c r="L254" i="24"/>
  <c r="L262" i="24"/>
  <c r="L267" i="24"/>
  <c r="L272" i="24"/>
  <c r="AF64" i="7" s="1"/>
  <c r="L101" i="24"/>
  <c r="L103" i="24"/>
  <c r="L125" i="24"/>
  <c r="L133" i="24"/>
  <c r="L152" i="24"/>
  <c r="L166" i="24"/>
  <c r="L179" i="24"/>
  <c r="L181" i="24"/>
  <c r="L185" i="24"/>
  <c r="L195" i="24"/>
  <c r="L203" i="24"/>
  <c r="L206" i="24"/>
  <c r="L214" i="24"/>
  <c r="L219" i="24"/>
  <c r="L224" i="24"/>
  <c r="L227" i="24"/>
  <c r="L232" i="24"/>
  <c r="L234" i="24"/>
  <c r="L237" i="24"/>
  <c r="L240" i="24"/>
  <c r="L246" i="24"/>
  <c r="L249" i="24"/>
  <c r="L256" i="24"/>
  <c r="L258" i="24"/>
  <c r="L263" i="24"/>
  <c r="L276" i="24"/>
  <c r="L279" i="24"/>
  <c r="L283" i="24"/>
  <c r="L287" i="24"/>
  <c r="L290" i="24"/>
  <c r="L292" i="24"/>
  <c r="L296" i="24"/>
  <c r="L138" i="24"/>
  <c r="L145" i="24"/>
  <c r="L168" i="24"/>
  <c r="L184" i="24"/>
  <c r="L211" i="24"/>
  <c r="L215" i="24"/>
  <c r="L217" i="24"/>
  <c r="L223" i="24"/>
  <c r="L236" i="24"/>
  <c r="L259" i="24"/>
  <c r="L264" i="24"/>
  <c r="L268" i="24"/>
  <c r="L271" i="24"/>
  <c r="L275" i="24"/>
  <c r="L281" i="24"/>
  <c r="L285" i="24"/>
  <c r="L288" i="24"/>
  <c r="L295" i="24"/>
  <c r="L305" i="24"/>
  <c r="L310" i="24"/>
  <c r="L316" i="24"/>
  <c r="L319" i="24"/>
  <c r="L325" i="24"/>
  <c r="L329" i="24"/>
  <c r="L331" i="24"/>
  <c r="L340" i="24"/>
  <c r="L346" i="24"/>
  <c r="L349" i="24"/>
  <c r="L352" i="24"/>
  <c r="L357" i="24"/>
  <c r="L360" i="24"/>
  <c r="L362" i="24"/>
  <c r="L364" i="24"/>
  <c r="L366" i="24"/>
  <c r="L368" i="24"/>
  <c r="L371" i="24"/>
  <c r="L374" i="24"/>
  <c r="L68" i="24"/>
  <c r="L49" i="24"/>
  <c r="L35" i="24"/>
  <c r="L45" i="24"/>
  <c r="L50" i="24"/>
  <c r="L33" i="24"/>
  <c r="L38" i="24"/>
  <c r="L25" i="24"/>
  <c r="L20" i="24"/>
  <c r="L29" i="24"/>
  <c r="AF56" i="7" s="1"/>
  <c r="L23" i="24"/>
  <c r="L297" i="24"/>
  <c r="L300" i="24"/>
  <c r="L302" i="24"/>
  <c r="AF65" i="7" s="1"/>
  <c r="L304" i="24"/>
  <c r="L308" i="24"/>
  <c r="L311" i="24"/>
  <c r="L314" i="24"/>
  <c r="L318" i="24"/>
  <c r="L322" i="24"/>
  <c r="L324" i="24"/>
  <c r="L327" i="24"/>
  <c r="L333" i="24"/>
  <c r="AF66" i="7" s="1"/>
  <c r="L335" i="24"/>
  <c r="L337" i="24"/>
  <c r="L341" i="24"/>
  <c r="L343" i="24"/>
  <c r="L348" i="24"/>
  <c r="L353" i="24"/>
  <c r="L355" i="24"/>
  <c r="L369" i="24"/>
  <c r="L375" i="24"/>
  <c r="L377" i="24"/>
  <c r="L51" i="24"/>
  <c r="L59" i="24"/>
  <c r="L62" i="24"/>
  <c r="L64" i="24"/>
  <c r="L21" i="24"/>
  <c r="L47" i="24"/>
  <c r="L52" i="24"/>
  <c r="L56" i="24"/>
  <c r="L27" i="24"/>
  <c r="L39" i="24"/>
  <c r="L18" i="24"/>
  <c r="L30" i="24"/>
  <c r="L19" i="24"/>
  <c r="AI10" i="7" l="1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AV9" i="7" s="1"/>
  <c r="AX10" i="7" s="1"/>
  <c r="BB9" i="7" s="1"/>
  <c r="BD10" i="7" s="1"/>
  <c r="BH9" i="7" s="1"/>
  <c r="BJ10" i="7" s="1"/>
  <c r="BK10" i="7" s="1"/>
  <c r="AH10" i="7"/>
  <c r="AN10" i="7" s="1"/>
  <c r="AT10" i="7" s="1"/>
  <c r="AZ10" i="7" s="1"/>
  <c r="BF10" i="7" s="1"/>
  <c r="BL10" i="7" s="1"/>
  <c r="BR10" i="7" s="1"/>
  <c r="BX10" i="7" s="1"/>
  <c r="Q244" i="1"/>
  <c r="Q242" i="1"/>
  <c r="Q240" i="1"/>
  <c r="Q17" i="1"/>
  <c r="AC94" i="1"/>
  <c r="O84" i="1"/>
  <c r="AC20" i="1"/>
  <c r="AC96" i="1"/>
  <c r="AC44" i="1"/>
  <c r="O64" i="1"/>
  <c r="Q363" i="1"/>
  <c r="Q351" i="1"/>
  <c r="Q339" i="1"/>
  <c r="Q325" i="1"/>
  <c r="Q227" i="1"/>
  <c r="O132" i="1"/>
  <c r="O112" i="1"/>
  <c r="AE365" i="1"/>
  <c r="AE265" i="1"/>
  <c r="AE147" i="1"/>
  <c r="AE263" i="1"/>
  <c r="AE313" i="1"/>
  <c r="AE29" i="1"/>
  <c r="AE327" i="1"/>
  <c r="A65" i="19"/>
  <c r="A39" i="19"/>
  <c r="A70" i="19"/>
  <c r="A44" i="19"/>
  <c r="A68" i="19"/>
  <c r="A42" i="19"/>
  <c r="A67" i="19"/>
  <c r="A41" i="19"/>
  <c r="A63" i="19"/>
  <c r="A37" i="19"/>
  <c r="A61" i="19"/>
  <c r="A35" i="19"/>
  <c r="A69" i="19"/>
  <c r="A43" i="19"/>
  <c r="A66" i="19"/>
  <c r="A40" i="19"/>
  <c r="A64" i="19"/>
  <c r="A38" i="19"/>
  <c r="A62" i="19"/>
  <c r="A36" i="19"/>
  <c r="AC145" i="1"/>
  <c r="Q366" i="1"/>
  <c r="Q362" i="1"/>
  <c r="Q352" i="1"/>
  <c r="Q350" i="1"/>
  <c r="Q320" i="1"/>
  <c r="Q318" i="1"/>
  <c r="Q292" i="1"/>
  <c r="Q290" i="1"/>
  <c r="Q116" i="1"/>
  <c r="Q114" i="1"/>
  <c r="O109" i="1"/>
  <c r="AC53" i="1"/>
  <c r="Q358" i="1"/>
  <c r="Q356" i="1"/>
  <c r="Q252" i="1"/>
  <c r="Q226" i="1"/>
  <c r="Q216" i="1"/>
  <c r="Q214" i="1"/>
  <c r="Q212" i="1"/>
  <c r="Q190" i="1"/>
  <c r="Q188" i="1"/>
  <c r="Q186" i="1"/>
  <c r="Q184" i="1"/>
  <c r="Q158" i="1"/>
  <c r="Q156" i="1"/>
  <c r="Q154" i="1"/>
  <c r="Q96" i="1"/>
  <c r="AE342" i="1"/>
  <c r="O76" i="1"/>
  <c r="AC90" i="1"/>
  <c r="AC72" i="1"/>
  <c r="O16" i="1"/>
  <c r="O48" i="1"/>
  <c r="O78" i="1"/>
  <c r="O56" i="1"/>
  <c r="AC32" i="1"/>
  <c r="AC86" i="1"/>
  <c r="AC24" i="1"/>
  <c r="AC74" i="1"/>
  <c r="AC46" i="1"/>
  <c r="Q378" i="1"/>
  <c r="Q376" i="1"/>
  <c r="Q367" i="1"/>
  <c r="Q341" i="1"/>
  <c r="Q333" i="1"/>
  <c r="Q329" i="1"/>
  <c r="Q299" i="1"/>
  <c r="Q295" i="1"/>
  <c r="Q253" i="1"/>
  <c r="Q233" i="1"/>
  <c r="Q209" i="1"/>
  <c r="Q193" i="1"/>
  <c r="O148" i="1"/>
  <c r="O144" i="1"/>
  <c r="O140" i="1"/>
  <c r="O136" i="1"/>
  <c r="AC124" i="1"/>
  <c r="O116" i="1"/>
  <c r="O110" i="1"/>
  <c r="Q79" i="1"/>
  <c r="Q65" i="1"/>
  <c r="AE353" i="1"/>
  <c r="AE139" i="1"/>
  <c r="AE359" i="1"/>
  <c r="AE291" i="1"/>
  <c r="AE349" i="1"/>
  <c r="AE255" i="1"/>
  <c r="AE311" i="1"/>
  <c r="AE21" i="1"/>
  <c r="Q344" i="1"/>
  <c r="Q340" i="1"/>
  <c r="Q338" i="1"/>
  <c r="Q332" i="1"/>
  <c r="Q328" i="1"/>
  <c r="Q310" i="1"/>
  <c r="Q308" i="1"/>
  <c r="Q296" i="1"/>
  <c r="Q286" i="1"/>
  <c r="Q280" i="1"/>
  <c r="Q278" i="1"/>
  <c r="Q272" i="1"/>
  <c r="Q258" i="1"/>
  <c r="Q256" i="1"/>
  <c r="Q248" i="1"/>
  <c r="Q236" i="1"/>
  <c r="Q234" i="1"/>
  <c r="Q232" i="1"/>
  <c r="Q230" i="1"/>
  <c r="Q222" i="1"/>
  <c r="Q220" i="1"/>
  <c r="Q138" i="1"/>
  <c r="Q136" i="1"/>
  <c r="Q134" i="1"/>
  <c r="Q132" i="1"/>
  <c r="Q84" i="1"/>
  <c r="Q82" i="1"/>
  <c r="Q80" i="1"/>
  <c r="Q70" i="1"/>
  <c r="Q60" i="1"/>
  <c r="Q38" i="1"/>
  <c r="Q34" i="1"/>
  <c r="AE294" i="1"/>
  <c r="AE128" i="1"/>
  <c r="AE78" i="1"/>
  <c r="O49" i="1"/>
  <c r="AC127" i="1"/>
  <c r="AC23" i="1"/>
  <c r="O77" i="1"/>
  <c r="AC31" i="1"/>
  <c r="AC83" i="1"/>
  <c r="Q26" i="1"/>
  <c r="Q24" i="1"/>
  <c r="AE266" i="1"/>
  <c r="AE126" i="1"/>
  <c r="AE130" i="1"/>
  <c r="AE74" i="1"/>
  <c r="AE124" i="1"/>
  <c r="AE22" i="1"/>
  <c r="Q22" i="1"/>
  <c r="AE32" i="1"/>
  <c r="Q32" i="1"/>
  <c r="AE40" i="1"/>
  <c r="Q40" i="1"/>
  <c r="AE50" i="1"/>
  <c r="Q50" i="1"/>
  <c r="AE52" i="1"/>
  <c r="Q52" i="1"/>
  <c r="AE54" i="1"/>
  <c r="Q54" i="1"/>
  <c r="AE56" i="1"/>
  <c r="Q56" i="1"/>
  <c r="AE58" i="1"/>
  <c r="Q58" i="1"/>
  <c r="AE62" i="1"/>
  <c r="Q62" i="1"/>
  <c r="AE68" i="1"/>
  <c r="Q68" i="1"/>
  <c r="AE76" i="1"/>
  <c r="Q76" i="1"/>
  <c r="AE94" i="1"/>
  <c r="Q94" i="1"/>
  <c r="AE98" i="1"/>
  <c r="Q98" i="1"/>
  <c r="AE100" i="1"/>
  <c r="Q100" i="1"/>
  <c r="AE102" i="1"/>
  <c r="Q102" i="1"/>
  <c r="AE104" i="1"/>
  <c r="Q104" i="1"/>
  <c r="AE106" i="1"/>
  <c r="Q106" i="1"/>
  <c r="AE108" i="1"/>
  <c r="Q108" i="1"/>
  <c r="AE110" i="1"/>
  <c r="Q110" i="1"/>
  <c r="AE112" i="1"/>
  <c r="Q112" i="1"/>
  <c r="AE118" i="1"/>
  <c r="Q118" i="1"/>
  <c r="AE120" i="1"/>
  <c r="Q120" i="1"/>
  <c r="AE122" i="1"/>
  <c r="Q122" i="1"/>
  <c r="AE140" i="1"/>
  <c r="Q140" i="1"/>
  <c r="AE142" i="1"/>
  <c r="Q142" i="1"/>
  <c r="AE144" i="1"/>
  <c r="Q144" i="1"/>
  <c r="AE160" i="1"/>
  <c r="Q160" i="1"/>
  <c r="AE162" i="1"/>
  <c r="Q162" i="1"/>
  <c r="AE164" i="1"/>
  <c r="Q164" i="1"/>
  <c r="AE182" i="1"/>
  <c r="Q182" i="1"/>
  <c r="AE192" i="1"/>
  <c r="Q192" i="1"/>
  <c r="O35" i="1"/>
  <c r="AC35" i="1"/>
  <c r="AC39" i="1"/>
  <c r="O39" i="1"/>
  <c r="AC89" i="1"/>
  <c r="AC69" i="1"/>
  <c r="O155" i="1"/>
  <c r="AC137" i="1"/>
  <c r="O119" i="1"/>
  <c r="C23" i="7" s="1"/>
  <c r="AC37" i="1"/>
  <c r="AC79" i="1"/>
  <c r="O27" i="1"/>
  <c r="Q369" i="1"/>
  <c r="Q368" i="1"/>
  <c r="Q360" i="1"/>
  <c r="Q354" i="1"/>
  <c r="Q348" i="1"/>
  <c r="Q346" i="1"/>
  <c r="Q336" i="1"/>
  <c r="Q334" i="1"/>
  <c r="Q326" i="1"/>
  <c r="Q324" i="1"/>
  <c r="Q322" i="1"/>
  <c r="Q316" i="1"/>
  <c r="Q314" i="1"/>
  <c r="Q312" i="1"/>
  <c r="Q288" i="1"/>
  <c r="Q276" i="1"/>
  <c r="Q274" i="1"/>
  <c r="Q270" i="1"/>
  <c r="Q268" i="1"/>
  <c r="Q264" i="1"/>
  <c r="Q262" i="1"/>
  <c r="Q260" i="1"/>
  <c r="Q254" i="1"/>
  <c r="Q250" i="1"/>
  <c r="Q246" i="1"/>
  <c r="Q238" i="1"/>
  <c r="Q224" i="1"/>
  <c r="Q218" i="1"/>
  <c r="Q210" i="1"/>
  <c r="Q208" i="1"/>
  <c r="Q206" i="1"/>
  <c r="Q204" i="1"/>
  <c r="Q202" i="1"/>
  <c r="Q200" i="1"/>
  <c r="Q196" i="1"/>
  <c r="Q194" i="1"/>
  <c r="Q180" i="1"/>
  <c r="Q178" i="1"/>
  <c r="Q176" i="1"/>
  <c r="Q174" i="1"/>
  <c r="Q172" i="1"/>
  <c r="Q170" i="1"/>
  <c r="Q168" i="1"/>
  <c r="Q166" i="1"/>
  <c r="Q150" i="1"/>
  <c r="Q148" i="1"/>
  <c r="Q146" i="1"/>
  <c r="Q92" i="1"/>
  <c r="Q90" i="1"/>
  <c r="Q88" i="1"/>
  <c r="Q66" i="1"/>
  <c r="Q64" i="1"/>
  <c r="Q48" i="1"/>
  <c r="Q46" i="1"/>
  <c r="Q44" i="1"/>
  <c r="Q42" i="1"/>
  <c r="Q30" i="1"/>
  <c r="AE72" i="1"/>
  <c r="AE152" i="1"/>
  <c r="AE28" i="1"/>
  <c r="AE86" i="1"/>
  <c r="AE36" i="1"/>
  <c r="P12" i="1"/>
  <c r="Q15" i="1"/>
  <c r="L12" i="23"/>
  <c r="L12" i="22"/>
  <c r="L12" i="20"/>
  <c r="L65" i="24"/>
  <c r="BN9" i="7"/>
  <c r="BP10" i="7" s="1"/>
  <c r="B44" i="7"/>
  <c r="D29" i="16"/>
  <c r="D60" i="17"/>
  <c r="B57" i="7"/>
  <c r="L76" i="18"/>
  <c r="L79" i="18"/>
  <c r="L105" i="18"/>
  <c r="L106" i="18"/>
  <c r="L107" i="18"/>
  <c r="L109" i="18"/>
  <c r="L112" i="18"/>
  <c r="L114" i="18"/>
  <c r="L123" i="18"/>
  <c r="L131" i="18"/>
  <c r="L136" i="18"/>
  <c r="L139" i="18"/>
  <c r="L141" i="18"/>
  <c r="L143" i="18"/>
  <c r="L145" i="18"/>
  <c r="L148" i="18"/>
  <c r="L151" i="18"/>
  <c r="L152" i="18"/>
  <c r="L154" i="18"/>
  <c r="L158" i="18"/>
  <c r="L159" i="18"/>
  <c r="L160" i="18"/>
  <c r="L161" i="18"/>
  <c r="L162" i="18"/>
  <c r="L163" i="18"/>
  <c r="L166" i="18"/>
  <c r="L168" i="18"/>
  <c r="L170" i="18"/>
  <c r="L176" i="18"/>
  <c r="L181" i="18"/>
  <c r="L186" i="18"/>
  <c r="L187" i="18"/>
  <c r="L65" i="18"/>
  <c r="L93" i="18"/>
  <c r="L94" i="18"/>
  <c r="L110" i="18"/>
  <c r="L118" i="18"/>
  <c r="L122" i="18"/>
  <c r="L133" i="18"/>
  <c r="L138" i="18"/>
  <c r="L150" i="18"/>
  <c r="L157" i="18"/>
  <c r="L167" i="18"/>
  <c r="L169" i="18"/>
  <c r="L171" i="18"/>
  <c r="L173" i="18"/>
  <c r="L174" i="18"/>
  <c r="L177" i="18"/>
  <c r="L178" i="18"/>
  <c r="L184" i="18"/>
  <c r="L188" i="18"/>
  <c r="L189" i="18"/>
  <c r="L190" i="18"/>
  <c r="L193" i="18"/>
  <c r="L194" i="18"/>
  <c r="L196" i="18"/>
  <c r="L197" i="18"/>
  <c r="L198" i="18"/>
  <c r="L199" i="18"/>
  <c r="L200" i="18"/>
  <c r="L201" i="18"/>
  <c r="L202" i="18"/>
  <c r="L205" i="18"/>
  <c r="L206" i="18"/>
  <c r="L207" i="18"/>
  <c r="L208" i="18"/>
  <c r="L211" i="18"/>
  <c r="L212" i="18"/>
  <c r="L213" i="18"/>
  <c r="L216" i="18"/>
  <c r="L217" i="18"/>
  <c r="L222" i="18"/>
  <c r="L228" i="18"/>
  <c r="L229" i="18"/>
  <c r="L230" i="18"/>
  <c r="L238" i="18"/>
  <c r="L241" i="18"/>
  <c r="B75" i="7" s="1"/>
  <c r="L246" i="18"/>
  <c r="L247" i="18"/>
  <c r="L248" i="18"/>
  <c r="L251" i="18"/>
  <c r="L252" i="18"/>
  <c r="L253" i="18"/>
  <c r="L254" i="18"/>
  <c r="L255" i="18"/>
  <c r="L263" i="18"/>
  <c r="L264" i="18"/>
  <c r="L265" i="18"/>
  <c r="L266" i="18"/>
  <c r="L267" i="18"/>
  <c r="L271" i="18"/>
  <c r="L272" i="18"/>
  <c r="B76" i="7" s="1"/>
  <c r="L273" i="18"/>
  <c r="L276" i="18"/>
  <c r="L277" i="18"/>
  <c r="L279" i="18"/>
  <c r="L91" i="18"/>
  <c r="L97" i="18"/>
  <c r="L116" i="18"/>
  <c r="L124" i="18"/>
  <c r="L126" i="18"/>
  <c r="L127" i="18"/>
  <c r="L129" i="18"/>
  <c r="L130" i="18"/>
  <c r="L135" i="18"/>
  <c r="L142" i="18"/>
  <c r="L144" i="18"/>
  <c r="L146" i="18"/>
  <c r="L147" i="18"/>
  <c r="L149" i="18"/>
  <c r="B72" i="7" s="1"/>
  <c r="L155" i="18"/>
  <c r="L156" i="18"/>
  <c r="L179" i="18"/>
  <c r="L180" i="18"/>
  <c r="B73" i="7" s="1"/>
  <c r="L182" i="18"/>
  <c r="L183" i="18"/>
  <c r="L191" i="18"/>
  <c r="L192" i="18"/>
  <c r="L210" i="18"/>
  <c r="B74" i="7" s="1"/>
  <c r="L218" i="18"/>
  <c r="L220" i="18"/>
  <c r="L223" i="18"/>
  <c r="L224" i="18"/>
  <c r="L227" i="18"/>
  <c r="L232" i="18"/>
  <c r="L235" i="18"/>
  <c r="L236" i="18"/>
  <c r="L237" i="18"/>
  <c r="L245" i="18"/>
  <c r="L249" i="18"/>
  <c r="L250" i="18"/>
  <c r="L256" i="18"/>
  <c r="L257" i="18"/>
  <c r="L258" i="18"/>
  <c r="L259" i="18"/>
  <c r="L260" i="18"/>
  <c r="L262" i="18"/>
  <c r="L269" i="18"/>
  <c r="L270" i="18"/>
  <c r="L291" i="18"/>
  <c r="L292" i="18"/>
  <c r="L294" i="18"/>
  <c r="L296" i="18"/>
  <c r="L297" i="18"/>
  <c r="L298" i="18"/>
  <c r="L299" i="18"/>
  <c r="L300" i="18"/>
  <c r="L301" i="18"/>
  <c r="L303" i="18"/>
  <c r="L304" i="18"/>
  <c r="L306" i="18"/>
  <c r="L309" i="18"/>
  <c r="L312" i="18"/>
  <c r="L314" i="18"/>
  <c r="L315" i="18"/>
  <c r="L316" i="18"/>
  <c r="L318" i="18"/>
  <c r="L321" i="18"/>
  <c r="L322" i="18"/>
  <c r="L323" i="18"/>
  <c r="L324" i="18"/>
  <c r="L326" i="18"/>
  <c r="L330" i="18"/>
  <c r="L334" i="18"/>
  <c r="L337" i="18"/>
  <c r="L339" i="18"/>
  <c r="L341" i="18"/>
  <c r="L343" i="18"/>
  <c r="L344" i="18"/>
  <c r="L345" i="18"/>
  <c r="L346" i="18"/>
  <c r="L349" i="18"/>
  <c r="L351" i="18"/>
  <c r="L352" i="18"/>
  <c r="L354" i="18"/>
  <c r="L359" i="18"/>
  <c r="L360" i="18"/>
  <c r="L361" i="18"/>
  <c r="L362" i="18"/>
  <c r="L366" i="18"/>
  <c r="L367" i="18"/>
  <c r="L368" i="18"/>
  <c r="L373" i="18"/>
  <c r="L375" i="18"/>
  <c r="L54" i="18"/>
  <c r="L57" i="18"/>
  <c r="L63" i="18"/>
  <c r="L66" i="18"/>
  <c r="L68" i="18"/>
  <c r="L33" i="18"/>
  <c r="L50" i="18"/>
  <c r="L51" i="18"/>
  <c r="L52" i="18"/>
  <c r="L15" i="18"/>
  <c r="L32" i="18"/>
  <c r="L34" i="18"/>
  <c r="L35" i="18"/>
  <c r="L39" i="18"/>
  <c r="L19" i="18"/>
  <c r="L21" i="18"/>
  <c r="L23" i="18"/>
  <c r="L26" i="18"/>
  <c r="L29" i="18"/>
  <c r="B68" i="7" s="1"/>
  <c r="L28" i="18"/>
  <c r="L22" i="18"/>
  <c r="AC9" i="1"/>
  <c r="AC12" i="1"/>
  <c r="L108" i="23"/>
  <c r="L124" i="23"/>
  <c r="L146" i="23"/>
  <c r="L151" i="23"/>
  <c r="L167" i="23"/>
  <c r="L168" i="23"/>
  <c r="L172" i="23"/>
  <c r="L173" i="23"/>
  <c r="L185" i="23"/>
  <c r="L74" i="23"/>
  <c r="L150" i="23"/>
  <c r="L157" i="23"/>
  <c r="L163" i="23"/>
  <c r="L171" i="23"/>
  <c r="L174" i="23"/>
  <c r="L175" i="23"/>
  <c r="L184" i="23"/>
  <c r="L189" i="23"/>
  <c r="L192" i="23"/>
  <c r="L193" i="23"/>
  <c r="L195" i="23"/>
  <c r="L204" i="23"/>
  <c r="L208" i="23"/>
  <c r="L210" i="23"/>
  <c r="AF50" i="7" s="1"/>
  <c r="L215" i="23"/>
  <c r="L216" i="23"/>
  <c r="L217" i="23"/>
  <c r="L232" i="23"/>
  <c r="L233" i="23"/>
  <c r="L237" i="23"/>
  <c r="L240" i="23"/>
  <c r="L245" i="23"/>
  <c r="L256" i="23"/>
  <c r="L258" i="23"/>
  <c r="L261" i="23"/>
  <c r="L262" i="23"/>
  <c r="L270" i="23"/>
  <c r="L272" i="23"/>
  <c r="AF52" i="7" s="1"/>
  <c r="L273" i="23"/>
  <c r="L276" i="23"/>
  <c r="L278" i="23"/>
  <c r="L280" i="23"/>
  <c r="L99" i="23"/>
  <c r="L102" i="23"/>
  <c r="L147" i="23"/>
  <c r="L149" i="23"/>
  <c r="AF48" i="7" s="1"/>
  <c r="L159" i="23"/>
  <c r="L160" i="23"/>
  <c r="L183" i="23"/>
  <c r="L201" i="23"/>
  <c r="L218" i="23"/>
  <c r="L219" i="23"/>
  <c r="L221" i="23"/>
  <c r="L222" i="23"/>
  <c r="L223" i="23"/>
  <c r="L228" i="23"/>
  <c r="L236" i="23"/>
  <c r="L246" i="23"/>
  <c r="L248" i="23"/>
  <c r="L268" i="23"/>
  <c r="L277" i="23"/>
  <c r="L279" i="23"/>
  <c r="L281" i="23"/>
  <c r="L282" i="23"/>
  <c r="L284" i="23"/>
  <c r="L286" i="23"/>
  <c r="L290" i="23"/>
  <c r="L291" i="23"/>
  <c r="L296" i="23"/>
  <c r="L298" i="23"/>
  <c r="L300" i="23"/>
  <c r="L302" i="23"/>
  <c r="AF53" i="7" s="1"/>
  <c r="L303" i="23"/>
  <c r="L304" i="23"/>
  <c r="L308" i="23"/>
  <c r="L309" i="23"/>
  <c r="L311" i="23"/>
  <c r="L312" i="23"/>
  <c r="L313" i="23"/>
  <c r="L314" i="23"/>
  <c r="L316" i="23"/>
  <c r="L320" i="23"/>
  <c r="L322" i="23"/>
  <c r="L323" i="23"/>
  <c r="L324" i="23"/>
  <c r="L325" i="23"/>
  <c r="L326" i="23"/>
  <c r="L332" i="23"/>
  <c r="L338" i="23"/>
  <c r="L339" i="23"/>
  <c r="L340" i="23"/>
  <c r="L341" i="23"/>
  <c r="L342" i="23"/>
  <c r="L345" i="23"/>
  <c r="L347" i="23"/>
  <c r="L348" i="23"/>
  <c r="L350" i="23"/>
  <c r="L352" i="23"/>
  <c r="L353" i="23"/>
  <c r="L358" i="23"/>
  <c r="L359" i="23"/>
  <c r="L361" i="23"/>
  <c r="L362" i="23"/>
  <c r="L363" i="23"/>
  <c r="AF55" i="7" s="1"/>
  <c r="L365" i="23"/>
  <c r="L368" i="23"/>
  <c r="L369" i="23"/>
  <c r="L370" i="23"/>
  <c r="L371" i="23"/>
  <c r="L374" i="23"/>
  <c r="L375" i="23"/>
  <c r="L376" i="23"/>
  <c r="L58" i="23"/>
  <c r="L60" i="23"/>
  <c r="AF45" i="7" s="1"/>
  <c r="L63" i="23"/>
  <c r="L41" i="23"/>
  <c r="L42" i="23"/>
  <c r="L44" i="23"/>
  <c r="L57" i="23"/>
  <c r="L26" i="23"/>
  <c r="L35" i="23"/>
  <c r="L39" i="23"/>
  <c r="L46" i="23"/>
  <c r="L17" i="23"/>
  <c r="L31" i="23"/>
  <c r="L34" i="23"/>
  <c r="L38" i="23"/>
  <c r="L40" i="23"/>
  <c r="L18" i="23"/>
  <c r="L22" i="23"/>
  <c r="L28" i="23"/>
  <c r="L29" i="23"/>
  <c r="AF44" i="7" s="1"/>
  <c r="L30" i="23"/>
  <c r="L25" i="23"/>
  <c r="L24" i="23"/>
  <c r="L15" i="23"/>
  <c r="L56" i="23"/>
  <c r="L66" i="23"/>
  <c r="L75" i="23"/>
  <c r="L77" i="23"/>
  <c r="L82" i="23"/>
  <c r="L87" i="23"/>
  <c r="L94" i="23"/>
  <c r="L97" i="23"/>
  <c r="L100" i="23"/>
  <c r="L104" i="23"/>
  <c r="L110" i="23"/>
  <c r="L69" i="23"/>
  <c r="L83" i="23"/>
  <c r="L89" i="23"/>
  <c r="L78" i="22"/>
  <c r="L145" i="22"/>
  <c r="L150" i="22"/>
  <c r="L162" i="22"/>
  <c r="L164" i="22"/>
  <c r="L165" i="22"/>
  <c r="L169" i="22"/>
  <c r="L170" i="22"/>
  <c r="L171" i="22"/>
  <c r="L175" i="22"/>
  <c r="L178" i="22"/>
  <c r="L186" i="22"/>
  <c r="L190" i="22"/>
  <c r="L75" i="22"/>
  <c r="L120" i="22"/>
  <c r="L154" i="22"/>
  <c r="L176" i="22"/>
  <c r="L183" i="22"/>
  <c r="L185" i="22"/>
  <c r="L189" i="22"/>
  <c r="L191" i="22"/>
  <c r="L193" i="22"/>
  <c r="L202" i="22"/>
  <c r="L204" i="22"/>
  <c r="L205" i="22"/>
  <c r="L207" i="22"/>
  <c r="L208" i="22"/>
  <c r="L214" i="22"/>
  <c r="L221" i="22"/>
  <c r="L222" i="22"/>
  <c r="L232" i="22"/>
  <c r="L246" i="22"/>
  <c r="L253" i="22"/>
  <c r="L257" i="22"/>
  <c r="L260" i="22"/>
  <c r="L266" i="22"/>
  <c r="L269" i="22"/>
  <c r="L272" i="22"/>
  <c r="AF40" i="7" s="1"/>
  <c r="L273" i="22"/>
  <c r="L274" i="22"/>
  <c r="L280" i="22"/>
  <c r="L182" i="22"/>
  <c r="L195" i="22"/>
  <c r="L206" i="22"/>
  <c r="L212" i="22"/>
  <c r="L224" i="22"/>
  <c r="L225" i="22"/>
  <c r="L231" i="22"/>
  <c r="L236" i="22"/>
  <c r="L251" i="22"/>
  <c r="L256" i="22"/>
  <c r="L259" i="22"/>
  <c r="L275" i="22"/>
  <c r="L276" i="22"/>
  <c r="L279" i="22"/>
  <c r="L281" i="22"/>
  <c r="L283" i="22"/>
  <c r="L284" i="22"/>
  <c r="L285" i="22"/>
  <c r="L286" i="22"/>
  <c r="L287" i="22"/>
  <c r="L290" i="22"/>
  <c r="L291" i="22"/>
  <c r="L293" i="22"/>
  <c r="L294" i="22"/>
  <c r="L296" i="22"/>
  <c r="L298" i="22"/>
  <c r="L299" i="22"/>
  <c r="L302" i="22"/>
  <c r="AF41" i="7" s="1"/>
  <c r="L304" i="22"/>
  <c r="L305" i="22"/>
  <c r="L306" i="22"/>
  <c r="L311" i="22"/>
  <c r="L313" i="22"/>
  <c r="L314" i="22"/>
  <c r="L315" i="22"/>
  <c r="L317" i="22"/>
  <c r="L319" i="22"/>
  <c r="L323" i="22"/>
  <c r="L324" i="22"/>
  <c r="L325" i="22"/>
  <c r="L326" i="22"/>
  <c r="L327" i="22"/>
  <c r="L328" i="22"/>
  <c r="L330" i="22"/>
  <c r="L332" i="22"/>
  <c r="L333" i="22"/>
  <c r="AF42" i="7" s="1"/>
  <c r="L334" i="22"/>
  <c r="L338" i="22"/>
  <c r="L340" i="22"/>
  <c r="L341" i="22"/>
  <c r="L345" i="22"/>
  <c r="L346" i="22"/>
  <c r="L348" i="22"/>
  <c r="L350" i="22"/>
  <c r="L351" i="22"/>
  <c r="L353" i="22"/>
  <c r="L356" i="22"/>
  <c r="L359" i="22"/>
  <c r="L363" i="22"/>
  <c r="AF43" i="7" s="1"/>
  <c r="L365" i="22"/>
  <c r="L366" i="22"/>
  <c r="L368" i="22"/>
  <c r="L369" i="22"/>
  <c r="L372" i="22"/>
  <c r="L373" i="22"/>
  <c r="L376" i="22"/>
  <c r="L378" i="22"/>
  <c r="L380" i="22"/>
  <c r="L48" i="22"/>
  <c r="L57" i="22"/>
  <c r="L60" i="22"/>
  <c r="AF33" i="7" s="1"/>
  <c r="L63" i="22"/>
  <c r="L68" i="22"/>
  <c r="L70" i="22"/>
  <c r="L16" i="22"/>
  <c r="L37" i="22"/>
  <c r="L40" i="22"/>
  <c r="L51" i="22"/>
  <c r="L56" i="22"/>
  <c r="L44" i="22"/>
  <c r="L45" i="22"/>
  <c r="L46" i="22"/>
  <c r="L50" i="22"/>
  <c r="L54" i="22"/>
  <c r="L39" i="22"/>
  <c r="L15" i="22"/>
  <c r="L19" i="22"/>
  <c r="L24" i="22"/>
  <c r="L26" i="22"/>
  <c r="L29" i="22"/>
  <c r="AF32" i="7" s="1"/>
  <c r="L30" i="22"/>
  <c r="L28" i="22"/>
  <c r="L18" i="22"/>
  <c r="L66" i="17"/>
  <c r="D66" i="17" s="1"/>
  <c r="L98" i="17"/>
  <c r="D98" i="17" s="1"/>
  <c r="L100" i="17"/>
  <c r="D100" i="17" s="1"/>
  <c r="L103" i="17"/>
  <c r="D103" i="17" s="1"/>
  <c r="L107" i="17"/>
  <c r="D107" i="17" s="1"/>
  <c r="L110" i="17"/>
  <c r="D110" i="17" s="1"/>
  <c r="L112" i="17"/>
  <c r="D112" i="17" s="1"/>
  <c r="L117" i="17"/>
  <c r="D117" i="17" s="1"/>
  <c r="L118" i="17"/>
  <c r="D118" i="17" s="1"/>
  <c r="L120" i="17"/>
  <c r="D120" i="17" s="1"/>
  <c r="L127" i="17"/>
  <c r="D127" i="17" s="1"/>
  <c r="L129" i="17"/>
  <c r="D129" i="17" s="1"/>
  <c r="L132" i="17"/>
  <c r="D132" i="17" s="1"/>
  <c r="L133" i="17"/>
  <c r="D133" i="17" s="1"/>
  <c r="L142" i="17"/>
  <c r="D142" i="17" s="1"/>
  <c r="L143" i="17"/>
  <c r="D143" i="17" s="1"/>
  <c r="L146" i="17"/>
  <c r="D146" i="17" s="1"/>
  <c r="L147" i="17"/>
  <c r="D147" i="17" s="1"/>
  <c r="L148" i="17"/>
  <c r="D148" i="17" s="1"/>
  <c r="L149" i="17"/>
  <c r="B60" i="7" s="1"/>
  <c r="L150" i="17"/>
  <c r="D150" i="17" s="1"/>
  <c r="L151" i="17"/>
  <c r="D151" i="17" s="1"/>
  <c r="L152" i="17"/>
  <c r="D152" i="17" s="1"/>
  <c r="L158" i="17"/>
  <c r="D158" i="17" s="1"/>
  <c r="L161" i="17"/>
  <c r="D161" i="17" s="1"/>
  <c r="L163" i="17"/>
  <c r="D163" i="17" s="1"/>
  <c r="L164" i="17"/>
  <c r="D164" i="17" s="1"/>
  <c r="L167" i="17"/>
  <c r="D167" i="17" s="1"/>
  <c r="L168" i="17"/>
  <c r="D168" i="17" s="1"/>
  <c r="L170" i="17"/>
  <c r="D170" i="17" s="1"/>
  <c r="L172" i="17"/>
  <c r="D172" i="17" s="1"/>
  <c r="L173" i="17"/>
  <c r="D173" i="17" s="1"/>
  <c r="L176" i="17"/>
  <c r="D176" i="17" s="1"/>
  <c r="L178" i="17"/>
  <c r="D178" i="17" s="1"/>
  <c r="L183" i="17"/>
  <c r="D183" i="17" s="1"/>
  <c r="L184" i="17"/>
  <c r="D184" i="17" s="1"/>
  <c r="L190" i="17"/>
  <c r="D190" i="17" s="1"/>
  <c r="L191" i="17"/>
  <c r="D191" i="17" s="1"/>
  <c r="L69" i="17"/>
  <c r="D69" i="17" s="1"/>
  <c r="L74" i="17"/>
  <c r="D74" i="17" s="1"/>
  <c r="L101" i="17"/>
  <c r="D101" i="17" s="1"/>
  <c r="L104" i="17"/>
  <c r="D104" i="17" s="1"/>
  <c r="L125" i="17"/>
  <c r="D125" i="17" s="1"/>
  <c r="L145" i="17"/>
  <c r="D145" i="17" s="1"/>
  <c r="L155" i="17"/>
  <c r="D155" i="17" s="1"/>
  <c r="L157" i="17"/>
  <c r="D157" i="17" s="1"/>
  <c r="L160" i="17"/>
  <c r="D160" i="17" s="1"/>
  <c r="L162" i="17"/>
  <c r="D162" i="17" s="1"/>
  <c r="L165" i="17"/>
  <c r="D165" i="17" s="1"/>
  <c r="L174" i="17"/>
  <c r="D174" i="17" s="1"/>
  <c r="L175" i="17"/>
  <c r="D175" i="17" s="1"/>
  <c r="L177" i="17"/>
  <c r="D177" i="17" s="1"/>
  <c r="L179" i="17"/>
  <c r="D179" i="17" s="1"/>
  <c r="L186" i="17"/>
  <c r="D186" i="17" s="1"/>
  <c r="L189" i="17"/>
  <c r="D189" i="17" s="1"/>
  <c r="L196" i="17"/>
  <c r="D196" i="17" s="1"/>
  <c r="L202" i="17"/>
  <c r="D202" i="17" s="1"/>
  <c r="L204" i="17"/>
  <c r="D204" i="17" s="1"/>
  <c r="L205" i="17"/>
  <c r="D205" i="17" s="1"/>
  <c r="L206" i="17"/>
  <c r="D206" i="17" s="1"/>
  <c r="L208" i="17"/>
  <c r="D208" i="17" s="1"/>
  <c r="L209" i="17"/>
  <c r="D209" i="17" s="1"/>
  <c r="L212" i="17"/>
  <c r="D212" i="17" s="1"/>
  <c r="L213" i="17"/>
  <c r="D213" i="17" s="1"/>
  <c r="L214" i="17"/>
  <c r="D214" i="17" s="1"/>
  <c r="L216" i="17"/>
  <c r="D216" i="17" s="1"/>
  <c r="L218" i="17"/>
  <c r="D218" i="17" s="1"/>
  <c r="L219" i="17"/>
  <c r="D219" i="17" s="1"/>
  <c r="L220" i="17"/>
  <c r="D220" i="17" s="1"/>
  <c r="L221" i="17"/>
  <c r="D221" i="17" s="1"/>
  <c r="L222" i="17"/>
  <c r="D222" i="17" s="1"/>
  <c r="L225" i="17"/>
  <c r="D225" i="17" s="1"/>
  <c r="L226" i="17"/>
  <c r="D226" i="17" s="1"/>
  <c r="L227" i="17"/>
  <c r="D227" i="17" s="1"/>
  <c r="L231" i="17"/>
  <c r="D231" i="17" s="1"/>
  <c r="L232" i="17"/>
  <c r="D232" i="17" s="1"/>
  <c r="L233" i="17"/>
  <c r="D233" i="17" s="1"/>
  <c r="L234" i="17"/>
  <c r="D234" i="17" s="1"/>
  <c r="L239" i="17"/>
  <c r="D239" i="17" s="1"/>
  <c r="L240" i="17"/>
  <c r="D240" i="17" s="1"/>
  <c r="L241" i="17"/>
  <c r="D241" i="17" s="1"/>
  <c r="L243" i="17"/>
  <c r="D243" i="17" s="1"/>
  <c r="L246" i="17"/>
  <c r="D246" i="17" s="1"/>
  <c r="L248" i="17"/>
  <c r="D248" i="17" s="1"/>
  <c r="L249" i="17"/>
  <c r="D249" i="17" s="1"/>
  <c r="L250" i="17"/>
  <c r="D250" i="17" s="1"/>
  <c r="L254" i="17"/>
  <c r="D254" i="17" s="1"/>
  <c r="L257" i="17"/>
  <c r="D257" i="17" s="1"/>
  <c r="L258" i="17"/>
  <c r="D258" i="17" s="1"/>
  <c r="L259" i="17"/>
  <c r="D259" i="17" s="1"/>
  <c r="L261" i="17"/>
  <c r="D261" i="17" s="1"/>
  <c r="L263" i="17"/>
  <c r="D263" i="17" s="1"/>
  <c r="L264" i="17"/>
  <c r="D264" i="17" s="1"/>
  <c r="L266" i="17"/>
  <c r="D266" i="17" s="1"/>
  <c r="L267" i="17"/>
  <c r="D267" i="17" s="1"/>
  <c r="L270" i="17"/>
  <c r="D270" i="17" s="1"/>
  <c r="L272" i="17"/>
  <c r="B64" i="7" s="1"/>
  <c r="L273" i="17"/>
  <c r="D273" i="17" s="1"/>
  <c r="L274" i="17"/>
  <c r="D274" i="17" s="1"/>
  <c r="L275" i="17"/>
  <c r="D275" i="17" s="1"/>
  <c r="L277" i="17"/>
  <c r="D277" i="17" s="1"/>
  <c r="L281" i="17"/>
  <c r="D281" i="17" s="1"/>
  <c r="L283" i="17"/>
  <c r="D283" i="17" s="1"/>
  <c r="L87" i="17"/>
  <c r="D87" i="17" s="1"/>
  <c r="L88" i="17"/>
  <c r="L90" i="17"/>
  <c r="D90" i="17" s="1"/>
  <c r="L106" i="17"/>
  <c r="D106" i="17" s="1"/>
  <c r="L121" i="17"/>
  <c r="D121" i="17" s="1"/>
  <c r="L144" i="17"/>
  <c r="D144" i="17" s="1"/>
  <c r="L153" i="17"/>
  <c r="D153" i="17" s="1"/>
  <c r="L154" i="17"/>
  <c r="D154" i="17" s="1"/>
  <c r="L166" i="17"/>
  <c r="D166" i="17" s="1"/>
  <c r="L185" i="17"/>
  <c r="D185" i="17" s="1"/>
  <c r="L187" i="17"/>
  <c r="D187" i="17" s="1"/>
  <c r="L188" i="17"/>
  <c r="D188" i="17" s="1"/>
  <c r="L192" i="17"/>
  <c r="D192" i="17" s="1"/>
  <c r="L193" i="17"/>
  <c r="D193" i="17" s="1"/>
  <c r="L194" i="17"/>
  <c r="D194" i="17" s="1"/>
  <c r="L198" i="17"/>
  <c r="D198" i="17" s="1"/>
  <c r="L207" i="17"/>
  <c r="D207" i="17" s="1"/>
  <c r="L211" i="17"/>
  <c r="D211" i="17" s="1"/>
  <c r="L215" i="17"/>
  <c r="D215" i="17" s="1"/>
  <c r="L223" i="17"/>
  <c r="D223" i="17" s="1"/>
  <c r="L224" i="17"/>
  <c r="D224" i="17" s="1"/>
  <c r="L228" i="17"/>
  <c r="D228" i="17" s="1"/>
  <c r="L229" i="17"/>
  <c r="D229" i="17" s="1"/>
  <c r="L242" i="17"/>
  <c r="D242" i="17" s="1"/>
  <c r="L252" i="17"/>
  <c r="D252" i="17" s="1"/>
  <c r="L253" i="17"/>
  <c r="D253" i="17" s="1"/>
  <c r="L256" i="17"/>
  <c r="D256" i="17" s="1"/>
  <c r="L262" i="17"/>
  <c r="D262" i="17" s="1"/>
  <c r="L265" i="17"/>
  <c r="D265" i="17" s="1"/>
  <c r="L271" i="17"/>
  <c r="D271" i="17" s="1"/>
  <c r="L278" i="17"/>
  <c r="D278" i="17" s="1"/>
  <c r="L280" i="17"/>
  <c r="D280" i="17" s="1"/>
  <c r="L286" i="17"/>
  <c r="D286" i="17" s="1"/>
  <c r="L287" i="17"/>
  <c r="D287" i="17" s="1"/>
  <c r="L288" i="17"/>
  <c r="D288" i="17" s="1"/>
  <c r="L293" i="17"/>
  <c r="D293" i="17" s="1"/>
  <c r="L294" i="17"/>
  <c r="D294" i="17" s="1"/>
  <c r="L295" i="17"/>
  <c r="D295" i="17" s="1"/>
  <c r="L297" i="17"/>
  <c r="D297" i="17" s="1"/>
  <c r="L299" i="17"/>
  <c r="D299" i="17" s="1"/>
  <c r="L300" i="17"/>
  <c r="D300" i="17" s="1"/>
  <c r="L304" i="17"/>
  <c r="D304" i="17" s="1"/>
  <c r="L309" i="17"/>
  <c r="D309" i="17" s="1"/>
  <c r="L310" i="17"/>
  <c r="D310" i="17" s="1"/>
  <c r="L312" i="17"/>
  <c r="D312" i="17" s="1"/>
  <c r="L313" i="17"/>
  <c r="D313" i="17" s="1"/>
  <c r="L315" i="17"/>
  <c r="D315" i="17" s="1"/>
  <c r="L316" i="17"/>
  <c r="D316" i="17" s="1"/>
  <c r="L317" i="17"/>
  <c r="D317" i="17" s="1"/>
  <c r="L318" i="17"/>
  <c r="D318" i="17" s="1"/>
  <c r="L319" i="17"/>
  <c r="D319" i="17" s="1"/>
  <c r="L320" i="17"/>
  <c r="D320" i="17" s="1"/>
  <c r="L323" i="17"/>
  <c r="D323" i="17" s="1"/>
  <c r="L324" i="17"/>
  <c r="D324" i="17" s="1"/>
  <c r="L326" i="17"/>
  <c r="D326" i="17" s="1"/>
  <c r="L327" i="17"/>
  <c r="D327" i="17" s="1"/>
  <c r="L329" i="17"/>
  <c r="D329" i="17" s="1"/>
  <c r="L330" i="17"/>
  <c r="D330" i="17" s="1"/>
  <c r="L331" i="17"/>
  <c r="D331" i="17" s="1"/>
  <c r="L333" i="17"/>
  <c r="D333" i="17" s="1"/>
  <c r="L334" i="17"/>
  <c r="D334" i="17" s="1"/>
  <c r="L335" i="17"/>
  <c r="D335" i="17" s="1"/>
  <c r="L341" i="17"/>
  <c r="D341" i="17" s="1"/>
  <c r="L342" i="17"/>
  <c r="D342" i="17" s="1"/>
  <c r="L346" i="17"/>
  <c r="D346" i="17" s="1"/>
  <c r="L348" i="17"/>
  <c r="D348" i="17" s="1"/>
  <c r="L349" i="17"/>
  <c r="D349" i="17" s="1"/>
  <c r="L350" i="17"/>
  <c r="D350" i="17" s="1"/>
  <c r="L351" i="17"/>
  <c r="D351" i="17" s="1"/>
  <c r="L353" i="17"/>
  <c r="D353" i="17" s="1"/>
  <c r="L355" i="17"/>
  <c r="D355" i="17" s="1"/>
  <c r="L356" i="17"/>
  <c r="D356" i="17" s="1"/>
  <c r="L359" i="17"/>
  <c r="D359" i="17" s="1"/>
  <c r="L360" i="17"/>
  <c r="D360" i="17" s="1"/>
  <c r="L361" i="17"/>
  <c r="D361" i="17" s="1"/>
  <c r="L364" i="17"/>
  <c r="D364" i="17" s="1"/>
  <c r="L368" i="17"/>
  <c r="D368" i="17" s="1"/>
  <c r="L370" i="17"/>
  <c r="D370" i="17" s="1"/>
  <c r="L371" i="17"/>
  <c r="D371" i="17" s="1"/>
  <c r="L373" i="17"/>
  <c r="D373" i="17" s="1"/>
  <c r="L374" i="17"/>
  <c r="D374" i="17" s="1"/>
  <c r="L375" i="17"/>
  <c r="D375" i="17" s="1"/>
  <c r="L377" i="17"/>
  <c r="D377" i="17" s="1"/>
  <c r="L378" i="17"/>
  <c r="D378" i="17" s="1"/>
  <c r="L379" i="17"/>
  <c r="L64" i="17"/>
  <c r="D64" i="17" s="1"/>
  <c r="L70" i="17"/>
  <c r="D70" i="17" s="1"/>
  <c r="L26" i="17"/>
  <c r="D26" i="17" s="1"/>
  <c r="L50" i="17"/>
  <c r="D50" i="17" s="1"/>
  <c r="L58" i="17"/>
  <c r="D58" i="17" s="1"/>
  <c r="L59" i="17"/>
  <c r="D59" i="17" s="1"/>
  <c r="L35" i="17"/>
  <c r="D35" i="17" s="1"/>
  <c r="L37" i="17"/>
  <c r="D37" i="17" s="1"/>
  <c r="L39" i="17"/>
  <c r="D39" i="17" s="1"/>
  <c r="L45" i="17"/>
  <c r="D45" i="17" s="1"/>
  <c r="L46" i="17"/>
  <c r="D46" i="17" s="1"/>
  <c r="L52" i="17"/>
  <c r="D52" i="17" s="1"/>
  <c r="L54" i="17"/>
  <c r="D54" i="17" s="1"/>
  <c r="L24" i="17"/>
  <c r="D24" i="17" s="1"/>
  <c r="L31" i="17"/>
  <c r="D31" i="17" s="1"/>
  <c r="L41" i="17"/>
  <c r="D41" i="17" s="1"/>
  <c r="L44" i="17"/>
  <c r="D44" i="17" s="1"/>
  <c r="L15" i="17"/>
  <c r="D15" i="17" s="1"/>
  <c r="L20" i="17"/>
  <c r="D20" i="17" s="1"/>
  <c r="L23" i="17"/>
  <c r="D23" i="17" s="1"/>
  <c r="L25" i="17"/>
  <c r="D25" i="17" s="1"/>
  <c r="L33" i="17"/>
  <c r="D33" i="17" s="1"/>
  <c r="L34" i="17"/>
  <c r="D34" i="17" s="1"/>
  <c r="L36" i="17"/>
  <c r="D36" i="17" s="1"/>
  <c r="L22" i="17"/>
  <c r="D22" i="17" s="1"/>
  <c r="L16" i="17"/>
  <c r="D16" i="17" s="1"/>
  <c r="AJ7" i="1"/>
  <c r="AJ11" i="1" s="1"/>
  <c r="L97" i="15"/>
  <c r="D97" i="15" s="1"/>
  <c r="L98" i="15"/>
  <c r="D98" i="15" s="1"/>
  <c r="L107" i="15"/>
  <c r="D107" i="15" s="1"/>
  <c r="L108" i="15"/>
  <c r="D108" i="15" s="1"/>
  <c r="L109" i="15"/>
  <c r="D109" i="15" s="1"/>
  <c r="L115" i="15"/>
  <c r="D115" i="15" s="1"/>
  <c r="L116" i="15"/>
  <c r="D116" i="15" s="1"/>
  <c r="L120" i="15"/>
  <c r="D120" i="15" s="1"/>
  <c r="L121" i="15"/>
  <c r="D121" i="15" s="1"/>
  <c r="L124" i="15"/>
  <c r="D124" i="15" s="1"/>
  <c r="L127" i="15"/>
  <c r="D127" i="15" s="1"/>
  <c r="L136" i="15"/>
  <c r="D136" i="15" s="1"/>
  <c r="L142" i="15"/>
  <c r="D142" i="15" s="1"/>
  <c r="L143" i="15"/>
  <c r="D143" i="15" s="1"/>
  <c r="L144" i="15"/>
  <c r="D144" i="15" s="1"/>
  <c r="L145" i="15"/>
  <c r="D145" i="15" s="1"/>
  <c r="L147" i="15"/>
  <c r="D147" i="15" s="1"/>
  <c r="L148" i="15"/>
  <c r="D148" i="15" s="1"/>
  <c r="L149" i="15"/>
  <c r="L150" i="15"/>
  <c r="D150" i="15" s="1"/>
  <c r="L151" i="15"/>
  <c r="D151" i="15" s="1"/>
  <c r="L152" i="15"/>
  <c r="D152" i="15" s="1"/>
  <c r="L153" i="15"/>
  <c r="D153" i="15" s="1"/>
  <c r="L154" i="15"/>
  <c r="D154" i="15" s="1"/>
  <c r="L157" i="15"/>
  <c r="D157" i="15" s="1"/>
  <c r="L158" i="15"/>
  <c r="D158" i="15" s="1"/>
  <c r="L160" i="15"/>
  <c r="D160" i="15" s="1"/>
  <c r="L161" i="15"/>
  <c r="D161" i="15" s="1"/>
  <c r="L163" i="15"/>
  <c r="D163" i="15" s="1"/>
  <c r="L166" i="15"/>
  <c r="D166" i="15" s="1"/>
  <c r="L167" i="15"/>
  <c r="D167" i="15" s="1"/>
  <c r="L168" i="15"/>
  <c r="D168" i="15" s="1"/>
  <c r="L174" i="15"/>
  <c r="D174" i="15" s="1"/>
  <c r="L177" i="15"/>
  <c r="D177" i="15" s="1"/>
  <c r="L178" i="15"/>
  <c r="D178" i="15" s="1"/>
  <c r="L180" i="15"/>
  <c r="L181" i="15"/>
  <c r="D181" i="15" s="1"/>
  <c r="L182" i="15"/>
  <c r="D182" i="15" s="1"/>
  <c r="L186" i="15"/>
  <c r="D186" i="15" s="1"/>
  <c r="L187" i="15"/>
  <c r="D187" i="15" s="1"/>
  <c r="L188" i="15"/>
  <c r="D188" i="15" s="1"/>
  <c r="L66" i="15"/>
  <c r="D66" i="15" s="1"/>
  <c r="L75" i="15"/>
  <c r="D75" i="15" s="1"/>
  <c r="L96" i="15"/>
  <c r="D96" i="15" s="1"/>
  <c r="L101" i="15"/>
  <c r="D101" i="15" s="1"/>
  <c r="L105" i="15"/>
  <c r="D105" i="15" s="1"/>
  <c r="L135" i="15"/>
  <c r="D135" i="15" s="1"/>
  <c r="L139" i="15"/>
  <c r="D139" i="15" s="1"/>
  <c r="L159" i="15"/>
  <c r="D159" i="15" s="1"/>
  <c r="L162" i="15"/>
  <c r="D162" i="15" s="1"/>
  <c r="L169" i="15"/>
  <c r="D169" i="15" s="1"/>
  <c r="L171" i="15"/>
  <c r="D171" i="15" s="1"/>
  <c r="L172" i="15"/>
  <c r="D172" i="15" s="1"/>
  <c r="L176" i="15"/>
  <c r="D176" i="15" s="1"/>
  <c r="L179" i="15"/>
  <c r="D179" i="15" s="1"/>
  <c r="L189" i="15"/>
  <c r="D189" i="15" s="1"/>
  <c r="L192" i="15"/>
  <c r="D192" i="15" s="1"/>
  <c r="L194" i="15"/>
  <c r="D194" i="15" s="1"/>
  <c r="L196" i="15"/>
  <c r="D196" i="15" s="1"/>
  <c r="L197" i="15"/>
  <c r="D197" i="15" s="1"/>
  <c r="L198" i="15"/>
  <c r="D198" i="15" s="1"/>
  <c r="L199" i="15"/>
  <c r="D199" i="15" s="1"/>
  <c r="L202" i="15"/>
  <c r="D202" i="15" s="1"/>
  <c r="L205" i="15"/>
  <c r="D205" i="15" s="1"/>
  <c r="L206" i="15"/>
  <c r="D206" i="15" s="1"/>
  <c r="L210" i="15"/>
  <c r="B38" i="7" s="1"/>
  <c r="L213" i="15"/>
  <c r="D213" i="15" s="1"/>
  <c r="L214" i="15"/>
  <c r="D214" i="15" s="1"/>
  <c r="L216" i="15"/>
  <c r="D216" i="15" s="1"/>
  <c r="L217" i="15"/>
  <c r="D217" i="15" s="1"/>
  <c r="L218" i="15"/>
  <c r="D218" i="15" s="1"/>
  <c r="L219" i="15"/>
  <c r="D219" i="15" s="1"/>
  <c r="L220" i="15"/>
  <c r="D220" i="15" s="1"/>
  <c r="L223" i="15"/>
  <c r="D223" i="15" s="1"/>
  <c r="L224" i="15"/>
  <c r="D224" i="15" s="1"/>
  <c r="L225" i="15"/>
  <c r="D225" i="15" s="1"/>
  <c r="L226" i="15"/>
  <c r="D226" i="15" s="1"/>
  <c r="L228" i="15"/>
  <c r="D228" i="15" s="1"/>
  <c r="L231" i="15"/>
  <c r="D231" i="15" s="1"/>
  <c r="L236" i="15"/>
  <c r="D236" i="15" s="1"/>
  <c r="L237" i="15"/>
  <c r="D237" i="15" s="1"/>
  <c r="L241" i="15"/>
  <c r="L243" i="15"/>
  <c r="D243" i="15" s="1"/>
  <c r="L245" i="15"/>
  <c r="D245" i="15" s="1"/>
  <c r="L246" i="15"/>
  <c r="D246" i="15" s="1"/>
  <c r="L248" i="15"/>
  <c r="D248" i="15" s="1"/>
  <c r="L250" i="15"/>
  <c r="D250" i="15" s="1"/>
  <c r="L251" i="15"/>
  <c r="D251" i="15" s="1"/>
  <c r="L253" i="15"/>
  <c r="D253" i="15" s="1"/>
  <c r="L255" i="15"/>
  <c r="D255" i="15" s="1"/>
  <c r="L257" i="15"/>
  <c r="D257" i="15" s="1"/>
  <c r="L259" i="15"/>
  <c r="D259" i="15" s="1"/>
  <c r="L260" i="15"/>
  <c r="D260" i="15" s="1"/>
  <c r="L261" i="15"/>
  <c r="D261" i="15" s="1"/>
  <c r="L263" i="15"/>
  <c r="D263" i="15" s="1"/>
  <c r="L265" i="15"/>
  <c r="D265" i="15" s="1"/>
  <c r="L266" i="15"/>
  <c r="D266" i="15" s="1"/>
  <c r="L267" i="15"/>
  <c r="D267" i="15" s="1"/>
  <c r="L269" i="15"/>
  <c r="D269" i="15" s="1"/>
  <c r="L270" i="15"/>
  <c r="D270" i="15" s="1"/>
  <c r="L272" i="15"/>
  <c r="L276" i="15"/>
  <c r="D276" i="15" s="1"/>
  <c r="L278" i="15"/>
  <c r="D278" i="15" s="1"/>
  <c r="L89" i="15"/>
  <c r="D89" i="15" s="1"/>
  <c r="L93" i="15"/>
  <c r="D93" i="15" s="1"/>
  <c r="L99" i="15"/>
  <c r="D99" i="15" s="1"/>
  <c r="L104" i="15"/>
  <c r="D104" i="15" s="1"/>
  <c r="L119" i="15"/>
  <c r="B35" i="7" s="1"/>
  <c r="L128" i="15"/>
  <c r="D128" i="15" s="1"/>
  <c r="L129" i="15"/>
  <c r="D129" i="15" s="1"/>
  <c r="L132" i="15"/>
  <c r="D132" i="15" s="1"/>
  <c r="L137" i="15"/>
  <c r="D137" i="15" s="1"/>
  <c r="L146" i="15"/>
  <c r="D146" i="15" s="1"/>
  <c r="L175" i="15"/>
  <c r="D175" i="15" s="1"/>
  <c r="L183" i="15"/>
  <c r="D183" i="15" s="1"/>
  <c r="L184" i="15"/>
  <c r="D184" i="15" s="1"/>
  <c r="L185" i="15"/>
  <c r="D185" i="15" s="1"/>
  <c r="L190" i="15"/>
  <c r="D190" i="15" s="1"/>
  <c r="L193" i="15"/>
  <c r="D193" i="15" s="1"/>
  <c r="L195" i="15"/>
  <c r="D195" i="15" s="1"/>
  <c r="L203" i="15"/>
  <c r="D203" i="15" s="1"/>
  <c r="L204" i="15"/>
  <c r="D204" i="15" s="1"/>
  <c r="L207" i="15"/>
  <c r="D207" i="15" s="1"/>
  <c r="L208" i="15"/>
  <c r="D208" i="15" s="1"/>
  <c r="L211" i="15"/>
  <c r="D211" i="15" s="1"/>
  <c r="L212" i="15"/>
  <c r="D212" i="15" s="1"/>
  <c r="L215" i="15"/>
  <c r="D215" i="15" s="1"/>
  <c r="L221" i="15"/>
  <c r="D221" i="15" s="1"/>
  <c r="L222" i="15"/>
  <c r="D222" i="15" s="1"/>
  <c r="L229" i="15"/>
  <c r="D229" i="15" s="1"/>
  <c r="L239" i="15"/>
  <c r="D239" i="15" s="1"/>
  <c r="L244" i="15"/>
  <c r="D244" i="15" s="1"/>
  <c r="L247" i="15"/>
  <c r="D247" i="15" s="1"/>
  <c r="L249" i="15"/>
  <c r="D249" i="15" s="1"/>
  <c r="L252" i="15"/>
  <c r="D252" i="15" s="1"/>
  <c r="L254" i="15"/>
  <c r="D254" i="15" s="1"/>
  <c r="L256" i="15"/>
  <c r="D256" i="15" s="1"/>
  <c r="L264" i="15"/>
  <c r="D264" i="15" s="1"/>
  <c r="L271" i="15"/>
  <c r="D271" i="15" s="1"/>
  <c r="L274" i="15"/>
  <c r="D274" i="15" s="1"/>
  <c r="L280" i="15"/>
  <c r="D280" i="15" s="1"/>
  <c r="L283" i="15"/>
  <c r="D283" i="15" s="1"/>
  <c r="L284" i="15"/>
  <c r="D284" i="15" s="1"/>
  <c r="L286" i="15"/>
  <c r="D286" i="15" s="1"/>
  <c r="L287" i="15"/>
  <c r="D287" i="15" s="1"/>
  <c r="L290" i="15"/>
  <c r="D290" i="15" s="1"/>
  <c r="L291" i="15"/>
  <c r="D291" i="15" s="1"/>
  <c r="L292" i="15"/>
  <c r="D292" i="15" s="1"/>
  <c r="L293" i="15"/>
  <c r="D293" i="15" s="1"/>
  <c r="L297" i="15"/>
  <c r="D297" i="15" s="1"/>
  <c r="L300" i="15"/>
  <c r="D300" i="15" s="1"/>
  <c r="L302" i="15"/>
  <c r="D302" i="15" s="1"/>
  <c r="L303" i="15"/>
  <c r="D303" i="15" s="1"/>
  <c r="L304" i="15"/>
  <c r="D304" i="15" s="1"/>
  <c r="L307" i="15"/>
  <c r="D307" i="15" s="1"/>
  <c r="L310" i="15"/>
  <c r="D310" i="15" s="1"/>
  <c r="L312" i="15"/>
  <c r="D312" i="15" s="1"/>
  <c r="L315" i="15"/>
  <c r="D315" i="15" s="1"/>
  <c r="L319" i="15"/>
  <c r="D319" i="15" s="1"/>
  <c r="L321" i="15"/>
  <c r="D321" i="15" s="1"/>
  <c r="L322" i="15"/>
  <c r="D322" i="15" s="1"/>
  <c r="L323" i="15"/>
  <c r="D323" i="15" s="1"/>
  <c r="L324" i="15"/>
  <c r="D324" i="15" s="1"/>
  <c r="L332" i="15"/>
  <c r="D332" i="15" s="1"/>
  <c r="L334" i="15"/>
  <c r="D334" i="15" s="1"/>
  <c r="L335" i="15"/>
  <c r="D335" i="15" s="1"/>
  <c r="L337" i="15"/>
  <c r="D337" i="15" s="1"/>
  <c r="L338" i="15"/>
  <c r="D338" i="15" s="1"/>
  <c r="L339" i="15"/>
  <c r="D339" i="15" s="1"/>
  <c r="L340" i="15"/>
  <c r="D340" i="15" s="1"/>
  <c r="L341" i="15"/>
  <c r="D341" i="15" s="1"/>
  <c r="L346" i="15"/>
  <c r="D346" i="15" s="1"/>
  <c r="L347" i="15"/>
  <c r="D347" i="15" s="1"/>
  <c r="L348" i="15"/>
  <c r="D348" i="15" s="1"/>
  <c r="L353" i="15"/>
  <c r="D353" i="15" s="1"/>
  <c r="L354" i="15"/>
  <c r="D354" i="15" s="1"/>
  <c r="L355" i="15"/>
  <c r="D355" i="15" s="1"/>
  <c r="L359" i="15"/>
  <c r="D359" i="15" s="1"/>
  <c r="L362" i="15"/>
  <c r="D362" i="15" s="1"/>
  <c r="L364" i="15"/>
  <c r="D364" i="15" s="1"/>
  <c r="L365" i="15"/>
  <c r="D365" i="15" s="1"/>
  <c r="L366" i="15"/>
  <c r="D366" i="15" s="1"/>
  <c r="L367" i="15"/>
  <c r="D367" i="15" s="1"/>
  <c r="L370" i="15"/>
  <c r="D370" i="15" s="1"/>
  <c r="L376" i="15"/>
  <c r="D376" i="15" s="1"/>
  <c r="L378" i="15"/>
  <c r="D378" i="15" s="1"/>
  <c r="L63" i="15"/>
  <c r="D63" i="15" s="1"/>
  <c r="L25" i="15"/>
  <c r="D25" i="15" s="1"/>
  <c r="L43" i="15"/>
  <c r="D43" i="15" s="1"/>
  <c r="L46" i="15"/>
  <c r="D46" i="15" s="1"/>
  <c r="L48" i="15"/>
  <c r="D48" i="15" s="1"/>
  <c r="L51" i="15"/>
  <c r="D51" i="15" s="1"/>
  <c r="L56" i="15"/>
  <c r="D56" i="15" s="1"/>
  <c r="L57" i="15"/>
  <c r="D57" i="15" s="1"/>
  <c r="L38" i="15"/>
  <c r="D38" i="15" s="1"/>
  <c r="L45" i="15"/>
  <c r="D45" i="15" s="1"/>
  <c r="L52" i="15"/>
  <c r="D52" i="15" s="1"/>
  <c r="L53" i="15"/>
  <c r="D53" i="15" s="1"/>
  <c r="L15" i="15"/>
  <c r="D15" i="15" s="1"/>
  <c r="L24" i="15"/>
  <c r="D24" i="15" s="1"/>
  <c r="L26" i="15"/>
  <c r="D26" i="15" s="1"/>
  <c r="L42" i="15"/>
  <c r="D42" i="15" s="1"/>
  <c r="L17" i="15"/>
  <c r="D17" i="15" s="1"/>
  <c r="L19" i="15"/>
  <c r="D19" i="15" s="1"/>
  <c r="L33" i="15"/>
  <c r="D33" i="15" s="1"/>
  <c r="L28" i="15"/>
  <c r="D28" i="15" s="1"/>
  <c r="L21" i="15"/>
  <c r="D21" i="15" s="1"/>
  <c r="L157" i="1"/>
  <c r="L158" i="1"/>
  <c r="L159" i="1"/>
  <c r="L160" i="1"/>
  <c r="L161" i="1"/>
  <c r="L164" i="1"/>
  <c r="L165" i="1"/>
  <c r="L166" i="1"/>
  <c r="L167" i="1"/>
  <c r="L168" i="1"/>
  <c r="L170" i="1"/>
  <c r="D170" i="1" s="1"/>
  <c r="L172" i="1"/>
  <c r="D172" i="1" s="1"/>
  <c r="L175" i="1"/>
  <c r="D175" i="1" s="1"/>
  <c r="L176" i="1"/>
  <c r="D176" i="1" s="1"/>
  <c r="L177" i="1"/>
  <c r="D177" i="1" s="1"/>
  <c r="L180" i="1"/>
  <c r="L181" i="1"/>
  <c r="D181" i="1" s="1"/>
  <c r="L182" i="1"/>
  <c r="D182" i="1" s="1"/>
  <c r="L183" i="1"/>
  <c r="D183" i="1" s="1"/>
  <c r="L188" i="1"/>
  <c r="D188" i="1" s="1"/>
  <c r="L189" i="1"/>
  <c r="D189" i="1" s="1"/>
  <c r="L162" i="1"/>
  <c r="L163" i="1"/>
  <c r="L173" i="1"/>
  <c r="D173" i="1" s="1"/>
  <c r="L187" i="1"/>
  <c r="D187" i="1" s="1"/>
  <c r="L190" i="1"/>
  <c r="D190" i="1" s="1"/>
  <c r="L191" i="1"/>
  <c r="D191" i="1" s="1"/>
  <c r="L192" i="1"/>
  <c r="D192" i="1" s="1"/>
  <c r="L194" i="1"/>
  <c r="D194" i="1" s="1"/>
  <c r="L197" i="1"/>
  <c r="D197" i="1" s="1"/>
  <c r="L198" i="1"/>
  <c r="D198" i="1" s="1"/>
  <c r="L200" i="1"/>
  <c r="D200" i="1" s="1"/>
  <c r="L201" i="1"/>
  <c r="D201" i="1" s="1"/>
  <c r="L202" i="1"/>
  <c r="D202" i="1" s="1"/>
  <c r="L203" i="1"/>
  <c r="D203" i="1" s="1"/>
  <c r="L205" i="1"/>
  <c r="D205" i="1" s="1"/>
  <c r="L207" i="1"/>
  <c r="D207" i="1" s="1"/>
  <c r="L208" i="1"/>
  <c r="D208" i="1" s="1"/>
  <c r="L210" i="1"/>
  <c r="L213" i="1"/>
  <c r="D213" i="1" s="1"/>
  <c r="L214" i="1"/>
  <c r="D214" i="1" s="1"/>
  <c r="L215" i="1"/>
  <c r="D215" i="1" s="1"/>
  <c r="L216" i="1"/>
  <c r="D216" i="1" s="1"/>
  <c r="L217" i="1"/>
  <c r="D217" i="1" s="1"/>
  <c r="L218" i="1"/>
  <c r="D218" i="1" s="1"/>
  <c r="L223" i="1"/>
  <c r="D223" i="1" s="1"/>
  <c r="L224" i="1"/>
  <c r="D224" i="1" s="1"/>
  <c r="L229" i="1"/>
  <c r="D229" i="1" s="1"/>
  <c r="L230" i="1"/>
  <c r="D230" i="1" s="1"/>
  <c r="L232" i="1"/>
  <c r="D232" i="1" s="1"/>
  <c r="L233" i="1"/>
  <c r="D233" i="1" s="1"/>
  <c r="L235" i="1"/>
  <c r="D235" i="1" s="1"/>
  <c r="L238" i="1"/>
  <c r="D238" i="1" s="1"/>
  <c r="L239" i="1"/>
  <c r="D239" i="1" s="1"/>
  <c r="L240" i="1"/>
  <c r="D240" i="1" s="1"/>
  <c r="L243" i="1"/>
  <c r="D243" i="1" s="1"/>
  <c r="L247" i="1"/>
  <c r="D247" i="1" s="1"/>
  <c r="L248" i="1"/>
  <c r="D248" i="1" s="1"/>
  <c r="L249" i="1"/>
  <c r="D249" i="1" s="1"/>
  <c r="L250" i="1"/>
  <c r="D250" i="1" s="1"/>
  <c r="L252" i="1"/>
  <c r="D252" i="1" s="1"/>
  <c r="L254" i="1"/>
  <c r="D254" i="1" s="1"/>
  <c r="L258" i="1"/>
  <c r="D258" i="1" s="1"/>
  <c r="L261" i="1"/>
  <c r="D261" i="1" s="1"/>
  <c r="L263" i="1"/>
  <c r="D263" i="1" s="1"/>
  <c r="L265" i="1"/>
  <c r="D265" i="1" s="1"/>
  <c r="L268" i="1"/>
  <c r="D268" i="1" s="1"/>
  <c r="L270" i="1"/>
  <c r="D270" i="1" s="1"/>
  <c r="L272" i="1"/>
  <c r="L273" i="1"/>
  <c r="D273" i="1" s="1"/>
  <c r="L275" i="1"/>
  <c r="D275" i="1" s="1"/>
  <c r="L276" i="1"/>
  <c r="D276" i="1" s="1"/>
  <c r="L278" i="1"/>
  <c r="D278" i="1" s="1"/>
  <c r="L282" i="1"/>
  <c r="D282" i="1" s="1"/>
  <c r="L283" i="1"/>
  <c r="D283" i="1" s="1"/>
  <c r="L184" i="1"/>
  <c r="D184" i="1" s="1"/>
  <c r="L185" i="1"/>
  <c r="D185" i="1" s="1"/>
  <c r="L186" i="1"/>
  <c r="D186" i="1" s="1"/>
  <c r="L193" i="1"/>
  <c r="D193" i="1" s="1"/>
  <c r="L196" i="1"/>
  <c r="D196" i="1" s="1"/>
  <c r="L204" i="1"/>
  <c r="D204" i="1" s="1"/>
  <c r="L206" i="1"/>
  <c r="D206" i="1" s="1"/>
  <c r="L209" i="1"/>
  <c r="D209" i="1" s="1"/>
  <c r="L211" i="1"/>
  <c r="D211" i="1" s="1"/>
  <c r="L219" i="1"/>
  <c r="D219" i="1" s="1"/>
  <c r="L220" i="1"/>
  <c r="D220" i="1" s="1"/>
  <c r="L225" i="1"/>
  <c r="D225" i="1" s="1"/>
  <c r="L231" i="1"/>
  <c r="D231" i="1" s="1"/>
  <c r="L237" i="1"/>
  <c r="D237" i="1" s="1"/>
  <c r="L241" i="1"/>
  <c r="B27" i="7" s="1"/>
  <c r="L242" i="1"/>
  <c r="D242" i="1" s="1"/>
  <c r="L253" i="1"/>
  <c r="D253" i="1" s="1"/>
  <c r="L255" i="1"/>
  <c r="D255" i="1" s="1"/>
  <c r="L256" i="1"/>
  <c r="D256" i="1" s="1"/>
  <c r="L257" i="1"/>
  <c r="D257" i="1" s="1"/>
  <c r="L262" i="1"/>
  <c r="D262" i="1" s="1"/>
  <c r="L267" i="1"/>
  <c r="D267" i="1" s="1"/>
  <c r="L271" i="1"/>
  <c r="D271" i="1" s="1"/>
  <c r="L280" i="1"/>
  <c r="D280" i="1" s="1"/>
  <c r="L281" i="1"/>
  <c r="D281" i="1" s="1"/>
  <c r="L285" i="1"/>
  <c r="D285" i="1" s="1"/>
  <c r="L287" i="1"/>
  <c r="D287" i="1" s="1"/>
  <c r="L288" i="1"/>
  <c r="D288" i="1" s="1"/>
  <c r="L289" i="1"/>
  <c r="D289" i="1" s="1"/>
  <c r="L290" i="1"/>
  <c r="D290" i="1" s="1"/>
  <c r="L291" i="1"/>
  <c r="D291" i="1" s="1"/>
  <c r="L294" i="1"/>
  <c r="D294" i="1" s="1"/>
  <c r="L295" i="1"/>
  <c r="D295" i="1" s="1"/>
  <c r="L296" i="1"/>
  <c r="D296" i="1" s="1"/>
  <c r="L300" i="1"/>
  <c r="D300" i="1" s="1"/>
  <c r="L302" i="1"/>
  <c r="L305" i="1"/>
  <c r="D305" i="1" s="1"/>
  <c r="L306" i="1"/>
  <c r="D306" i="1" s="1"/>
  <c r="L308" i="1"/>
  <c r="D308" i="1" s="1"/>
  <c r="L312" i="1"/>
  <c r="D312" i="1" s="1"/>
  <c r="L313" i="1"/>
  <c r="D313" i="1" s="1"/>
  <c r="L314" i="1"/>
  <c r="D314" i="1" s="1"/>
  <c r="L319" i="1"/>
  <c r="D319" i="1" s="1"/>
  <c r="L320" i="1"/>
  <c r="D320" i="1" s="1"/>
  <c r="L322" i="1"/>
  <c r="D322" i="1" s="1"/>
  <c r="L323" i="1"/>
  <c r="D323" i="1" s="1"/>
  <c r="L325" i="1"/>
  <c r="D325" i="1" s="1"/>
  <c r="L327" i="1"/>
  <c r="D327" i="1" s="1"/>
  <c r="L330" i="1"/>
  <c r="D330" i="1" s="1"/>
  <c r="L332" i="1"/>
  <c r="D332" i="1" s="1"/>
  <c r="L336" i="1"/>
  <c r="D336" i="1" s="1"/>
  <c r="L337" i="1"/>
  <c r="D337" i="1" s="1"/>
  <c r="L339" i="1"/>
  <c r="D339" i="1" s="1"/>
  <c r="L340" i="1"/>
  <c r="D340" i="1" s="1"/>
  <c r="L341" i="1"/>
  <c r="D341" i="1" s="1"/>
  <c r="L343" i="1"/>
  <c r="D343" i="1" s="1"/>
  <c r="L347" i="1"/>
  <c r="D347" i="1" s="1"/>
  <c r="L349" i="1"/>
  <c r="D349" i="1" s="1"/>
  <c r="L350" i="1"/>
  <c r="D350" i="1" s="1"/>
  <c r="L352" i="1"/>
  <c r="D352" i="1" s="1"/>
  <c r="L354" i="1"/>
  <c r="D354" i="1" s="1"/>
  <c r="L355" i="1"/>
  <c r="D355" i="1" s="1"/>
  <c r="L356" i="1"/>
  <c r="D356" i="1" s="1"/>
  <c r="L358" i="1"/>
  <c r="D358" i="1" s="1"/>
  <c r="L359" i="1"/>
  <c r="D359" i="1" s="1"/>
  <c r="L361" i="1"/>
  <c r="D361" i="1" s="1"/>
  <c r="L362" i="1"/>
  <c r="D362" i="1" s="1"/>
  <c r="L363" i="1"/>
  <c r="B31" i="7" s="1"/>
  <c r="L367" i="1"/>
  <c r="D367" i="1" s="1"/>
  <c r="L370" i="1"/>
  <c r="D370" i="1" s="1"/>
  <c r="L372" i="1"/>
  <c r="D372" i="1" s="1"/>
  <c r="L373" i="1"/>
  <c r="D373" i="1" s="1"/>
  <c r="L376" i="1"/>
  <c r="D376" i="1" s="1"/>
  <c r="L377" i="1"/>
  <c r="D377" i="1" s="1"/>
  <c r="L379" i="1"/>
  <c r="L11" i="25"/>
  <c r="L28" i="24"/>
  <c r="L22" i="24"/>
  <c r="L24" i="24"/>
  <c r="L37" i="24"/>
  <c r="L34" i="24"/>
  <c r="L54" i="24"/>
  <c r="L48" i="24"/>
  <c r="L40" i="24"/>
  <c r="L66" i="24"/>
  <c r="L63" i="24"/>
  <c r="L60" i="24"/>
  <c r="AF57" i="7" s="1"/>
  <c r="L58" i="24"/>
  <c r="L379" i="24"/>
  <c r="B43" i="19" s="1"/>
  <c r="L376" i="24"/>
  <c r="L373" i="24"/>
  <c r="L358" i="24"/>
  <c r="L354" i="24"/>
  <c r="L350" i="24"/>
  <c r="L344" i="24"/>
  <c r="L342" i="24"/>
  <c r="L338" i="24"/>
  <c r="L336" i="24"/>
  <c r="L334" i="24"/>
  <c r="L332" i="24"/>
  <c r="L326" i="24"/>
  <c r="L323" i="24"/>
  <c r="L320" i="24"/>
  <c r="L315" i="24"/>
  <c r="L313" i="24"/>
  <c r="L309" i="24"/>
  <c r="L307" i="24"/>
  <c r="L303" i="24"/>
  <c r="L301" i="24"/>
  <c r="L298" i="24"/>
  <c r="L15" i="24"/>
  <c r="L31" i="24"/>
  <c r="L26" i="24"/>
  <c r="L16" i="24"/>
  <c r="L41" i="24"/>
  <c r="L36" i="24"/>
  <c r="L17" i="24"/>
  <c r="L46" i="24"/>
  <c r="L42" i="24"/>
  <c r="L55" i="24"/>
  <c r="L44" i="24"/>
  <c r="L378" i="24"/>
  <c r="L372" i="24"/>
  <c r="L370" i="24"/>
  <c r="L367" i="24"/>
  <c r="L365" i="24"/>
  <c r="L363" i="24"/>
  <c r="AF67" i="7" s="1"/>
  <c r="L361" i="24"/>
  <c r="L359" i="24"/>
  <c r="L356" i="24"/>
  <c r="L351" i="24"/>
  <c r="L347" i="24"/>
  <c r="L345" i="24"/>
  <c r="L339" i="24"/>
  <c r="L330" i="24"/>
  <c r="L328" i="24"/>
  <c r="L321" i="24"/>
  <c r="L317" i="24"/>
  <c r="L312" i="24"/>
  <c r="L306" i="24"/>
  <c r="L299" i="24"/>
  <c r="L293" i="24"/>
  <c r="L286" i="24"/>
  <c r="L282" i="24"/>
  <c r="L278" i="24"/>
  <c r="L274" i="24"/>
  <c r="L269" i="24"/>
  <c r="L266" i="24"/>
  <c r="L261" i="24"/>
  <c r="L244" i="24"/>
  <c r="L225" i="24"/>
  <c r="L222" i="24"/>
  <c r="L216" i="24"/>
  <c r="L212" i="24"/>
  <c r="L193" i="24"/>
  <c r="L172" i="24"/>
  <c r="L163" i="24"/>
  <c r="L141" i="24"/>
  <c r="L129" i="24"/>
  <c r="L294" i="24"/>
  <c r="L291" i="24"/>
  <c r="L289" i="24"/>
  <c r="L284" i="24"/>
  <c r="L280" i="24"/>
  <c r="L277" i="24"/>
  <c r="L273" i="24"/>
  <c r="L260" i="24"/>
  <c r="L257" i="24"/>
  <c r="L252" i="24"/>
  <c r="L248" i="24"/>
  <c r="L242" i="24"/>
  <c r="L239" i="24"/>
  <c r="L235" i="24"/>
  <c r="L233" i="24"/>
  <c r="L229" i="24"/>
  <c r="L226" i="24"/>
  <c r="L220" i="24"/>
  <c r="L218" i="24"/>
  <c r="L210" i="24"/>
  <c r="AF62" i="7" s="1"/>
  <c r="L205" i="24"/>
  <c r="L198" i="24"/>
  <c r="L188" i="24"/>
  <c r="L183" i="24"/>
  <c r="L180" i="24"/>
  <c r="AF61" i="7" s="1"/>
  <c r="L176" i="24"/>
  <c r="L159" i="24"/>
  <c r="L146" i="24"/>
  <c r="L131" i="24"/>
  <c r="L116" i="24"/>
  <c r="L102" i="24"/>
  <c r="L98" i="24"/>
  <c r="L270" i="24"/>
  <c r="L265" i="24"/>
  <c r="L255" i="24"/>
  <c r="L253" i="24"/>
  <c r="L250" i="24"/>
  <c r="L245" i="24"/>
  <c r="L241" i="24"/>
  <c r="AF63" i="7" s="1"/>
  <c r="L231" i="24"/>
  <c r="L228" i="24"/>
  <c r="L213" i="24"/>
  <c r="L208" i="24"/>
  <c r="L204" i="24"/>
  <c r="L201" i="24"/>
  <c r="L199" i="24"/>
  <c r="L196" i="24"/>
  <c r="L192" i="24"/>
  <c r="L190" i="24"/>
  <c r="L187" i="24"/>
  <c r="L182" i="24"/>
  <c r="L177" i="24"/>
  <c r="L174" i="24"/>
  <c r="L171" i="24"/>
  <c r="L169" i="24"/>
  <c r="L162" i="24"/>
  <c r="L160" i="24"/>
  <c r="L154" i="24"/>
  <c r="L149" i="24"/>
  <c r="AF60" i="7" s="1"/>
  <c r="L143" i="24"/>
  <c r="L132" i="24"/>
  <c r="L121" i="24"/>
  <c r="L117" i="24"/>
  <c r="L165" i="24"/>
  <c r="L157" i="24"/>
  <c r="L153" i="24"/>
  <c r="L147" i="24"/>
  <c r="L142" i="24"/>
  <c r="L137" i="24"/>
  <c r="L135" i="24"/>
  <c r="L130" i="24"/>
  <c r="L127" i="24"/>
  <c r="L123" i="24"/>
  <c r="L119" i="24"/>
  <c r="AF59" i="7" s="1"/>
  <c r="L115" i="24"/>
  <c r="L108" i="24"/>
  <c r="L83" i="24"/>
  <c r="L112" i="24"/>
  <c r="L110" i="24"/>
  <c r="L107" i="24"/>
  <c r="L100" i="24"/>
  <c r="L93" i="24"/>
  <c r="L89" i="24"/>
  <c r="L43" i="22"/>
  <c r="L73" i="22"/>
  <c r="L79" i="22"/>
  <c r="L82" i="22"/>
  <c r="L84" i="22"/>
  <c r="L88" i="22"/>
  <c r="AF34" i="7" s="1"/>
  <c r="L91" i="22"/>
  <c r="L96" i="22"/>
  <c r="L100" i="22"/>
  <c r="L106" i="24"/>
  <c r="L99" i="24"/>
  <c r="L95" i="24"/>
  <c r="L92" i="24"/>
  <c r="L87" i="24"/>
  <c r="L84" i="24"/>
  <c r="L80" i="24"/>
  <c r="L75" i="24"/>
  <c r="L73" i="24"/>
  <c r="L69" i="24"/>
  <c r="L61" i="24"/>
  <c r="L53" i="24"/>
  <c r="L82" i="24"/>
  <c r="L78" i="24"/>
  <c r="L72" i="24"/>
  <c r="L270" i="22"/>
  <c r="L265" i="22"/>
  <c r="L263" i="22"/>
  <c r="L261" i="22"/>
  <c r="L255" i="22"/>
  <c r="L252" i="22"/>
  <c r="L249" i="22"/>
  <c r="L247" i="22"/>
  <c r="L244" i="22"/>
  <c r="L241" i="22"/>
  <c r="AF39" i="7" s="1"/>
  <c r="L239" i="22"/>
  <c r="L237" i="22"/>
  <c r="L233" i="22"/>
  <c r="L228" i="22"/>
  <c r="L226" i="22"/>
  <c r="L218" i="22"/>
  <c r="L216" i="22"/>
  <c r="L213" i="22"/>
  <c r="L209" i="22"/>
  <c r="L200" i="22"/>
  <c r="L192" i="22"/>
  <c r="L184" i="22"/>
  <c r="L180" i="22"/>
  <c r="AF37" i="7" s="1"/>
  <c r="L177" i="22"/>
  <c r="L172" i="22"/>
  <c r="L167" i="22"/>
  <c r="L159" i="22"/>
  <c r="L146" i="22"/>
  <c r="L136" i="22"/>
  <c r="L131" i="22"/>
  <c r="L126" i="22"/>
  <c r="L117" i="22"/>
  <c r="L94" i="22"/>
  <c r="L81" i="22"/>
  <c r="L163" i="22"/>
  <c r="L160" i="22"/>
  <c r="L157" i="22"/>
  <c r="L153" i="22"/>
  <c r="L151" i="22"/>
  <c r="L148" i="22"/>
  <c r="L144" i="22"/>
  <c r="L139" i="22"/>
  <c r="L137" i="22"/>
  <c r="L133" i="22"/>
  <c r="L128" i="22"/>
  <c r="L125" i="22"/>
  <c r="L122" i="22"/>
  <c r="L118" i="22"/>
  <c r="L114" i="22"/>
  <c r="L103" i="22"/>
  <c r="L83" i="22"/>
  <c r="L76" i="22"/>
  <c r="L71" i="22"/>
  <c r="L111" i="22"/>
  <c r="L109" i="22"/>
  <c r="L106" i="22"/>
  <c r="L104" i="22"/>
  <c r="L92" i="22"/>
  <c r="L80" i="22"/>
  <c r="L69" i="22"/>
  <c r="L65" i="22"/>
  <c r="L31" i="22"/>
  <c r="L269" i="23"/>
  <c r="L266" i="23"/>
  <c r="L264" i="23"/>
  <c r="L259" i="23"/>
  <c r="L255" i="23"/>
  <c r="L253" i="23"/>
  <c r="L251" i="23"/>
  <c r="L249" i="23"/>
  <c r="L244" i="23"/>
  <c r="L239" i="23"/>
  <c r="L234" i="23"/>
  <c r="L229" i="23"/>
  <c r="L225" i="23"/>
  <c r="L220" i="23"/>
  <c r="L213" i="23"/>
  <c r="L209" i="23"/>
  <c r="L206" i="23"/>
  <c r="L203" i="23"/>
  <c r="L199" i="23"/>
  <c r="L194" i="23"/>
  <c r="L188" i="23"/>
  <c r="L186" i="23"/>
  <c r="L181" i="23"/>
  <c r="L179" i="23"/>
  <c r="L176" i="23"/>
  <c r="L169" i="23"/>
  <c r="L158" i="23"/>
  <c r="L155" i="23"/>
  <c r="L148" i="23"/>
  <c r="L142" i="23"/>
  <c r="L137" i="23"/>
  <c r="L133" i="23"/>
  <c r="L123" i="23"/>
  <c r="L93" i="23"/>
  <c r="L91" i="23"/>
  <c r="L80" i="23"/>
  <c r="L67" i="23"/>
  <c r="L61" i="23"/>
  <c r="L166" i="23"/>
  <c r="L161" i="23"/>
  <c r="L152" i="23"/>
  <c r="L144" i="23"/>
  <c r="L138" i="23"/>
  <c r="L130" i="23"/>
  <c r="L126" i="23"/>
  <c r="L122" i="23"/>
  <c r="L120" i="23"/>
  <c r="L118" i="23"/>
  <c r="L115" i="23"/>
  <c r="L113" i="23"/>
  <c r="L111" i="23"/>
  <c r="L105" i="23"/>
  <c r="L84" i="23"/>
  <c r="L53" i="23"/>
  <c r="L103" i="23"/>
  <c r="L96" i="23"/>
  <c r="L85" i="23"/>
  <c r="L76" i="23"/>
  <c r="L64" i="23"/>
  <c r="L20" i="15"/>
  <c r="D20" i="15" s="1"/>
  <c r="L22" i="15"/>
  <c r="D22" i="15" s="1"/>
  <c r="L28" i="17"/>
  <c r="D28" i="17" s="1"/>
  <c r="L29" i="17"/>
  <c r="L30" i="17"/>
  <c r="D30" i="17" s="1"/>
  <c r="L27" i="18"/>
  <c r="L32" i="23"/>
  <c r="L32" i="22"/>
  <c r="L27" i="23"/>
  <c r="L20" i="23"/>
  <c r="L21" i="22"/>
  <c r="L17" i="18"/>
  <c r="L19" i="17"/>
  <c r="D19" i="17" s="1"/>
  <c r="L16" i="15"/>
  <c r="D16" i="15" s="1"/>
  <c r="L41" i="22"/>
  <c r="L42" i="17"/>
  <c r="D42" i="17" s="1"/>
  <c r="L39" i="15"/>
  <c r="D39" i="15" s="1"/>
  <c r="L36" i="23"/>
  <c r="L35" i="15"/>
  <c r="D35" i="15" s="1"/>
  <c r="L33" i="22"/>
  <c r="L27" i="22"/>
  <c r="L27" i="17"/>
  <c r="D27" i="17" s="1"/>
  <c r="L54" i="15"/>
  <c r="D54" i="15" s="1"/>
  <c r="L51" i="23"/>
  <c r="L48" i="18"/>
  <c r="L49" i="22"/>
  <c r="L47" i="18"/>
  <c r="L44" i="18"/>
  <c r="L43" i="18"/>
  <c r="L44" i="15"/>
  <c r="D44" i="15" s="1"/>
  <c r="L37" i="15"/>
  <c r="D37" i="15" s="1"/>
  <c r="L36" i="15"/>
  <c r="D36" i="15" s="1"/>
  <c r="L25" i="18"/>
  <c r="L17" i="17"/>
  <c r="D17" i="17" s="1"/>
  <c r="L58" i="15"/>
  <c r="D58" i="15" s="1"/>
  <c r="L56" i="18"/>
  <c r="L55" i="15"/>
  <c r="D55" i="15" s="1"/>
  <c r="L52" i="23"/>
  <c r="L50" i="15"/>
  <c r="D50" i="15" s="1"/>
  <c r="L48" i="23"/>
  <c r="L45" i="18"/>
  <c r="L42" i="18"/>
  <c r="L42" i="22"/>
  <c r="L37" i="18"/>
  <c r="L38" i="17"/>
  <c r="D38" i="17" s="1"/>
  <c r="L23" i="15"/>
  <c r="D23" i="15" s="1"/>
  <c r="L71" i="17"/>
  <c r="D71" i="17" s="1"/>
  <c r="L67" i="15"/>
  <c r="D67" i="15" s="1"/>
  <c r="L64" i="18"/>
  <c r="L65" i="23"/>
  <c r="L64" i="15"/>
  <c r="D64" i="15" s="1"/>
  <c r="L62" i="22"/>
  <c r="L62" i="15"/>
  <c r="D62" i="15" s="1"/>
  <c r="L61" i="22"/>
  <c r="L51" i="17"/>
  <c r="D51" i="17" s="1"/>
  <c r="L379" i="18"/>
  <c r="B39" i="19" s="1"/>
  <c r="L379" i="23"/>
  <c r="B42" i="19" s="1"/>
  <c r="L378" i="18"/>
  <c r="L379" i="22"/>
  <c r="B41" i="19" s="1"/>
  <c r="L377" i="18"/>
  <c r="L378" i="23"/>
  <c r="L379" i="15"/>
  <c r="D379" i="15" s="1"/>
  <c r="AJ5" i="1"/>
  <c r="L377" i="15"/>
  <c r="D377" i="15" s="1"/>
  <c r="L377" i="22"/>
  <c r="L374" i="18"/>
  <c r="L375" i="15"/>
  <c r="D375" i="15" s="1"/>
  <c r="L374" i="22"/>
  <c r="L375" i="1"/>
  <c r="D375" i="1" s="1"/>
  <c r="L374" i="15"/>
  <c r="D374" i="15" s="1"/>
  <c r="L372" i="18"/>
  <c r="L371" i="18"/>
  <c r="L373" i="15"/>
  <c r="D373" i="15" s="1"/>
  <c r="L376" i="17"/>
  <c r="D376" i="17" s="1"/>
  <c r="L372" i="23"/>
  <c r="L374" i="1"/>
  <c r="D374" i="1" s="1"/>
  <c r="L370" i="18"/>
  <c r="L369" i="18"/>
  <c r="L371" i="22"/>
  <c r="L371" i="15"/>
  <c r="D371" i="15" s="1"/>
  <c r="L372" i="17"/>
  <c r="D372" i="17" s="1"/>
  <c r="L369" i="15"/>
  <c r="D369" i="15" s="1"/>
  <c r="L368" i="15"/>
  <c r="D368" i="15" s="1"/>
  <c r="L367" i="23"/>
  <c r="L369" i="1"/>
  <c r="D369" i="1" s="1"/>
  <c r="L368" i="1"/>
  <c r="D368" i="1" s="1"/>
  <c r="L367" i="22"/>
  <c r="L365" i="18"/>
  <c r="L366" i="23"/>
  <c r="L364" i="18"/>
  <c r="L369" i="17"/>
  <c r="D369" i="17" s="1"/>
  <c r="L366" i="1"/>
  <c r="D366" i="1" s="1"/>
  <c r="L367" i="17"/>
  <c r="D367" i="17" s="1"/>
  <c r="L365" i="1"/>
  <c r="D365" i="1" s="1"/>
  <c r="L364" i="22"/>
  <c r="L363" i="15"/>
  <c r="B43" i="7" s="1"/>
  <c r="L365" i="17"/>
  <c r="D365" i="17" s="1"/>
  <c r="L362" i="22"/>
  <c r="L360" i="15"/>
  <c r="D360" i="15" s="1"/>
  <c r="L358" i="18"/>
  <c r="L357" i="18"/>
  <c r="L360" i="1"/>
  <c r="D360" i="1" s="1"/>
  <c r="L358" i="15"/>
  <c r="D358" i="15" s="1"/>
  <c r="L357" i="1"/>
  <c r="D357" i="1" s="1"/>
  <c r="L355" i="23"/>
  <c r="L354" i="23"/>
  <c r="L352" i="22"/>
  <c r="L353" i="1"/>
  <c r="D353" i="1" s="1"/>
  <c r="L351" i="23"/>
  <c r="L354" i="17"/>
  <c r="D354" i="17" s="1"/>
  <c r="L351" i="15"/>
  <c r="D351" i="15" s="1"/>
  <c r="L352" i="17"/>
  <c r="D352" i="17" s="1"/>
  <c r="L349" i="15"/>
  <c r="D349" i="15" s="1"/>
  <c r="L349" i="22"/>
  <c r="L347" i="22"/>
  <c r="L343" i="22"/>
  <c r="L344" i="1"/>
  <c r="D344" i="1" s="1"/>
  <c r="L342" i="22"/>
  <c r="L345" i="17"/>
  <c r="D345" i="17" s="1"/>
  <c r="L340" i="18"/>
  <c r="L342" i="15"/>
  <c r="D342" i="15" s="1"/>
  <c r="L344" i="17"/>
  <c r="D344" i="17" s="1"/>
  <c r="L338" i="18"/>
  <c r="L336" i="18"/>
  <c r="L336" i="15"/>
  <c r="D336" i="15" s="1"/>
  <c r="L339" i="17"/>
  <c r="D339" i="17" s="1"/>
  <c r="L334" i="23"/>
  <c r="L332" i="18"/>
  <c r="L330" i="23"/>
  <c r="L331" i="15"/>
  <c r="D331" i="15" s="1"/>
  <c r="L329" i="18"/>
  <c r="L329" i="22"/>
  <c r="L327" i="18"/>
  <c r="L332" i="17"/>
  <c r="D332" i="17" s="1"/>
  <c r="L329" i="1"/>
  <c r="D329" i="1" s="1"/>
  <c r="L327" i="23"/>
  <c r="L325" i="18"/>
  <c r="L327" i="15"/>
  <c r="D327" i="15" s="1"/>
  <c r="L326" i="1"/>
  <c r="D326" i="1" s="1"/>
  <c r="L321" i="23"/>
  <c r="L322" i="22"/>
  <c r="L320" i="18"/>
  <c r="L319" i="18"/>
  <c r="L321" i="22"/>
  <c r="L318" i="23"/>
  <c r="L318" i="15"/>
  <c r="D318" i="15" s="1"/>
  <c r="L318" i="1"/>
  <c r="D318" i="1" s="1"/>
  <c r="L316" i="1"/>
  <c r="D316" i="1" s="1"/>
  <c r="L315" i="1"/>
  <c r="D315" i="1" s="1"/>
  <c r="L314" i="15"/>
  <c r="D314" i="15" s="1"/>
  <c r="L311" i="18"/>
  <c r="L313" i="15"/>
  <c r="D313" i="15" s="1"/>
  <c r="L310" i="1"/>
  <c r="D310" i="1" s="1"/>
  <c r="L309" i="15"/>
  <c r="D309" i="15" s="1"/>
  <c r="L307" i="22"/>
  <c r="L305" i="18"/>
  <c r="L306" i="15"/>
  <c r="D306" i="15" s="1"/>
  <c r="L307" i="1"/>
  <c r="D307" i="1" s="1"/>
  <c r="L308" i="17"/>
  <c r="D308" i="17" s="1"/>
  <c r="L307" i="17"/>
  <c r="D307" i="17" s="1"/>
  <c r="L302" i="18"/>
  <c r="B77" i="7" s="1"/>
  <c r="L304" i="1"/>
  <c r="D304" i="1" s="1"/>
  <c r="L306" i="17"/>
  <c r="D306" i="17" s="1"/>
  <c r="L305" i="17"/>
  <c r="D305" i="17" s="1"/>
  <c r="L301" i="23"/>
  <c r="B53" i="7"/>
  <c r="L303" i="1"/>
  <c r="D303" i="1" s="1"/>
  <c r="L301" i="22"/>
  <c r="L301" i="15"/>
  <c r="D301" i="15" s="1"/>
  <c r="L303" i="17"/>
  <c r="D303" i="17" s="1"/>
  <c r="L299" i="23"/>
  <c r="L301" i="1"/>
  <c r="D301" i="1" s="1"/>
  <c r="L302" i="17"/>
  <c r="L299" i="15"/>
  <c r="D299" i="15" s="1"/>
  <c r="L301" i="17"/>
  <c r="D301" i="17" s="1"/>
  <c r="L299" i="1"/>
  <c r="D299" i="1" s="1"/>
  <c r="L297" i="23"/>
  <c r="L297" i="22"/>
  <c r="L296" i="15"/>
  <c r="D296" i="15" s="1"/>
  <c r="L297" i="1"/>
  <c r="D297" i="1" s="1"/>
  <c r="L295" i="23"/>
  <c r="L298" i="17"/>
  <c r="D298" i="17" s="1"/>
  <c r="L293" i="18"/>
  <c r="L294" i="23"/>
  <c r="L294" i="15"/>
  <c r="D294" i="15" s="1"/>
  <c r="L296" i="17"/>
  <c r="D296" i="17" s="1"/>
  <c r="L290" i="18"/>
  <c r="L292" i="22"/>
  <c r="L289" i="23"/>
  <c r="L288" i="23"/>
  <c r="L289" i="22"/>
  <c r="L289" i="15"/>
  <c r="D289" i="15" s="1"/>
  <c r="L287" i="18"/>
  <c r="L292" i="17"/>
  <c r="D292" i="17" s="1"/>
  <c r="L291" i="17"/>
  <c r="D291" i="17" s="1"/>
  <c r="L286" i="18"/>
  <c r="L288" i="15"/>
  <c r="D288" i="15" s="1"/>
  <c r="L288" i="22"/>
  <c r="L287" i="23"/>
  <c r="L285" i="18"/>
  <c r="L290" i="17"/>
  <c r="D290" i="17" s="1"/>
  <c r="L289" i="17"/>
  <c r="D289" i="17" s="1"/>
  <c r="L286" i="1"/>
  <c r="D286" i="1" s="1"/>
  <c r="L283" i="23"/>
  <c r="L279" i="1"/>
  <c r="D279" i="1" s="1"/>
  <c r="L278" i="22"/>
  <c r="L277" i="15"/>
  <c r="D277" i="15" s="1"/>
  <c r="L275" i="18"/>
  <c r="L277" i="22"/>
  <c r="L275" i="23"/>
  <c r="L274" i="18"/>
  <c r="L279" i="17"/>
  <c r="D279" i="17" s="1"/>
  <c r="L277" i="1"/>
  <c r="D277" i="1" s="1"/>
  <c r="L274" i="1"/>
  <c r="D274" i="1" s="1"/>
  <c r="L268" i="18"/>
  <c r="L269" i="17"/>
  <c r="D269" i="17" s="1"/>
  <c r="L266" i="1"/>
  <c r="D266" i="1" s="1"/>
  <c r="L268" i="17"/>
  <c r="D268" i="17" s="1"/>
  <c r="L263" i="23"/>
  <c r="L261" i="18"/>
  <c r="L264" i="1"/>
  <c r="D264" i="1" s="1"/>
  <c r="L258" i="15"/>
  <c r="D258" i="15" s="1"/>
  <c r="L259" i="1"/>
  <c r="D259" i="1" s="1"/>
  <c r="L260" i="17"/>
  <c r="D260" i="17" s="1"/>
  <c r="L251" i="1"/>
  <c r="D251" i="1" s="1"/>
  <c r="L245" i="1"/>
  <c r="D245" i="1" s="1"/>
  <c r="L242" i="18"/>
  <c r="L243" i="23"/>
  <c r="L247" i="17"/>
  <c r="D247" i="17" s="1"/>
  <c r="L244" i="1"/>
  <c r="D244" i="1" s="1"/>
  <c r="L243" i="22"/>
  <c r="L240" i="18"/>
  <c r="L245" i="17"/>
  <c r="D245" i="17" s="1"/>
  <c r="L242" i="15"/>
  <c r="D242" i="15" s="1"/>
  <c r="L241" i="23"/>
  <c r="AF51" i="7" s="1"/>
  <c r="L231" i="18"/>
  <c r="L234" i="1"/>
  <c r="D234" i="1" s="1"/>
  <c r="L236" i="17"/>
  <c r="D236" i="17" s="1"/>
  <c r="L233" i="15"/>
  <c r="D233" i="15" s="1"/>
  <c r="L235" i="17"/>
  <c r="D235" i="17" s="1"/>
  <c r="L232" i="15"/>
  <c r="D232" i="15" s="1"/>
  <c r="L230" i="23"/>
  <c r="L227" i="23"/>
  <c r="L226" i="18"/>
  <c r="L225" i="18"/>
  <c r="L228" i="1"/>
  <c r="D228" i="1" s="1"/>
  <c r="L230" i="17"/>
  <c r="D230" i="17" s="1"/>
  <c r="L227" i="15"/>
  <c r="D227" i="15" s="1"/>
  <c r="L227" i="1"/>
  <c r="D227" i="1" s="1"/>
  <c r="L221" i="18"/>
  <c r="L223" i="22"/>
  <c r="L222" i="1"/>
  <c r="D222" i="1" s="1"/>
  <c r="L219" i="18"/>
  <c r="L215" i="18"/>
  <c r="L214" i="18"/>
  <c r="L217" i="17"/>
  <c r="D217" i="17" s="1"/>
  <c r="L212" i="23"/>
  <c r="L211" i="22"/>
  <c r="L212" i="1"/>
  <c r="D212" i="1" s="1"/>
  <c r="L209" i="18"/>
  <c r="L209" i="15"/>
  <c r="D209" i="15" s="1"/>
  <c r="L210" i="17"/>
  <c r="D210" i="17" s="1"/>
  <c r="L203" i="18"/>
  <c r="L195" i="1"/>
  <c r="D195" i="1" s="1"/>
  <c r="L197" i="17"/>
  <c r="D197" i="17" s="1"/>
  <c r="L195" i="17"/>
  <c r="D195" i="17" s="1"/>
  <c r="L191" i="23"/>
  <c r="L191" i="15"/>
  <c r="D191" i="15" s="1"/>
  <c r="L188" i="22"/>
  <c r="L185" i="18"/>
  <c r="L174" i="22"/>
  <c r="L172" i="18"/>
  <c r="L173" i="15"/>
  <c r="D173" i="15" s="1"/>
  <c r="L174" i="1"/>
  <c r="D174" i="1" s="1"/>
  <c r="L171" i="1"/>
  <c r="D171" i="1" s="1"/>
  <c r="L170" i="15"/>
  <c r="D170" i="15" s="1"/>
  <c r="L171" i="17"/>
  <c r="D171" i="17" s="1"/>
  <c r="L169" i="1"/>
  <c r="D169" i="1" s="1"/>
  <c r="L165" i="18"/>
  <c r="L165" i="23"/>
  <c r="L169" i="17"/>
  <c r="D169" i="17" s="1"/>
  <c r="L164" i="18"/>
  <c r="L165" i="15"/>
  <c r="D165" i="15" s="1"/>
  <c r="L164" i="15"/>
  <c r="D164" i="15" s="1"/>
  <c r="AJ6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J9" i="1"/>
  <c r="D333" i="16"/>
  <c r="B54" i="7"/>
  <c r="B62" i="7"/>
  <c r="L381" i="24"/>
  <c r="D363" i="17"/>
  <c r="B67" i="7"/>
  <c r="D379" i="1"/>
  <c r="B35" i="19"/>
  <c r="D149" i="17"/>
  <c r="D29" i="15"/>
  <c r="B42" i="7"/>
  <c r="D379" i="16"/>
  <c r="B36" i="19"/>
  <c r="D379" i="17"/>
  <c r="B38" i="19"/>
  <c r="B63" i="7"/>
  <c r="L32" i="16"/>
  <c r="L34" i="15"/>
  <c r="D34" i="15" s="1"/>
  <c r="L50" i="16"/>
  <c r="D50" i="16" s="1"/>
  <c r="L49" i="15"/>
  <c r="D49" i="15" s="1"/>
  <c r="L49" i="18"/>
  <c r="L52" i="16"/>
  <c r="D52" i="16" s="1"/>
  <c r="L55" i="17"/>
  <c r="D55" i="17" s="1"/>
  <c r="L57" i="17"/>
  <c r="D57" i="17" s="1"/>
  <c r="L62" i="17"/>
  <c r="D62" i="17" s="1"/>
  <c r="L60" i="15"/>
  <c r="L59" i="18"/>
  <c r="L65" i="17"/>
  <c r="D65" i="17" s="1"/>
  <c r="L60" i="18"/>
  <c r="B69" i="7" s="1"/>
  <c r="L61" i="18"/>
  <c r="L62" i="18"/>
  <c r="L65" i="15"/>
  <c r="D65" i="15" s="1"/>
  <c r="L69" i="16"/>
  <c r="D69" i="16" s="1"/>
  <c r="L72" i="17"/>
  <c r="D72" i="17" s="1"/>
  <c r="L69" i="15"/>
  <c r="D69" i="15" s="1"/>
  <c r="L70" i="15"/>
  <c r="D70" i="15" s="1"/>
  <c r="L71" i="15"/>
  <c r="D71" i="15" s="1"/>
  <c r="L69" i="18"/>
  <c r="L72" i="16"/>
  <c r="D72" i="16" s="1"/>
  <c r="L72" i="15"/>
  <c r="D72" i="15" s="1"/>
  <c r="L75" i="17"/>
  <c r="D75" i="17" s="1"/>
  <c r="L71" i="23"/>
  <c r="L70" i="18"/>
  <c r="L71" i="18"/>
  <c r="L76" i="17"/>
  <c r="D76" i="17" s="1"/>
  <c r="L72" i="23"/>
  <c r="L73" i="15"/>
  <c r="D73" i="15" s="1"/>
  <c r="L75" i="16"/>
  <c r="D75" i="16" s="1"/>
  <c r="L77" i="17"/>
  <c r="D77" i="17" s="1"/>
  <c r="L73" i="18"/>
  <c r="L78" i="17"/>
  <c r="D78" i="17" s="1"/>
  <c r="L76" i="15"/>
  <c r="D76" i="15" s="1"/>
  <c r="L74" i="18"/>
  <c r="L75" i="18"/>
  <c r="L78" i="16"/>
  <c r="D78" i="16" s="1"/>
  <c r="L80" i="17"/>
  <c r="D80" i="17" s="1"/>
  <c r="L77" i="15"/>
  <c r="D77" i="15" s="1"/>
  <c r="L78" i="15"/>
  <c r="D78" i="15" s="1"/>
  <c r="L80" i="16"/>
  <c r="D80" i="16" s="1"/>
  <c r="L77" i="18"/>
  <c r="L79" i="15"/>
  <c r="D79" i="15" s="1"/>
  <c r="L81" i="16"/>
  <c r="D81" i="16" s="1"/>
  <c r="L80" i="15"/>
  <c r="D80" i="15" s="1"/>
  <c r="L84" i="17"/>
  <c r="D84" i="17" s="1"/>
  <c r="L82" i="16"/>
  <c r="D82" i="16" s="1"/>
  <c r="L82" i="15"/>
  <c r="D82" i="15" s="1"/>
  <c r="L80" i="18"/>
  <c r="L83" i="15"/>
  <c r="D83" i="15" s="1"/>
  <c r="L84" i="15"/>
  <c r="D84" i="15" s="1"/>
  <c r="L85" i="16"/>
  <c r="D85" i="16" s="1"/>
  <c r="L86" i="16"/>
  <c r="D86" i="16" s="1"/>
  <c r="L85" i="15"/>
  <c r="D85" i="15" s="1"/>
  <c r="L86" i="15"/>
  <c r="D86" i="15" s="1"/>
  <c r="L84" i="18"/>
  <c r="L85" i="18"/>
  <c r="L89" i="20"/>
  <c r="L87" i="22"/>
  <c r="L86" i="23"/>
  <c r="L87" i="15"/>
  <c r="D87" i="15" s="1"/>
  <c r="L91" i="17"/>
  <c r="D91" i="17" s="1"/>
  <c r="L89" i="16"/>
  <c r="D89" i="16" s="1"/>
  <c r="L88" i="15"/>
  <c r="L86" i="18"/>
  <c r="L90" i="16"/>
  <c r="D90" i="16" s="1"/>
  <c r="L91" i="16"/>
  <c r="D91" i="16" s="1"/>
  <c r="L92" i="16"/>
  <c r="D92" i="16" s="1"/>
  <c r="L89" i="18"/>
  <c r="L94" i="17"/>
  <c r="D94" i="17" s="1"/>
  <c r="L95" i="17"/>
  <c r="D95" i="17" s="1"/>
  <c r="L90" i="18"/>
  <c r="L96" i="17"/>
  <c r="D96" i="17" s="1"/>
  <c r="L95" i="16"/>
  <c r="D95" i="16" s="1"/>
  <c r="L96" i="16"/>
  <c r="D96" i="16" s="1"/>
  <c r="L59" i="15"/>
  <c r="D59" i="15" s="1"/>
  <c r="L63" i="17"/>
  <c r="D63" i="17" s="1"/>
  <c r="L64" i="16"/>
  <c r="D64" i="16" s="1"/>
  <c r="L75" i="20"/>
  <c r="L74" i="16"/>
  <c r="D74" i="16" s="1"/>
  <c r="L74" i="15"/>
  <c r="D74" i="15" s="1"/>
  <c r="L72" i="18"/>
  <c r="L79" i="17"/>
  <c r="D79" i="17" s="1"/>
  <c r="L77" i="16"/>
  <c r="D77" i="16" s="1"/>
  <c r="L81" i="17"/>
  <c r="D81" i="17" s="1"/>
  <c r="L82" i="17"/>
  <c r="D82" i="17" s="1"/>
  <c r="L78" i="23"/>
  <c r="L78" i="18"/>
  <c r="L83" i="17"/>
  <c r="D83" i="17" s="1"/>
  <c r="L81" i="15"/>
  <c r="D81" i="15" s="1"/>
  <c r="L81" i="23"/>
  <c r="L83" i="16"/>
  <c r="D83" i="16" s="1"/>
  <c r="L85" i="17"/>
  <c r="D85" i="17" s="1"/>
  <c r="L86" i="17"/>
  <c r="D86" i="17" s="1"/>
  <c r="L81" i="18"/>
  <c r="L82" i="18"/>
  <c r="L83" i="18"/>
  <c r="L89" i="17"/>
  <c r="D89" i="17" s="1"/>
  <c r="L87" i="16"/>
  <c r="D87" i="16" s="1"/>
  <c r="L87" i="18"/>
  <c r="L92" i="17"/>
  <c r="D92" i="17" s="1"/>
  <c r="L88" i="18"/>
  <c r="B70" i="7" s="1"/>
  <c r="L90" i="15"/>
  <c r="D90" i="15" s="1"/>
  <c r="L93" i="17"/>
  <c r="D93" i="17" s="1"/>
  <c r="L91" i="15"/>
  <c r="D91" i="15" s="1"/>
  <c r="L92" i="15"/>
  <c r="D92" i="15" s="1"/>
  <c r="L93" i="16"/>
  <c r="D93" i="16" s="1"/>
  <c r="L94" i="16"/>
  <c r="D94" i="16" s="1"/>
  <c r="L97" i="17"/>
  <c r="D97" i="17" s="1"/>
  <c r="L92" i="18"/>
  <c r="L94" i="15"/>
  <c r="D94" i="15" s="1"/>
  <c r="L95" i="15"/>
  <c r="D95" i="15" s="1"/>
  <c r="L99" i="17"/>
  <c r="D99" i="17" s="1"/>
  <c r="L97" i="16"/>
  <c r="D97" i="16" s="1"/>
  <c r="L95" i="18"/>
  <c r="L98" i="16"/>
  <c r="D98" i="16" s="1"/>
  <c r="L97" i="22"/>
  <c r="L99" i="16"/>
  <c r="D99" i="16" s="1"/>
  <c r="L96" i="18"/>
  <c r="L102" i="17"/>
  <c r="D102" i="17" s="1"/>
  <c r="L98" i="18"/>
  <c r="L100" i="15"/>
  <c r="D100" i="15" s="1"/>
  <c r="L102" i="16"/>
  <c r="D102" i="16" s="1"/>
  <c r="L99" i="18"/>
  <c r="L104" i="20"/>
  <c r="L101" i="23"/>
  <c r="L102" i="15"/>
  <c r="D102" i="15" s="1"/>
  <c r="L100" i="18"/>
  <c r="L102" i="22"/>
  <c r="L105" i="17"/>
  <c r="D105" i="17" s="1"/>
  <c r="L104" i="16"/>
  <c r="D104" i="16" s="1"/>
  <c r="L101" i="18"/>
  <c r="L103" i="15"/>
  <c r="D103" i="15" s="1"/>
  <c r="L102" i="18"/>
  <c r="L105" i="16"/>
  <c r="D105" i="16" s="1"/>
  <c r="L103" i="18"/>
  <c r="L106" i="16"/>
  <c r="D106" i="16" s="1"/>
  <c r="L108" i="17"/>
  <c r="D108" i="17" s="1"/>
  <c r="L109" i="17"/>
  <c r="D109" i="17" s="1"/>
  <c r="L106" i="15"/>
  <c r="D106" i="15" s="1"/>
  <c r="L104" i="18"/>
  <c r="L107" i="22"/>
  <c r="L110" i="20"/>
  <c r="L109" i="16"/>
  <c r="D109" i="16" s="1"/>
  <c r="L111" i="17"/>
  <c r="D111" i="17" s="1"/>
  <c r="L111" i="16"/>
  <c r="D111" i="16" s="1"/>
  <c r="L108" i="18"/>
  <c r="L110" i="15"/>
  <c r="D110" i="15" s="1"/>
  <c r="L111" i="15"/>
  <c r="D111" i="15" s="1"/>
  <c r="L114" i="17"/>
  <c r="D114" i="17" s="1"/>
  <c r="L112" i="16"/>
  <c r="D112" i="16" s="1"/>
  <c r="L112" i="15"/>
  <c r="D112" i="15" s="1"/>
  <c r="L113" i="16"/>
  <c r="D113" i="16" s="1"/>
  <c r="L115" i="17"/>
  <c r="D115" i="17" s="1"/>
  <c r="L114" i="16"/>
  <c r="D114" i="16" s="1"/>
  <c r="L116" i="17"/>
  <c r="D116" i="17" s="1"/>
  <c r="L111" i="18"/>
  <c r="L113" i="15"/>
  <c r="D113" i="15" s="1"/>
  <c r="L115" i="16"/>
  <c r="D115" i="16" s="1"/>
  <c r="L114" i="15"/>
  <c r="D114" i="15" s="1"/>
  <c r="L113" i="18"/>
  <c r="L117" i="16"/>
  <c r="D117" i="16" s="1"/>
  <c r="L119" i="17"/>
  <c r="L117" i="15"/>
  <c r="D117" i="15" s="1"/>
  <c r="L115" i="18"/>
  <c r="L119" i="16"/>
  <c r="L118" i="15"/>
  <c r="D118" i="15" s="1"/>
  <c r="L117" i="18"/>
  <c r="L122" i="17"/>
  <c r="D122" i="17" s="1"/>
  <c r="L123" i="17"/>
  <c r="D123" i="17" s="1"/>
  <c r="L121" i="16"/>
  <c r="D121" i="16" s="1"/>
  <c r="L119" i="18"/>
  <c r="B71" i="7" s="1"/>
  <c r="L124" i="17"/>
  <c r="D124" i="17" s="1"/>
  <c r="L122" i="15"/>
  <c r="D122" i="15" s="1"/>
  <c r="L120" i="18"/>
  <c r="L121" i="18"/>
  <c r="L123" i="22"/>
  <c r="L124" i="16"/>
  <c r="D124" i="16" s="1"/>
  <c r="L123" i="15"/>
  <c r="D123" i="15" s="1"/>
  <c r="L126" i="17"/>
  <c r="D126" i="17" s="1"/>
  <c r="L125" i="16"/>
  <c r="D125" i="16" s="1"/>
  <c r="L127" i="20"/>
  <c r="L125" i="15"/>
  <c r="D125" i="15" s="1"/>
  <c r="L128" i="17"/>
  <c r="D128" i="17" s="1"/>
  <c r="L127" i="16"/>
  <c r="D127" i="16" s="1"/>
  <c r="L126" i="15"/>
  <c r="D126" i="15" s="1"/>
  <c r="L125" i="18"/>
  <c r="L128" i="16"/>
  <c r="D128" i="16" s="1"/>
  <c r="L130" i="17"/>
  <c r="D130" i="17" s="1"/>
  <c r="L131" i="17"/>
  <c r="D131" i="17" s="1"/>
  <c r="L129" i="16"/>
  <c r="D129" i="16" s="1"/>
  <c r="L130" i="16"/>
  <c r="D130" i="16" s="1"/>
  <c r="L129" i="23"/>
  <c r="L130" i="15"/>
  <c r="D130" i="15" s="1"/>
  <c r="L128" i="18"/>
  <c r="L134" i="17"/>
  <c r="D134" i="17" s="1"/>
  <c r="L131" i="15"/>
  <c r="D131" i="15" s="1"/>
  <c r="L132" i="16"/>
  <c r="D132" i="16" s="1"/>
  <c r="L134" i="20"/>
  <c r="L135" i="17"/>
  <c r="D135" i="17" s="1"/>
  <c r="L131" i="23"/>
  <c r="L132" i="22"/>
  <c r="L132" i="23"/>
  <c r="L133" i="15"/>
  <c r="D133" i="15" s="1"/>
  <c r="L136" i="17"/>
  <c r="D136" i="17" s="1"/>
  <c r="L134" i="16"/>
  <c r="D134" i="16" s="1"/>
  <c r="L137" i="17"/>
  <c r="D137" i="17" s="1"/>
  <c r="L134" i="15"/>
  <c r="D134" i="15" s="1"/>
  <c r="L132" i="18"/>
  <c r="L136" i="16"/>
  <c r="D136" i="16" s="1"/>
  <c r="L138" i="17"/>
  <c r="D138" i="17" s="1"/>
  <c r="L139" i="17"/>
  <c r="D139" i="17" s="1"/>
  <c r="L137" i="16"/>
  <c r="D137" i="16" s="1"/>
  <c r="L134" i="18"/>
  <c r="L136" i="23"/>
  <c r="L138" i="16"/>
  <c r="D138" i="16" s="1"/>
  <c r="L140" i="17"/>
  <c r="D140" i="17" s="1"/>
  <c r="L141" i="17"/>
  <c r="D141" i="17" s="1"/>
  <c r="L138" i="15"/>
  <c r="D138" i="15" s="1"/>
  <c r="L137" i="18"/>
  <c r="L141" i="20"/>
  <c r="L141" i="16"/>
  <c r="D141" i="16" s="1"/>
  <c r="L140" i="22"/>
  <c r="L139" i="23"/>
  <c r="L140" i="15"/>
  <c r="D140" i="15" s="1"/>
  <c r="L143" i="20"/>
  <c r="L141" i="15"/>
  <c r="D141" i="15" s="1"/>
  <c r="L141" i="22"/>
  <c r="L142" i="16"/>
  <c r="D142" i="16" s="1"/>
  <c r="L144" i="20"/>
  <c r="L140" i="18"/>
  <c r="O29" i="6"/>
  <c r="P31" i="6" s="1"/>
  <c r="AE373" i="1"/>
  <c r="Q373" i="1"/>
  <c r="AE371" i="1"/>
  <c r="Q371" i="1"/>
  <c r="AE81" i="1"/>
  <c r="Q81" i="1"/>
  <c r="AE119" i="1"/>
  <c r="Q119" i="1"/>
  <c r="AE137" i="1"/>
  <c r="Q137" i="1"/>
  <c r="Q159" i="1"/>
  <c r="AE159" i="1"/>
  <c r="AE183" i="1"/>
  <c r="Q183" i="1"/>
  <c r="AE191" i="1"/>
  <c r="Q191" i="1"/>
  <c r="AE199" i="1"/>
  <c r="Q199" i="1"/>
  <c r="Q205" i="1"/>
  <c r="AE205" i="1"/>
  <c r="AE207" i="1"/>
  <c r="Q207" i="1"/>
  <c r="AE229" i="1"/>
  <c r="Q229" i="1"/>
  <c r="AE249" i="1"/>
  <c r="Q249" i="1"/>
  <c r="AE273" i="1"/>
  <c r="Q273" i="1"/>
  <c r="AE279" i="1"/>
  <c r="Q279" i="1"/>
  <c r="AE287" i="1"/>
  <c r="Q287" i="1"/>
  <c r="AE293" i="1"/>
  <c r="Q293" i="1"/>
  <c r="Q297" i="1"/>
  <c r="AE297" i="1"/>
  <c r="AE301" i="1"/>
  <c r="Q301" i="1"/>
  <c r="AE303" i="1"/>
  <c r="Q303" i="1"/>
  <c r="AE309" i="1"/>
  <c r="Q309" i="1"/>
  <c r="AE315" i="1"/>
  <c r="Q315" i="1"/>
  <c r="AE317" i="1"/>
  <c r="Q317" i="1"/>
  <c r="AE319" i="1"/>
  <c r="Q319" i="1"/>
  <c r="AE321" i="1"/>
  <c r="Q321" i="1"/>
  <c r="AE323" i="1"/>
  <c r="Q323" i="1"/>
  <c r="AE335" i="1"/>
  <c r="Q335" i="1"/>
  <c r="AE337" i="1"/>
  <c r="Q337" i="1"/>
  <c r="AE343" i="1"/>
  <c r="Q343" i="1"/>
  <c r="AE345" i="1"/>
  <c r="Q345" i="1"/>
  <c r="AE357" i="1"/>
  <c r="Q357" i="1"/>
  <c r="AE361" i="1"/>
  <c r="Q361" i="1"/>
  <c r="O18" i="1"/>
  <c r="AC18" i="1"/>
  <c r="O30" i="1"/>
  <c r="AC30" i="1"/>
  <c r="AC36" i="1"/>
  <c r="O36" i="1"/>
  <c r="AC40" i="1"/>
  <c r="O40" i="1"/>
  <c r="AC52" i="1"/>
  <c r="O52" i="1"/>
  <c r="AC54" i="1"/>
  <c r="O54" i="1"/>
  <c r="AC66" i="1"/>
  <c r="O66" i="1"/>
  <c r="O68" i="1"/>
  <c r="AC68" i="1"/>
  <c r="AC92" i="1"/>
  <c r="O92" i="1"/>
  <c r="O102" i="1"/>
  <c r="AC102" i="1"/>
  <c r="AC104" i="1"/>
  <c r="O104" i="1"/>
  <c r="AC106" i="1"/>
  <c r="O106" i="1"/>
  <c r="O108" i="1"/>
  <c r="AC108" i="1"/>
  <c r="O114" i="1"/>
  <c r="AC114" i="1"/>
  <c r="AC120" i="1"/>
  <c r="O120" i="1"/>
  <c r="AC126" i="1"/>
  <c r="O126" i="1"/>
  <c r="O128" i="1"/>
  <c r="AC128" i="1"/>
  <c r="AC130" i="1"/>
  <c r="O130" i="1"/>
  <c r="AC134" i="1"/>
  <c r="O134" i="1"/>
  <c r="AC138" i="1"/>
  <c r="O138" i="1"/>
  <c r="AC142" i="1"/>
  <c r="O142" i="1"/>
  <c r="O152" i="1"/>
  <c r="AC152" i="1"/>
  <c r="O67" i="1"/>
  <c r="O33" i="1"/>
  <c r="AC151" i="1"/>
  <c r="AC141" i="1"/>
  <c r="O131" i="1"/>
  <c r="AC123" i="1"/>
  <c r="O115" i="1"/>
  <c r="AC105" i="1"/>
  <c r="O93" i="1"/>
  <c r="AC87" i="1"/>
  <c r="AC75" i="1"/>
  <c r="O45" i="1"/>
  <c r="O25" i="1"/>
  <c r="AC29" i="1"/>
  <c r="O81" i="1"/>
  <c r="AC73" i="1"/>
  <c r="O149" i="1"/>
  <c r="C24" i="7" s="1"/>
  <c r="AC59" i="1"/>
  <c r="AJ245" i="18"/>
  <c r="AJ106" i="18"/>
  <c r="AJ95" i="18"/>
  <c r="O153" i="1"/>
  <c r="AC50" i="1"/>
  <c r="O42" i="1"/>
  <c r="O34" i="1"/>
  <c r="O26" i="1"/>
  <c r="O82" i="1"/>
  <c r="AC70" i="1"/>
  <c r="O60" i="1"/>
  <c r="C21" i="7" s="1"/>
  <c r="O28" i="1"/>
  <c r="AC62" i="1"/>
  <c r="AC100" i="1"/>
  <c r="AC71" i="1"/>
  <c r="O57" i="1"/>
  <c r="AC41" i="1"/>
  <c r="AC147" i="1"/>
  <c r="AC143" i="1"/>
  <c r="AC139" i="1"/>
  <c r="AC135" i="1"/>
  <c r="O129" i="1"/>
  <c r="AC125" i="1"/>
  <c r="AC121" i="1"/>
  <c r="AC117" i="1"/>
  <c r="O113" i="1"/>
  <c r="O107" i="1"/>
  <c r="AC103" i="1"/>
  <c r="AC61" i="1"/>
  <c r="O95" i="1"/>
  <c r="AC55" i="1"/>
  <c r="AC65" i="1"/>
  <c r="O63" i="1"/>
  <c r="AC15" i="1"/>
  <c r="AC43" i="1"/>
  <c r="O313" i="1"/>
  <c r="O207" i="1"/>
  <c r="O169" i="1"/>
  <c r="E169" i="1" s="1"/>
  <c r="AC297" i="1"/>
  <c r="O233" i="1"/>
  <c r="E233" i="1" s="1"/>
  <c r="O311" i="1"/>
  <c r="E311" i="1" s="1"/>
  <c r="O241" i="1"/>
  <c r="C27" i="7" s="1"/>
  <c r="Y18" i="6"/>
  <c r="E36" i="6"/>
  <c r="E288" i="6"/>
  <c r="AE18" i="6"/>
  <c r="P16" i="6"/>
  <c r="E120" i="6"/>
  <c r="T44" i="6"/>
  <c r="S50" i="6" s="1"/>
  <c r="O357" i="1"/>
  <c r="AC263" i="1"/>
  <c r="O185" i="1"/>
  <c r="E185" i="1" s="1"/>
  <c r="AC157" i="1"/>
  <c r="O221" i="1"/>
  <c r="E221" i="1" s="1"/>
  <c r="O351" i="1"/>
  <c r="E351" i="1" s="1"/>
  <c r="AC235" i="1"/>
  <c r="AC373" i="1"/>
  <c r="O361" i="1"/>
  <c r="E361" i="1" s="1"/>
  <c r="O341" i="1"/>
  <c r="AC283" i="1"/>
  <c r="AC245" i="1"/>
  <c r="AC201" i="1"/>
  <c r="AC175" i="1"/>
  <c r="O165" i="1"/>
  <c r="O213" i="1"/>
  <c r="E213" i="1" s="1"/>
  <c r="O195" i="1"/>
  <c r="E195" i="1" s="1"/>
  <c r="O329" i="1"/>
  <c r="E329" i="1" s="1"/>
  <c r="O295" i="1"/>
  <c r="E295" i="1" s="1"/>
  <c r="O219" i="1"/>
  <c r="BX13" i="7"/>
  <c r="AC340" i="1"/>
  <c r="AC275" i="1"/>
  <c r="AC257" i="1"/>
  <c r="AC159" i="1"/>
  <c r="AC345" i="1"/>
  <c r="AC247" i="1"/>
  <c r="AC277" i="1"/>
  <c r="AC361" i="1"/>
  <c r="AC359" i="1"/>
  <c r="AC341" i="1"/>
  <c r="AC325" i="1"/>
  <c r="O307" i="1"/>
  <c r="E307" i="1" s="1"/>
  <c r="O283" i="1"/>
  <c r="O275" i="1"/>
  <c r="E275" i="1" s="1"/>
  <c r="O263" i="1"/>
  <c r="O257" i="1"/>
  <c r="E257" i="1" s="1"/>
  <c r="O237" i="1"/>
  <c r="O211" i="1"/>
  <c r="E211" i="1" s="1"/>
  <c r="O193" i="1"/>
  <c r="O181" i="1"/>
  <c r="E181" i="1" s="1"/>
  <c r="O173" i="1"/>
  <c r="E173" i="1" s="1"/>
  <c r="O167" i="1"/>
  <c r="O163" i="1"/>
  <c r="O159" i="1"/>
  <c r="O157" i="1"/>
  <c r="AC225" i="1"/>
  <c r="O217" i="1"/>
  <c r="E217" i="1" s="1"/>
  <c r="O209" i="1"/>
  <c r="E209" i="1" s="1"/>
  <c r="O197" i="1"/>
  <c r="E197" i="1" s="1"/>
  <c r="O373" i="1"/>
  <c r="E373" i="1" s="1"/>
  <c r="O347" i="1"/>
  <c r="E347" i="1" s="1"/>
  <c r="O333" i="1"/>
  <c r="E333" i="1" s="1"/>
  <c r="O321" i="1"/>
  <c r="E321" i="1" s="1"/>
  <c r="O301" i="1"/>
  <c r="E301" i="1" s="1"/>
  <c r="O271" i="1"/>
  <c r="E271" i="1" s="1"/>
  <c r="AC223" i="1"/>
  <c r="AC203" i="1"/>
  <c r="D13" i="7"/>
  <c r="BR13" i="7"/>
  <c r="AC352" i="1"/>
  <c r="AC321" i="1"/>
  <c r="AC291" i="1"/>
  <c r="AC348" i="1"/>
  <c r="AC364" i="1"/>
  <c r="L383" i="24"/>
  <c r="L382" i="18"/>
  <c r="D149" i="16"/>
  <c r="B48" i="7"/>
  <c r="L382" i="15"/>
  <c r="E357" i="1"/>
  <c r="E341" i="1"/>
  <c r="E313" i="1"/>
  <c r="L381" i="18"/>
  <c r="B49" i="7"/>
  <c r="D272" i="16"/>
  <c r="D363" i="1"/>
  <c r="B55" i="7"/>
  <c r="D272" i="17"/>
  <c r="B51" i="7"/>
  <c r="B61" i="7"/>
  <c r="D180" i="17"/>
  <c r="AJ104" i="18"/>
  <c r="AJ51" i="18"/>
  <c r="AJ372" i="18"/>
  <c r="AJ241" i="18"/>
  <c r="AJ127" i="18"/>
  <c r="AJ73" i="18"/>
  <c r="AJ317" i="18"/>
  <c r="AJ296" i="18"/>
  <c r="AJ176" i="18"/>
  <c r="AJ131" i="18"/>
  <c r="AJ148" i="18"/>
  <c r="AJ118" i="18"/>
  <c r="AJ89" i="18"/>
  <c r="AJ52" i="18"/>
  <c r="AJ42" i="18"/>
  <c r="AJ351" i="18"/>
  <c r="AJ347" i="18"/>
  <c r="AJ284" i="18"/>
  <c r="AJ216" i="18"/>
  <c r="AJ271" i="18"/>
  <c r="AJ206" i="18"/>
  <c r="AJ197" i="18"/>
  <c r="AJ60" i="18"/>
  <c r="O9" i="17"/>
  <c r="AJ53" i="17" s="1"/>
  <c r="E148" i="6"/>
  <c r="AH20" i="6"/>
  <c r="E232" i="6"/>
  <c r="X44" i="6"/>
  <c r="W50" i="6" s="1"/>
  <c r="E204" i="6"/>
  <c r="AO13" i="6"/>
  <c r="S18" i="6"/>
  <c r="P20" i="6"/>
  <c r="B30" i="7"/>
  <c r="B66" i="7"/>
  <c r="D241" i="1"/>
  <c r="AE298" i="1"/>
  <c r="Q298" i="1"/>
  <c r="AE302" i="1"/>
  <c r="Q302" i="1"/>
  <c r="AE304" i="1"/>
  <c r="Q304" i="1"/>
  <c r="AE306" i="1"/>
  <c r="Q306" i="1"/>
  <c r="AE330" i="1"/>
  <c r="Q330" i="1"/>
  <c r="Q300" i="1"/>
  <c r="Q284" i="1"/>
  <c r="Q282" i="1"/>
  <c r="Q379" i="1"/>
  <c r="D15" i="7" s="1"/>
  <c r="AE379" i="1"/>
  <c r="AE12" i="15" s="1"/>
  <c r="Q375" i="1"/>
  <c r="AE375" i="1"/>
  <c r="Q16" i="1"/>
  <c r="AE16" i="1"/>
  <c r="Q45" i="1"/>
  <c r="AE45" i="1"/>
  <c r="Q47" i="1"/>
  <c r="AE47" i="1"/>
  <c r="Q57" i="1"/>
  <c r="AE57" i="1"/>
  <c r="Q83" i="1"/>
  <c r="AE83" i="1"/>
  <c r="AE89" i="1"/>
  <c r="Q89" i="1"/>
  <c r="AE91" i="1"/>
  <c r="Q91" i="1"/>
  <c r="AE97" i="1"/>
  <c r="Q97" i="1"/>
  <c r="AE103" i="1"/>
  <c r="Q103" i="1"/>
  <c r="AE105" i="1"/>
  <c r="Q105" i="1"/>
  <c r="AE107" i="1"/>
  <c r="Q107" i="1"/>
  <c r="AE149" i="1"/>
  <c r="Q149" i="1"/>
  <c r="AE151" i="1"/>
  <c r="Q151" i="1"/>
  <c r="AE203" i="1"/>
  <c r="Q203" i="1"/>
  <c r="AE211" i="1"/>
  <c r="Q211" i="1"/>
  <c r="Q219" i="1"/>
  <c r="AE219" i="1"/>
  <c r="AE235" i="1"/>
  <c r="Q235" i="1"/>
  <c r="AE243" i="1"/>
  <c r="Q243" i="1"/>
  <c r="AE257" i="1"/>
  <c r="Q257" i="1"/>
  <c r="AE259" i="1"/>
  <c r="Q259" i="1"/>
  <c r="AE267" i="1"/>
  <c r="Q267" i="1"/>
  <c r="AE269" i="1"/>
  <c r="Q269" i="1"/>
  <c r="AE281" i="1"/>
  <c r="Q281" i="1"/>
  <c r="AE285" i="1"/>
  <c r="Q285" i="1"/>
  <c r="O19" i="1"/>
  <c r="AC19" i="1"/>
  <c r="AC21" i="1"/>
  <c r="O21" i="1"/>
  <c r="O85" i="1"/>
  <c r="AC85" i="1"/>
  <c r="O91" i="1"/>
  <c r="AC91" i="1"/>
  <c r="BH9" i="6"/>
  <c r="BH10" i="6" s="1"/>
  <c r="Q223" i="1"/>
  <c r="Q217" i="1"/>
  <c r="Q215" i="1"/>
  <c r="Q213" i="1"/>
  <c r="Q175" i="1"/>
  <c r="Q173" i="1"/>
  <c r="Q171" i="1"/>
  <c r="Q167" i="1"/>
  <c r="Q165" i="1"/>
  <c r="Q163" i="1"/>
  <c r="Q161" i="1"/>
  <c r="Q157" i="1"/>
  <c r="O156" i="1"/>
  <c r="Q135" i="1"/>
  <c r="Q133" i="1"/>
  <c r="Q131" i="1"/>
  <c r="Q129" i="1"/>
  <c r="Q127" i="1"/>
  <c r="Q115" i="1"/>
  <c r="Q113" i="1"/>
  <c r="Q111" i="1"/>
  <c r="Q99" i="1"/>
  <c r="O99" i="1"/>
  <c r="Q85" i="1"/>
  <c r="Q75" i="1"/>
  <c r="Q69" i="1"/>
  <c r="Q61" i="1"/>
  <c r="Q59" i="1"/>
  <c r="Q55" i="1"/>
  <c r="Q53" i="1"/>
  <c r="Q43" i="1"/>
  <c r="Q37" i="1"/>
  <c r="Q23" i="1"/>
  <c r="Q20" i="1"/>
  <c r="AE18" i="1"/>
  <c r="AE231" i="1"/>
  <c r="AE41" i="1"/>
  <c r="AE63" i="1"/>
  <c r="AE377" i="1"/>
  <c r="Q377" i="1"/>
  <c r="AE25" i="1"/>
  <c r="Q25" i="1"/>
  <c r="AE27" i="1"/>
  <c r="Q27" i="1"/>
  <c r="AE31" i="1"/>
  <c r="Q31" i="1"/>
  <c r="AE33" i="1"/>
  <c r="Q33" i="1"/>
  <c r="AE35" i="1"/>
  <c r="Q35" i="1"/>
  <c r="Q39" i="1"/>
  <c r="AE39" i="1"/>
  <c r="AE49" i="1"/>
  <c r="Q49" i="1"/>
  <c r="AE51" i="1"/>
  <c r="Q51" i="1"/>
  <c r="AE67" i="1"/>
  <c r="Q67" i="1"/>
  <c r="AE71" i="1"/>
  <c r="Q71" i="1"/>
  <c r="AE73" i="1"/>
  <c r="Q73" i="1"/>
  <c r="AE77" i="1"/>
  <c r="Q77" i="1"/>
  <c r="AE87" i="1"/>
  <c r="Q87" i="1"/>
  <c r="AE93" i="1"/>
  <c r="Q93" i="1"/>
  <c r="AE101" i="1"/>
  <c r="Q101" i="1"/>
  <c r="AE109" i="1"/>
  <c r="Q109" i="1"/>
  <c r="AE117" i="1"/>
  <c r="Q117" i="1"/>
  <c r="AE121" i="1"/>
  <c r="Q121" i="1"/>
  <c r="AE123" i="1"/>
  <c r="Q123" i="1"/>
  <c r="AE125" i="1"/>
  <c r="Q125" i="1"/>
  <c r="AE141" i="1"/>
  <c r="Q141" i="1"/>
  <c r="AE143" i="1"/>
  <c r="Q143" i="1"/>
  <c r="AE145" i="1"/>
  <c r="Q145" i="1"/>
  <c r="AE153" i="1"/>
  <c r="Q153" i="1"/>
  <c r="AE155" i="1"/>
  <c r="Q155" i="1"/>
  <c r="AE177" i="1"/>
  <c r="Q177" i="1"/>
  <c r="AE179" i="1"/>
  <c r="Q179" i="1"/>
  <c r="AE181" i="1"/>
  <c r="Q181" i="1"/>
  <c r="AE187" i="1"/>
  <c r="Q187" i="1"/>
  <c r="AE189" i="1"/>
  <c r="Q189" i="1"/>
  <c r="AE195" i="1"/>
  <c r="Q195" i="1"/>
  <c r="AE197" i="1"/>
  <c r="Q197" i="1"/>
  <c r="AE201" i="1"/>
  <c r="Q201" i="1"/>
  <c r="AE221" i="1"/>
  <c r="Q221" i="1"/>
  <c r="AE225" i="1"/>
  <c r="Q225" i="1"/>
  <c r="AC47" i="1"/>
  <c r="O47" i="1"/>
  <c r="AC51" i="1"/>
  <c r="O51" i="1"/>
  <c r="AC97" i="1"/>
  <c r="O97" i="1"/>
  <c r="O101" i="1"/>
  <c r="AC101" i="1"/>
  <c r="AC111" i="1"/>
  <c r="O111" i="1"/>
  <c r="AC133" i="1"/>
  <c r="O133" i="1"/>
  <c r="AC154" i="1"/>
  <c r="O154" i="1"/>
  <c r="AC317" i="1"/>
  <c r="AC213" i="1"/>
  <c r="AC209" i="1"/>
  <c r="AC207" i="1"/>
  <c r="AC199" i="1"/>
  <c r="AC375" i="1"/>
  <c r="AC371" i="1"/>
  <c r="AC287" i="1"/>
  <c r="AC265" i="1"/>
  <c r="AC229" i="1"/>
  <c r="AC165" i="1"/>
  <c r="AC367" i="1"/>
  <c r="AC360" i="1"/>
  <c r="AC350" i="1"/>
  <c r="AC344" i="1"/>
  <c r="AC332" i="1"/>
  <c r="AC306" i="1"/>
  <c r="AC292" i="1"/>
  <c r="AC363" i="1"/>
  <c r="AC357" i="1"/>
  <c r="AC353" i="1"/>
  <c r="AC323" i="1"/>
  <c r="AC313" i="1"/>
  <c r="AC307" i="1"/>
  <c r="AC285" i="1"/>
  <c r="AC237" i="1"/>
  <c r="AC233" i="1"/>
  <c r="AC211" i="1"/>
  <c r="AC205" i="1"/>
  <c r="AC193" i="1"/>
  <c r="AC185" i="1"/>
  <c r="AC181" i="1"/>
  <c r="AC177" i="1"/>
  <c r="AC173" i="1"/>
  <c r="AC171" i="1"/>
  <c r="AC169" i="1"/>
  <c r="AC167" i="1"/>
  <c r="AC163" i="1"/>
  <c r="AC161" i="1"/>
  <c r="AC221" i="1"/>
  <c r="AC217" i="1"/>
  <c r="AC215" i="1"/>
  <c r="AC197" i="1"/>
  <c r="AC195" i="1"/>
  <c r="AC183" i="1"/>
  <c r="AC377" i="1"/>
  <c r="AC369" i="1"/>
  <c r="AC337" i="1"/>
  <c r="AC319" i="1"/>
  <c r="AC303" i="1"/>
  <c r="AC299" i="1"/>
  <c r="AC293" i="1"/>
  <c r="AC249" i="1"/>
  <c r="AC231" i="1"/>
  <c r="AC227" i="1"/>
  <c r="AC191" i="1"/>
  <c r="AC374" i="1"/>
  <c r="AC372" i="1"/>
  <c r="AC365" i="1"/>
  <c r="AC362" i="1"/>
  <c r="AC354" i="1"/>
  <c r="AC351" i="1"/>
  <c r="AC349" i="1"/>
  <c r="AC347" i="1"/>
  <c r="AC342" i="1"/>
  <c r="AC336" i="1"/>
  <c r="AC329" i="1"/>
  <c r="AC308" i="1"/>
  <c r="AC305" i="1"/>
  <c r="AC294" i="1"/>
  <c r="AJ138" i="18"/>
  <c r="AJ112" i="18"/>
  <c r="AJ96" i="18"/>
  <c r="AJ137" i="18"/>
  <c r="AJ122" i="18"/>
  <c r="AJ114" i="18"/>
  <c r="AJ99" i="18"/>
  <c r="AJ84" i="18"/>
  <c r="AJ67" i="18"/>
  <c r="AJ53" i="18"/>
  <c r="AJ28" i="18"/>
  <c r="AJ15" i="18"/>
  <c r="AJ370" i="18"/>
  <c r="AJ332" i="18"/>
  <c r="AJ356" i="18"/>
  <c r="AJ331" i="18"/>
  <c r="AJ302" i="18"/>
  <c r="AJ266" i="18"/>
  <c r="AJ228" i="18"/>
  <c r="AJ312" i="18"/>
  <c r="AJ280" i="18"/>
  <c r="AJ252" i="18"/>
  <c r="AJ223" i="18"/>
  <c r="AJ192" i="18"/>
  <c r="AJ160" i="18"/>
  <c r="AJ164" i="18"/>
  <c r="AJ98" i="18"/>
  <c r="S44" i="6"/>
  <c r="T46" i="6" s="1"/>
  <c r="E176" i="6"/>
  <c r="Y44" i="6"/>
  <c r="Z46" i="6" s="1"/>
  <c r="AH16" i="6"/>
  <c r="AF16" i="6"/>
  <c r="AJ20" i="6"/>
  <c r="AG18" i="6"/>
  <c r="AC18" i="6"/>
  <c r="T16" i="6"/>
  <c r="O44" i="6"/>
  <c r="P46" i="6" s="1"/>
  <c r="N20" i="6"/>
  <c r="E316" i="6"/>
  <c r="AL16" i="6"/>
  <c r="Q18" i="6"/>
  <c r="E134" i="6"/>
  <c r="U18" i="6"/>
  <c r="X16" i="6"/>
  <c r="T29" i="6"/>
  <c r="T33" i="6" s="1"/>
  <c r="S20" i="6"/>
  <c r="S29" i="6"/>
  <c r="S33" i="6" s="1"/>
  <c r="R50" i="6"/>
  <c r="E302" i="6"/>
  <c r="Y16" i="6"/>
  <c r="Q20" i="6"/>
  <c r="S31" i="6"/>
  <c r="AJ18" i="6"/>
  <c r="AK20" i="6"/>
  <c r="Q35" i="6"/>
  <c r="Y48" i="6"/>
  <c r="S35" i="6"/>
  <c r="X29" i="6"/>
  <c r="X33" i="6" s="1"/>
  <c r="AA16" i="6"/>
  <c r="W16" i="6"/>
  <c r="U16" i="6"/>
  <c r="S16" i="6"/>
  <c r="E22" i="6"/>
  <c r="O33" i="6"/>
  <c r="E78" i="6"/>
  <c r="Z29" i="6"/>
  <c r="AI16" i="6"/>
  <c r="N18" i="6"/>
  <c r="P48" i="6"/>
  <c r="Q46" i="6"/>
  <c r="O50" i="6"/>
  <c r="R46" i="6"/>
  <c r="P50" i="6"/>
  <c r="V50" i="6"/>
  <c r="X46" i="6"/>
  <c r="W48" i="6"/>
  <c r="R44" i="6"/>
  <c r="V20" i="6"/>
  <c r="Z16" i="6"/>
  <c r="E344" i="6"/>
  <c r="AK18" i="6"/>
  <c r="AJ16" i="6"/>
  <c r="AF20" i="6"/>
  <c r="V44" i="6"/>
  <c r="V48" i="6" s="1"/>
  <c r="U44" i="6"/>
  <c r="T50" i="6" s="1"/>
  <c r="E260" i="6"/>
  <c r="AD16" i="6"/>
  <c r="AA18" i="6"/>
  <c r="AB16" i="6"/>
  <c r="R20" i="6"/>
  <c r="E92" i="6"/>
  <c r="R16" i="6"/>
  <c r="N44" i="6"/>
  <c r="N48" i="6" s="1"/>
  <c r="T20" i="6"/>
  <c r="V16" i="6"/>
  <c r="E64" i="6"/>
  <c r="O9" i="16"/>
  <c r="AJ177" i="16" s="1"/>
  <c r="O260" i="1"/>
  <c r="E260" i="1" s="1"/>
  <c r="O270" i="1"/>
  <c r="E270" i="1" s="1"/>
  <c r="O274" i="1"/>
  <c r="O292" i="1"/>
  <c r="E292" i="1" s="1"/>
  <c r="O294" i="1"/>
  <c r="O298" i="1"/>
  <c r="E298" i="1" s="1"/>
  <c r="O334" i="1"/>
  <c r="E334" i="1" s="1"/>
  <c r="O336" i="1"/>
  <c r="E336" i="1" s="1"/>
  <c r="O338" i="1"/>
  <c r="E338" i="1" s="1"/>
  <c r="O340" i="1"/>
  <c r="E340" i="1" s="1"/>
  <c r="O344" i="1"/>
  <c r="E344" i="1" s="1"/>
  <c r="AC346" i="1"/>
  <c r="O350" i="1"/>
  <c r="E350" i="1" s="1"/>
  <c r="O354" i="1"/>
  <c r="E354" i="1" s="1"/>
  <c r="O356" i="1"/>
  <c r="E356" i="1" s="1"/>
  <c r="O362" i="1"/>
  <c r="E362" i="1" s="1"/>
  <c r="O364" i="1"/>
  <c r="E364" i="1" s="1"/>
  <c r="O366" i="1"/>
  <c r="E366" i="1" s="1"/>
  <c r="O367" i="1"/>
  <c r="E367" i="1" s="1"/>
  <c r="O370" i="1"/>
  <c r="E370" i="1" s="1"/>
  <c r="O378" i="1"/>
  <c r="E378" i="1" s="1"/>
  <c r="AC187" i="1"/>
  <c r="AC189" i="1"/>
  <c r="AC214" i="1"/>
  <c r="AC218" i="1"/>
  <c r="AC246" i="1"/>
  <c r="AC256" i="1"/>
  <c r="AC274" i="1"/>
  <c r="AC331" i="1"/>
  <c r="AC339" i="1"/>
  <c r="AC355" i="1"/>
  <c r="AC366" i="1"/>
  <c r="AC236" i="1"/>
  <c r="AC269" i="1"/>
  <c r="AC324" i="1"/>
  <c r="AC327" i="1"/>
  <c r="AC334" i="1"/>
  <c r="AC358" i="1"/>
  <c r="AC378" i="1"/>
  <c r="AC368" i="1"/>
  <c r="AC286" i="1"/>
  <c r="AC280" i="1"/>
  <c r="AC158" i="1"/>
  <c r="AC162" i="1"/>
  <c r="AC170" i="1"/>
  <c r="AC182" i="1"/>
  <c r="AC190" i="1"/>
  <c r="AC196" i="1"/>
  <c r="AC204" i="1"/>
  <c r="AC210" i="1"/>
  <c r="AC219" i="1"/>
  <c r="AC222" i="1"/>
  <c r="AC226" i="1"/>
  <c r="AC238" i="1"/>
  <c r="AC241" i="1"/>
  <c r="AC248" i="1"/>
  <c r="AC252" i="1"/>
  <c r="AC258" i="1"/>
  <c r="AC261" i="1"/>
  <c r="AC264" i="1"/>
  <c r="AC270" i="1"/>
  <c r="AC276" i="1"/>
  <c r="AC281" i="1"/>
  <c r="AC288" i="1"/>
  <c r="AC290" i="1"/>
  <c r="AC296" i="1"/>
  <c r="AC301" i="1"/>
  <c r="AC304" i="1"/>
  <c r="AC310" i="1"/>
  <c r="AC312" i="1"/>
  <c r="AC315" i="1"/>
  <c r="AC318" i="1"/>
  <c r="AC322" i="1"/>
  <c r="AC166" i="1"/>
  <c r="AC176" i="1"/>
  <c r="AC184" i="1"/>
  <c r="AC206" i="1"/>
  <c r="AC230" i="1"/>
  <c r="AC242" i="1"/>
  <c r="AC254" i="1"/>
  <c r="AC266" i="1"/>
  <c r="AC271" i="1"/>
  <c r="O290" i="1"/>
  <c r="O306" i="1"/>
  <c r="E306" i="1" s="1"/>
  <c r="O316" i="1"/>
  <c r="O318" i="1"/>
  <c r="E318" i="1" s="1"/>
  <c r="O319" i="1"/>
  <c r="E319" i="1" s="1"/>
  <c r="O324" i="1"/>
  <c r="E324" i="1" s="1"/>
  <c r="O326" i="1"/>
  <c r="E326" i="1" s="1"/>
  <c r="O348" i="1"/>
  <c r="E348" i="1" s="1"/>
  <c r="AC164" i="1"/>
  <c r="AC188" i="1"/>
  <c r="AC194" i="1"/>
  <c r="AC216" i="1"/>
  <c r="AC244" i="1"/>
  <c r="AC251" i="1"/>
  <c r="AC273" i="1"/>
  <c r="AC330" i="1"/>
  <c r="AC338" i="1"/>
  <c r="AC343" i="1"/>
  <c r="AC356" i="1"/>
  <c r="AC370" i="1"/>
  <c r="AC240" i="1"/>
  <c r="AC300" i="1"/>
  <c r="AC326" i="1"/>
  <c r="AC333" i="1"/>
  <c r="AC335" i="1"/>
  <c r="AC376" i="1"/>
  <c r="AC379" i="1"/>
  <c r="AC284" i="1"/>
  <c r="AC279" i="1"/>
  <c r="AC160" i="1"/>
  <c r="AC168" i="1"/>
  <c r="AC172" i="1"/>
  <c r="AC186" i="1"/>
  <c r="AC192" i="1"/>
  <c r="AC200" i="1"/>
  <c r="AC208" i="1"/>
  <c r="AC212" i="1"/>
  <c r="AC220" i="1"/>
  <c r="AC224" i="1"/>
  <c r="AC234" i="1"/>
  <c r="AC239" i="1"/>
  <c r="AC243" i="1"/>
  <c r="AC250" i="1"/>
  <c r="AC255" i="1"/>
  <c r="AC260" i="1"/>
  <c r="AC262" i="1"/>
  <c r="AC268" i="1"/>
  <c r="AC272" i="1"/>
  <c r="AC278" i="1"/>
  <c r="AC282" i="1"/>
  <c r="AC289" i="1"/>
  <c r="AC295" i="1"/>
  <c r="AC298" i="1"/>
  <c r="AC302" i="1"/>
  <c r="AC309" i="1"/>
  <c r="AC311" i="1"/>
  <c r="AC314" i="1"/>
  <c r="AC316" i="1"/>
  <c r="AC320" i="1"/>
  <c r="AC328" i="1"/>
  <c r="AC174" i="1"/>
  <c r="AC178" i="1"/>
  <c r="AC198" i="1"/>
  <c r="AC228" i="1"/>
  <c r="AC232" i="1"/>
  <c r="AC253" i="1"/>
  <c r="AC259" i="1"/>
  <c r="AC267" i="1"/>
  <c r="O375" i="1"/>
  <c r="E375" i="1" s="1"/>
  <c r="BK13" i="7"/>
  <c r="BW13" i="7"/>
  <c r="O262" i="1"/>
  <c r="E262" i="1" s="1"/>
  <c r="O265" i="1"/>
  <c r="E265" i="1" s="1"/>
  <c r="O266" i="1"/>
  <c r="E266" i="1" s="1"/>
  <c r="O268" i="1"/>
  <c r="O272" i="1"/>
  <c r="O273" i="1"/>
  <c r="E273" i="1" s="1"/>
  <c r="O276" i="1"/>
  <c r="E276" i="1" s="1"/>
  <c r="O280" i="1"/>
  <c r="O282" i="1"/>
  <c r="E282" i="1" s="1"/>
  <c r="O286" i="1"/>
  <c r="E286" i="1" s="1"/>
  <c r="O289" i="1"/>
  <c r="E289" i="1" s="1"/>
  <c r="O296" i="1"/>
  <c r="O297" i="1"/>
  <c r="E297" i="1" s="1"/>
  <c r="O300" i="1"/>
  <c r="E300" i="1" s="1"/>
  <c r="O303" i="1"/>
  <c r="E303" i="1" s="1"/>
  <c r="O304" i="1"/>
  <c r="O305" i="1"/>
  <c r="E305" i="1" s="1"/>
  <c r="O308" i="1"/>
  <c r="E308" i="1" s="1"/>
  <c r="O314" i="1"/>
  <c r="E314" i="1" s="1"/>
  <c r="O320" i="1"/>
  <c r="O322" i="1"/>
  <c r="E322" i="1" s="1"/>
  <c r="O328" i="1"/>
  <c r="E328" i="1" s="1"/>
  <c r="O332" i="1"/>
  <c r="E332" i="1" s="1"/>
  <c r="O342" i="1"/>
  <c r="E342" i="1" s="1"/>
  <c r="O346" i="1"/>
  <c r="E346" i="1" s="1"/>
  <c r="O352" i="1"/>
  <c r="O358" i="1"/>
  <c r="E358" i="1" s="1"/>
  <c r="O360" i="1"/>
  <c r="O368" i="1"/>
  <c r="E368" i="1" s="1"/>
  <c r="O369" i="1"/>
  <c r="E369" i="1" s="1"/>
  <c r="O372" i="1"/>
  <c r="E372" i="1" s="1"/>
  <c r="O374" i="1"/>
  <c r="O376" i="1"/>
  <c r="E376" i="1" s="1"/>
  <c r="O377" i="1"/>
  <c r="O171" i="1"/>
  <c r="E171" i="1" s="1"/>
  <c r="O259" i="1"/>
  <c r="E259" i="1" s="1"/>
  <c r="O269" i="1"/>
  <c r="E269" i="1" s="1"/>
  <c r="O281" i="1"/>
  <c r="E281" i="1" s="1"/>
  <c r="O327" i="1"/>
  <c r="E327" i="1" s="1"/>
  <c r="O331" i="1"/>
  <c r="E331" i="1" s="1"/>
  <c r="O335" i="1"/>
  <c r="E335" i="1" s="1"/>
  <c r="O349" i="1"/>
  <c r="O365" i="1"/>
  <c r="E365" i="1" s="1"/>
  <c r="O379" i="1"/>
  <c r="O177" i="1"/>
  <c r="E177" i="1" s="1"/>
  <c r="O183" i="1"/>
  <c r="O199" i="1"/>
  <c r="E199" i="1" s="1"/>
  <c r="O215" i="1"/>
  <c r="E215" i="1" s="1"/>
  <c r="O225" i="1"/>
  <c r="E225" i="1" s="1"/>
  <c r="O161" i="1"/>
  <c r="O175" i="1"/>
  <c r="E175" i="1" s="1"/>
  <c r="O179" i="1"/>
  <c r="E179" i="1" s="1"/>
  <c r="O201" i="1"/>
  <c r="E201" i="1" s="1"/>
  <c r="O205" i="1"/>
  <c r="E205" i="1" s="1"/>
  <c r="O245" i="1"/>
  <c r="E245" i="1" s="1"/>
  <c r="O285" i="1"/>
  <c r="O317" i="1"/>
  <c r="E317" i="1" s="1"/>
  <c r="O323" i="1"/>
  <c r="O325" i="1"/>
  <c r="E325" i="1" s="1"/>
  <c r="O353" i="1"/>
  <c r="O359" i="1"/>
  <c r="E359" i="1" s="1"/>
  <c r="O363" i="1"/>
  <c r="O330" i="1"/>
  <c r="E330" i="1" s="1"/>
  <c r="O312" i="1"/>
  <c r="E312" i="1" s="1"/>
  <c r="O310" i="1"/>
  <c r="E310" i="1" s="1"/>
  <c r="O302" i="1"/>
  <c r="O288" i="1"/>
  <c r="O287" i="1"/>
  <c r="E287" i="1" s="1"/>
  <c r="O284" i="1"/>
  <c r="E284" i="1" s="1"/>
  <c r="O278" i="1"/>
  <c r="E278" i="1" s="1"/>
  <c r="O277" i="1"/>
  <c r="E277" i="1" s="1"/>
  <c r="O267" i="1"/>
  <c r="E267" i="1" s="1"/>
  <c r="O264" i="1"/>
  <c r="E264" i="1" s="1"/>
  <c r="BQ13" i="7"/>
  <c r="O9" i="15"/>
  <c r="AJ366" i="15" s="1"/>
  <c r="AJ16" i="18"/>
  <c r="AJ17" i="18"/>
  <c r="AJ78" i="18"/>
  <c r="AJ121" i="18"/>
  <c r="AJ136" i="18"/>
  <c r="AJ177" i="18"/>
  <c r="AJ151" i="18"/>
  <c r="AJ166" i="18"/>
  <c r="AJ183" i="18"/>
  <c r="AJ196" i="18"/>
  <c r="AJ212" i="18"/>
  <c r="AJ235" i="18"/>
  <c r="AJ247" i="18"/>
  <c r="AJ261" i="18"/>
  <c r="AJ276" i="18"/>
  <c r="AJ288" i="18"/>
  <c r="AJ306" i="18"/>
  <c r="AJ320" i="18"/>
  <c r="AJ222" i="18"/>
  <c r="AJ234" i="18"/>
  <c r="AJ257" i="18"/>
  <c r="AJ270" i="18"/>
  <c r="AJ292" i="18"/>
  <c r="AJ307" i="18"/>
  <c r="AJ324" i="18"/>
  <c r="AJ339" i="18"/>
  <c r="AJ352" i="18"/>
  <c r="AJ362" i="18"/>
  <c r="AJ379" i="18"/>
  <c r="AJ341" i="18"/>
  <c r="AJ365" i="18"/>
  <c r="AJ20" i="18"/>
  <c r="AJ34" i="18"/>
  <c r="AJ47" i="18"/>
  <c r="AJ38" i="18"/>
  <c r="AJ18" i="18"/>
  <c r="AJ63" i="18"/>
  <c r="AJ61" i="18"/>
  <c r="AJ76" i="18"/>
  <c r="AJ80" i="18"/>
  <c r="AJ91" i="18"/>
  <c r="AJ63" i="17"/>
  <c r="AJ24" i="18"/>
  <c r="AJ40" i="18"/>
  <c r="AJ27" i="18"/>
  <c r="AJ49" i="18"/>
  <c r="AJ41" i="18"/>
  <c r="AJ50" i="18"/>
  <c r="AJ66" i="18"/>
  <c r="AJ72" i="18"/>
  <c r="AJ83" i="18"/>
  <c r="AJ79" i="18"/>
  <c r="AJ105" i="18"/>
  <c r="AJ117" i="18"/>
  <c r="AJ125" i="18"/>
  <c r="AJ144" i="18"/>
  <c r="AJ103" i="18"/>
  <c r="AJ130" i="18"/>
  <c r="AJ142" i="18"/>
  <c r="AJ149" i="18"/>
  <c r="AJ168" i="18"/>
  <c r="AJ174" i="18"/>
  <c r="AJ179" i="18"/>
  <c r="AJ189" i="18"/>
  <c r="AJ199" i="18"/>
  <c r="AJ207" i="18"/>
  <c r="AJ153" i="18"/>
  <c r="AJ158" i="18"/>
  <c r="AJ141" i="18"/>
  <c r="AJ135" i="18"/>
  <c r="AJ128" i="18"/>
  <c r="AJ110" i="18"/>
  <c r="AJ102" i="18"/>
  <c r="AJ88" i="18"/>
  <c r="AJ143" i="18"/>
  <c r="AJ133" i="18"/>
  <c r="AJ124" i="18"/>
  <c r="AJ120" i="18"/>
  <c r="AJ116" i="18"/>
  <c r="AJ109" i="18"/>
  <c r="AJ101" i="18"/>
  <c r="AJ93" i="18"/>
  <c r="AJ94" i="18"/>
  <c r="AJ86" i="18"/>
  <c r="AJ82" i="18"/>
  <c r="AJ77" i="18"/>
  <c r="AJ71" i="18"/>
  <c r="AJ69" i="18"/>
  <c r="AJ65" i="18"/>
  <c r="AJ59" i="18"/>
  <c r="AJ48" i="18"/>
  <c r="AJ57" i="18"/>
  <c r="AJ25" i="18"/>
  <c r="AJ58" i="18"/>
  <c r="AJ44" i="18"/>
  <c r="AJ33" i="18"/>
  <c r="AJ19" i="18"/>
  <c r="AJ45" i="18"/>
  <c r="AJ37" i="18"/>
  <c r="AJ29" i="18"/>
  <c r="AJ23" i="18"/>
  <c r="AJ380" i="18"/>
  <c r="AJ376" i="18"/>
  <c r="AJ368" i="18"/>
  <c r="AJ359" i="18"/>
  <c r="AJ345" i="18"/>
  <c r="AJ335" i="18"/>
  <c r="AJ329" i="18"/>
  <c r="AJ375" i="18"/>
  <c r="AJ366" i="18"/>
  <c r="AJ360" i="18"/>
  <c r="AJ354" i="18"/>
  <c r="AJ349" i="18"/>
  <c r="AJ342" i="18"/>
  <c r="AJ337" i="18"/>
  <c r="AJ326" i="18"/>
  <c r="AJ321" i="18"/>
  <c r="AJ313" i="18"/>
  <c r="AJ304" i="18"/>
  <c r="AJ298" i="18"/>
  <c r="AJ289" i="18"/>
  <c r="AJ282" i="18"/>
  <c r="AJ268" i="18"/>
  <c r="AJ259" i="18"/>
  <c r="AJ253" i="18"/>
  <c r="AJ237" i="18"/>
  <c r="AJ231" i="18"/>
  <c r="AJ226" i="18"/>
  <c r="AJ219" i="18"/>
  <c r="AJ213" i="18"/>
  <c r="AJ316" i="18"/>
  <c r="AJ309" i="18"/>
  <c r="AJ299" i="18"/>
  <c r="AJ293" i="18"/>
  <c r="AJ285" i="18"/>
  <c r="AJ278" i="18"/>
  <c r="AJ273" i="18"/>
  <c r="AJ263" i="18"/>
  <c r="AJ256" i="18"/>
  <c r="AJ249" i="18"/>
  <c r="AJ244" i="18"/>
  <c r="AJ239" i="18"/>
  <c r="AJ230" i="18"/>
  <c r="AJ218" i="18"/>
  <c r="AJ210" i="18"/>
  <c r="AJ201" i="18"/>
  <c r="AJ194" i="18"/>
  <c r="AJ187" i="18"/>
  <c r="AJ181" i="18"/>
  <c r="AJ169" i="18"/>
  <c r="AJ162" i="18"/>
  <c r="AJ156" i="18"/>
  <c r="AJ203" i="18"/>
  <c r="AJ185" i="18"/>
  <c r="AJ172" i="18"/>
  <c r="AJ146" i="18"/>
  <c r="AJ111" i="18"/>
  <c r="AJ134" i="18"/>
  <c r="AJ113" i="18"/>
  <c r="AJ87" i="18"/>
  <c r="AJ74" i="18"/>
  <c r="AJ62" i="18"/>
  <c r="AJ36" i="18"/>
  <c r="AJ30" i="18"/>
  <c r="Z13" i="7"/>
  <c r="AJ21" i="18"/>
  <c r="AJ26" i="18"/>
  <c r="AJ35" i="18"/>
  <c r="AJ43" i="18"/>
  <c r="F7" i="18"/>
  <c r="AJ32" i="18"/>
  <c r="AJ39" i="18"/>
  <c r="AJ55" i="18"/>
  <c r="AJ22" i="18"/>
  <c r="AJ54" i="18"/>
  <c r="AJ31" i="18"/>
  <c r="AJ56" i="18"/>
  <c r="AJ64" i="18"/>
  <c r="AJ68" i="18"/>
  <c r="AJ70" i="18"/>
  <c r="AJ75" i="18"/>
  <c r="AJ81" i="18"/>
  <c r="AJ85" i="18"/>
  <c r="AJ92" i="18"/>
  <c r="AJ90" i="18"/>
  <c r="AJ100" i="18"/>
  <c r="AJ108" i="18"/>
  <c r="AJ115" i="18"/>
  <c r="AJ119" i="18"/>
  <c r="AJ123" i="18"/>
  <c r="AJ129" i="18"/>
  <c r="AJ140" i="18"/>
  <c r="AJ150" i="18"/>
  <c r="AJ97" i="18"/>
  <c r="AJ107" i="18"/>
  <c r="AJ126" i="18"/>
  <c r="AJ132" i="18"/>
  <c r="AJ139" i="18"/>
  <c r="AJ145" i="18"/>
  <c r="AJ147" i="18"/>
  <c r="AJ154" i="18"/>
  <c r="AJ165" i="18"/>
  <c r="AJ171" i="18"/>
  <c r="AJ173" i="18"/>
  <c r="AJ175" i="18"/>
  <c r="AJ178" i="18"/>
  <c r="AJ184" i="18"/>
  <c r="AJ188" i="18"/>
  <c r="AJ190" i="18"/>
  <c r="AJ198" i="18"/>
  <c r="AJ202" i="18"/>
  <c r="AJ204" i="18"/>
  <c r="AJ209" i="18"/>
  <c r="AJ152" i="18"/>
  <c r="AJ155" i="18"/>
  <c r="AJ157" i="18"/>
  <c r="AJ159" i="18"/>
  <c r="AJ161" i="18"/>
  <c r="AJ163" i="18"/>
  <c r="AJ167" i="18"/>
  <c r="AJ170" i="18"/>
  <c r="AJ180" i="18"/>
  <c r="AJ182" i="18"/>
  <c r="AJ186" i="18"/>
  <c r="AJ191" i="18"/>
  <c r="AJ193" i="18"/>
  <c r="AJ195" i="18"/>
  <c r="AJ200" i="18"/>
  <c r="AJ205" i="18"/>
  <c r="AJ208" i="18"/>
  <c r="AJ211" i="18"/>
  <c r="AJ215" i="18"/>
  <c r="AJ220" i="18"/>
  <c r="AJ224" i="18"/>
  <c r="AJ233" i="18"/>
  <c r="AJ238" i="18"/>
  <c r="AJ240" i="18"/>
  <c r="AJ242" i="18"/>
  <c r="AJ246" i="18"/>
  <c r="AJ248" i="18"/>
  <c r="AJ251" i="18"/>
  <c r="AJ254" i="18"/>
  <c r="AJ260" i="18"/>
  <c r="AJ262" i="18"/>
  <c r="AJ264" i="18"/>
  <c r="AJ272" i="18"/>
  <c r="AJ274" i="18"/>
  <c r="AJ277" i="18"/>
  <c r="AJ279" i="18"/>
  <c r="AJ281" i="18"/>
  <c r="AJ286" i="18"/>
  <c r="AJ291" i="18"/>
  <c r="AJ295" i="18"/>
  <c r="AJ297" i="18"/>
  <c r="AJ301" i="18"/>
  <c r="AJ308" i="18"/>
  <c r="AJ311" i="18"/>
  <c r="AJ315" i="18"/>
  <c r="AJ319" i="18"/>
  <c r="AJ322" i="18"/>
  <c r="AJ214" i="18"/>
  <c r="AJ217" i="18"/>
  <c r="AJ221" i="18"/>
  <c r="AJ225" i="18"/>
  <c r="AJ227" i="18"/>
  <c r="AJ229" i="18"/>
  <c r="AJ232" i="18"/>
  <c r="AJ236" i="18"/>
  <c r="AJ243" i="18"/>
  <c r="AJ250" i="18"/>
  <c r="AJ255" i="18"/>
  <c r="AJ258" i="18"/>
  <c r="AJ265" i="18"/>
  <c r="AJ267" i="18"/>
  <c r="AJ269" i="18"/>
  <c r="AJ275" i="18"/>
  <c r="AJ283" i="18"/>
  <c r="AJ287" i="18"/>
  <c r="AJ290" i="18"/>
  <c r="AJ294" i="18"/>
  <c r="AJ300" i="18"/>
  <c r="AJ303" i="18"/>
  <c r="AJ305" i="18"/>
  <c r="AJ310" i="18"/>
  <c r="AJ314" i="18"/>
  <c r="AJ318" i="18"/>
  <c r="AJ323" i="18"/>
  <c r="AJ325" i="18"/>
  <c r="AJ327" i="18"/>
  <c r="AJ334" i="18"/>
  <c r="AJ338" i="18"/>
  <c r="AJ340" i="18"/>
  <c r="AJ343" i="18"/>
  <c r="AJ348" i="18"/>
  <c r="AJ350" i="18"/>
  <c r="AJ353" i="18"/>
  <c r="AJ355" i="18"/>
  <c r="AJ357" i="18"/>
  <c r="AJ361" i="18"/>
  <c r="AJ363" i="18"/>
  <c r="AJ371" i="18"/>
  <c r="AJ373" i="18"/>
  <c r="AJ377" i="18"/>
  <c r="AJ328" i="18"/>
  <c r="AJ330" i="18"/>
  <c r="AJ333" i="18"/>
  <c r="AJ336" i="18"/>
  <c r="AJ344" i="18"/>
  <c r="AJ346" i="18"/>
  <c r="AJ358" i="18"/>
  <c r="AJ364" i="18"/>
  <c r="AJ367" i="18"/>
  <c r="AJ369" i="18"/>
  <c r="AJ374" i="18"/>
  <c r="AJ378" i="18"/>
  <c r="BM13" i="7"/>
  <c r="E13" i="7"/>
  <c r="O158" i="1"/>
  <c r="O160" i="1"/>
  <c r="O162" i="1"/>
  <c r="O172" i="1"/>
  <c r="E172" i="1" s="1"/>
  <c r="O176" i="1"/>
  <c r="E176" i="1" s="1"/>
  <c r="AC180" i="1"/>
  <c r="O182" i="1"/>
  <c r="E182" i="1" s="1"/>
  <c r="O184" i="1"/>
  <c r="E184" i="1" s="1"/>
  <c r="O186" i="1"/>
  <c r="E186" i="1" s="1"/>
  <c r="O188" i="1"/>
  <c r="E188" i="1" s="1"/>
  <c r="O191" i="1"/>
  <c r="E191" i="1" s="1"/>
  <c r="O192" i="1"/>
  <c r="E192" i="1" s="1"/>
  <c r="O194" i="1"/>
  <c r="E194" i="1" s="1"/>
  <c r="O196" i="1"/>
  <c r="E196" i="1" s="1"/>
  <c r="O198" i="1"/>
  <c r="E198" i="1" s="1"/>
  <c r="O200" i="1"/>
  <c r="E200" i="1" s="1"/>
  <c r="AC202" i="1"/>
  <c r="O203" i="1"/>
  <c r="O208" i="1"/>
  <c r="E208" i="1" s="1"/>
  <c r="O214" i="1"/>
  <c r="O218" i="1"/>
  <c r="E218" i="1" s="1"/>
  <c r="O220" i="1"/>
  <c r="E220" i="1" s="1"/>
  <c r="O222" i="1"/>
  <c r="E222" i="1" s="1"/>
  <c r="O228" i="1"/>
  <c r="O230" i="1"/>
  <c r="E230" i="1" s="1"/>
  <c r="O231" i="1"/>
  <c r="E231" i="1" s="1"/>
  <c r="O232" i="1"/>
  <c r="E232" i="1" s="1"/>
  <c r="O238" i="1"/>
  <c r="O243" i="1"/>
  <c r="E243" i="1" s="1"/>
  <c r="O244" i="1"/>
  <c r="O248" i="1"/>
  <c r="E248" i="1" s="1"/>
  <c r="O250" i="1"/>
  <c r="E250" i="1" s="1"/>
  <c r="O254" i="1"/>
  <c r="E254" i="1" s="1"/>
  <c r="O258" i="1"/>
  <c r="BS13" i="7"/>
  <c r="BY13" i="7"/>
  <c r="O164" i="1"/>
  <c r="O166" i="1"/>
  <c r="O168" i="1"/>
  <c r="O170" i="1"/>
  <c r="O174" i="1"/>
  <c r="E174" i="1" s="1"/>
  <c r="O178" i="1"/>
  <c r="E178" i="1" s="1"/>
  <c r="O180" i="1"/>
  <c r="O190" i="1"/>
  <c r="E190" i="1" s="1"/>
  <c r="O202" i="1"/>
  <c r="E202" i="1" s="1"/>
  <c r="O204" i="1"/>
  <c r="O206" i="1"/>
  <c r="E206" i="1" s="1"/>
  <c r="O210" i="1"/>
  <c r="O212" i="1"/>
  <c r="E212" i="1" s="1"/>
  <c r="O216" i="1"/>
  <c r="O224" i="1"/>
  <c r="E224" i="1" s="1"/>
  <c r="O226" i="1"/>
  <c r="E226" i="1" s="1"/>
  <c r="O234" i="1"/>
  <c r="E234" i="1" s="1"/>
  <c r="O236" i="1"/>
  <c r="E236" i="1" s="1"/>
  <c r="O240" i="1"/>
  <c r="E240" i="1" s="1"/>
  <c r="O242" i="1"/>
  <c r="O246" i="1"/>
  <c r="E246" i="1" s="1"/>
  <c r="O247" i="1"/>
  <c r="O249" i="1"/>
  <c r="E249" i="1" s="1"/>
  <c r="O252" i="1"/>
  <c r="O256" i="1"/>
  <c r="E256" i="1" s="1"/>
  <c r="O309" i="1"/>
  <c r="E309" i="1" s="1"/>
  <c r="O315" i="1"/>
  <c r="E315" i="1" s="1"/>
  <c r="O343" i="1"/>
  <c r="O345" i="1"/>
  <c r="E345" i="1" s="1"/>
  <c r="O355" i="1"/>
  <c r="AC179" i="1"/>
  <c r="O187" i="1"/>
  <c r="O189" i="1"/>
  <c r="E189" i="1" s="1"/>
  <c r="O223" i="1"/>
  <c r="E223" i="1" s="1"/>
  <c r="O227" i="1"/>
  <c r="E227" i="1" s="1"/>
  <c r="O229" i="1"/>
  <c r="E229" i="1" s="1"/>
  <c r="O235" i="1"/>
  <c r="E235" i="1" s="1"/>
  <c r="O239" i="1"/>
  <c r="E239" i="1" s="1"/>
  <c r="O251" i="1"/>
  <c r="E251" i="1" s="1"/>
  <c r="O253" i="1"/>
  <c r="E253" i="1" s="1"/>
  <c r="O255" i="1"/>
  <c r="E255" i="1" s="1"/>
  <c r="O261" i="1"/>
  <c r="E261" i="1" s="1"/>
  <c r="O279" i="1"/>
  <c r="E279" i="1" s="1"/>
  <c r="O291" i="1"/>
  <c r="E291" i="1" s="1"/>
  <c r="O293" i="1"/>
  <c r="E293" i="1" s="1"/>
  <c r="O299" i="1"/>
  <c r="O337" i="1"/>
  <c r="E337" i="1" s="1"/>
  <c r="O339" i="1"/>
  <c r="E339" i="1" s="1"/>
  <c r="O371" i="1"/>
  <c r="E371" i="1" s="1"/>
  <c r="AS55" i="6"/>
  <c r="AS24" i="6"/>
  <c r="AS52" i="6"/>
  <c r="AS31" i="6"/>
  <c r="AS30" i="6"/>
  <c r="AS77" i="6"/>
  <c r="AS43" i="6"/>
  <c r="P36" i="6"/>
  <c r="AS57" i="6"/>
  <c r="AS54" i="6"/>
  <c r="T36" i="6"/>
  <c r="Y21" i="6"/>
  <c r="AB29" i="6"/>
  <c r="AA35" i="6" s="1"/>
  <c r="O20" i="6"/>
  <c r="U29" i="6"/>
  <c r="AB18" i="6"/>
  <c r="AA20" i="6"/>
  <c r="V29" i="6"/>
  <c r="E246" i="6"/>
  <c r="AE20" i="6"/>
  <c r="W29" i="6"/>
  <c r="E274" i="6"/>
  <c r="E330" i="6"/>
  <c r="Y29" i="6"/>
  <c r="AK16" i="6"/>
  <c r="AI20" i="6"/>
  <c r="AL18" i="6"/>
  <c r="AM16" i="6"/>
  <c r="M13" i="6"/>
  <c r="Z44" i="6"/>
  <c r="AN16" i="6"/>
  <c r="M43" i="6"/>
  <c r="N15" i="6"/>
  <c r="N21" i="6" s="1"/>
  <c r="M17" i="6"/>
  <c r="P15" i="6"/>
  <c r="N19" i="6"/>
  <c r="N22" i="6" s="1"/>
  <c r="N43" i="6"/>
  <c r="Q17" i="6"/>
  <c r="R15" i="6"/>
  <c r="R21" i="6" s="1"/>
  <c r="P19" i="6"/>
  <c r="O43" i="6"/>
  <c r="P45" i="6" s="1"/>
  <c r="P43" i="6"/>
  <c r="R19" i="6"/>
  <c r="T15" i="6"/>
  <c r="T21" i="6" s="1"/>
  <c r="S17" i="6"/>
  <c r="V15" i="6"/>
  <c r="V21" i="6" s="1"/>
  <c r="T19" i="6"/>
  <c r="T22" i="6" s="1"/>
  <c r="U17" i="6"/>
  <c r="U22" i="6" s="1"/>
  <c r="Q43" i="6"/>
  <c r="X15" i="6"/>
  <c r="X21" i="6" s="1"/>
  <c r="V19" i="6"/>
  <c r="V22" i="6" s="1"/>
  <c r="R43" i="6"/>
  <c r="R47" i="6" s="1"/>
  <c r="S43" i="6"/>
  <c r="X19" i="6"/>
  <c r="X22" i="6" s="1"/>
  <c r="Z15" i="6"/>
  <c r="Z21" i="6" s="1"/>
  <c r="AA17" i="6"/>
  <c r="AB15" i="6"/>
  <c r="AB21" i="6" s="1"/>
  <c r="Z19" i="6"/>
  <c r="Z22" i="6" s="1"/>
  <c r="T43" i="6"/>
  <c r="AC17" i="6"/>
  <c r="AC21" i="6" s="1"/>
  <c r="U43" i="6"/>
  <c r="AD15" i="6"/>
  <c r="AB19" i="6"/>
  <c r="AB22" i="6" s="1"/>
  <c r="AF15" i="6"/>
  <c r="AF21" i="6" s="1"/>
  <c r="V43" i="6"/>
  <c r="AE17" i="6"/>
  <c r="AE22" i="6" s="1"/>
  <c r="AD19" i="6"/>
  <c r="AD22" i="6" s="1"/>
  <c r="W43" i="6"/>
  <c r="AH15" i="6"/>
  <c r="AH21" i="6" s="1"/>
  <c r="AF19" i="6"/>
  <c r="AF22" i="6" s="1"/>
  <c r="AG17" i="6"/>
  <c r="AJ15" i="6"/>
  <c r="X43" i="6"/>
  <c r="X47" i="6" s="1"/>
  <c r="AH19" i="6"/>
  <c r="AH22" i="6" s="1"/>
  <c r="AI17" i="6"/>
  <c r="AI22" i="6" s="1"/>
  <c r="AH18" i="6"/>
  <c r="Z18" i="6"/>
  <c r="E162" i="6"/>
  <c r="X18" i="6"/>
  <c r="V18" i="6"/>
  <c r="T18" i="6"/>
  <c r="Q29" i="6"/>
  <c r="P29" i="6"/>
  <c r="Q16" i="6"/>
  <c r="O16" i="6"/>
  <c r="N29" i="6"/>
  <c r="U20" i="6"/>
  <c r="AG16" i="6"/>
  <c r="E190" i="6"/>
  <c r="E372" i="6"/>
  <c r="AE16" i="6"/>
  <c r="AL20" i="6"/>
  <c r="AC20" i="6"/>
  <c r="E50" i="6"/>
  <c r="E218" i="6"/>
  <c r="L13" i="6"/>
  <c r="AN13" i="6"/>
  <c r="AS27" i="6"/>
  <c r="AS51" i="6"/>
  <c r="O17" i="6"/>
  <c r="O21" i="6" s="1"/>
  <c r="W17" i="6"/>
  <c r="AS38" i="6"/>
  <c r="AS48" i="6"/>
  <c r="AS45" i="6"/>
  <c r="AS78" i="6"/>
  <c r="AS35" i="6"/>
  <c r="AS73" i="6"/>
  <c r="P37" i="6"/>
  <c r="V36" i="6"/>
  <c r="AC22" i="6"/>
  <c r="AD21" i="6"/>
  <c r="Y22" i="6"/>
  <c r="R32" i="6"/>
  <c r="S30" i="6"/>
  <c r="S36" i="6" s="1"/>
  <c r="Q21" i="6"/>
  <c r="AE21" i="6"/>
  <c r="U21" i="6"/>
  <c r="Q48" i="6"/>
  <c r="AS25" i="6"/>
  <c r="AS44" i="6"/>
  <c r="AS37" i="6"/>
  <c r="AS50" i="6"/>
  <c r="AS68" i="6"/>
  <c r="AS75" i="6"/>
  <c r="AK3" i="1"/>
  <c r="Q11" i="19" s="1"/>
  <c r="AS65" i="6"/>
  <c r="O47" i="6"/>
  <c r="X30" i="6"/>
  <c r="V34" i="6"/>
  <c r="V37" i="6" s="1"/>
  <c r="S45" i="6"/>
  <c r="Q49" i="6"/>
  <c r="AB28" i="6"/>
  <c r="AA34" i="6" s="1"/>
  <c r="AA32" i="6"/>
  <c r="AA37" i="6" s="1"/>
  <c r="Z34" i="6"/>
  <c r="Z37" i="6" s="1"/>
  <c r="Y32" i="6"/>
  <c r="Y37" i="6" s="1"/>
  <c r="X34" i="6"/>
  <c r="Z49" i="6"/>
  <c r="AA47" i="6"/>
  <c r="AA52" i="6" s="1"/>
  <c r="AM22" i="6"/>
  <c r="AM21" i="6"/>
  <c r="F30" i="6"/>
  <c r="R22" i="6"/>
  <c r="W30" i="6"/>
  <c r="W36" i="6" s="1"/>
  <c r="U34" i="6"/>
  <c r="U37" i="6" s="1"/>
  <c r="Y43" i="6"/>
  <c r="AK17" i="6"/>
  <c r="AJ19" i="6"/>
  <c r="AL15" i="6"/>
  <c r="AL21" i="6" s="1"/>
  <c r="Z43" i="6"/>
  <c r="AL19" i="6"/>
  <c r="AL22" i="6" s="1"/>
  <c r="AN15" i="6"/>
  <c r="AN21" i="6" s="1"/>
  <c r="M22" i="6"/>
  <c r="W49" i="6"/>
  <c r="M15" i="6"/>
  <c r="M21" i="6" s="1"/>
  <c r="M28" i="6"/>
  <c r="P17" i="6"/>
  <c r="O19" i="6"/>
  <c r="O22" i="6" s="1"/>
  <c r="S15" i="6"/>
  <c r="Q19" i="6"/>
  <c r="Q22" i="6" s="1"/>
  <c r="AG19" i="6"/>
  <c r="X28" i="6"/>
  <c r="AK15" i="6"/>
  <c r="AJ17" i="6"/>
  <c r="AJ221" i="17" l="1"/>
  <c r="AJ274" i="17"/>
  <c r="AJ84" i="17"/>
  <c r="AJ336" i="17"/>
  <c r="AJ160" i="17"/>
  <c r="AJ218" i="16"/>
  <c r="AJ220" i="17"/>
  <c r="AJ352" i="17"/>
  <c r="AJ334" i="17"/>
  <c r="AJ257" i="17"/>
  <c r="AJ40" i="17"/>
  <c r="BL15" i="7"/>
  <c r="P11" i="15"/>
  <c r="AK172" i="15" s="1"/>
  <c r="AJ75" i="16"/>
  <c r="AJ52" i="17"/>
  <c r="AJ170" i="17"/>
  <c r="AJ268" i="17"/>
  <c r="AJ297" i="17"/>
  <c r="AJ374" i="17"/>
  <c r="AJ357" i="17"/>
  <c r="AJ302" i="17"/>
  <c r="AJ320" i="17"/>
  <c r="AJ207" i="17"/>
  <c r="AJ131" i="17"/>
  <c r="AJ154" i="17"/>
  <c r="Q12" i="15"/>
  <c r="BX15" i="7"/>
  <c r="H15" i="7"/>
  <c r="AJ337" i="15"/>
  <c r="AJ171" i="15"/>
  <c r="AJ279" i="15"/>
  <c r="AJ223" i="15"/>
  <c r="AJ44" i="15"/>
  <c r="AJ167" i="16"/>
  <c r="AJ277" i="16"/>
  <c r="AJ371" i="15"/>
  <c r="AJ141" i="15"/>
  <c r="AJ283" i="15"/>
  <c r="AJ122" i="15"/>
  <c r="AJ108" i="15"/>
  <c r="AJ92" i="15"/>
  <c r="AJ36" i="17"/>
  <c r="AJ86" i="17"/>
  <c r="AJ166" i="17"/>
  <c r="AJ192" i="17"/>
  <c r="AJ243" i="17"/>
  <c r="AJ307" i="17"/>
  <c r="AJ269" i="17"/>
  <c r="AJ331" i="17"/>
  <c r="AJ379" i="17"/>
  <c r="AJ362" i="17"/>
  <c r="AJ369" i="17"/>
  <c r="AJ345" i="17"/>
  <c r="AJ321" i="17"/>
  <c r="AJ292" i="17"/>
  <c r="AJ253" i="17"/>
  <c r="AJ282" i="17"/>
  <c r="AJ232" i="17"/>
  <c r="AJ182" i="17"/>
  <c r="AJ133" i="17"/>
  <c r="AJ81" i="17"/>
  <c r="AJ159" i="17"/>
  <c r="AJ85" i="17"/>
  <c r="AJ359" i="17"/>
  <c r="AK184" i="15"/>
  <c r="AK76" i="15"/>
  <c r="I11" i="7"/>
  <c r="Q11" i="15" s="1"/>
  <c r="P11" i="16"/>
  <c r="AK365" i="16" s="1"/>
  <c r="E207" i="1"/>
  <c r="L381" i="1"/>
  <c r="L230" i="22"/>
  <c r="L235" i="22"/>
  <c r="L196" i="22"/>
  <c r="L197" i="22"/>
  <c r="L198" i="22"/>
  <c r="L199" i="22"/>
  <c r="L201" i="22"/>
  <c r="L219" i="22"/>
  <c r="L282" i="22"/>
  <c r="L295" i="22"/>
  <c r="L303" i="22"/>
  <c r="L268" i="22"/>
  <c r="L300" i="22"/>
  <c r="L308" i="22"/>
  <c r="L309" i="22"/>
  <c r="L310" i="22"/>
  <c r="L312" i="22"/>
  <c r="L316" i="22"/>
  <c r="L320" i="22"/>
  <c r="L331" i="22"/>
  <c r="L336" i="22"/>
  <c r="L337" i="22"/>
  <c r="L339" i="22"/>
  <c r="L354" i="22"/>
  <c r="L355" i="22"/>
  <c r="L375" i="22"/>
  <c r="L55" i="22"/>
  <c r="L59" i="22"/>
  <c r="L64" i="22"/>
  <c r="L38" i="22"/>
  <c r="L20" i="22"/>
  <c r="L23" i="22"/>
  <c r="L25" i="22"/>
  <c r="L22" i="22"/>
  <c r="L52" i="22"/>
  <c r="L74" i="22"/>
  <c r="L95" i="22"/>
  <c r="L108" i="22"/>
  <c r="L113" i="22"/>
  <c r="L77" i="22"/>
  <c r="L112" i="22"/>
  <c r="L121" i="22"/>
  <c r="L127" i="22"/>
  <c r="L135" i="22"/>
  <c r="L142" i="22"/>
  <c r="L149" i="22"/>
  <c r="AF36" i="7" s="1"/>
  <c r="L156" i="22"/>
  <c r="L161" i="22"/>
  <c r="L93" i="22"/>
  <c r="L119" i="22"/>
  <c r="AF35" i="7" s="1"/>
  <c r="L134" i="22"/>
  <c r="L155" i="22"/>
  <c r="L168" i="22"/>
  <c r="L179" i="22"/>
  <c r="L187" i="22"/>
  <c r="L203" i="22"/>
  <c r="L215" i="22"/>
  <c r="L220" i="22"/>
  <c r="L229" i="22"/>
  <c r="L238" i="22"/>
  <c r="L242" i="22"/>
  <c r="L248" i="22"/>
  <c r="L254" i="22"/>
  <c r="L262" i="22"/>
  <c r="L267" i="22"/>
  <c r="L318" i="22"/>
  <c r="L335" i="22"/>
  <c r="L344" i="22"/>
  <c r="L357" i="22"/>
  <c r="L358" i="22"/>
  <c r="L360" i="22"/>
  <c r="L361" i="22"/>
  <c r="L370" i="22"/>
  <c r="L67" i="22"/>
  <c r="L36" i="22"/>
  <c r="L53" i="22"/>
  <c r="L34" i="22"/>
  <c r="L35" i="22"/>
  <c r="L17" i="22"/>
  <c r="L66" i="22"/>
  <c r="L89" i="22"/>
  <c r="L105" i="22"/>
  <c r="L110" i="22"/>
  <c r="L72" i="22"/>
  <c r="L90" i="22"/>
  <c r="L115" i="22"/>
  <c r="L124" i="22"/>
  <c r="L130" i="22"/>
  <c r="L138" i="22"/>
  <c r="L147" i="22"/>
  <c r="L152" i="22"/>
  <c r="L158" i="22"/>
  <c r="L58" i="22"/>
  <c r="L116" i="22"/>
  <c r="L129" i="22"/>
  <c r="L143" i="22"/>
  <c r="L166" i="22"/>
  <c r="L173" i="22"/>
  <c r="L181" i="22"/>
  <c r="L194" i="22"/>
  <c r="L210" i="22"/>
  <c r="AF38" i="7" s="1"/>
  <c r="L217" i="22"/>
  <c r="L227" i="22"/>
  <c r="L234" i="22"/>
  <c r="L240" i="22"/>
  <c r="L245" i="22"/>
  <c r="L250" i="22"/>
  <c r="L258" i="22"/>
  <c r="L264" i="22"/>
  <c r="L271" i="22"/>
  <c r="L99" i="22"/>
  <c r="L98" i="22"/>
  <c r="L101" i="22"/>
  <c r="L86" i="22"/>
  <c r="L85" i="22"/>
  <c r="L47" i="22"/>
  <c r="L382" i="24"/>
  <c r="BT9" i="7"/>
  <c r="BV10" i="7" s="1"/>
  <c r="BQ10" i="7"/>
  <c r="L48" i="20"/>
  <c r="L102" i="20"/>
  <c r="L111" i="20"/>
  <c r="L147" i="20"/>
  <c r="L175" i="20"/>
  <c r="L182" i="20"/>
  <c r="L183" i="20"/>
  <c r="L185" i="20"/>
  <c r="L194" i="20"/>
  <c r="L207" i="20"/>
  <c r="L212" i="20"/>
  <c r="L233" i="20"/>
  <c r="L235" i="20"/>
  <c r="L236" i="20"/>
  <c r="L237" i="20"/>
  <c r="L77" i="20"/>
  <c r="L81" i="20"/>
  <c r="L105" i="20"/>
  <c r="L107" i="20"/>
  <c r="L113" i="20"/>
  <c r="L142" i="20"/>
  <c r="L148" i="20"/>
  <c r="L164" i="20"/>
  <c r="L180" i="20"/>
  <c r="AF25" i="7" s="1"/>
  <c r="L181" i="20"/>
  <c r="L187" i="20"/>
  <c r="L192" i="20"/>
  <c r="L193" i="20"/>
  <c r="L200" i="20"/>
  <c r="L201" i="20"/>
  <c r="L202" i="20"/>
  <c r="L205" i="20"/>
  <c r="L213" i="20"/>
  <c r="L214" i="20"/>
  <c r="L216" i="20"/>
  <c r="L218" i="20"/>
  <c r="L219" i="20"/>
  <c r="L220" i="20"/>
  <c r="L222" i="20"/>
  <c r="L223" i="20"/>
  <c r="L225" i="20"/>
  <c r="L231" i="20"/>
  <c r="L238" i="20"/>
  <c r="L239" i="20"/>
  <c r="L241" i="20"/>
  <c r="AF27" i="7" s="1"/>
  <c r="L247" i="20"/>
  <c r="L248" i="20"/>
  <c r="L250" i="20"/>
  <c r="L254" i="20"/>
  <c r="L256" i="20"/>
  <c r="L260" i="20"/>
  <c r="L264" i="20"/>
  <c r="L265" i="20"/>
  <c r="L275" i="20"/>
  <c r="L276" i="20"/>
  <c r="L277" i="20"/>
  <c r="L278" i="20"/>
  <c r="L280" i="20"/>
  <c r="L281" i="20"/>
  <c r="L282" i="20"/>
  <c r="L283" i="20"/>
  <c r="L284" i="20"/>
  <c r="L288" i="20"/>
  <c r="L289" i="20"/>
  <c r="L295" i="20"/>
  <c r="L296" i="20"/>
  <c r="L297" i="20"/>
  <c r="L300" i="20"/>
  <c r="L301" i="20"/>
  <c r="L302" i="20"/>
  <c r="AF29" i="7" s="1"/>
  <c r="L303" i="20"/>
  <c r="L305" i="20"/>
  <c r="L307" i="20"/>
  <c r="L308" i="20"/>
  <c r="L243" i="20"/>
  <c r="L252" i="20"/>
  <c r="L258" i="20"/>
  <c r="L259" i="20"/>
  <c r="L262" i="20"/>
  <c r="L267" i="20"/>
  <c r="L270" i="20"/>
  <c r="L290" i="20"/>
  <c r="L291" i="20"/>
  <c r="L292" i="20"/>
  <c r="L293" i="20"/>
  <c r="L294" i="20"/>
  <c r="L309" i="20"/>
  <c r="L315" i="20"/>
  <c r="L316" i="20"/>
  <c r="L318" i="20"/>
  <c r="L325" i="20"/>
  <c r="L326" i="20"/>
  <c r="L332" i="20"/>
  <c r="L334" i="20"/>
  <c r="L335" i="20"/>
  <c r="L337" i="20"/>
  <c r="L338" i="20"/>
  <c r="L345" i="20"/>
  <c r="L346" i="20"/>
  <c r="L349" i="20"/>
  <c r="L356" i="20"/>
  <c r="L359" i="20"/>
  <c r="L360" i="20"/>
  <c r="L361" i="20"/>
  <c r="L362" i="20"/>
  <c r="L363" i="20"/>
  <c r="AF31" i="7" s="1"/>
  <c r="L365" i="20"/>
  <c r="L367" i="20"/>
  <c r="L369" i="20"/>
  <c r="L371" i="20"/>
  <c r="L373" i="20"/>
  <c r="L374" i="20"/>
  <c r="L377" i="20"/>
  <c r="L378" i="20"/>
  <c r="L379" i="20"/>
  <c r="B40" i="19" s="1"/>
  <c r="L59" i="20"/>
  <c r="L68" i="20"/>
  <c r="L69" i="20"/>
  <c r="L37" i="20"/>
  <c r="L38" i="20"/>
  <c r="L49" i="20"/>
  <c r="L56" i="20"/>
  <c r="L57" i="20"/>
  <c r="L34" i="20"/>
  <c r="L42" i="20"/>
  <c r="L46" i="20"/>
  <c r="L50" i="20"/>
  <c r="L51" i="20"/>
  <c r="L22" i="20"/>
  <c r="L28" i="20"/>
  <c r="L36" i="20"/>
  <c r="L39" i="20"/>
  <c r="L41" i="20"/>
  <c r="L15" i="20"/>
  <c r="L20" i="20"/>
  <c r="L24" i="20"/>
  <c r="L33" i="20"/>
  <c r="L32" i="20"/>
  <c r="L30" i="20"/>
  <c r="L26" i="20"/>
  <c r="L25" i="20"/>
  <c r="L16" i="20"/>
  <c r="L17" i="20"/>
  <c r="L255" i="20"/>
  <c r="L274" i="20"/>
  <c r="L279" i="20"/>
  <c r="L285" i="20"/>
  <c r="L286" i="20"/>
  <c r="L287" i="20"/>
  <c r="L298" i="20"/>
  <c r="L299" i="20"/>
  <c r="L304" i="20"/>
  <c r="L306" i="20"/>
  <c r="L310" i="20"/>
  <c r="L311" i="20"/>
  <c r="L312" i="20"/>
  <c r="L313" i="20"/>
  <c r="L314" i="20"/>
  <c r="L317" i="20"/>
  <c r="L319" i="20"/>
  <c r="L320" i="20"/>
  <c r="L321" i="20"/>
  <c r="L322" i="20"/>
  <c r="L323" i="20"/>
  <c r="L324" i="20"/>
  <c r="L327" i="20"/>
  <c r="L328" i="20"/>
  <c r="L329" i="20"/>
  <c r="L330" i="20"/>
  <c r="L331" i="20"/>
  <c r="L333" i="20"/>
  <c r="AF30" i="7" s="1"/>
  <c r="L336" i="20"/>
  <c r="L339" i="20"/>
  <c r="L340" i="20"/>
  <c r="L341" i="20"/>
  <c r="L342" i="20"/>
  <c r="L343" i="20"/>
  <c r="L344" i="20"/>
  <c r="L347" i="20"/>
  <c r="L348" i="20"/>
  <c r="L350" i="20"/>
  <c r="L351" i="20"/>
  <c r="L352" i="20"/>
  <c r="L353" i="20"/>
  <c r="L354" i="20"/>
  <c r="L355" i="20"/>
  <c r="L357" i="20"/>
  <c r="L358" i="20"/>
  <c r="L364" i="20"/>
  <c r="L366" i="20"/>
  <c r="L368" i="20"/>
  <c r="L370" i="20"/>
  <c r="L372" i="20"/>
  <c r="L375" i="20"/>
  <c r="L376" i="20"/>
  <c r="L40" i="20"/>
  <c r="L60" i="20"/>
  <c r="AF21" i="7" s="1"/>
  <c r="L61" i="20"/>
  <c r="L62" i="20"/>
  <c r="L65" i="20"/>
  <c r="L47" i="20"/>
  <c r="L52" i="20"/>
  <c r="L53" i="20"/>
  <c r="L55" i="20"/>
  <c r="L58" i="20"/>
  <c r="L45" i="20"/>
  <c r="L19" i="20"/>
  <c r="L31" i="20"/>
  <c r="L43" i="20"/>
  <c r="L23" i="20"/>
  <c r="L18" i="20"/>
  <c r="L27" i="20"/>
  <c r="L35" i="20"/>
  <c r="L29" i="20"/>
  <c r="AF20" i="7" s="1"/>
  <c r="L21" i="20"/>
  <c r="L66" i="20"/>
  <c r="L74" i="20"/>
  <c r="L83" i="20"/>
  <c r="L93" i="20"/>
  <c r="L96" i="20"/>
  <c r="L103" i="20"/>
  <c r="L109" i="20"/>
  <c r="L114" i="20"/>
  <c r="L82" i="20"/>
  <c r="L106" i="20"/>
  <c r="L116" i="20"/>
  <c r="L118" i="20"/>
  <c r="L120" i="20"/>
  <c r="L122" i="20"/>
  <c r="L124" i="20"/>
  <c r="L126" i="20"/>
  <c r="L129" i="20"/>
  <c r="L132" i="20"/>
  <c r="L136" i="20"/>
  <c r="L138" i="20"/>
  <c r="L146" i="20"/>
  <c r="L151" i="20"/>
  <c r="L153" i="20"/>
  <c r="L155" i="20"/>
  <c r="L159" i="20"/>
  <c r="L163" i="20"/>
  <c r="L166" i="20"/>
  <c r="L168" i="20"/>
  <c r="L95" i="20"/>
  <c r="L133" i="20"/>
  <c r="L145" i="20"/>
  <c r="L157" i="20"/>
  <c r="L161" i="20"/>
  <c r="L170" i="20"/>
  <c r="L172" i="20"/>
  <c r="L174" i="20"/>
  <c r="L177" i="20"/>
  <c r="L179" i="20"/>
  <c r="L186" i="20"/>
  <c r="L189" i="20"/>
  <c r="L191" i="20"/>
  <c r="L196" i="20"/>
  <c r="L198" i="20"/>
  <c r="L203" i="20"/>
  <c r="L206" i="20"/>
  <c r="L209" i="20"/>
  <c r="L211" i="20"/>
  <c r="L217" i="20"/>
  <c r="L224" i="20"/>
  <c r="L227" i="20"/>
  <c r="L229" i="20"/>
  <c r="L232" i="20"/>
  <c r="L240" i="20"/>
  <c r="L244" i="20"/>
  <c r="L246" i="20"/>
  <c r="L251" i="20"/>
  <c r="L257" i="20"/>
  <c r="L263" i="20"/>
  <c r="L268" i="20"/>
  <c r="L271" i="20"/>
  <c r="L273" i="20"/>
  <c r="L98" i="20"/>
  <c r="L91" i="20"/>
  <c r="L88" i="20"/>
  <c r="AF22" i="7" s="1"/>
  <c r="L87" i="20"/>
  <c r="L85" i="20"/>
  <c r="L80" i="20"/>
  <c r="L76" i="20"/>
  <c r="L71" i="20"/>
  <c r="L64" i="20"/>
  <c r="L54" i="20"/>
  <c r="L44" i="20"/>
  <c r="L67" i="20"/>
  <c r="L78" i="20"/>
  <c r="L86" i="20"/>
  <c r="L94" i="20"/>
  <c r="L100" i="20"/>
  <c r="L108" i="20"/>
  <c r="L112" i="20"/>
  <c r="L73" i="20"/>
  <c r="L92" i="20"/>
  <c r="L115" i="20"/>
  <c r="L117" i="20"/>
  <c r="L119" i="20"/>
  <c r="AF23" i="7" s="1"/>
  <c r="L121" i="20"/>
  <c r="L123" i="20"/>
  <c r="L125" i="20"/>
  <c r="L128" i="20"/>
  <c r="L130" i="20"/>
  <c r="L135" i="20"/>
  <c r="L137" i="20"/>
  <c r="L139" i="20"/>
  <c r="L149" i="20"/>
  <c r="AF24" i="7" s="1"/>
  <c r="L152" i="20"/>
  <c r="L154" i="20"/>
  <c r="L156" i="20"/>
  <c r="L160" i="20"/>
  <c r="L165" i="20"/>
  <c r="L167" i="20"/>
  <c r="L169" i="20"/>
  <c r="L131" i="20"/>
  <c r="L140" i="20"/>
  <c r="L150" i="20"/>
  <c r="L158" i="20"/>
  <c r="L162" i="20"/>
  <c r="L171" i="20"/>
  <c r="L173" i="20"/>
  <c r="L176" i="20"/>
  <c r="L178" i="20"/>
  <c r="L184" i="20"/>
  <c r="L188" i="20"/>
  <c r="L190" i="20"/>
  <c r="L195" i="20"/>
  <c r="L197" i="20"/>
  <c r="L199" i="20"/>
  <c r="L204" i="20"/>
  <c r="L208" i="20"/>
  <c r="L210" i="20"/>
  <c r="AF26" i="7" s="1"/>
  <c r="L215" i="20"/>
  <c r="L221" i="20"/>
  <c r="L226" i="20"/>
  <c r="L228" i="20"/>
  <c r="L230" i="20"/>
  <c r="L234" i="20"/>
  <c r="L242" i="20"/>
  <c r="L245" i="20"/>
  <c r="L249" i="20"/>
  <c r="L253" i="20"/>
  <c r="L261" i="20"/>
  <c r="L266" i="20"/>
  <c r="L269" i="20"/>
  <c r="L272" i="20"/>
  <c r="AF28" i="7" s="1"/>
  <c r="L101" i="20"/>
  <c r="L99" i="20"/>
  <c r="L97" i="20"/>
  <c r="L90" i="20"/>
  <c r="L84" i="20"/>
  <c r="L79" i="20"/>
  <c r="L72" i="20"/>
  <c r="L70" i="20"/>
  <c r="L63" i="20"/>
  <c r="L45" i="23"/>
  <c r="L109" i="23"/>
  <c r="L177" i="23"/>
  <c r="L196" i="23"/>
  <c r="L198" i="23"/>
  <c r="L200" i="23"/>
  <c r="L274" i="23"/>
  <c r="L285" i="23"/>
  <c r="L293" i="23"/>
  <c r="L305" i="23"/>
  <c r="L306" i="23"/>
  <c r="L238" i="23"/>
  <c r="L292" i="23"/>
  <c r="L307" i="23"/>
  <c r="L310" i="23"/>
  <c r="L315" i="23"/>
  <c r="L319" i="23"/>
  <c r="L331" i="23"/>
  <c r="L335" i="23"/>
  <c r="L346" i="23"/>
  <c r="L349" i="23"/>
  <c r="L50" i="23"/>
  <c r="L55" i="23"/>
  <c r="L37" i="23"/>
  <c r="L49" i="23"/>
  <c r="L79" i="23"/>
  <c r="L98" i="23"/>
  <c r="L70" i="23"/>
  <c r="L106" i="23"/>
  <c r="L114" i="23"/>
  <c r="L119" i="23"/>
  <c r="AF47" i="7" s="1"/>
  <c r="L125" i="23"/>
  <c r="L134" i="23"/>
  <c r="L145" i="23"/>
  <c r="L162" i="23"/>
  <c r="L62" i="23"/>
  <c r="L90" i="23"/>
  <c r="L117" i="23"/>
  <c r="L135" i="23"/>
  <c r="L143" i="23"/>
  <c r="L156" i="23"/>
  <c r="L170" i="23"/>
  <c r="L180" i="23"/>
  <c r="AF49" i="7" s="1"/>
  <c r="L187" i="23"/>
  <c r="L197" i="23"/>
  <c r="L205" i="23"/>
  <c r="L211" i="23"/>
  <c r="L224" i="23"/>
  <c r="L231" i="23"/>
  <c r="L242" i="23"/>
  <c r="L250" i="23"/>
  <c r="L254" i="23"/>
  <c r="L260" i="23"/>
  <c r="L267" i="23"/>
  <c r="L317" i="23"/>
  <c r="L328" i="23"/>
  <c r="L329" i="23"/>
  <c r="L333" i="23"/>
  <c r="AF54" i="7" s="1"/>
  <c r="L336" i="23"/>
  <c r="L337" i="23"/>
  <c r="L343" i="23"/>
  <c r="L344" i="23"/>
  <c r="L356" i="23"/>
  <c r="L357" i="23"/>
  <c r="L360" i="23"/>
  <c r="L364" i="23"/>
  <c r="L373" i="23"/>
  <c r="L377" i="23"/>
  <c r="L21" i="23"/>
  <c r="L54" i="23"/>
  <c r="L43" i="23"/>
  <c r="L47" i="23"/>
  <c r="L33" i="23"/>
  <c r="L16" i="23"/>
  <c r="L382" i="23" s="1"/>
  <c r="L23" i="23"/>
  <c r="L19" i="23"/>
  <c r="L73" i="23"/>
  <c r="L88" i="23"/>
  <c r="AF46" i="7" s="1"/>
  <c r="L107" i="23"/>
  <c r="L95" i="23"/>
  <c r="L112" i="23"/>
  <c r="L116" i="23"/>
  <c r="L121" i="23"/>
  <c r="L127" i="23"/>
  <c r="L141" i="23"/>
  <c r="L153" i="23"/>
  <c r="L59" i="23"/>
  <c r="L68" i="23"/>
  <c r="L92" i="23"/>
  <c r="L128" i="23"/>
  <c r="L140" i="23"/>
  <c r="L154" i="23"/>
  <c r="L164" i="23"/>
  <c r="L178" i="23"/>
  <c r="L182" i="23"/>
  <c r="L190" i="23"/>
  <c r="L202" i="23"/>
  <c r="L207" i="23"/>
  <c r="L214" i="23"/>
  <c r="L226" i="23"/>
  <c r="L235" i="23"/>
  <c r="L247" i="23"/>
  <c r="L252" i="23"/>
  <c r="L257" i="23"/>
  <c r="L265" i="23"/>
  <c r="L271" i="23"/>
  <c r="D88" i="17"/>
  <c r="B58" i="7"/>
  <c r="L383" i="1"/>
  <c r="L382" i="17"/>
  <c r="B56" i="7"/>
  <c r="D29" i="17"/>
  <c r="D302" i="1"/>
  <c r="E302" i="1" s="1"/>
  <c r="B29" i="7"/>
  <c r="D272" i="1"/>
  <c r="E272" i="1" s="1"/>
  <c r="B28" i="7"/>
  <c r="D210" i="1"/>
  <c r="B26" i="7"/>
  <c r="D241" i="15"/>
  <c r="B39" i="7"/>
  <c r="B37" i="7"/>
  <c r="D180" i="15"/>
  <c r="AJ131" i="16"/>
  <c r="AJ303" i="16"/>
  <c r="AJ37" i="16"/>
  <c r="AJ376" i="16"/>
  <c r="AJ207" i="16"/>
  <c r="E299" i="1"/>
  <c r="E187" i="1"/>
  <c r="E355" i="1"/>
  <c r="E343" i="1"/>
  <c r="E252" i="1"/>
  <c r="E247" i="1"/>
  <c r="E242" i="1"/>
  <c r="E216" i="1"/>
  <c r="E204" i="1"/>
  <c r="E170" i="1"/>
  <c r="E258" i="1"/>
  <c r="E244" i="1"/>
  <c r="E238" i="1"/>
  <c r="E228" i="1"/>
  <c r="E214" i="1"/>
  <c r="E203" i="1"/>
  <c r="AJ110" i="16"/>
  <c r="AJ328" i="15"/>
  <c r="AJ235" i="15"/>
  <c r="AJ372" i="15"/>
  <c r="AJ307" i="15"/>
  <c r="AJ259" i="15"/>
  <c r="AJ194" i="15"/>
  <c r="AJ51" i="15"/>
  <c r="AJ140" i="15"/>
  <c r="AJ76" i="15"/>
  <c r="AJ30" i="15"/>
  <c r="E288" i="1"/>
  <c r="E353" i="1"/>
  <c r="E323" i="1"/>
  <c r="E285" i="1"/>
  <c r="E183" i="1"/>
  <c r="E349" i="1"/>
  <c r="E377" i="1"/>
  <c r="E374" i="1"/>
  <c r="E360" i="1"/>
  <c r="E352" i="1"/>
  <c r="E320" i="1"/>
  <c r="E304" i="1"/>
  <c r="E296" i="1"/>
  <c r="E280" i="1"/>
  <c r="E268" i="1"/>
  <c r="E316" i="1"/>
  <c r="E290" i="1"/>
  <c r="E294" i="1"/>
  <c r="E274" i="1"/>
  <c r="D210" i="15"/>
  <c r="D363" i="15"/>
  <c r="L383" i="16"/>
  <c r="L381" i="15"/>
  <c r="L381" i="23"/>
  <c r="L381" i="17"/>
  <c r="L382" i="1"/>
  <c r="E193" i="1"/>
  <c r="E237" i="1"/>
  <c r="E263" i="1"/>
  <c r="E283" i="1"/>
  <c r="E219" i="1"/>
  <c r="B41" i="7"/>
  <c r="D119" i="15"/>
  <c r="D302" i="17"/>
  <c r="B65" i="7"/>
  <c r="L82" i="25"/>
  <c r="L86" i="25"/>
  <c r="L96" i="25"/>
  <c r="L105" i="25"/>
  <c r="L109" i="25"/>
  <c r="L111" i="25"/>
  <c r="L113" i="25"/>
  <c r="L90" i="25"/>
  <c r="L114" i="25"/>
  <c r="L122" i="25"/>
  <c r="L126" i="25"/>
  <c r="L129" i="25"/>
  <c r="L134" i="25"/>
  <c r="L138" i="25"/>
  <c r="L142" i="25"/>
  <c r="L146" i="25"/>
  <c r="L148" i="25"/>
  <c r="L150" i="25"/>
  <c r="L154" i="25"/>
  <c r="L156" i="25"/>
  <c r="L159" i="25"/>
  <c r="L115" i="25"/>
  <c r="L123" i="25"/>
  <c r="L127" i="25"/>
  <c r="L136" i="25"/>
  <c r="L141" i="25"/>
  <c r="L164" i="25"/>
  <c r="L166" i="25"/>
  <c r="L170" i="25"/>
  <c r="L172" i="25"/>
  <c r="L180" i="25"/>
  <c r="AF73" i="7" s="1"/>
  <c r="L182" i="25"/>
  <c r="L186" i="25"/>
  <c r="L189" i="25"/>
  <c r="L194" i="25"/>
  <c r="L197" i="25"/>
  <c r="L201" i="25"/>
  <c r="L210" i="25"/>
  <c r="AF74" i="7" s="1"/>
  <c r="L222" i="25"/>
  <c r="L225" i="25"/>
  <c r="L230" i="25"/>
  <c r="L237" i="25"/>
  <c r="L240" i="25"/>
  <c r="L242" i="25"/>
  <c r="L246" i="25"/>
  <c r="L249" i="25"/>
  <c r="L251" i="25"/>
  <c r="L253" i="25"/>
  <c r="L256" i="25"/>
  <c r="L260" i="25"/>
  <c r="L263" i="25"/>
  <c r="L266" i="25"/>
  <c r="L269" i="25"/>
  <c r="L98" i="25"/>
  <c r="L108" i="25"/>
  <c r="L118" i="25"/>
  <c r="L133" i="25"/>
  <c r="L152" i="25"/>
  <c r="L160" i="25"/>
  <c r="L169" i="25"/>
  <c r="L175" i="25"/>
  <c r="L179" i="25"/>
  <c r="L195" i="25"/>
  <c r="L205" i="25"/>
  <c r="L207" i="25"/>
  <c r="L211" i="25"/>
  <c r="L218" i="25"/>
  <c r="L226" i="25"/>
  <c r="L229" i="25"/>
  <c r="L234" i="25"/>
  <c r="L254" i="25"/>
  <c r="L258" i="25"/>
  <c r="L267" i="25"/>
  <c r="L272" i="25"/>
  <c r="AF76" i="7" s="1"/>
  <c r="L274" i="25"/>
  <c r="L280" i="25"/>
  <c r="L283" i="25"/>
  <c r="L285" i="25"/>
  <c r="L289" i="25"/>
  <c r="L291" i="25"/>
  <c r="L295" i="25"/>
  <c r="L116" i="25"/>
  <c r="L137" i="25"/>
  <c r="L153" i="25"/>
  <c r="L174" i="25"/>
  <c r="L184" i="25"/>
  <c r="L188" i="25"/>
  <c r="L191" i="25"/>
  <c r="L200" i="25"/>
  <c r="L204" i="25"/>
  <c r="L213" i="25"/>
  <c r="L215" i="25"/>
  <c r="L221" i="25"/>
  <c r="L232" i="25"/>
  <c r="L238" i="25"/>
  <c r="L245" i="25"/>
  <c r="L265" i="25"/>
  <c r="L277" i="25"/>
  <c r="L279" i="25"/>
  <c r="L286" i="25"/>
  <c r="L292" i="25"/>
  <c r="L296" i="25"/>
  <c r="L307" i="25"/>
  <c r="L309" i="25"/>
  <c r="L314" i="25"/>
  <c r="L317" i="25"/>
  <c r="L326" i="25"/>
  <c r="L330" i="25"/>
  <c r="L334" i="25"/>
  <c r="L339" i="25"/>
  <c r="L341" i="25"/>
  <c r="L343" i="25"/>
  <c r="L345" i="25"/>
  <c r="L351" i="25"/>
  <c r="L354" i="25"/>
  <c r="L359" i="25"/>
  <c r="L361" i="25"/>
  <c r="L366" i="25"/>
  <c r="L372" i="25"/>
  <c r="L374" i="25"/>
  <c r="L376" i="25"/>
  <c r="L378" i="25"/>
  <c r="L56" i="25"/>
  <c r="L59" i="25"/>
  <c r="L64" i="25"/>
  <c r="L66" i="25"/>
  <c r="L41" i="25"/>
  <c r="L19" i="25"/>
  <c r="L49" i="25"/>
  <c r="L55" i="25"/>
  <c r="L36" i="25"/>
  <c r="L42" i="25"/>
  <c r="L20" i="25"/>
  <c r="L297" i="25"/>
  <c r="L299" i="25"/>
  <c r="L302" i="25"/>
  <c r="AF77" i="7" s="1"/>
  <c r="L304" i="25"/>
  <c r="L306" i="25"/>
  <c r="L312" i="25"/>
  <c r="L316" i="25"/>
  <c r="L319" i="25"/>
  <c r="L321" i="25"/>
  <c r="L324" i="25"/>
  <c r="L327" i="25"/>
  <c r="L331" i="25"/>
  <c r="L335" i="25"/>
  <c r="L338" i="25"/>
  <c r="L347" i="25"/>
  <c r="L350" i="25"/>
  <c r="L355" i="25"/>
  <c r="L357" i="25"/>
  <c r="L363" i="25"/>
  <c r="AF79" i="7" s="1"/>
  <c r="L367" i="25"/>
  <c r="L369" i="25"/>
  <c r="L379" i="25"/>
  <c r="B44" i="19" s="1"/>
  <c r="L67" i="25"/>
  <c r="L37" i="25"/>
  <c r="L53" i="25"/>
  <c r="L32" i="25"/>
  <c r="L50" i="25"/>
  <c r="L23" i="25"/>
  <c r="L34" i="25"/>
  <c r="L40" i="25"/>
  <c r="L17" i="25"/>
  <c r="L27" i="25"/>
  <c r="L31" i="25"/>
  <c r="L30" i="25"/>
  <c r="L21" i="25"/>
  <c r="L44" i="25"/>
  <c r="L75" i="25"/>
  <c r="L79" i="25"/>
  <c r="L73" i="25"/>
  <c r="L84" i="25"/>
  <c r="L93" i="25"/>
  <c r="L99" i="25"/>
  <c r="L43" i="25"/>
  <c r="L69" i="25"/>
  <c r="L78" i="25"/>
  <c r="L72" i="25"/>
  <c r="L81" i="25"/>
  <c r="L91" i="25"/>
  <c r="L97" i="25"/>
  <c r="L104" i="25"/>
  <c r="L85" i="25"/>
  <c r="L92" i="25"/>
  <c r="L103" i="25"/>
  <c r="L106" i="25"/>
  <c r="L110" i="25"/>
  <c r="L112" i="25"/>
  <c r="L83" i="25"/>
  <c r="L107" i="25"/>
  <c r="L120" i="25"/>
  <c r="L125" i="25"/>
  <c r="L128" i="25"/>
  <c r="L130" i="25"/>
  <c r="L135" i="25"/>
  <c r="L140" i="25"/>
  <c r="L143" i="25"/>
  <c r="L147" i="25"/>
  <c r="L149" i="25"/>
  <c r="AF72" i="7" s="1"/>
  <c r="L151" i="25"/>
  <c r="L155" i="25"/>
  <c r="L157" i="25"/>
  <c r="L163" i="25"/>
  <c r="L119" i="25"/>
  <c r="AF71" i="7" s="1"/>
  <c r="L124" i="25"/>
  <c r="L131" i="25"/>
  <c r="L139" i="25"/>
  <c r="L162" i="25"/>
  <c r="L165" i="25"/>
  <c r="L168" i="25"/>
  <c r="L171" i="25"/>
  <c r="L177" i="25"/>
  <c r="L181" i="25"/>
  <c r="L183" i="25"/>
  <c r="L187" i="25"/>
  <c r="L192" i="25"/>
  <c r="L196" i="25"/>
  <c r="L198" i="25"/>
  <c r="L208" i="25"/>
  <c r="L216" i="25"/>
  <c r="L223" i="25"/>
  <c r="L228" i="25"/>
  <c r="L235" i="25"/>
  <c r="L239" i="25"/>
  <c r="L241" i="25"/>
  <c r="AF75" i="7" s="1"/>
  <c r="L244" i="25"/>
  <c r="L248" i="25"/>
  <c r="L250" i="25"/>
  <c r="L252" i="25"/>
  <c r="L255" i="25"/>
  <c r="L259" i="25"/>
  <c r="L261" i="25"/>
  <c r="L264" i="25"/>
  <c r="L268" i="25"/>
  <c r="L270" i="25"/>
  <c r="L100" i="25"/>
  <c r="L117" i="25"/>
  <c r="L132" i="25"/>
  <c r="L145" i="25"/>
  <c r="L158" i="25"/>
  <c r="L161" i="25"/>
  <c r="L173" i="25"/>
  <c r="L178" i="25"/>
  <c r="L193" i="25"/>
  <c r="L203" i="25"/>
  <c r="L206" i="25"/>
  <c r="L209" i="25"/>
  <c r="L217" i="25"/>
  <c r="L220" i="25"/>
  <c r="L227" i="25"/>
  <c r="L231" i="25"/>
  <c r="L236" i="25"/>
  <c r="L257" i="25"/>
  <c r="L262" i="25"/>
  <c r="L271" i="25"/>
  <c r="L273" i="25"/>
  <c r="L276" i="25"/>
  <c r="L281" i="25"/>
  <c r="L284" i="25"/>
  <c r="L287" i="25"/>
  <c r="L290" i="25"/>
  <c r="L294" i="25"/>
  <c r="L87" i="25"/>
  <c r="L121" i="25"/>
  <c r="L144" i="25"/>
  <c r="L167" i="25"/>
  <c r="L176" i="25"/>
  <c r="L185" i="25"/>
  <c r="L190" i="25"/>
  <c r="L199" i="25"/>
  <c r="L202" i="25"/>
  <c r="L212" i="25"/>
  <c r="L214" i="25"/>
  <c r="L219" i="25"/>
  <c r="L224" i="25"/>
  <c r="L233" i="25"/>
  <c r="L243" i="25"/>
  <c r="L247" i="25"/>
  <c r="L275" i="25"/>
  <c r="L278" i="25"/>
  <c r="L282" i="25"/>
  <c r="L288" i="25"/>
  <c r="L293" i="25"/>
  <c r="L301" i="25"/>
  <c r="L308" i="25"/>
  <c r="L311" i="25"/>
  <c r="L315" i="25"/>
  <c r="L322" i="25"/>
  <c r="L328" i="25"/>
  <c r="L332" i="25"/>
  <c r="L337" i="25"/>
  <c r="L340" i="25"/>
  <c r="L342" i="25"/>
  <c r="L344" i="25"/>
  <c r="L349" i="25"/>
  <c r="L353" i="25"/>
  <c r="L358" i="25"/>
  <c r="L360" i="25"/>
  <c r="L365" i="25"/>
  <c r="L371" i="25"/>
  <c r="L373" i="25"/>
  <c r="L375" i="25"/>
  <c r="L377" i="25"/>
  <c r="L48" i="25"/>
  <c r="L57" i="25"/>
  <c r="L63" i="25"/>
  <c r="L65" i="25"/>
  <c r="L68" i="25"/>
  <c r="L46" i="25"/>
  <c r="L45" i="25"/>
  <c r="L54" i="25"/>
  <c r="L16" i="25"/>
  <c r="L38" i="25"/>
  <c r="L18" i="25"/>
  <c r="L15" i="25"/>
  <c r="L298" i="25"/>
  <c r="L300" i="25"/>
  <c r="L303" i="25"/>
  <c r="L305" i="25"/>
  <c r="L310" i="25"/>
  <c r="L313" i="25"/>
  <c r="L318" i="25"/>
  <c r="L320" i="25"/>
  <c r="L323" i="25"/>
  <c r="L325" i="25"/>
  <c r="L329" i="25"/>
  <c r="L333" i="25"/>
  <c r="AF78" i="7" s="1"/>
  <c r="L336" i="25"/>
  <c r="L346" i="25"/>
  <c r="L348" i="25"/>
  <c r="L352" i="25"/>
  <c r="L356" i="25"/>
  <c r="L362" i="25"/>
  <c r="L364" i="25"/>
  <c r="L368" i="25"/>
  <c r="L370" i="25"/>
  <c r="L62" i="25"/>
  <c r="L39" i="25"/>
  <c r="L52" i="25"/>
  <c r="L58" i="25"/>
  <c r="L47" i="25"/>
  <c r="L51" i="25"/>
  <c r="L28" i="25"/>
  <c r="L35" i="25"/>
  <c r="L24" i="25"/>
  <c r="L22" i="25"/>
  <c r="L29" i="25"/>
  <c r="AF68" i="7" s="1"/>
  <c r="L33" i="25"/>
  <c r="L26" i="25"/>
  <c r="L25" i="25"/>
  <c r="L61" i="25"/>
  <c r="L77" i="25"/>
  <c r="L71" i="25"/>
  <c r="L80" i="25"/>
  <c r="L89" i="25"/>
  <c r="L95" i="25"/>
  <c r="L102" i="25"/>
  <c r="L60" i="25"/>
  <c r="AF69" i="7" s="1"/>
  <c r="L76" i="25"/>
  <c r="L70" i="25"/>
  <c r="L74" i="25"/>
  <c r="L88" i="25"/>
  <c r="AF70" i="7" s="1"/>
  <c r="L94" i="25"/>
  <c r="L101" i="25"/>
  <c r="B25" i="7"/>
  <c r="D180" i="1"/>
  <c r="E180" i="1" s="1"/>
  <c r="B40" i="7"/>
  <c r="D272" i="15"/>
  <c r="D149" i="15"/>
  <c r="B36" i="7"/>
  <c r="L381" i="22"/>
  <c r="L383" i="18"/>
  <c r="B47" i="7"/>
  <c r="D119" i="16"/>
  <c r="D88" i="15"/>
  <c r="B34" i="7"/>
  <c r="L383" i="23"/>
  <c r="D60" i="15"/>
  <c r="B33" i="7"/>
  <c r="L381" i="16"/>
  <c r="B33" i="19"/>
  <c r="D119" i="17"/>
  <c r="D382" i="17" s="1"/>
  <c r="B59" i="7"/>
  <c r="L383" i="20"/>
  <c r="D32" i="16"/>
  <c r="L382" i="16"/>
  <c r="L383" i="17"/>
  <c r="L383" i="15"/>
  <c r="E241" i="1"/>
  <c r="T48" i="6"/>
  <c r="N35" i="6"/>
  <c r="AJ148" i="17"/>
  <c r="AJ190" i="16"/>
  <c r="AJ128" i="16"/>
  <c r="AJ47" i="16"/>
  <c r="AJ232" i="16"/>
  <c r="AJ135" i="16"/>
  <c r="AJ334" i="16"/>
  <c r="AJ151" i="16"/>
  <c r="AJ332" i="16"/>
  <c r="AJ217" i="16"/>
  <c r="AJ139" i="16"/>
  <c r="AJ201" i="16"/>
  <c r="AJ380" i="17"/>
  <c r="AJ30" i="17"/>
  <c r="AJ70" i="17"/>
  <c r="AJ129" i="17"/>
  <c r="AJ123" i="17"/>
  <c r="AJ214" i="17"/>
  <c r="AJ181" i="17"/>
  <c r="AJ206" i="17"/>
  <c r="AJ231" i="17"/>
  <c r="AJ256" i="17"/>
  <c r="AJ281" i="17"/>
  <c r="AJ319" i="17"/>
  <c r="AJ245" i="17"/>
  <c r="AJ288" i="17"/>
  <c r="AJ312" i="17"/>
  <c r="AJ342" i="17"/>
  <c r="AJ364" i="17"/>
  <c r="AJ353" i="17"/>
  <c r="AJ372" i="17"/>
  <c r="AJ351" i="17"/>
  <c r="AJ378" i="17"/>
  <c r="AJ363" i="17"/>
  <c r="AJ350" i="17"/>
  <c r="AJ341" i="17"/>
  <c r="AJ328" i="17"/>
  <c r="AJ310" i="17"/>
  <c r="AJ296" i="17"/>
  <c r="AJ287" i="17"/>
  <c r="AJ266" i="17"/>
  <c r="AJ222" i="17"/>
  <c r="AJ308" i="17"/>
  <c r="AJ270" i="17"/>
  <c r="AJ246" i="17"/>
  <c r="AJ223" i="17"/>
  <c r="AJ193" i="17"/>
  <c r="AJ171" i="17"/>
  <c r="AJ172" i="17"/>
  <c r="AJ91" i="17"/>
  <c r="AJ95" i="17"/>
  <c r="AJ56" i="17"/>
  <c r="AJ213" i="17"/>
  <c r="AJ118" i="17"/>
  <c r="AJ128" i="17"/>
  <c r="AJ80" i="17"/>
  <c r="AJ28" i="17"/>
  <c r="E379" i="1"/>
  <c r="C35" i="19"/>
  <c r="AK48" i="15"/>
  <c r="AK169" i="15"/>
  <c r="AK28" i="15"/>
  <c r="BR15" i="7"/>
  <c r="AK197" i="15"/>
  <c r="AK183" i="15"/>
  <c r="AK303" i="15"/>
  <c r="AK119" i="15"/>
  <c r="AK45" i="15"/>
  <c r="AK237" i="15"/>
  <c r="AK106" i="15"/>
  <c r="AJ157" i="16"/>
  <c r="AJ91" i="16"/>
  <c r="AJ96" i="16"/>
  <c r="AJ58" i="16"/>
  <c r="AJ41" i="16"/>
  <c r="AJ265" i="16"/>
  <c r="AJ204" i="16"/>
  <c r="AJ193" i="16"/>
  <c r="AJ123" i="16"/>
  <c r="AJ378" i="16"/>
  <c r="AJ279" i="16"/>
  <c r="AJ209" i="16"/>
  <c r="AJ375" i="16"/>
  <c r="AJ356" i="16"/>
  <c r="AJ309" i="16"/>
  <c r="AJ249" i="16"/>
  <c r="AJ267" i="16"/>
  <c r="AJ195" i="16"/>
  <c r="AJ52" i="16"/>
  <c r="AJ308" i="16"/>
  <c r="AJ328" i="16"/>
  <c r="AJ190" i="17"/>
  <c r="AJ162" i="17"/>
  <c r="AJ291" i="17"/>
  <c r="AJ315" i="17"/>
  <c r="AJ15" i="17"/>
  <c r="AJ35" i="17"/>
  <c r="AJ29" i="17"/>
  <c r="AJ39" i="17"/>
  <c r="AK371" i="15"/>
  <c r="AK24" i="15"/>
  <c r="AK96" i="15"/>
  <c r="AK80" i="15"/>
  <c r="AK150" i="15"/>
  <c r="AK154" i="15"/>
  <c r="AK221" i="15"/>
  <c r="AK287" i="15"/>
  <c r="AK325" i="15"/>
  <c r="AK177" i="15"/>
  <c r="AK68" i="15"/>
  <c r="AK375" i="15"/>
  <c r="AK240" i="15"/>
  <c r="AK223" i="15"/>
  <c r="AK155" i="15"/>
  <c r="AK86" i="15"/>
  <c r="AK30" i="15"/>
  <c r="AK336" i="15"/>
  <c r="AK322" i="15"/>
  <c r="AK253" i="15"/>
  <c r="AK282" i="15"/>
  <c r="AK196" i="15"/>
  <c r="AK201" i="15"/>
  <c r="AK133" i="15"/>
  <c r="AK134" i="15"/>
  <c r="AK69" i="15"/>
  <c r="AK82" i="15"/>
  <c r="AK211" i="15"/>
  <c r="AK74" i="15"/>
  <c r="AK182" i="15"/>
  <c r="AK335" i="15"/>
  <c r="AK249" i="15"/>
  <c r="AK165" i="15"/>
  <c r="AK41" i="15"/>
  <c r="AK33" i="15"/>
  <c r="AK36" i="15"/>
  <c r="AK54" i="15"/>
  <c r="AK71" i="15"/>
  <c r="AJ18" i="17"/>
  <c r="AJ47" i="17"/>
  <c r="AJ57" i="17"/>
  <c r="AJ72" i="17"/>
  <c r="AJ93" i="17"/>
  <c r="AJ119" i="17"/>
  <c r="AJ138" i="17"/>
  <c r="AJ111" i="17"/>
  <c r="AJ147" i="17"/>
  <c r="AJ194" i="17"/>
  <c r="AJ164" i="17"/>
  <c r="AJ176" i="17"/>
  <c r="AJ187" i="17"/>
  <c r="AJ199" i="17"/>
  <c r="AJ211" i="17"/>
  <c r="AJ227" i="17"/>
  <c r="AJ237" i="17"/>
  <c r="AJ249" i="17"/>
  <c r="AJ262" i="17"/>
  <c r="AJ276" i="17"/>
  <c r="AJ289" i="17"/>
  <c r="AJ313" i="17"/>
  <c r="AJ326" i="17"/>
  <c r="AJ236" i="17"/>
  <c r="AJ258" i="17"/>
  <c r="AJ277" i="17"/>
  <c r="AJ293" i="17"/>
  <c r="AJ303" i="17"/>
  <c r="AJ322" i="17"/>
  <c r="AJ335" i="17"/>
  <c r="AJ346" i="17"/>
  <c r="AJ358" i="17"/>
  <c r="AJ371" i="17"/>
  <c r="AJ338" i="17"/>
  <c r="AJ366" i="17"/>
  <c r="AJ376" i="17"/>
  <c r="AJ367" i="17"/>
  <c r="AJ355" i="17"/>
  <c r="AJ340" i="17"/>
  <c r="AJ329" i="17"/>
  <c r="AJ373" i="17"/>
  <c r="AJ365" i="17"/>
  <c r="AJ360" i="17"/>
  <c r="AJ354" i="17"/>
  <c r="AJ347" i="17"/>
  <c r="AJ343" i="17"/>
  <c r="AJ337" i="17"/>
  <c r="AJ332" i="17"/>
  <c r="AJ324" i="17"/>
  <c r="AJ316" i="17"/>
  <c r="AJ304" i="17"/>
  <c r="AJ298" i="17"/>
  <c r="AJ294" i="17"/>
  <c r="AJ290" i="17"/>
  <c r="AJ283" i="17"/>
  <c r="AJ271" i="17"/>
  <c r="AJ259" i="17"/>
  <c r="AJ238" i="17"/>
  <c r="AJ215" i="17"/>
  <c r="AJ314" i="17"/>
  <c r="AJ299" i="17"/>
  <c r="AJ278" i="17"/>
  <c r="AJ264" i="17"/>
  <c r="AJ250" i="17"/>
  <c r="AJ239" i="17"/>
  <c r="AJ228" i="17"/>
  <c r="AJ212" i="17"/>
  <c r="AJ202" i="17"/>
  <c r="AJ189" i="17"/>
  <c r="AJ177" i="17"/>
  <c r="AJ165" i="17"/>
  <c r="AJ196" i="17"/>
  <c r="AJ151" i="17"/>
  <c r="AJ113" i="17"/>
  <c r="AJ140" i="17"/>
  <c r="AJ121" i="17"/>
  <c r="AJ97" i="17"/>
  <c r="AJ74" i="17"/>
  <c r="AJ37" i="17"/>
  <c r="AJ20" i="17"/>
  <c r="AJ188" i="17"/>
  <c r="AJ146" i="17"/>
  <c r="AJ110" i="17"/>
  <c r="AJ137" i="17"/>
  <c r="AJ109" i="17"/>
  <c r="AJ92" i="17"/>
  <c r="AJ71" i="17"/>
  <c r="AJ46" i="17"/>
  <c r="AJ124" i="17"/>
  <c r="AJ260" i="17"/>
  <c r="AK79" i="15"/>
  <c r="AK53" i="15"/>
  <c r="AK16" i="15"/>
  <c r="AK304" i="15"/>
  <c r="AK258" i="15"/>
  <c r="AK297" i="15"/>
  <c r="AK91" i="15"/>
  <c r="AK147" i="15"/>
  <c r="AK217" i="15"/>
  <c r="AK275" i="15"/>
  <c r="AK351" i="15"/>
  <c r="AK126" i="15"/>
  <c r="AK260" i="15"/>
  <c r="AK346" i="15"/>
  <c r="AK248" i="15"/>
  <c r="AK271" i="15"/>
  <c r="AK203" i="15"/>
  <c r="AK136" i="15"/>
  <c r="AK55" i="15"/>
  <c r="AK286" i="15"/>
  <c r="P12" i="15"/>
  <c r="AK77" i="15"/>
  <c r="AK144" i="15"/>
  <c r="AK141" i="15"/>
  <c r="AK205" i="15"/>
  <c r="AK209" i="15"/>
  <c r="AK274" i="15"/>
  <c r="AK224" i="15"/>
  <c r="AK250" i="15"/>
  <c r="AK285" i="15"/>
  <c r="AK316" i="15"/>
  <c r="AK353" i="15"/>
  <c r="AK374" i="15"/>
  <c r="AK332" i="15"/>
  <c r="AK345" i="15"/>
  <c r="AK359" i="15"/>
  <c r="AK376" i="15"/>
  <c r="AK27" i="15"/>
  <c r="AK47" i="15"/>
  <c r="AK32" i="15"/>
  <c r="AK70" i="15"/>
  <c r="AK92" i="15"/>
  <c r="AK120" i="15"/>
  <c r="AK151" i="15"/>
  <c r="AK113" i="15"/>
  <c r="AK146" i="15"/>
  <c r="AK180" i="15"/>
  <c r="AK208" i="15"/>
  <c r="AK179" i="15"/>
  <c r="AK214" i="15"/>
  <c r="AK256" i="15"/>
  <c r="AK281" i="15"/>
  <c r="AK315" i="15"/>
  <c r="AK233" i="15"/>
  <c r="AK261" i="15"/>
  <c r="AK294" i="15"/>
  <c r="AK328" i="15"/>
  <c r="AK368" i="15"/>
  <c r="AK339" i="15"/>
  <c r="AK369" i="15"/>
  <c r="AK34" i="15"/>
  <c r="AK58" i="15"/>
  <c r="AK94" i="15"/>
  <c r="AK87" i="15"/>
  <c r="AK160" i="15"/>
  <c r="AK159" i="15"/>
  <c r="AK227" i="15"/>
  <c r="AK296" i="15"/>
  <c r="AK242" i="15"/>
  <c r="AK306" i="15"/>
  <c r="AK324" i="15"/>
  <c r="AK153" i="15"/>
  <c r="AK373" i="15"/>
  <c r="AK137" i="15"/>
  <c r="AK37" i="15"/>
  <c r="AK61" i="15"/>
  <c r="AK89" i="15"/>
  <c r="AK128" i="15"/>
  <c r="AK83" i="15"/>
  <c r="AK123" i="15"/>
  <c r="AK158" i="15"/>
  <c r="AK189" i="15"/>
  <c r="AK157" i="15"/>
  <c r="AK191" i="15"/>
  <c r="AK226" i="15"/>
  <c r="AK265" i="15"/>
  <c r="AK291" i="15"/>
  <c r="AK323" i="15"/>
  <c r="AK232" i="15"/>
  <c r="AK243" i="15"/>
  <c r="AK255" i="15"/>
  <c r="AK278" i="15"/>
  <c r="AK293" i="15"/>
  <c r="AK308" i="15"/>
  <c r="AK326" i="15"/>
  <c r="AK348" i="15"/>
  <c r="AK366" i="15"/>
  <c r="AK327" i="15"/>
  <c r="AK338" i="15"/>
  <c r="AK355" i="15"/>
  <c r="AK367" i="15"/>
  <c r="F8" i="15"/>
  <c r="AK39" i="15"/>
  <c r="AK52" i="15"/>
  <c r="AK62" i="15"/>
  <c r="AK78" i="15"/>
  <c r="AK98" i="15"/>
  <c r="AK132" i="15"/>
  <c r="AK101" i="15"/>
  <c r="AK131" i="15"/>
  <c r="AK163" i="15"/>
  <c r="AK199" i="15"/>
  <c r="AK166" i="15"/>
  <c r="AK194" i="15"/>
  <c r="AK231" i="15"/>
  <c r="AK268" i="15"/>
  <c r="AK299" i="15"/>
  <c r="AK218" i="15"/>
  <c r="AK246" i="15"/>
  <c r="AK280" i="15"/>
  <c r="AK311" i="15"/>
  <c r="AK349" i="15"/>
  <c r="AK329" i="15"/>
  <c r="AK356" i="15"/>
  <c r="AK15" i="15"/>
  <c r="AK38" i="15"/>
  <c r="AK72" i="15"/>
  <c r="AK129" i="15"/>
  <c r="AK125" i="15"/>
  <c r="AK190" i="15"/>
  <c r="AK192" i="15"/>
  <c r="AK266" i="15"/>
  <c r="AK215" i="15"/>
  <c r="AK277" i="15"/>
  <c r="AK347" i="15"/>
  <c r="AK354" i="15"/>
  <c r="AK20" i="15"/>
  <c r="AK149" i="15"/>
  <c r="AK238" i="15"/>
  <c r="AK358" i="15"/>
  <c r="AK270" i="15"/>
  <c r="AK135" i="15"/>
  <c r="AK18" i="15"/>
  <c r="AK42" i="15"/>
  <c r="AK57" i="15"/>
  <c r="AK65" i="15"/>
  <c r="AK84" i="15"/>
  <c r="AK97" i="15"/>
  <c r="AK118" i="15"/>
  <c r="AK130" i="15"/>
  <c r="AK148" i="15"/>
  <c r="AK99" i="15"/>
  <c r="AK112" i="15"/>
  <c r="AK127" i="15"/>
  <c r="AK143" i="15"/>
  <c r="AK162" i="15"/>
  <c r="AK176" i="15"/>
  <c r="AK195" i="15"/>
  <c r="AK207" i="15"/>
  <c r="AK161" i="15"/>
  <c r="AK178" i="15"/>
  <c r="AK193" i="15"/>
  <c r="AK213" i="15"/>
  <c r="AK228" i="15"/>
  <c r="AK252" i="15"/>
  <c r="AK267" i="15"/>
  <c r="AK279" i="15"/>
  <c r="AK298" i="15"/>
  <c r="AK313" i="15"/>
  <c r="AK216" i="15"/>
  <c r="AK362" i="15"/>
  <c r="AK365" i="15"/>
  <c r="AK292" i="15"/>
  <c r="AK230" i="15"/>
  <c r="AK276" i="15"/>
  <c r="AK212" i="15"/>
  <c r="AK206" i="15"/>
  <c r="AK142" i="15"/>
  <c r="AK145" i="15"/>
  <c r="AK90" i="15"/>
  <c r="AK26" i="15"/>
  <c r="AK22" i="15"/>
  <c r="AK360" i="15"/>
  <c r="AK333" i="15"/>
  <c r="AK363" i="15"/>
  <c r="AK320" i="15"/>
  <c r="AK288" i="15"/>
  <c r="AK251" i="15"/>
  <c r="AK225" i="15"/>
  <c r="AK307" i="15"/>
  <c r="AK272" i="15"/>
  <c r="AK244" i="15"/>
  <c r="AK200" i="15"/>
  <c r="AK173" i="15"/>
  <c r="AK204" i="15"/>
  <c r="AK170" i="15"/>
  <c r="AK140" i="15"/>
  <c r="AK108" i="15"/>
  <c r="AK138" i="15"/>
  <c r="AK107" i="15"/>
  <c r="AK85" i="15"/>
  <c r="AK66" i="15"/>
  <c r="AK59" i="15"/>
  <c r="AK43" i="15"/>
  <c r="AK380" i="15"/>
  <c r="AK372" i="15"/>
  <c r="AK357" i="15"/>
  <c r="AK343" i="15"/>
  <c r="AK330" i="15"/>
  <c r="AK370" i="15"/>
  <c r="AK350" i="15"/>
  <c r="AK334" i="15"/>
  <c r="AK312" i="15"/>
  <c r="AK295" i="15"/>
  <c r="AK283" i="15"/>
  <c r="AK262" i="15"/>
  <c r="AK247" i="15"/>
  <c r="AK235" i="15"/>
  <c r="AK219" i="15"/>
  <c r="AK300" i="15"/>
  <c r="AK269" i="15"/>
  <c r="N15" i="7"/>
  <c r="X48" i="6"/>
  <c r="Y24" i="6"/>
  <c r="Y23" i="6" s="1"/>
  <c r="Y25" i="6" s="1"/>
  <c r="X24" i="6"/>
  <c r="X23" i="6" s="1"/>
  <c r="X25" i="6" s="1"/>
  <c r="C25" i="7"/>
  <c r="U46" i="6"/>
  <c r="Y46" i="6"/>
  <c r="X50" i="6"/>
  <c r="O48" i="6"/>
  <c r="C30" i="7"/>
  <c r="D383" i="17"/>
  <c r="D381" i="17"/>
  <c r="D9" i="17"/>
  <c r="D11" i="17" s="1"/>
  <c r="E38" i="19" s="1"/>
  <c r="AJ217" i="17"/>
  <c r="AJ301" i="17"/>
  <c r="AJ99" i="17"/>
  <c r="AJ24" i="17"/>
  <c r="AJ83" i="17"/>
  <c r="AJ142" i="17"/>
  <c r="AJ183" i="17"/>
  <c r="AJ234" i="17"/>
  <c r="AJ284" i="17"/>
  <c r="AJ254" i="17"/>
  <c r="AJ318" i="17"/>
  <c r="AJ368" i="17"/>
  <c r="AJ348" i="17"/>
  <c r="AJ286" i="17"/>
  <c r="AJ251" i="17"/>
  <c r="AJ201" i="17"/>
  <c r="AJ51" i="17"/>
  <c r="AJ22" i="17"/>
  <c r="AJ25" i="17"/>
  <c r="AJ41" i="17"/>
  <c r="AJ50" i="17"/>
  <c r="AJ42" i="17"/>
  <c r="AJ62" i="17"/>
  <c r="AJ59" i="17"/>
  <c r="AJ75" i="17"/>
  <c r="AJ82" i="17"/>
  <c r="AJ98" i="17"/>
  <c r="AJ102" i="17"/>
  <c r="AJ122" i="17"/>
  <c r="AJ132" i="17"/>
  <c r="AJ144" i="17"/>
  <c r="AJ94" i="17"/>
  <c r="AJ114" i="17"/>
  <c r="AJ141" i="17"/>
  <c r="AJ152" i="17"/>
  <c r="AJ173" i="17"/>
  <c r="AJ200" i="17"/>
  <c r="AJ161" i="17"/>
  <c r="AJ23" i="17"/>
  <c r="AJ49" i="17"/>
  <c r="AJ61" i="17"/>
  <c r="AJ69" i="17"/>
  <c r="AJ78" i="17"/>
  <c r="AJ90" i="17"/>
  <c r="AJ101" i="17"/>
  <c r="AJ108" i="17"/>
  <c r="AJ126" i="17"/>
  <c r="AJ136" i="17"/>
  <c r="AJ153" i="17"/>
  <c r="AJ107" i="17"/>
  <c r="AJ117" i="17"/>
  <c r="AJ145" i="17"/>
  <c r="AJ158" i="17"/>
  <c r="AJ185" i="17"/>
  <c r="AJ210" i="17"/>
  <c r="AJ163" i="17"/>
  <c r="AJ168" i="17"/>
  <c r="AJ175" i="17"/>
  <c r="AJ179" i="17"/>
  <c r="AJ186" i="17"/>
  <c r="AJ191" i="17"/>
  <c r="AJ198" i="17"/>
  <c r="AJ205" i="17"/>
  <c r="AJ209" i="17"/>
  <c r="AJ218" i="17"/>
  <c r="AJ226" i="17"/>
  <c r="AJ230" i="17"/>
  <c r="AJ235" i="17"/>
  <c r="AJ242" i="17"/>
  <c r="AJ248" i="17"/>
  <c r="AJ252" i="17"/>
  <c r="AJ261" i="17"/>
  <c r="AJ267" i="17"/>
  <c r="AJ275" i="17"/>
  <c r="AJ280" i="17"/>
  <c r="AJ285" i="17"/>
  <c r="AJ306" i="17"/>
  <c r="AJ311" i="17"/>
  <c r="AJ317" i="17"/>
  <c r="AJ325" i="17"/>
  <c r="AJ219" i="17"/>
  <c r="AJ233" i="17"/>
  <c r="AJ244" i="17"/>
  <c r="AJ255" i="17"/>
  <c r="AJ204" i="17"/>
  <c r="AJ339" i="17"/>
  <c r="AJ344" i="17"/>
  <c r="AJ323" i="17"/>
  <c r="AJ208" i="17"/>
  <c r="AJ134" i="17"/>
  <c r="AJ327" i="17"/>
  <c r="E8" i="17"/>
  <c r="K14" i="19" s="1"/>
  <c r="K38" i="19" s="1"/>
  <c r="AJ295" i="17"/>
  <c r="AJ362" i="15"/>
  <c r="AJ338" i="15"/>
  <c r="AJ80" i="15"/>
  <c r="AJ20" i="15"/>
  <c r="AJ60" i="15"/>
  <c r="AJ94" i="15"/>
  <c r="AJ126" i="15"/>
  <c r="AJ154" i="15"/>
  <c r="F7" i="15"/>
  <c r="O11" i="15" s="1"/>
  <c r="AJ78" i="15"/>
  <c r="AJ148" i="15"/>
  <c r="AJ209" i="15"/>
  <c r="AJ241" i="15"/>
  <c r="AJ268" i="15"/>
  <c r="AJ295" i="15"/>
  <c r="AJ319" i="15"/>
  <c r="AJ350" i="15"/>
  <c r="AJ62" i="15"/>
  <c r="AJ193" i="15"/>
  <c r="AJ249" i="15"/>
  <c r="AJ306" i="15"/>
  <c r="AJ354" i="15"/>
  <c r="O9" i="20"/>
  <c r="AJ359" i="20" s="1"/>
  <c r="AJ359" i="15"/>
  <c r="AJ336" i="15"/>
  <c r="AJ322" i="15"/>
  <c r="AJ294" i="15"/>
  <c r="AJ257" i="15"/>
  <c r="AJ239" i="15"/>
  <c r="AJ214" i="15"/>
  <c r="AJ167" i="15"/>
  <c r="AJ113" i="15"/>
  <c r="AJ379" i="15"/>
  <c r="AJ356" i="15"/>
  <c r="AJ343" i="15"/>
  <c r="AJ329" i="15"/>
  <c r="AJ313" i="15"/>
  <c r="AJ301" i="15"/>
  <c r="AJ288" i="15"/>
  <c r="AJ277" i="15"/>
  <c r="AJ263" i="15"/>
  <c r="AJ247" i="15"/>
  <c r="AJ231" i="15"/>
  <c r="AJ217" i="15"/>
  <c r="AJ199" i="15"/>
  <c r="AJ183" i="15"/>
  <c r="AJ129" i="15"/>
  <c r="AJ110" i="15"/>
  <c r="AJ70" i="15"/>
  <c r="AJ37" i="15"/>
  <c r="AJ175" i="15"/>
  <c r="AJ163" i="15"/>
  <c r="AJ149" i="15"/>
  <c r="AJ133" i="15"/>
  <c r="AJ115" i="15"/>
  <c r="AJ101" i="15"/>
  <c r="AJ87" i="15"/>
  <c r="AJ66" i="15"/>
  <c r="AJ52" i="15"/>
  <c r="AJ35" i="15"/>
  <c r="AJ22" i="15"/>
  <c r="AJ40" i="15"/>
  <c r="AJ84" i="15"/>
  <c r="AJ221" i="15"/>
  <c r="AJ370" i="17"/>
  <c r="AJ265" i="17"/>
  <c r="E7" i="17"/>
  <c r="AJ32" i="17"/>
  <c r="AJ216" i="17"/>
  <c r="AJ349" i="17"/>
  <c r="AJ167" i="17"/>
  <c r="AJ64" i="17"/>
  <c r="AJ375" i="17"/>
  <c r="AJ263" i="17"/>
  <c r="AJ240" i="17"/>
  <c r="AJ155" i="17"/>
  <c r="AJ43" i="17"/>
  <c r="AJ66" i="17"/>
  <c r="AJ104" i="17"/>
  <c r="AJ103" i="17"/>
  <c r="AJ180" i="17"/>
  <c r="AJ174" i="17"/>
  <c r="AJ197" i="17"/>
  <c r="AJ224" i="17"/>
  <c r="AJ247" i="17"/>
  <c r="AJ273" i="17"/>
  <c r="AJ309" i="17"/>
  <c r="AJ225" i="17"/>
  <c r="AJ272" i="17"/>
  <c r="AJ300" i="17"/>
  <c r="AJ333" i="17"/>
  <c r="AJ356" i="17"/>
  <c r="AJ330" i="17"/>
  <c r="AJ377" i="17"/>
  <c r="AJ361" i="17"/>
  <c r="AJ305" i="17"/>
  <c r="AJ241" i="17"/>
  <c r="AJ279" i="17"/>
  <c r="AJ229" i="17"/>
  <c r="AJ178" i="17"/>
  <c r="AJ115" i="17"/>
  <c r="AJ76" i="17"/>
  <c r="AJ21" i="17"/>
  <c r="AJ17" i="17"/>
  <c r="AJ26" i="17"/>
  <c r="AJ19" i="17"/>
  <c r="AJ33" i="17"/>
  <c r="AJ38" i="17"/>
  <c r="AJ44" i="17"/>
  <c r="AJ48" i="17"/>
  <c r="F7" i="17"/>
  <c r="O12" i="17" s="1"/>
  <c r="AJ31" i="17"/>
  <c r="AJ54" i="17"/>
  <c r="AJ58" i="17"/>
  <c r="AJ65" i="17"/>
  <c r="AJ55" i="17"/>
  <c r="AJ68" i="17"/>
  <c r="AJ73" i="17"/>
  <c r="AJ77" i="17"/>
  <c r="AJ79" i="17"/>
  <c r="AJ89" i="17"/>
  <c r="AJ96" i="17"/>
  <c r="AJ100" i="17"/>
  <c r="AJ88" i="17"/>
  <c r="AJ106" i="17"/>
  <c r="AJ120" i="17"/>
  <c r="AJ125" i="17"/>
  <c r="AJ130" i="17"/>
  <c r="AJ135" i="17"/>
  <c r="AJ139" i="17"/>
  <c r="AJ149" i="17"/>
  <c r="AJ87" i="17"/>
  <c r="AJ105" i="17"/>
  <c r="AJ112" i="17"/>
  <c r="AJ116" i="17"/>
  <c r="AJ127" i="17"/>
  <c r="AJ143" i="17"/>
  <c r="AJ150" i="17"/>
  <c r="AJ157" i="17"/>
  <c r="AJ169" i="17"/>
  <c r="AJ184" i="17"/>
  <c r="AJ195" i="17"/>
  <c r="AJ203" i="17"/>
  <c r="AJ156" i="17"/>
  <c r="T13" i="7"/>
  <c r="AJ27" i="17"/>
  <c r="AJ34" i="17"/>
  <c r="AJ45" i="17"/>
  <c r="AJ16" i="17"/>
  <c r="AJ60" i="17"/>
  <c r="AJ67" i="17"/>
  <c r="AJ178" i="16"/>
  <c r="AJ145" i="16"/>
  <c r="AJ113" i="16"/>
  <c r="AJ144" i="16"/>
  <c r="AJ112" i="16"/>
  <c r="AJ86" i="16"/>
  <c r="AJ72" i="16"/>
  <c r="AJ39" i="16"/>
  <c r="AJ27" i="16"/>
  <c r="AJ22" i="16"/>
  <c r="AJ283" i="16"/>
  <c r="AJ251" i="16"/>
  <c r="AJ219" i="16"/>
  <c r="AJ179" i="16"/>
  <c r="AJ206" i="16"/>
  <c r="AJ164" i="16"/>
  <c r="AJ101" i="16"/>
  <c r="AJ76" i="16"/>
  <c r="AJ377" i="16"/>
  <c r="AJ358" i="16"/>
  <c r="AJ311" i="16"/>
  <c r="AJ250" i="16"/>
  <c r="AJ271" i="16"/>
  <c r="AJ197" i="16"/>
  <c r="AJ55" i="16"/>
  <c r="AJ343" i="16"/>
  <c r="AJ365" i="16"/>
  <c r="AJ344" i="16"/>
  <c r="AJ321" i="16"/>
  <c r="AJ295" i="16"/>
  <c r="AJ266" i="16"/>
  <c r="AJ237" i="16"/>
  <c r="AJ304" i="16"/>
  <c r="AJ233" i="16"/>
  <c r="AJ168" i="16"/>
  <c r="AJ137" i="16"/>
  <c r="AJ82" i="16"/>
  <c r="F7" i="16"/>
  <c r="O12" i="16" s="1"/>
  <c r="AJ374" i="16"/>
  <c r="AA44" i="6"/>
  <c r="AN20" i="6"/>
  <c r="S48" i="6"/>
  <c r="D381" i="15"/>
  <c r="D382" i="1"/>
  <c r="D9" i="1"/>
  <c r="D11" i="1" s="1"/>
  <c r="E35" i="19" s="1"/>
  <c r="D381" i="1"/>
  <c r="C29" i="7"/>
  <c r="AJ360" i="16"/>
  <c r="AJ315" i="16"/>
  <c r="AJ256" i="16"/>
  <c r="AJ216" i="16"/>
  <c r="AJ19" i="16"/>
  <c r="AJ77" i="16"/>
  <c r="AJ132" i="16"/>
  <c r="AJ166" i="16"/>
  <c r="AJ229" i="16"/>
  <c r="AJ297" i="16"/>
  <c r="AJ38" i="16"/>
  <c r="AJ161" i="16"/>
  <c r="AJ248" i="16"/>
  <c r="AJ234" i="16"/>
  <c r="AJ264" i="16"/>
  <c r="AJ293" i="16"/>
  <c r="AJ319" i="16"/>
  <c r="AJ342" i="16"/>
  <c r="AJ364" i="16"/>
  <c r="AJ341" i="16"/>
  <c r="AJ26" i="16"/>
  <c r="AJ23" i="16"/>
  <c r="AJ85" i="16"/>
  <c r="AJ142" i="16"/>
  <c r="AJ143" i="16"/>
  <c r="AJ336" i="16"/>
  <c r="AJ224" i="16"/>
  <c r="AJ44" i="16"/>
  <c r="AJ191" i="16"/>
  <c r="AJ262" i="16"/>
  <c r="AJ98" i="16"/>
  <c r="AJ313" i="16"/>
  <c r="AJ276" i="16"/>
  <c r="AJ330" i="16"/>
  <c r="AJ373" i="16"/>
  <c r="AJ30" i="16"/>
  <c r="AJ111" i="16"/>
  <c r="AJ29" i="16"/>
  <c r="AJ32" i="16"/>
  <c r="AJ48" i="16"/>
  <c r="AJ69" i="16"/>
  <c r="AJ99" i="16"/>
  <c r="AJ125" i="16"/>
  <c r="AJ83" i="16"/>
  <c r="AJ120" i="16"/>
  <c r="AJ150" i="16"/>
  <c r="AJ186" i="16"/>
  <c r="AJ202" i="16"/>
  <c r="AJ160" i="16"/>
  <c r="AJ175" i="16"/>
  <c r="AJ198" i="16"/>
  <c r="AJ213" i="16"/>
  <c r="AJ226" i="16"/>
  <c r="AJ244" i="16"/>
  <c r="AJ259" i="16"/>
  <c r="AJ280" i="16"/>
  <c r="AJ294" i="16"/>
  <c r="AJ310" i="16"/>
  <c r="AJ324" i="16"/>
  <c r="AJ222" i="16"/>
  <c r="AJ231" i="16"/>
  <c r="AJ240" i="16"/>
  <c r="AJ245" i="16"/>
  <c r="AJ255" i="16"/>
  <c r="AJ263" i="16"/>
  <c r="AJ270" i="16"/>
  <c r="AJ275" i="16"/>
  <c r="AJ284" i="16"/>
  <c r="AJ292" i="16"/>
  <c r="AJ299" i="16"/>
  <c r="AJ307" i="16"/>
  <c r="AJ312" i="16"/>
  <c r="AJ318" i="16"/>
  <c r="AJ323" i="16"/>
  <c r="AJ329" i="16"/>
  <c r="AJ335" i="16"/>
  <c r="AJ340" i="16"/>
  <c r="AJ346" i="16"/>
  <c r="AJ353" i="16"/>
  <c r="AJ359" i="16"/>
  <c r="AJ363" i="16"/>
  <c r="AJ367" i="16"/>
  <c r="AJ371" i="16"/>
  <c r="AJ380" i="16"/>
  <c r="AJ337" i="16"/>
  <c r="AJ350" i="16"/>
  <c r="AJ372" i="16"/>
  <c r="AJ379" i="16"/>
  <c r="AJ24" i="16"/>
  <c r="AJ73" i="16"/>
  <c r="AJ115" i="16"/>
  <c r="AJ114" i="16"/>
  <c r="AJ180" i="16"/>
  <c r="AJ158" i="16"/>
  <c r="AJ188" i="16"/>
  <c r="AJ223" i="16"/>
  <c r="AJ254" i="16"/>
  <c r="AJ289" i="16"/>
  <c r="AJ320" i="16"/>
  <c r="AJ230" i="16"/>
  <c r="AJ243" i="16"/>
  <c r="AJ260" i="16"/>
  <c r="AJ274" i="16"/>
  <c r="AJ291" i="16"/>
  <c r="AJ302" i="16"/>
  <c r="AJ317" i="16"/>
  <c r="AJ327" i="16"/>
  <c r="AJ339" i="16"/>
  <c r="AJ351" i="16"/>
  <c r="AJ362" i="16"/>
  <c r="AJ370" i="16"/>
  <c r="AJ333" i="16"/>
  <c r="AJ357" i="16"/>
  <c r="AJ25" i="16"/>
  <c r="AJ15" i="16"/>
  <c r="AJ56" i="16"/>
  <c r="AJ63" i="16"/>
  <c r="AJ79" i="16"/>
  <c r="AJ104" i="16"/>
  <c r="AJ134" i="16"/>
  <c r="Q381" i="1"/>
  <c r="AE382" i="1"/>
  <c r="AJ183" i="16"/>
  <c r="AJ165" i="16"/>
  <c r="AJ149" i="16"/>
  <c r="AJ136" i="16"/>
  <c r="AJ119" i="16"/>
  <c r="AJ102" i="16"/>
  <c r="AJ154" i="16"/>
  <c r="AJ138" i="16"/>
  <c r="AJ124" i="16"/>
  <c r="AJ105" i="16"/>
  <c r="AJ97" i="16"/>
  <c r="AJ81" i="16"/>
  <c r="AJ80" i="16"/>
  <c r="AJ65" i="16"/>
  <c r="AJ40" i="16"/>
  <c r="AJ53" i="16"/>
  <c r="AJ34" i="16"/>
  <c r="AJ51" i="16"/>
  <c r="AJ33" i="16"/>
  <c r="AJ20" i="16"/>
  <c r="AJ290" i="16"/>
  <c r="AJ278" i="16"/>
  <c r="AJ258" i="16"/>
  <c r="AJ239" i="16"/>
  <c r="AJ225" i="16"/>
  <c r="AJ211" i="16"/>
  <c r="AJ194" i="16"/>
  <c r="AJ173" i="16"/>
  <c r="AJ159" i="16"/>
  <c r="AJ200" i="16"/>
  <c r="AJ182" i="16"/>
  <c r="AJ148" i="16"/>
  <c r="AJ117" i="16"/>
  <c r="AJ153" i="16"/>
  <c r="AJ95" i="16"/>
  <c r="AJ64" i="16"/>
  <c r="AJ35" i="16"/>
  <c r="AJ349" i="16"/>
  <c r="AJ366" i="16"/>
  <c r="AJ345" i="16"/>
  <c r="AJ322" i="16"/>
  <c r="AJ298" i="16"/>
  <c r="AJ268" i="16"/>
  <c r="AJ238" i="16"/>
  <c r="AJ306" i="16"/>
  <c r="AJ236" i="16"/>
  <c r="AJ172" i="16"/>
  <c r="AJ146" i="16"/>
  <c r="AJ92" i="16"/>
  <c r="AJ21" i="16"/>
  <c r="AJ355" i="16"/>
  <c r="AJ331" i="16"/>
  <c r="AJ369" i="16"/>
  <c r="AJ361" i="16"/>
  <c r="AJ348" i="16"/>
  <c r="AJ338" i="16"/>
  <c r="AJ326" i="16"/>
  <c r="AJ316" i="16"/>
  <c r="AJ301" i="16"/>
  <c r="AJ286" i="16"/>
  <c r="AJ273" i="16"/>
  <c r="AJ257" i="16"/>
  <c r="AJ242" i="16"/>
  <c r="AJ228" i="16"/>
  <c r="AJ314" i="16"/>
  <c r="AJ287" i="16"/>
  <c r="AJ252" i="16"/>
  <c r="AJ220" i="16"/>
  <c r="AJ184" i="16"/>
  <c r="AJ210" i="16"/>
  <c r="AJ169" i="16"/>
  <c r="AJ106" i="16"/>
  <c r="AJ107" i="16"/>
  <c r="AJ66" i="16"/>
  <c r="AJ46" i="16"/>
  <c r="AJ68" i="16"/>
  <c r="AJ354" i="16"/>
  <c r="AJ246" i="16"/>
  <c r="AJ214" i="16"/>
  <c r="AJ129" i="16"/>
  <c r="AJ285" i="16"/>
  <c r="U12" i="1"/>
  <c r="AT2" i="7"/>
  <c r="AI12" i="1"/>
  <c r="D11" i="7"/>
  <c r="AC382" i="1"/>
  <c r="Q382" i="1"/>
  <c r="I15" i="7"/>
  <c r="AE383" i="1"/>
  <c r="AE381" i="1"/>
  <c r="Q383" i="1"/>
  <c r="AJ369" i="15"/>
  <c r="AJ367" i="15"/>
  <c r="AJ365" i="15"/>
  <c r="AJ363" i="15"/>
  <c r="AJ357" i="15"/>
  <c r="AJ347" i="15"/>
  <c r="AJ314" i="15"/>
  <c r="AJ224" i="15"/>
  <c r="AJ220" i="15"/>
  <c r="AJ95" i="15"/>
  <c r="AJ91" i="15"/>
  <c r="AJ85" i="15"/>
  <c r="AJ83" i="15"/>
  <c r="AJ81" i="15"/>
  <c r="AJ53" i="15"/>
  <c r="AJ45" i="15"/>
  <c r="AJ39" i="15"/>
  <c r="AJ31" i="15"/>
  <c r="AJ29" i="15"/>
  <c r="AJ27" i="15"/>
  <c r="AJ18" i="15"/>
  <c r="AJ19" i="15"/>
  <c r="AJ23" i="15"/>
  <c r="AJ33" i="15"/>
  <c r="AJ36" i="15"/>
  <c r="AJ41" i="15"/>
  <c r="AJ46" i="15"/>
  <c r="AJ49" i="15"/>
  <c r="AJ54" i="15"/>
  <c r="AJ58" i="15"/>
  <c r="AJ63" i="15"/>
  <c r="AJ65" i="15"/>
  <c r="AJ69" i="15"/>
  <c r="AJ72" i="15"/>
  <c r="AJ77" i="15"/>
  <c r="AJ86" i="15"/>
  <c r="AJ89" i="15"/>
  <c r="AJ93" i="15"/>
  <c r="AJ97" i="15"/>
  <c r="AJ100" i="15"/>
  <c r="AJ102" i="15"/>
  <c r="AJ107" i="15"/>
  <c r="AJ109" i="15"/>
  <c r="AJ114" i="15"/>
  <c r="AJ116" i="15"/>
  <c r="AJ119" i="15"/>
  <c r="AJ128" i="15"/>
  <c r="AJ132" i="15"/>
  <c r="AJ135" i="15"/>
  <c r="AJ138" i="15"/>
  <c r="AJ142" i="15"/>
  <c r="AJ147" i="15"/>
  <c r="AJ151" i="15"/>
  <c r="AJ153" i="15"/>
  <c r="AJ155" i="15"/>
  <c r="AJ162" i="15"/>
  <c r="AJ164" i="15"/>
  <c r="AJ170" i="15"/>
  <c r="AJ172" i="15"/>
  <c r="AJ174" i="15"/>
  <c r="AJ177" i="15"/>
  <c r="AJ181" i="15"/>
  <c r="AJ24" i="15"/>
  <c r="AJ34" i="15"/>
  <c r="AJ42" i="15"/>
  <c r="AJ50" i="15"/>
  <c r="AJ55" i="15"/>
  <c r="AJ59" i="15"/>
  <c r="AJ73" i="15"/>
  <c r="AJ75" i="15"/>
  <c r="AJ98" i="15"/>
  <c r="AJ104" i="15"/>
  <c r="AJ111" i="15"/>
  <c r="AJ121" i="15"/>
  <c r="AJ123" i="15"/>
  <c r="AJ125" i="15"/>
  <c r="AJ130" i="15"/>
  <c r="AJ139" i="15"/>
  <c r="AJ165" i="15"/>
  <c r="AJ182" i="15"/>
  <c r="AJ190" i="15"/>
  <c r="AJ192" i="15"/>
  <c r="AJ195" i="15"/>
  <c r="AJ197" i="15"/>
  <c r="AJ202" i="15"/>
  <c r="AJ208" i="15"/>
  <c r="AJ211" i="15"/>
  <c r="AJ213" i="15"/>
  <c r="AJ218" i="15"/>
  <c r="AJ222" i="15"/>
  <c r="AJ226" i="15"/>
  <c r="AJ230" i="15"/>
  <c r="AJ232" i="15"/>
  <c r="AJ234" i="15"/>
  <c r="AJ242" i="15"/>
  <c r="AJ244" i="15"/>
  <c r="AJ248" i="15"/>
  <c r="AJ254" i="15"/>
  <c r="AJ260" i="15"/>
  <c r="AJ262" i="15"/>
  <c r="AJ265" i="15"/>
  <c r="AJ267" i="15"/>
  <c r="AJ271" i="15"/>
  <c r="AJ276" i="15"/>
  <c r="AJ278" i="15"/>
  <c r="AJ281" i="15"/>
  <c r="AJ284" i="15"/>
  <c r="AJ287" i="15"/>
  <c r="AJ289" i="15"/>
  <c r="AJ293" i="15"/>
  <c r="AJ296" i="15"/>
  <c r="AJ300" i="15"/>
  <c r="AJ302" i="15"/>
  <c r="AJ304" i="15"/>
  <c r="AJ308" i="15"/>
  <c r="AJ310" i="15"/>
  <c r="AJ315" i="15"/>
  <c r="AJ318" i="15"/>
  <c r="AJ321" i="15"/>
  <c r="AJ325" i="15"/>
  <c r="AJ330" i="15"/>
  <c r="AJ332" i="15"/>
  <c r="AJ339" i="15"/>
  <c r="AJ341" i="15"/>
  <c r="AJ344" i="15"/>
  <c r="AJ349" i="15"/>
  <c r="AJ351" i="15"/>
  <c r="AJ353" i="15"/>
  <c r="AJ358" i="15"/>
  <c r="AJ370" i="15"/>
  <c r="AJ376" i="15"/>
  <c r="AJ378" i="15"/>
  <c r="AJ380" i="15"/>
  <c r="AJ61" i="15"/>
  <c r="AJ67" i="15"/>
  <c r="AJ106" i="15"/>
  <c r="AJ118" i="15"/>
  <c r="AJ134" i="15"/>
  <c r="AJ144" i="15"/>
  <c r="AJ146" i="15"/>
  <c r="AJ168" i="15"/>
  <c r="AJ176" i="15"/>
  <c r="AJ198" i="15"/>
  <c r="AJ204" i="15"/>
  <c r="AJ215" i="15"/>
  <c r="AJ227" i="15"/>
  <c r="AJ236" i="15"/>
  <c r="AJ238" i="15"/>
  <c r="AJ240" i="15"/>
  <c r="AJ246" i="15"/>
  <c r="AJ250" i="15"/>
  <c r="AJ256" i="15"/>
  <c r="AJ258" i="15"/>
  <c r="AJ273" i="15"/>
  <c r="AJ282" i="15"/>
  <c r="AJ291" i="15"/>
  <c r="AJ297" i="15"/>
  <c r="AJ305" i="15"/>
  <c r="AJ311" i="15"/>
  <c r="AJ316" i="15"/>
  <c r="AJ323" i="15"/>
  <c r="AJ327" i="15"/>
  <c r="AJ333" i="15"/>
  <c r="AJ335" i="15"/>
  <c r="AJ342" i="15"/>
  <c r="AJ368" i="15"/>
  <c r="AJ364" i="15"/>
  <c r="AJ348" i="15"/>
  <c r="AJ225" i="15"/>
  <c r="AJ96" i="15"/>
  <c r="AJ88" i="15"/>
  <c r="AJ82" i="15"/>
  <c r="AJ48" i="15"/>
  <c r="AJ32" i="15"/>
  <c r="AJ28" i="15"/>
  <c r="AJ15" i="15"/>
  <c r="AJ26" i="15"/>
  <c r="AJ38" i="15"/>
  <c r="AJ47" i="15"/>
  <c r="AJ57" i="15"/>
  <c r="AJ64" i="15"/>
  <c r="AJ71" i="15"/>
  <c r="AJ79" i="15"/>
  <c r="AJ90" i="15"/>
  <c r="AJ99" i="15"/>
  <c r="AJ105" i="15"/>
  <c r="AJ112" i="15"/>
  <c r="AJ117" i="15"/>
  <c r="AJ131" i="15"/>
  <c r="AJ137" i="15"/>
  <c r="AJ143" i="15"/>
  <c r="AJ152" i="15"/>
  <c r="AJ156" i="15"/>
  <c r="AJ166" i="15"/>
  <c r="AJ173" i="15"/>
  <c r="AJ179" i="15"/>
  <c r="AJ25" i="15"/>
  <c r="AJ43" i="15"/>
  <c r="AJ56" i="15"/>
  <c r="AJ74" i="15"/>
  <c r="AJ103" i="15"/>
  <c r="AJ120" i="15"/>
  <c r="AJ124" i="15"/>
  <c r="AJ136" i="15"/>
  <c r="AJ178" i="15"/>
  <c r="AJ191" i="15"/>
  <c r="AJ196" i="15"/>
  <c r="AJ205" i="15"/>
  <c r="AJ212" i="15"/>
  <c r="AJ219" i="15"/>
  <c r="AJ228" i="15"/>
  <c r="AJ233" i="15"/>
  <c r="AJ243" i="15"/>
  <c r="AJ251" i="15"/>
  <c r="AJ261" i="15"/>
  <c r="AJ266" i="15"/>
  <c r="AJ274" i="15"/>
  <c r="AJ280" i="15"/>
  <c r="AJ285" i="15"/>
  <c r="AJ292" i="15"/>
  <c r="AJ299" i="15"/>
  <c r="AJ303" i="15"/>
  <c r="AJ309" i="15"/>
  <c r="AJ317" i="15"/>
  <c r="AJ324" i="15"/>
  <c r="AJ331" i="15"/>
  <c r="AJ340" i="15"/>
  <c r="AJ346" i="15"/>
  <c r="AJ352" i="15"/>
  <c r="AJ361" i="15"/>
  <c r="AJ377" i="15"/>
  <c r="AJ16" i="15"/>
  <c r="AJ68" i="15"/>
  <c r="AJ127" i="15"/>
  <c r="AJ145" i="15"/>
  <c r="AJ169" i="15"/>
  <c r="AJ203" i="15"/>
  <c r="AJ216" i="15"/>
  <c r="AJ237" i="15"/>
  <c r="AJ245" i="15"/>
  <c r="AJ255" i="15"/>
  <c r="AJ272" i="15"/>
  <c r="AJ290" i="15"/>
  <c r="AJ298" i="15"/>
  <c r="AJ312" i="15"/>
  <c r="AJ326" i="15"/>
  <c r="AJ334" i="15"/>
  <c r="AJ345" i="15"/>
  <c r="AJ355" i="15"/>
  <c r="AJ360" i="15"/>
  <c r="H13" i="7"/>
  <c r="E7" i="15"/>
  <c r="O381" i="1"/>
  <c r="AC383" i="1"/>
  <c r="O382" i="1"/>
  <c r="N50" i="6"/>
  <c r="V24" i="6"/>
  <c r="V23" i="6" s="1"/>
  <c r="V25" i="6" s="1"/>
  <c r="U31" i="6"/>
  <c r="R35" i="6"/>
  <c r="T31" i="6"/>
  <c r="AL24" i="6"/>
  <c r="AL23" i="6" s="1"/>
  <c r="AL25" i="6" s="1"/>
  <c r="R24" i="6"/>
  <c r="R23" i="6" s="1"/>
  <c r="R25" i="6" s="1"/>
  <c r="S39" i="6"/>
  <c r="S38" i="6" s="1"/>
  <c r="S40" i="6" s="1"/>
  <c r="Q24" i="6"/>
  <c r="Q23" i="6" s="1"/>
  <c r="Q25" i="6" s="1"/>
  <c r="E13" i="6"/>
  <c r="T24" i="6"/>
  <c r="T23" i="6" s="1"/>
  <c r="T25" i="6" s="1"/>
  <c r="Z24" i="6"/>
  <c r="Z23" i="6" s="1"/>
  <c r="Z25" i="6" s="1"/>
  <c r="U48" i="6"/>
  <c r="Z33" i="6"/>
  <c r="Y35" i="6"/>
  <c r="AA31" i="6"/>
  <c r="Y31" i="6"/>
  <c r="W35" i="6"/>
  <c r="S46" i="6"/>
  <c r="Q50" i="6"/>
  <c r="O24" i="6"/>
  <c r="O23" i="6" s="1"/>
  <c r="O25" i="6" s="1"/>
  <c r="V46" i="6"/>
  <c r="AF24" i="6"/>
  <c r="AF23" i="6" s="1"/>
  <c r="AF25" i="6" s="1"/>
  <c r="AE24" i="6"/>
  <c r="AE23" i="6" s="1"/>
  <c r="AE25" i="6" s="1"/>
  <c r="R48" i="6"/>
  <c r="O46" i="6"/>
  <c r="M50" i="6"/>
  <c r="W46" i="6"/>
  <c r="U50" i="6"/>
  <c r="AJ93" i="16"/>
  <c r="AJ205" i="16"/>
  <c r="AJ241" i="16"/>
  <c r="AJ300" i="16"/>
  <c r="AJ347" i="16"/>
  <c r="AJ352" i="16"/>
  <c r="AJ42" i="16"/>
  <c r="AJ57" i="16"/>
  <c r="AJ90" i="16"/>
  <c r="AJ89" i="16"/>
  <c r="AJ156" i="16"/>
  <c r="AJ189" i="16"/>
  <c r="AJ203" i="16"/>
  <c r="AJ163" i="16"/>
  <c r="AJ176" i="16"/>
  <c r="AJ199" i="16"/>
  <c r="AJ215" i="16"/>
  <c r="AJ227" i="16"/>
  <c r="AJ247" i="16"/>
  <c r="AJ261" i="16"/>
  <c r="AJ281" i="16"/>
  <c r="AJ296" i="16"/>
  <c r="N13" i="7"/>
  <c r="AJ28" i="16"/>
  <c r="AJ45" i="16"/>
  <c r="AJ31" i="16"/>
  <c r="AJ50" i="16"/>
  <c r="AJ60" i="16"/>
  <c r="AJ62" i="16"/>
  <c r="AJ74" i="16"/>
  <c r="AJ78" i="16"/>
  <c r="AJ94" i="16"/>
  <c r="AJ103" i="16"/>
  <c r="AJ118" i="16"/>
  <c r="AJ130" i="16"/>
  <c r="AJ152" i="16"/>
  <c r="AJ100" i="16"/>
  <c r="AJ116" i="16"/>
  <c r="AJ133" i="16"/>
  <c r="AJ147" i="16"/>
  <c r="AJ162" i="16"/>
  <c r="AJ181" i="16"/>
  <c r="AJ192" i="16"/>
  <c r="AJ282" i="16"/>
  <c r="AJ325" i="16"/>
  <c r="AJ49" i="16"/>
  <c r="AJ127" i="16"/>
  <c r="AJ174" i="16"/>
  <c r="AJ212" i="16"/>
  <c r="AJ185" i="16"/>
  <c r="AJ221" i="16"/>
  <c r="AJ253" i="16"/>
  <c r="AJ288" i="16"/>
  <c r="AJ36" i="16"/>
  <c r="AJ43" i="16"/>
  <c r="AJ54" i="16"/>
  <c r="AJ70" i="16"/>
  <c r="AJ87" i="16"/>
  <c r="AJ126" i="16"/>
  <c r="AJ88" i="16"/>
  <c r="AJ121" i="16"/>
  <c r="AJ155" i="16"/>
  <c r="AJ187" i="16"/>
  <c r="AJ59" i="16"/>
  <c r="AJ368" i="16"/>
  <c r="AJ16" i="16"/>
  <c r="AJ122" i="16"/>
  <c r="AJ170" i="16"/>
  <c r="AJ235" i="16"/>
  <c r="AJ305" i="16"/>
  <c r="AJ17" i="16"/>
  <c r="AJ61" i="16"/>
  <c r="AJ84" i="16"/>
  <c r="AJ141" i="16"/>
  <c r="AJ140" i="16"/>
  <c r="AJ272" i="16"/>
  <c r="AJ71" i="16"/>
  <c r="AJ196" i="16"/>
  <c r="AJ208" i="16"/>
  <c r="AJ269" i="16"/>
  <c r="AJ18" i="16"/>
  <c r="AJ67" i="16"/>
  <c r="AJ109" i="16"/>
  <c r="AJ108" i="16"/>
  <c r="AJ171" i="16"/>
  <c r="AC381" i="1"/>
  <c r="O383" i="1"/>
  <c r="C28" i="7"/>
  <c r="E363" i="1"/>
  <c r="C31" i="7"/>
  <c r="AJ21" i="15"/>
  <c r="AJ320" i="15"/>
  <c r="AJ373" i="15"/>
  <c r="AJ374" i="15"/>
  <c r="AJ375" i="15"/>
  <c r="AJ17" i="15"/>
  <c r="E8" i="15"/>
  <c r="K12" i="19" s="1"/>
  <c r="K36" i="19" s="1"/>
  <c r="AJ150" i="15"/>
  <c r="AJ157" i="15"/>
  <c r="AJ158" i="15"/>
  <c r="AJ159" i="15"/>
  <c r="AJ160" i="15"/>
  <c r="AJ161" i="15"/>
  <c r="AJ180" i="15"/>
  <c r="AJ184" i="15"/>
  <c r="AJ185" i="15"/>
  <c r="AJ186" i="15"/>
  <c r="AJ187" i="15"/>
  <c r="AJ188" i="15"/>
  <c r="AJ189" i="15"/>
  <c r="AJ200" i="15"/>
  <c r="AJ201" i="15"/>
  <c r="AJ206" i="15"/>
  <c r="AJ207" i="15"/>
  <c r="AJ210" i="15"/>
  <c r="AJ229" i="15"/>
  <c r="AJ252" i="15"/>
  <c r="AJ253" i="15"/>
  <c r="AJ264" i="15"/>
  <c r="AJ269" i="15"/>
  <c r="AJ270" i="15"/>
  <c r="AJ275" i="15"/>
  <c r="AJ286" i="15"/>
  <c r="AC12" i="18"/>
  <c r="C26" i="7"/>
  <c r="E210" i="1"/>
  <c r="AC24" i="6"/>
  <c r="AC23" i="6" s="1"/>
  <c r="AC25" i="6" s="1"/>
  <c r="R37" i="6"/>
  <c r="AP181" i="6"/>
  <c r="AR181" i="6" s="1"/>
  <c r="AP171" i="6"/>
  <c r="AR171" i="6" s="1"/>
  <c r="AQ125" i="6"/>
  <c r="AP94" i="6"/>
  <c r="AR94" i="6" s="1"/>
  <c r="AQ81" i="6"/>
  <c r="AP183" i="6"/>
  <c r="AR183" i="6" s="1"/>
  <c r="AP86" i="6"/>
  <c r="AR86" i="6" s="1"/>
  <c r="AQ158" i="6"/>
  <c r="AP159" i="6"/>
  <c r="AR159" i="6" s="1"/>
  <c r="AP155" i="6"/>
  <c r="AR155" i="6" s="1"/>
  <c r="AP148" i="6"/>
  <c r="AR148" i="6" s="1"/>
  <c r="AQ148" i="6"/>
  <c r="AQ120" i="6"/>
  <c r="AQ146" i="6"/>
  <c r="AP143" i="6"/>
  <c r="AR143" i="6" s="1"/>
  <c r="AQ140" i="6"/>
  <c r="AP158" i="6"/>
  <c r="AR158" i="6" s="1"/>
  <c r="AP127" i="6"/>
  <c r="AR127" i="6" s="1"/>
  <c r="AP93" i="6"/>
  <c r="AR93" i="6" s="1"/>
  <c r="AP139" i="6"/>
  <c r="AR139" i="6" s="1"/>
  <c r="AP189" i="6"/>
  <c r="AR189" i="6" s="1"/>
  <c r="AP80" i="6"/>
  <c r="AR80" i="6" s="1"/>
  <c r="AQ94" i="6"/>
  <c r="AQ110" i="6"/>
  <c r="AP119" i="6"/>
  <c r="AR119" i="6" s="1"/>
  <c r="AQ122" i="6"/>
  <c r="AQ133" i="6"/>
  <c r="AQ159" i="6"/>
  <c r="AP88" i="6"/>
  <c r="AR88" i="6" s="1"/>
  <c r="AQ113" i="6"/>
  <c r="AP167" i="6"/>
  <c r="AR167" i="6" s="1"/>
  <c r="AP84" i="6"/>
  <c r="AR84" i="6" s="1"/>
  <c r="AQ153" i="6"/>
  <c r="AP117" i="6"/>
  <c r="AR117" i="6" s="1"/>
  <c r="AQ184" i="6"/>
  <c r="AQ164" i="6"/>
  <c r="AQ166" i="6"/>
  <c r="AP92" i="6"/>
  <c r="AR92" i="6" s="1"/>
  <c r="AP123" i="6"/>
  <c r="AR123" i="6" s="1"/>
  <c r="AQ112" i="6"/>
  <c r="AQ174" i="6"/>
  <c r="AQ172" i="6"/>
  <c r="AQ144" i="6"/>
  <c r="AP179" i="6"/>
  <c r="AR179" i="6" s="1"/>
  <c r="AQ149" i="6"/>
  <c r="AP150" i="6"/>
  <c r="AR150" i="6" s="1"/>
  <c r="AQ84" i="6"/>
  <c r="AP107" i="6"/>
  <c r="AR107" i="6" s="1"/>
  <c r="AP118" i="6"/>
  <c r="AR118" i="6" s="1"/>
  <c r="AP154" i="6"/>
  <c r="AR154" i="6" s="1"/>
  <c r="AQ109" i="6"/>
  <c r="AP99" i="6"/>
  <c r="AR99" i="6" s="1"/>
  <c r="AQ171" i="6"/>
  <c r="AP170" i="6"/>
  <c r="AR170" i="6" s="1"/>
  <c r="AQ107" i="6"/>
  <c r="AP175" i="6"/>
  <c r="AR175" i="6" s="1"/>
  <c r="AP160" i="6"/>
  <c r="AR160" i="6" s="1"/>
  <c r="AQ97" i="6"/>
  <c r="AQ143" i="6"/>
  <c r="AP98" i="6"/>
  <c r="AR98" i="6" s="1"/>
  <c r="AQ115" i="6"/>
  <c r="AQ154" i="6"/>
  <c r="AQ91" i="6"/>
  <c r="AQ82" i="6"/>
  <c r="AQ129" i="6"/>
  <c r="AQ139" i="6"/>
  <c r="AP130" i="6"/>
  <c r="AR130" i="6" s="1"/>
  <c r="AP122" i="6"/>
  <c r="AR122" i="6" s="1"/>
  <c r="AS122" i="6" s="1"/>
  <c r="AQ117" i="6"/>
  <c r="AP149" i="6"/>
  <c r="AR149" i="6" s="1"/>
  <c r="AS149" i="6" s="1"/>
  <c r="AQ167" i="6"/>
  <c r="AQ93" i="6"/>
  <c r="AQ90" i="6"/>
  <c r="AP151" i="6"/>
  <c r="AR151" i="6" s="1"/>
  <c r="AQ142" i="6"/>
  <c r="AQ157" i="6"/>
  <c r="AP184" i="6"/>
  <c r="AR184" i="6" s="1"/>
  <c r="AS184" i="6" s="1"/>
  <c r="AQ160" i="6"/>
  <c r="AQ173" i="6"/>
  <c r="AQ165" i="6"/>
  <c r="AP133" i="6"/>
  <c r="AR133" i="6" s="1"/>
  <c r="AS133" i="6" s="1"/>
  <c r="AP105" i="6"/>
  <c r="AR105" i="6" s="1"/>
  <c r="AP178" i="6"/>
  <c r="AR178" i="6" s="1"/>
  <c r="AP114" i="6"/>
  <c r="AR114" i="6" s="1"/>
  <c r="AQ123" i="6"/>
  <c r="AQ98" i="6"/>
  <c r="AP162" i="6"/>
  <c r="AR162" i="6" s="1"/>
  <c r="AQ188" i="6"/>
  <c r="AQ105" i="6"/>
  <c r="AQ96" i="6"/>
  <c r="AQ128" i="6"/>
  <c r="AP100" i="6"/>
  <c r="AR100" i="6" s="1"/>
  <c r="AP173" i="6"/>
  <c r="AR173" i="6" s="1"/>
  <c r="AS173" i="6" s="1"/>
  <c r="AQ187" i="6"/>
  <c r="AP110" i="6"/>
  <c r="AR110" i="6" s="1"/>
  <c r="AQ186" i="6"/>
  <c r="AQ92" i="6"/>
  <c r="AQ124" i="6"/>
  <c r="AP101" i="6"/>
  <c r="AR101" i="6" s="1"/>
  <c r="AQ170" i="6"/>
  <c r="AP116" i="6"/>
  <c r="AR116" i="6" s="1"/>
  <c r="AP79" i="6"/>
  <c r="AR79" i="6" s="1"/>
  <c r="AP177" i="6"/>
  <c r="AR177" i="6" s="1"/>
  <c r="AP161" i="6"/>
  <c r="AR161" i="6" s="1"/>
  <c r="AP128" i="6"/>
  <c r="AR128" i="6" s="1"/>
  <c r="AS128" i="6" s="1"/>
  <c r="AP95" i="6"/>
  <c r="AR95" i="6" s="1"/>
  <c r="AQ182" i="6"/>
  <c r="AP147" i="6"/>
  <c r="AR147" i="6" s="1"/>
  <c r="AP137" i="6"/>
  <c r="AR137" i="6" s="1"/>
  <c r="AQ132" i="6"/>
  <c r="AQ150" i="6"/>
  <c r="AP81" i="6"/>
  <c r="AR81" i="6" s="1"/>
  <c r="AS81" i="6" s="1"/>
  <c r="AQ189" i="6"/>
  <c r="AQ180" i="6"/>
  <c r="AQ175" i="6"/>
  <c r="AQ138" i="6"/>
  <c r="AQ106" i="6"/>
  <c r="AQ183" i="6"/>
  <c r="AP146" i="6"/>
  <c r="AR146" i="6" s="1"/>
  <c r="AS146" i="6" s="1"/>
  <c r="AP108" i="6"/>
  <c r="AR108" i="6" s="1"/>
  <c r="AP112" i="6"/>
  <c r="AR112" i="6" s="1"/>
  <c r="AP140" i="6"/>
  <c r="AR140" i="6" s="1"/>
  <c r="AS140" i="6" s="1"/>
  <c r="AP153" i="6"/>
  <c r="AR153" i="6" s="1"/>
  <c r="AS153" i="6" s="1"/>
  <c r="AP111" i="6"/>
  <c r="AR111" i="6" s="1"/>
  <c r="AP164" i="6"/>
  <c r="AR164" i="6" s="1"/>
  <c r="AP180" i="6"/>
  <c r="AR180" i="6" s="1"/>
  <c r="AS180" i="6" s="1"/>
  <c r="AQ89" i="6"/>
  <c r="AQ136" i="6"/>
  <c r="AQ135" i="6"/>
  <c r="AQ114" i="6"/>
  <c r="AP87" i="6"/>
  <c r="AR87" i="6" s="1"/>
  <c r="AQ130" i="6"/>
  <c r="AQ99" i="6"/>
  <c r="AQ108" i="6"/>
  <c r="AQ155" i="6"/>
  <c r="AQ168" i="6"/>
  <c r="AP97" i="6"/>
  <c r="AR97" i="6" s="1"/>
  <c r="AP115" i="6"/>
  <c r="AR115" i="6" s="1"/>
  <c r="AS115" i="6" s="1"/>
  <c r="AP157" i="6"/>
  <c r="AR157" i="6" s="1"/>
  <c r="AP185" i="6"/>
  <c r="AR185" i="6" s="1"/>
  <c r="AP156" i="6"/>
  <c r="AR156" i="6" s="1"/>
  <c r="AQ137" i="6"/>
  <c r="AS137" i="6" s="1"/>
  <c r="AP102" i="6"/>
  <c r="AR102" i="6" s="1"/>
  <c r="AQ116" i="6"/>
  <c r="AQ145" i="6"/>
  <c r="AQ185" i="6"/>
  <c r="AP163" i="6"/>
  <c r="AR163" i="6" s="1"/>
  <c r="AQ127" i="6"/>
  <c r="AP152" i="6"/>
  <c r="AR152" i="6" s="1"/>
  <c r="AQ141" i="6"/>
  <c r="R36" i="6"/>
  <c r="AP169" i="6"/>
  <c r="AR169" i="6" s="1"/>
  <c r="AP109" i="6"/>
  <c r="AR109" i="6" s="1"/>
  <c r="AS109" i="6" s="1"/>
  <c r="AQ103" i="6"/>
  <c r="AQ156" i="6"/>
  <c r="AP186" i="6"/>
  <c r="AR186" i="6" s="1"/>
  <c r="AS186" i="6" s="1"/>
  <c r="AP188" i="6"/>
  <c r="AR188" i="6" s="1"/>
  <c r="AQ95" i="6"/>
  <c r="AQ134" i="6"/>
  <c r="AQ163" i="6"/>
  <c r="AP138" i="6"/>
  <c r="AR138" i="6" s="1"/>
  <c r="AQ87" i="6"/>
  <c r="AP132" i="6"/>
  <c r="AR132" i="6" s="1"/>
  <c r="AP96" i="6"/>
  <c r="AR96" i="6" s="1"/>
  <c r="AS96" i="6" s="1"/>
  <c r="AP126" i="6"/>
  <c r="AR126" i="6" s="1"/>
  <c r="AP135" i="6"/>
  <c r="AR135" i="6" s="1"/>
  <c r="AS135" i="6" s="1"/>
  <c r="AQ181" i="6"/>
  <c r="AP174" i="6"/>
  <c r="AR174" i="6" s="1"/>
  <c r="AS174" i="6" s="1"/>
  <c r="AQ119" i="6"/>
  <c r="AP131" i="6"/>
  <c r="AR131" i="6" s="1"/>
  <c r="AP136" i="6"/>
  <c r="AR136" i="6" s="1"/>
  <c r="AQ104" i="6"/>
  <c r="AP176" i="6"/>
  <c r="AR176" i="6" s="1"/>
  <c r="AQ169" i="6"/>
  <c r="AQ162" i="6"/>
  <c r="AQ161" i="6"/>
  <c r="AP89" i="6"/>
  <c r="AR89" i="6" s="1"/>
  <c r="AS89" i="6" s="1"/>
  <c r="AQ151" i="6"/>
  <c r="AP145" i="6"/>
  <c r="AR145" i="6" s="1"/>
  <c r="AS145" i="6" s="1"/>
  <c r="AP83" i="6"/>
  <c r="AR83" i="6" s="1"/>
  <c r="AQ118" i="6"/>
  <c r="AP166" i="6"/>
  <c r="AR166" i="6" s="1"/>
  <c r="AS166" i="6" s="1"/>
  <c r="AP144" i="6"/>
  <c r="AR144" i="6" s="1"/>
  <c r="AS144" i="6" s="1"/>
  <c r="AP134" i="6"/>
  <c r="AR134" i="6" s="1"/>
  <c r="AS134" i="6" s="1"/>
  <c r="AP129" i="6"/>
  <c r="AR129" i="6" s="1"/>
  <c r="AS129" i="6" s="1"/>
  <c r="AQ147" i="6"/>
  <c r="AQ179" i="6"/>
  <c r="AP187" i="6"/>
  <c r="AR187" i="6" s="1"/>
  <c r="AS187" i="6" s="1"/>
  <c r="AP82" i="6"/>
  <c r="AR82" i="6" s="1"/>
  <c r="AS82" i="6" s="1"/>
  <c r="AQ178" i="6"/>
  <c r="AP165" i="6"/>
  <c r="AR165" i="6" s="1"/>
  <c r="AS165" i="6" s="1"/>
  <c r="AQ176" i="6"/>
  <c r="AP121" i="6"/>
  <c r="AR121" i="6" s="1"/>
  <c r="AQ100" i="6"/>
  <c r="AP141" i="6"/>
  <c r="AR141" i="6" s="1"/>
  <c r="AP106" i="6"/>
  <c r="AR106" i="6" s="1"/>
  <c r="AS106" i="6" s="1"/>
  <c r="AQ83" i="6"/>
  <c r="AP85" i="6"/>
  <c r="AR85" i="6" s="1"/>
  <c r="AQ131" i="6"/>
  <c r="AP168" i="6"/>
  <c r="AR168" i="6" s="1"/>
  <c r="AS168" i="6" s="1"/>
  <c r="AQ85" i="6"/>
  <c r="AQ177" i="6"/>
  <c r="AQ79" i="6"/>
  <c r="AP103" i="6"/>
  <c r="AR103" i="6" s="1"/>
  <c r="AS103" i="6" s="1"/>
  <c r="AQ88" i="6"/>
  <c r="AQ111" i="6"/>
  <c r="AP120" i="6"/>
  <c r="AR120" i="6" s="1"/>
  <c r="AS120" i="6" s="1"/>
  <c r="AP142" i="6"/>
  <c r="AR142" i="6" s="1"/>
  <c r="AS142" i="6" s="1"/>
  <c r="AP91" i="6"/>
  <c r="AR91" i="6" s="1"/>
  <c r="AS91" i="6" s="1"/>
  <c r="AP113" i="6"/>
  <c r="AR113" i="6" s="1"/>
  <c r="AS113" i="6" s="1"/>
  <c r="AQ152" i="6"/>
  <c r="AQ86" i="6"/>
  <c r="AP182" i="6"/>
  <c r="AR182" i="6" s="1"/>
  <c r="AS182" i="6" s="1"/>
  <c r="AQ101" i="6"/>
  <c r="AQ80" i="6"/>
  <c r="AP104" i="6"/>
  <c r="AR104" i="6" s="1"/>
  <c r="AS104" i="6" s="1"/>
  <c r="AQ121" i="6"/>
  <c r="AQ126" i="6"/>
  <c r="AP124" i="6"/>
  <c r="AR124" i="6" s="1"/>
  <c r="AS124" i="6" s="1"/>
  <c r="AP90" i="6"/>
  <c r="AR90" i="6" s="1"/>
  <c r="AS90" i="6" s="1"/>
  <c r="AP125" i="6"/>
  <c r="AR125" i="6" s="1"/>
  <c r="AS125" i="6" s="1"/>
  <c r="AP172" i="6"/>
  <c r="AR172" i="6" s="1"/>
  <c r="AS172" i="6" s="1"/>
  <c r="AQ102" i="6"/>
  <c r="BH11" i="6"/>
  <c r="BH12" i="6" s="1"/>
  <c r="BH147" i="6" s="1"/>
  <c r="M16" i="6"/>
  <c r="M29" i="6"/>
  <c r="U24" i="6"/>
  <c r="U23" i="6" s="1"/>
  <c r="U25" i="6" s="1"/>
  <c r="Q31" i="6"/>
  <c r="O35" i="6"/>
  <c r="P33" i="6"/>
  <c r="AG21" i="6"/>
  <c r="F192" i="6"/>
  <c r="H192" i="6" s="1"/>
  <c r="F199" i="6"/>
  <c r="H199" i="6" s="1"/>
  <c r="G254" i="6"/>
  <c r="F263" i="6"/>
  <c r="H263" i="6" s="1"/>
  <c r="G275" i="6"/>
  <c r="F236" i="6"/>
  <c r="H236" i="6" s="1"/>
  <c r="G235" i="6"/>
  <c r="G203" i="6"/>
  <c r="F260" i="6"/>
  <c r="H260" i="6" s="1"/>
  <c r="F196" i="6"/>
  <c r="H196" i="6" s="1"/>
  <c r="F280" i="6"/>
  <c r="H280" i="6" s="1"/>
  <c r="F195" i="6"/>
  <c r="H195" i="6" s="1"/>
  <c r="F256" i="6"/>
  <c r="H256" i="6" s="1"/>
  <c r="F286" i="6"/>
  <c r="H286" i="6" s="1"/>
  <c r="F272" i="6"/>
  <c r="H272" i="6" s="1"/>
  <c r="G192" i="6"/>
  <c r="G244" i="6"/>
  <c r="F249" i="6"/>
  <c r="H249" i="6" s="1"/>
  <c r="F258" i="6"/>
  <c r="H258" i="6" s="1"/>
  <c r="F254" i="6"/>
  <c r="H254" i="6" s="1"/>
  <c r="F281" i="6"/>
  <c r="H281" i="6" s="1"/>
  <c r="F237" i="6"/>
  <c r="H237" i="6" s="1"/>
  <c r="F234" i="6"/>
  <c r="H234" i="6" s="1"/>
  <c r="G280" i="6"/>
  <c r="F285" i="6"/>
  <c r="H285" i="6" s="1"/>
  <c r="F235" i="6"/>
  <c r="H235" i="6" s="1"/>
  <c r="F261" i="6"/>
  <c r="H261" i="6" s="1"/>
  <c r="G256" i="6"/>
  <c r="G236" i="6"/>
  <c r="G251" i="6"/>
  <c r="F265" i="6"/>
  <c r="H265" i="6" s="1"/>
  <c r="G261" i="6"/>
  <c r="G263" i="6"/>
  <c r="G287" i="6"/>
  <c r="F271" i="6"/>
  <c r="H271" i="6" s="1"/>
  <c r="F276" i="6"/>
  <c r="H276" i="6" s="1"/>
  <c r="G246" i="6"/>
  <c r="F247" i="6"/>
  <c r="H247" i="6" s="1"/>
  <c r="F242" i="6"/>
  <c r="H242" i="6" s="1"/>
  <c r="F246" i="6"/>
  <c r="H246" i="6" s="1"/>
  <c r="G201" i="6"/>
  <c r="G238" i="6"/>
  <c r="G257" i="6"/>
  <c r="G259" i="6"/>
  <c r="G260" i="6"/>
  <c r="F241" i="6"/>
  <c r="H241" i="6" s="1"/>
  <c r="F243" i="6"/>
  <c r="H243" i="6" s="1"/>
  <c r="F283" i="6"/>
  <c r="H283" i="6" s="1"/>
  <c r="G277" i="6"/>
  <c r="F259" i="6"/>
  <c r="H259" i="6" s="1"/>
  <c r="I259" i="6" s="1"/>
  <c r="G233" i="6"/>
  <c r="F278" i="6"/>
  <c r="H278" i="6" s="1"/>
  <c r="F191" i="6"/>
  <c r="H191" i="6" s="1"/>
  <c r="G239" i="6"/>
  <c r="F269" i="6"/>
  <c r="H269" i="6" s="1"/>
  <c r="G276" i="6"/>
  <c r="G195" i="6"/>
  <c r="F251" i="6"/>
  <c r="H251" i="6" s="1"/>
  <c r="I251" i="6" s="1"/>
  <c r="G250" i="6"/>
  <c r="F282" i="6"/>
  <c r="H282" i="6" s="1"/>
  <c r="F212" i="6"/>
  <c r="H212" i="6" s="1"/>
  <c r="G227" i="6"/>
  <c r="F207" i="6"/>
  <c r="H207" i="6" s="1"/>
  <c r="G215" i="6"/>
  <c r="G208" i="6"/>
  <c r="F228" i="6"/>
  <c r="H228" i="6" s="1"/>
  <c r="F248" i="6"/>
  <c r="H248" i="6" s="1"/>
  <c r="G226" i="6"/>
  <c r="G211" i="6"/>
  <c r="G249" i="6"/>
  <c r="G217" i="6"/>
  <c r="G231" i="6"/>
  <c r="G225" i="6"/>
  <c r="F209" i="6"/>
  <c r="H209" i="6" s="1"/>
  <c r="F288" i="6"/>
  <c r="H288" i="6" s="1"/>
  <c r="G234" i="6"/>
  <c r="G245" i="6"/>
  <c r="G193" i="6"/>
  <c r="F240" i="6"/>
  <c r="H240" i="6" s="1"/>
  <c r="G232" i="6"/>
  <c r="F257" i="6"/>
  <c r="H257" i="6" s="1"/>
  <c r="I257" i="6" s="1"/>
  <c r="F267" i="6"/>
  <c r="H267" i="6" s="1"/>
  <c r="G242" i="6"/>
  <c r="G267" i="6"/>
  <c r="G240" i="6"/>
  <c r="F232" i="6"/>
  <c r="H232" i="6" s="1"/>
  <c r="I232" i="6" s="1"/>
  <c r="G252" i="6"/>
  <c r="G223" i="6"/>
  <c r="F233" i="6"/>
  <c r="H233" i="6" s="1"/>
  <c r="I233" i="6" s="1"/>
  <c r="F275" i="6"/>
  <c r="H275" i="6" s="1"/>
  <c r="F204" i="6"/>
  <c r="H204" i="6" s="1"/>
  <c r="F217" i="6"/>
  <c r="H217" i="6" s="1"/>
  <c r="G206" i="6"/>
  <c r="F227" i="6"/>
  <c r="H227" i="6" s="1"/>
  <c r="I227" i="6" s="1"/>
  <c r="F208" i="6"/>
  <c r="H208" i="6" s="1"/>
  <c r="I208" i="6" s="1"/>
  <c r="F220" i="6"/>
  <c r="H220" i="6" s="1"/>
  <c r="F229" i="6"/>
  <c r="H229" i="6" s="1"/>
  <c r="F218" i="6"/>
  <c r="H218" i="6" s="1"/>
  <c r="G220" i="6"/>
  <c r="G221" i="6"/>
  <c r="F231" i="6"/>
  <c r="H231" i="6" s="1"/>
  <c r="F224" i="6"/>
  <c r="H224" i="6" s="1"/>
  <c r="G230" i="6"/>
  <c r="G216" i="6"/>
  <c r="F274" i="6"/>
  <c r="H274" i="6" s="1"/>
  <c r="G265" i="6"/>
  <c r="F210" i="6"/>
  <c r="H210" i="6" s="1"/>
  <c r="F215" i="6"/>
  <c r="H215" i="6" s="1"/>
  <c r="I215" i="6" s="1"/>
  <c r="G270" i="6"/>
  <c r="F253" i="6"/>
  <c r="H253" i="6" s="1"/>
  <c r="G258" i="6"/>
  <c r="F193" i="6"/>
  <c r="H193" i="6" s="1"/>
  <c r="I193" i="6" s="1"/>
  <c r="G191" i="6"/>
  <c r="G285" i="6"/>
  <c r="G241" i="6"/>
  <c r="F238" i="6"/>
  <c r="H238" i="6" s="1"/>
  <c r="I238" i="6" s="1"/>
  <c r="G284" i="6"/>
  <c r="F279" i="6"/>
  <c r="H279" i="6" s="1"/>
  <c r="F197" i="6"/>
  <c r="H197" i="6" s="1"/>
  <c r="F287" i="6"/>
  <c r="H287" i="6" s="1"/>
  <c r="I287" i="6" s="1"/>
  <c r="F250" i="6"/>
  <c r="H250" i="6" s="1"/>
  <c r="I250" i="6" s="1"/>
  <c r="G262" i="6"/>
  <c r="G282" i="6"/>
  <c r="G271" i="6"/>
  <c r="G274" i="6"/>
  <c r="F270" i="6"/>
  <c r="H270" i="6" s="1"/>
  <c r="F266" i="6"/>
  <c r="H266" i="6" s="1"/>
  <c r="F244" i="6"/>
  <c r="H244" i="6" s="1"/>
  <c r="G264" i="6"/>
  <c r="F221" i="6"/>
  <c r="H221" i="6" s="1"/>
  <c r="I221" i="6" s="1"/>
  <c r="F226" i="6"/>
  <c r="H226" i="6" s="1"/>
  <c r="G224" i="6"/>
  <c r="F200" i="6"/>
  <c r="H200" i="6" s="1"/>
  <c r="F206" i="6"/>
  <c r="H206" i="6" s="1"/>
  <c r="G278" i="6"/>
  <c r="G222" i="6"/>
  <c r="G268" i="6"/>
  <c r="F225" i="6"/>
  <c r="H225" i="6" s="1"/>
  <c r="G288" i="6"/>
  <c r="G247" i="6"/>
  <c r="F262" i="6"/>
  <c r="H262" i="6" s="1"/>
  <c r="G255" i="6"/>
  <c r="G272" i="6"/>
  <c r="G198" i="6"/>
  <c r="F268" i="6"/>
  <c r="H268" i="6" s="1"/>
  <c r="I268" i="6" s="1"/>
  <c r="G248" i="6"/>
  <c r="F223" i="6"/>
  <c r="H223" i="6" s="1"/>
  <c r="F230" i="6"/>
  <c r="H230" i="6" s="1"/>
  <c r="F214" i="6"/>
  <c r="H214" i="6" s="1"/>
  <c r="F252" i="6"/>
  <c r="H252" i="6" s="1"/>
  <c r="G205" i="6"/>
  <c r="F205" i="6"/>
  <c r="H205" i="6" s="1"/>
  <c r="F239" i="6"/>
  <c r="H239" i="6" s="1"/>
  <c r="F264" i="6"/>
  <c r="H264" i="6" s="1"/>
  <c r="F201" i="6"/>
  <c r="H201" i="6" s="1"/>
  <c r="I201" i="6" s="1"/>
  <c r="G243" i="6"/>
  <c r="F245" i="6"/>
  <c r="H245" i="6" s="1"/>
  <c r="I245" i="6" s="1"/>
  <c r="G202" i="6"/>
  <c r="G237" i="6"/>
  <c r="G266" i="6"/>
  <c r="G218" i="6"/>
  <c r="G219" i="6"/>
  <c r="G207" i="6"/>
  <c r="F216" i="6"/>
  <c r="H216" i="6" s="1"/>
  <c r="I216" i="6" s="1"/>
  <c r="G204" i="6"/>
  <c r="F273" i="6"/>
  <c r="H273" i="6" s="1"/>
  <c r="F284" i="6"/>
  <c r="H284" i="6" s="1"/>
  <c r="I284" i="6" s="1"/>
  <c r="G286" i="6"/>
  <c r="G279" i="6"/>
  <c r="F211" i="6"/>
  <c r="H211" i="6" s="1"/>
  <c r="I211" i="6" s="1"/>
  <c r="F219" i="6"/>
  <c r="H219" i="6" s="1"/>
  <c r="G228" i="6"/>
  <c r="G209" i="6"/>
  <c r="G214" i="6"/>
  <c r="G200" i="6"/>
  <c r="G199" i="6"/>
  <c r="G253" i="6"/>
  <c r="G196" i="6"/>
  <c r="F202" i="6"/>
  <c r="H202" i="6" s="1"/>
  <c r="G269" i="6"/>
  <c r="G197" i="6"/>
  <c r="F277" i="6"/>
  <c r="H277" i="6" s="1"/>
  <c r="I277" i="6" s="1"/>
  <c r="G194" i="6"/>
  <c r="G212" i="6"/>
  <c r="F222" i="6"/>
  <c r="H222" i="6" s="1"/>
  <c r="G210" i="6"/>
  <c r="F194" i="6"/>
  <c r="H194" i="6" s="1"/>
  <c r="I194" i="6" s="1"/>
  <c r="F198" i="6"/>
  <c r="H198" i="6" s="1"/>
  <c r="I198" i="6" s="1"/>
  <c r="F203" i="6"/>
  <c r="H203" i="6" s="1"/>
  <c r="F255" i="6"/>
  <c r="H255" i="6" s="1"/>
  <c r="I255" i="6" s="1"/>
  <c r="G283" i="6"/>
  <c r="G229" i="6"/>
  <c r="G213" i="6"/>
  <c r="G281" i="6"/>
  <c r="F213" i="6"/>
  <c r="H213" i="6" s="1"/>
  <c r="I213" i="6" s="1"/>
  <c r="G273" i="6"/>
  <c r="AD24" i="6"/>
  <c r="AD23" i="6" s="1"/>
  <c r="AD25" i="6" s="1"/>
  <c r="V47" i="6"/>
  <c r="U49" i="6"/>
  <c r="W45" i="6"/>
  <c r="V45" i="6"/>
  <c r="T49" i="6"/>
  <c r="U47" i="6"/>
  <c r="U52" i="6" s="1"/>
  <c r="S49" i="6"/>
  <c r="T47" i="6"/>
  <c r="U45" i="6"/>
  <c r="S47" i="6"/>
  <c r="S51" i="6" s="1"/>
  <c r="T45" i="6"/>
  <c r="R49" i="6"/>
  <c r="R52" i="6" s="1"/>
  <c r="R45" i="6"/>
  <c r="P49" i="6"/>
  <c r="Q47" i="6"/>
  <c r="Q52" i="6" s="1"/>
  <c r="S22" i="6"/>
  <c r="F24" i="6"/>
  <c r="H24" i="6" s="1"/>
  <c r="G29" i="6"/>
  <c r="F22" i="6"/>
  <c r="H22" i="6" s="1"/>
  <c r="G21" i="6"/>
  <c r="F33" i="6"/>
  <c r="H33" i="6" s="1"/>
  <c r="F19" i="6"/>
  <c r="H19" i="6" s="1"/>
  <c r="F23" i="6"/>
  <c r="H23" i="6" s="1"/>
  <c r="F180" i="6"/>
  <c r="H180" i="6" s="1"/>
  <c r="G18" i="6"/>
  <c r="G94" i="6"/>
  <c r="G178" i="6"/>
  <c r="G24" i="6"/>
  <c r="F189" i="6"/>
  <c r="H189" i="6" s="1"/>
  <c r="F183" i="6"/>
  <c r="H183" i="6" s="1"/>
  <c r="G164" i="6"/>
  <c r="G184" i="6"/>
  <c r="G20" i="6"/>
  <c r="G16" i="6"/>
  <c r="G177" i="6"/>
  <c r="F174" i="6"/>
  <c r="H174" i="6" s="1"/>
  <c r="F187" i="6"/>
  <c r="H187" i="6" s="1"/>
  <c r="F179" i="6"/>
  <c r="H179" i="6" s="1"/>
  <c r="G166" i="6"/>
  <c r="G105" i="6"/>
  <c r="F102" i="6"/>
  <c r="H102" i="6" s="1"/>
  <c r="F93" i="6"/>
  <c r="H93" i="6" s="1"/>
  <c r="G93" i="6"/>
  <c r="F92" i="6"/>
  <c r="H92" i="6" s="1"/>
  <c r="G182" i="6"/>
  <c r="F169" i="6"/>
  <c r="H169" i="6" s="1"/>
  <c r="G30" i="6"/>
  <c r="G163" i="6"/>
  <c r="F188" i="6"/>
  <c r="H188" i="6" s="1"/>
  <c r="G101" i="6"/>
  <c r="F100" i="6"/>
  <c r="H100" i="6" s="1"/>
  <c r="F124" i="6"/>
  <c r="H124" i="6" s="1"/>
  <c r="F65" i="6"/>
  <c r="H65" i="6" s="1"/>
  <c r="F31" i="6"/>
  <c r="H31" i="6" s="1"/>
  <c r="F135" i="6"/>
  <c r="H135" i="6" s="1"/>
  <c r="F105" i="6"/>
  <c r="H105" i="6" s="1"/>
  <c r="I105" i="6" s="1"/>
  <c r="F166" i="6"/>
  <c r="H166" i="6" s="1"/>
  <c r="I166" i="6" s="1"/>
  <c r="F16" i="6"/>
  <c r="H16" i="6" s="1"/>
  <c r="I16" i="6" s="1"/>
  <c r="G145" i="6"/>
  <c r="G15" i="6"/>
  <c r="F149" i="6"/>
  <c r="H149" i="6" s="1"/>
  <c r="F182" i="6"/>
  <c r="H182" i="6" s="1"/>
  <c r="F131" i="6"/>
  <c r="H131" i="6" s="1"/>
  <c r="F20" i="6"/>
  <c r="H20" i="6" s="1"/>
  <c r="G172" i="6"/>
  <c r="F121" i="6"/>
  <c r="H121" i="6" s="1"/>
  <c r="F141" i="6"/>
  <c r="H141" i="6" s="1"/>
  <c r="G131" i="6"/>
  <c r="F84" i="6"/>
  <c r="H84" i="6" s="1"/>
  <c r="G121" i="6"/>
  <c r="F156" i="6"/>
  <c r="H156" i="6" s="1"/>
  <c r="G139" i="6"/>
  <c r="G74" i="6"/>
  <c r="F88" i="6"/>
  <c r="H88" i="6" s="1"/>
  <c r="G90" i="6"/>
  <c r="F26" i="6"/>
  <c r="H26" i="6" s="1"/>
  <c r="F98" i="6"/>
  <c r="H98" i="6" s="1"/>
  <c r="F129" i="6"/>
  <c r="H129" i="6" s="1"/>
  <c r="G162" i="6"/>
  <c r="G19" i="6"/>
  <c r="G169" i="6"/>
  <c r="F173" i="6"/>
  <c r="H173" i="6" s="1"/>
  <c r="G185" i="6"/>
  <c r="G34" i="6"/>
  <c r="F29" i="6"/>
  <c r="H29" i="6" s="1"/>
  <c r="G158" i="6"/>
  <c r="G170" i="6"/>
  <c r="F114" i="6"/>
  <c r="H114" i="6" s="1"/>
  <c r="G181" i="6"/>
  <c r="F21" i="6"/>
  <c r="H21" i="6" s="1"/>
  <c r="I21" i="6" s="1"/>
  <c r="F87" i="6"/>
  <c r="H87" i="6" s="1"/>
  <c r="G25" i="6"/>
  <c r="G17" i="6"/>
  <c r="G171" i="6"/>
  <c r="F18" i="6"/>
  <c r="H18" i="6" s="1"/>
  <c r="I18" i="6" s="1"/>
  <c r="G64" i="6"/>
  <c r="F67" i="6"/>
  <c r="H67" i="6" s="1"/>
  <c r="F181" i="6"/>
  <c r="H181" i="6" s="1"/>
  <c r="G22" i="6"/>
  <c r="I22" i="6" s="1"/>
  <c r="G81" i="6"/>
  <c r="F73" i="6"/>
  <c r="H73" i="6" s="1"/>
  <c r="G27" i="6"/>
  <c r="F95" i="6"/>
  <c r="H95" i="6" s="1"/>
  <c r="F167" i="6"/>
  <c r="H167" i="6" s="1"/>
  <c r="G96" i="6"/>
  <c r="G95" i="6"/>
  <c r="G84" i="6"/>
  <c r="G183" i="6"/>
  <c r="I183" i="6" s="1"/>
  <c r="G78" i="6"/>
  <c r="F161" i="6"/>
  <c r="H161" i="6" s="1"/>
  <c r="F162" i="6"/>
  <c r="H162" i="6" s="1"/>
  <c r="F165" i="6"/>
  <c r="H165" i="6" s="1"/>
  <c r="G23" i="6"/>
  <c r="G31" i="6"/>
  <c r="F99" i="6"/>
  <c r="H99" i="6" s="1"/>
  <c r="F163" i="6"/>
  <c r="H163" i="6" s="1"/>
  <c r="I163" i="6" s="1"/>
  <c r="F168" i="6"/>
  <c r="H168" i="6" s="1"/>
  <c r="F175" i="6"/>
  <c r="H175" i="6" s="1"/>
  <c r="F101" i="6"/>
  <c r="H101" i="6" s="1"/>
  <c r="G92" i="6"/>
  <c r="G123" i="6"/>
  <c r="F185" i="6"/>
  <c r="H185" i="6" s="1"/>
  <c r="F94" i="6"/>
  <c r="H94" i="6" s="1"/>
  <c r="G114" i="6"/>
  <c r="F17" i="6"/>
  <c r="H17" i="6" s="1"/>
  <c r="I17" i="6" s="1"/>
  <c r="G165" i="6"/>
  <c r="G140" i="6"/>
  <c r="G99" i="6"/>
  <c r="F145" i="6"/>
  <c r="H145" i="6" s="1"/>
  <c r="I145" i="6" s="1"/>
  <c r="G86" i="6"/>
  <c r="F127" i="6"/>
  <c r="H127" i="6" s="1"/>
  <c r="G119" i="6"/>
  <c r="G134" i="6"/>
  <c r="G100" i="6"/>
  <c r="F177" i="6"/>
  <c r="H177" i="6" s="1"/>
  <c r="I177" i="6" s="1"/>
  <c r="G129" i="6"/>
  <c r="G179" i="6"/>
  <c r="F157" i="6"/>
  <c r="H157" i="6" s="1"/>
  <c r="G88" i="6"/>
  <c r="F128" i="6"/>
  <c r="H128" i="6" s="1"/>
  <c r="F184" i="6"/>
  <c r="H184" i="6" s="1"/>
  <c r="F96" i="6"/>
  <c r="H96" i="6" s="1"/>
  <c r="G116" i="6"/>
  <c r="G76" i="6"/>
  <c r="G89" i="6"/>
  <c r="G188" i="6"/>
  <c r="G103" i="6"/>
  <c r="G82" i="6"/>
  <c r="G109" i="6"/>
  <c r="F113" i="6"/>
  <c r="H113" i="6" s="1"/>
  <c r="G173" i="6"/>
  <c r="F160" i="6"/>
  <c r="H160" i="6" s="1"/>
  <c r="G68" i="6"/>
  <c r="G35" i="6"/>
  <c r="F78" i="6"/>
  <c r="H78" i="6" s="1"/>
  <c r="I78" i="6" s="1"/>
  <c r="G28" i="6"/>
  <c r="F122" i="6"/>
  <c r="H122" i="6" s="1"/>
  <c r="G174" i="6"/>
  <c r="F134" i="6"/>
  <c r="H134" i="6" s="1"/>
  <c r="I134" i="6" s="1"/>
  <c r="G167" i="6"/>
  <c r="F35" i="6"/>
  <c r="H35" i="6" s="1"/>
  <c r="G149" i="6"/>
  <c r="G97" i="6"/>
  <c r="F27" i="6"/>
  <c r="H27" i="6" s="1"/>
  <c r="I27" i="6" s="1"/>
  <c r="G156" i="6"/>
  <c r="G136" i="6"/>
  <c r="F155" i="6"/>
  <c r="H155" i="6" s="1"/>
  <c r="F139" i="6"/>
  <c r="H139" i="6" s="1"/>
  <c r="I139" i="6" s="1"/>
  <c r="G150" i="6"/>
  <c r="G154" i="6"/>
  <c r="F147" i="6"/>
  <c r="H147" i="6" s="1"/>
  <c r="G143" i="6"/>
  <c r="F108" i="6"/>
  <c r="H108" i="6" s="1"/>
  <c r="F120" i="6"/>
  <c r="H120" i="6" s="1"/>
  <c r="G111" i="6"/>
  <c r="F132" i="6"/>
  <c r="H132" i="6" s="1"/>
  <c r="G110" i="6"/>
  <c r="F133" i="6"/>
  <c r="H133" i="6" s="1"/>
  <c r="G106" i="6"/>
  <c r="F110" i="6"/>
  <c r="H110" i="6" s="1"/>
  <c r="F71" i="6"/>
  <c r="H71" i="6" s="1"/>
  <c r="G66" i="6"/>
  <c r="G80" i="6"/>
  <c r="F77" i="6"/>
  <c r="H77" i="6" s="1"/>
  <c r="G72" i="6"/>
  <c r="G85" i="6"/>
  <c r="F83" i="6"/>
  <c r="H83" i="6" s="1"/>
  <c r="G138" i="6"/>
  <c r="F158" i="6"/>
  <c r="H158" i="6" s="1"/>
  <c r="F154" i="6"/>
  <c r="H154" i="6" s="1"/>
  <c r="I154" i="6" s="1"/>
  <c r="G152" i="6"/>
  <c r="G135" i="6"/>
  <c r="G159" i="6"/>
  <c r="F159" i="6"/>
  <c r="H159" i="6" s="1"/>
  <c r="F106" i="6"/>
  <c r="H106" i="6" s="1"/>
  <c r="I106" i="6" s="1"/>
  <c r="G107" i="6"/>
  <c r="G122" i="6"/>
  <c r="G124" i="6"/>
  <c r="I124" i="6" s="1"/>
  <c r="F111" i="6"/>
  <c r="H111" i="6" s="1"/>
  <c r="I111" i="6" s="1"/>
  <c r="G108" i="6"/>
  <c r="F86" i="6"/>
  <c r="H86" i="6" s="1"/>
  <c r="G71" i="6"/>
  <c r="F90" i="6"/>
  <c r="H90" i="6" s="1"/>
  <c r="I90" i="6" s="1"/>
  <c r="G75" i="6"/>
  <c r="G87" i="6"/>
  <c r="G65" i="6"/>
  <c r="G69" i="6"/>
  <c r="F74" i="6"/>
  <c r="H74" i="6" s="1"/>
  <c r="F186" i="6"/>
  <c r="H186" i="6" s="1"/>
  <c r="G32" i="6"/>
  <c r="F176" i="6"/>
  <c r="H176" i="6" s="1"/>
  <c r="G187" i="6"/>
  <c r="G102" i="6"/>
  <c r="F109" i="6"/>
  <c r="H109" i="6" s="1"/>
  <c r="F150" i="6"/>
  <c r="H150" i="6" s="1"/>
  <c r="I150" i="6" s="1"/>
  <c r="G120" i="6"/>
  <c r="G104" i="6"/>
  <c r="F152" i="6"/>
  <c r="H152" i="6" s="1"/>
  <c r="F172" i="6"/>
  <c r="H172" i="6" s="1"/>
  <c r="I172" i="6" s="1"/>
  <c r="G180" i="6"/>
  <c r="F103" i="6"/>
  <c r="H103" i="6" s="1"/>
  <c r="I103" i="6" s="1"/>
  <c r="F112" i="6"/>
  <c r="H112" i="6" s="1"/>
  <c r="G148" i="6"/>
  <c r="G155" i="6"/>
  <c r="G175" i="6"/>
  <c r="G144" i="6"/>
  <c r="F85" i="6"/>
  <c r="H85" i="6" s="1"/>
  <c r="G128" i="6"/>
  <c r="F153" i="6"/>
  <c r="H153" i="6" s="1"/>
  <c r="G79" i="6"/>
  <c r="G127" i="6"/>
  <c r="F123" i="6"/>
  <c r="H123" i="6" s="1"/>
  <c r="G112" i="6"/>
  <c r="F15" i="6"/>
  <c r="H15" i="6" s="1"/>
  <c r="I15" i="6" s="1"/>
  <c r="F75" i="6"/>
  <c r="H75" i="6" s="1"/>
  <c r="G157" i="6"/>
  <c r="F144" i="6"/>
  <c r="H144" i="6" s="1"/>
  <c r="G147" i="6"/>
  <c r="G146" i="6"/>
  <c r="G130" i="6"/>
  <c r="G133" i="6"/>
  <c r="F119" i="6"/>
  <c r="H119" i="6" s="1"/>
  <c r="I119" i="6" s="1"/>
  <c r="F68" i="6"/>
  <c r="H68" i="6" s="1"/>
  <c r="I68" i="6" s="1"/>
  <c r="F76" i="6"/>
  <c r="H76" i="6" s="1"/>
  <c r="I76" i="6" s="1"/>
  <c r="F79" i="6"/>
  <c r="H79" i="6" s="1"/>
  <c r="G141" i="6"/>
  <c r="F138" i="6"/>
  <c r="H138" i="6" s="1"/>
  <c r="F142" i="6"/>
  <c r="H142" i="6" s="1"/>
  <c r="G113" i="6"/>
  <c r="G126" i="6"/>
  <c r="G132" i="6"/>
  <c r="F89" i="6"/>
  <c r="H89" i="6" s="1"/>
  <c r="G83" i="6"/>
  <c r="F72" i="6"/>
  <c r="H72" i="6" s="1"/>
  <c r="G91" i="6"/>
  <c r="F64" i="6"/>
  <c r="H64" i="6" s="1"/>
  <c r="I64" i="6" s="1"/>
  <c r="F170" i="6"/>
  <c r="H170" i="6" s="1"/>
  <c r="F32" i="6"/>
  <c r="H32" i="6" s="1"/>
  <c r="I32" i="6" s="1"/>
  <c r="G176" i="6"/>
  <c r="G33" i="6"/>
  <c r="G186" i="6"/>
  <c r="I186" i="6" s="1"/>
  <c r="G125" i="6"/>
  <c r="G98" i="6"/>
  <c r="F164" i="6"/>
  <c r="H164" i="6" s="1"/>
  <c r="F81" i="6"/>
  <c r="H81" i="6" s="1"/>
  <c r="F34" i="6"/>
  <c r="H34" i="6" s="1"/>
  <c r="I34" i="6" s="1"/>
  <c r="F104" i="6"/>
  <c r="H104" i="6" s="1"/>
  <c r="I104" i="6" s="1"/>
  <c r="F25" i="6"/>
  <c r="H25" i="6" s="1"/>
  <c r="I25" i="6" s="1"/>
  <c r="F69" i="6"/>
  <c r="H69" i="6" s="1"/>
  <c r="I69" i="6" s="1"/>
  <c r="F82" i="6"/>
  <c r="H82" i="6" s="1"/>
  <c r="I82" i="6" s="1"/>
  <c r="G151" i="6"/>
  <c r="F146" i="6"/>
  <c r="H146" i="6" s="1"/>
  <c r="F137" i="6"/>
  <c r="H137" i="6" s="1"/>
  <c r="G117" i="6"/>
  <c r="G115" i="6"/>
  <c r="F91" i="6"/>
  <c r="H91" i="6" s="1"/>
  <c r="G142" i="6"/>
  <c r="G161" i="6"/>
  <c r="F151" i="6"/>
  <c r="H151" i="6" s="1"/>
  <c r="I151" i="6" s="1"/>
  <c r="F117" i="6"/>
  <c r="H117" i="6" s="1"/>
  <c r="I117" i="6" s="1"/>
  <c r="F70" i="6"/>
  <c r="H70" i="6" s="1"/>
  <c r="G70" i="6"/>
  <c r="F28" i="6"/>
  <c r="H28" i="6" s="1"/>
  <c r="F97" i="6"/>
  <c r="H97" i="6" s="1"/>
  <c r="G168" i="6"/>
  <c r="F130" i="6"/>
  <c r="H130" i="6" s="1"/>
  <c r="I130" i="6" s="1"/>
  <c r="G118" i="6"/>
  <c r="F126" i="6"/>
  <c r="H126" i="6" s="1"/>
  <c r="I126" i="6" s="1"/>
  <c r="F178" i="6"/>
  <c r="H178" i="6" s="1"/>
  <c r="I178" i="6" s="1"/>
  <c r="G26" i="6"/>
  <c r="G73" i="6"/>
  <c r="F171" i="6"/>
  <c r="H171" i="6" s="1"/>
  <c r="I171" i="6" s="1"/>
  <c r="F143" i="6"/>
  <c r="H143" i="6" s="1"/>
  <c r="G189" i="6"/>
  <c r="F115" i="6"/>
  <c r="H115" i="6" s="1"/>
  <c r="I115" i="6" s="1"/>
  <c r="F140" i="6"/>
  <c r="H140" i="6" s="1"/>
  <c r="F136" i="6"/>
  <c r="H136" i="6" s="1"/>
  <c r="G153" i="6"/>
  <c r="G160" i="6"/>
  <c r="F118" i="6"/>
  <c r="H118" i="6" s="1"/>
  <c r="F125" i="6"/>
  <c r="H125" i="6" s="1"/>
  <c r="G77" i="6"/>
  <c r="F80" i="6"/>
  <c r="H80" i="6" s="1"/>
  <c r="I80" i="6" s="1"/>
  <c r="F148" i="6"/>
  <c r="H148" i="6" s="1"/>
  <c r="G137" i="6"/>
  <c r="F116" i="6"/>
  <c r="H116" i="6" s="1"/>
  <c r="F107" i="6"/>
  <c r="H107" i="6" s="1"/>
  <c r="G67" i="6"/>
  <c r="F66" i="6"/>
  <c r="H66" i="6" s="1"/>
  <c r="M49" i="6"/>
  <c r="N47" i="6"/>
  <c r="O45" i="6"/>
  <c r="O51" i="6" s="1"/>
  <c r="M18" i="6"/>
  <c r="M24" i="6" s="1"/>
  <c r="M23" i="6" s="1"/>
  <c r="M25" i="6" s="1"/>
  <c r="M44" i="6"/>
  <c r="N16" i="6"/>
  <c r="X31" i="6"/>
  <c r="W33" i="6"/>
  <c r="V35" i="6"/>
  <c r="U33" i="6"/>
  <c r="V31" i="6"/>
  <c r="T35" i="6"/>
  <c r="AG22" i="6"/>
  <c r="AG24" i="6" s="1"/>
  <c r="AG23" i="6" s="1"/>
  <c r="AG25" i="6" s="1"/>
  <c r="S21" i="6"/>
  <c r="Y45" i="6"/>
  <c r="AA36" i="6"/>
  <c r="N49" i="6"/>
  <c r="N52" i="6" s="1"/>
  <c r="E12" i="6"/>
  <c r="W21" i="6"/>
  <c r="W22" i="6"/>
  <c r="AN18" i="6"/>
  <c r="AM20" i="6"/>
  <c r="AM24" i="6" s="1"/>
  <c r="AM23" i="6" s="1"/>
  <c r="AM25" i="6" s="1"/>
  <c r="AA29" i="6"/>
  <c r="N33" i="6"/>
  <c r="O31" i="6"/>
  <c r="M35" i="6"/>
  <c r="P35" i="6"/>
  <c r="Q33" i="6"/>
  <c r="R31" i="6"/>
  <c r="AH24" i="6"/>
  <c r="AH23" i="6" s="1"/>
  <c r="AH25" i="6" s="1"/>
  <c r="V49" i="6"/>
  <c r="W47" i="6"/>
  <c r="W52" i="6" s="1"/>
  <c r="X45" i="6"/>
  <c r="X51" i="6" s="1"/>
  <c r="AA22" i="6"/>
  <c r="AA24" i="6" s="1"/>
  <c r="AA23" i="6" s="1"/>
  <c r="AA25" i="6" s="1"/>
  <c r="AA21" i="6"/>
  <c r="F190" i="6"/>
  <c r="H190" i="6" s="1"/>
  <c r="G190" i="6"/>
  <c r="R51" i="6"/>
  <c r="O49" i="6"/>
  <c r="O52" i="6" s="1"/>
  <c r="P47" i="6"/>
  <c r="Q45" i="6"/>
  <c r="Q51" i="6" s="1"/>
  <c r="M47" i="6"/>
  <c r="N45" i="6"/>
  <c r="N51" i="6" s="1"/>
  <c r="L43" i="6"/>
  <c r="M45" i="6" s="1"/>
  <c r="M51" i="6" s="1"/>
  <c r="AA46" i="6"/>
  <c r="Y50" i="6"/>
  <c r="Z48" i="6"/>
  <c r="Y33" i="6"/>
  <c r="Z31" i="6"/>
  <c r="X35" i="6"/>
  <c r="W31" i="6"/>
  <c r="U35" i="6"/>
  <c r="V33" i="6"/>
  <c r="AB24" i="6"/>
  <c r="AB23" i="6" s="1"/>
  <c r="AB25" i="6" s="1"/>
  <c r="AI21" i="6"/>
  <c r="AI24" i="6" s="1"/>
  <c r="AI23" i="6" s="1"/>
  <c r="AI25" i="6" s="1"/>
  <c r="AJ22" i="6"/>
  <c r="AJ21" i="6"/>
  <c r="H30" i="6"/>
  <c r="AV56" i="6"/>
  <c r="AU63" i="6"/>
  <c r="AW63" i="6" s="1"/>
  <c r="AV46" i="6"/>
  <c r="AU82" i="6"/>
  <c r="AW82" i="6" s="1"/>
  <c r="AV84" i="6"/>
  <c r="AV82" i="6"/>
  <c r="AV79" i="6"/>
  <c r="AU74" i="6"/>
  <c r="AW74" i="6" s="1"/>
  <c r="AV86" i="6"/>
  <c r="AU81" i="6"/>
  <c r="AW81" i="6" s="1"/>
  <c r="AV73" i="6"/>
  <c r="AV69" i="6"/>
  <c r="AV60" i="6"/>
  <c r="AV42" i="6"/>
  <c r="AV80" i="6"/>
  <c r="AU90" i="6"/>
  <c r="AW90" i="6" s="1"/>
  <c r="AV70" i="6"/>
  <c r="AU37" i="6"/>
  <c r="AW37" i="6" s="1"/>
  <c r="AV68" i="6"/>
  <c r="AV85" i="6"/>
  <c r="AV83" i="6"/>
  <c r="AU60" i="6"/>
  <c r="AW60" i="6" s="1"/>
  <c r="AU58" i="6"/>
  <c r="AW58" i="6" s="1"/>
  <c r="AV75" i="6"/>
  <c r="AV43" i="6"/>
  <c r="AU64" i="6"/>
  <c r="AW64" i="6" s="1"/>
  <c r="AV81" i="6"/>
  <c r="AV49" i="6"/>
  <c r="AU67" i="6"/>
  <c r="AW67" i="6" s="1"/>
  <c r="AV53" i="6"/>
  <c r="AU55" i="6"/>
  <c r="AW55" i="6" s="1"/>
  <c r="AV76" i="6"/>
  <c r="AU87" i="6"/>
  <c r="AW87" i="6" s="1"/>
  <c r="AU36" i="6"/>
  <c r="AU73" i="6"/>
  <c r="AW73" i="6" s="1"/>
  <c r="AX73" i="6" s="1"/>
  <c r="AV55" i="6"/>
  <c r="X32" i="6"/>
  <c r="Y30" i="6"/>
  <c r="Y36" i="6" s="1"/>
  <c r="W34" i="6"/>
  <c r="W37" i="6" s="1"/>
  <c r="N30" i="6"/>
  <c r="N36" i="6" s="1"/>
  <c r="L28" i="6"/>
  <c r="M30" i="6" s="1"/>
  <c r="M32" i="6"/>
  <c r="AK22" i="6"/>
  <c r="G331" i="6"/>
  <c r="F342" i="6"/>
  <c r="H342" i="6" s="1"/>
  <c r="G335" i="6"/>
  <c r="G332" i="6"/>
  <c r="G342" i="6"/>
  <c r="F335" i="6"/>
  <c r="H335" i="6" s="1"/>
  <c r="G341" i="6"/>
  <c r="G338" i="6"/>
  <c r="G326" i="6"/>
  <c r="F317" i="6"/>
  <c r="H317" i="6" s="1"/>
  <c r="F318" i="6"/>
  <c r="H318" i="6" s="1"/>
  <c r="F289" i="6"/>
  <c r="H289" i="6" s="1"/>
  <c r="G318" i="6"/>
  <c r="F341" i="6"/>
  <c r="H341" i="6" s="1"/>
  <c r="F333" i="6"/>
  <c r="H333" i="6" s="1"/>
  <c r="G304" i="6"/>
  <c r="F329" i="6"/>
  <c r="H329" i="6" s="1"/>
  <c r="G297" i="6"/>
  <c r="G294" i="6"/>
  <c r="F321" i="6"/>
  <c r="H321" i="6" s="1"/>
  <c r="F294" i="6"/>
  <c r="H294" i="6" s="1"/>
  <c r="I294" i="6" s="1"/>
  <c r="G292" i="6"/>
  <c r="F306" i="6"/>
  <c r="H306" i="6" s="1"/>
  <c r="F316" i="6"/>
  <c r="H316" i="6" s="1"/>
  <c r="G299" i="6"/>
  <c r="G339" i="6"/>
  <c r="F304" i="6"/>
  <c r="H304" i="6" s="1"/>
  <c r="I304" i="6" s="1"/>
  <c r="F292" i="6"/>
  <c r="H292" i="6" s="1"/>
  <c r="I292" i="6" s="1"/>
  <c r="F375" i="6"/>
  <c r="H375" i="6" s="1"/>
  <c r="F379" i="6"/>
  <c r="H379" i="6" s="1"/>
  <c r="F361" i="6"/>
  <c r="H361" i="6" s="1"/>
  <c r="G346" i="6"/>
  <c r="F356" i="6"/>
  <c r="H356" i="6" s="1"/>
  <c r="F370" i="6"/>
  <c r="H370" i="6" s="1"/>
  <c r="F364" i="6"/>
  <c r="H364" i="6" s="1"/>
  <c r="F367" i="6"/>
  <c r="H367" i="6" s="1"/>
  <c r="G355" i="6"/>
  <c r="F350" i="6"/>
  <c r="H350" i="6" s="1"/>
  <c r="F371" i="6"/>
  <c r="H371" i="6" s="1"/>
  <c r="F360" i="6"/>
  <c r="H360" i="6" s="1"/>
  <c r="F353" i="6"/>
  <c r="H353" i="6" s="1"/>
  <c r="F331" i="6"/>
  <c r="H331" i="6" s="1"/>
  <c r="F343" i="6"/>
  <c r="H343" i="6" s="1"/>
  <c r="F325" i="6"/>
  <c r="H325" i="6" s="1"/>
  <c r="F296" i="6"/>
  <c r="H296" i="6" s="1"/>
  <c r="G322" i="6"/>
  <c r="G307" i="6"/>
  <c r="F340" i="6"/>
  <c r="H340" i="6" s="1"/>
  <c r="G308" i="6"/>
  <c r="F373" i="6"/>
  <c r="H373" i="6" s="1"/>
  <c r="F366" i="6"/>
  <c r="H366" i="6" s="1"/>
  <c r="G371" i="6"/>
  <c r="G347" i="6"/>
  <c r="F368" i="6"/>
  <c r="H368" i="6" s="1"/>
  <c r="G354" i="6"/>
  <c r="G370" i="6"/>
  <c r="G344" i="6"/>
  <c r="G358" i="6"/>
  <c r="G366" i="6"/>
  <c r="F354" i="6"/>
  <c r="H354" i="6" s="1"/>
  <c r="F363" i="6"/>
  <c r="H363" i="6" s="1"/>
  <c r="F358" i="6"/>
  <c r="H358" i="6" s="1"/>
  <c r="I358" i="6" s="1"/>
  <c r="G321" i="6"/>
  <c r="F337" i="6"/>
  <c r="H337" i="6" s="1"/>
  <c r="F324" i="6"/>
  <c r="H324" i="6" s="1"/>
  <c r="F327" i="6"/>
  <c r="H327" i="6" s="1"/>
  <c r="F376" i="6"/>
  <c r="H376" i="6" s="1"/>
  <c r="F305" i="6"/>
  <c r="H305" i="6" s="1"/>
  <c r="G323" i="6"/>
  <c r="G337" i="6"/>
  <c r="F293" i="6"/>
  <c r="H293" i="6" s="1"/>
  <c r="F302" i="6"/>
  <c r="H302" i="6" s="1"/>
  <c r="F320" i="6"/>
  <c r="H320" i="6" s="1"/>
  <c r="F334" i="6"/>
  <c r="H334" i="6" s="1"/>
  <c r="F338" i="6"/>
  <c r="H338" i="6" s="1"/>
  <c r="I338" i="6" s="1"/>
  <c r="F339" i="6"/>
  <c r="H339" i="6" s="1"/>
  <c r="I339" i="6" s="1"/>
  <c r="G336" i="6"/>
  <c r="G290" i="6"/>
  <c r="G291" i="6"/>
  <c r="F298" i="6"/>
  <c r="H298" i="6" s="1"/>
  <c r="G289" i="6"/>
  <c r="F300" i="6"/>
  <c r="H300" i="6" s="1"/>
  <c r="F314" i="6"/>
  <c r="H314" i="6" s="1"/>
  <c r="G305" i="6"/>
  <c r="F328" i="6"/>
  <c r="H328" i="6" s="1"/>
  <c r="G324" i="6"/>
  <c r="F323" i="6"/>
  <c r="H323" i="6" s="1"/>
  <c r="I323" i="6" s="1"/>
  <c r="G340" i="6"/>
  <c r="G343" i="6"/>
  <c r="G316" i="6"/>
  <c r="G315" i="6"/>
  <c r="G333" i="6"/>
  <c r="G303" i="6"/>
  <c r="F332" i="6"/>
  <c r="H332" i="6" s="1"/>
  <c r="I332" i="6" s="1"/>
  <c r="F290" i="6"/>
  <c r="H290" i="6" s="1"/>
  <c r="I290" i="6" s="1"/>
  <c r="G327" i="6"/>
  <c r="G306" i="6"/>
  <c r="G378" i="6"/>
  <c r="F365" i="6"/>
  <c r="H365" i="6" s="1"/>
  <c r="G345" i="6"/>
  <c r="F345" i="6"/>
  <c r="H345" i="6" s="1"/>
  <c r="I345" i="6" s="1"/>
  <c r="F301" i="6"/>
  <c r="H301" i="6" s="1"/>
  <c r="F309" i="6"/>
  <c r="H309" i="6" s="1"/>
  <c r="G319" i="6"/>
  <c r="G310" i="6"/>
  <c r="F336" i="6"/>
  <c r="H336" i="6" s="1"/>
  <c r="F312" i="6"/>
  <c r="H312" i="6" s="1"/>
  <c r="F291" i="6"/>
  <c r="H291" i="6" s="1"/>
  <c r="G320" i="6"/>
  <c r="F313" i="6"/>
  <c r="H313" i="6" s="1"/>
  <c r="G298" i="6"/>
  <c r="F377" i="6"/>
  <c r="H377" i="6" s="1"/>
  <c r="G369" i="6"/>
  <c r="G356" i="6"/>
  <c r="F355" i="6"/>
  <c r="H355" i="6" s="1"/>
  <c r="I355" i="6" s="1"/>
  <c r="F352" i="6"/>
  <c r="H352" i="6" s="1"/>
  <c r="G360" i="6"/>
  <c r="G359" i="6"/>
  <c r="F362" i="6"/>
  <c r="H362" i="6" s="1"/>
  <c r="I362" i="6" s="1"/>
  <c r="G367" i="6"/>
  <c r="G349" i="6"/>
  <c r="G362" i="6"/>
  <c r="F344" i="6"/>
  <c r="H344" i="6" s="1"/>
  <c r="I344" i="6" s="1"/>
  <c r="G363" i="6"/>
  <c r="G330" i="6"/>
  <c r="G334" i="6"/>
  <c r="G325" i="6"/>
  <c r="F319" i="6"/>
  <c r="H319" i="6" s="1"/>
  <c r="I319" i="6" s="1"/>
  <c r="F326" i="6"/>
  <c r="H326" i="6" s="1"/>
  <c r="I326" i="6" s="1"/>
  <c r="G380" i="6"/>
  <c r="F372" i="6"/>
  <c r="H372" i="6" s="1"/>
  <c r="F299" i="6"/>
  <c r="H299" i="6" s="1"/>
  <c r="F303" i="6"/>
  <c r="H303" i="6" s="1"/>
  <c r="I303" i="6" s="1"/>
  <c r="G295" i="6"/>
  <c r="F295" i="6"/>
  <c r="H295" i="6" s="1"/>
  <c r="I295" i="6" s="1"/>
  <c r="F380" i="6"/>
  <c r="H380" i="6" s="1"/>
  <c r="I380" i="6" s="1"/>
  <c r="G379" i="6"/>
  <c r="G309" i="6"/>
  <c r="F310" i="6"/>
  <c r="H310" i="6" s="1"/>
  <c r="I310" i="6" s="1"/>
  <c r="G301" i="6"/>
  <c r="G311" i="6"/>
  <c r="F349" i="6"/>
  <c r="H349" i="6" s="1"/>
  <c r="G361" i="6"/>
  <c r="G364" i="6"/>
  <c r="F347" i="6"/>
  <c r="H347" i="6" s="1"/>
  <c r="I347" i="6" s="1"/>
  <c r="G351" i="6"/>
  <c r="F369" i="6"/>
  <c r="H369" i="6" s="1"/>
  <c r="I369" i="6" s="1"/>
  <c r="F359" i="6"/>
  <c r="H359" i="6" s="1"/>
  <c r="I359" i="6" s="1"/>
  <c r="G365" i="6"/>
  <c r="F322" i="6"/>
  <c r="H322" i="6" s="1"/>
  <c r="I322" i="6" s="1"/>
  <c r="G329" i="6"/>
  <c r="G328" i="6"/>
  <c r="F374" i="6"/>
  <c r="H374" i="6" s="1"/>
  <c r="G377" i="6"/>
  <c r="F378" i="6"/>
  <c r="H378" i="6" s="1"/>
  <c r="I378" i="6" s="1"/>
  <c r="G372" i="6"/>
  <c r="G302" i="6"/>
  <c r="G296" i="6"/>
  <c r="G312" i="6"/>
  <c r="F311" i="6"/>
  <c r="H311" i="6" s="1"/>
  <c r="F308" i="6"/>
  <c r="H308" i="6" s="1"/>
  <c r="I308" i="6" s="1"/>
  <c r="G300" i="6"/>
  <c r="G376" i="6"/>
  <c r="G314" i="6"/>
  <c r="F315" i="6"/>
  <c r="H315" i="6" s="1"/>
  <c r="I315" i="6" s="1"/>
  <c r="G353" i="6"/>
  <c r="G357" i="6"/>
  <c r="G348" i="6"/>
  <c r="F346" i="6"/>
  <c r="H346" i="6" s="1"/>
  <c r="I346" i="6" s="1"/>
  <c r="G350" i="6"/>
  <c r="G352" i="6"/>
  <c r="F357" i="6"/>
  <c r="H357" i="6" s="1"/>
  <c r="G368" i="6"/>
  <c r="F351" i="6"/>
  <c r="H351" i="6" s="1"/>
  <c r="I351" i="6" s="1"/>
  <c r="F348" i="6"/>
  <c r="H348" i="6" s="1"/>
  <c r="I348" i="6" s="1"/>
  <c r="F330" i="6"/>
  <c r="H330" i="6" s="1"/>
  <c r="G317" i="6"/>
  <c r="G373" i="6"/>
  <c r="G374" i="6"/>
  <c r="G375" i="6"/>
  <c r="F297" i="6"/>
  <c r="H297" i="6" s="1"/>
  <c r="I297" i="6" s="1"/>
  <c r="F307" i="6"/>
  <c r="H307" i="6" s="1"/>
  <c r="G293" i="6"/>
  <c r="G313" i="6"/>
  <c r="AK21" i="6"/>
  <c r="P22" i="6"/>
  <c r="F37" i="6"/>
  <c r="H37" i="6" s="1"/>
  <c r="F43" i="6"/>
  <c r="H43" i="6" s="1"/>
  <c r="G38" i="6"/>
  <c r="F63" i="6"/>
  <c r="H63" i="6" s="1"/>
  <c r="G41" i="6"/>
  <c r="G43" i="6"/>
  <c r="G37" i="6"/>
  <c r="F39" i="6"/>
  <c r="H39" i="6" s="1"/>
  <c r="G52" i="6"/>
  <c r="F61" i="6"/>
  <c r="H61" i="6" s="1"/>
  <c r="G48" i="6"/>
  <c r="F60" i="6"/>
  <c r="H60" i="6" s="1"/>
  <c r="F50" i="6"/>
  <c r="H50" i="6" s="1"/>
  <c r="G61" i="6"/>
  <c r="G51" i="6"/>
  <c r="F45" i="6"/>
  <c r="H45" i="6" s="1"/>
  <c r="G57" i="6"/>
  <c r="G46" i="6"/>
  <c r="G53" i="6"/>
  <c r="F40" i="6"/>
  <c r="H40" i="6" s="1"/>
  <c r="G56" i="6"/>
  <c r="G39" i="6"/>
  <c r="F49" i="6"/>
  <c r="H49" i="6" s="1"/>
  <c r="F57" i="6"/>
  <c r="H57" i="6" s="1"/>
  <c r="F44" i="6"/>
  <c r="H44" i="6" s="1"/>
  <c r="G55" i="6"/>
  <c r="G59" i="6"/>
  <c r="G47" i="6"/>
  <c r="F55" i="6"/>
  <c r="H55" i="6" s="1"/>
  <c r="F48" i="6"/>
  <c r="H48" i="6" s="1"/>
  <c r="G62" i="6"/>
  <c r="F56" i="6"/>
  <c r="H56" i="6" s="1"/>
  <c r="G36" i="6"/>
  <c r="G44" i="6"/>
  <c r="F54" i="6"/>
  <c r="H54" i="6" s="1"/>
  <c r="F47" i="6"/>
  <c r="H47" i="6" s="1"/>
  <c r="I47" i="6" s="1"/>
  <c r="F41" i="6"/>
  <c r="H41" i="6" s="1"/>
  <c r="I41" i="6" s="1"/>
  <c r="F53" i="6"/>
  <c r="H53" i="6" s="1"/>
  <c r="F46" i="6"/>
  <c r="H46" i="6" s="1"/>
  <c r="F36" i="6"/>
  <c r="H36" i="6" s="1"/>
  <c r="F58" i="6"/>
  <c r="H58" i="6" s="1"/>
  <c r="F38" i="6"/>
  <c r="H38" i="6" s="1"/>
  <c r="G40" i="6"/>
  <c r="G49" i="6"/>
  <c r="G58" i="6"/>
  <c r="G45" i="6"/>
  <c r="F62" i="6"/>
  <c r="H62" i="6" s="1"/>
  <c r="I62" i="6" s="1"/>
  <c r="F52" i="6"/>
  <c r="H52" i="6" s="1"/>
  <c r="G63" i="6"/>
  <c r="F42" i="6"/>
  <c r="H42" i="6" s="1"/>
  <c r="G60" i="6"/>
  <c r="G50" i="6"/>
  <c r="G42" i="6"/>
  <c r="F51" i="6"/>
  <c r="H51" i="6" s="1"/>
  <c r="F59" i="6"/>
  <c r="H59" i="6" s="1"/>
  <c r="I59" i="6" s="1"/>
  <c r="G54" i="6"/>
  <c r="Y49" i="6"/>
  <c r="Z47" i="6"/>
  <c r="AA45" i="6"/>
  <c r="AA51" i="6" s="1"/>
  <c r="Y47" i="6"/>
  <c r="Z45" i="6"/>
  <c r="X49" i="6"/>
  <c r="X52" i="6" s="1"/>
  <c r="P21" i="6"/>
  <c r="AK305" i="15" l="1"/>
  <c r="AK114" i="15"/>
  <c r="AK73" i="15"/>
  <c r="AK212" i="16"/>
  <c r="AK18" i="16"/>
  <c r="AK181" i="15"/>
  <c r="AK64" i="15"/>
  <c r="AK50" i="15"/>
  <c r="AK241" i="15"/>
  <c r="AK341" i="15"/>
  <c r="AK105" i="15"/>
  <c r="AK93" i="15"/>
  <c r="AK19" i="15"/>
  <c r="AK263" i="15"/>
  <c r="AK121" i="15"/>
  <c r="AK257" i="15"/>
  <c r="AK378" i="15"/>
  <c r="AK321" i="15"/>
  <c r="AK254" i="15"/>
  <c r="AK167" i="15"/>
  <c r="AK95" i="15"/>
  <c r="AK202" i="15"/>
  <c r="AK56" i="15"/>
  <c r="AK124" i="15"/>
  <c r="AK117" i="15"/>
  <c r="AK185" i="15"/>
  <c r="AK186" i="15"/>
  <c r="AK259" i="15"/>
  <c r="AK319" i="15"/>
  <c r="AK310" i="15"/>
  <c r="AK110" i="15"/>
  <c r="AK377" i="15"/>
  <c r="AK302" i="15"/>
  <c r="AK289" i="15"/>
  <c r="AK156" i="15"/>
  <c r="AK81" i="15"/>
  <c r="AK60" i="15"/>
  <c r="AK361" i="15"/>
  <c r="AK364" i="15"/>
  <c r="AK290" i="15"/>
  <c r="AK229" i="15"/>
  <c r="AK234" i="15"/>
  <c r="AK168" i="15"/>
  <c r="AK164" i="15"/>
  <c r="AK103" i="15"/>
  <c r="AK100" i="15"/>
  <c r="AK46" i="15"/>
  <c r="AK352" i="15"/>
  <c r="AK17" i="15"/>
  <c r="AK115" i="15"/>
  <c r="AK318" i="15"/>
  <c r="AK331" i="15"/>
  <c r="AK236" i="15"/>
  <c r="AK102" i="15"/>
  <c r="AK21" i="15"/>
  <c r="AK44" i="15"/>
  <c r="AK25" i="15"/>
  <c r="AK67" i="15"/>
  <c r="AK88" i="15"/>
  <c r="AK63" i="15"/>
  <c r="AK40" i="15"/>
  <c r="AK104" i="15"/>
  <c r="AK344" i="15"/>
  <c r="AK122" i="15"/>
  <c r="AK23" i="15"/>
  <c r="AK152" i="15"/>
  <c r="AK210" i="15"/>
  <c r="AK317" i="15"/>
  <c r="AK342" i="15"/>
  <c r="AK35" i="15"/>
  <c r="AK187" i="15"/>
  <c r="AK273" i="15"/>
  <c r="AK116" i="15"/>
  <c r="AK337" i="15"/>
  <c r="AK198" i="15"/>
  <c r="AK139" i="15"/>
  <c r="AK75" i="15"/>
  <c r="AK220" i="15"/>
  <c r="AK222" i="15"/>
  <c r="AK49" i="15"/>
  <c r="AK111" i="15"/>
  <c r="AK109" i="15"/>
  <c r="AK171" i="15"/>
  <c r="AK174" i="15"/>
  <c r="AK245" i="15"/>
  <c r="AK309" i="15"/>
  <c r="AK239" i="15"/>
  <c r="AK264" i="15"/>
  <c r="AK301" i="15"/>
  <c r="AK340" i="15"/>
  <c r="AK148" i="16"/>
  <c r="F8" i="16"/>
  <c r="L13" i="19" s="1"/>
  <c r="AK161" i="16"/>
  <c r="BH360" i="6"/>
  <c r="BH120" i="6"/>
  <c r="AK322" i="16"/>
  <c r="AK280" i="16"/>
  <c r="AK232" i="16"/>
  <c r="AK315" i="16"/>
  <c r="AK259" i="16"/>
  <c r="AK143" i="16"/>
  <c r="AK211" i="16"/>
  <c r="AK316" i="16"/>
  <c r="AK82" i="16"/>
  <c r="AK331" i="16"/>
  <c r="AK366" i="16"/>
  <c r="AK125" i="16"/>
  <c r="AK238" i="16"/>
  <c r="AK371" i="16"/>
  <c r="AK151" i="16"/>
  <c r="AK185" i="16"/>
  <c r="AK360" i="16"/>
  <c r="AK89" i="16"/>
  <c r="Q10" i="15"/>
  <c r="K15" i="7" s="1"/>
  <c r="AK354" i="16"/>
  <c r="AK38" i="16"/>
  <c r="AK284" i="15"/>
  <c r="AK31" i="15"/>
  <c r="AK379" i="15"/>
  <c r="AK175" i="15"/>
  <c r="AK29" i="15"/>
  <c r="AK314" i="15"/>
  <c r="AK188" i="15"/>
  <c r="AK51" i="15"/>
  <c r="AK59" i="16"/>
  <c r="AK160" i="16"/>
  <c r="AK296" i="16"/>
  <c r="AK24" i="16"/>
  <c r="AK273" i="16"/>
  <c r="AK294" i="16"/>
  <c r="AK203" i="16"/>
  <c r="AK73" i="16"/>
  <c r="AK306" i="16"/>
  <c r="AK249" i="16"/>
  <c r="AK347" i="16"/>
  <c r="AK121" i="16"/>
  <c r="AK72" i="16"/>
  <c r="AK317" i="16"/>
  <c r="AK276" i="16"/>
  <c r="AK56" i="16"/>
  <c r="AK63" i="16"/>
  <c r="AK213" i="16"/>
  <c r="AK139" i="16"/>
  <c r="AK19" i="16"/>
  <c r="AK136" i="16"/>
  <c r="AK287" i="16"/>
  <c r="AK80" i="16"/>
  <c r="AK321" i="16"/>
  <c r="AK22" i="16"/>
  <c r="AK98" i="16"/>
  <c r="AK153" i="16"/>
  <c r="AK223" i="16"/>
  <c r="AK225" i="16"/>
  <c r="AK355" i="16"/>
  <c r="AK359" i="16"/>
  <c r="AK33" i="16"/>
  <c r="AK207" i="16"/>
  <c r="AK290" i="16"/>
  <c r="AK104" i="16"/>
  <c r="AK32" i="16"/>
  <c r="AK168" i="16"/>
  <c r="AK272" i="16"/>
  <c r="AK260" i="16"/>
  <c r="AK182" i="16"/>
  <c r="AK135" i="16"/>
  <c r="AK54" i="16"/>
  <c r="AK269" i="16"/>
  <c r="AK373" i="16"/>
  <c r="AK341" i="16"/>
  <c r="AK363" i="16"/>
  <c r="AK251" i="16"/>
  <c r="AK186" i="16"/>
  <c r="AK218" i="16"/>
  <c r="AK49" i="16"/>
  <c r="AK345" i="16"/>
  <c r="AK222" i="16"/>
  <c r="AK27" i="16"/>
  <c r="AK267" i="16"/>
  <c r="AK357" i="16"/>
  <c r="AK264" i="16"/>
  <c r="AK137" i="16"/>
  <c r="AK284" i="16"/>
  <c r="AK84" i="16"/>
  <c r="AK362" i="16"/>
  <c r="AK282" i="16"/>
  <c r="AK268" i="16"/>
  <c r="AK197" i="16"/>
  <c r="AK145" i="16"/>
  <c r="AK62" i="16"/>
  <c r="AK130" i="16"/>
  <c r="AK350" i="16"/>
  <c r="AK263" i="16"/>
  <c r="AK265" i="16"/>
  <c r="AK52" i="16"/>
  <c r="AK159" i="16"/>
  <c r="AK69" i="16"/>
  <c r="AK176" i="16"/>
  <c r="AC9" i="15"/>
  <c r="AC9" i="17"/>
  <c r="AC9" i="18" s="1"/>
  <c r="AK41" i="16"/>
  <c r="AK242" i="16"/>
  <c r="AK97" i="16"/>
  <c r="P12" i="16"/>
  <c r="AK305" i="16"/>
  <c r="AK368" i="16"/>
  <c r="AK128" i="16"/>
  <c r="AK237" i="16"/>
  <c r="AK309" i="16"/>
  <c r="AK323" i="16"/>
  <c r="AK171" i="16"/>
  <c r="AK206" i="16"/>
  <c r="AK327" i="16"/>
  <c r="AK231" i="16"/>
  <c r="AK102" i="16"/>
  <c r="AK338" i="16"/>
  <c r="AK295" i="16"/>
  <c r="AK105" i="16"/>
  <c r="AK299" i="16"/>
  <c r="AK380" i="16"/>
  <c r="AK92" i="16"/>
  <c r="AK277" i="16"/>
  <c r="AK189" i="16"/>
  <c r="AK57" i="16"/>
  <c r="AK351" i="16"/>
  <c r="AK318" i="16"/>
  <c r="AK204" i="16"/>
  <c r="AK126" i="16"/>
  <c r="AK74" i="16"/>
  <c r="AK15" i="16"/>
  <c r="AK326" i="16"/>
  <c r="AK278" i="16"/>
  <c r="AK266" i="16"/>
  <c r="AK194" i="16"/>
  <c r="AK142" i="16"/>
  <c r="AK58" i="16"/>
  <c r="AK31" i="16"/>
  <c r="AK36" i="16"/>
  <c r="AK64" i="16"/>
  <c r="AK68" i="16"/>
  <c r="AK88" i="16"/>
  <c r="AK133" i="16"/>
  <c r="AK85" i="16"/>
  <c r="AK123" i="16"/>
  <c r="AK155" i="16"/>
  <c r="AK178" i="16"/>
  <c r="AK165" i="16"/>
  <c r="AK200" i="16"/>
  <c r="AK227" i="16"/>
  <c r="AK258" i="16"/>
  <c r="AK286" i="16"/>
  <c r="AK312" i="16"/>
  <c r="AK229" i="16"/>
  <c r="AK262" i="16"/>
  <c r="AK304" i="16"/>
  <c r="AK343" i="16"/>
  <c r="AK378" i="16"/>
  <c r="AK348" i="16"/>
  <c r="AK377" i="16"/>
  <c r="AK35" i="16"/>
  <c r="AK79" i="16"/>
  <c r="AK132" i="16"/>
  <c r="AK122" i="16"/>
  <c r="AK177" i="16"/>
  <c r="AK199" i="16"/>
  <c r="AK257" i="16"/>
  <c r="AK311" i="16"/>
  <c r="AK39" i="16"/>
  <c r="AK50" i="16"/>
  <c r="AK103" i="16"/>
  <c r="AK100" i="16"/>
  <c r="AK162" i="16"/>
  <c r="AK179" i="16"/>
  <c r="AK234" i="16"/>
  <c r="AK292" i="16"/>
  <c r="AK239" i="16"/>
  <c r="AK310" i="16"/>
  <c r="AK329" i="16"/>
  <c r="AK17" i="16"/>
  <c r="AK87" i="16"/>
  <c r="AK138" i="16"/>
  <c r="AK210" i="16"/>
  <c r="AK324" i="16"/>
  <c r="AK281" i="16"/>
  <c r="AK356" i="16"/>
  <c r="AK361" i="16"/>
  <c r="AK46" i="16"/>
  <c r="AK81" i="16"/>
  <c r="AK156" i="16"/>
  <c r="AK279" i="16"/>
  <c r="AK293" i="16"/>
  <c r="AK369" i="16"/>
  <c r="AK124" i="16"/>
  <c r="AK313" i="16"/>
  <c r="AK21" i="16"/>
  <c r="AK140" i="16"/>
  <c r="AK214" i="16"/>
  <c r="AK26" i="16"/>
  <c r="AK42" i="16"/>
  <c r="AK95" i="16"/>
  <c r="AK152" i="16"/>
  <c r="AK208" i="16"/>
  <c r="AK274" i="16"/>
  <c r="AK291" i="16"/>
  <c r="AK367" i="16"/>
  <c r="AK107" i="16"/>
  <c r="AK297" i="16"/>
  <c r="AK339" i="16"/>
  <c r="AK20" i="16"/>
  <c r="AK173" i="16"/>
  <c r="AK255" i="16"/>
  <c r="AK134" i="16"/>
  <c r="AK349" i="16"/>
  <c r="AK270" i="16"/>
  <c r="AK115" i="16"/>
  <c r="AK192" i="16"/>
  <c r="AK303" i="16"/>
  <c r="AK334" i="16"/>
  <c r="AK43" i="16"/>
  <c r="AK166" i="16"/>
  <c r="AK226" i="16"/>
  <c r="AK376" i="16"/>
  <c r="AK76" i="16"/>
  <c r="AK193" i="16"/>
  <c r="AK335" i="16"/>
  <c r="AK180" i="16"/>
  <c r="AK29" i="16"/>
  <c r="AK283" i="16"/>
  <c r="AK23" i="16"/>
  <c r="AK47" i="16"/>
  <c r="AK30" i="16"/>
  <c r="AK70" i="16"/>
  <c r="AK91" i="16"/>
  <c r="AK119" i="16"/>
  <c r="AK147" i="16"/>
  <c r="AK112" i="16"/>
  <c r="AK144" i="16"/>
  <c r="AK169" i="16"/>
  <c r="AK201" i="16"/>
  <c r="AK190" i="16"/>
  <c r="AK215" i="16"/>
  <c r="AK244" i="16"/>
  <c r="AK271" i="16"/>
  <c r="AK301" i="16"/>
  <c r="AK216" i="16"/>
  <c r="AK250" i="16"/>
  <c r="AK285" i="16"/>
  <c r="AK325" i="16"/>
  <c r="AK336" i="16"/>
  <c r="AK243" i="16"/>
  <c r="AK117" i="16"/>
  <c r="AK379" i="16"/>
  <c r="AK228" i="16"/>
  <c r="AK99" i="16"/>
  <c r="AK330" i="16"/>
  <c r="AK240" i="16"/>
  <c r="AK236" i="16"/>
  <c r="AK163" i="16"/>
  <c r="AK106" i="16"/>
  <c r="AK40" i="16"/>
  <c r="AK340" i="16"/>
  <c r="AK328" i="16"/>
  <c r="AK252" i="16"/>
  <c r="AK302" i="16"/>
  <c r="AK246" i="16"/>
  <c r="AK191" i="16"/>
  <c r="AK170" i="16"/>
  <c r="AK113" i="16"/>
  <c r="AK120" i="16"/>
  <c r="AK71" i="16"/>
  <c r="AE11" i="16"/>
  <c r="AK28" i="16"/>
  <c r="AK78" i="16"/>
  <c r="AK131" i="16"/>
  <c r="AK118" i="16"/>
  <c r="AK175" i="16"/>
  <c r="AK196" i="16"/>
  <c r="AK254" i="16"/>
  <c r="AK307" i="16"/>
  <c r="AK256" i="16"/>
  <c r="AK337" i="16"/>
  <c r="AK375" i="16"/>
  <c r="AK344" i="16"/>
  <c r="AK372" i="16"/>
  <c r="AK48" i="16"/>
  <c r="AK93" i="16"/>
  <c r="AK149" i="16"/>
  <c r="AK217" i="16"/>
  <c r="AK219" i="16"/>
  <c r="AK370" i="16"/>
  <c r="AK51" i="16"/>
  <c r="AK181" i="16"/>
  <c r="AK314" i="16"/>
  <c r="AK157" i="16"/>
  <c r="AK45" i="16"/>
  <c r="AK248" i="16"/>
  <c r="AK308" i="16"/>
  <c r="AK233" i="16"/>
  <c r="AK288" i="16"/>
  <c r="AK230" i="16"/>
  <c r="AK174" i="16"/>
  <c r="AK158" i="16"/>
  <c r="AK94" i="16"/>
  <c r="AK101" i="16"/>
  <c r="AK66" i="16"/>
  <c r="AK34" i="16"/>
  <c r="AK198" i="16"/>
  <c r="AK53" i="16"/>
  <c r="AK116" i="16"/>
  <c r="AK300" i="16"/>
  <c r="AK110" i="16"/>
  <c r="AK253" i="16"/>
  <c r="AK172" i="16"/>
  <c r="AK146" i="16"/>
  <c r="AK342" i="16"/>
  <c r="AK129" i="16"/>
  <c r="AK261" i="16"/>
  <c r="AK61" i="16"/>
  <c r="AK220" i="16"/>
  <c r="AK150" i="16"/>
  <c r="AK75" i="16"/>
  <c r="AK364" i="16"/>
  <c r="AK90" i="16"/>
  <c r="AK202" i="16"/>
  <c r="AK374" i="16"/>
  <c r="AK221" i="16"/>
  <c r="AK96" i="16"/>
  <c r="AK332" i="16"/>
  <c r="AK245" i="16"/>
  <c r="AK195" i="16"/>
  <c r="AK60" i="16"/>
  <c r="AK352" i="16"/>
  <c r="AK320" i="16"/>
  <c r="AK205" i="16"/>
  <c r="AK127" i="16"/>
  <c r="AK77" i="16"/>
  <c r="AK16" i="16"/>
  <c r="AK224" i="16"/>
  <c r="AK154" i="16"/>
  <c r="AK86" i="16"/>
  <c r="AK25" i="16"/>
  <c r="AK333" i="16"/>
  <c r="AK319" i="16"/>
  <c r="AK247" i="16"/>
  <c r="AK298" i="16"/>
  <c r="AK241" i="16"/>
  <c r="AK187" i="16"/>
  <c r="AK167" i="16"/>
  <c r="AK109" i="16"/>
  <c r="AK114" i="16"/>
  <c r="AK67" i="16"/>
  <c r="AK44" i="16"/>
  <c r="AK83" i="16"/>
  <c r="AK209" i="16"/>
  <c r="AK346" i="16"/>
  <c r="AK55" i="16"/>
  <c r="AK184" i="16"/>
  <c r="AK275" i="16"/>
  <c r="AK141" i="16"/>
  <c r="AK358" i="16"/>
  <c r="AK111" i="16"/>
  <c r="AK183" i="16"/>
  <c r="AK37" i="16"/>
  <c r="AK235" i="16"/>
  <c r="AK353" i="16"/>
  <c r="AK65" i="16"/>
  <c r="AK188" i="16"/>
  <c r="AK108" i="16"/>
  <c r="AK289" i="16"/>
  <c r="AK164" i="16"/>
  <c r="O11" i="7"/>
  <c r="BZ9" i="7"/>
  <c r="BW10" i="7"/>
  <c r="L382" i="22"/>
  <c r="L383" i="22"/>
  <c r="D382" i="15"/>
  <c r="AJ8" i="1"/>
  <c r="L382" i="20"/>
  <c r="L381" i="20"/>
  <c r="L382" i="25"/>
  <c r="L381" i="25"/>
  <c r="L383" i="25"/>
  <c r="AC12" i="16"/>
  <c r="AC12" i="17"/>
  <c r="D9" i="15"/>
  <c r="D11" i="15" s="1"/>
  <c r="E36" i="19" s="1"/>
  <c r="D383" i="1"/>
  <c r="D383" i="15"/>
  <c r="BH207" i="6"/>
  <c r="BH199" i="6"/>
  <c r="BH166" i="6"/>
  <c r="BH242" i="6"/>
  <c r="BH167" i="6"/>
  <c r="BH196" i="6"/>
  <c r="AJ19" i="20"/>
  <c r="D9" i="16"/>
  <c r="D11" i="16" s="1"/>
  <c r="E37" i="19" s="1"/>
  <c r="D381" i="16"/>
  <c r="D383" i="16"/>
  <c r="D382" i="16"/>
  <c r="J183" i="6"/>
  <c r="T39" i="6"/>
  <c r="T38" i="6" s="1"/>
  <c r="T40" i="6" s="1"/>
  <c r="L35" i="19"/>
  <c r="O11" i="16"/>
  <c r="O12" i="15"/>
  <c r="BH139" i="6"/>
  <c r="BH231" i="6"/>
  <c r="BH380" i="6"/>
  <c r="BH106" i="6"/>
  <c r="BH353" i="6"/>
  <c r="BH267" i="6"/>
  <c r="BH19" i="6"/>
  <c r="BH368" i="6"/>
  <c r="Q13" i="7"/>
  <c r="J13" i="7"/>
  <c r="AC9" i="16"/>
  <c r="AC12" i="15"/>
  <c r="AC35" i="15" s="1"/>
  <c r="O11" i="17"/>
  <c r="O12" i="18"/>
  <c r="AJ270" i="20"/>
  <c r="O10" i="17"/>
  <c r="P11" i="17"/>
  <c r="T15" i="7"/>
  <c r="AE11" i="15"/>
  <c r="L12" i="19"/>
  <c r="P10" i="15"/>
  <c r="AI11" i="15"/>
  <c r="X54" i="6"/>
  <c r="X53" i="6" s="1"/>
  <c r="X55" i="6" s="1"/>
  <c r="AJ8" i="17"/>
  <c r="AJ5" i="17"/>
  <c r="O9" i="22"/>
  <c r="AJ6" i="17"/>
  <c r="AJ7" i="17"/>
  <c r="O10" i="15"/>
  <c r="AC10" i="15"/>
  <c r="AJ291" i="20"/>
  <c r="AJ273" i="20"/>
  <c r="AJ230" i="20"/>
  <c r="AJ129" i="20"/>
  <c r="AJ144" i="20"/>
  <c r="AJ55" i="20"/>
  <c r="AJ363" i="20"/>
  <c r="AJ240" i="20"/>
  <c r="AJ326" i="20"/>
  <c r="AJ304" i="20"/>
  <c r="AJ134" i="20"/>
  <c r="AJ264" i="20"/>
  <c r="AJ48" i="20"/>
  <c r="AJ356" i="20"/>
  <c r="AJ348" i="20"/>
  <c r="AJ285" i="20"/>
  <c r="AJ219" i="20"/>
  <c r="AJ369" i="20"/>
  <c r="AJ306" i="20"/>
  <c r="AJ245" i="20"/>
  <c r="AJ287" i="20"/>
  <c r="AJ168" i="20"/>
  <c r="AJ110" i="20"/>
  <c r="AJ21" i="20"/>
  <c r="AJ228" i="20"/>
  <c r="AJ155" i="20"/>
  <c r="AJ102" i="20"/>
  <c r="AJ345" i="20"/>
  <c r="AJ370" i="20"/>
  <c r="AJ338" i="20"/>
  <c r="AJ307" i="20"/>
  <c r="AJ278" i="20"/>
  <c r="AJ246" i="20"/>
  <c r="AJ377" i="20"/>
  <c r="AJ339" i="20"/>
  <c r="AJ362" i="20"/>
  <c r="AJ332" i="20"/>
  <c r="AJ295" i="20"/>
  <c r="AJ267" i="20"/>
  <c r="AJ238" i="20"/>
  <c r="AJ314" i="20"/>
  <c r="AJ280" i="20"/>
  <c r="AJ215" i="20"/>
  <c r="AJ207" i="20"/>
  <c r="AJ147" i="20"/>
  <c r="AJ93" i="20"/>
  <c r="AJ60" i="20"/>
  <c r="AJ226" i="20"/>
  <c r="AJ281" i="20"/>
  <c r="AJ209" i="20"/>
  <c r="AJ202" i="20"/>
  <c r="AJ142" i="20"/>
  <c r="AJ83" i="20"/>
  <c r="AJ76" i="20"/>
  <c r="AJ38" i="20"/>
  <c r="AJ59" i="20"/>
  <c r="AJ47" i="20"/>
  <c r="AJ80" i="20"/>
  <c r="AJ88" i="20"/>
  <c r="AJ137" i="20"/>
  <c r="AJ58" i="20"/>
  <c r="AJ79" i="20"/>
  <c r="AJ133" i="20"/>
  <c r="AJ106" i="20"/>
  <c r="AJ125" i="20"/>
  <c r="AJ138" i="20"/>
  <c r="AJ153" i="20"/>
  <c r="AJ166" i="20"/>
  <c r="AJ183" i="20"/>
  <c r="AJ200" i="20"/>
  <c r="AJ157" i="20"/>
  <c r="AJ173" i="20"/>
  <c r="AJ188" i="20"/>
  <c r="AJ205" i="20"/>
  <c r="AJ225" i="20"/>
  <c r="AJ242" i="20"/>
  <c r="AJ261" i="20"/>
  <c r="AJ277" i="20"/>
  <c r="AJ299" i="20"/>
  <c r="AJ312" i="20"/>
  <c r="AJ323" i="20"/>
  <c r="AJ223" i="20"/>
  <c r="AF13" i="7"/>
  <c r="AJ41" i="20"/>
  <c r="AJ214" i="20"/>
  <c r="AJ195" i="20"/>
  <c r="AJ192" i="20"/>
  <c r="AJ296" i="20"/>
  <c r="AJ260" i="20"/>
  <c r="AJ29" i="20"/>
  <c r="AJ316" i="20"/>
  <c r="AJ344" i="20"/>
  <c r="AJ276" i="20"/>
  <c r="AJ234" i="20"/>
  <c r="AJ77" i="20"/>
  <c r="AJ159" i="20"/>
  <c r="AJ49" i="20"/>
  <c r="AJ328" i="20"/>
  <c r="AJ327" i="20"/>
  <c r="AJ263" i="20"/>
  <c r="AJ354" i="20"/>
  <c r="AJ347" i="20"/>
  <c r="AJ283" i="20"/>
  <c r="AJ216" i="20"/>
  <c r="AJ256" i="20"/>
  <c r="AJ177" i="20"/>
  <c r="AJ104" i="20"/>
  <c r="AJ315" i="20"/>
  <c r="AJ176" i="20"/>
  <c r="AJ112" i="20"/>
  <c r="AJ28" i="20"/>
  <c r="AJ18" i="20"/>
  <c r="AJ51" i="20"/>
  <c r="AJ84" i="20"/>
  <c r="AJ37" i="20"/>
  <c r="AJ97" i="20"/>
  <c r="AJ119" i="20"/>
  <c r="AJ146" i="20"/>
  <c r="AJ175" i="20"/>
  <c r="AJ206" i="20"/>
  <c r="AJ180" i="20"/>
  <c r="AJ213" i="20"/>
  <c r="AJ251" i="20"/>
  <c r="AJ286" i="20"/>
  <c r="AJ319" i="20"/>
  <c r="AJ232" i="20"/>
  <c r="AJ31" i="20"/>
  <c r="AJ54" i="20"/>
  <c r="AJ68" i="20"/>
  <c r="AJ86" i="20"/>
  <c r="AJ113" i="20"/>
  <c r="AJ148" i="20"/>
  <c r="AJ100" i="20"/>
  <c r="AJ116" i="20"/>
  <c r="AJ124" i="20"/>
  <c r="AJ136" i="20"/>
  <c r="AJ152" i="20"/>
  <c r="AJ164" i="20"/>
  <c r="AJ181" i="20"/>
  <c r="AJ199" i="20"/>
  <c r="AJ211" i="20"/>
  <c r="AJ171" i="20"/>
  <c r="AJ187" i="20"/>
  <c r="AJ204" i="20"/>
  <c r="AJ220" i="20"/>
  <c r="AJ241" i="20"/>
  <c r="AJ258" i="20"/>
  <c r="AJ272" i="20"/>
  <c r="AJ297" i="20"/>
  <c r="AJ309" i="20"/>
  <c r="AJ322" i="20"/>
  <c r="AJ236" i="20"/>
  <c r="AJ250" i="20"/>
  <c r="AJ265" i="20"/>
  <c r="AJ279" i="20"/>
  <c r="AJ293" i="20"/>
  <c r="AJ310" i="20"/>
  <c r="AJ330" i="20"/>
  <c r="AJ341" i="20"/>
  <c r="AJ360" i="20"/>
  <c r="AJ371" i="20"/>
  <c r="AJ329" i="20"/>
  <c r="AJ350" i="20"/>
  <c r="AJ365" i="20"/>
  <c r="AJ224" i="20"/>
  <c r="AJ244" i="20"/>
  <c r="AJ259" i="20"/>
  <c r="AJ275" i="20"/>
  <c r="AJ290" i="20"/>
  <c r="AJ305" i="20"/>
  <c r="AJ325" i="20"/>
  <c r="AJ335" i="20"/>
  <c r="AJ351" i="20"/>
  <c r="AJ367" i="20"/>
  <c r="AJ376" i="20"/>
  <c r="AJ343" i="20"/>
  <c r="AJ358" i="20"/>
  <c r="AJ33" i="20"/>
  <c r="AJ64" i="20"/>
  <c r="AJ92" i="20"/>
  <c r="AJ16" i="20"/>
  <c r="AJ108" i="20"/>
  <c r="AJ123" i="20"/>
  <c r="AJ151" i="20"/>
  <c r="AJ178" i="20"/>
  <c r="AJ210" i="20"/>
  <c r="AJ184" i="20"/>
  <c r="AJ217" i="20"/>
  <c r="AJ257" i="20"/>
  <c r="AJ288" i="20"/>
  <c r="AJ321" i="20"/>
  <c r="AJ235" i="20"/>
  <c r="AJ56" i="20"/>
  <c r="AJ75" i="20"/>
  <c r="AJ128" i="20"/>
  <c r="AJ103" i="20"/>
  <c r="AJ126" i="20"/>
  <c r="AJ154" i="20"/>
  <c r="AJ185" i="20"/>
  <c r="AJ158" i="20"/>
  <c r="AJ189" i="20"/>
  <c r="AJ227" i="20"/>
  <c r="AJ262" i="20"/>
  <c r="AJ25" i="20"/>
  <c r="AJ36" i="20"/>
  <c r="AJ23" i="20"/>
  <c r="AJ57" i="20"/>
  <c r="AJ40" i="20"/>
  <c r="AJ39" i="20"/>
  <c r="AJ63" i="20"/>
  <c r="AJ78" i="20"/>
  <c r="AJ81" i="20"/>
  <c r="AJ96" i="20"/>
  <c r="AJ105" i="20"/>
  <c r="AJ130" i="20"/>
  <c r="AJ32" i="20"/>
  <c r="AJ42" i="20"/>
  <c r="AJ62" i="20"/>
  <c r="AJ70" i="20"/>
  <c r="AJ89" i="20"/>
  <c r="AJ115" i="20"/>
  <c r="AJ149" i="20"/>
  <c r="AJ101" i="20"/>
  <c r="AJ117" i="20"/>
  <c r="AJ340" i="20"/>
  <c r="AJ333" i="20"/>
  <c r="AJ353" i="20"/>
  <c r="AJ378" i="20"/>
  <c r="AJ379" i="20"/>
  <c r="AJ196" i="20"/>
  <c r="AJ186" i="20"/>
  <c r="AJ374" i="20"/>
  <c r="AJ254" i="20"/>
  <c r="AJ320" i="20"/>
  <c r="AJ301" i="20"/>
  <c r="AJ364" i="20"/>
  <c r="AJ292" i="20"/>
  <c r="AJ373" i="20"/>
  <c r="AJ253" i="20"/>
  <c r="AJ182" i="20"/>
  <c r="AJ22" i="20"/>
  <c r="AJ169" i="20"/>
  <c r="AJ67" i="20"/>
  <c r="AJ44" i="20"/>
  <c r="AJ132" i="20"/>
  <c r="AJ191" i="20"/>
  <c r="AJ194" i="20"/>
  <c r="AJ269" i="20"/>
  <c r="AJ218" i="20"/>
  <c r="AJ17" i="20"/>
  <c r="AJ72" i="20"/>
  <c r="AJ140" i="20"/>
  <c r="AJ107" i="20"/>
  <c r="AJ131" i="20"/>
  <c r="AJ156" i="20"/>
  <c r="AJ190" i="20"/>
  <c r="AJ160" i="20"/>
  <c r="AJ193" i="20"/>
  <c r="AJ229" i="20"/>
  <c r="AJ268" i="20"/>
  <c r="AJ302" i="20"/>
  <c r="AJ222" i="20"/>
  <c r="AJ255" i="20"/>
  <c r="AJ289" i="20"/>
  <c r="AJ318" i="20"/>
  <c r="AJ349" i="20"/>
  <c r="AJ375" i="20"/>
  <c r="AJ357" i="20"/>
  <c r="AJ237" i="20"/>
  <c r="AJ266" i="20"/>
  <c r="AJ294" i="20"/>
  <c r="AJ331" i="20"/>
  <c r="AJ361" i="20"/>
  <c r="AJ336" i="20"/>
  <c r="AJ368" i="20"/>
  <c r="AJ71" i="20"/>
  <c r="AJ65" i="20"/>
  <c r="AJ135" i="20"/>
  <c r="AJ197" i="20"/>
  <c r="AJ198" i="20"/>
  <c r="AJ271" i="20"/>
  <c r="AJ221" i="20"/>
  <c r="AJ66" i="20"/>
  <c r="AJ150" i="20"/>
  <c r="AJ139" i="20"/>
  <c r="AJ201" i="20"/>
  <c r="AJ208" i="20"/>
  <c r="F7" i="20"/>
  <c r="AJ43" i="20"/>
  <c r="AJ20" i="20"/>
  <c r="AJ52" i="20"/>
  <c r="AJ73" i="20"/>
  <c r="AJ95" i="20"/>
  <c r="AJ15" i="20"/>
  <c r="AJ24" i="20"/>
  <c r="AJ74" i="20"/>
  <c r="AJ141" i="20"/>
  <c r="AJ109" i="20"/>
  <c r="AJ337" i="20"/>
  <c r="AJ162" i="20"/>
  <c r="AJ145" i="20"/>
  <c r="AJ355" i="20"/>
  <c r="AJ233" i="20"/>
  <c r="AJ313" i="20"/>
  <c r="AJ300" i="20"/>
  <c r="AJ122" i="20"/>
  <c r="AJ248" i="20"/>
  <c r="AJ380" i="20"/>
  <c r="AJ30" i="20"/>
  <c r="AJ111" i="20"/>
  <c r="AJ82" i="20"/>
  <c r="AJ161" i="20"/>
  <c r="AJ165" i="20"/>
  <c r="AJ231" i="20"/>
  <c r="AJ303" i="20"/>
  <c r="AJ26" i="20"/>
  <c r="AJ50" i="20"/>
  <c r="AJ90" i="20"/>
  <c r="AJ85" i="20"/>
  <c r="AJ120" i="20"/>
  <c r="AJ143" i="20"/>
  <c r="AJ172" i="20"/>
  <c r="AJ203" i="20"/>
  <c r="AJ179" i="20"/>
  <c r="AJ212" i="20"/>
  <c r="AJ249" i="20"/>
  <c r="AJ284" i="20"/>
  <c r="AJ317" i="20"/>
  <c r="AJ243" i="20"/>
  <c r="AJ274" i="20"/>
  <c r="AJ298" i="20"/>
  <c r="AJ334" i="20"/>
  <c r="AJ366" i="20"/>
  <c r="AJ342" i="20"/>
  <c r="AJ324" i="20"/>
  <c r="AJ252" i="20"/>
  <c r="AJ282" i="20"/>
  <c r="AJ311" i="20"/>
  <c r="AJ346" i="20"/>
  <c r="AJ372" i="20"/>
  <c r="AJ352" i="20"/>
  <c r="AJ46" i="20"/>
  <c r="AJ127" i="20"/>
  <c r="AJ99" i="20"/>
  <c r="AJ163" i="20"/>
  <c r="AJ170" i="20"/>
  <c r="AJ239" i="20"/>
  <c r="AJ308" i="20"/>
  <c r="AJ35" i="20"/>
  <c r="AJ94" i="20"/>
  <c r="AJ118" i="20"/>
  <c r="AJ167" i="20"/>
  <c r="AJ174" i="20"/>
  <c r="AJ247" i="20"/>
  <c r="AJ27" i="20"/>
  <c r="AJ34" i="20"/>
  <c r="AJ61" i="20"/>
  <c r="AJ69" i="20"/>
  <c r="AJ87" i="20"/>
  <c r="AJ114" i="20"/>
  <c r="AJ45" i="20"/>
  <c r="AJ53" i="20"/>
  <c r="AJ98" i="20"/>
  <c r="AJ91" i="20"/>
  <c r="AJ121" i="20"/>
  <c r="AJ6" i="16"/>
  <c r="W13" i="7"/>
  <c r="AJ8" i="16"/>
  <c r="J177" i="6"/>
  <c r="AN24" i="6"/>
  <c r="AN23" i="6" s="1"/>
  <c r="AN25" i="6" s="1"/>
  <c r="Z50" i="6"/>
  <c r="AA48" i="6"/>
  <c r="AA54" i="6" s="1"/>
  <c r="AA53" i="6" s="1"/>
  <c r="AA55" i="6" s="1"/>
  <c r="BH49" i="6"/>
  <c r="U11" i="1"/>
  <c r="U10" i="1"/>
  <c r="AI246" i="1" s="1"/>
  <c r="AH246" i="1" s="1"/>
  <c r="AG246" i="1" s="1"/>
  <c r="AF246" i="1" s="1"/>
  <c r="BH369" i="6"/>
  <c r="BH311" i="6"/>
  <c r="BH36" i="6"/>
  <c r="BH89" i="6"/>
  <c r="BH228" i="6"/>
  <c r="BH34" i="6"/>
  <c r="BH234" i="6"/>
  <c r="BH27" i="6"/>
  <c r="BH317" i="6"/>
  <c r="BH104" i="6"/>
  <c r="BH110" i="6"/>
  <c r="BH243" i="6"/>
  <c r="BH42" i="6"/>
  <c r="BH224" i="6"/>
  <c r="BH287" i="6"/>
  <c r="BH206" i="6"/>
  <c r="BH63" i="6"/>
  <c r="BH16" i="6"/>
  <c r="AJ5" i="16"/>
  <c r="AJ6" i="15"/>
  <c r="BW16" i="7"/>
  <c r="BK16" i="7"/>
  <c r="C16" i="7"/>
  <c r="U180" i="1"/>
  <c r="T180" i="1" s="1"/>
  <c r="S180" i="1" s="1"/>
  <c r="R180" i="1" s="1"/>
  <c r="BQ16" i="7"/>
  <c r="AI80" i="1"/>
  <c r="AH80" i="1" s="1"/>
  <c r="AG80" i="1" s="1"/>
  <c r="AF80" i="1" s="1"/>
  <c r="AJ7" i="16"/>
  <c r="BH48" i="6"/>
  <c r="BH83" i="6"/>
  <c r="BH188" i="6"/>
  <c r="BH21" i="6"/>
  <c r="BH181" i="6"/>
  <c r="BH319" i="6"/>
  <c r="BH362" i="6"/>
  <c r="BH332" i="6"/>
  <c r="BH249" i="6"/>
  <c r="BH293" i="6"/>
  <c r="BH340" i="6"/>
  <c r="BH348" i="6"/>
  <c r="BH212" i="6"/>
  <c r="BH179" i="6"/>
  <c r="BH142" i="6"/>
  <c r="BH190" i="6"/>
  <c r="BH250" i="6"/>
  <c r="BH153" i="6"/>
  <c r="BH269" i="6"/>
  <c r="BH24" i="6"/>
  <c r="BH155" i="6"/>
  <c r="BH189" i="6"/>
  <c r="BH103" i="6"/>
  <c r="BH281" i="6"/>
  <c r="BH306" i="6"/>
  <c r="BH109" i="6"/>
  <c r="BH277" i="6"/>
  <c r="BH149" i="6"/>
  <c r="BH210" i="6"/>
  <c r="BH217" i="6"/>
  <c r="BH266" i="6"/>
  <c r="BH118" i="6"/>
  <c r="BH163" i="6"/>
  <c r="BH256" i="6"/>
  <c r="BH173" i="6"/>
  <c r="BH294" i="6"/>
  <c r="J186" i="6"/>
  <c r="J68" i="6"/>
  <c r="I116" i="6"/>
  <c r="I148" i="6"/>
  <c r="I140" i="6"/>
  <c r="I189" i="6"/>
  <c r="J189" i="6" s="1"/>
  <c r="I97" i="6"/>
  <c r="I164" i="6"/>
  <c r="I33" i="6"/>
  <c r="I89" i="6"/>
  <c r="I123" i="6"/>
  <c r="I74" i="6"/>
  <c r="I65" i="6"/>
  <c r="I203" i="6"/>
  <c r="I222" i="6"/>
  <c r="I202" i="6"/>
  <c r="I219" i="6"/>
  <c r="I237" i="6"/>
  <c r="I239" i="6"/>
  <c r="I223" i="6"/>
  <c r="I262" i="6"/>
  <c r="I226" i="6"/>
  <c r="I231" i="6"/>
  <c r="R39" i="6"/>
  <c r="R38" i="6" s="1"/>
  <c r="R40" i="6" s="1"/>
  <c r="J231" i="6"/>
  <c r="J233" i="6"/>
  <c r="J268" i="6"/>
  <c r="J164" i="6"/>
  <c r="J178" i="6"/>
  <c r="J226" i="6"/>
  <c r="J359" i="6"/>
  <c r="J358" i="6"/>
  <c r="W39" i="6"/>
  <c r="W38" i="6" s="1"/>
  <c r="W40" i="6" s="1"/>
  <c r="J221" i="6"/>
  <c r="J116" i="6"/>
  <c r="J119" i="6"/>
  <c r="J111" i="6"/>
  <c r="J262" i="6"/>
  <c r="J123" i="6"/>
  <c r="J126" i="6"/>
  <c r="J166" i="6"/>
  <c r="J172" i="6"/>
  <c r="J232" i="6"/>
  <c r="J227" i="6"/>
  <c r="J219" i="6"/>
  <c r="J369" i="6"/>
  <c r="J362" i="6"/>
  <c r="Y39" i="6"/>
  <c r="Y38" i="6" s="1"/>
  <c r="Y40" i="6" s="1"/>
  <c r="J222" i="6"/>
  <c r="J287" i="6"/>
  <c r="J171" i="6"/>
  <c r="J130" i="6"/>
  <c r="J117" i="6"/>
  <c r="J124" i="6"/>
  <c r="J163" i="6"/>
  <c r="J237" i="6"/>
  <c r="J245" i="6"/>
  <c r="J239" i="6"/>
  <c r="J223" i="6"/>
  <c r="AJ8" i="15"/>
  <c r="O11" i="18"/>
  <c r="BH257" i="6"/>
  <c r="BH107" i="6"/>
  <c r="BH174" i="6"/>
  <c r="BH51" i="6"/>
  <c r="BH328" i="6"/>
  <c r="BH237" i="6"/>
  <c r="BH211" i="6"/>
  <c r="BH93" i="6"/>
  <c r="BH164" i="6"/>
  <c r="BH371" i="6"/>
  <c r="BH263" i="6"/>
  <c r="BH101" i="6"/>
  <c r="BH77" i="6"/>
  <c r="BH374" i="6"/>
  <c r="BH170" i="6"/>
  <c r="BH213" i="6"/>
  <c r="BH18" i="6"/>
  <c r="BH176" i="6"/>
  <c r="BH352" i="6"/>
  <c r="BH86" i="6"/>
  <c r="AJ7" i="15"/>
  <c r="AJ5" i="15"/>
  <c r="O24" i="15"/>
  <c r="E24" i="15" s="1"/>
  <c r="O38" i="15"/>
  <c r="E38" i="15" s="1"/>
  <c r="O44" i="15"/>
  <c r="E44" i="15" s="1"/>
  <c r="O46" i="15"/>
  <c r="E46" i="15" s="1"/>
  <c r="O33" i="15"/>
  <c r="E33" i="15" s="1"/>
  <c r="O43" i="15"/>
  <c r="E43" i="15" s="1"/>
  <c r="O73" i="15"/>
  <c r="E73" i="15" s="1"/>
  <c r="O100" i="15"/>
  <c r="E100" i="15" s="1"/>
  <c r="O29" i="15"/>
  <c r="O55" i="15"/>
  <c r="E55" i="15" s="1"/>
  <c r="O85" i="15"/>
  <c r="E85" i="15" s="1"/>
  <c r="O92" i="15"/>
  <c r="E92" i="15" s="1"/>
  <c r="O104" i="15"/>
  <c r="E104" i="15" s="1"/>
  <c r="O27" i="15"/>
  <c r="E27" i="15" s="1"/>
  <c r="O113" i="15"/>
  <c r="E113" i="15" s="1"/>
  <c r="O31" i="15"/>
  <c r="E31" i="15" s="1"/>
  <c r="O48" i="15"/>
  <c r="E48" i="15" s="1"/>
  <c r="O25" i="15"/>
  <c r="E25" i="15" s="1"/>
  <c r="O61" i="15"/>
  <c r="E61" i="15" s="1"/>
  <c r="O72" i="15"/>
  <c r="E72" i="15" s="1"/>
  <c r="O75" i="15"/>
  <c r="E75" i="15" s="1"/>
  <c r="O93" i="15"/>
  <c r="E93" i="15" s="1"/>
  <c r="O98" i="15"/>
  <c r="E98" i="15" s="1"/>
  <c r="O127" i="15"/>
  <c r="E127" i="15" s="1"/>
  <c r="O131" i="15"/>
  <c r="E131" i="15" s="1"/>
  <c r="O133" i="15"/>
  <c r="E133" i="15" s="1"/>
  <c r="O153" i="15"/>
  <c r="E153" i="15" s="1"/>
  <c r="O159" i="15"/>
  <c r="E159" i="15" s="1"/>
  <c r="O161" i="15"/>
  <c r="E161" i="15" s="1"/>
  <c r="O163" i="15"/>
  <c r="E163" i="15" s="1"/>
  <c r="O169" i="15"/>
  <c r="E169" i="15" s="1"/>
  <c r="O173" i="15"/>
  <c r="E173" i="15" s="1"/>
  <c r="O175" i="15"/>
  <c r="E175" i="15" s="1"/>
  <c r="O177" i="15"/>
  <c r="E177" i="15" s="1"/>
  <c r="O67" i="15"/>
  <c r="E67" i="15" s="1"/>
  <c r="O207" i="15"/>
  <c r="E207" i="15" s="1"/>
  <c r="O197" i="15"/>
  <c r="E197" i="15" s="1"/>
  <c r="O209" i="15"/>
  <c r="E209" i="15" s="1"/>
  <c r="O214" i="15"/>
  <c r="E214" i="15" s="1"/>
  <c r="O193" i="15"/>
  <c r="E193" i="15" s="1"/>
  <c r="O189" i="15"/>
  <c r="E189" i="15" s="1"/>
  <c r="O225" i="15"/>
  <c r="E225" i="15" s="1"/>
  <c r="O182" i="15"/>
  <c r="E182" i="15" s="1"/>
  <c r="O194" i="15"/>
  <c r="E194" i="15" s="1"/>
  <c r="O208" i="15"/>
  <c r="E208" i="15" s="1"/>
  <c r="O195" i="15"/>
  <c r="E195" i="15" s="1"/>
  <c r="O213" i="15"/>
  <c r="E213" i="15" s="1"/>
  <c r="O226" i="15"/>
  <c r="E226" i="15" s="1"/>
  <c r="O188" i="15"/>
  <c r="E188" i="15" s="1"/>
  <c r="O180" i="15"/>
  <c r="O219" i="15"/>
  <c r="E219" i="15" s="1"/>
  <c r="O218" i="15"/>
  <c r="E218" i="15" s="1"/>
  <c r="O192" i="15"/>
  <c r="E192" i="15" s="1"/>
  <c r="O204" i="15"/>
  <c r="E204" i="15" s="1"/>
  <c r="O187" i="15"/>
  <c r="E187" i="15" s="1"/>
  <c r="O211" i="15"/>
  <c r="E211" i="15" s="1"/>
  <c r="O224" i="15"/>
  <c r="E224" i="15" s="1"/>
  <c r="O34" i="15"/>
  <c r="E34" i="15" s="1"/>
  <c r="O125" i="15"/>
  <c r="E125" i="15" s="1"/>
  <c r="O39" i="15"/>
  <c r="E39" i="15" s="1"/>
  <c r="O91" i="15"/>
  <c r="E91" i="15" s="1"/>
  <c r="O103" i="15"/>
  <c r="E103" i="15" s="1"/>
  <c r="O19" i="15"/>
  <c r="E19" i="15" s="1"/>
  <c r="O99" i="15"/>
  <c r="E99" i="15" s="1"/>
  <c r="O52" i="15"/>
  <c r="E52" i="15" s="1"/>
  <c r="O155" i="15"/>
  <c r="E155" i="15" s="1"/>
  <c r="O65" i="15"/>
  <c r="E65" i="15" s="1"/>
  <c r="O78" i="15"/>
  <c r="E78" i="15" s="1"/>
  <c r="O129" i="15"/>
  <c r="E129" i="15" s="1"/>
  <c r="O167" i="15"/>
  <c r="E167" i="15" s="1"/>
  <c r="O88" i="15"/>
  <c r="O45" i="15"/>
  <c r="E45" i="15" s="1"/>
  <c r="O53" i="15"/>
  <c r="E53" i="15" s="1"/>
  <c r="O105" i="15"/>
  <c r="E105" i="15" s="1"/>
  <c r="O107" i="15"/>
  <c r="E107" i="15" s="1"/>
  <c r="O121" i="15"/>
  <c r="E121" i="15" s="1"/>
  <c r="O137" i="15"/>
  <c r="E137" i="15" s="1"/>
  <c r="O143" i="15"/>
  <c r="E143" i="15" s="1"/>
  <c r="O171" i="15"/>
  <c r="E171" i="15" s="1"/>
  <c r="O49" i="15"/>
  <c r="E49" i="15" s="1"/>
  <c r="O57" i="15"/>
  <c r="E57" i="15" s="1"/>
  <c r="O79" i="15"/>
  <c r="E79" i="15" s="1"/>
  <c r="O201" i="15"/>
  <c r="E201" i="15" s="1"/>
  <c r="O21" i="15"/>
  <c r="E21" i="15" s="1"/>
  <c r="O47" i="15"/>
  <c r="E47" i="15" s="1"/>
  <c r="O83" i="15"/>
  <c r="E83" i="15" s="1"/>
  <c r="O51" i="15"/>
  <c r="E51" i="15" s="1"/>
  <c r="O96" i="15"/>
  <c r="E96" i="15" s="1"/>
  <c r="O147" i="15"/>
  <c r="E147" i="15" s="1"/>
  <c r="O16" i="15"/>
  <c r="E16" i="15" s="1"/>
  <c r="O18" i="15"/>
  <c r="E18" i="15" s="1"/>
  <c r="O23" i="15"/>
  <c r="E23" i="15" s="1"/>
  <c r="O37" i="15"/>
  <c r="E37" i="15" s="1"/>
  <c r="O84" i="15"/>
  <c r="E84" i="15" s="1"/>
  <c r="O87" i="15"/>
  <c r="E87" i="15" s="1"/>
  <c r="O109" i="15"/>
  <c r="E109" i="15" s="1"/>
  <c r="O111" i="15"/>
  <c r="E111" i="15" s="1"/>
  <c r="O115" i="15"/>
  <c r="E115" i="15" s="1"/>
  <c r="O117" i="15"/>
  <c r="E117" i="15" s="1"/>
  <c r="O123" i="15"/>
  <c r="E123" i="15" s="1"/>
  <c r="O135" i="15"/>
  <c r="E135" i="15" s="1"/>
  <c r="O151" i="15"/>
  <c r="E151" i="15" s="1"/>
  <c r="O179" i="15"/>
  <c r="E179" i="15" s="1"/>
  <c r="O71" i="15"/>
  <c r="E71" i="15" s="1"/>
  <c r="O196" i="15"/>
  <c r="E196" i="15" s="1"/>
  <c r="O185" i="15"/>
  <c r="E185" i="15" s="1"/>
  <c r="O206" i="15"/>
  <c r="E206" i="15" s="1"/>
  <c r="O200" i="15"/>
  <c r="E200" i="15" s="1"/>
  <c r="O205" i="15"/>
  <c r="E205" i="15" s="1"/>
  <c r="O199" i="15"/>
  <c r="E199" i="15" s="1"/>
  <c r="O198" i="15"/>
  <c r="E198" i="15" s="1"/>
  <c r="O202" i="15"/>
  <c r="E202" i="15" s="1"/>
  <c r="O181" i="15"/>
  <c r="E181" i="15" s="1"/>
  <c r="O190" i="15"/>
  <c r="E190" i="15" s="1"/>
  <c r="O222" i="15"/>
  <c r="E222" i="15" s="1"/>
  <c r="O203" i="15"/>
  <c r="E203" i="15" s="1"/>
  <c r="O210" i="15"/>
  <c r="O217" i="15"/>
  <c r="E217" i="15" s="1"/>
  <c r="O215" i="15"/>
  <c r="E215" i="15" s="1"/>
  <c r="O212" i="15"/>
  <c r="E212" i="15" s="1"/>
  <c r="O183" i="15"/>
  <c r="E183" i="15" s="1"/>
  <c r="O220" i="15"/>
  <c r="E220" i="15" s="1"/>
  <c r="O186" i="15"/>
  <c r="E186" i="15" s="1"/>
  <c r="O216" i="15"/>
  <c r="E216" i="15" s="1"/>
  <c r="O119" i="15"/>
  <c r="O165" i="15"/>
  <c r="E165" i="15" s="1"/>
  <c r="O90" i="15"/>
  <c r="E90" i="15" s="1"/>
  <c r="O50" i="15"/>
  <c r="E50" i="15" s="1"/>
  <c r="O74" i="15"/>
  <c r="E74" i="15" s="1"/>
  <c r="O68" i="15"/>
  <c r="E68" i="15" s="1"/>
  <c r="O30" i="15"/>
  <c r="E30" i="15" s="1"/>
  <c r="O58" i="15"/>
  <c r="E58" i="15" s="1"/>
  <c r="O64" i="15"/>
  <c r="E64" i="15" s="1"/>
  <c r="O40" i="15"/>
  <c r="E40" i="15" s="1"/>
  <c r="O80" i="15"/>
  <c r="E80" i="15" s="1"/>
  <c r="O22" i="15"/>
  <c r="E22" i="15" s="1"/>
  <c r="O26" i="15"/>
  <c r="E26" i="15" s="1"/>
  <c r="O36" i="15"/>
  <c r="E36" i="15" s="1"/>
  <c r="O28" i="15"/>
  <c r="E28" i="15" s="1"/>
  <c r="O41" i="15"/>
  <c r="E41" i="15" s="1"/>
  <c r="O59" i="15"/>
  <c r="E59" i="15" s="1"/>
  <c r="O95" i="15"/>
  <c r="E95" i="15" s="1"/>
  <c r="O110" i="15"/>
  <c r="E110" i="15" s="1"/>
  <c r="O81" i="15"/>
  <c r="E81" i="15" s="1"/>
  <c r="O102" i="15"/>
  <c r="E102" i="15" s="1"/>
  <c r="O56" i="15"/>
  <c r="E56" i="15" s="1"/>
  <c r="O101" i="15"/>
  <c r="E101" i="15" s="1"/>
  <c r="O157" i="15"/>
  <c r="E157" i="15" s="1"/>
  <c r="O66" i="15"/>
  <c r="E66" i="15" s="1"/>
  <c r="O191" i="15"/>
  <c r="E191" i="15" s="1"/>
  <c r="O223" i="15"/>
  <c r="E223" i="15" s="1"/>
  <c r="O116" i="15"/>
  <c r="E116" i="15" s="1"/>
  <c r="O122" i="15"/>
  <c r="E122" i="15" s="1"/>
  <c r="O126" i="15"/>
  <c r="E126" i="15" s="1"/>
  <c r="O136" i="15"/>
  <c r="E136" i="15" s="1"/>
  <c r="O140" i="15"/>
  <c r="E140" i="15" s="1"/>
  <c r="O156" i="15"/>
  <c r="E156" i="15" s="1"/>
  <c r="O162" i="15"/>
  <c r="E162" i="15" s="1"/>
  <c r="O166" i="15"/>
  <c r="E166" i="15" s="1"/>
  <c r="O170" i="15"/>
  <c r="E170" i="15" s="1"/>
  <c r="O172" i="15"/>
  <c r="E172" i="15" s="1"/>
  <c r="O176" i="15"/>
  <c r="E176" i="15" s="1"/>
  <c r="O114" i="15"/>
  <c r="E114" i="15" s="1"/>
  <c r="O124" i="15"/>
  <c r="E124" i="15" s="1"/>
  <c r="O134" i="15"/>
  <c r="E134" i="15" s="1"/>
  <c r="O141" i="15"/>
  <c r="E141" i="15" s="1"/>
  <c r="O144" i="15"/>
  <c r="E144" i="15" s="1"/>
  <c r="O146" i="15"/>
  <c r="E146" i="15" s="1"/>
  <c r="O150" i="15"/>
  <c r="E150" i="15" s="1"/>
  <c r="O158" i="15"/>
  <c r="E158" i="15" s="1"/>
  <c r="O70" i="15"/>
  <c r="E70" i="15" s="1"/>
  <c r="O94" i="15"/>
  <c r="E94" i="15" s="1"/>
  <c r="O42" i="15"/>
  <c r="E42" i="15" s="1"/>
  <c r="O60" i="15"/>
  <c r="O76" i="15"/>
  <c r="E76" i="15" s="1"/>
  <c r="O20" i="15"/>
  <c r="E20" i="15" s="1"/>
  <c r="O62" i="15"/>
  <c r="E62" i="15" s="1"/>
  <c r="O54" i="15"/>
  <c r="E54" i="15" s="1"/>
  <c r="O82" i="15"/>
  <c r="E82" i="15" s="1"/>
  <c r="O149" i="15"/>
  <c r="O32" i="15"/>
  <c r="E32" i="15" s="1"/>
  <c r="O15" i="15"/>
  <c r="O63" i="15"/>
  <c r="E63" i="15" s="1"/>
  <c r="O77" i="15"/>
  <c r="E77" i="15" s="1"/>
  <c r="O89" i="15"/>
  <c r="E89" i="15" s="1"/>
  <c r="O97" i="15"/>
  <c r="E97" i="15" s="1"/>
  <c r="O106" i="15"/>
  <c r="E106" i="15" s="1"/>
  <c r="O17" i="15"/>
  <c r="E17" i="15" s="1"/>
  <c r="O69" i="15"/>
  <c r="E69" i="15" s="1"/>
  <c r="O86" i="15"/>
  <c r="E86" i="15" s="1"/>
  <c r="O108" i="15"/>
  <c r="E108" i="15" s="1"/>
  <c r="O35" i="15"/>
  <c r="E35" i="15" s="1"/>
  <c r="O184" i="15"/>
  <c r="E184" i="15" s="1"/>
  <c r="O221" i="15"/>
  <c r="E221" i="15" s="1"/>
  <c r="O112" i="15"/>
  <c r="E112" i="15" s="1"/>
  <c r="O118" i="15"/>
  <c r="E118" i="15" s="1"/>
  <c r="O130" i="15"/>
  <c r="E130" i="15" s="1"/>
  <c r="O139" i="15"/>
  <c r="E139" i="15" s="1"/>
  <c r="O154" i="15"/>
  <c r="E154" i="15" s="1"/>
  <c r="O164" i="15"/>
  <c r="E164" i="15" s="1"/>
  <c r="O168" i="15"/>
  <c r="E168" i="15" s="1"/>
  <c r="O120" i="15"/>
  <c r="E120" i="15" s="1"/>
  <c r="O128" i="15"/>
  <c r="E128" i="15" s="1"/>
  <c r="O132" i="15"/>
  <c r="E132" i="15" s="1"/>
  <c r="O138" i="15"/>
  <c r="E138" i="15" s="1"/>
  <c r="O142" i="15"/>
  <c r="E142" i="15" s="1"/>
  <c r="O145" i="15"/>
  <c r="E145" i="15" s="1"/>
  <c r="O148" i="15"/>
  <c r="E148" i="15" s="1"/>
  <c r="O152" i="15"/>
  <c r="E152" i="15" s="1"/>
  <c r="O160" i="15"/>
  <c r="E160" i="15" s="1"/>
  <c r="O174" i="15"/>
  <c r="E174" i="15" s="1"/>
  <c r="O178" i="15"/>
  <c r="E178" i="15" s="1"/>
  <c r="AK8" i="1"/>
  <c r="E381" i="1"/>
  <c r="AJ10" i="1"/>
  <c r="AJ12" i="1" s="1"/>
  <c r="AJ13" i="1" s="1"/>
  <c r="E9" i="1"/>
  <c r="E382" i="1"/>
  <c r="E383" i="1"/>
  <c r="R54" i="6"/>
  <c r="R53" i="6" s="1"/>
  <c r="R55" i="6" s="1"/>
  <c r="AV72" i="6"/>
  <c r="AV40" i="6"/>
  <c r="AU65" i="6"/>
  <c r="AW65" i="6" s="1"/>
  <c r="AU48" i="6"/>
  <c r="AW48" i="6" s="1"/>
  <c r="AV62" i="6"/>
  <c r="AV89" i="6"/>
  <c r="AU85" i="6"/>
  <c r="AW85" i="6" s="1"/>
  <c r="AX85" i="6" s="1"/>
  <c r="AU69" i="6"/>
  <c r="AW69" i="6" s="1"/>
  <c r="AU86" i="6"/>
  <c r="AW86" i="6" s="1"/>
  <c r="AX86" i="6" s="1"/>
  <c r="AV52" i="6"/>
  <c r="AU51" i="6"/>
  <c r="AW51" i="6" s="1"/>
  <c r="AV50" i="6"/>
  <c r="AU56" i="6"/>
  <c r="AW56" i="6" s="1"/>
  <c r="AX56" i="6" s="1"/>
  <c r="AV47" i="6"/>
  <c r="AU75" i="6"/>
  <c r="AW75" i="6" s="1"/>
  <c r="AU45" i="6"/>
  <c r="AW45" i="6" s="1"/>
  <c r="AU42" i="6"/>
  <c r="AW42" i="6" s="1"/>
  <c r="AV67" i="6"/>
  <c r="AX67" i="6" s="1"/>
  <c r="AV87" i="6"/>
  <c r="AX87" i="6" s="1"/>
  <c r="AU79" i="6"/>
  <c r="AW79" i="6" s="1"/>
  <c r="AU47" i="6"/>
  <c r="AW47" i="6" s="1"/>
  <c r="AX47" i="6" s="1"/>
  <c r="AV57" i="6"/>
  <c r="AU52" i="6"/>
  <c r="AW52" i="6" s="1"/>
  <c r="AX52" i="6" s="1"/>
  <c r="AV37" i="6"/>
  <c r="AU40" i="6"/>
  <c r="AW40" i="6" s="1"/>
  <c r="AX40" i="6" s="1"/>
  <c r="AU84" i="6"/>
  <c r="AW84" i="6" s="1"/>
  <c r="AV74" i="6"/>
  <c r="AX74" i="6" s="1"/>
  <c r="AV71" i="6"/>
  <c r="AV64" i="6"/>
  <c r="AX64" i="6" s="1"/>
  <c r="AU91" i="6"/>
  <c r="AW91" i="6" s="1"/>
  <c r="AU80" i="6"/>
  <c r="AW80" i="6" s="1"/>
  <c r="AX80" i="6" s="1"/>
  <c r="AV88" i="6"/>
  <c r="AV54" i="6"/>
  <c r="AU50" i="6"/>
  <c r="AW50" i="6" s="1"/>
  <c r="AX50" i="6" s="1"/>
  <c r="AV77" i="6"/>
  <c r="AU57" i="6"/>
  <c r="AW57" i="6" s="1"/>
  <c r="AX57" i="6" s="1"/>
  <c r="AV36" i="6"/>
  <c r="AV66" i="6"/>
  <c r="AU62" i="6"/>
  <c r="AW62" i="6" s="1"/>
  <c r="AX62" i="6" s="1"/>
  <c r="AV63" i="6"/>
  <c r="AU76" i="6"/>
  <c r="AW76" i="6" s="1"/>
  <c r="J284" i="6"/>
  <c r="J115" i="6"/>
  <c r="J106" i="6"/>
  <c r="J238" i="6"/>
  <c r="Z51" i="6"/>
  <c r="I307" i="6"/>
  <c r="J307" i="6" s="1"/>
  <c r="I331" i="6"/>
  <c r="J257" i="6"/>
  <c r="AU41" i="6"/>
  <c r="AW41" i="6" s="1"/>
  <c r="AV58" i="6"/>
  <c r="AU66" i="6"/>
  <c r="AW66" i="6" s="1"/>
  <c r="AV44" i="6"/>
  <c r="AU46" i="6"/>
  <c r="AW46" i="6" s="1"/>
  <c r="AX46" i="6" s="1"/>
  <c r="AU78" i="6"/>
  <c r="AW78" i="6" s="1"/>
  <c r="AV90" i="6"/>
  <c r="AV91" i="6"/>
  <c r="AV65" i="6"/>
  <c r="AU54" i="6"/>
  <c r="AW54" i="6" s="1"/>
  <c r="AU83" i="6"/>
  <c r="AW83" i="6" s="1"/>
  <c r="AX83" i="6" s="1"/>
  <c r="AV59" i="6"/>
  <c r="AU44" i="6"/>
  <c r="AW44" i="6" s="1"/>
  <c r="AU59" i="6"/>
  <c r="AW59" i="6" s="1"/>
  <c r="AU61" i="6"/>
  <c r="AW61" i="6" s="1"/>
  <c r="AU39" i="6"/>
  <c r="AW39" i="6" s="1"/>
  <c r="AU68" i="6"/>
  <c r="AW68" i="6" s="1"/>
  <c r="AX68" i="6" s="1"/>
  <c r="AV45" i="6"/>
  <c r="AX45" i="6" s="1"/>
  <c r="AV38" i="6"/>
  <c r="AU38" i="6"/>
  <c r="AW38" i="6" s="1"/>
  <c r="AV48" i="6"/>
  <c r="AV39" i="6"/>
  <c r="AU53" i="6"/>
  <c r="AW53" i="6" s="1"/>
  <c r="AU72" i="6"/>
  <c r="AW72" i="6" s="1"/>
  <c r="AV41" i="6"/>
  <c r="AU49" i="6"/>
  <c r="AW49" i="6" s="1"/>
  <c r="AV51" i="6"/>
  <c r="AU43" i="6"/>
  <c r="AW43" i="6" s="1"/>
  <c r="AU77" i="6"/>
  <c r="AW77" i="6" s="1"/>
  <c r="AU71" i="6"/>
  <c r="AW71" i="6" s="1"/>
  <c r="AU89" i="6"/>
  <c r="AW89" i="6" s="1"/>
  <c r="AV61" i="6"/>
  <c r="AU88" i="6"/>
  <c r="AW88" i="6" s="1"/>
  <c r="AV78" i="6"/>
  <c r="AU70" i="6"/>
  <c r="AW70" i="6" s="1"/>
  <c r="V39" i="6"/>
  <c r="V38" i="6" s="1"/>
  <c r="V40" i="6" s="1"/>
  <c r="I266" i="6"/>
  <c r="J266" i="6" s="1"/>
  <c r="I248" i="6"/>
  <c r="J248" i="6" s="1"/>
  <c r="I243" i="6"/>
  <c r="I271" i="6"/>
  <c r="J271" i="6" s="1"/>
  <c r="I265" i="6"/>
  <c r="J265" i="6" s="1"/>
  <c r="I261" i="6"/>
  <c r="J261" i="6" s="1"/>
  <c r="I285" i="6"/>
  <c r="I234" i="6"/>
  <c r="J234" i="6" s="1"/>
  <c r="I256" i="6"/>
  <c r="I280" i="6"/>
  <c r="J280" i="6" s="1"/>
  <c r="I192" i="6"/>
  <c r="AS85" i="6"/>
  <c r="AS83" i="6"/>
  <c r="AS131" i="6"/>
  <c r="AS105" i="6"/>
  <c r="AS175" i="6"/>
  <c r="AS99" i="6"/>
  <c r="AS107" i="6"/>
  <c r="AS150" i="6"/>
  <c r="AS92" i="6"/>
  <c r="AS117" i="6"/>
  <c r="AS84" i="6"/>
  <c r="AS94" i="6"/>
  <c r="AS171" i="6"/>
  <c r="P52" i="6"/>
  <c r="W24" i="6"/>
  <c r="W23" i="6" s="1"/>
  <c r="S24" i="6"/>
  <c r="S23" i="6" s="1"/>
  <c r="I66" i="6"/>
  <c r="I107" i="6"/>
  <c r="J107" i="6" s="1"/>
  <c r="I125" i="6"/>
  <c r="J125" i="6" s="1"/>
  <c r="I136" i="6"/>
  <c r="I143" i="6"/>
  <c r="I28" i="6"/>
  <c r="I70" i="6"/>
  <c r="J70" i="6" s="1"/>
  <c r="I81" i="6"/>
  <c r="I113" i="6"/>
  <c r="J113" i="6" s="1"/>
  <c r="I138" i="6"/>
  <c r="I79" i="6"/>
  <c r="I144" i="6"/>
  <c r="I75" i="6"/>
  <c r="J75" i="6" s="1"/>
  <c r="I153" i="6"/>
  <c r="I85" i="6"/>
  <c r="I86" i="6"/>
  <c r="I158" i="6"/>
  <c r="I71" i="6"/>
  <c r="I108" i="6"/>
  <c r="J108" i="6" s="1"/>
  <c r="I147" i="6"/>
  <c r="I155" i="6"/>
  <c r="I35" i="6"/>
  <c r="I184" i="6"/>
  <c r="J184" i="6" s="1"/>
  <c r="I94" i="6"/>
  <c r="I101" i="6"/>
  <c r="I99" i="6"/>
  <c r="I95" i="6"/>
  <c r="I29" i="6"/>
  <c r="I131" i="6"/>
  <c r="J131" i="6" s="1"/>
  <c r="I24" i="6"/>
  <c r="T51" i="6"/>
  <c r="U51" i="6"/>
  <c r="U54" i="6" s="1"/>
  <c r="U53" i="6" s="1"/>
  <c r="U55" i="6" s="1"/>
  <c r="J255" i="6"/>
  <c r="BH347" i="6"/>
  <c r="BH100" i="6"/>
  <c r="BH246" i="6"/>
  <c r="BH305" i="6"/>
  <c r="BH144" i="6"/>
  <c r="BH259" i="6"/>
  <c r="BH223" i="6"/>
  <c r="BH128" i="6"/>
  <c r="BH61" i="6"/>
  <c r="BH204" i="6"/>
  <c r="BH32" i="6"/>
  <c r="BH157" i="6"/>
  <c r="BH303" i="6"/>
  <c r="BH324" i="6"/>
  <c r="BH290" i="6"/>
  <c r="BH318" i="6"/>
  <c r="BH141" i="6"/>
  <c r="BH79" i="6"/>
  <c r="BH31" i="6"/>
  <c r="BH40" i="6"/>
  <c r="BH156" i="6"/>
  <c r="BH148" i="6"/>
  <c r="BH50" i="6"/>
  <c r="BH102" i="6"/>
  <c r="BH229" i="6"/>
  <c r="BH316" i="6"/>
  <c r="BH308" i="6"/>
  <c r="BH159" i="6"/>
  <c r="BH81" i="6"/>
  <c r="BH26" i="6"/>
  <c r="BH30" i="6"/>
  <c r="BH248" i="6"/>
  <c r="BH227" i="6"/>
  <c r="BH297" i="6"/>
  <c r="BH46" i="6"/>
  <c r="BH123" i="6"/>
  <c r="BH244" i="6"/>
  <c r="BH33" i="6"/>
  <c r="BH310" i="6"/>
  <c r="BH258" i="6"/>
  <c r="BH270" i="6"/>
  <c r="BH343" i="6"/>
  <c r="BH180" i="6"/>
  <c r="BH313" i="6"/>
  <c r="BH284" i="6"/>
  <c r="BH365" i="6"/>
  <c r="BH253" i="6"/>
  <c r="BH203" i="6"/>
  <c r="BH299" i="6"/>
  <c r="BH171" i="6"/>
  <c r="BH288" i="6"/>
  <c r="BH152" i="6"/>
  <c r="BH272" i="6"/>
  <c r="BH92" i="6"/>
  <c r="BH322" i="6"/>
  <c r="BH193" i="6"/>
  <c r="BH302" i="6"/>
  <c r="BH252" i="6"/>
  <c r="BH304" i="6"/>
  <c r="BH363" i="6"/>
  <c r="BH80" i="6"/>
  <c r="BH145" i="6"/>
  <c r="BH200" i="6"/>
  <c r="BH367" i="6"/>
  <c r="BH177" i="6"/>
  <c r="BH69" i="6"/>
  <c r="BH88" i="6"/>
  <c r="BH195" i="6"/>
  <c r="BH358" i="6"/>
  <c r="BH39" i="6"/>
  <c r="BH314" i="6"/>
  <c r="BH336" i="6"/>
  <c r="BH273" i="6"/>
  <c r="BH309" i="6"/>
  <c r="BH295" i="6"/>
  <c r="BH201" i="6"/>
  <c r="BH209" i="6"/>
  <c r="BH346" i="6"/>
  <c r="BH54" i="6"/>
  <c r="BH99" i="6"/>
  <c r="BH105" i="6"/>
  <c r="BH298" i="6"/>
  <c r="BH87" i="6"/>
  <c r="BH361" i="6"/>
  <c r="BH260" i="6"/>
  <c r="BH264" i="6"/>
  <c r="BH301" i="6"/>
  <c r="BH66" i="6"/>
  <c r="BH143" i="6"/>
  <c r="BH335" i="6"/>
  <c r="BH349" i="6"/>
  <c r="BH222" i="6"/>
  <c r="I330" i="6"/>
  <c r="I299" i="6"/>
  <c r="J299" i="6" s="1"/>
  <c r="J292" i="6"/>
  <c r="J74" i="6"/>
  <c r="I190" i="6"/>
  <c r="J190" i="6" s="1"/>
  <c r="AA33" i="6"/>
  <c r="AA39" i="6" s="1"/>
  <c r="AA38" i="6" s="1"/>
  <c r="AA40" i="6" s="1"/>
  <c r="Z35" i="6"/>
  <c r="Z39" i="6" s="1"/>
  <c r="Z38" i="6" s="1"/>
  <c r="Z40" i="6" s="1"/>
  <c r="N24" i="6"/>
  <c r="N23" i="6" s="1"/>
  <c r="P51" i="6"/>
  <c r="P54" i="6" s="1"/>
  <c r="P53" i="6" s="1"/>
  <c r="I118" i="6"/>
  <c r="J118" i="6" s="1"/>
  <c r="I91" i="6"/>
  <c r="I146" i="6"/>
  <c r="I72" i="6"/>
  <c r="J72" i="6" s="1"/>
  <c r="I142" i="6"/>
  <c r="I112" i="6"/>
  <c r="J112" i="6" s="1"/>
  <c r="I152" i="6"/>
  <c r="I109" i="6"/>
  <c r="J109" i="6" s="1"/>
  <c r="I159" i="6"/>
  <c r="I77" i="6"/>
  <c r="I110" i="6"/>
  <c r="J110" i="6" s="1"/>
  <c r="I133" i="6"/>
  <c r="J133" i="6" s="1"/>
  <c r="I132" i="6"/>
  <c r="J132" i="6" s="1"/>
  <c r="I120" i="6"/>
  <c r="J120" i="6" s="1"/>
  <c r="I160" i="6"/>
  <c r="I96" i="6"/>
  <c r="I128" i="6"/>
  <c r="J128" i="6" s="1"/>
  <c r="I157" i="6"/>
  <c r="I185" i="6"/>
  <c r="J185" i="6" s="1"/>
  <c r="I175" i="6"/>
  <c r="J175" i="6" s="1"/>
  <c r="I165" i="6"/>
  <c r="J165" i="6" s="1"/>
  <c r="I161" i="6"/>
  <c r="I167" i="6"/>
  <c r="J167" i="6" s="1"/>
  <c r="I181" i="6"/>
  <c r="J181" i="6" s="1"/>
  <c r="I114" i="6"/>
  <c r="J114" i="6" s="1"/>
  <c r="I173" i="6"/>
  <c r="J173" i="6" s="1"/>
  <c r="I129" i="6"/>
  <c r="J129" i="6" s="1"/>
  <c r="I26" i="6"/>
  <c r="I88" i="6"/>
  <c r="I121" i="6"/>
  <c r="J121" i="6" s="1"/>
  <c r="I20" i="6"/>
  <c r="I182" i="6"/>
  <c r="J182" i="6" s="1"/>
  <c r="I31" i="6"/>
  <c r="I169" i="6"/>
  <c r="J169" i="6" s="1"/>
  <c r="I92" i="6"/>
  <c r="I93" i="6"/>
  <c r="I179" i="6"/>
  <c r="J179" i="6" s="1"/>
  <c r="J297" i="6"/>
  <c r="J315" i="6"/>
  <c r="J308" i="6"/>
  <c r="J310" i="6"/>
  <c r="J295" i="6"/>
  <c r="J303" i="6"/>
  <c r="J290" i="6"/>
  <c r="J304" i="6"/>
  <c r="J294" i="6"/>
  <c r="U39" i="6"/>
  <c r="U38" i="6" s="1"/>
  <c r="N46" i="6"/>
  <c r="N54" i="6" s="1"/>
  <c r="N53" i="6" s="1"/>
  <c r="N55" i="6" s="1"/>
  <c r="M48" i="6"/>
  <c r="M52" i="6"/>
  <c r="I137" i="6"/>
  <c r="I176" i="6"/>
  <c r="J176" i="6" s="1"/>
  <c r="I83" i="6"/>
  <c r="I122" i="6"/>
  <c r="J122" i="6" s="1"/>
  <c r="I127" i="6"/>
  <c r="J127" i="6" s="1"/>
  <c r="I168" i="6"/>
  <c r="J168" i="6" s="1"/>
  <c r="I73" i="6"/>
  <c r="J73" i="6" s="1"/>
  <c r="I67" i="6"/>
  <c r="J67" i="6" s="1"/>
  <c r="I87" i="6"/>
  <c r="I170" i="6"/>
  <c r="J170" i="6" s="1"/>
  <c r="I162" i="6"/>
  <c r="J162" i="6" s="1"/>
  <c r="I98" i="6"/>
  <c r="I156" i="6"/>
  <c r="I84" i="6"/>
  <c r="I141" i="6"/>
  <c r="I149" i="6"/>
  <c r="I135" i="6"/>
  <c r="I100" i="6"/>
  <c r="I188" i="6"/>
  <c r="J188" i="6" s="1"/>
  <c r="I102" i="6"/>
  <c r="I187" i="6"/>
  <c r="J187" i="6" s="1"/>
  <c r="I23" i="6"/>
  <c r="Q54" i="6"/>
  <c r="Q53" i="6" s="1"/>
  <c r="W51" i="6"/>
  <c r="W54" i="6" s="1"/>
  <c r="W53" i="6" s="1"/>
  <c r="V51" i="6"/>
  <c r="V52" i="6"/>
  <c r="J198" i="6"/>
  <c r="J211" i="6"/>
  <c r="I273" i="6"/>
  <c r="J273" i="6" s="1"/>
  <c r="J216" i="6"/>
  <c r="I264" i="6"/>
  <c r="J264" i="6" s="1"/>
  <c r="I205" i="6"/>
  <c r="J205" i="6" s="1"/>
  <c r="I252" i="6"/>
  <c r="J252" i="6" s="1"/>
  <c r="I230" i="6"/>
  <c r="J230" i="6" s="1"/>
  <c r="I225" i="6"/>
  <c r="J225" i="6" s="1"/>
  <c r="I206" i="6"/>
  <c r="J206" i="6" s="1"/>
  <c r="I244" i="6"/>
  <c r="J244" i="6" s="1"/>
  <c r="I270" i="6"/>
  <c r="J270" i="6" s="1"/>
  <c r="I279" i="6"/>
  <c r="J279" i="6" s="1"/>
  <c r="J193" i="6"/>
  <c r="I253" i="6"/>
  <c r="J253" i="6" s="1"/>
  <c r="J215" i="6"/>
  <c r="I224" i="6"/>
  <c r="J224" i="6" s="1"/>
  <c r="I218" i="6"/>
  <c r="J218" i="6" s="1"/>
  <c r="I220" i="6"/>
  <c r="J220" i="6" s="1"/>
  <c r="I217" i="6"/>
  <c r="J217" i="6" s="1"/>
  <c r="I275" i="6"/>
  <c r="J275" i="6" s="1"/>
  <c r="I267" i="6"/>
  <c r="J267" i="6" s="1"/>
  <c r="I209" i="6"/>
  <c r="J209" i="6" s="1"/>
  <c r="I228" i="6"/>
  <c r="J228" i="6" s="1"/>
  <c r="I282" i="6"/>
  <c r="J282" i="6" s="1"/>
  <c r="J251" i="6"/>
  <c r="I278" i="6"/>
  <c r="J278" i="6" s="1"/>
  <c r="J259" i="6"/>
  <c r="I283" i="6"/>
  <c r="J283" i="6" s="1"/>
  <c r="I241" i="6"/>
  <c r="J241" i="6" s="1"/>
  <c r="I246" i="6"/>
  <c r="J246" i="6" s="1"/>
  <c r="I247" i="6"/>
  <c r="J247" i="6" s="1"/>
  <c r="I276" i="6"/>
  <c r="I235" i="6"/>
  <c r="J235" i="6" s="1"/>
  <c r="I254" i="6"/>
  <c r="J254" i="6" s="1"/>
  <c r="I249" i="6"/>
  <c r="J249" i="6" s="1"/>
  <c r="I286" i="6"/>
  <c r="J286" i="6" s="1"/>
  <c r="I195" i="6"/>
  <c r="J195" i="6" s="1"/>
  <c r="I196" i="6"/>
  <c r="J196" i="6" s="1"/>
  <c r="I236" i="6"/>
  <c r="J236" i="6" s="1"/>
  <c r="I263" i="6"/>
  <c r="J263" i="6" s="1"/>
  <c r="I199" i="6"/>
  <c r="J199" i="6" s="1"/>
  <c r="O39" i="6"/>
  <c r="O38" i="6" s="1"/>
  <c r="BH197" i="6"/>
  <c r="BH161" i="6"/>
  <c r="BH115" i="6"/>
  <c r="BH62" i="6"/>
  <c r="BH337" i="6"/>
  <c r="BH327" i="6"/>
  <c r="BH23" i="6"/>
  <c r="BH261" i="6"/>
  <c r="BH183" i="6"/>
  <c r="BH214" i="6"/>
  <c r="BH276" i="6"/>
  <c r="BH372" i="6"/>
  <c r="BH76" i="6"/>
  <c r="BH280" i="6"/>
  <c r="BH98" i="6"/>
  <c r="BH136" i="6"/>
  <c r="BH240" i="6"/>
  <c r="BH130" i="6"/>
  <c r="BH255" i="6"/>
  <c r="BH97" i="6"/>
  <c r="BH198" i="6"/>
  <c r="BH20" i="6"/>
  <c r="BH205" i="6"/>
  <c r="BH53" i="6"/>
  <c r="BH326" i="6"/>
  <c r="BH370" i="6"/>
  <c r="BH323" i="6"/>
  <c r="BH74" i="6"/>
  <c r="BH150" i="6"/>
  <c r="BH271" i="6"/>
  <c r="BH73" i="6"/>
  <c r="BH67" i="6"/>
  <c r="BH65" i="6"/>
  <c r="BH218" i="6"/>
  <c r="BH375" i="6"/>
  <c r="BH232" i="6"/>
  <c r="BH29" i="6"/>
  <c r="BH57" i="6"/>
  <c r="BH373" i="6"/>
  <c r="BH187" i="6"/>
  <c r="BH122" i="6"/>
  <c r="BH137" i="6"/>
  <c r="BH113" i="6"/>
  <c r="BH43" i="6"/>
  <c r="BH235" i="6"/>
  <c r="BH339" i="6"/>
  <c r="BH356" i="6"/>
  <c r="BH182" i="6"/>
  <c r="BH285" i="6"/>
  <c r="BH44" i="6"/>
  <c r="BH84" i="6"/>
  <c r="BH91" i="6"/>
  <c r="BH134" i="6"/>
  <c r="BH238" i="6"/>
  <c r="BH194" i="6"/>
  <c r="BH208" i="6"/>
  <c r="BH121" i="6"/>
  <c r="BH90" i="6"/>
  <c r="BH117" i="6"/>
  <c r="BH275" i="6"/>
  <c r="BH60" i="6"/>
  <c r="BH355" i="6"/>
  <c r="BH221" i="6"/>
  <c r="BH239" i="6"/>
  <c r="BH245" i="6"/>
  <c r="BH300" i="6"/>
  <c r="BH112" i="6"/>
  <c r="BH165" i="6"/>
  <c r="BH52" i="6"/>
  <c r="BH279" i="6"/>
  <c r="BH125" i="6"/>
  <c r="BH331" i="6"/>
  <c r="BH325" i="6"/>
  <c r="BH140" i="6"/>
  <c r="BH95" i="6"/>
  <c r="BH108" i="6"/>
  <c r="BH135" i="6"/>
  <c r="BH75" i="6"/>
  <c r="BH274" i="6"/>
  <c r="BH127" i="6"/>
  <c r="BH82" i="6"/>
  <c r="BH56" i="6"/>
  <c r="BH17" i="6"/>
  <c r="BH225" i="6"/>
  <c r="BH241" i="6"/>
  <c r="BH72" i="6"/>
  <c r="BH377" i="6"/>
  <c r="BH131" i="6"/>
  <c r="BH265" i="6"/>
  <c r="BH350" i="6"/>
  <c r="BH186" i="6"/>
  <c r="BH94" i="6"/>
  <c r="BH345" i="6"/>
  <c r="BH47" i="6"/>
  <c r="BH96" i="6"/>
  <c r="BH78" i="6"/>
  <c r="BH254" i="6"/>
  <c r="BH230" i="6"/>
  <c r="BH233" i="6"/>
  <c r="BH226" i="6"/>
  <c r="BH321" i="6"/>
  <c r="BH296" i="6"/>
  <c r="BH25" i="6"/>
  <c r="BH85" i="6"/>
  <c r="BH286" i="6"/>
  <c r="BH64" i="6"/>
  <c r="BH119" i="6"/>
  <c r="BH162" i="6"/>
  <c r="BH138" i="6"/>
  <c r="BH168" i="6"/>
  <c r="BH202" i="6"/>
  <c r="BH71" i="6"/>
  <c r="BH283" i="6"/>
  <c r="BH175" i="6"/>
  <c r="BH289" i="6"/>
  <c r="BH251" i="6"/>
  <c r="BH357" i="6"/>
  <c r="BH37" i="6"/>
  <c r="BH124" i="6"/>
  <c r="BH354" i="6"/>
  <c r="BH333" i="6"/>
  <c r="BH216" i="6"/>
  <c r="BH236" i="6"/>
  <c r="BH359" i="6"/>
  <c r="AS141" i="6"/>
  <c r="AS121" i="6"/>
  <c r="AS176" i="6"/>
  <c r="AS136" i="6"/>
  <c r="AS126" i="6"/>
  <c r="AS132" i="6"/>
  <c r="AS138" i="6"/>
  <c r="AS188" i="6"/>
  <c r="AS152" i="6"/>
  <c r="AS163" i="6"/>
  <c r="AS102" i="6"/>
  <c r="AS156" i="6"/>
  <c r="AS157" i="6"/>
  <c r="AS97" i="6"/>
  <c r="AS87" i="6"/>
  <c r="AS164" i="6"/>
  <c r="AS112" i="6"/>
  <c r="AS177" i="6"/>
  <c r="AS116" i="6"/>
  <c r="AS101" i="6"/>
  <c r="AS110" i="6"/>
  <c r="AS162" i="6"/>
  <c r="AS178" i="6"/>
  <c r="AS130" i="6"/>
  <c r="AS160" i="6"/>
  <c r="AS118" i="6"/>
  <c r="AS123" i="6"/>
  <c r="AS167" i="6"/>
  <c r="AS88" i="6"/>
  <c r="AS119" i="6"/>
  <c r="AS189" i="6"/>
  <c r="AS93" i="6"/>
  <c r="AS158" i="6"/>
  <c r="AS143" i="6"/>
  <c r="AS148" i="6"/>
  <c r="AS159" i="6"/>
  <c r="AS86" i="6"/>
  <c r="AS181" i="6"/>
  <c r="I174" i="6"/>
  <c r="J174" i="6" s="1"/>
  <c r="I180" i="6"/>
  <c r="J180" i="6" s="1"/>
  <c r="I19" i="6"/>
  <c r="S52" i="6"/>
  <c r="S54" i="6" s="1"/>
  <c r="S53" i="6" s="1"/>
  <c r="AU239" i="6"/>
  <c r="AW239" i="6" s="1"/>
  <c r="AV227" i="6"/>
  <c r="AV215" i="6"/>
  <c r="AU240" i="6"/>
  <c r="AW240" i="6" s="1"/>
  <c r="AV208" i="6"/>
  <c r="AV234" i="6"/>
  <c r="AU227" i="6"/>
  <c r="AW227" i="6" s="1"/>
  <c r="AV224" i="6"/>
  <c r="AU243" i="6"/>
  <c r="AW243" i="6" s="1"/>
  <c r="AU224" i="6"/>
  <c r="AW224" i="6" s="1"/>
  <c r="AX224" i="6" s="1"/>
  <c r="AU251" i="6"/>
  <c r="AW251" i="6" s="1"/>
  <c r="AV226" i="6"/>
  <c r="AV216" i="6"/>
  <c r="AV233" i="6"/>
  <c r="AV241" i="6"/>
  <c r="AU219" i="6"/>
  <c r="AW219" i="6" s="1"/>
  <c r="AU213" i="6"/>
  <c r="AW213" i="6" s="1"/>
  <c r="T52" i="6"/>
  <c r="AU252" i="6"/>
  <c r="AW252" i="6" s="1"/>
  <c r="AV209" i="6"/>
  <c r="AV230" i="6"/>
  <c r="AU253" i="6"/>
  <c r="AW253" i="6" s="1"/>
  <c r="AV258" i="6"/>
  <c r="AV240" i="6"/>
  <c r="AU205" i="6"/>
  <c r="AW205" i="6" s="1"/>
  <c r="AV232" i="6"/>
  <c r="AV248" i="6"/>
  <c r="AV235" i="6"/>
  <c r="AU208" i="6"/>
  <c r="AW208" i="6" s="1"/>
  <c r="AX208" i="6" s="1"/>
  <c r="AV246" i="6"/>
  <c r="AV247" i="6"/>
  <c r="AU218" i="6"/>
  <c r="AW218" i="6" s="1"/>
  <c r="AV219" i="6"/>
  <c r="AU225" i="6"/>
  <c r="AW225" i="6" s="1"/>
  <c r="AU246" i="6"/>
  <c r="AW246" i="6" s="1"/>
  <c r="AV239" i="6"/>
  <c r="AU245" i="6"/>
  <c r="AW245" i="6" s="1"/>
  <c r="AU209" i="6"/>
  <c r="AW209" i="6" s="1"/>
  <c r="AX209" i="6" s="1"/>
  <c r="AV252" i="6"/>
  <c r="AU204" i="6"/>
  <c r="AW204" i="6" s="1"/>
  <c r="AV214" i="6"/>
  <c r="AU242" i="6"/>
  <c r="AW242" i="6" s="1"/>
  <c r="AV206" i="6"/>
  <c r="AU247" i="6"/>
  <c r="AW247" i="6" s="1"/>
  <c r="AU212" i="6"/>
  <c r="AW212" i="6" s="1"/>
  <c r="AV250" i="6"/>
  <c r="AV244" i="6"/>
  <c r="AV242" i="6"/>
  <c r="AU221" i="6"/>
  <c r="AW221" i="6" s="1"/>
  <c r="AU231" i="6"/>
  <c r="AW231" i="6" s="1"/>
  <c r="AU220" i="6"/>
  <c r="AW220" i="6" s="1"/>
  <c r="AV245" i="6"/>
  <c r="AV204" i="6"/>
  <c r="AV257" i="6"/>
  <c r="AU257" i="6"/>
  <c r="AW257" i="6" s="1"/>
  <c r="AU248" i="6"/>
  <c r="AW248" i="6" s="1"/>
  <c r="AV176" i="6"/>
  <c r="AV173" i="6"/>
  <c r="AU128" i="6"/>
  <c r="AW128" i="6" s="1"/>
  <c r="AU121" i="6"/>
  <c r="AW121" i="6" s="1"/>
  <c r="AU106" i="6"/>
  <c r="AW106" i="6" s="1"/>
  <c r="AU99" i="6"/>
  <c r="AW99" i="6" s="1"/>
  <c r="AU97" i="6"/>
  <c r="AW97" i="6" s="1"/>
  <c r="AU96" i="6"/>
  <c r="AW96" i="6" s="1"/>
  <c r="AU95" i="6"/>
  <c r="AW95" i="6" s="1"/>
  <c r="AV199" i="6"/>
  <c r="AV167" i="6"/>
  <c r="AU175" i="6"/>
  <c r="AW175" i="6" s="1"/>
  <c r="AV142" i="6"/>
  <c r="AV110" i="6"/>
  <c r="AV139" i="6"/>
  <c r="AV101" i="6"/>
  <c r="AV195" i="6"/>
  <c r="AU165" i="6"/>
  <c r="AW165" i="6" s="1"/>
  <c r="AU117" i="6"/>
  <c r="AW117" i="6" s="1"/>
  <c r="AV201" i="6"/>
  <c r="AV166" i="6"/>
  <c r="AV140" i="6"/>
  <c r="AV108" i="6"/>
  <c r="AV147" i="6"/>
  <c r="AV157" i="6"/>
  <c r="AV113" i="6"/>
  <c r="AU146" i="6"/>
  <c r="AW146" i="6" s="1"/>
  <c r="AU133" i="6"/>
  <c r="AW133" i="6" s="1"/>
  <c r="AU124" i="6"/>
  <c r="AW124" i="6" s="1"/>
  <c r="AU115" i="6"/>
  <c r="AW115" i="6" s="1"/>
  <c r="AU110" i="6"/>
  <c r="AW110" i="6" s="1"/>
  <c r="AV193" i="6"/>
  <c r="AU166" i="6"/>
  <c r="AW166" i="6" s="1"/>
  <c r="AX166" i="6" s="1"/>
  <c r="AV169" i="6"/>
  <c r="AV104" i="6"/>
  <c r="AV186" i="6"/>
  <c r="AU153" i="6"/>
  <c r="AW153" i="6" s="1"/>
  <c r="AU144" i="6"/>
  <c r="AW144" i="6" s="1"/>
  <c r="AU129" i="6"/>
  <c r="AW129" i="6" s="1"/>
  <c r="AU98" i="6"/>
  <c r="AW98" i="6" s="1"/>
  <c r="AV181" i="6"/>
  <c r="AV120" i="6"/>
  <c r="AV103" i="6"/>
  <c r="AU35" i="6"/>
  <c r="AW35" i="6" s="1"/>
  <c r="AU34" i="6"/>
  <c r="AW34" i="6" s="1"/>
  <c r="AU29" i="6"/>
  <c r="AW29" i="6" s="1"/>
  <c r="AU28" i="6"/>
  <c r="AW28" i="6" s="1"/>
  <c r="AU27" i="6"/>
  <c r="AW27" i="6" s="1"/>
  <c r="AU26" i="6"/>
  <c r="AW26" i="6" s="1"/>
  <c r="AV32" i="6"/>
  <c r="AU15" i="6"/>
  <c r="AU24" i="6"/>
  <c r="AW24" i="6" s="1"/>
  <c r="AV20" i="6"/>
  <c r="AV172" i="6"/>
  <c r="AU156" i="6"/>
  <c r="AW156" i="6" s="1"/>
  <c r="AU152" i="6"/>
  <c r="AW152" i="6" s="1"/>
  <c r="AU145" i="6"/>
  <c r="AW145" i="6" s="1"/>
  <c r="AU134" i="6"/>
  <c r="AW134" i="6" s="1"/>
  <c r="AU116" i="6"/>
  <c r="AW116" i="6" s="1"/>
  <c r="AV202" i="6"/>
  <c r="AU162" i="6"/>
  <c r="AW162" i="6" s="1"/>
  <c r="AV148" i="6"/>
  <c r="AV118" i="6"/>
  <c r="AV151" i="6"/>
  <c r="AU174" i="6"/>
  <c r="AW174" i="6" s="1"/>
  <c r="AV137" i="6"/>
  <c r="AU201" i="6"/>
  <c r="AW201" i="6" s="1"/>
  <c r="AU187" i="6"/>
  <c r="AW187" i="6" s="1"/>
  <c r="AU127" i="6"/>
  <c r="AW127" i="6" s="1"/>
  <c r="AU101" i="6"/>
  <c r="AW101" i="6" s="1"/>
  <c r="AX101" i="6" s="1"/>
  <c r="AU189" i="6"/>
  <c r="AW189" i="6" s="1"/>
  <c r="AU163" i="6"/>
  <c r="AW163" i="6" s="1"/>
  <c r="AV185" i="6"/>
  <c r="AV134" i="6"/>
  <c r="AV102" i="6"/>
  <c r="AV127" i="6"/>
  <c r="AV125" i="6"/>
  <c r="AV190" i="6"/>
  <c r="AU148" i="6"/>
  <c r="AW148" i="6" s="1"/>
  <c r="AU184" i="6"/>
  <c r="AW184" i="6" s="1"/>
  <c r="AU188" i="6"/>
  <c r="AW188" i="6" s="1"/>
  <c r="AV122" i="6"/>
  <c r="AV149" i="6"/>
  <c r="AU157" i="6"/>
  <c r="AW157" i="6" s="1"/>
  <c r="AU173" i="6"/>
  <c r="AW173" i="6" s="1"/>
  <c r="AV106" i="6"/>
  <c r="AV141" i="6"/>
  <c r="AU21" i="6"/>
  <c r="AW21" i="6" s="1"/>
  <c r="AU19" i="6"/>
  <c r="AW19" i="6" s="1"/>
  <c r="AV35" i="6"/>
  <c r="AV19" i="6"/>
  <c r="AU30" i="6"/>
  <c r="AW30" i="6" s="1"/>
  <c r="AV23" i="6"/>
  <c r="AV194" i="6"/>
  <c r="AU139" i="6"/>
  <c r="AW139" i="6" s="1"/>
  <c r="AX139" i="6" s="1"/>
  <c r="AU196" i="6"/>
  <c r="AW196" i="6" s="1"/>
  <c r="AV183" i="6"/>
  <c r="AV111" i="6"/>
  <c r="AU155" i="6"/>
  <c r="AW155" i="6" s="1"/>
  <c r="AV198" i="6"/>
  <c r="AV98" i="6"/>
  <c r="AV29" i="6"/>
  <c r="AU141" i="6"/>
  <c r="AW141" i="6" s="1"/>
  <c r="AX141" i="6" s="1"/>
  <c r="AV177" i="6"/>
  <c r="AU160" i="6"/>
  <c r="AW160" i="6" s="1"/>
  <c r="AU32" i="6"/>
  <c r="AW32" i="6" s="1"/>
  <c r="AX32" i="6" s="1"/>
  <c r="AU186" i="6"/>
  <c r="AW186" i="6" s="1"/>
  <c r="AV143" i="6"/>
  <c r="AU114" i="6"/>
  <c r="AW114" i="6" s="1"/>
  <c r="AV112" i="6"/>
  <c r="AU23" i="6"/>
  <c r="AW23" i="6" s="1"/>
  <c r="AX23" i="6" s="1"/>
  <c r="AV162" i="6"/>
  <c r="AU125" i="6"/>
  <c r="AW125" i="6" s="1"/>
  <c r="AX125" i="6" s="1"/>
  <c r="AU111" i="6"/>
  <c r="AW111" i="6" s="1"/>
  <c r="AX111" i="6" s="1"/>
  <c r="AU182" i="6"/>
  <c r="AW182" i="6" s="1"/>
  <c r="AV165" i="6"/>
  <c r="AU172" i="6"/>
  <c r="AW172" i="6" s="1"/>
  <c r="AU185" i="6"/>
  <c r="AW185" i="6" s="1"/>
  <c r="AU171" i="6"/>
  <c r="AW171" i="6" s="1"/>
  <c r="AU107" i="6"/>
  <c r="AW107" i="6" s="1"/>
  <c r="AU190" i="6"/>
  <c r="AW190" i="6" s="1"/>
  <c r="AV123" i="6"/>
  <c r="AV30" i="6"/>
  <c r="AV92" i="6"/>
  <c r="AU132" i="6"/>
  <c r="AW132" i="6" s="1"/>
  <c r="AV96" i="6"/>
  <c r="AV144" i="6"/>
  <c r="AV26" i="6"/>
  <c r="AV25" i="6"/>
  <c r="AU164" i="6"/>
  <c r="AW164" i="6" s="1"/>
  <c r="AV105" i="6"/>
  <c r="AV182" i="6"/>
  <c r="AV33" i="6"/>
  <c r="AV298" i="6"/>
  <c r="AV266" i="6"/>
  <c r="AU303" i="6"/>
  <c r="AW303" i="6" s="1"/>
  <c r="AV279" i="6"/>
  <c r="AU268" i="6"/>
  <c r="AW268" i="6" s="1"/>
  <c r="AU311" i="6"/>
  <c r="AW311" i="6" s="1"/>
  <c r="AU306" i="6"/>
  <c r="AW306" i="6" s="1"/>
  <c r="AU305" i="6"/>
  <c r="AW305" i="6" s="1"/>
  <c r="AV303" i="6"/>
  <c r="AU293" i="6"/>
  <c r="AW293" i="6" s="1"/>
  <c r="AU274" i="6"/>
  <c r="AW274" i="6" s="1"/>
  <c r="AV267" i="6"/>
  <c r="AU298" i="6"/>
  <c r="AW298" i="6" s="1"/>
  <c r="AX298" i="6" s="1"/>
  <c r="AU266" i="6"/>
  <c r="AW266" i="6" s="1"/>
  <c r="AX266" i="6" s="1"/>
  <c r="AU287" i="6"/>
  <c r="AW287" i="6" s="1"/>
  <c r="AV263" i="6"/>
  <c r="AU280" i="6"/>
  <c r="AW280" i="6" s="1"/>
  <c r="AV286" i="6"/>
  <c r="AU263" i="6"/>
  <c r="AW263" i="6" s="1"/>
  <c r="AU261" i="6"/>
  <c r="AW261" i="6" s="1"/>
  <c r="AV275" i="6"/>
  <c r="AV315" i="6"/>
  <c r="AU308" i="6"/>
  <c r="AW308" i="6" s="1"/>
  <c r="AU292" i="6"/>
  <c r="AW292" i="6" s="1"/>
  <c r="AU288" i="6"/>
  <c r="AW288" i="6" s="1"/>
  <c r="AU279" i="6"/>
  <c r="AW279" i="6" s="1"/>
  <c r="AX279" i="6" s="1"/>
  <c r="AV271" i="6"/>
  <c r="AU302" i="6"/>
  <c r="AW302" i="6" s="1"/>
  <c r="AV278" i="6"/>
  <c r="AU314" i="6"/>
  <c r="AW314" i="6" s="1"/>
  <c r="AV260" i="6"/>
  <c r="AV288" i="6"/>
  <c r="AV261" i="6"/>
  <c r="AV265" i="6"/>
  <c r="AV285" i="6"/>
  <c r="AV304" i="6"/>
  <c r="AV293" i="6"/>
  <c r="AU312" i="6"/>
  <c r="AW312" i="6" s="1"/>
  <c r="AU299" i="6"/>
  <c r="AW299" i="6" s="1"/>
  <c r="AU297" i="6"/>
  <c r="AW297" i="6" s="1"/>
  <c r="AU265" i="6"/>
  <c r="AW265" i="6" s="1"/>
  <c r="AV300" i="6"/>
  <c r="AU315" i="6"/>
  <c r="AW315" i="6" s="1"/>
  <c r="AV280" i="6"/>
  <c r="AV277" i="6"/>
  <c r="AU277" i="6"/>
  <c r="AW277" i="6" s="1"/>
  <c r="AU301" i="6"/>
  <c r="AW301" i="6" s="1"/>
  <c r="AV295" i="6"/>
  <c r="AV308" i="6"/>
  <c r="AU278" i="6"/>
  <c r="AW278" i="6" s="1"/>
  <c r="AU285" i="6"/>
  <c r="AW285" i="6" s="1"/>
  <c r="AX285" i="6" s="1"/>
  <c r="AV281" i="6"/>
  <c r="AV292" i="6"/>
  <c r="AU234" i="6"/>
  <c r="AW234" i="6" s="1"/>
  <c r="AX234" i="6" s="1"/>
  <c r="AV210" i="6"/>
  <c r="AV160" i="6"/>
  <c r="AU126" i="6"/>
  <c r="AW126" i="6" s="1"/>
  <c r="AU179" i="6"/>
  <c r="AW179" i="6" s="1"/>
  <c r="AV124" i="6"/>
  <c r="AV107" i="6"/>
  <c r="AV175" i="6"/>
  <c r="AU102" i="6"/>
  <c r="AW102" i="6" s="1"/>
  <c r="AX102" i="6" s="1"/>
  <c r="AU177" i="6"/>
  <c r="AW177" i="6" s="1"/>
  <c r="AX177" i="6" s="1"/>
  <c r="AV126" i="6"/>
  <c r="AV115" i="6"/>
  <c r="AV174" i="6"/>
  <c r="AU130" i="6"/>
  <c r="AW130" i="6" s="1"/>
  <c r="AU112" i="6"/>
  <c r="AW112" i="6" s="1"/>
  <c r="AU180" i="6"/>
  <c r="AW180" i="6" s="1"/>
  <c r="AV136" i="6"/>
  <c r="AU167" i="6"/>
  <c r="AW167" i="6" s="1"/>
  <c r="AV203" i="6"/>
  <c r="AV184" i="6"/>
  <c r="AV24" i="6"/>
  <c r="AV28" i="6"/>
  <c r="AV189" i="6"/>
  <c r="AU150" i="6"/>
  <c r="AW150" i="6" s="1"/>
  <c r="AU119" i="6"/>
  <c r="AW119" i="6" s="1"/>
  <c r="AU195" i="6"/>
  <c r="AW195" i="6" s="1"/>
  <c r="AV187" i="6"/>
  <c r="AV100" i="6"/>
  <c r="AV133" i="6"/>
  <c r="AU199" i="6"/>
  <c r="AW199" i="6" s="1"/>
  <c r="AX199" i="6" s="1"/>
  <c r="AU120" i="6"/>
  <c r="AW120" i="6" s="1"/>
  <c r="AX120" i="6" s="1"/>
  <c r="AV170" i="6"/>
  <c r="AV150" i="6"/>
  <c r="AV180" i="6"/>
  <c r="AV121" i="6"/>
  <c r="AU138" i="6"/>
  <c r="AW138" i="6" s="1"/>
  <c r="AU202" i="6"/>
  <c r="AW202" i="6" s="1"/>
  <c r="AX202" i="6" s="1"/>
  <c r="AU170" i="6"/>
  <c r="AW170" i="6" s="1"/>
  <c r="AX170" i="6" s="1"/>
  <c r="AV152" i="6"/>
  <c r="AU178" i="6"/>
  <c r="AW178" i="6" s="1"/>
  <c r="AV179" i="6"/>
  <c r="AU194" i="6"/>
  <c r="AW194" i="6" s="1"/>
  <c r="AX194" i="6" s="1"/>
  <c r="AV138" i="6"/>
  <c r="AV145" i="6"/>
  <c r="AU18" i="6"/>
  <c r="AW18" i="6" s="1"/>
  <c r="AU31" i="6"/>
  <c r="AW31" i="6" s="1"/>
  <c r="AV16" i="6"/>
  <c r="AU118" i="6"/>
  <c r="AW118" i="6" s="1"/>
  <c r="AV114" i="6"/>
  <c r="AU142" i="6"/>
  <c r="AW142" i="6" s="1"/>
  <c r="AV109" i="6"/>
  <c r="AU22" i="6"/>
  <c r="AW22" i="6" s="1"/>
  <c r="AV22" i="6"/>
  <c r="AU181" i="6"/>
  <c r="AW181" i="6" s="1"/>
  <c r="AU137" i="6"/>
  <c r="AW137" i="6" s="1"/>
  <c r="AX137" i="6" s="1"/>
  <c r="AU161" i="6"/>
  <c r="AW161" i="6" s="1"/>
  <c r="AV17" i="6"/>
  <c r="AU168" i="6"/>
  <c r="AW168" i="6" s="1"/>
  <c r="AV146" i="6"/>
  <c r="AU100" i="6"/>
  <c r="AW100" i="6" s="1"/>
  <c r="AX100" i="6" s="1"/>
  <c r="AV21" i="6"/>
  <c r="AV178" i="6"/>
  <c r="AV163" i="6"/>
  <c r="AU17" i="6"/>
  <c r="AW17" i="6" s="1"/>
  <c r="AU123" i="6"/>
  <c r="AW123" i="6" s="1"/>
  <c r="AU151" i="6"/>
  <c r="AW151" i="6" s="1"/>
  <c r="AX151" i="6" s="1"/>
  <c r="AV18" i="6"/>
  <c r="AV282" i="6"/>
  <c r="AV310" i="6"/>
  <c r="AU271" i="6"/>
  <c r="AW271" i="6" s="1"/>
  <c r="AX271" i="6" s="1"/>
  <c r="AU310" i="6"/>
  <c r="AW310" i="6" s="1"/>
  <c r="AX310" i="6" s="1"/>
  <c r="AU304" i="6"/>
  <c r="AW304" i="6" s="1"/>
  <c r="AU294" i="6"/>
  <c r="AW294" i="6" s="1"/>
  <c r="AU289" i="6"/>
  <c r="AW289" i="6" s="1"/>
  <c r="AU273" i="6"/>
  <c r="AW273" i="6" s="1"/>
  <c r="AV274" i="6"/>
  <c r="AU286" i="6"/>
  <c r="AW286" i="6" s="1"/>
  <c r="AX286" i="6" s="1"/>
  <c r="AV302" i="6"/>
  <c r="AU262" i="6"/>
  <c r="AW262" i="6" s="1"/>
  <c r="AU264" i="6"/>
  <c r="AW264" i="6" s="1"/>
  <c r="AV299" i="6"/>
  <c r="AV287" i="6"/>
  <c r="AV311" i="6"/>
  <c r="AU270" i="6"/>
  <c r="AW270" i="6" s="1"/>
  <c r="AV262" i="6"/>
  <c r="AV296" i="6"/>
  <c r="AV313" i="6"/>
  <c r="AV272" i="6"/>
  <c r="AV284" i="6"/>
  <c r="AU307" i="6"/>
  <c r="AW307" i="6" s="1"/>
  <c r="AV309" i="6"/>
  <c r="AV305" i="6"/>
  <c r="AV264" i="6"/>
  <c r="AU284" i="6"/>
  <c r="AW284" i="6" s="1"/>
  <c r="AU283" i="6"/>
  <c r="AW283" i="6" s="1"/>
  <c r="AV268" i="6"/>
  <c r="AV276" i="6"/>
  <c r="AV205" i="6"/>
  <c r="AV249" i="6"/>
  <c r="AV192" i="6"/>
  <c r="AU131" i="6"/>
  <c r="AW131" i="6" s="1"/>
  <c r="AU108" i="6"/>
  <c r="AW108" i="6" s="1"/>
  <c r="AU192" i="6"/>
  <c r="AW192" i="6" s="1"/>
  <c r="AV158" i="6"/>
  <c r="AU176" i="6"/>
  <c r="AW176" i="6" s="1"/>
  <c r="AX176" i="6" s="1"/>
  <c r="AV129" i="6"/>
  <c r="AV159" i="6"/>
  <c r="AU193" i="6"/>
  <c r="AW193" i="6" s="1"/>
  <c r="AX193" i="6" s="1"/>
  <c r="AV156" i="6"/>
  <c r="AV94" i="6"/>
  <c r="AV93" i="6"/>
  <c r="AU140" i="6"/>
  <c r="AW140" i="6" s="1"/>
  <c r="AX140" i="6" s="1"/>
  <c r="AU122" i="6"/>
  <c r="AW122" i="6" s="1"/>
  <c r="AX122" i="6" s="1"/>
  <c r="AU104" i="6"/>
  <c r="AW104" i="6" s="1"/>
  <c r="AV197" i="6"/>
  <c r="AV99" i="6"/>
  <c r="AV154" i="6"/>
  <c r="AV153" i="6"/>
  <c r="AU25" i="6"/>
  <c r="AW25" i="6" s="1"/>
  <c r="AX25" i="6" s="1"/>
  <c r="AV188" i="6"/>
  <c r="AU154" i="6"/>
  <c r="AW154" i="6" s="1"/>
  <c r="AX154" i="6" s="1"/>
  <c r="AU143" i="6"/>
  <c r="AW143" i="6" s="1"/>
  <c r="AX143" i="6" s="1"/>
  <c r="AU94" i="6"/>
  <c r="AW94" i="6" s="1"/>
  <c r="AV171" i="6"/>
  <c r="AV132" i="6"/>
  <c r="AV119" i="6"/>
  <c r="AU203" i="6"/>
  <c r="AW203" i="6" s="1"/>
  <c r="AX203" i="6" s="1"/>
  <c r="AU169" i="6"/>
  <c r="AW169" i="6" s="1"/>
  <c r="AX169" i="6" s="1"/>
  <c r="AV196" i="6"/>
  <c r="AU159" i="6"/>
  <c r="AW159" i="6" s="1"/>
  <c r="AV116" i="6"/>
  <c r="AV95" i="6"/>
  <c r="AU158" i="6"/>
  <c r="AW158" i="6" s="1"/>
  <c r="AU136" i="6"/>
  <c r="AW136" i="6" s="1"/>
  <c r="AU198" i="6"/>
  <c r="AW198" i="6" s="1"/>
  <c r="AX198" i="6" s="1"/>
  <c r="AV161" i="6"/>
  <c r="AV131" i="6"/>
  <c r="AU183" i="6"/>
  <c r="AW183" i="6" s="1"/>
  <c r="AU109" i="6"/>
  <c r="AW109" i="6" s="1"/>
  <c r="AX109" i="6" s="1"/>
  <c r="AV168" i="6"/>
  <c r="AV135" i="6"/>
  <c r="AU20" i="6"/>
  <c r="AW20" i="6" s="1"/>
  <c r="AV27" i="6"/>
  <c r="AV31" i="6"/>
  <c r="AU147" i="6"/>
  <c r="AW147" i="6" s="1"/>
  <c r="AX147" i="6" s="1"/>
  <c r="AV200" i="6"/>
  <c r="AU197" i="6"/>
  <c r="AW197" i="6" s="1"/>
  <c r="AX197" i="6" s="1"/>
  <c r="AV164" i="6"/>
  <c r="AU33" i="6"/>
  <c r="AW33" i="6" s="1"/>
  <c r="AX33" i="6" s="1"/>
  <c r="AU16" i="6"/>
  <c r="AW16" i="6" s="1"/>
  <c r="AU113" i="6"/>
  <c r="AW113" i="6" s="1"/>
  <c r="AX113" i="6" s="1"/>
  <c r="AV155" i="6"/>
  <c r="AU105" i="6"/>
  <c r="AW105" i="6" s="1"/>
  <c r="AX105" i="6" s="1"/>
  <c r="AV191" i="6"/>
  <c r="AV34" i="6"/>
  <c r="AU135" i="6"/>
  <c r="AW135" i="6" s="1"/>
  <c r="AU103" i="6"/>
  <c r="AW103" i="6" s="1"/>
  <c r="AX103" i="6" s="1"/>
  <c r="AU191" i="6"/>
  <c r="AW191" i="6" s="1"/>
  <c r="AX191" i="6" s="1"/>
  <c r="AV117" i="6"/>
  <c r="AV130" i="6"/>
  <c r="AV15" i="6"/>
  <c r="AU200" i="6"/>
  <c r="AW200" i="6" s="1"/>
  <c r="AX200" i="6" s="1"/>
  <c r="AV97" i="6"/>
  <c r="AU149" i="6"/>
  <c r="AW149" i="6" s="1"/>
  <c r="AV128" i="6"/>
  <c r="AU93" i="6"/>
  <c r="AW93" i="6" s="1"/>
  <c r="AU92" i="6"/>
  <c r="AW92" i="6" s="1"/>
  <c r="AX92" i="6" s="1"/>
  <c r="AV314" i="6"/>
  <c r="AU260" i="6"/>
  <c r="AW260" i="6" s="1"/>
  <c r="AX260" i="6" s="1"/>
  <c r="AU300" i="6"/>
  <c r="AW300" i="6" s="1"/>
  <c r="AU267" i="6"/>
  <c r="AW267" i="6" s="1"/>
  <c r="AX267" i="6" s="1"/>
  <c r="AU295" i="6"/>
  <c r="AW295" i="6" s="1"/>
  <c r="AU290" i="6"/>
  <c r="AW290" i="6" s="1"/>
  <c r="AV283" i="6"/>
  <c r="AV306" i="6"/>
  <c r="AV289" i="6"/>
  <c r="AV290" i="6"/>
  <c r="AV270" i="6"/>
  <c r="AV307" i="6"/>
  <c r="AU309" i="6"/>
  <c r="AW309" i="6" s="1"/>
  <c r="AU291" i="6"/>
  <c r="AW291" i="6" s="1"/>
  <c r="AU272" i="6"/>
  <c r="AW272" i="6" s="1"/>
  <c r="AX272" i="6" s="1"/>
  <c r="AU281" i="6"/>
  <c r="AW281" i="6" s="1"/>
  <c r="AX281" i="6" s="1"/>
  <c r="AV291" i="6"/>
  <c r="AU296" i="6"/>
  <c r="AW296" i="6" s="1"/>
  <c r="AU275" i="6"/>
  <c r="AW275" i="6" s="1"/>
  <c r="AX275" i="6" s="1"/>
  <c r="AV294" i="6"/>
  <c r="AV297" i="6"/>
  <c r="AU282" i="6"/>
  <c r="AW282" i="6" s="1"/>
  <c r="AU276" i="6"/>
  <c r="AW276" i="6" s="1"/>
  <c r="AV312" i="6"/>
  <c r="AV301" i="6"/>
  <c r="AU269" i="6"/>
  <c r="AW269" i="6" s="1"/>
  <c r="AU313" i="6"/>
  <c r="AW313" i="6" s="1"/>
  <c r="AV273" i="6"/>
  <c r="AV269" i="6"/>
  <c r="AV256" i="6"/>
  <c r="AU235" i="6"/>
  <c r="AW235" i="6" s="1"/>
  <c r="AX235" i="6" s="1"/>
  <c r="AU223" i="6"/>
  <c r="AW223" i="6" s="1"/>
  <c r="AV254" i="6"/>
  <c r="AV223" i="6"/>
  <c r="AV237" i="6"/>
  <c r="AU250" i="6"/>
  <c r="AW250" i="6" s="1"/>
  <c r="AX250" i="6" s="1"/>
  <c r="AV253" i="6"/>
  <c r="AX253" i="6" s="1"/>
  <c r="AV236" i="6"/>
  <c r="AU211" i="6"/>
  <c r="AW211" i="6" s="1"/>
  <c r="AU236" i="6"/>
  <c r="AW236" i="6" s="1"/>
  <c r="AX236" i="6" s="1"/>
  <c r="AV207" i="6"/>
  <c r="AU206" i="6"/>
  <c r="AW206" i="6" s="1"/>
  <c r="AX206" i="6" s="1"/>
  <c r="AV229" i="6"/>
  <c r="AV221" i="6"/>
  <c r="AX221" i="6" s="1"/>
  <c r="AU259" i="6"/>
  <c r="AW259" i="6" s="1"/>
  <c r="AU241" i="6"/>
  <c r="AW241" i="6" s="1"/>
  <c r="AX241" i="6" s="1"/>
  <c r="AU238" i="6"/>
  <c r="AW238" i="6" s="1"/>
  <c r="AV211" i="6"/>
  <c r="AU214" i="6"/>
  <c r="AW214" i="6" s="1"/>
  <c r="AU217" i="6"/>
  <c r="AW217" i="6" s="1"/>
  <c r="AV212" i="6"/>
  <c r="AU210" i="6"/>
  <c r="AW210" i="6" s="1"/>
  <c r="AX210" i="6" s="1"/>
  <c r="AV217" i="6"/>
  <c r="AU255" i="6"/>
  <c r="AW255" i="6" s="1"/>
  <c r="AU254" i="6"/>
  <c r="AW254" i="6" s="1"/>
  <c r="AX254" i="6" s="1"/>
  <c r="AU258" i="6"/>
  <c r="AW258" i="6" s="1"/>
  <c r="AX258" i="6" s="1"/>
  <c r="AV243" i="6"/>
  <c r="AV231" i="6"/>
  <c r="AX231" i="6" s="1"/>
  <c r="AU216" i="6"/>
  <c r="AW216" i="6" s="1"/>
  <c r="AU244" i="6"/>
  <c r="AW244" i="6" s="1"/>
  <c r="AX244" i="6" s="1"/>
  <c r="AU215" i="6"/>
  <c r="AW215" i="6" s="1"/>
  <c r="AU256" i="6"/>
  <c r="AW256" i="6" s="1"/>
  <c r="AX256" i="6" s="1"/>
  <c r="AU237" i="6"/>
  <c r="AW237" i="6" s="1"/>
  <c r="AX237" i="6" s="1"/>
  <c r="AV218" i="6"/>
  <c r="AX218" i="6" s="1"/>
  <c r="AV259" i="6"/>
  <c r="AU249" i="6"/>
  <c r="AW249" i="6" s="1"/>
  <c r="AX249" i="6" s="1"/>
  <c r="AV251" i="6"/>
  <c r="AU226" i="6"/>
  <c r="AW226" i="6" s="1"/>
  <c r="AX226" i="6" s="1"/>
  <c r="AU207" i="6"/>
  <c r="AW207" i="6" s="1"/>
  <c r="AX207" i="6" s="1"/>
  <c r="AV213" i="6"/>
  <c r="AX213" i="6" s="1"/>
  <c r="AV238" i="6"/>
  <c r="AV228" i="6"/>
  <c r="AU228" i="6"/>
  <c r="AW228" i="6" s="1"/>
  <c r="AV255" i="6"/>
  <c r="AV225" i="6"/>
  <c r="AX225" i="6" s="1"/>
  <c r="AU230" i="6"/>
  <c r="AW230" i="6" s="1"/>
  <c r="AX230" i="6" s="1"/>
  <c r="AV222" i="6"/>
  <c r="AV220" i="6"/>
  <c r="AX220" i="6" s="1"/>
  <c r="AU222" i="6"/>
  <c r="AW222" i="6" s="1"/>
  <c r="AX222" i="6" s="1"/>
  <c r="AU229" i="6"/>
  <c r="AW229" i="6" s="1"/>
  <c r="AU232" i="6"/>
  <c r="AW232" i="6" s="1"/>
  <c r="AX232" i="6" s="1"/>
  <c r="AU233" i="6"/>
  <c r="AW233" i="6" s="1"/>
  <c r="AX233" i="6" s="1"/>
  <c r="J213" i="6"/>
  <c r="J203" i="6"/>
  <c r="J194" i="6"/>
  <c r="J202" i="6"/>
  <c r="J201" i="6"/>
  <c r="I214" i="6"/>
  <c r="J214" i="6" s="1"/>
  <c r="I200" i="6"/>
  <c r="J200" i="6" s="1"/>
  <c r="J250" i="6"/>
  <c r="I197" i="6"/>
  <c r="J197" i="6" s="1"/>
  <c r="I210" i="6"/>
  <c r="J210" i="6" s="1"/>
  <c r="I274" i="6"/>
  <c r="J274" i="6" s="1"/>
  <c r="I229" i="6"/>
  <c r="J229" i="6" s="1"/>
  <c r="J208" i="6"/>
  <c r="I204" i="6"/>
  <c r="J204" i="6" s="1"/>
  <c r="I240" i="6"/>
  <c r="J240" i="6" s="1"/>
  <c r="I288" i="6"/>
  <c r="J288" i="6" s="1"/>
  <c r="I207" i="6"/>
  <c r="J207" i="6" s="1"/>
  <c r="I212" i="6"/>
  <c r="J212" i="6" s="1"/>
  <c r="I269" i="6"/>
  <c r="J269" i="6" s="1"/>
  <c r="I191" i="6"/>
  <c r="J191" i="6" s="1"/>
  <c r="J243" i="6"/>
  <c r="I242" i="6"/>
  <c r="J242" i="6" s="1"/>
  <c r="I281" i="6"/>
  <c r="J281" i="6" s="1"/>
  <c r="I258" i="6"/>
  <c r="J258" i="6" s="1"/>
  <c r="I272" i="6"/>
  <c r="J272" i="6" s="1"/>
  <c r="J256" i="6"/>
  <c r="I260" i="6"/>
  <c r="J260" i="6" s="1"/>
  <c r="J192" i="6"/>
  <c r="P39" i="6"/>
  <c r="P38" i="6" s="1"/>
  <c r="P40" i="6" s="1"/>
  <c r="Q39" i="6"/>
  <c r="Q38" i="6" s="1"/>
  <c r="N31" i="6"/>
  <c r="N39" i="6" s="1"/>
  <c r="N38" i="6" s="1"/>
  <c r="N40" i="6" s="1"/>
  <c r="M33" i="6"/>
  <c r="BH344" i="6"/>
  <c r="BH338" i="6"/>
  <c r="BH364" i="6"/>
  <c r="BH126" i="6"/>
  <c r="BH160" i="6"/>
  <c r="BH215" i="6"/>
  <c r="BH341" i="6"/>
  <c r="BH307" i="6"/>
  <c r="BH70" i="6"/>
  <c r="BH114" i="6"/>
  <c r="BH38" i="6"/>
  <c r="BH45" i="6"/>
  <c r="BH312" i="6"/>
  <c r="BH330" i="6"/>
  <c r="BH158" i="6"/>
  <c r="BH154" i="6"/>
  <c r="BH378" i="6"/>
  <c r="BH268" i="6"/>
  <c r="BH59" i="6"/>
  <c r="BH379" i="6"/>
  <c r="BH178" i="6"/>
  <c r="BH41" i="6"/>
  <c r="BH278" i="6"/>
  <c r="BH116" i="6"/>
  <c r="BH111" i="6"/>
  <c r="BH15" i="6"/>
  <c r="BH342" i="6"/>
  <c r="BH132" i="6"/>
  <c r="BH185" i="6"/>
  <c r="BH366" i="6"/>
  <c r="BH129" i="6"/>
  <c r="BH191" i="6"/>
  <c r="BH291" i="6"/>
  <c r="BH315" i="6"/>
  <c r="BH58" i="6"/>
  <c r="BH192" i="6"/>
  <c r="BH262" i="6"/>
  <c r="BH219" i="6"/>
  <c r="BH68" i="6"/>
  <c r="BH151" i="6"/>
  <c r="BH220" i="6"/>
  <c r="BH169" i="6"/>
  <c r="BH282" i="6"/>
  <c r="BH28" i="6"/>
  <c r="BH334" i="6"/>
  <c r="BH133" i="6"/>
  <c r="BH247" i="6"/>
  <c r="BH329" i="6"/>
  <c r="BH35" i="6"/>
  <c r="BH55" i="6"/>
  <c r="BH184" i="6"/>
  <c r="BH351" i="6"/>
  <c r="BH146" i="6"/>
  <c r="BH292" i="6"/>
  <c r="BH320" i="6"/>
  <c r="BH22" i="6"/>
  <c r="BH172" i="6"/>
  <c r="BH376" i="6"/>
  <c r="AS169" i="6"/>
  <c r="AS185" i="6"/>
  <c r="AS111" i="6"/>
  <c r="AS108" i="6"/>
  <c r="AS147" i="6"/>
  <c r="AS95" i="6"/>
  <c r="AS161" i="6"/>
  <c r="AS79" i="6"/>
  <c r="AS100" i="6"/>
  <c r="AS114" i="6"/>
  <c r="AS151" i="6"/>
  <c r="AS98" i="6"/>
  <c r="AS170" i="6"/>
  <c r="AS154" i="6"/>
  <c r="AS179" i="6"/>
  <c r="AS80" i="6"/>
  <c r="AS139" i="6"/>
  <c r="AS127" i="6"/>
  <c r="AS155" i="6"/>
  <c r="AS183" i="6"/>
  <c r="I51" i="6"/>
  <c r="I42" i="6"/>
  <c r="I52" i="6"/>
  <c r="I38" i="6"/>
  <c r="I36" i="6"/>
  <c r="I53" i="6"/>
  <c r="I56" i="6"/>
  <c r="I48" i="6"/>
  <c r="I57" i="6"/>
  <c r="I40" i="6"/>
  <c r="I60" i="6"/>
  <c r="I63" i="6"/>
  <c r="J71" i="6"/>
  <c r="I372" i="6"/>
  <c r="I309" i="6"/>
  <c r="J309" i="6" s="1"/>
  <c r="I324" i="6"/>
  <c r="I371" i="6"/>
  <c r="J371" i="6" s="1"/>
  <c r="AX66" i="6"/>
  <c r="AX54" i="6"/>
  <c r="AX37" i="6"/>
  <c r="AX72" i="6"/>
  <c r="AX71" i="6"/>
  <c r="AX89" i="6"/>
  <c r="J76" i="6"/>
  <c r="J65" i="6"/>
  <c r="J64" i="6"/>
  <c r="J66" i="6"/>
  <c r="J69" i="6"/>
  <c r="J277" i="6"/>
  <c r="J285" i="6"/>
  <c r="J276" i="6"/>
  <c r="Y52" i="6"/>
  <c r="AU316" i="6"/>
  <c r="AW316" i="6" s="1"/>
  <c r="AV316" i="6"/>
  <c r="AV12" i="6" s="1"/>
  <c r="AV379" i="6"/>
  <c r="AU379" i="6"/>
  <c r="AW379" i="6" s="1"/>
  <c r="AU374" i="6"/>
  <c r="AW374" i="6" s="1"/>
  <c r="AV377" i="6"/>
  <c r="AU372" i="6"/>
  <c r="AW372" i="6" s="1"/>
  <c r="AU375" i="6"/>
  <c r="AW375" i="6" s="1"/>
  <c r="AU377" i="6"/>
  <c r="AW377" i="6" s="1"/>
  <c r="AV378" i="6"/>
  <c r="AU380" i="6"/>
  <c r="AW380" i="6" s="1"/>
  <c r="Z52" i="6"/>
  <c r="AU378" i="6"/>
  <c r="AW378" i="6" s="1"/>
  <c r="AV380" i="6"/>
  <c r="AV373" i="6"/>
  <c r="AV376" i="6"/>
  <c r="AV375" i="6"/>
  <c r="AV372" i="6"/>
  <c r="AU373" i="6"/>
  <c r="AW373" i="6" s="1"/>
  <c r="AX373" i="6" s="1"/>
  <c r="AU376" i="6"/>
  <c r="AW376" i="6" s="1"/>
  <c r="AX376" i="6" s="1"/>
  <c r="AV374" i="6"/>
  <c r="AV361" i="6"/>
  <c r="AV342" i="6"/>
  <c r="AV340" i="6"/>
  <c r="AU319" i="6"/>
  <c r="AW319" i="6" s="1"/>
  <c r="AU370" i="6"/>
  <c r="AW370" i="6" s="1"/>
  <c r="AV354" i="6"/>
  <c r="AU368" i="6"/>
  <c r="AW368" i="6" s="1"/>
  <c r="AV360" i="6"/>
  <c r="AU323" i="6"/>
  <c r="AW323" i="6" s="1"/>
  <c r="AU330" i="6"/>
  <c r="AW330" i="6" s="1"/>
  <c r="AV339" i="6"/>
  <c r="AU369" i="6"/>
  <c r="AW369" i="6" s="1"/>
  <c r="AU357" i="6"/>
  <c r="AW357" i="6" s="1"/>
  <c r="AU354" i="6"/>
  <c r="AW354" i="6" s="1"/>
  <c r="AX354" i="6" s="1"/>
  <c r="AV355" i="6"/>
  <c r="AU345" i="6"/>
  <c r="AW345" i="6" s="1"/>
  <c r="AV330" i="6"/>
  <c r="AV336" i="6"/>
  <c r="AU344" i="6"/>
  <c r="AW344" i="6" s="1"/>
  <c r="AU362" i="6"/>
  <c r="AW362" i="6" s="1"/>
  <c r="AU347" i="6"/>
  <c r="AW347" i="6" s="1"/>
  <c r="AU340" i="6"/>
  <c r="AW340" i="6" s="1"/>
  <c r="AV331" i="6"/>
  <c r="AV337" i="6"/>
  <c r="AU358" i="6"/>
  <c r="AW358" i="6" s="1"/>
  <c r="AU332" i="6"/>
  <c r="AW332" i="6" s="1"/>
  <c r="AU321" i="6"/>
  <c r="AW321" i="6" s="1"/>
  <c r="AV317" i="6"/>
  <c r="AV349" i="6"/>
  <c r="AV332" i="6"/>
  <c r="AV370" i="6"/>
  <c r="AU335" i="6"/>
  <c r="AW335" i="6" s="1"/>
  <c r="AU333" i="6"/>
  <c r="AW333" i="6" s="1"/>
  <c r="AU329" i="6"/>
  <c r="AW329" i="6" s="1"/>
  <c r="AU351" i="6"/>
  <c r="AW351" i="6" s="1"/>
  <c r="AV358" i="6"/>
  <c r="AV364" i="6"/>
  <c r="AU328" i="6"/>
  <c r="AW328" i="6" s="1"/>
  <c r="AV368" i="6"/>
  <c r="AV345" i="6"/>
  <c r="AU366" i="6"/>
  <c r="AW366" i="6" s="1"/>
  <c r="AV369" i="6"/>
  <c r="AV363" i="6"/>
  <c r="AV371" i="6"/>
  <c r="AU339" i="6"/>
  <c r="AW339" i="6" s="1"/>
  <c r="AX339" i="6" s="1"/>
  <c r="AV327" i="6"/>
  <c r="AV335" i="6"/>
  <c r="AV344" i="6"/>
  <c r="AV329" i="6"/>
  <c r="AU337" i="6"/>
  <c r="AW337" i="6" s="1"/>
  <c r="AX337" i="6" s="1"/>
  <c r="AU326" i="6"/>
  <c r="AW326" i="6" s="1"/>
  <c r="AV334" i="6"/>
  <c r="AU336" i="6"/>
  <c r="AW336" i="6" s="1"/>
  <c r="AU341" i="6"/>
  <c r="AW341" i="6" s="1"/>
  <c r="AU371" i="6"/>
  <c r="AW371" i="6" s="1"/>
  <c r="AV351" i="6"/>
  <c r="AV326" i="6"/>
  <c r="AU331" i="6"/>
  <c r="AW331" i="6" s="1"/>
  <c r="AU327" i="6"/>
  <c r="AW327" i="6" s="1"/>
  <c r="AV366" i="6"/>
  <c r="AV362" i="6"/>
  <c r="AV333" i="6"/>
  <c r="AU348" i="6"/>
  <c r="AW348" i="6" s="1"/>
  <c r="AU324" i="6"/>
  <c r="AW324" i="6" s="1"/>
  <c r="AU322" i="6"/>
  <c r="AW322" i="6" s="1"/>
  <c r="AU342" i="6"/>
  <c r="AW342" i="6" s="1"/>
  <c r="AX342" i="6" s="1"/>
  <c r="AV323" i="6"/>
  <c r="AU367" i="6"/>
  <c r="AW367" i="6" s="1"/>
  <c r="AV365" i="6"/>
  <c r="AU352" i="6"/>
  <c r="AW352" i="6" s="1"/>
  <c r="AV347" i="6"/>
  <c r="AU346" i="6"/>
  <c r="AW346" i="6" s="1"/>
  <c r="AV367" i="6"/>
  <c r="AU320" i="6"/>
  <c r="AW320" i="6" s="1"/>
  <c r="AV318" i="6"/>
  <c r="AU356" i="6"/>
  <c r="AW356" i="6" s="1"/>
  <c r="AU353" i="6"/>
  <c r="AW353" i="6" s="1"/>
  <c r="AV348" i="6"/>
  <c r="AU325" i="6"/>
  <c r="AW325" i="6" s="1"/>
  <c r="AU350" i="6"/>
  <c r="AW350" i="6" s="1"/>
  <c r="AV356" i="6"/>
  <c r="AU363" i="6"/>
  <c r="AW363" i="6" s="1"/>
  <c r="AV319" i="6"/>
  <c r="AU343" i="6"/>
  <c r="AW343" i="6" s="1"/>
  <c r="AU318" i="6"/>
  <c r="AW318" i="6" s="1"/>
  <c r="AX318" i="6" s="1"/>
  <c r="AU338" i="6"/>
  <c r="AW338" i="6" s="1"/>
  <c r="AU359" i="6"/>
  <c r="AW359" i="6" s="1"/>
  <c r="AV338" i="6"/>
  <c r="AU355" i="6"/>
  <c r="AW355" i="6" s="1"/>
  <c r="AX355" i="6" s="1"/>
  <c r="AU365" i="6"/>
  <c r="AW365" i="6" s="1"/>
  <c r="AV321" i="6"/>
  <c r="AU349" i="6"/>
  <c r="AW349" i="6" s="1"/>
  <c r="AV328" i="6"/>
  <c r="AV343" i="6"/>
  <c r="AV352" i="6"/>
  <c r="AU360" i="6"/>
  <c r="AW360" i="6" s="1"/>
  <c r="AX360" i="6" s="1"/>
  <c r="AU334" i="6"/>
  <c r="AW334" i="6" s="1"/>
  <c r="AU361" i="6"/>
  <c r="AW361" i="6" s="1"/>
  <c r="AV350" i="6"/>
  <c r="AU317" i="6"/>
  <c r="AW317" i="6" s="1"/>
  <c r="AX317" i="6" s="1"/>
  <c r="AV353" i="6"/>
  <c r="AV325" i="6"/>
  <c r="AV322" i="6"/>
  <c r="AV359" i="6"/>
  <c r="AU364" i="6"/>
  <c r="AW364" i="6" s="1"/>
  <c r="AX364" i="6" s="1"/>
  <c r="AV346" i="6"/>
  <c r="AV341" i="6"/>
  <c r="AV357" i="6"/>
  <c r="AV320" i="6"/>
  <c r="AV324" i="6"/>
  <c r="Y51" i="6"/>
  <c r="I58" i="6"/>
  <c r="I46" i="6"/>
  <c r="I54" i="6"/>
  <c r="G13" i="6"/>
  <c r="G12" i="6"/>
  <c r="I55" i="6"/>
  <c r="I44" i="6"/>
  <c r="I49" i="6"/>
  <c r="I50" i="6"/>
  <c r="I37" i="6"/>
  <c r="I357" i="6"/>
  <c r="I311" i="6"/>
  <c r="J311" i="6" s="1"/>
  <c r="I349" i="6"/>
  <c r="I352" i="6"/>
  <c r="I377" i="6"/>
  <c r="I313" i="6"/>
  <c r="J313" i="6" s="1"/>
  <c r="I291" i="6"/>
  <c r="J291" i="6" s="1"/>
  <c r="I336" i="6"/>
  <c r="I301" i="6"/>
  <c r="J301" i="6" s="1"/>
  <c r="I300" i="6"/>
  <c r="J300" i="6" s="1"/>
  <c r="I298" i="6"/>
  <c r="J298" i="6" s="1"/>
  <c r="I334" i="6"/>
  <c r="I302" i="6"/>
  <c r="J302" i="6" s="1"/>
  <c r="I305" i="6"/>
  <c r="J305" i="6" s="1"/>
  <c r="I327" i="6"/>
  <c r="I337" i="6"/>
  <c r="I354" i="6"/>
  <c r="I368" i="6"/>
  <c r="J368" i="6" s="1"/>
  <c r="I373" i="6"/>
  <c r="I340" i="6"/>
  <c r="I325" i="6"/>
  <c r="I360" i="6"/>
  <c r="J360" i="6" s="1"/>
  <c r="I350" i="6"/>
  <c r="I367" i="6"/>
  <c r="J367" i="6" s="1"/>
  <c r="I370" i="6"/>
  <c r="J370" i="6" s="1"/>
  <c r="I379" i="6"/>
  <c r="I316" i="6"/>
  <c r="I321" i="6"/>
  <c r="I341" i="6"/>
  <c r="I289" i="6"/>
  <c r="J289" i="6" s="1"/>
  <c r="I317" i="6"/>
  <c r="I335" i="6"/>
  <c r="I342" i="6"/>
  <c r="AK24" i="6"/>
  <c r="AK23" i="6" s="1"/>
  <c r="AK25" i="6" s="1"/>
  <c r="M36" i="6"/>
  <c r="X37" i="6"/>
  <c r="AP311" i="6"/>
  <c r="AR311" i="6" s="1"/>
  <c r="AQ304" i="6"/>
  <c r="AP338" i="6"/>
  <c r="AR338" i="6" s="1"/>
  <c r="AQ337" i="6"/>
  <c r="AP331" i="6"/>
  <c r="AR331" i="6" s="1"/>
  <c r="AQ346" i="6"/>
  <c r="AQ373" i="6"/>
  <c r="AQ340" i="6"/>
  <c r="AQ374" i="6"/>
  <c r="AP325" i="6"/>
  <c r="AR325" i="6" s="1"/>
  <c r="AQ308" i="6"/>
  <c r="AP326" i="6"/>
  <c r="AR326" i="6" s="1"/>
  <c r="AQ305" i="6"/>
  <c r="AP349" i="6"/>
  <c r="AR349" i="6" s="1"/>
  <c r="AP353" i="6"/>
  <c r="AR353" i="6" s="1"/>
  <c r="AQ379" i="6"/>
  <c r="AQ320" i="6"/>
  <c r="AP369" i="6"/>
  <c r="AR369" i="6" s="1"/>
  <c r="AQ327" i="6"/>
  <c r="AQ380" i="6"/>
  <c r="AP330" i="6"/>
  <c r="AR330" i="6" s="1"/>
  <c r="AQ365" i="6"/>
  <c r="AQ336" i="6"/>
  <c r="AQ376" i="6"/>
  <c r="AQ332" i="6"/>
  <c r="AP315" i="6"/>
  <c r="AR315" i="6" s="1"/>
  <c r="AP354" i="6"/>
  <c r="AR354" i="6" s="1"/>
  <c r="AP348" i="6"/>
  <c r="AR348" i="6" s="1"/>
  <c r="AP358" i="6"/>
  <c r="AR358" i="6" s="1"/>
  <c r="AP343" i="6"/>
  <c r="AR343" i="6" s="1"/>
  <c r="AQ321" i="6"/>
  <c r="AQ356" i="6"/>
  <c r="AP379" i="6"/>
  <c r="AR379" i="6" s="1"/>
  <c r="AP344" i="6"/>
  <c r="AR344" i="6" s="1"/>
  <c r="AP355" i="6"/>
  <c r="AR355" i="6" s="1"/>
  <c r="AP305" i="6"/>
  <c r="AR305" i="6" s="1"/>
  <c r="AP347" i="6"/>
  <c r="AR347" i="6" s="1"/>
  <c r="AQ368" i="6"/>
  <c r="AP332" i="6"/>
  <c r="AR332" i="6" s="1"/>
  <c r="AS332" i="6" s="1"/>
  <c r="AP374" i="6"/>
  <c r="AR374" i="6" s="1"/>
  <c r="AQ319" i="6"/>
  <c r="AP329" i="6"/>
  <c r="AR329" i="6" s="1"/>
  <c r="AQ348" i="6"/>
  <c r="AP368" i="6"/>
  <c r="AR368" i="6" s="1"/>
  <c r="AS368" i="6" s="1"/>
  <c r="AQ342" i="6"/>
  <c r="AP352" i="6"/>
  <c r="AR352" i="6" s="1"/>
  <c r="AQ363" i="6"/>
  <c r="AQ328" i="6"/>
  <c r="AP328" i="6"/>
  <c r="AR328" i="6" s="1"/>
  <c r="AP372" i="6"/>
  <c r="AR372" i="6" s="1"/>
  <c r="AQ318" i="6"/>
  <c r="AP306" i="6"/>
  <c r="AR306" i="6" s="1"/>
  <c r="AQ302" i="6"/>
  <c r="AQ360" i="6"/>
  <c r="AP313" i="6"/>
  <c r="AR313" i="6" s="1"/>
  <c r="AQ326" i="6"/>
  <c r="AQ347" i="6"/>
  <c r="AP340" i="6"/>
  <c r="AR340" i="6" s="1"/>
  <c r="AS340" i="6" s="1"/>
  <c r="AP377" i="6"/>
  <c r="AR377" i="6" s="1"/>
  <c r="AP359" i="6"/>
  <c r="AR359" i="6" s="1"/>
  <c r="AP323" i="6"/>
  <c r="AR323" i="6" s="1"/>
  <c r="AP335" i="6"/>
  <c r="AR335" i="6" s="1"/>
  <c r="AQ322" i="6"/>
  <c r="AQ367" i="6"/>
  <c r="AP336" i="6"/>
  <c r="AR336" i="6" s="1"/>
  <c r="AS336" i="6" s="1"/>
  <c r="AQ310" i="6"/>
  <c r="AP346" i="6"/>
  <c r="AR346" i="6" s="1"/>
  <c r="AQ338" i="6"/>
  <c r="AP365" i="6"/>
  <c r="AR365" i="6" s="1"/>
  <c r="AP308" i="6"/>
  <c r="AR308" i="6" s="1"/>
  <c r="AP321" i="6"/>
  <c r="AR321" i="6" s="1"/>
  <c r="AS321" i="6" s="1"/>
  <c r="AQ378" i="6"/>
  <c r="AP342" i="6"/>
  <c r="AR342" i="6" s="1"/>
  <c r="AS342" i="6" s="1"/>
  <c r="AQ330" i="6"/>
  <c r="AQ314" i="6"/>
  <c r="AQ352" i="6"/>
  <c r="AQ361" i="6"/>
  <c r="AP367" i="6"/>
  <c r="AR367" i="6" s="1"/>
  <c r="AS367" i="6" s="1"/>
  <c r="AQ351" i="6"/>
  <c r="AQ312" i="6"/>
  <c r="AP318" i="6"/>
  <c r="AR318" i="6" s="1"/>
  <c r="AS318" i="6" s="1"/>
  <c r="AQ345" i="6"/>
  <c r="AP341" i="6"/>
  <c r="AR341" i="6" s="1"/>
  <c r="AP366" i="6"/>
  <c r="AR366" i="6" s="1"/>
  <c r="AP362" i="6"/>
  <c r="AR362" i="6" s="1"/>
  <c r="AQ309" i="6"/>
  <c r="AQ306" i="6"/>
  <c r="AP351" i="6"/>
  <c r="AR351" i="6" s="1"/>
  <c r="AP373" i="6"/>
  <c r="AR373" i="6" s="1"/>
  <c r="AS373" i="6" s="1"/>
  <c r="AQ325" i="6"/>
  <c r="AQ371" i="6"/>
  <c r="AQ317" i="6"/>
  <c r="AQ354" i="6"/>
  <c r="AQ377" i="6"/>
  <c r="AP357" i="6"/>
  <c r="AR357" i="6" s="1"/>
  <c r="AQ369" i="6"/>
  <c r="AQ366" i="6"/>
  <c r="AQ311" i="6"/>
  <c r="AP360" i="6"/>
  <c r="AR360" i="6" s="1"/>
  <c r="AP378" i="6"/>
  <c r="AR378" i="6" s="1"/>
  <c r="AS378" i="6" s="1"/>
  <c r="AP309" i="6"/>
  <c r="AR309" i="6" s="1"/>
  <c r="AP312" i="6"/>
  <c r="AR312" i="6" s="1"/>
  <c r="AS312" i="6" s="1"/>
  <c r="AQ358" i="6"/>
  <c r="AQ315" i="6"/>
  <c r="AP320" i="6"/>
  <c r="AR320" i="6" s="1"/>
  <c r="AS320" i="6" s="1"/>
  <c r="AP303" i="6"/>
  <c r="AR303" i="6" s="1"/>
  <c r="AQ333" i="6"/>
  <c r="AP327" i="6"/>
  <c r="AR327" i="6" s="1"/>
  <c r="AQ350" i="6"/>
  <c r="AQ375" i="6"/>
  <c r="AQ303" i="6"/>
  <c r="AQ316" i="6"/>
  <c r="AQ323" i="6"/>
  <c r="AP364" i="6"/>
  <c r="AR364" i="6" s="1"/>
  <c r="AQ331" i="6"/>
  <c r="AP370" i="6"/>
  <c r="AR370" i="6" s="1"/>
  <c r="AQ355" i="6"/>
  <c r="AQ313" i="6"/>
  <c r="AP324" i="6"/>
  <c r="AR324" i="6" s="1"/>
  <c r="AQ226" i="6"/>
  <c r="AP242" i="6"/>
  <c r="AR242" i="6" s="1"/>
  <c r="AP225" i="6"/>
  <c r="AR225" i="6" s="1"/>
  <c r="AQ199" i="6"/>
  <c r="AP238" i="6"/>
  <c r="AR238" i="6" s="1"/>
  <c r="AQ200" i="6"/>
  <c r="AP196" i="6"/>
  <c r="AR196" i="6" s="1"/>
  <c r="AQ233" i="6"/>
  <c r="AQ214" i="6"/>
  <c r="AQ195" i="6"/>
  <c r="AQ239" i="6"/>
  <c r="AQ217" i="6"/>
  <c r="AQ202" i="6"/>
  <c r="AP219" i="6"/>
  <c r="AR219" i="6" s="1"/>
  <c r="AQ212" i="6"/>
  <c r="AQ207" i="6"/>
  <c r="AQ235" i="6"/>
  <c r="AQ344" i="6"/>
  <c r="AP361" i="6"/>
  <c r="AR361" i="6" s="1"/>
  <c r="AP307" i="6"/>
  <c r="AR307" i="6" s="1"/>
  <c r="AP376" i="6"/>
  <c r="AR376" i="6" s="1"/>
  <c r="AS376" i="6" s="1"/>
  <c r="AP350" i="6"/>
  <c r="AR350" i="6" s="1"/>
  <c r="AS350" i="6" s="1"/>
  <c r="AQ324" i="6"/>
  <c r="AP333" i="6"/>
  <c r="AR333" i="6" s="1"/>
  <c r="AS333" i="6" s="1"/>
  <c r="AQ335" i="6"/>
  <c r="AP314" i="6"/>
  <c r="AR314" i="6" s="1"/>
  <c r="AS314" i="6" s="1"/>
  <c r="AQ339" i="6"/>
  <c r="AP339" i="6"/>
  <c r="AR339" i="6" s="1"/>
  <c r="AQ329" i="6"/>
  <c r="AP363" i="6"/>
  <c r="AR363" i="6" s="1"/>
  <c r="AS363" i="6" s="1"/>
  <c r="AQ349" i="6"/>
  <c r="AP319" i="6"/>
  <c r="AR319" i="6" s="1"/>
  <c r="AS319" i="6" s="1"/>
  <c r="AP337" i="6"/>
  <c r="AR337" i="6" s="1"/>
  <c r="AS337" i="6" s="1"/>
  <c r="AP334" i="6"/>
  <c r="AR334" i="6" s="1"/>
  <c r="AQ307" i="6"/>
  <c r="AP310" i="6"/>
  <c r="AR310" i="6" s="1"/>
  <c r="AQ334" i="6"/>
  <c r="AP316" i="6"/>
  <c r="AR316" i="6" s="1"/>
  <c r="AQ370" i="6"/>
  <c r="AQ343" i="6"/>
  <c r="AP304" i="6"/>
  <c r="AR304" i="6" s="1"/>
  <c r="AS304" i="6" s="1"/>
  <c r="AQ357" i="6"/>
  <c r="AQ364" i="6"/>
  <c r="AP317" i="6"/>
  <c r="AR317" i="6" s="1"/>
  <c r="AP302" i="6"/>
  <c r="AR302" i="6" s="1"/>
  <c r="AQ362" i="6"/>
  <c r="AQ359" i="6"/>
  <c r="AQ372" i="6"/>
  <c r="AP380" i="6"/>
  <c r="AR380" i="6" s="1"/>
  <c r="AS380" i="6" s="1"/>
  <c r="AP322" i="6"/>
  <c r="AR322" i="6" s="1"/>
  <c r="AS322" i="6" s="1"/>
  <c r="AQ353" i="6"/>
  <c r="AP371" i="6"/>
  <c r="AR371" i="6" s="1"/>
  <c r="AS371" i="6" s="1"/>
  <c r="AP345" i="6"/>
  <c r="AR345" i="6" s="1"/>
  <c r="AS345" i="6" s="1"/>
  <c r="AP356" i="6"/>
  <c r="AR356" i="6" s="1"/>
  <c r="AS356" i="6" s="1"/>
  <c r="AP375" i="6"/>
  <c r="AR375" i="6" s="1"/>
  <c r="AS375" i="6" s="1"/>
  <c r="AQ341" i="6"/>
  <c r="AQ198" i="6"/>
  <c r="AQ245" i="6"/>
  <c r="AP202" i="6"/>
  <c r="AR202" i="6" s="1"/>
  <c r="AS202" i="6" s="1"/>
  <c r="AP206" i="6"/>
  <c r="AR206" i="6" s="1"/>
  <c r="AP230" i="6"/>
  <c r="AR230" i="6" s="1"/>
  <c r="AQ192" i="6"/>
  <c r="AQ222" i="6"/>
  <c r="AQ227" i="6"/>
  <c r="AQ210" i="6"/>
  <c r="AP221" i="6"/>
  <c r="AR221" i="6" s="1"/>
  <c r="AQ234" i="6"/>
  <c r="AQ194" i="6"/>
  <c r="AQ236" i="6"/>
  <c r="AQ211" i="6"/>
  <c r="AP224" i="6"/>
  <c r="AR224" i="6" s="1"/>
  <c r="AP223" i="6"/>
  <c r="AR223" i="6" s="1"/>
  <c r="AQ229" i="6"/>
  <c r="AP205" i="6"/>
  <c r="AR205" i="6" s="1"/>
  <c r="AP231" i="6"/>
  <c r="AR231" i="6" s="1"/>
  <c r="AP217" i="6"/>
  <c r="AR217" i="6" s="1"/>
  <c r="AS217" i="6" s="1"/>
  <c r="AP229" i="6"/>
  <c r="AR229" i="6" s="1"/>
  <c r="AS229" i="6" s="1"/>
  <c r="AP215" i="6"/>
  <c r="AR215" i="6" s="1"/>
  <c r="AQ223" i="6"/>
  <c r="AP234" i="6"/>
  <c r="AR234" i="6" s="1"/>
  <c r="AP209" i="6"/>
  <c r="AR209" i="6" s="1"/>
  <c r="AP207" i="6"/>
  <c r="AR207" i="6" s="1"/>
  <c r="AS207" i="6" s="1"/>
  <c r="AQ244" i="6"/>
  <c r="AQ221" i="6"/>
  <c r="AQ197" i="6"/>
  <c r="AQ218" i="6"/>
  <c r="AP236" i="6"/>
  <c r="AR236" i="6" s="1"/>
  <c r="AS236" i="6" s="1"/>
  <c r="AP203" i="6"/>
  <c r="AR203" i="6" s="1"/>
  <c r="AP213" i="6"/>
  <c r="AR213" i="6" s="1"/>
  <c r="AQ242" i="6"/>
  <c r="AP243" i="6"/>
  <c r="AR243" i="6" s="1"/>
  <c r="AP241" i="6"/>
  <c r="AR241" i="6" s="1"/>
  <c r="AQ225" i="6"/>
  <c r="AP239" i="6"/>
  <c r="AR239" i="6" s="1"/>
  <c r="AP212" i="6"/>
  <c r="AR212" i="6" s="1"/>
  <c r="AS212" i="6" s="1"/>
  <c r="AQ220" i="6"/>
  <c r="AP195" i="6"/>
  <c r="AR195" i="6" s="1"/>
  <c r="AP245" i="6"/>
  <c r="AR245" i="6" s="1"/>
  <c r="AS245" i="6" s="1"/>
  <c r="AQ205" i="6"/>
  <c r="AP201" i="6"/>
  <c r="AR201" i="6" s="1"/>
  <c r="AQ243" i="6"/>
  <c r="AQ240" i="6"/>
  <c r="AQ208" i="6"/>
  <c r="AP200" i="6"/>
  <c r="AR200" i="6" s="1"/>
  <c r="AS200" i="6" s="1"/>
  <c r="AQ204" i="6"/>
  <c r="AQ238" i="6"/>
  <c r="AP258" i="6"/>
  <c r="AR258" i="6" s="1"/>
  <c r="AQ287" i="6"/>
  <c r="AQ288" i="6"/>
  <c r="AP282" i="6"/>
  <c r="AR282" i="6" s="1"/>
  <c r="AP251" i="6"/>
  <c r="AR251" i="6" s="1"/>
  <c r="AP275" i="6"/>
  <c r="AR275" i="6" s="1"/>
  <c r="AQ298" i="6"/>
  <c r="AQ265" i="6"/>
  <c r="AQ297" i="6"/>
  <c r="AQ260" i="6"/>
  <c r="AQ293" i="6"/>
  <c r="AP254" i="6"/>
  <c r="AR254" i="6" s="1"/>
  <c r="AQ290" i="6"/>
  <c r="AP271" i="6"/>
  <c r="AR271" i="6" s="1"/>
  <c r="AQ273" i="6"/>
  <c r="AQ266" i="6"/>
  <c r="AQ270" i="6"/>
  <c r="AQ251" i="6"/>
  <c r="AP260" i="6"/>
  <c r="AR260" i="6" s="1"/>
  <c r="AQ268" i="6"/>
  <c r="AQ275" i="6"/>
  <c r="AP256" i="6"/>
  <c r="AR256" i="6" s="1"/>
  <c r="AQ264" i="6"/>
  <c r="AP301" i="6"/>
  <c r="AR301" i="6" s="1"/>
  <c r="AQ267" i="6"/>
  <c r="AQ272" i="6"/>
  <c r="AP255" i="6"/>
  <c r="AR255" i="6" s="1"/>
  <c r="AQ262" i="6"/>
  <c r="AQ301" i="6"/>
  <c r="AP263" i="6"/>
  <c r="AR263" i="6" s="1"/>
  <c r="AP298" i="6"/>
  <c r="AR298" i="6" s="1"/>
  <c r="AS298" i="6" s="1"/>
  <c r="AQ286" i="6"/>
  <c r="AQ248" i="6"/>
  <c r="AP283" i="6"/>
  <c r="AR283" i="6" s="1"/>
  <c r="AP287" i="6"/>
  <c r="AR287" i="6" s="1"/>
  <c r="AQ280" i="6"/>
  <c r="AP276" i="6"/>
  <c r="AR276" i="6" s="1"/>
  <c r="AP280" i="6"/>
  <c r="AR280" i="6" s="1"/>
  <c r="AS280" i="6" s="1"/>
  <c r="AQ249" i="6"/>
  <c r="AP248" i="6"/>
  <c r="AR248" i="6" s="1"/>
  <c r="AP286" i="6"/>
  <c r="AR286" i="6" s="1"/>
  <c r="AP293" i="6"/>
  <c r="AR293" i="6" s="1"/>
  <c r="AP273" i="6"/>
  <c r="AR273" i="6" s="1"/>
  <c r="AS273" i="6" s="1"/>
  <c r="AP285" i="6"/>
  <c r="AR285" i="6" s="1"/>
  <c r="AQ300" i="6"/>
  <c r="AP278" i="6"/>
  <c r="AR278" i="6" s="1"/>
  <c r="AP299" i="6"/>
  <c r="AR299" i="6" s="1"/>
  <c r="AP288" i="6"/>
  <c r="AR288" i="6" s="1"/>
  <c r="AP265" i="6"/>
  <c r="AR265" i="6" s="1"/>
  <c r="AQ274" i="6"/>
  <c r="AQ256" i="6"/>
  <c r="AP289" i="6"/>
  <c r="AR289" i="6" s="1"/>
  <c r="AQ247" i="6"/>
  <c r="AQ241" i="6"/>
  <c r="AP204" i="6"/>
  <c r="AR204" i="6" s="1"/>
  <c r="AS204" i="6" s="1"/>
  <c r="AP233" i="6"/>
  <c r="AR233" i="6" s="1"/>
  <c r="AS233" i="6" s="1"/>
  <c r="AP226" i="6"/>
  <c r="AR226" i="6" s="1"/>
  <c r="AS226" i="6" s="1"/>
  <c r="AP191" i="6"/>
  <c r="AR191" i="6" s="1"/>
  <c r="AQ206" i="6"/>
  <c r="AP227" i="6"/>
  <c r="AR227" i="6" s="1"/>
  <c r="AS227" i="6" s="1"/>
  <c r="AQ237" i="6"/>
  <c r="AQ209" i="6"/>
  <c r="AQ201" i="6"/>
  <c r="AQ191" i="6"/>
  <c r="AP222" i="6"/>
  <c r="AR222" i="6" s="1"/>
  <c r="AS222" i="6" s="1"/>
  <c r="AQ215" i="6"/>
  <c r="AP240" i="6"/>
  <c r="AR240" i="6" s="1"/>
  <c r="AQ230" i="6"/>
  <c r="AP198" i="6"/>
  <c r="AR198" i="6" s="1"/>
  <c r="AS198" i="6" s="1"/>
  <c r="AQ203" i="6"/>
  <c r="AQ216" i="6"/>
  <c r="AP218" i="6"/>
  <c r="AR218" i="6" s="1"/>
  <c r="AS218" i="6" s="1"/>
  <c r="AP194" i="6"/>
  <c r="AR194" i="6" s="1"/>
  <c r="AQ232" i="6"/>
  <c r="AP208" i="6"/>
  <c r="AR208" i="6" s="1"/>
  <c r="AS208" i="6" s="1"/>
  <c r="AP211" i="6"/>
  <c r="AR211" i="6" s="1"/>
  <c r="AS211" i="6" s="1"/>
  <c r="AP216" i="6"/>
  <c r="AR216" i="6" s="1"/>
  <c r="AS216" i="6" s="1"/>
  <c r="AP214" i="6"/>
  <c r="AR214" i="6" s="1"/>
  <c r="AQ193" i="6"/>
  <c r="AP228" i="6"/>
  <c r="AR228" i="6" s="1"/>
  <c r="AP244" i="6"/>
  <c r="AR244" i="6" s="1"/>
  <c r="AS244" i="6" s="1"/>
  <c r="AP192" i="6"/>
  <c r="AR192" i="6" s="1"/>
  <c r="AS192" i="6" s="1"/>
  <c r="AQ213" i="6"/>
  <c r="AQ224" i="6"/>
  <c r="AP193" i="6"/>
  <c r="AR193" i="6" s="1"/>
  <c r="AS193" i="6" s="1"/>
  <c r="AP232" i="6"/>
  <c r="AR232" i="6" s="1"/>
  <c r="AS232" i="6" s="1"/>
  <c r="AQ231" i="6"/>
  <c r="AP197" i="6"/>
  <c r="AR197" i="6" s="1"/>
  <c r="AQ196" i="6"/>
  <c r="AP237" i="6"/>
  <c r="AR237" i="6" s="1"/>
  <c r="AQ228" i="6"/>
  <c r="AP220" i="6"/>
  <c r="AR220" i="6" s="1"/>
  <c r="AS220" i="6" s="1"/>
  <c r="AP235" i="6"/>
  <c r="AR235" i="6" s="1"/>
  <c r="AS235" i="6" s="1"/>
  <c r="AQ219" i="6"/>
  <c r="AP210" i="6"/>
  <c r="AR210" i="6" s="1"/>
  <c r="AS210" i="6" s="1"/>
  <c r="AP199" i="6"/>
  <c r="AR199" i="6" s="1"/>
  <c r="AS199" i="6" s="1"/>
  <c r="AP269" i="6"/>
  <c r="AR269" i="6" s="1"/>
  <c r="AP297" i="6"/>
  <c r="AR297" i="6" s="1"/>
  <c r="AQ259" i="6"/>
  <c r="AP252" i="6"/>
  <c r="AR252" i="6" s="1"/>
  <c r="AQ269" i="6"/>
  <c r="AP284" i="6"/>
  <c r="AR284" i="6" s="1"/>
  <c r="AP246" i="6"/>
  <c r="AR246" i="6" s="1"/>
  <c r="AQ282" i="6"/>
  <c r="AP270" i="6"/>
  <c r="AR270" i="6" s="1"/>
  <c r="AS270" i="6" s="1"/>
  <c r="AP277" i="6"/>
  <c r="AR277" i="6" s="1"/>
  <c r="AQ279" i="6"/>
  <c r="AP300" i="6"/>
  <c r="AR300" i="6" s="1"/>
  <c r="AQ257" i="6"/>
  <c r="AP262" i="6"/>
  <c r="AR262" i="6" s="1"/>
  <c r="AS262" i="6" s="1"/>
  <c r="AQ299" i="6"/>
  <c r="AQ263" i="6"/>
  <c r="AQ289" i="6"/>
  <c r="AP266" i="6"/>
  <c r="AR266" i="6" s="1"/>
  <c r="AS266" i="6" s="1"/>
  <c r="AQ294" i="6"/>
  <c r="AP268" i="6"/>
  <c r="AR268" i="6" s="1"/>
  <c r="AS268" i="6" s="1"/>
  <c r="AP247" i="6"/>
  <c r="AR247" i="6" s="1"/>
  <c r="AS247" i="6" s="1"/>
  <c r="AP294" i="6"/>
  <c r="AR294" i="6" s="1"/>
  <c r="AQ281" i="6"/>
  <c r="AQ292" i="6"/>
  <c r="AP272" i="6"/>
  <c r="AR272" i="6" s="1"/>
  <c r="AP253" i="6"/>
  <c r="AR253" i="6" s="1"/>
  <c r="AQ278" i="6"/>
  <c r="AQ252" i="6"/>
  <c r="AP296" i="6"/>
  <c r="AR296" i="6" s="1"/>
  <c r="AQ246" i="6"/>
  <c r="AQ277" i="6"/>
  <c r="AP292" i="6"/>
  <c r="AR292" i="6" s="1"/>
  <c r="AS292" i="6" s="1"/>
  <c r="AQ276" i="6"/>
  <c r="AQ283" i="6"/>
  <c r="AQ296" i="6"/>
  <c r="AQ285" i="6"/>
  <c r="AP264" i="6"/>
  <c r="AR264" i="6" s="1"/>
  <c r="AS264" i="6" s="1"/>
  <c r="AP274" i="6"/>
  <c r="AR274" i="6" s="1"/>
  <c r="AS274" i="6" s="1"/>
  <c r="AQ253" i="6"/>
  <c r="AQ271" i="6"/>
  <c r="AQ254" i="6"/>
  <c r="AQ284" i="6"/>
  <c r="AQ255" i="6"/>
  <c r="AP290" i="6"/>
  <c r="AR290" i="6" s="1"/>
  <c r="AP267" i="6"/>
  <c r="AR267" i="6" s="1"/>
  <c r="AS267" i="6" s="1"/>
  <c r="AP295" i="6"/>
  <c r="AR295" i="6" s="1"/>
  <c r="AQ261" i="6"/>
  <c r="AQ295" i="6"/>
  <c r="AP291" i="6"/>
  <c r="AR291" i="6" s="1"/>
  <c r="AP257" i="6"/>
  <c r="AR257" i="6" s="1"/>
  <c r="AP259" i="6"/>
  <c r="AR259" i="6" s="1"/>
  <c r="AS259" i="6" s="1"/>
  <c r="AP261" i="6"/>
  <c r="AR261" i="6" s="1"/>
  <c r="AQ250" i="6"/>
  <c r="AP279" i="6"/>
  <c r="AR279" i="6" s="1"/>
  <c r="AQ291" i="6"/>
  <c r="AP250" i="6"/>
  <c r="AR250" i="6" s="1"/>
  <c r="AP281" i="6"/>
  <c r="AR281" i="6" s="1"/>
  <c r="AS281" i="6" s="1"/>
  <c r="AQ258" i="6"/>
  <c r="AP249" i="6"/>
  <c r="AR249" i="6" s="1"/>
  <c r="AS249" i="6" s="1"/>
  <c r="AX59" i="6"/>
  <c r="AX90" i="6"/>
  <c r="AX53" i="6"/>
  <c r="AX49" i="6"/>
  <c r="AX81" i="6"/>
  <c r="AX43" i="6"/>
  <c r="AX82" i="6"/>
  <c r="AX88" i="6"/>
  <c r="AX63" i="6"/>
  <c r="AX70" i="6"/>
  <c r="X36" i="6"/>
  <c r="F13" i="6"/>
  <c r="I45" i="6"/>
  <c r="I61" i="6"/>
  <c r="I39" i="6"/>
  <c r="I43" i="6"/>
  <c r="P24" i="6"/>
  <c r="P23" i="6" s="1"/>
  <c r="P25" i="6" s="1"/>
  <c r="I374" i="6"/>
  <c r="I312" i="6"/>
  <c r="J312" i="6" s="1"/>
  <c r="I365" i="6"/>
  <c r="J365" i="6" s="1"/>
  <c r="I328" i="6"/>
  <c r="I314" i="6"/>
  <c r="J314" i="6" s="1"/>
  <c r="I320" i="6"/>
  <c r="I293" i="6"/>
  <c r="J293" i="6" s="1"/>
  <c r="I376" i="6"/>
  <c r="I363" i="6"/>
  <c r="J363" i="6" s="1"/>
  <c r="I366" i="6"/>
  <c r="J366" i="6" s="1"/>
  <c r="I296" i="6"/>
  <c r="J296" i="6" s="1"/>
  <c r="I343" i="6"/>
  <c r="I353" i="6"/>
  <c r="I364" i="6"/>
  <c r="J364" i="6" s="1"/>
  <c r="I356" i="6"/>
  <c r="I361" i="6"/>
  <c r="J361" i="6" s="1"/>
  <c r="I375" i="6"/>
  <c r="I306" i="6"/>
  <c r="J306" i="6" s="1"/>
  <c r="I329" i="6"/>
  <c r="I333" i="6"/>
  <c r="I318" i="6"/>
  <c r="AP18" i="6"/>
  <c r="AR18" i="6" s="1"/>
  <c r="AP17" i="6"/>
  <c r="AR17" i="6" s="1"/>
  <c r="AP20" i="6"/>
  <c r="AR20" i="6" s="1"/>
  <c r="AQ16" i="6"/>
  <c r="AQ21" i="6"/>
  <c r="M37" i="6"/>
  <c r="AQ15" i="6"/>
  <c r="AP19" i="6"/>
  <c r="AR19" i="6" s="1"/>
  <c r="AQ17" i="6"/>
  <c r="AQ19" i="6"/>
  <c r="AQ20" i="6"/>
  <c r="AP16" i="6"/>
  <c r="AR16" i="6" s="1"/>
  <c r="AS16" i="6" s="1"/>
  <c r="AP15" i="6"/>
  <c r="AP21" i="6"/>
  <c r="AR21" i="6" s="1"/>
  <c r="AQ18" i="6"/>
  <c r="AW36" i="6"/>
  <c r="AU12" i="6"/>
  <c r="AX55" i="6"/>
  <c r="AX58" i="6"/>
  <c r="AX60" i="6"/>
  <c r="AX76" i="6"/>
  <c r="AX91" i="6"/>
  <c r="O54" i="6"/>
  <c r="O53" i="6" s="1"/>
  <c r="O55" i="6" s="1"/>
  <c r="AX84" i="6"/>
  <c r="AX79" i="6"/>
  <c r="AX42" i="6"/>
  <c r="AX75" i="6"/>
  <c r="AX51" i="6"/>
  <c r="AX69" i="6"/>
  <c r="AX48" i="6"/>
  <c r="F12" i="6"/>
  <c r="I30" i="6"/>
  <c r="H13" i="6"/>
  <c r="H12" i="6"/>
  <c r="AJ24" i="6"/>
  <c r="AJ23" i="6" s="1"/>
  <c r="AJ25" i="6" s="1"/>
  <c r="J77" i="6"/>
  <c r="Q312" i="15" l="1"/>
  <c r="AI11" i="16"/>
  <c r="AM9" i="15"/>
  <c r="AI288" i="1"/>
  <c r="AH288" i="1" s="1"/>
  <c r="AG288" i="1" s="1"/>
  <c r="AF288" i="1" s="1"/>
  <c r="AI187" i="1"/>
  <c r="AH187" i="1" s="1"/>
  <c r="AG187" i="1" s="1"/>
  <c r="AF187" i="1" s="1"/>
  <c r="AK7" i="15"/>
  <c r="AK11" i="15" s="1"/>
  <c r="AE170" i="15"/>
  <c r="Q165" i="15"/>
  <c r="AM5" i="16"/>
  <c r="AI61" i="1"/>
  <c r="AH61" i="1" s="1"/>
  <c r="AG61" i="1" s="1"/>
  <c r="AF61" i="1" s="1"/>
  <c r="AI181" i="1"/>
  <c r="AH181" i="1" s="1"/>
  <c r="AG181" i="1" s="1"/>
  <c r="AF181" i="1" s="1"/>
  <c r="Q191" i="15"/>
  <c r="AE105" i="15"/>
  <c r="AE62" i="15"/>
  <c r="AE346" i="15"/>
  <c r="Q170" i="15"/>
  <c r="AE213" i="15"/>
  <c r="Q172" i="15"/>
  <c r="Q15" i="15"/>
  <c r="P10" i="16"/>
  <c r="AI191" i="1"/>
  <c r="AH191" i="1" s="1"/>
  <c r="AG191" i="1" s="1"/>
  <c r="AF191" i="1" s="1"/>
  <c r="AI180" i="1"/>
  <c r="AH180" i="1" s="1"/>
  <c r="AG180" i="1" s="1"/>
  <c r="AF180" i="1" s="1"/>
  <c r="U63" i="1"/>
  <c r="AI104" i="1"/>
  <c r="AH104" i="1" s="1"/>
  <c r="AG104" i="1" s="1"/>
  <c r="AF104" i="1" s="1"/>
  <c r="U268" i="1"/>
  <c r="T268" i="1" s="1"/>
  <c r="S268" i="1" s="1"/>
  <c r="R268" i="1" s="1"/>
  <c r="AK9" i="15"/>
  <c r="Q124" i="15"/>
  <c r="Q339" i="15"/>
  <c r="AE67" i="15"/>
  <c r="Q67" i="15"/>
  <c r="Q134" i="15"/>
  <c r="AE291" i="15"/>
  <c r="AE63" i="15"/>
  <c r="AE98" i="15"/>
  <c r="Q332" i="15"/>
  <c r="AI110" i="1"/>
  <c r="AH110" i="1" s="1"/>
  <c r="AG110" i="1" s="1"/>
  <c r="AF110" i="1" s="1"/>
  <c r="AI224" i="1"/>
  <c r="AH224" i="1" s="1"/>
  <c r="AG224" i="1" s="1"/>
  <c r="AF224" i="1" s="1"/>
  <c r="U117" i="1"/>
  <c r="T117" i="1" s="1"/>
  <c r="S117" i="1" s="1"/>
  <c r="R117" i="1" s="1"/>
  <c r="U251" i="1"/>
  <c r="T251" i="1" s="1"/>
  <c r="S251" i="1" s="1"/>
  <c r="R251" i="1" s="1"/>
  <c r="AI366" i="1"/>
  <c r="AH366" i="1" s="1"/>
  <c r="AG366" i="1" s="1"/>
  <c r="AF366" i="1" s="1"/>
  <c r="U344" i="1"/>
  <c r="T344" i="1" s="1"/>
  <c r="S344" i="1" s="1"/>
  <c r="R344" i="1" s="1"/>
  <c r="AI279" i="1"/>
  <c r="AH279" i="1" s="1"/>
  <c r="AG279" i="1" s="1"/>
  <c r="AF279" i="1" s="1"/>
  <c r="U138" i="1"/>
  <c r="T138" i="1" s="1"/>
  <c r="S138" i="1" s="1"/>
  <c r="R138" i="1" s="1"/>
  <c r="U270" i="1"/>
  <c r="T270" i="1" s="1"/>
  <c r="S270" i="1" s="1"/>
  <c r="R270" i="1" s="1"/>
  <c r="AI202" i="1"/>
  <c r="AH202" i="1" s="1"/>
  <c r="AG202" i="1" s="1"/>
  <c r="AF202" i="1" s="1"/>
  <c r="AI356" i="1"/>
  <c r="AH356" i="1" s="1"/>
  <c r="AG356" i="1" s="1"/>
  <c r="AF356" i="1" s="1"/>
  <c r="U173" i="1"/>
  <c r="T173" i="1" s="1"/>
  <c r="S173" i="1" s="1"/>
  <c r="R173" i="1" s="1"/>
  <c r="AI50" i="1"/>
  <c r="AH50" i="1" s="1"/>
  <c r="AG50" i="1" s="1"/>
  <c r="AF50" i="1" s="1"/>
  <c r="AI39" i="1"/>
  <c r="AH39" i="1" s="1"/>
  <c r="AG39" i="1" s="1"/>
  <c r="AF39" i="1" s="1"/>
  <c r="AI265" i="1"/>
  <c r="AH265" i="1" s="1"/>
  <c r="AG265" i="1" s="1"/>
  <c r="AF265" i="1" s="1"/>
  <c r="AI153" i="1"/>
  <c r="AH153" i="1" s="1"/>
  <c r="AG153" i="1" s="1"/>
  <c r="AF153" i="1" s="1"/>
  <c r="U202" i="1"/>
  <c r="T202" i="1" s="1"/>
  <c r="S202" i="1" s="1"/>
  <c r="R202" i="1" s="1"/>
  <c r="U39" i="1"/>
  <c r="T39" i="1" s="1"/>
  <c r="S39" i="1" s="1"/>
  <c r="R39" i="1" s="1"/>
  <c r="AI353" i="1"/>
  <c r="AH353" i="1" s="1"/>
  <c r="AG353" i="1" s="1"/>
  <c r="AF353" i="1" s="1"/>
  <c r="AM7" i="16"/>
  <c r="AM11" i="16" s="1"/>
  <c r="AK5" i="15"/>
  <c r="Q94" i="15"/>
  <c r="Q218" i="15"/>
  <c r="Q107" i="15"/>
  <c r="AE265" i="15"/>
  <c r="Q25" i="15"/>
  <c r="Q323" i="15"/>
  <c r="Q210" i="15"/>
  <c r="AE91" i="15"/>
  <c r="AE140" i="15"/>
  <c r="Q365" i="15"/>
  <c r="AE348" i="15"/>
  <c r="AE233" i="15"/>
  <c r="AE134" i="15"/>
  <c r="AE343" i="15"/>
  <c r="Q204" i="15"/>
  <c r="Q132" i="15"/>
  <c r="AI175" i="1"/>
  <c r="AH175" i="1" s="1"/>
  <c r="AG175" i="1" s="1"/>
  <c r="AF175" i="1" s="1"/>
  <c r="AI89" i="1"/>
  <c r="AH89" i="1" s="1"/>
  <c r="AG89" i="1" s="1"/>
  <c r="AF89" i="1" s="1"/>
  <c r="AI230" i="1"/>
  <c r="AH230" i="1" s="1"/>
  <c r="AG230" i="1" s="1"/>
  <c r="AF230" i="1" s="1"/>
  <c r="AI323" i="1"/>
  <c r="AI249" i="1"/>
  <c r="AH249" i="1" s="1"/>
  <c r="AG249" i="1" s="1"/>
  <c r="AF249" i="1" s="1"/>
  <c r="U54" i="1"/>
  <c r="T54" i="1" s="1"/>
  <c r="S54" i="1" s="1"/>
  <c r="R54" i="1" s="1"/>
  <c r="U149" i="1"/>
  <c r="T149" i="1" s="1"/>
  <c r="S149" i="1" s="1"/>
  <c r="R149" i="1" s="1"/>
  <c r="U212" i="1"/>
  <c r="T212" i="1" s="1"/>
  <c r="S212" i="1" s="1"/>
  <c r="R212" i="1" s="1"/>
  <c r="U322" i="1"/>
  <c r="T322" i="1" s="1"/>
  <c r="S322" i="1" s="1"/>
  <c r="R322" i="1" s="1"/>
  <c r="AI363" i="1"/>
  <c r="AH363" i="1" s="1"/>
  <c r="AG363" i="1" s="1"/>
  <c r="AF363" i="1" s="1"/>
  <c r="AI41" i="1"/>
  <c r="AH41" i="1" s="1"/>
  <c r="AG41" i="1" s="1"/>
  <c r="AF41" i="1" s="1"/>
  <c r="AI160" i="1"/>
  <c r="AH160" i="1" s="1"/>
  <c r="AG160" i="1" s="1"/>
  <c r="AF160" i="1" s="1"/>
  <c r="AI119" i="1"/>
  <c r="AH119" i="1" s="1"/>
  <c r="AG119" i="1" s="1"/>
  <c r="AF119" i="1" s="1"/>
  <c r="U115" i="1"/>
  <c r="T115" i="1" s="1"/>
  <c r="S115" i="1" s="1"/>
  <c r="R115" i="1" s="1"/>
  <c r="U248" i="1"/>
  <c r="T248" i="1" s="1"/>
  <c r="S248" i="1" s="1"/>
  <c r="R248" i="1" s="1"/>
  <c r="U42" i="1"/>
  <c r="T42" i="1" s="1"/>
  <c r="S42" i="1" s="1"/>
  <c r="R42" i="1" s="1"/>
  <c r="AI52" i="1"/>
  <c r="AH52" i="1" s="1"/>
  <c r="AG52" i="1" s="1"/>
  <c r="AF52" i="1" s="1"/>
  <c r="AI342" i="1"/>
  <c r="AH342" i="1" s="1"/>
  <c r="AG342" i="1" s="1"/>
  <c r="AF342" i="1" s="1"/>
  <c r="AI194" i="1"/>
  <c r="AH194" i="1" s="1"/>
  <c r="AG194" i="1" s="1"/>
  <c r="AF194" i="1" s="1"/>
  <c r="AI236" i="1"/>
  <c r="AH236" i="1" s="1"/>
  <c r="AG236" i="1" s="1"/>
  <c r="AF236" i="1" s="1"/>
  <c r="AI228" i="1"/>
  <c r="AH228" i="1" s="1"/>
  <c r="AG228" i="1" s="1"/>
  <c r="AF228" i="1" s="1"/>
  <c r="AI241" i="1"/>
  <c r="AH241" i="1" s="1"/>
  <c r="AG241" i="1" s="1"/>
  <c r="AF241" i="1" s="1"/>
  <c r="U91" i="1"/>
  <c r="T91" i="1" s="1"/>
  <c r="S91" i="1" s="1"/>
  <c r="R91" i="1" s="1"/>
  <c r="U165" i="1"/>
  <c r="T165" i="1" s="1"/>
  <c r="S165" i="1" s="1"/>
  <c r="R165" i="1" s="1"/>
  <c r="U230" i="1"/>
  <c r="T230" i="1" s="1"/>
  <c r="S230" i="1" s="1"/>
  <c r="R230" i="1" s="1"/>
  <c r="U346" i="1"/>
  <c r="T346" i="1" s="1"/>
  <c r="S346" i="1" s="1"/>
  <c r="R346" i="1" s="1"/>
  <c r="AI259" i="1"/>
  <c r="AH259" i="1" s="1"/>
  <c r="AG259" i="1" s="1"/>
  <c r="AF259" i="1" s="1"/>
  <c r="U111" i="1"/>
  <c r="T111" i="1" s="1"/>
  <c r="S111" i="1" s="1"/>
  <c r="R111" i="1" s="1"/>
  <c r="AI170" i="1"/>
  <c r="AH170" i="1" s="1"/>
  <c r="AG170" i="1" s="1"/>
  <c r="AF170" i="1" s="1"/>
  <c r="AM7" i="15"/>
  <c r="AM11" i="15" s="1"/>
  <c r="AK3" i="15" s="1"/>
  <c r="Q12" i="19" s="1"/>
  <c r="AM5" i="15"/>
  <c r="AK6" i="15"/>
  <c r="AD224" i="1"/>
  <c r="AI30" i="1"/>
  <c r="AH30" i="1" s="1"/>
  <c r="AG30" i="1" s="1"/>
  <c r="AF30" i="1" s="1"/>
  <c r="AI222" i="1"/>
  <c r="AH222" i="1" s="1"/>
  <c r="AG222" i="1" s="1"/>
  <c r="AF222" i="1" s="1"/>
  <c r="AI247" i="1"/>
  <c r="AH247" i="1" s="1"/>
  <c r="AG247" i="1" s="1"/>
  <c r="AF247" i="1" s="1"/>
  <c r="AI260" i="1"/>
  <c r="AH260" i="1" s="1"/>
  <c r="AG260" i="1" s="1"/>
  <c r="AF260" i="1" s="1"/>
  <c r="AI92" i="1"/>
  <c r="AH92" i="1" s="1"/>
  <c r="AG92" i="1" s="1"/>
  <c r="AF92" i="1" s="1"/>
  <c r="AI306" i="1"/>
  <c r="AH306" i="1" s="1"/>
  <c r="AG306" i="1" s="1"/>
  <c r="AF306" i="1" s="1"/>
  <c r="AI273" i="1"/>
  <c r="AH273" i="1" s="1"/>
  <c r="AG273" i="1" s="1"/>
  <c r="AF273" i="1" s="1"/>
  <c r="AI109" i="1"/>
  <c r="AH109" i="1" s="1"/>
  <c r="AG109" i="1" s="1"/>
  <c r="AF109" i="1" s="1"/>
  <c r="AI270" i="1"/>
  <c r="AH270" i="1" s="1"/>
  <c r="AG270" i="1" s="1"/>
  <c r="AF270" i="1" s="1"/>
  <c r="AI90" i="1"/>
  <c r="AH90" i="1" s="1"/>
  <c r="AG90" i="1" s="1"/>
  <c r="AF90" i="1" s="1"/>
  <c r="AI35" i="1"/>
  <c r="AH35" i="1" s="1"/>
  <c r="AG35" i="1" s="1"/>
  <c r="AF35" i="1" s="1"/>
  <c r="AI120" i="1"/>
  <c r="AH120" i="1" s="1"/>
  <c r="AG120" i="1" s="1"/>
  <c r="AF120" i="1" s="1"/>
  <c r="U86" i="1"/>
  <c r="T86" i="1" s="1"/>
  <c r="S86" i="1" s="1"/>
  <c r="R86" i="1" s="1"/>
  <c r="U135" i="1"/>
  <c r="T135" i="1" s="1"/>
  <c r="S135" i="1" s="1"/>
  <c r="R135" i="1" s="1"/>
  <c r="U164" i="1"/>
  <c r="T164" i="1" s="1"/>
  <c r="S164" i="1" s="1"/>
  <c r="R164" i="1" s="1"/>
  <c r="U198" i="1"/>
  <c r="T198" i="1" s="1"/>
  <c r="S198" i="1" s="1"/>
  <c r="R198" i="1" s="1"/>
  <c r="U227" i="1"/>
  <c r="T227" i="1" s="1"/>
  <c r="S227" i="1" s="1"/>
  <c r="R227" i="1" s="1"/>
  <c r="U266" i="1"/>
  <c r="T266" i="1" s="1"/>
  <c r="S266" i="1" s="1"/>
  <c r="R266" i="1" s="1"/>
  <c r="U114" i="1"/>
  <c r="T114" i="1" s="1"/>
  <c r="S114" i="1" s="1"/>
  <c r="R114" i="1" s="1"/>
  <c r="AI142" i="1"/>
  <c r="AH142" i="1" s="1"/>
  <c r="AG142" i="1" s="1"/>
  <c r="AF142" i="1" s="1"/>
  <c r="AI111" i="1"/>
  <c r="AH111" i="1" s="1"/>
  <c r="AG111" i="1" s="1"/>
  <c r="AF111" i="1" s="1"/>
  <c r="AI91" i="1"/>
  <c r="AH91" i="1" s="1"/>
  <c r="AG91" i="1" s="1"/>
  <c r="AF91" i="1" s="1"/>
  <c r="AI44" i="1"/>
  <c r="AH44" i="1" s="1"/>
  <c r="AG44" i="1" s="1"/>
  <c r="AF44" i="1" s="1"/>
  <c r="AI286" i="1"/>
  <c r="AH286" i="1" s="1"/>
  <c r="AG286" i="1" s="1"/>
  <c r="AF286" i="1" s="1"/>
  <c r="AI210" i="1"/>
  <c r="AH210" i="1" s="1"/>
  <c r="AG210" i="1" s="1"/>
  <c r="AF210" i="1" s="1"/>
  <c r="AI68" i="1"/>
  <c r="AH68" i="1" s="1"/>
  <c r="AG68" i="1" s="1"/>
  <c r="AF68" i="1" s="1"/>
  <c r="AI335" i="1"/>
  <c r="AH335" i="1" s="1"/>
  <c r="AG335" i="1" s="1"/>
  <c r="AF335" i="1" s="1"/>
  <c r="U52" i="1"/>
  <c r="T52" i="1" s="1"/>
  <c r="S52" i="1" s="1"/>
  <c r="R52" i="1" s="1"/>
  <c r="U147" i="1"/>
  <c r="T147" i="1" s="1"/>
  <c r="S147" i="1" s="1"/>
  <c r="R147" i="1" s="1"/>
  <c r="U210" i="1"/>
  <c r="T210" i="1" s="1"/>
  <c r="S210" i="1" s="1"/>
  <c r="R210" i="1" s="1"/>
  <c r="U287" i="1"/>
  <c r="T287" i="1" s="1"/>
  <c r="S287" i="1" s="1"/>
  <c r="R287" i="1" s="1"/>
  <c r="U96" i="1"/>
  <c r="T96" i="1" s="1"/>
  <c r="S96" i="1" s="1"/>
  <c r="R96" i="1" s="1"/>
  <c r="AI338" i="1"/>
  <c r="AH338" i="1" s="1"/>
  <c r="AG338" i="1" s="1"/>
  <c r="AF338" i="1" s="1"/>
  <c r="AI364" i="1"/>
  <c r="AH364" i="1" s="1"/>
  <c r="AG364" i="1" s="1"/>
  <c r="AF364" i="1" s="1"/>
  <c r="AI350" i="1"/>
  <c r="AH350" i="1" s="1"/>
  <c r="AG350" i="1" s="1"/>
  <c r="AF350" i="1" s="1"/>
  <c r="AI233" i="1"/>
  <c r="AH233" i="1" s="1"/>
  <c r="AG233" i="1" s="1"/>
  <c r="AF233" i="1" s="1"/>
  <c r="AI25" i="1"/>
  <c r="AH25" i="1" s="1"/>
  <c r="AG25" i="1" s="1"/>
  <c r="AF25" i="1" s="1"/>
  <c r="AI183" i="1"/>
  <c r="AH183" i="1" s="1"/>
  <c r="AG183" i="1" s="1"/>
  <c r="AF183" i="1" s="1"/>
  <c r="AI215" i="1"/>
  <c r="AH215" i="1" s="1"/>
  <c r="AG215" i="1" s="1"/>
  <c r="AF215" i="1" s="1"/>
  <c r="AI168" i="1"/>
  <c r="AH168" i="1" s="1"/>
  <c r="AG168" i="1" s="1"/>
  <c r="AF168" i="1" s="1"/>
  <c r="AI340" i="1"/>
  <c r="AH340" i="1" s="1"/>
  <c r="AG340" i="1" s="1"/>
  <c r="AF340" i="1" s="1"/>
  <c r="AI49" i="1"/>
  <c r="AH49" i="1" s="1"/>
  <c r="AG49" i="1" s="1"/>
  <c r="AF49" i="1" s="1"/>
  <c r="AI143" i="1"/>
  <c r="AH143" i="1" s="1"/>
  <c r="AG143" i="1" s="1"/>
  <c r="AF143" i="1" s="1"/>
  <c r="AI349" i="1"/>
  <c r="AH349" i="1" s="1"/>
  <c r="AG349" i="1" s="1"/>
  <c r="AF349" i="1" s="1"/>
  <c r="AI56" i="1"/>
  <c r="AH56" i="1" s="1"/>
  <c r="AG56" i="1" s="1"/>
  <c r="AF56" i="1" s="1"/>
  <c r="U55" i="1"/>
  <c r="T55" i="1" s="1"/>
  <c r="S55" i="1" s="1"/>
  <c r="R55" i="1" s="1"/>
  <c r="U121" i="1"/>
  <c r="T121" i="1" s="1"/>
  <c r="S121" i="1" s="1"/>
  <c r="R121" i="1" s="1"/>
  <c r="U150" i="1"/>
  <c r="T150" i="1" s="1"/>
  <c r="S150" i="1" s="1"/>
  <c r="R150" i="1" s="1"/>
  <c r="U182" i="1"/>
  <c r="T182" i="1" s="1"/>
  <c r="S182" i="1" s="1"/>
  <c r="R182" i="1" s="1"/>
  <c r="U215" i="1"/>
  <c r="T215" i="1" s="1"/>
  <c r="S215" i="1" s="1"/>
  <c r="R215" i="1" s="1"/>
  <c r="U253" i="1"/>
  <c r="T253" i="1" s="1"/>
  <c r="S253" i="1" s="1"/>
  <c r="R253" i="1" s="1"/>
  <c r="U295" i="1"/>
  <c r="T295" i="1" s="1"/>
  <c r="S295" i="1" s="1"/>
  <c r="R295" i="1" s="1"/>
  <c r="U93" i="1"/>
  <c r="T93" i="1" s="1"/>
  <c r="S93" i="1" s="1"/>
  <c r="R93" i="1" s="1"/>
  <c r="AI369" i="1"/>
  <c r="AH369" i="1" s="1"/>
  <c r="AG369" i="1" s="1"/>
  <c r="AF369" i="1" s="1"/>
  <c r="AI351" i="1"/>
  <c r="AH351" i="1" s="1"/>
  <c r="AG351" i="1" s="1"/>
  <c r="AF351" i="1" s="1"/>
  <c r="U330" i="1"/>
  <c r="T330" i="1" s="1"/>
  <c r="S330" i="1" s="1"/>
  <c r="R330" i="1" s="1"/>
  <c r="U59" i="1"/>
  <c r="T59" i="1" s="1"/>
  <c r="S59" i="1" s="1"/>
  <c r="R59" i="1" s="1"/>
  <c r="AI292" i="1"/>
  <c r="AH292" i="1" s="1"/>
  <c r="AG292" i="1" s="1"/>
  <c r="AF292" i="1" s="1"/>
  <c r="AI256" i="1"/>
  <c r="AH256" i="1" s="1"/>
  <c r="AG256" i="1" s="1"/>
  <c r="AF256" i="1" s="1"/>
  <c r="AI178" i="1"/>
  <c r="AH178" i="1" s="1"/>
  <c r="AG178" i="1" s="1"/>
  <c r="AF178" i="1" s="1"/>
  <c r="AI314" i="1"/>
  <c r="AH314" i="1" s="1"/>
  <c r="AG314" i="1" s="1"/>
  <c r="AF314" i="1" s="1"/>
  <c r="AI34" i="1"/>
  <c r="AH34" i="1" s="1"/>
  <c r="AG34" i="1" s="1"/>
  <c r="AF34" i="1" s="1"/>
  <c r="AI76" i="1"/>
  <c r="AH76" i="1" s="1"/>
  <c r="AG76" i="1" s="1"/>
  <c r="AF76" i="1" s="1"/>
  <c r="AI324" i="1"/>
  <c r="AH324" i="1" s="1"/>
  <c r="AG324" i="1" s="1"/>
  <c r="AF324" i="1" s="1"/>
  <c r="AI257" i="1"/>
  <c r="AH257" i="1" s="1"/>
  <c r="AG257" i="1" s="1"/>
  <c r="AF257" i="1" s="1"/>
  <c r="AI361" i="1"/>
  <c r="AH361" i="1" s="1"/>
  <c r="AG361" i="1" s="1"/>
  <c r="AF361" i="1" s="1"/>
  <c r="AI253" i="1"/>
  <c r="AH253" i="1" s="1"/>
  <c r="AG253" i="1" s="1"/>
  <c r="AF253" i="1" s="1"/>
  <c r="U23" i="1"/>
  <c r="T23" i="1" s="1"/>
  <c r="S23" i="1" s="1"/>
  <c r="R23" i="1" s="1"/>
  <c r="U43" i="1"/>
  <c r="T43" i="1" s="1"/>
  <c r="S43" i="1" s="1"/>
  <c r="R43" i="1" s="1"/>
  <c r="U70" i="1"/>
  <c r="T70" i="1" s="1"/>
  <c r="S70" i="1" s="1"/>
  <c r="R70" i="1" s="1"/>
  <c r="U97" i="1"/>
  <c r="T97" i="1" s="1"/>
  <c r="S97" i="1" s="1"/>
  <c r="R97" i="1" s="1"/>
  <c r="U375" i="1"/>
  <c r="T375" i="1" s="1"/>
  <c r="S375" i="1" s="1"/>
  <c r="R375" i="1" s="1"/>
  <c r="U343" i="1"/>
  <c r="T343" i="1" s="1"/>
  <c r="S343" i="1" s="1"/>
  <c r="R343" i="1" s="1"/>
  <c r="U312" i="1"/>
  <c r="T312" i="1" s="1"/>
  <c r="S312" i="1" s="1"/>
  <c r="R312" i="1" s="1"/>
  <c r="U286" i="1"/>
  <c r="T286" i="1" s="1"/>
  <c r="S286" i="1" s="1"/>
  <c r="R286" i="1" s="1"/>
  <c r="AI232" i="1"/>
  <c r="AH232" i="1" s="1"/>
  <c r="AG232" i="1" s="1"/>
  <c r="AF232" i="1" s="1"/>
  <c r="AI199" i="1"/>
  <c r="AH199" i="1" s="1"/>
  <c r="AG199" i="1" s="1"/>
  <c r="AF199" i="1" s="1"/>
  <c r="AI352" i="1"/>
  <c r="AH352" i="1" s="1"/>
  <c r="AG352" i="1" s="1"/>
  <c r="AF352" i="1" s="1"/>
  <c r="AI318" i="1"/>
  <c r="AH318" i="1" s="1"/>
  <c r="AG318" i="1" s="1"/>
  <c r="AF318" i="1" s="1"/>
  <c r="AI328" i="1"/>
  <c r="AH328" i="1" s="1"/>
  <c r="AG328" i="1" s="1"/>
  <c r="AF328" i="1" s="1"/>
  <c r="AI262" i="1"/>
  <c r="AH262" i="1" s="1"/>
  <c r="AG262" i="1" s="1"/>
  <c r="AF262" i="1" s="1"/>
  <c r="AI98" i="1"/>
  <c r="AH98" i="1" s="1"/>
  <c r="AG98" i="1" s="1"/>
  <c r="AF98" i="1" s="1"/>
  <c r="U29" i="1"/>
  <c r="T29" i="1" s="1"/>
  <c r="S29" i="1" s="1"/>
  <c r="R29" i="1" s="1"/>
  <c r="U51" i="1"/>
  <c r="T51" i="1" s="1"/>
  <c r="S51" i="1" s="1"/>
  <c r="R51" i="1" s="1"/>
  <c r="U81" i="1"/>
  <c r="T81" i="1" s="1"/>
  <c r="S81" i="1" s="1"/>
  <c r="R81" i="1" s="1"/>
  <c r="U107" i="1"/>
  <c r="T107" i="1" s="1"/>
  <c r="S107" i="1" s="1"/>
  <c r="R107" i="1" s="1"/>
  <c r="U369" i="1"/>
  <c r="T369" i="1" s="1"/>
  <c r="S369" i="1" s="1"/>
  <c r="R369" i="1" s="1"/>
  <c r="U336" i="1"/>
  <c r="T336" i="1" s="1"/>
  <c r="S336" i="1" s="1"/>
  <c r="R336" i="1" s="1"/>
  <c r="U302" i="1"/>
  <c r="T302" i="1" s="1"/>
  <c r="S302" i="1" s="1"/>
  <c r="R302" i="1" s="1"/>
  <c r="U291" i="1"/>
  <c r="T291" i="1" s="1"/>
  <c r="S291" i="1" s="1"/>
  <c r="R291" i="1" s="1"/>
  <c r="U279" i="1"/>
  <c r="T279" i="1" s="1"/>
  <c r="S279" i="1" s="1"/>
  <c r="R279" i="1" s="1"/>
  <c r="U261" i="1"/>
  <c r="T261" i="1" s="1"/>
  <c r="S261" i="1" s="1"/>
  <c r="R261" i="1" s="1"/>
  <c r="U255" i="1"/>
  <c r="T255" i="1" s="1"/>
  <c r="S255" i="1" s="1"/>
  <c r="R255" i="1" s="1"/>
  <c r="U250" i="1"/>
  <c r="T250" i="1" s="1"/>
  <c r="S250" i="1" s="1"/>
  <c r="R250" i="1" s="1"/>
  <c r="U241" i="1"/>
  <c r="T241" i="1" s="1"/>
  <c r="S241" i="1" s="1"/>
  <c r="R241" i="1" s="1"/>
  <c r="U226" i="1"/>
  <c r="T226" i="1" s="1"/>
  <c r="S226" i="1" s="1"/>
  <c r="R226" i="1" s="1"/>
  <c r="U220" i="1"/>
  <c r="U211" i="1"/>
  <c r="T211" i="1" s="1"/>
  <c r="S211" i="1" s="1"/>
  <c r="R211" i="1" s="1"/>
  <c r="U206" i="1"/>
  <c r="T206" i="1" s="1"/>
  <c r="S206" i="1" s="1"/>
  <c r="R206" i="1" s="1"/>
  <c r="U196" i="1"/>
  <c r="T196" i="1" s="1"/>
  <c r="S196" i="1" s="1"/>
  <c r="R196" i="1" s="1"/>
  <c r="U186" i="1"/>
  <c r="T186" i="1" s="1"/>
  <c r="S186" i="1" s="1"/>
  <c r="R186" i="1" s="1"/>
  <c r="U176" i="1"/>
  <c r="T176" i="1" s="1"/>
  <c r="S176" i="1" s="1"/>
  <c r="R176" i="1" s="1"/>
  <c r="U170" i="1"/>
  <c r="T170" i="1" s="1"/>
  <c r="S170" i="1" s="1"/>
  <c r="R170" i="1" s="1"/>
  <c r="U163" i="1"/>
  <c r="T163" i="1" s="1"/>
  <c r="S163" i="1" s="1"/>
  <c r="R163" i="1" s="1"/>
  <c r="P163" i="1" s="1"/>
  <c r="V163" i="1" s="1"/>
  <c r="U153" i="1"/>
  <c r="T153" i="1" s="1"/>
  <c r="S153" i="1" s="1"/>
  <c r="R153" i="1" s="1"/>
  <c r="U148" i="1"/>
  <c r="T148" i="1" s="1"/>
  <c r="S148" i="1" s="1"/>
  <c r="R148" i="1" s="1"/>
  <c r="U140" i="1"/>
  <c r="T140" i="1" s="1"/>
  <c r="S140" i="1" s="1"/>
  <c r="R140" i="1" s="1"/>
  <c r="U129" i="1"/>
  <c r="T129" i="1" s="1"/>
  <c r="S129" i="1" s="1"/>
  <c r="R129" i="1" s="1"/>
  <c r="U124" i="1"/>
  <c r="T124" i="1" s="1"/>
  <c r="S124" i="1" s="1"/>
  <c r="R124" i="1" s="1"/>
  <c r="U116" i="1"/>
  <c r="T116" i="1" s="1"/>
  <c r="S116" i="1" s="1"/>
  <c r="R116" i="1" s="1"/>
  <c r="U99" i="1"/>
  <c r="T99" i="1" s="1"/>
  <c r="S99" i="1" s="1"/>
  <c r="R99" i="1" s="1"/>
  <c r="U85" i="1"/>
  <c r="T85" i="1" s="1"/>
  <c r="S85" i="1" s="1"/>
  <c r="R85" i="1" s="1"/>
  <c r="U67" i="1"/>
  <c r="T67" i="1" s="1"/>
  <c r="S67" i="1" s="1"/>
  <c r="R67" i="1" s="1"/>
  <c r="U53" i="1"/>
  <c r="T53" i="1" s="1"/>
  <c r="S53" i="1" s="1"/>
  <c r="R53" i="1" s="1"/>
  <c r="AI280" i="1"/>
  <c r="AH280" i="1" s="1"/>
  <c r="AG280" i="1" s="1"/>
  <c r="AF280" i="1" s="1"/>
  <c r="AI55" i="1"/>
  <c r="AH55" i="1" s="1"/>
  <c r="AG55" i="1" s="1"/>
  <c r="AF55" i="1" s="1"/>
  <c r="AI309" i="1"/>
  <c r="AH309" i="1" s="1"/>
  <c r="AG309" i="1" s="1"/>
  <c r="AF309" i="1" s="1"/>
  <c r="AI188" i="1"/>
  <c r="AH188" i="1" s="1"/>
  <c r="AG188" i="1" s="1"/>
  <c r="AF188" i="1" s="1"/>
  <c r="AI150" i="1"/>
  <c r="AH150" i="1" s="1"/>
  <c r="AG150" i="1" s="1"/>
  <c r="AF150" i="1" s="1"/>
  <c r="AI83" i="1"/>
  <c r="AH83" i="1" s="1"/>
  <c r="AG83" i="1" s="1"/>
  <c r="AF83" i="1" s="1"/>
  <c r="AI354" i="1"/>
  <c r="AH354" i="1" s="1"/>
  <c r="AG354" i="1" s="1"/>
  <c r="AF354" i="1" s="1"/>
  <c r="AI144" i="1"/>
  <c r="AH144" i="1" s="1"/>
  <c r="AG144" i="1" s="1"/>
  <c r="AF144" i="1" s="1"/>
  <c r="AI177" i="1"/>
  <c r="AH177" i="1" s="1"/>
  <c r="AG177" i="1" s="1"/>
  <c r="AF177" i="1" s="1"/>
  <c r="AI179" i="1"/>
  <c r="AH179" i="1" s="1"/>
  <c r="AG179" i="1" s="1"/>
  <c r="AF179" i="1" s="1"/>
  <c r="AI54" i="1"/>
  <c r="AH54" i="1" s="1"/>
  <c r="AG54" i="1" s="1"/>
  <c r="AF54" i="1" s="1"/>
  <c r="AI359" i="1"/>
  <c r="AH359" i="1" s="1"/>
  <c r="AG359" i="1" s="1"/>
  <c r="AF359" i="1" s="1"/>
  <c r="AD359" i="1" s="1"/>
  <c r="AI113" i="1"/>
  <c r="AH113" i="1" s="1"/>
  <c r="AG113" i="1" s="1"/>
  <c r="AF113" i="1" s="1"/>
  <c r="AI231" i="1"/>
  <c r="AH231" i="1" s="1"/>
  <c r="AG231" i="1" s="1"/>
  <c r="AF231" i="1" s="1"/>
  <c r="AD231" i="1" s="1"/>
  <c r="AI347" i="1"/>
  <c r="AH347" i="1" s="1"/>
  <c r="AG347" i="1" s="1"/>
  <c r="AF347" i="1" s="1"/>
  <c r="AI371" i="1"/>
  <c r="AH371" i="1" s="1"/>
  <c r="AG371" i="1" s="1"/>
  <c r="AF371" i="1" s="1"/>
  <c r="AI42" i="1"/>
  <c r="AH42" i="1" s="1"/>
  <c r="AG42" i="1" s="1"/>
  <c r="AF42" i="1" s="1"/>
  <c r="AI151" i="1"/>
  <c r="AH151" i="1" s="1"/>
  <c r="AG151" i="1" s="1"/>
  <c r="AF151" i="1" s="1"/>
  <c r="AI48" i="1"/>
  <c r="AH48" i="1" s="1"/>
  <c r="AG48" i="1" s="1"/>
  <c r="AF48" i="1" s="1"/>
  <c r="AI291" i="1"/>
  <c r="AH291" i="1" s="1"/>
  <c r="AG291" i="1" s="1"/>
  <c r="AF291" i="1" s="1"/>
  <c r="AI198" i="1"/>
  <c r="AH198" i="1" s="1"/>
  <c r="AG198" i="1" s="1"/>
  <c r="AF198" i="1" s="1"/>
  <c r="AI114" i="1"/>
  <c r="AH114" i="1" s="1"/>
  <c r="AG114" i="1" s="1"/>
  <c r="AF114" i="1" s="1"/>
  <c r="AI200" i="1"/>
  <c r="AH200" i="1" s="1"/>
  <c r="AG200" i="1" s="1"/>
  <c r="AF200" i="1" s="1"/>
  <c r="AI71" i="1"/>
  <c r="AH71" i="1" s="1"/>
  <c r="AG71" i="1" s="1"/>
  <c r="AF71" i="1" s="1"/>
  <c r="AI315" i="1"/>
  <c r="AH315" i="1" s="1"/>
  <c r="AG315" i="1" s="1"/>
  <c r="AF315" i="1" s="1"/>
  <c r="AI131" i="1"/>
  <c r="AH131" i="1" s="1"/>
  <c r="AG131" i="1" s="1"/>
  <c r="AF131" i="1" s="1"/>
  <c r="AI78" i="1"/>
  <c r="AH78" i="1" s="1"/>
  <c r="AG78" i="1" s="1"/>
  <c r="AF78" i="1" s="1"/>
  <c r="AI304" i="1"/>
  <c r="AH304" i="1" s="1"/>
  <c r="AG304" i="1" s="1"/>
  <c r="AF304" i="1" s="1"/>
  <c r="AI274" i="1"/>
  <c r="AH274" i="1" s="1"/>
  <c r="AG274" i="1" s="1"/>
  <c r="AF274" i="1" s="1"/>
  <c r="AI146" i="1"/>
  <c r="AH146" i="1" s="1"/>
  <c r="AG146" i="1" s="1"/>
  <c r="AF146" i="1" s="1"/>
  <c r="AI269" i="1"/>
  <c r="AH269" i="1" s="1"/>
  <c r="AG269" i="1" s="1"/>
  <c r="AF269" i="1" s="1"/>
  <c r="AI379" i="1"/>
  <c r="AH379" i="1" s="1"/>
  <c r="AG379" i="1" s="1"/>
  <c r="AF379" i="1" s="1"/>
  <c r="AI322" i="1"/>
  <c r="AH322" i="1" s="1"/>
  <c r="AG322" i="1" s="1"/>
  <c r="AF322" i="1" s="1"/>
  <c r="AI136" i="1"/>
  <c r="AH136" i="1" s="1"/>
  <c r="AG136" i="1" s="1"/>
  <c r="AF136" i="1" s="1"/>
  <c r="AI107" i="1"/>
  <c r="AH107" i="1" s="1"/>
  <c r="AG107" i="1" s="1"/>
  <c r="AF107" i="1" s="1"/>
  <c r="AI331" i="1"/>
  <c r="AH331" i="1" s="1"/>
  <c r="AG331" i="1" s="1"/>
  <c r="AF331" i="1" s="1"/>
  <c r="AI46" i="1"/>
  <c r="AH46" i="1" s="1"/>
  <c r="AG46" i="1" s="1"/>
  <c r="AF46" i="1" s="1"/>
  <c r="AI345" i="1"/>
  <c r="AH345" i="1" s="1"/>
  <c r="AG345" i="1" s="1"/>
  <c r="AF345" i="1" s="1"/>
  <c r="AI283" i="1"/>
  <c r="AH283" i="1" s="1"/>
  <c r="AG283" i="1" s="1"/>
  <c r="AF283" i="1" s="1"/>
  <c r="AI287" i="1"/>
  <c r="AH287" i="1" s="1"/>
  <c r="AG287" i="1" s="1"/>
  <c r="AF287" i="1" s="1"/>
  <c r="AI226" i="1"/>
  <c r="AH226" i="1" s="1"/>
  <c r="AG226" i="1" s="1"/>
  <c r="AF226" i="1" s="1"/>
  <c r="AI296" i="1"/>
  <c r="AH296" i="1" s="1"/>
  <c r="AG296" i="1" s="1"/>
  <c r="AF296" i="1" s="1"/>
  <c r="AI298" i="1"/>
  <c r="AH298" i="1" s="1"/>
  <c r="AG298" i="1" s="1"/>
  <c r="AF298" i="1" s="1"/>
  <c r="AI336" i="1"/>
  <c r="AH336" i="1" s="1"/>
  <c r="AG336" i="1" s="1"/>
  <c r="AF336" i="1" s="1"/>
  <c r="AI362" i="1"/>
  <c r="AH362" i="1" s="1"/>
  <c r="AG362" i="1" s="1"/>
  <c r="AF362" i="1" s="1"/>
  <c r="AI127" i="1"/>
  <c r="AH127" i="1" s="1"/>
  <c r="AG127" i="1" s="1"/>
  <c r="AF127" i="1" s="1"/>
  <c r="AI325" i="1"/>
  <c r="AH325" i="1" s="1"/>
  <c r="AG325" i="1" s="1"/>
  <c r="AF325" i="1" s="1"/>
  <c r="AI368" i="1"/>
  <c r="AH368" i="1" s="1"/>
  <c r="AG368" i="1" s="1"/>
  <c r="AF368" i="1" s="1"/>
  <c r="AI258" i="1"/>
  <c r="AH258" i="1" s="1"/>
  <c r="AG258" i="1" s="1"/>
  <c r="AF258" i="1" s="1"/>
  <c r="AI271" i="1"/>
  <c r="AH271" i="1" s="1"/>
  <c r="AG271" i="1" s="1"/>
  <c r="AF271" i="1" s="1"/>
  <c r="AI303" i="1"/>
  <c r="AH303" i="1" s="1"/>
  <c r="AG303" i="1" s="1"/>
  <c r="AF303" i="1" s="1"/>
  <c r="AI218" i="1"/>
  <c r="AH218" i="1" s="1"/>
  <c r="AG218" i="1" s="1"/>
  <c r="AF218" i="1" s="1"/>
  <c r="AI51" i="1"/>
  <c r="AH51" i="1" s="1"/>
  <c r="AG51" i="1" s="1"/>
  <c r="AF51" i="1" s="1"/>
  <c r="AI278" i="1"/>
  <c r="AH278" i="1" s="1"/>
  <c r="AG278" i="1" s="1"/>
  <c r="AF278" i="1" s="1"/>
  <c r="U31" i="1"/>
  <c r="T31" i="1" s="1"/>
  <c r="S31" i="1" s="1"/>
  <c r="R31" i="1" s="1"/>
  <c r="U57" i="1"/>
  <c r="T57" i="1" s="1"/>
  <c r="S57" i="1" s="1"/>
  <c r="R57" i="1" s="1"/>
  <c r="U84" i="1"/>
  <c r="T84" i="1" s="1"/>
  <c r="S84" i="1" s="1"/>
  <c r="R84" i="1" s="1"/>
  <c r="U110" i="1"/>
  <c r="U358" i="1"/>
  <c r="T358" i="1" s="1"/>
  <c r="S358" i="1" s="1"/>
  <c r="R358" i="1" s="1"/>
  <c r="U333" i="1"/>
  <c r="T333" i="1" s="1"/>
  <c r="S333" i="1" s="1"/>
  <c r="R333" i="1" s="1"/>
  <c r="U297" i="1"/>
  <c r="T297" i="1" s="1"/>
  <c r="S297" i="1" s="1"/>
  <c r="R297" i="1" s="1"/>
  <c r="P297" i="1" s="1"/>
  <c r="V297" i="1" s="1"/>
  <c r="F297" i="1" s="1"/>
  <c r="U273" i="1"/>
  <c r="T273" i="1" s="1"/>
  <c r="S273" i="1" s="1"/>
  <c r="R273" i="1" s="1"/>
  <c r="U254" i="1"/>
  <c r="T254" i="1" s="1"/>
  <c r="S254" i="1" s="1"/>
  <c r="R254" i="1" s="1"/>
  <c r="U235" i="1"/>
  <c r="T235" i="1" s="1"/>
  <c r="S235" i="1" s="1"/>
  <c r="R235" i="1" s="1"/>
  <c r="U216" i="1"/>
  <c r="T216" i="1" s="1"/>
  <c r="S216" i="1" s="1"/>
  <c r="R216" i="1" s="1"/>
  <c r="U205" i="1"/>
  <c r="T205" i="1" s="1"/>
  <c r="S205" i="1" s="1"/>
  <c r="R205" i="1" s="1"/>
  <c r="U185" i="1"/>
  <c r="T185" i="1" s="1"/>
  <c r="S185" i="1" s="1"/>
  <c r="R185" i="1" s="1"/>
  <c r="P185" i="1" s="1"/>
  <c r="V185" i="1" s="1"/>
  <c r="F185" i="1" s="1"/>
  <c r="G185" i="1" s="1"/>
  <c r="BW185" i="6" s="1"/>
  <c r="U166" i="1"/>
  <c r="T166" i="1" s="1"/>
  <c r="S166" i="1" s="1"/>
  <c r="R166" i="1" s="1"/>
  <c r="U151" i="1"/>
  <c r="T151" i="1" s="1"/>
  <c r="S151" i="1" s="1"/>
  <c r="R151" i="1" s="1"/>
  <c r="U139" i="1"/>
  <c r="T139" i="1" s="1"/>
  <c r="S139" i="1" s="1"/>
  <c r="R139" i="1" s="1"/>
  <c r="U123" i="1"/>
  <c r="T123" i="1" s="1"/>
  <c r="S123" i="1" s="1"/>
  <c r="R123" i="1" s="1"/>
  <c r="U94" i="1"/>
  <c r="T94" i="1" s="1"/>
  <c r="S94" i="1" s="1"/>
  <c r="R94" i="1" s="1"/>
  <c r="U58" i="1"/>
  <c r="T58" i="1" s="1"/>
  <c r="S58" i="1" s="1"/>
  <c r="R58" i="1" s="1"/>
  <c r="AI252" i="1"/>
  <c r="AH252" i="1" s="1"/>
  <c r="AG252" i="1" s="1"/>
  <c r="AF252" i="1" s="1"/>
  <c r="AI195" i="1"/>
  <c r="AH195" i="1" s="1"/>
  <c r="AG195" i="1" s="1"/>
  <c r="AF195" i="1" s="1"/>
  <c r="AI319" i="1"/>
  <c r="AH319" i="1" s="1"/>
  <c r="AG319" i="1" s="1"/>
  <c r="AF319" i="1" s="1"/>
  <c r="AI220" i="1"/>
  <c r="AH220" i="1" s="1"/>
  <c r="AG220" i="1" s="1"/>
  <c r="AF220" i="1" s="1"/>
  <c r="AI334" i="1"/>
  <c r="AH334" i="1" s="1"/>
  <c r="AG334" i="1" s="1"/>
  <c r="AF334" i="1" s="1"/>
  <c r="AI344" i="1"/>
  <c r="AH344" i="1" s="1"/>
  <c r="AG344" i="1" s="1"/>
  <c r="AF344" i="1" s="1"/>
  <c r="AI254" i="1"/>
  <c r="AH254" i="1" s="1"/>
  <c r="AG254" i="1" s="1"/>
  <c r="AF254" i="1" s="1"/>
  <c r="AI307" i="1"/>
  <c r="AH307" i="1" s="1"/>
  <c r="AG307" i="1" s="1"/>
  <c r="AF307" i="1" s="1"/>
  <c r="AI70" i="1"/>
  <c r="AH70" i="1" s="1"/>
  <c r="AG70" i="1" s="1"/>
  <c r="AF70" i="1" s="1"/>
  <c r="AI317" i="1"/>
  <c r="AH317" i="1" s="1"/>
  <c r="AG317" i="1" s="1"/>
  <c r="AF317" i="1" s="1"/>
  <c r="AI24" i="1"/>
  <c r="AH24" i="1" s="1"/>
  <c r="AG24" i="1" s="1"/>
  <c r="AF24" i="1" s="1"/>
  <c r="AI101" i="1"/>
  <c r="AH101" i="1" s="1"/>
  <c r="AG101" i="1" s="1"/>
  <c r="AF101" i="1" s="1"/>
  <c r="AI211" i="1"/>
  <c r="AH211" i="1" s="1"/>
  <c r="AG211" i="1" s="1"/>
  <c r="AF211" i="1" s="1"/>
  <c r="AI129" i="1"/>
  <c r="AH129" i="1" s="1"/>
  <c r="AG129" i="1" s="1"/>
  <c r="AF129" i="1" s="1"/>
  <c r="AI162" i="1"/>
  <c r="AH162" i="1" s="1"/>
  <c r="AG162" i="1" s="1"/>
  <c r="AF162" i="1" s="1"/>
  <c r="AI148" i="1"/>
  <c r="AH148" i="1" s="1"/>
  <c r="AG148" i="1" s="1"/>
  <c r="AF148" i="1" s="1"/>
  <c r="AI346" i="1"/>
  <c r="AH346" i="1" s="1"/>
  <c r="AG346" i="1" s="1"/>
  <c r="AF346" i="1" s="1"/>
  <c r="U15" i="1"/>
  <c r="T15" i="1" s="1"/>
  <c r="S15" i="1" s="1"/>
  <c r="R15" i="1" s="1"/>
  <c r="AI216" i="1"/>
  <c r="AH216" i="1" s="1"/>
  <c r="AG216" i="1" s="1"/>
  <c r="AF216" i="1" s="1"/>
  <c r="AI173" i="1"/>
  <c r="AH173" i="1" s="1"/>
  <c r="AG173" i="1" s="1"/>
  <c r="AF173" i="1" s="1"/>
  <c r="AI149" i="1"/>
  <c r="AH149" i="1" s="1"/>
  <c r="AG149" i="1" s="1"/>
  <c r="AF149" i="1" s="1"/>
  <c r="AI358" i="1"/>
  <c r="AH358" i="1" s="1"/>
  <c r="AG358" i="1" s="1"/>
  <c r="AF358" i="1" s="1"/>
  <c r="AI93" i="1"/>
  <c r="AH93" i="1" s="1"/>
  <c r="AG93" i="1" s="1"/>
  <c r="AF93" i="1" s="1"/>
  <c r="AI60" i="1"/>
  <c r="AH60" i="1" s="1"/>
  <c r="AG60" i="1" s="1"/>
  <c r="AF60" i="1" s="1"/>
  <c r="AI133" i="1"/>
  <c r="AH133" i="1" s="1"/>
  <c r="AG133" i="1" s="1"/>
  <c r="AF133" i="1" s="1"/>
  <c r="AI242" i="1"/>
  <c r="AH242" i="1" s="1"/>
  <c r="AG242" i="1" s="1"/>
  <c r="AF242" i="1" s="1"/>
  <c r="AI47" i="1"/>
  <c r="AH47" i="1" s="1"/>
  <c r="AG47" i="1" s="1"/>
  <c r="AF47" i="1" s="1"/>
  <c r="AI263" i="1"/>
  <c r="AH263" i="1" s="1"/>
  <c r="AG263" i="1" s="1"/>
  <c r="AF263" i="1" s="1"/>
  <c r="AI43" i="1"/>
  <c r="AH43" i="1" s="1"/>
  <c r="AG43" i="1" s="1"/>
  <c r="AF43" i="1" s="1"/>
  <c r="AI100" i="1"/>
  <c r="AH100" i="1" s="1"/>
  <c r="AG100" i="1" s="1"/>
  <c r="AF100" i="1" s="1"/>
  <c r="AI163" i="1"/>
  <c r="AH163" i="1" s="1"/>
  <c r="AG163" i="1" s="1"/>
  <c r="AF163" i="1" s="1"/>
  <c r="AI45" i="1"/>
  <c r="AH45" i="1" s="1"/>
  <c r="AG45" i="1" s="1"/>
  <c r="AF45" i="1" s="1"/>
  <c r="U27" i="1"/>
  <c r="T27" i="1" s="1"/>
  <c r="S27" i="1" s="1"/>
  <c r="R27" i="1" s="1"/>
  <c r="U47" i="1"/>
  <c r="T47" i="1" s="1"/>
  <c r="S47" i="1" s="1"/>
  <c r="R47" i="1" s="1"/>
  <c r="U77" i="1"/>
  <c r="T77" i="1" s="1"/>
  <c r="S77" i="1" s="1"/>
  <c r="R77" i="1" s="1"/>
  <c r="P77" i="1" s="1"/>
  <c r="V77" i="1" s="1"/>
  <c r="U102" i="1"/>
  <c r="T102" i="1" s="1"/>
  <c r="S102" i="1" s="1"/>
  <c r="R102" i="1" s="1"/>
  <c r="U371" i="1"/>
  <c r="T371" i="1" s="1"/>
  <c r="S371" i="1" s="1"/>
  <c r="R371" i="1" s="1"/>
  <c r="U339" i="1"/>
  <c r="T339" i="1" s="1"/>
  <c r="S339" i="1" s="1"/>
  <c r="R339" i="1" s="1"/>
  <c r="U304" i="1"/>
  <c r="T304" i="1" s="1"/>
  <c r="S304" i="1" s="1"/>
  <c r="R304" i="1" s="1"/>
  <c r="P304" i="1" s="1"/>
  <c r="V304" i="1" s="1"/>
  <c r="F304" i="1" s="1"/>
  <c r="U282" i="1"/>
  <c r="T282" i="1" s="1"/>
  <c r="S282" i="1" s="1"/>
  <c r="R282" i="1" s="1"/>
  <c r="AE49" i="15"/>
  <c r="Q268" i="15"/>
  <c r="AK6" i="16"/>
  <c r="AD242" i="1"/>
  <c r="Q23" i="15"/>
  <c r="Q262" i="15"/>
  <c r="Q152" i="15"/>
  <c r="Q285" i="15"/>
  <c r="Q366" i="15"/>
  <c r="Q296" i="15"/>
  <c r="AE175" i="15"/>
  <c r="Q286" i="15"/>
  <c r="AE45" i="15"/>
  <c r="Q150" i="15"/>
  <c r="Q306" i="15"/>
  <c r="AE103" i="15"/>
  <c r="Q176" i="15"/>
  <c r="AE37" i="15"/>
  <c r="Q166" i="15"/>
  <c r="Q43" i="15"/>
  <c r="AE326" i="15"/>
  <c r="Q190" i="15"/>
  <c r="AE339" i="15"/>
  <c r="AE23" i="15"/>
  <c r="AE46" i="15"/>
  <c r="AE146" i="15"/>
  <c r="AE54" i="15"/>
  <c r="AE372" i="15"/>
  <c r="AE315" i="15"/>
  <c r="AE271" i="15"/>
  <c r="AE238" i="15"/>
  <c r="AE21" i="15"/>
  <c r="AE245" i="15"/>
  <c r="Q115" i="15"/>
  <c r="Q299" i="15"/>
  <c r="Q279" i="15"/>
  <c r="Q313" i="15"/>
  <c r="Q238" i="15"/>
  <c r="AI157" i="1"/>
  <c r="AH157" i="1" s="1"/>
  <c r="AG157" i="1" s="1"/>
  <c r="AF157" i="1" s="1"/>
  <c r="AI108" i="1"/>
  <c r="AH108" i="1" s="1"/>
  <c r="AG108" i="1" s="1"/>
  <c r="AF108" i="1" s="1"/>
  <c r="AI155" i="1"/>
  <c r="AH155" i="1" s="1"/>
  <c r="AG155" i="1" s="1"/>
  <c r="AF155" i="1" s="1"/>
  <c r="AI205" i="1"/>
  <c r="AH205" i="1" s="1"/>
  <c r="AG205" i="1" s="1"/>
  <c r="AF205" i="1" s="1"/>
  <c r="AI65" i="1"/>
  <c r="AH65" i="1" s="1"/>
  <c r="AG65" i="1" s="1"/>
  <c r="AF65" i="1" s="1"/>
  <c r="AI248" i="1"/>
  <c r="AH248" i="1" s="1"/>
  <c r="AG248" i="1" s="1"/>
  <c r="AF248" i="1" s="1"/>
  <c r="AI311" i="1"/>
  <c r="AH311" i="1" s="1"/>
  <c r="AG311" i="1" s="1"/>
  <c r="AF311" i="1" s="1"/>
  <c r="AI377" i="1"/>
  <c r="AH377" i="1" s="1"/>
  <c r="AG377" i="1" s="1"/>
  <c r="AF377" i="1" s="1"/>
  <c r="AI221" i="1"/>
  <c r="AH221" i="1" s="1"/>
  <c r="AG221" i="1" s="1"/>
  <c r="AF221" i="1" s="1"/>
  <c r="AI40" i="1"/>
  <c r="AH40" i="1" s="1"/>
  <c r="AG40" i="1" s="1"/>
  <c r="AF40" i="1" s="1"/>
  <c r="AI182" i="1"/>
  <c r="AH182" i="1" s="1"/>
  <c r="AG182" i="1" s="1"/>
  <c r="AF182" i="1" s="1"/>
  <c r="AI330" i="1"/>
  <c r="AH330" i="1" s="1"/>
  <c r="AG330" i="1" s="1"/>
  <c r="AF330" i="1" s="1"/>
  <c r="AI36" i="1"/>
  <c r="AH36" i="1" s="1"/>
  <c r="AG36" i="1" s="1"/>
  <c r="AF36" i="1" s="1"/>
  <c r="AI355" i="1"/>
  <c r="AH355" i="1" s="1"/>
  <c r="AG355" i="1" s="1"/>
  <c r="AF355" i="1" s="1"/>
  <c r="AI326" i="1"/>
  <c r="AH326" i="1" s="1"/>
  <c r="AG326" i="1" s="1"/>
  <c r="AF326" i="1" s="1"/>
  <c r="AI23" i="1"/>
  <c r="AH23" i="1" s="1"/>
  <c r="AG23" i="1" s="1"/>
  <c r="AF23" i="1" s="1"/>
  <c r="AI266" i="1"/>
  <c r="AH266" i="1" s="1"/>
  <c r="AG266" i="1" s="1"/>
  <c r="AF266" i="1" s="1"/>
  <c r="AI214" i="1"/>
  <c r="AH214" i="1" s="1"/>
  <c r="AG214" i="1" s="1"/>
  <c r="AF214" i="1" s="1"/>
  <c r="AI341" i="1"/>
  <c r="AH341" i="1" s="1"/>
  <c r="AG341" i="1" s="1"/>
  <c r="AF341" i="1" s="1"/>
  <c r="AI312" i="1"/>
  <c r="AH312" i="1" s="1"/>
  <c r="AG312" i="1" s="1"/>
  <c r="AF312" i="1" s="1"/>
  <c r="AI227" i="1"/>
  <c r="AH227" i="1" s="1"/>
  <c r="AG227" i="1" s="1"/>
  <c r="AF227" i="1" s="1"/>
  <c r="AI135" i="1"/>
  <c r="AH135" i="1" s="1"/>
  <c r="AG135" i="1" s="1"/>
  <c r="AF135" i="1" s="1"/>
  <c r="U24" i="1"/>
  <c r="T24" i="1" s="1"/>
  <c r="S24" i="1" s="1"/>
  <c r="R24" i="1" s="1"/>
  <c r="U72" i="1"/>
  <c r="T72" i="1" s="1"/>
  <c r="S72" i="1" s="1"/>
  <c r="R72" i="1" s="1"/>
  <c r="U100" i="1"/>
  <c r="T100" i="1" s="1"/>
  <c r="S100" i="1" s="1"/>
  <c r="R100" i="1" s="1"/>
  <c r="U126" i="1"/>
  <c r="T126" i="1" s="1"/>
  <c r="S126" i="1" s="1"/>
  <c r="R126" i="1" s="1"/>
  <c r="U143" i="1"/>
  <c r="T143" i="1" s="1"/>
  <c r="S143" i="1" s="1"/>
  <c r="R143" i="1" s="1"/>
  <c r="U155" i="1"/>
  <c r="T155" i="1" s="1"/>
  <c r="S155" i="1" s="1"/>
  <c r="R155" i="1" s="1"/>
  <c r="U171" i="1"/>
  <c r="T171" i="1" s="1"/>
  <c r="S171" i="1" s="1"/>
  <c r="R171" i="1" s="1"/>
  <c r="U187" i="1"/>
  <c r="T187" i="1" s="1"/>
  <c r="S187" i="1" s="1"/>
  <c r="R187" i="1" s="1"/>
  <c r="U207" i="1"/>
  <c r="T207" i="1" s="1"/>
  <c r="S207" i="1" s="1"/>
  <c r="R207" i="1" s="1"/>
  <c r="U222" i="1"/>
  <c r="U242" i="1"/>
  <c r="T242" i="1" s="1"/>
  <c r="S242" i="1" s="1"/>
  <c r="R242" i="1" s="1"/>
  <c r="U257" i="1"/>
  <c r="T257" i="1" s="1"/>
  <c r="S257" i="1" s="1"/>
  <c r="R257" i="1" s="1"/>
  <c r="U293" i="1"/>
  <c r="T293" i="1" s="1"/>
  <c r="S293" i="1" s="1"/>
  <c r="R293" i="1" s="1"/>
  <c r="U348" i="1"/>
  <c r="T348" i="1" s="1"/>
  <c r="S348" i="1" s="1"/>
  <c r="R348" i="1" s="1"/>
  <c r="U90" i="1"/>
  <c r="T90" i="1" s="1"/>
  <c r="S90" i="1" s="1"/>
  <c r="R90" i="1" s="1"/>
  <c r="U36" i="1"/>
  <c r="T36" i="1" s="1"/>
  <c r="S36" i="1" s="1"/>
  <c r="R36" i="1" s="1"/>
  <c r="AI337" i="1"/>
  <c r="AH337" i="1" s="1"/>
  <c r="AG337" i="1" s="1"/>
  <c r="AF337" i="1" s="1"/>
  <c r="AI79" i="1"/>
  <c r="AH79" i="1" s="1"/>
  <c r="AG79" i="1" s="1"/>
  <c r="AF79" i="1" s="1"/>
  <c r="AI17" i="1"/>
  <c r="AH17" i="1" s="1"/>
  <c r="AG17" i="1" s="1"/>
  <c r="U17" i="1"/>
  <c r="T17" i="1" s="1"/>
  <c r="S17" i="1" s="1"/>
  <c r="R17" i="1" s="1"/>
  <c r="AI284" i="1"/>
  <c r="AH284" i="1" s="1"/>
  <c r="AG284" i="1" s="1"/>
  <c r="AF284" i="1" s="1"/>
  <c r="AD284" i="1" s="1"/>
  <c r="AI64" i="1"/>
  <c r="AH64" i="1" s="1"/>
  <c r="AG64" i="1" s="1"/>
  <c r="AF64" i="1" s="1"/>
  <c r="AI272" i="1"/>
  <c r="AH272" i="1" s="1"/>
  <c r="AG272" i="1" s="1"/>
  <c r="AF272" i="1" s="1"/>
  <c r="AI161" i="1"/>
  <c r="AH161" i="1" s="1"/>
  <c r="AG161" i="1" s="1"/>
  <c r="AF161" i="1" s="1"/>
  <c r="AI277" i="1"/>
  <c r="AH277" i="1" s="1"/>
  <c r="AG277" i="1" s="1"/>
  <c r="AF277" i="1" s="1"/>
  <c r="AI154" i="1"/>
  <c r="AH154" i="1" s="1"/>
  <c r="AG154" i="1" s="1"/>
  <c r="AF154" i="1" s="1"/>
  <c r="AI62" i="1"/>
  <c r="AH62" i="1" s="1"/>
  <c r="AG62" i="1" s="1"/>
  <c r="AF62" i="1" s="1"/>
  <c r="AI87" i="1"/>
  <c r="AH87" i="1" s="1"/>
  <c r="AG87" i="1" s="1"/>
  <c r="AF87" i="1" s="1"/>
  <c r="AI217" i="1"/>
  <c r="AH217" i="1" s="1"/>
  <c r="AG217" i="1" s="1"/>
  <c r="AF217" i="1" s="1"/>
  <c r="AI176" i="1"/>
  <c r="AH176" i="1" s="1"/>
  <c r="AG176" i="1" s="1"/>
  <c r="AF176" i="1" s="1"/>
  <c r="AI370" i="1"/>
  <c r="AH370" i="1" s="1"/>
  <c r="AG370" i="1" s="1"/>
  <c r="AF370" i="1" s="1"/>
  <c r="AI105" i="1"/>
  <c r="AH105" i="1" s="1"/>
  <c r="AG105" i="1" s="1"/>
  <c r="AF105" i="1" s="1"/>
  <c r="U79" i="1"/>
  <c r="T79" i="1" s="1"/>
  <c r="S79" i="1" s="1"/>
  <c r="R79" i="1" s="1"/>
  <c r="U128" i="1"/>
  <c r="T128" i="1" s="1"/>
  <c r="S128" i="1" s="1"/>
  <c r="R128" i="1" s="1"/>
  <c r="U160" i="1"/>
  <c r="T160" i="1" s="1"/>
  <c r="S160" i="1" s="1"/>
  <c r="R160" i="1" s="1"/>
  <c r="U194" i="1"/>
  <c r="T194" i="1" s="1"/>
  <c r="S194" i="1" s="1"/>
  <c r="R194" i="1" s="1"/>
  <c r="U225" i="1"/>
  <c r="T225" i="1" s="1"/>
  <c r="S225" i="1" s="1"/>
  <c r="R225" i="1" s="1"/>
  <c r="U259" i="1"/>
  <c r="T259" i="1" s="1"/>
  <c r="S259" i="1" s="1"/>
  <c r="R259" i="1" s="1"/>
  <c r="U315" i="1"/>
  <c r="T315" i="1" s="1"/>
  <c r="S315" i="1" s="1"/>
  <c r="R315" i="1" s="1"/>
  <c r="U376" i="1"/>
  <c r="T376" i="1" s="1"/>
  <c r="S376" i="1" s="1"/>
  <c r="R376" i="1" s="1"/>
  <c r="U69" i="1"/>
  <c r="T69" i="1" s="1"/>
  <c r="S69" i="1" s="1"/>
  <c r="R69" i="1" s="1"/>
  <c r="U21" i="1"/>
  <c r="T21" i="1" s="1"/>
  <c r="S21" i="1" s="1"/>
  <c r="R21" i="1" s="1"/>
  <c r="AI20" i="1"/>
  <c r="AH20" i="1" s="1"/>
  <c r="AG20" i="1" s="1"/>
  <c r="AF20" i="1" s="1"/>
  <c r="AI169" i="1"/>
  <c r="AH169" i="1" s="1"/>
  <c r="AG169" i="1" s="1"/>
  <c r="AF169" i="1" s="1"/>
  <c r="AI27" i="1"/>
  <c r="AH27" i="1" s="1"/>
  <c r="AG27" i="1" s="1"/>
  <c r="AF27" i="1" s="1"/>
  <c r="AI66" i="1"/>
  <c r="AH66" i="1" s="1"/>
  <c r="AG66" i="1" s="1"/>
  <c r="AF66" i="1" s="1"/>
  <c r="AI207" i="1"/>
  <c r="AH207" i="1" s="1"/>
  <c r="AG207" i="1" s="1"/>
  <c r="AF207" i="1" s="1"/>
  <c r="AI281" i="1"/>
  <c r="AH281" i="1" s="1"/>
  <c r="AG281" i="1" s="1"/>
  <c r="AF281" i="1" s="1"/>
  <c r="AI31" i="1"/>
  <c r="AH31" i="1" s="1"/>
  <c r="AG31" i="1" s="1"/>
  <c r="AF31" i="1" s="1"/>
  <c r="AI99" i="1"/>
  <c r="AH99" i="1" s="1"/>
  <c r="AG99" i="1" s="1"/>
  <c r="AF99" i="1" s="1"/>
  <c r="AI63" i="1"/>
  <c r="AH63" i="1" s="1"/>
  <c r="AG63" i="1" s="1"/>
  <c r="AF63" i="1" s="1"/>
  <c r="AI123" i="1"/>
  <c r="AH123" i="1" s="1"/>
  <c r="AG123" i="1" s="1"/>
  <c r="AF123" i="1" s="1"/>
  <c r="AI267" i="1"/>
  <c r="AH267" i="1" s="1"/>
  <c r="AG267" i="1" s="1"/>
  <c r="AF267" i="1" s="1"/>
  <c r="AI234" i="1"/>
  <c r="AH234" i="1" s="1"/>
  <c r="AG234" i="1" s="1"/>
  <c r="AF234" i="1" s="1"/>
  <c r="AI313" i="1"/>
  <c r="AH313" i="1" s="1"/>
  <c r="AG313" i="1" s="1"/>
  <c r="AF313" i="1" s="1"/>
  <c r="AI125" i="1"/>
  <c r="AH125" i="1" s="1"/>
  <c r="AG125" i="1" s="1"/>
  <c r="AF125" i="1" s="1"/>
  <c r="AI365" i="1"/>
  <c r="AH365" i="1" s="1"/>
  <c r="AG365" i="1" s="1"/>
  <c r="AF365" i="1" s="1"/>
  <c r="AI209" i="1"/>
  <c r="AH209" i="1" s="1"/>
  <c r="AG209" i="1" s="1"/>
  <c r="AF209" i="1" s="1"/>
  <c r="AI126" i="1"/>
  <c r="AH126" i="1" s="1"/>
  <c r="AG126" i="1" s="1"/>
  <c r="AF126" i="1" s="1"/>
  <c r="AI213" i="1"/>
  <c r="AH213" i="1" s="1"/>
  <c r="AG213" i="1" s="1"/>
  <c r="AF213" i="1" s="1"/>
  <c r="AI85" i="1"/>
  <c r="AH85" i="1" s="1"/>
  <c r="AG85" i="1" s="1"/>
  <c r="AF85" i="1" s="1"/>
  <c r="AI197" i="1"/>
  <c r="AH197" i="1" s="1"/>
  <c r="AG197" i="1" s="1"/>
  <c r="AF197" i="1" s="1"/>
  <c r="AI88" i="1"/>
  <c r="AH88" i="1" s="1"/>
  <c r="AG88" i="1" s="1"/>
  <c r="AF88" i="1" s="1"/>
  <c r="AI282" i="1"/>
  <c r="AH282" i="1" s="1"/>
  <c r="AG282" i="1" s="1"/>
  <c r="AF282" i="1" s="1"/>
  <c r="AI81" i="1"/>
  <c r="AH81" i="1" s="1"/>
  <c r="AG81" i="1" s="1"/>
  <c r="AF81" i="1" s="1"/>
  <c r="AI255" i="1"/>
  <c r="AH255" i="1" s="1"/>
  <c r="AG255" i="1" s="1"/>
  <c r="AF255" i="1" s="1"/>
  <c r="AI302" i="1"/>
  <c r="AH302" i="1" s="1"/>
  <c r="AG302" i="1" s="1"/>
  <c r="AF302" i="1" s="1"/>
  <c r="U40" i="1"/>
  <c r="T40" i="1" s="1"/>
  <c r="S40" i="1" s="1"/>
  <c r="R40" i="1" s="1"/>
  <c r="U78" i="1"/>
  <c r="T78" i="1" s="1"/>
  <c r="S78" i="1" s="1"/>
  <c r="R78" i="1" s="1"/>
  <c r="U108" i="1"/>
  <c r="T108" i="1" s="1"/>
  <c r="S108" i="1" s="1"/>
  <c r="R108" i="1" s="1"/>
  <c r="U127" i="1"/>
  <c r="T127" i="1" s="1"/>
  <c r="S127" i="1" s="1"/>
  <c r="R127" i="1" s="1"/>
  <c r="U144" i="1"/>
  <c r="T144" i="1" s="1"/>
  <c r="S144" i="1" s="1"/>
  <c r="R144" i="1" s="1"/>
  <c r="U158" i="1"/>
  <c r="T158" i="1" s="1"/>
  <c r="S158" i="1" s="1"/>
  <c r="R158" i="1" s="1"/>
  <c r="U172" i="1"/>
  <c r="T172" i="1" s="1"/>
  <c r="S172" i="1" s="1"/>
  <c r="R172" i="1" s="1"/>
  <c r="U193" i="1"/>
  <c r="T193" i="1" s="1"/>
  <c r="S193" i="1" s="1"/>
  <c r="R193" i="1" s="1"/>
  <c r="U209" i="1"/>
  <c r="T209" i="1" s="1"/>
  <c r="S209" i="1" s="1"/>
  <c r="R209" i="1" s="1"/>
  <c r="U223" i="1"/>
  <c r="T223" i="1" s="1"/>
  <c r="S223" i="1" s="1"/>
  <c r="R223" i="1" s="1"/>
  <c r="U243" i="1"/>
  <c r="T243" i="1" s="1"/>
  <c r="S243" i="1" s="1"/>
  <c r="R243" i="1" s="1"/>
  <c r="U258" i="1"/>
  <c r="T258" i="1" s="1"/>
  <c r="S258" i="1" s="1"/>
  <c r="R258" i="1" s="1"/>
  <c r="U285" i="1"/>
  <c r="T285" i="1" s="1"/>
  <c r="S285" i="1" s="1"/>
  <c r="R285" i="1" s="1"/>
  <c r="U319" i="1"/>
  <c r="T319" i="1" s="1"/>
  <c r="S319" i="1" s="1"/>
  <c r="R319" i="1" s="1"/>
  <c r="U378" i="1"/>
  <c r="T378" i="1" s="1"/>
  <c r="S378" i="1" s="1"/>
  <c r="R378" i="1" s="1"/>
  <c r="U66" i="1"/>
  <c r="T66" i="1" s="1"/>
  <c r="S66" i="1" s="1"/>
  <c r="R66" i="1" s="1"/>
  <c r="U18" i="1"/>
  <c r="T18" i="1" s="1"/>
  <c r="S18" i="1" s="1"/>
  <c r="R18" i="1" s="1"/>
  <c r="AI275" i="1"/>
  <c r="AH275" i="1" s="1"/>
  <c r="AG275" i="1" s="1"/>
  <c r="AF275" i="1" s="1"/>
  <c r="AI189" i="1"/>
  <c r="AH189" i="1" s="1"/>
  <c r="AG189" i="1" s="1"/>
  <c r="AF189" i="1" s="1"/>
  <c r="AI376" i="1"/>
  <c r="AH376" i="1" s="1"/>
  <c r="AG376" i="1" s="1"/>
  <c r="AF376" i="1" s="1"/>
  <c r="U296" i="1"/>
  <c r="T296" i="1" s="1"/>
  <c r="S296" i="1" s="1"/>
  <c r="R296" i="1" s="1"/>
  <c r="U354" i="1"/>
  <c r="T354" i="1" s="1"/>
  <c r="S354" i="1" s="1"/>
  <c r="R354" i="1" s="1"/>
  <c r="U87" i="1"/>
  <c r="T87" i="1" s="1"/>
  <c r="S87" i="1" s="1"/>
  <c r="R87" i="1" s="1"/>
  <c r="U32" i="1"/>
  <c r="T32" i="1" s="1"/>
  <c r="S32" i="1" s="1"/>
  <c r="R32" i="1" s="1"/>
  <c r="AI75" i="1"/>
  <c r="AH75" i="1" s="1"/>
  <c r="AG75" i="1" s="1"/>
  <c r="AF75" i="1" s="1"/>
  <c r="AI237" i="1"/>
  <c r="AH237" i="1" s="1"/>
  <c r="AG237" i="1" s="1"/>
  <c r="AF237" i="1" s="1"/>
  <c r="AI240" i="1"/>
  <c r="AH240" i="1" s="1"/>
  <c r="AG240" i="1" s="1"/>
  <c r="AF240" i="1" s="1"/>
  <c r="AI147" i="1"/>
  <c r="AH147" i="1" s="1"/>
  <c r="AG147" i="1" s="1"/>
  <c r="AF147" i="1" s="1"/>
  <c r="AI239" i="1"/>
  <c r="AH239" i="1" s="1"/>
  <c r="AG239" i="1" s="1"/>
  <c r="AF239" i="1" s="1"/>
  <c r="Q16" i="15"/>
  <c r="Q284" i="15"/>
  <c r="Q353" i="15"/>
  <c r="Q145" i="15"/>
  <c r="Q61" i="15"/>
  <c r="Q163" i="15"/>
  <c r="Q140" i="15"/>
  <c r="Q217" i="15"/>
  <c r="Q234" i="15"/>
  <c r="Q301" i="15"/>
  <c r="Q255" i="15"/>
  <c r="AE360" i="15"/>
  <c r="Q126" i="15"/>
  <c r="AE174" i="15"/>
  <c r="Q199" i="15"/>
  <c r="Q282" i="15"/>
  <c r="AE124" i="15"/>
  <c r="AE301" i="15"/>
  <c r="Q209" i="15"/>
  <c r="AE178" i="15"/>
  <c r="AE323" i="15"/>
  <c r="AE352" i="15"/>
  <c r="Q142" i="15"/>
  <c r="AE142" i="15"/>
  <c r="Q157" i="15"/>
  <c r="Q89" i="15"/>
  <c r="AE148" i="15"/>
  <c r="AE293" i="15"/>
  <c r="Q177" i="15"/>
  <c r="AE202" i="15"/>
  <c r="AE347" i="15"/>
  <c r="AE304" i="15"/>
  <c r="Q211" i="15"/>
  <c r="Q345" i="15"/>
  <c r="Q320" i="15"/>
  <c r="AE87" i="15"/>
  <c r="Q344" i="15"/>
  <c r="Q330" i="15"/>
  <c r="Q151" i="15"/>
  <c r="AE296" i="15"/>
  <c r="AE239" i="15"/>
  <c r="AE92" i="15"/>
  <c r="AE269" i="15"/>
  <c r="AE35" i="15"/>
  <c r="AE288" i="15"/>
  <c r="AE167" i="15"/>
  <c r="AE116" i="15"/>
  <c r="AE261" i="15"/>
  <c r="AE59" i="15"/>
  <c r="AE368" i="15"/>
  <c r="AE311" i="15"/>
  <c r="AE363" i="15"/>
  <c r="AE216" i="15"/>
  <c r="AE110" i="15"/>
  <c r="AE204" i="15"/>
  <c r="AE30" i="15"/>
  <c r="AE235" i="15"/>
  <c r="AE22" i="15"/>
  <c r="AE236" i="15"/>
  <c r="AE350" i="15"/>
  <c r="AK9" i="16"/>
  <c r="Q343" i="15"/>
  <c r="Q335" i="15"/>
  <c r="Q171" i="15"/>
  <c r="Q295" i="15"/>
  <c r="Q355" i="15"/>
  <c r="Q338" i="15"/>
  <c r="Q375" i="15"/>
  <c r="Q96" i="15"/>
  <c r="Q371" i="15"/>
  <c r="Q278" i="15"/>
  <c r="Q230" i="15"/>
  <c r="AE342" i="15"/>
  <c r="AE34" i="15"/>
  <c r="Q88" i="15"/>
  <c r="AK7" i="16"/>
  <c r="AK11" i="16" s="1"/>
  <c r="AC183" i="15"/>
  <c r="AC169" i="15"/>
  <c r="AC162" i="15"/>
  <c r="AC220" i="15"/>
  <c r="AC189" i="15"/>
  <c r="P13" i="7"/>
  <c r="AC266" i="15"/>
  <c r="K13" i="7"/>
  <c r="V13" i="7"/>
  <c r="Q326" i="15"/>
  <c r="Q372" i="15"/>
  <c r="Q99" i="15"/>
  <c r="Q178" i="15"/>
  <c r="Q111" i="15"/>
  <c r="Q226" i="15"/>
  <c r="Q71" i="15"/>
  <c r="Q156" i="15"/>
  <c r="Q224" i="15"/>
  <c r="Q256" i="15"/>
  <c r="Q81" i="15"/>
  <c r="Q103" i="15"/>
  <c r="Q65" i="15"/>
  <c r="Q112" i="15"/>
  <c r="Q146" i="15"/>
  <c r="Q49" i="15"/>
  <c r="Q373" i="15"/>
  <c r="Q110" i="15"/>
  <c r="Q129" i="15"/>
  <c r="Q185" i="15"/>
  <c r="Q104" i="15"/>
  <c r="AE104" i="15"/>
  <c r="AE217" i="15"/>
  <c r="Q257" i="15"/>
  <c r="AE254" i="15"/>
  <c r="AE287" i="15"/>
  <c r="Q193" i="15"/>
  <c r="AE24" i="15"/>
  <c r="Q367" i="15"/>
  <c r="Q32" i="15"/>
  <c r="Q249" i="15"/>
  <c r="Q66" i="15"/>
  <c r="AE252" i="15"/>
  <c r="AE173" i="15"/>
  <c r="Q213" i="15"/>
  <c r="Q148" i="15"/>
  <c r="Q29" i="15"/>
  <c r="AE50" i="15"/>
  <c r="AE306" i="15"/>
  <c r="AE195" i="15"/>
  <c r="Q136" i="15"/>
  <c r="AE96" i="15"/>
  <c r="AE209" i="15"/>
  <c r="Q225" i="15"/>
  <c r="AE246" i="15"/>
  <c r="AE359" i="15"/>
  <c r="Q216" i="15"/>
  <c r="Q260" i="15"/>
  <c r="Q91" i="15"/>
  <c r="Q231" i="15"/>
  <c r="Q155" i="15"/>
  <c r="AE20" i="15"/>
  <c r="AE276" i="15"/>
  <c r="AE165" i="15"/>
  <c r="Q181" i="15"/>
  <c r="Q164" i="15"/>
  <c r="Q63" i="15"/>
  <c r="AE74" i="15"/>
  <c r="AE330" i="15"/>
  <c r="AE219" i="15"/>
  <c r="Q340" i="15"/>
  <c r="AE48" i="15"/>
  <c r="AE161" i="15"/>
  <c r="Q232" i="15"/>
  <c r="AE70" i="15"/>
  <c r="AE247" i="15"/>
  <c r="AE317" i="15"/>
  <c r="Q214" i="15"/>
  <c r="AE95" i="15"/>
  <c r="AE264" i="15"/>
  <c r="Q90" i="15"/>
  <c r="AE292" i="15"/>
  <c r="AE278" i="15"/>
  <c r="Q116" i="15"/>
  <c r="AE328" i="15"/>
  <c r="AE320" i="15"/>
  <c r="Q316" i="15"/>
  <c r="AE40" i="15"/>
  <c r="AE153" i="15"/>
  <c r="AE318" i="15"/>
  <c r="AE159" i="15"/>
  <c r="AE152" i="15"/>
  <c r="AE220" i="15"/>
  <c r="AE141" i="15"/>
  <c r="AE16" i="15"/>
  <c r="AE274" i="15"/>
  <c r="AE163" i="15"/>
  <c r="AE32" i="15"/>
  <c r="AE145" i="15"/>
  <c r="AE310" i="15"/>
  <c r="AE255" i="15"/>
  <c r="AE120" i="15"/>
  <c r="AE244" i="15"/>
  <c r="AE133" i="15"/>
  <c r="AE42" i="15"/>
  <c r="AE298" i="15"/>
  <c r="AE187" i="15"/>
  <c r="AE112" i="15"/>
  <c r="AE225" i="15"/>
  <c r="AE55" i="15"/>
  <c r="AE268" i="15"/>
  <c r="AE249" i="15"/>
  <c r="AE149" i="15"/>
  <c r="AE83" i="15"/>
  <c r="AE307" i="15"/>
  <c r="AE125" i="15"/>
  <c r="AE88" i="15"/>
  <c r="AE143" i="15"/>
  <c r="AE121" i="15"/>
  <c r="AE321" i="15"/>
  <c r="AE122" i="15"/>
  <c r="AE312" i="15"/>
  <c r="AE211" i="15"/>
  <c r="AE79" i="15"/>
  <c r="AE214" i="15"/>
  <c r="AE267" i="15"/>
  <c r="AE221" i="15"/>
  <c r="AM9" i="16"/>
  <c r="Q261" i="15"/>
  <c r="Q309" i="15"/>
  <c r="Q180" i="15"/>
  <c r="Q105" i="15"/>
  <c r="Q315" i="15"/>
  <c r="Q143" i="15"/>
  <c r="Q56" i="15"/>
  <c r="Q356" i="15"/>
  <c r="Q98" i="15"/>
  <c r="Q219" i="15"/>
  <c r="Q168" i="15"/>
  <c r="Q359" i="15"/>
  <c r="Q95" i="15"/>
  <c r="Q69" i="15"/>
  <c r="Q130" i="15"/>
  <c r="Q186" i="15"/>
  <c r="Q269" i="15"/>
  <c r="Q297" i="15"/>
  <c r="Q52" i="15"/>
  <c r="Q62" i="15"/>
  <c r="AE305" i="15"/>
  <c r="Q308" i="15"/>
  <c r="Q336" i="15"/>
  <c r="AE222" i="15"/>
  <c r="AE206" i="15"/>
  <c r="AE193" i="15"/>
  <c r="AK5" i="16"/>
  <c r="U11" i="7"/>
  <c r="Q11" i="16"/>
  <c r="AC186" i="15"/>
  <c r="AC152" i="15"/>
  <c r="AC104" i="15"/>
  <c r="AC209" i="15"/>
  <c r="AC84" i="15"/>
  <c r="AC215" i="15"/>
  <c r="AC37" i="15"/>
  <c r="AC148" i="15"/>
  <c r="AC199" i="15"/>
  <c r="AC19" i="15"/>
  <c r="AC108" i="15"/>
  <c r="AC70" i="15"/>
  <c r="AC165" i="15"/>
  <c r="AC18" i="15"/>
  <c r="AC219" i="15"/>
  <c r="AC214" i="15"/>
  <c r="AC43" i="15"/>
  <c r="AC174" i="15"/>
  <c r="AC48" i="15"/>
  <c r="AC114" i="15"/>
  <c r="AC202" i="15"/>
  <c r="AC196" i="15"/>
  <c r="AC176" i="15"/>
  <c r="AC117" i="15"/>
  <c r="AC119" i="15"/>
  <c r="AC168" i="15"/>
  <c r="AC131" i="15"/>
  <c r="AC150" i="15"/>
  <c r="AC200" i="15"/>
  <c r="AC113" i="15"/>
  <c r="AC96" i="15"/>
  <c r="AC145" i="15"/>
  <c r="AC126" i="15"/>
  <c r="AC237" i="15"/>
  <c r="AC212" i="15"/>
  <c r="AC181" i="15"/>
  <c r="AC187" i="15"/>
  <c r="AC81" i="15"/>
  <c r="AC57" i="15"/>
  <c r="AC64" i="15"/>
  <c r="AC164" i="15"/>
  <c r="AC128" i="15"/>
  <c r="AC38" i="15"/>
  <c r="AC80" i="15"/>
  <c r="AC240" i="15"/>
  <c r="AC223" i="15"/>
  <c r="AC231" i="15"/>
  <c r="AC225" i="15"/>
  <c r="AC22" i="15"/>
  <c r="AC29" i="15"/>
  <c r="AC156" i="15"/>
  <c r="AC125" i="15"/>
  <c r="AC213" i="15"/>
  <c r="AC163" i="15"/>
  <c r="AC20" i="15"/>
  <c r="AC17" i="15"/>
  <c r="AC31" i="15"/>
  <c r="AC193" i="15"/>
  <c r="AC58" i="15"/>
  <c r="AC141" i="15"/>
  <c r="AC221" i="15"/>
  <c r="AC233" i="15"/>
  <c r="AC69" i="15"/>
  <c r="AC135" i="15"/>
  <c r="AC103" i="15"/>
  <c r="AC77" i="15"/>
  <c r="AC106" i="15"/>
  <c r="AC92" i="15"/>
  <c r="AC146" i="15"/>
  <c r="AC28" i="15"/>
  <c r="AC46" i="15"/>
  <c r="AC44" i="15"/>
  <c r="AC138" i="15"/>
  <c r="AC140" i="15"/>
  <c r="AC173" i="15"/>
  <c r="AC56" i="15"/>
  <c r="AC47" i="15"/>
  <c r="AC63" i="15"/>
  <c r="AC97" i="15"/>
  <c r="AC15" i="15"/>
  <c r="AC51" i="15"/>
  <c r="AC129" i="15"/>
  <c r="AC167" i="15"/>
  <c r="AC95" i="15"/>
  <c r="AC45" i="15"/>
  <c r="AC87" i="15"/>
  <c r="AC101" i="15"/>
  <c r="AC107" i="15"/>
  <c r="AC111" i="15"/>
  <c r="AC115" i="15"/>
  <c r="AC123" i="15"/>
  <c r="AC137" i="15"/>
  <c r="AC161" i="15"/>
  <c r="AC175" i="15"/>
  <c r="AC49" i="15"/>
  <c r="AC71" i="15"/>
  <c r="AC184" i="15"/>
  <c r="AC190" i="15"/>
  <c r="AC217" i="15"/>
  <c r="AC192" i="15"/>
  <c r="AC226" i="15"/>
  <c r="AC194" i="15"/>
  <c r="AC320" i="15"/>
  <c r="AC238" i="15"/>
  <c r="AC330" i="15"/>
  <c r="AC36" i="15"/>
  <c r="AC120" i="15"/>
  <c r="AC66" i="15"/>
  <c r="AC65" i="15"/>
  <c r="AC177" i="15"/>
  <c r="AC53" i="15"/>
  <c r="AC61" i="15"/>
  <c r="AC105" i="15"/>
  <c r="AC149" i="15"/>
  <c r="AC157" i="15"/>
  <c r="AC201" i="15"/>
  <c r="AC208" i="15"/>
  <c r="AC227" i="15"/>
  <c r="AC253" i="15"/>
  <c r="AC130" i="15"/>
  <c r="AC166" i="15"/>
  <c r="AC170" i="15"/>
  <c r="AC40" i="15"/>
  <c r="AC59" i="15"/>
  <c r="AC99" i="15"/>
  <c r="AC86" i="15"/>
  <c r="AC16" i="15"/>
  <c r="AC23" i="15"/>
  <c r="AC93" i="15"/>
  <c r="AC127" i="15"/>
  <c r="AC159" i="15"/>
  <c r="AC33" i="15"/>
  <c r="AC76" i="15"/>
  <c r="AC210" i="15"/>
  <c r="AC206" i="15"/>
  <c r="AC252" i="15"/>
  <c r="AC182" i="15"/>
  <c r="AC78" i="15"/>
  <c r="AC27" i="15"/>
  <c r="AC154" i="15"/>
  <c r="AC54" i="15"/>
  <c r="AC122" i="15"/>
  <c r="AC142" i="15"/>
  <c r="AC160" i="15"/>
  <c r="AC171" i="15"/>
  <c r="AC52" i="15"/>
  <c r="AC26" i="15"/>
  <c r="AC67" i="15"/>
  <c r="AC100" i="15"/>
  <c r="AC21" i="15"/>
  <c r="AC91" i="15"/>
  <c r="AC191" i="15"/>
  <c r="AC116" i="15"/>
  <c r="AC222" i="15"/>
  <c r="AC255" i="15"/>
  <c r="AC242" i="15"/>
  <c r="AC185" i="15"/>
  <c r="AC188" i="15"/>
  <c r="AC230" i="15"/>
  <c r="AC203" i="15"/>
  <c r="AC197" i="15"/>
  <c r="AC143" i="15"/>
  <c r="AC94" i="15"/>
  <c r="AC102" i="15"/>
  <c r="AC39" i="15"/>
  <c r="AC74" i="15"/>
  <c r="AC90" i="15"/>
  <c r="AC144" i="15"/>
  <c r="AC158" i="15"/>
  <c r="AC139" i="15"/>
  <c r="AC118" i="15"/>
  <c r="AC88" i="15"/>
  <c r="AC30" i="15"/>
  <c r="AC24" i="15"/>
  <c r="AC132" i="15"/>
  <c r="AC112" i="15"/>
  <c r="AC256" i="15"/>
  <c r="AC264" i="15"/>
  <c r="AC229" i="15"/>
  <c r="AC195" i="15"/>
  <c r="AC204" i="15"/>
  <c r="AC236" i="15"/>
  <c r="AC207" i="15"/>
  <c r="AC211" i="15"/>
  <c r="AC55" i="15"/>
  <c r="AC85" i="15"/>
  <c r="AC68" i="15"/>
  <c r="AC136" i="15"/>
  <c r="AC134" i="15"/>
  <c r="AC60" i="15"/>
  <c r="AC82" i="15"/>
  <c r="AC216" i="15"/>
  <c r="AC180" i="15"/>
  <c r="AC41" i="15"/>
  <c r="AC133" i="15"/>
  <c r="AC42" i="15"/>
  <c r="AC110" i="15"/>
  <c r="AC83" i="15"/>
  <c r="AC178" i="15"/>
  <c r="AC153" i="15"/>
  <c r="AC224" i="15"/>
  <c r="AC251" i="15"/>
  <c r="AC155" i="15"/>
  <c r="AC75" i="15"/>
  <c r="AC50" i="15"/>
  <c r="AC32" i="15"/>
  <c r="AC62" i="15"/>
  <c r="AC364" i="15"/>
  <c r="AC218" i="15"/>
  <c r="AC198" i="15"/>
  <c r="AC205" i="15"/>
  <c r="AC79" i="15"/>
  <c r="AC179" i="15"/>
  <c r="AC151" i="15"/>
  <c r="AC121" i="15"/>
  <c r="AC109" i="15"/>
  <c r="AC98" i="15"/>
  <c r="AC34" i="15"/>
  <c r="AC147" i="15"/>
  <c r="AC73" i="15"/>
  <c r="AC89" i="15"/>
  <c r="AC72" i="15"/>
  <c r="AC172" i="15"/>
  <c r="AC124" i="15"/>
  <c r="AC25" i="15"/>
  <c r="O376" i="17"/>
  <c r="E376" i="17" s="1"/>
  <c r="O338" i="17"/>
  <c r="E338" i="17" s="1"/>
  <c r="O330" i="17"/>
  <c r="E330" i="17" s="1"/>
  <c r="AD181" i="1"/>
  <c r="AE26" i="15"/>
  <c r="AE331" i="15"/>
  <c r="Q161" i="15"/>
  <c r="AE184" i="15"/>
  <c r="AE73" i="15"/>
  <c r="Q55" i="15"/>
  <c r="AE256" i="15"/>
  <c r="Q120" i="15"/>
  <c r="AE314" i="15"/>
  <c r="AI29" i="1"/>
  <c r="AH29" i="1" s="1"/>
  <c r="AG29" i="1" s="1"/>
  <c r="AF29" i="1" s="1"/>
  <c r="AI38" i="1"/>
  <c r="AH38" i="1" s="1"/>
  <c r="AG38" i="1" s="1"/>
  <c r="AF38" i="1" s="1"/>
  <c r="AI251" i="1"/>
  <c r="AH251" i="1" s="1"/>
  <c r="AG251" i="1" s="1"/>
  <c r="AF251" i="1" s="1"/>
  <c r="AI305" i="1"/>
  <c r="AH305" i="1" s="1"/>
  <c r="AG305" i="1" s="1"/>
  <c r="AF305" i="1" s="1"/>
  <c r="AI19" i="1"/>
  <c r="AH19" i="1" s="1"/>
  <c r="AG19" i="1" s="1"/>
  <c r="AF19" i="1" s="1"/>
  <c r="U19" i="1"/>
  <c r="T19" i="1" s="1"/>
  <c r="S19" i="1" s="1"/>
  <c r="R19" i="1" s="1"/>
  <c r="AI289" i="1"/>
  <c r="AH289" i="1" s="1"/>
  <c r="AG289" i="1" s="1"/>
  <c r="AF289" i="1" s="1"/>
  <c r="AI28" i="1"/>
  <c r="AH28" i="1" s="1"/>
  <c r="AG28" i="1" s="1"/>
  <c r="AF28" i="1" s="1"/>
  <c r="AI15" i="1"/>
  <c r="AH15" i="1" s="1"/>
  <c r="AG15" i="1" s="1"/>
  <c r="AF15" i="1" s="1"/>
  <c r="AI245" i="1"/>
  <c r="AH245" i="1" s="1"/>
  <c r="AG245" i="1" s="1"/>
  <c r="AF245" i="1" s="1"/>
  <c r="AI208" i="1"/>
  <c r="AH208" i="1" s="1"/>
  <c r="AG208" i="1" s="1"/>
  <c r="AF208" i="1" s="1"/>
  <c r="AI333" i="1"/>
  <c r="AH333" i="1" s="1"/>
  <c r="AG333" i="1" s="1"/>
  <c r="AF333" i="1" s="1"/>
  <c r="AI67" i="1"/>
  <c r="AH67" i="1" s="1"/>
  <c r="AG67" i="1" s="1"/>
  <c r="AF67" i="1" s="1"/>
  <c r="AI106" i="1"/>
  <c r="AH106" i="1" s="1"/>
  <c r="AG106" i="1" s="1"/>
  <c r="AF106" i="1" s="1"/>
  <c r="AI166" i="1"/>
  <c r="AH166" i="1" s="1"/>
  <c r="AG166" i="1" s="1"/>
  <c r="AF166" i="1" s="1"/>
  <c r="AI212" i="1"/>
  <c r="AH212" i="1" s="1"/>
  <c r="AG212" i="1" s="1"/>
  <c r="AF212" i="1" s="1"/>
  <c r="AI84" i="1"/>
  <c r="AH84" i="1" s="1"/>
  <c r="AG84" i="1" s="1"/>
  <c r="AF84" i="1" s="1"/>
  <c r="AI367" i="1"/>
  <c r="AH367" i="1" s="1"/>
  <c r="AG367" i="1" s="1"/>
  <c r="AF367" i="1" s="1"/>
  <c r="AI165" i="1"/>
  <c r="AH165" i="1" s="1"/>
  <c r="AG165" i="1" s="1"/>
  <c r="AF165" i="1" s="1"/>
  <c r="AI316" i="1"/>
  <c r="AH316" i="1" s="1"/>
  <c r="AG316" i="1" s="1"/>
  <c r="AF316" i="1" s="1"/>
  <c r="U28" i="1"/>
  <c r="T28" i="1" s="1"/>
  <c r="S28" i="1" s="1"/>
  <c r="R28" i="1" s="1"/>
  <c r="U37" i="1"/>
  <c r="T37" i="1" s="1"/>
  <c r="S37" i="1" s="1"/>
  <c r="R37" i="1" s="1"/>
  <c r="U48" i="1"/>
  <c r="T48" i="1" s="1"/>
  <c r="S48" i="1" s="1"/>
  <c r="R48" i="1" s="1"/>
  <c r="U64" i="1"/>
  <c r="T64" i="1" s="1"/>
  <c r="S64" i="1" s="1"/>
  <c r="R64" i="1" s="1"/>
  <c r="U80" i="1"/>
  <c r="T80" i="1" s="1"/>
  <c r="S80" i="1" s="1"/>
  <c r="R80" i="1" s="1"/>
  <c r="U92" i="1"/>
  <c r="T92" i="1" s="1"/>
  <c r="S92" i="1" s="1"/>
  <c r="R92" i="1" s="1"/>
  <c r="U103" i="1"/>
  <c r="T103" i="1" s="1"/>
  <c r="S103" i="1" s="1"/>
  <c r="R103" i="1" s="1"/>
  <c r="U118" i="1"/>
  <c r="T118" i="1" s="1"/>
  <c r="S118" i="1" s="1"/>
  <c r="R118" i="1" s="1"/>
  <c r="U370" i="1"/>
  <c r="T370" i="1" s="1"/>
  <c r="S370" i="1" s="1"/>
  <c r="R370" i="1" s="1"/>
  <c r="U347" i="1"/>
  <c r="T347" i="1" s="1"/>
  <c r="S347" i="1" s="1"/>
  <c r="R347" i="1" s="1"/>
  <c r="U338" i="1"/>
  <c r="T338" i="1" s="1"/>
  <c r="S338" i="1" s="1"/>
  <c r="R338" i="1" s="1"/>
  <c r="U320" i="1"/>
  <c r="T320" i="1" s="1"/>
  <c r="S320" i="1" s="1"/>
  <c r="R320" i="1" s="1"/>
  <c r="U303" i="1"/>
  <c r="T303" i="1" s="1"/>
  <c r="S303" i="1" s="1"/>
  <c r="R303" i="1" s="1"/>
  <c r="U292" i="1"/>
  <c r="T292" i="1" s="1"/>
  <c r="S292" i="1" s="1"/>
  <c r="R292" i="1" s="1"/>
  <c r="U281" i="1"/>
  <c r="T281" i="1" s="1"/>
  <c r="S281" i="1" s="1"/>
  <c r="R281" i="1" s="1"/>
  <c r="U265" i="1"/>
  <c r="T265" i="1" s="1"/>
  <c r="S265" i="1" s="1"/>
  <c r="R265" i="1" s="1"/>
  <c r="AI250" i="1"/>
  <c r="AH250" i="1" s="1"/>
  <c r="AG250" i="1" s="1"/>
  <c r="AF250" i="1" s="1"/>
  <c r="AI86" i="1"/>
  <c r="AH86" i="1" s="1"/>
  <c r="AG86" i="1" s="1"/>
  <c r="AF86" i="1" s="1"/>
  <c r="AI156" i="1"/>
  <c r="AH156" i="1" s="1"/>
  <c r="AG156" i="1" s="1"/>
  <c r="AF156" i="1" s="1"/>
  <c r="AI204" i="1"/>
  <c r="AH204" i="1" s="1"/>
  <c r="AG204" i="1" s="1"/>
  <c r="AF204" i="1" s="1"/>
  <c r="AI238" i="1"/>
  <c r="AH238" i="1" s="1"/>
  <c r="AG238" i="1" s="1"/>
  <c r="AF238" i="1" s="1"/>
  <c r="AI308" i="1"/>
  <c r="AH308" i="1" s="1"/>
  <c r="AG308" i="1" s="1"/>
  <c r="AF308" i="1" s="1"/>
  <c r="AI297" i="1"/>
  <c r="AH297" i="1" s="1"/>
  <c r="AG297" i="1" s="1"/>
  <c r="AF297" i="1" s="1"/>
  <c r="AI167" i="1"/>
  <c r="AH167" i="1" s="1"/>
  <c r="AG167" i="1" s="1"/>
  <c r="AF167" i="1" s="1"/>
  <c r="AI164" i="1"/>
  <c r="AH164" i="1" s="1"/>
  <c r="AG164" i="1" s="1"/>
  <c r="AF164" i="1" s="1"/>
  <c r="AI137" i="1"/>
  <c r="AH137" i="1" s="1"/>
  <c r="AG137" i="1" s="1"/>
  <c r="AF137" i="1" s="1"/>
  <c r="AI102" i="1"/>
  <c r="AH102" i="1" s="1"/>
  <c r="AG102" i="1" s="1"/>
  <c r="AF102" i="1" s="1"/>
  <c r="AI327" i="1"/>
  <c r="AH327" i="1" s="1"/>
  <c r="AG327" i="1" s="1"/>
  <c r="AF327" i="1" s="1"/>
  <c r="AI53" i="1"/>
  <c r="AH53" i="1" s="1"/>
  <c r="AG53" i="1" s="1"/>
  <c r="AF53" i="1" s="1"/>
  <c r="U25" i="1"/>
  <c r="T25" i="1" s="1"/>
  <c r="S25" i="1" s="1"/>
  <c r="R25" i="1" s="1"/>
  <c r="U33" i="1"/>
  <c r="T33" i="1" s="1"/>
  <c r="S33" i="1" s="1"/>
  <c r="R33" i="1" s="1"/>
  <c r="U45" i="1"/>
  <c r="T45" i="1" s="1"/>
  <c r="S45" i="1" s="1"/>
  <c r="R45" i="1" s="1"/>
  <c r="U60" i="1"/>
  <c r="T60" i="1" s="1"/>
  <c r="S60" i="1" s="1"/>
  <c r="R60" i="1" s="1"/>
  <c r="U71" i="1"/>
  <c r="T71" i="1" s="1"/>
  <c r="S71" i="1" s="1"/>
  <c r="R71" i="1" s="1"/>
  <c r="U88" i="1"/>
  <c r="T88" i="1" s="1"/>
  <c r="S88" i="1" s="1"/>
  <c r="R88" i="1" s="1"/>
  <c r="U98" i="1"/>
  <c r="T98" i="1" s="1"/>
  <c r="S98" i="1" s="1"/>
  <c r="R98" i="1" s="1"/>
  <c r="U112" i="1"/>
  <c r="T112" i="1" s="1"/>
  <c r="S112" i="1" s="1"/>
  <c r="R112" i="1" s="1"/>
  <c r="U374" i="1"/>
  <c r="T374" i="1" s="1"/>
  <c r="S374" i="1" s="1"/>
  <c r="R374" i="1" s="1"/>
  <c r="U352" i="1"/>
  <c r="T352" i="1" s="1"/>
  <c r="S352" i="1" s="1"/>
  <c r="R352" i="1" s="1"/>
  <c r="U342" i="1"/>
  <c r="T342" i="1" s="1"/>
  <c r="S342" i="1" s="1"/>
  <c r="R342" i="1" s="1"/>
  <c r="U324" i="1"/>
  <c r="T324" i="1" s="1"/>
  <c r="S324" i="1" s="1"/>
  <c r="R324" i="1" s="1"/>
  <c r="U308" i="1"/>
  <c r="T308" i="1" s="1"/>
  <c r="S308" i="1" s="1"/>
  <c r="R308" i="1" s="1"/>
  <c r="Q198" i="15"/>
  <c r="AE102" i="15"/>
  <c r="Q200" i="15"/>
  <c r="Q241" i="15"/>
  <c r="AE100" i="15"/>
  <c r="Q221" i="15"/>
  <c r="Q206" i="15"/>
  <c r="AE147" i="15"/>
  <c r="Q149" i="15"/>
  <c r="Q74" i="15"/>
  <c r="Q293" i="15"/>
  <c r="Q240" i="15"/>
  <c r="Q78" i="15"/>
  <c r="Q244" i="15"/>
  <c r="AE139" i="15"/>
  <c r="Q192" i="15"/>
  <c r="AE132" i="15"/>
  <c r="AE322" i="15"/>
  <c r="AE144" i="15"/>
  <c r="AE181" i="15"/>
  <c r="AE78" i="15"/>
  <c r="Q347" i="15"/>
  <c r="AE115" i="15"/>
  <c r="AD240" i="1"/>
  <c r="O281" i="17"/>
  <c r="E281" i="17" s="1"/>
  <c r="AT178" i="6"/>
  <c r="AT173" i="6"/>
  <c r="AT177" i="6"/>
  <c r="AT164" i="6"/>
  <c r="AT163" i="6"/>
  <c r="AT188" i="6"/>
  <c r="AT182" i="6"/>
  <c r="AT165" i="6"/>
  <c r="O231" i="17"/>
  <c r="E231" i="17" s="1"/>
  <c r="O373" i="17"/>
  <c r="E373" i="17" s="1"/>
  <c r="AC247" i="15"/>
  <c r="AT185" i="6"/>
  <c r="AT186" i="6"/>
  <c r="J355" i="6"/>
  <c r="AT179" i="6"/>
  <c r="AT170" i="6"/>
  <c r="AT187" i="6"/>
  <c r="AT181" i="6"/>
  <c r="AT167" i="6"/>
  <c r="AT168" i="6"/>
  <c r="AT180" i="6"/>
  <c r="AT183" i="6"/>
  <c r="AT175" i="6"/>
  <c r="AT169" i="6"/>
  <c r="AT174" i="6"/>
  <c r="AT189" i="6"/>
  <c r="AT184" i="6"/>
  <c r="AT162" i="6"/>
  <c r="AT176" i="6"/>
  <c r="AT171" i="6"/>
  <c r="AT172" i="6"/>
  <c r="AT166" i="6"/>
  <c r="O155" i="17"/>
  <c r="E155" i="17" s="1"/>
  <c r="AC352" i="15"/>
  <c r="AC376" i="15"/>
  <c r="AC276" i="15"/>
  <c r="AC234" i="15"/>
  <c r="AC313" i="15"/>
  <c r="AC246" i="15"/>
  <c r="AC245" i="15"/>
  <c r="AC363" i="15"/>
  <c r="AC336" i="15"/>
  <c r="AC243" i="15"/>
  <c r="AC254" i="15"/>
  <c r="AC257" i="15"/>
  <c r="AC249" i="15"/>
  <c r="AC311" i="15"/>
  <c r="AC239" i="15"/>
  <c r="AC241" i="15"/>
  <c r="AC235" i="15"/>
  <c r="AC228" i="15"/>
  <c r="AC232" i="15"/>
  <c r="AC244" i="15"/>
  <c r="AC248" i="15"/>
  <c r="AC250" i="15"/>
  <c r="O356" i="15"/>
  <c r="E356" i="15" s="1"/>
  <c r="O232" i="15"/>
  <c r="E232" i="15" s="1"/>
  <c r="O230" i="15"/>
  <c r="E230" i="15" s="1"/>
  <c r="O241" i="15"/>
  <c r="C39" i="7" s="1"/>
  <c r="O279" i="15"/>
  <c r="E279" i="15" s="1"/>
  <c r="O251" i="15"/>
  <c r="E251" i="15" s="1"/>
  <c r="O216" i="17"/>
  <c r="E216" i="17" s="1"/>
  <c r="O267" i="17"/>
  <c r="E267" i="17" s="1"/>
  <c r="O150" i="17"/>
  <c r="E150" i="17" s="1"/>
  <c r="O183" i="17"/>
  <c r="E183" i="17" s="1"/>
  <c r="O251" i="17"/>
  <c r="E251" i="17" s="1"/>
  <c r="O303" i="15"/>
  <c r="E303" i="15" s="1"/>
  <c r="O254" i="15"/>
  <c r="E254" i="15" s="1"/>
  <c r="O253" i="15"/>
  <c r="E253" i="15" s="1"/>
  <c r="O257" i="15"/>
  <c r="E257" i="15" s="1"/>
  <c r="O237" i="15"/>
  <c r="E237" i="15" s="1"/>
  <c r="O234" i="17"/>
  <c r="E234" i="17" s="1"/>
  <c r="O138" i="17"/>
  <c r="E138" i="17" s="1"/>
  <c r="O203" i="17"/>
  <c r="E203" i="17" s="1"/>
  <c r="O356" i="17"/>
  <c r="E356" i="17" s="1"/>
  <c r="O181" i="17"/>
  <c r="E181" i="17" s="1"/>
  <c r="O276" i="17"/>
  <c r="E276" i="17" s="1"/>
  <c r="O133" i="17"/>
  <c r="E133" i="17" s="1"/>
  <c r="O288" i="17"/>
  <c r="E288" i="17" s="1"/>
  <c r="O360" i="17"/>
  <c r="E360" i="17" s="1"/>
  <c r="O144" i="17"/>
  <c r="E144" i="17" s="1"/>
  <c r="O249" i="15"/>
  <c r="E249" i="15" s="1"/>
  <c r="O244" i="15"/>
  <c r="E244" i="15" s="1"/>
  <c r="O311" i="15"/>
  <c r="E311" i="15" s="1"/>
  <c r="O238" i="15"/>
  <c r="E238" i="15" s="1"/>
  <c r="O239" i="15"/>
  <c r="E239" i="15" s="1"/>
  <c r="O229" i="15"/>
  <c r="E229" i="15" s="1"/>
  <c r="O252" i="15"/>
  <c r="E252" i="15" s="1"/>
  <c r="O372" i="17"/>
  <c r="E372" i="17" s="1"/>
  <c r="O134" i="17"/>
  <c r="E134" i="17" s="1"/>
  <c r="O314" i="17"/>
  <c r="E314" i="17" s="1"/>
  <c r="U13" i="7"/>
  <c r="E8" i="18" s="1"/>
  <c r="K15" i="19" s="1"/>
  <c r="K39" i="19" s="1"/>
  <c r="O340" i="17"/>
  <c r="E340" i="17" s="1"/>
  <c r="O280" i="17"/>
  <c r="E280" i="17" s="1"/>
  <c r="O137" i="17"/>
  <c r="E137" i="17" s="1"/>
  <c r="O266" i="17"/>
  <c r="E266" i="17" s="1"/>
  <c r="O176" i="17"/>
  <c r="E176" i="17" s="1"/>
  <c r="O347" i="17"/>
  <c r="E347" i="17" s="1"/>
  <c r="O174" i="17"/>
  <c r="E174" i="17" s="1"/>
  <c r="O282" i="17"/>
  <c r="E282" i="17" s="1"/>
  <c r="O273" i="17"/>
  <c r="E273" i="17" s="1"/>
  <c r="O223" i="17"/>
  <c r="E223" i="17" s="1"/>
  <c r="O164" i="17"/>
  <c r="E164" i="17" s="1"/>
  <c r="O371" i="17"/>
  <c r="E371" i="17" s="1"/>
  <c r="O220" i="17"/>
  <c r="E220" i="17" s="1"/>
  <c r="O222" i="17"/>
  <c r="E222" i="17" s="1"/>
  <c r="O263" i="17"/>
  <c r="E263" i="17" s="1"/>
  <c r="O196" i="17"/>
  <c r="E196" i="17" s="1"/>
  <c r="O313" i="17"/>
  <c r="E313" i="17" s="1"/>
  <c r="O157" i="17"/>
  <c r="E157" i="17" s="1"/>
  <c r="O185" i="17"/>
  <c r="E185" i="17" s="1"/>
  <c r="O240" i="15"/>
  <c r="E240" i="15" s="1"/>
  <c r="O360" i="15"/>
  <c r="E360" i="15" s="1"/>
  <c r="O328" i="15"/>
  <c r="E328" i="15" s="1"/>
  <c r="O255" i="15"/>
  <c r="E255" i="15" s="1"/>
  <c r="O233" i="15"/>
  <c r="E233" i="15" s="1"/>
  <c r="O248" i="15"/>
  <c r="E248" i="15" s="1"/>
  <c r="O243" i="15"/>
  <c r="E243" i="15" s="1"/>
  <c r="O234" i="15"/>
  <c r="E234" i="15" s="1"/>
  <c r="O235" i="15"/>
  <c r="E235" i="15" s="1"/>
  <c r="O236" i="15"/>
  <c r="E236" i="15" s="1"/>
  <c r="O247" i="15"/>
  <c r="E247" i="15" s="1"/>
  <c r="O250" i="15"/>
  <c r="E250" i="15" s="1"/>
  <c r="O227" i="15"/>
  <c r="E227" i="15" s="1"/>
  <c r="O246" i="15"/>
  <c r="E246" i="15" s="1"/>
  <c r="O245" i="15"/>
  <c r="E245" i="15" s="1"/>
  <c r="O256" i="15"/>
  <c r="E256" i="15" s="1"/>
  <c r="O283" i="15"/>
  <c r="E283" i="15" s="1"/>
  <c r="O242" i="15"/>
  <c r="E242" i="15" s="1"/>
  <c r="O307" i="15"/>
  <c r="E307" i="15" s="1"/>
  <c r="O339" i="15"/>
  <c r="E339" i="15" s="1"/>
  <c r="O228" i="15"/>
  <c r="E228" i="15" s="1"/>
  <c r="O231" i="15"/>
  <c r="E231" i="15" s="1"/>
  <c r="O334" i="17"/>
  <c r="E334" i="17" s="1"/>
  <c r="O331" i="17"/>
  <c r="E331" i="17" s="1"/>
  <c r="O268" i="17"/>
  <c r="E268" i="17" s="1"/>
  <c r="O232" i="17"/>
  <c r="E232" i="17" s="1"/>
  <c r="O290" i="17"/>
  <c r="E290" i="17" s="1"/>
  <c r="O131" i="17"/>
  <c r="E131" i="17" s="1"/>
  <c r="O198" i="17"/>
  <c r="E198" i="17" s="1"/>
  <c r="O158" i="17"/>
  <c r="E158" i="17" s="1"/>
  <c r="O307" i="17"/>
  <c r="E307" i="17" s="1"/>
  <c r="O184" i="17"/>
  <c r="E184" i="17" s="1"/>
  <c r="O361" i="17"/>
  <c r="E361" i="17" s="1"/>
  <c r="O240" i="17"/>
  <c r="E240" i="17" s="1"/>
  <c r="O283" i="17"/>
  <c r="E283" i="17" s="1"/>
  <c r="O302" i="17"/>
  <c r="C65" i="7" s="1"/>
  <c r="O304" i="17"/>
  <c r="E304" i="17" s="1"/>
  <c r="O326" i="17"/>
  <c r="E326" i="17" s="1"/>
  <c r="O354" i="17"/>
  <c r="E354" i="17" s="1"/>
  <c r="O353" i="17"/>
  <c r="E353" i="17" s="1"/>
  <c r="O339" i="17"/>
  <c r="E339" i="17" s="1"/>
  <c r="O325" i="17"/>
  <c r="E325" i="17" s="1"/>
  <c r="O180" i="17"/>
  <c r="E180" i="17" s="1"/>
  <c r="O324" i="17"/>
  <c r="E324" i="17" s="1"/>
  <c r="O332" i="17"/>
  <c r="E332" i="17" s="1"/>
  <c r="O292" i="17"/>
  <c r="E292" i="17" s="1"/>
  <c r="O287" i="17"/>
  <c r="E287" i="17" s="1"/>
  <c r="O177" i="17"/>
  <c r="E177" i="17" s="1"/>
  <c r="O202" i="17"/>
  <c r="E202" i="17" s="1"/>
  <c r="O175" i="17"/>
  <c r="E175" i="17" s="1"/>
  <c r="O379" i="17"/>
  <c r="C38" i="19" s="1"/>
  <c r="O163" i="17"/>
  <c r="E163" i="17" s="1"/>
  <c r="O159" i="17"/>
  <c r="E159" i="17" s="1"/>
  <c r="O195" i="17"/>
  <c r="E195" i="17" s="1"/>
  <c r="O275" i="17"/>
  <c r="E275" i="17" s="1"/>
  <c r="O210" i="17"/>
  <c r="E210" i="17" s="1"/>
  <c r="O151" i="17"/>
  <c r="E151" i="17" s="1"/>
  <c r="O128" i="17"/>
  <c r="E128" i="17" s="1"/>
  <c r="O295" i="17"/>
  <c r="E295" i="17" s="1"/>
  <c r="O233" i="17"/>
  <c r="E233" i="17" s="1"/>
  <c r="O277" i="17"/>
  <c r="E277" i="17" s="1"/>
  <c r="O219" i="17"/>
  <c r="E219" i="17" s="1"/>
  <c r="O211" i="17"/>
  <c r="E211" i="17" s="1"/>
  <c r="O359" i="17"/>
  <c r="E359" i="17" s="1"/>
  <c r="E11" i="1"/>
  <c r="AD241" i="1"/>
  <c r="AD249" i="1"/>
  <c r="AD189" i="1"/>
  <c r="AI290" i="1"/>
  <c r="AH290" i="1" s="1"/>
  <c r="AG290" i="1" s="1"/>
  <c r="AF290" i="1" s="1"/>
  <c r="AI184" i="1"/>
  <c r="AH184" i="1" s="1"/>
  <c r="AG184" i="1" s="1"/>
  <c r="AF184" i="1" s="1"/>
  <c r="AI174" i="1"/>
  <c r="AH174" i="1" s="1"/>
  <c r="AG174" i="1" s="1"/>
  <c r="AF174" i="1" s="1"/>
  <c r="AI122" i="1"/>
  <c r="AH122" i="1" s="1"/>
  <c r="AG122" i="1" s="1"/>
  <c r="AF122" i="1" s="1"/>
  <c r="AI139" i="1"/>
  <c r="AH139" i="1" s="1"/>
  <c r="AG139" i="1" s="1"/>
  <c r="AF139" i="1" s="1"/>
  <c r="AI140" i="1"/>
  <c r="AH140" i="1" s="1"/>
  <c r="AG140" i="1" s="1"/>
  <c r="AF140" i="1" s="1"/>
  <c r="AI103" i="1"/>
  <c r="AH103" i="1" s="1"/>
  <c r="AG103" i="1" s="1"/>
  <c r="AF103" i="1" s="1"/>
  <c r="AI22" i="1"/>
  <c r="AH22" i="1" s="1"/>
  <c r="AG22" i="1" s="1"/>
  <c r="AF22" i="1" s="1"/>
  <c r="AI310" i="1"/>
  <c r="AH310" i="1" s="1"/>
  <c r="AG310" i="1" s="1"/>
  <c r="AF310" i="1" s="1"/>
  <c r="AI115" i="1"/>
  <c r="AH115" i="1" s="1"/>
  <c r="AG115" i="1" s="1"/>
  <c r="AF115" i="1" s="1"/>
  <c r="AI82" i="1"/>
  <c r="AH82" i="1" s="1"/>
  <c r="AG82" i="1" s="1"/>
  <c r="AF82" i="1" s="1"/>
  <c r="AI121" i="1"/>
  <c r="AH121" i="1" s="1"/>
  <c r="AG121" i="1" s="1"/>
  <c r="AF121" i="1" s="1"/>
  <c r="AI145" i="1"/>
  <c r="AH145" i="1" s="1"/>
  <c r="AG145" i="1" s="1"/>
  <c r="AF145" i="1" s="1"/>
  <c r="AI77" i="1"/>
  <c r="AH77" i="1" s="1"/>
  <c r="AG77" i="1" s="1"/>
  <c r="AF77" i="1" s="1"/>
  <c r="AI116" i="1"/>
  <c r="AH116" i="1" s="1"/>
  <c r="AG116" i="1" s="1"/>
  <c r="AF116" i="1" s="1"/>
  <c r="AI244" i="1"/>
  <c r="AH244" i="1" s="1"/>
  <c r="AG244" i="1" s="1"/>
  <c r="AF244" i="1" s="1"/>
  <c r="AI339" i="1"/>
  <c r="AH339" i="1" s="1"/>
  <c r="AG339" i="1" s="1"/>
  <c r="AF339" i="1" s="1"/>
  <c r="AI117" i="1"/>
  <c r="AH117" i="1" s="1"/>
  <c r="AG117" i="1" s="1"/>
  <c r="AF117" i="1" s="1"/>
  <c r="AI112" i="1"/>
  <c r="AH112" i="1" s="1"/>
  <c r="AG112" i="1" s="1"/>
  <c r="AF112" i="1" s="1"/>
  <c r="AI69" i="1"/>
  <c r="AH69" i="1" s="1"/>
  <c r="AG69" i="1" s="1"/>
  <c r="AF69" i="1" s="1"/>
  <c r="AI201" i="1"/>
  <c r="AI97" i="1"/>
  <c r="AH97" i="1" s="1"/>
  <c r="AG97" i="1" s="1"/>
  <c r="AF97" i="1" s="1"/>
  <c r="AI320" i="1"/>
  <c r="AH320" i="1" s="1"/>
  <c r="AG320" i="1" s="1"/>
  <c r="AF320" i="1" s="1"/>
  <c r="AI26" i="1"/>
  <c r="AH26" i="1" s="1"/>
  <c r="AG26" i="1" s="1"/>
  <c r="AF26" i="1" s="1"/>
  <c r="AI58" i="1"/>
  <c r="AH58" i="1" s="1"/>
  <c r="AG58" i="1" s="1"/>
  <c r="AF58" i="1" s="1"/>
  <c r="AI243" i="1"/>
  <c r="AH243" i="1" s="1"/>
  <c r="AG243" i="1" s="1"/>
  <c r="AF243" i="1" s="1"/>
  <c r="AI185" i="1"/>
  <c r="AH185" i="1" s="1"/>
  <c r="AG185" i="1" s="1"/>
  <c r="AF185" i="1" s="1"/>
  <c r="AI57" i="1"/>
  <c r="AH57" i="1" s="1"/>
  <c r="AG57" i="1" s="1"/>
  <c r="AF57" i="1" s="1"/>
  <c r="AI357" i="1"/>
  <c r="AH357" i="1" s="1"/>
  <c r="AG357" i="1" s="1"/>
  <c r="AF357" i="1" s="1"/>
  <c r="AI94" i="1"/>
  <c r="AH94" i="1" s="1"/>
  <c r="AG94" i="1" s="1"/>
  <c r="AF94" i="1" s="1"/>
  <c r="AI378" i="1"/>
  <c r="AH378" i="1" s="1"/>
  <c r="AG378" i="1" s="1"/>
  <c r="AF378" i="1" s="1"/>
  <c r="AI329" i="1"/>
  <c r="AH329" i="1" s="1"/>
  <c r="AG329" i="1" s="1"/>
  <c r="AF329" i="1" s="1"/>
  <c r="AI95" i="1"/>
  <c r="AH95" i="1" s="1"/>
  <c r="AG95" i="1" s="1"/>
  <c r="AF95" i="1" s="1"/>
  <c r="AI190" i="1"/>
  <c r="AH190" i="1" s="1"/>
  <c r="AG190" i="1" s="1"/>
  <c r="AF190" i="1" s="1"/>
  <c r="AI196" i="1"/>
  <c r="AH196" i="1" s="1"/>
  <c r="AG196" i="1" s="1"/>
  <c r="AF196" i="1" s="1"/>
  <c r="AI235" i="1"/>
  <c r="AH235" i="1" s="1"/>
  <c r="AG235" i="1" s="1"/>
  <c r="AF235" i="1" s="1"/>
  <c r="AI193" i="1"/>
  <c r="AH193" i="1" s="1"/>
  <c r="AG193" i="1" s="1"/>
  <c r="AF193" i="1" s="1"/>
  <c r="AI372" i="1"/>
  <c r="AH372" i="1" s="1"/>
  <c r="AG372" i="1" s="1"/>
  <c r="AF372" i="1" s="1"/>
  <c r="AI268" i="1"/>
  <c r="AH268" i="1" s="1"/>
  <c r="AG268" i="1" s="1"/>
  <c r="AF268" i="1" s="1"/>
  <c r="AD268" i="1" s="1"/>
  <c r="U20" i="1"/>
  <c r="T20" i="1" s="1"/>
  <c r="S20" i="1" s="1"/>
  <c r="R20" i="1" s="1"/>
  <c r="U26" i="1"/>
  <c r="T26" i="1" s="1"/>
  <c r="S26" i="1" s="1"/>
  <c r="R26" i="1" s="1"/>
  <c r="U30" i="1"/>
  <c r="T30" i="1" s="1"/>
  <c r="S30" i="1" s="1"/>
  <c r="R30" i="1" s="1"/>
  <c r="U34" i="1"/>
  <c r="T34" i="1" s="1"/>
  <c r="S34" i="1" s="1"/>
  <c r="R34" i="1" s="1"/>
  <c r="U41" i="1"/>
  <c r="T41" i="1" s="1"/>
  <c r="S41" i="1" s="1"/>
  <c r="R41" i="1" s="1"/>
  <c r="U46" i="1"/>
  <c r="T46" i="1" s="1"/>
  <c r="S46" i="1" s="1"/>
  <c r="R46" i="1" s="1"/>
  <c r="U56" i="1"/>
  <c r="T56" i="1" s="1"/>
  <c r="S56" i="1" s="1"/>
  <c r="R56" i="1" s="1"/>
  <c r="U61" i="1"/>
  <c r="T61" i="1" s="1"/>
  <c r="S61" i="1" s="1"/>
  <c r="R61" i="1" s="1"/>
  <c r="U68" i="1"/>
  <c r="T68" i="1" s="1"/>
  <c r="S68" i="1" s="1"/>
  <c r="R68" i="1" s="1"/>
  <c r="U73" i="1"/>
  <c r="T73" i="1" s="1"/>
  <c r="S73" i="1" s="1"/>
  <c r="R73" i="1" s="1"/>
  <c r="U82" i="1"/>
  <c r="T82" i="1" s="1"/>
  <c r="S82" i="1" s="1"/>
  <c r="R82" i="1" s="1"/>
  <c r="U89" i="1"/>
  <c r="T89" i="1" s="1"/>
  <c r="S89" i="1" s="1"/>
  <c r="R89" i="1" s="1"/>
  <c r="U95" i="1"/>
  <c r="T95" i="1" s="1"/>
  <c r="S95" i="1" s="1"/>
  <c r="R95" i="1" s="1"/>
  <c r="U101" i="1"/>
  <c r="T101" i="1" s="1"/>
  <c r="S101" i="1" s="1"/>
  <c r="R101" i="1" s="1"/>
  <c r="U109" i="1"/>
  <c r="T109" i="1" s="1"/>
  <c r="S109" i="1" s="1"/>
  <c r="R109" i="1" s="1"/>
  <c r="U113" i="1"/>
  <c r="T113" i="1" s="1"/>
  <c r="S113" i="1" s="1"/>
  <c r="R113" i="1" s="1"/>
  <c r="U377" i="1"/>
  <c r="T377" i="1" s="1"/>
  <c r="S377" i="1" s="1"/>
  <c r="R377" i="1" s="1"/>
  <c r="U372" i="1"/>
  <c r="T372" i="1" s="1"/>
  <c r="S372" i="1" s="1"/>
  <c r="R372" i="1" s="1"/>
  <c r="U366" i="1"/>
  <c r="T366" i="1" s="1"/>
  <c r="S366" i="1" s="1"/>
  <c r="R366" i="1" s="1"/>
  <c r="P366" i="1" s="1"/>
  <c r="U350" i="1"/>
  <c r="T350" i="1" s="1"/>
  <c r="S350" i="1" s="1"/>
  <c r="R350" i="1" s="1"/>
  <c r="U345" i="1"/>
  <c r="T345" i="1" s="1"/>
  <c r="S345" i="1" s="1"/>
  <c r="R345" i="1" s="1"/>
  <c r="U341" i="1"/>
  <c r="T341" i="1" s="1"/>
  <c r="S341" i="1" s="1"/>
  <c r="R341" i="1" s="1"/>
  <c r="U334" i="1"/>
  <c r="T334" i="1" s="1"/>
  <c r="S334" i="1" s="1"/>
  <c r="R334" i="1" s="1"/>
  <c r="U323" i="1"/>
  <c r="T323" i="1" s="1"/>
  <c r="S323" i="1" s="1"/>
  <c r="R323" i="1" s="1"/>
  <c r="U317" i="1"/>
  <c r="T317" i="1" s="1"/>
  <c r="S317" i="1" s="1"/>
  <c r="R317" i="1" s="1"/>
  <c r="U307" i="1"/>
  <c r="T307" i="1" s="1"/>
  <c r="S307" i="1" s="1"/>
  <c r="R307" i="1" s="1"/>
  <c r="U298" i="1"/>
  <c r="T298" i="1" s="1"/>
  <c r="S298" i="1" s="1"/>
  <c r="R298" i="1" s="1"/>
  <c r="P298" i="1" s="1"/>
  <c r="U294" i="1"/>
  <c r="T294" i="1" s="1"/>
  <c r="S294" i="1" s="1"/>
  <c r="R294" i="1" s="1"/>
  <c r="P294" i="1" s="1"/>
  <c r="V294" i="1" s="1"/>
  <c r="F294" i="1" s="1"/>
  <c r="I294" i="1" s="1"/>
  <c r="U288" i="1"/>
  <c r="T288" i="1" s="1"/>
  <c r="S288" i="1" s="1"/>
  <c r="R288" i="1" s="1"/>
  <c r="U283" i="1"/>
  <c r="T283" i="1" s="1"/>
  <c r="S283" i="1" s="1"/>
  <c r="R283" i="1" s="1"/>
  <c r="U274" i="1"/>
  <c r="T274" i="1" s="1"/>
  <c r="S274" i="1" s="1"/>
  <c r="R274" i="1" s="1"/>
  <c r="U267" i="1"/>
  <c r="T267" i="1" s="1"/>
  <c r="S267" i="1" s="1"/>
  <c r="R267" i="1" s="1"/>
  <c r="U260" i="1"/>
  <c r="T260" i="1" s="1"/>
  <c r="S260" i="1" s="1"/>
  <c r="R260" i="1" s="1"/>
  <c r="AI73" i="1"/>
  <c r="AH73" i="1" s="1"/>
  <c r="AG73" i="1" s="1"/>
  <c r="AF73" i="1" s="1"/>
  <c r="AI18" i="1"/>
  <c r="AH18" i="1" s="1"/>
  <c r="AG18" i="1" s="1"/>
  <c r="AF18" i="1" s="1"/>
  <c r="AI374" i="1"/>
  <c r="AH374" i="1" s="1"/>
  <c r="AG374" i="1" s="1"/>
  <c r="AF374" i="1" s="1"/>
  <c r="AI299" i="1"/>
  <c r="AH299" i="1" s="1"/>
  <c r="AG299" i="1" s="1"/>
  <c r="AF299" i="1" s="1"/>
  <c r="AI96" i="1"/>
  <c r="AH96" i="1" s="1"/>
  <c r="AG96" i="1" s="1"/>
  <c r="AF96" i="1" s="1"/>
  <c r="AI33" i="1"/>
  <c r="AH33" i="1" s="1"/>
  <c r="AG33" i="1" s="1"/>
  <c r="AF33" i="1" s="1"/>
  <c r="AI276" i="1"/>
  <c r="AH276" i="1" s="1"/>
  <c r="AG276" i="1" s="1"/>
  <c r="AF276" i="1" s="1"/>
  <c r="AI223" i="1"/>
  <c r="AH223" i="1" s="1"/>
  <c r="AG223" i="1" s="1"/>
  <c r="AF223" i="1" s="1"/>
  <c r="AI134" i="1"/>
  <c r="AH134" i="1" s="1"/>
  <c r="AG134" i="1" s="1"/>
  <c r="AF134" i="1" s="1"/>
  <c r="AI118" i="1"/>
  <c r="AH118" i="1" s="1"/>
  <c r="AG118" i="1" s="1"/>
  <c r="AF118" i="1" s="1"/>
  <c r="AI373" i="1"/>
  <c r="AH373" i="1" s="1"/>
  <c r="AG373" i="1" s="1"/>
  <c r="AF373" i="1" s="1"/>
  <c r="AI74" i="1"/>
  <c r="AH74" i="1" s="1"/>
  <c r="AG74" i="1" s="1"/>
  <c r="AF74" i="1" s="1"/>
  <c r="AI301" i="1"/>
  <c r="AH301" i="1" s="1"/>
  <c r="AG301" i="1" s="1"/>
  <c r="AF301" i="1" s="1"/>
  <c r="AB13" i="7"/>
  <c r="AC13" i="7"/>
  <c r="O127" i="17"/>
  <c r="E127" i="17" s="1"/>
  <c r="O178" i="17"/>
  <c r="E178" i="17" s="1"/>
  <c r="O126" i="17"/>
  <c r="E126" i="17" s="1"/>
  <c r="O366" i="17"/>
  <c r="E366" i="17" s="1"/>
  <c r="O182" i="17"/>
  <c r="E182" i="17" s="1"/>
  <c r="O189" i="17"/>
  <c r="E189" i="17" s="1"/>
  <c r="O169" i="17"/>
  <c r="E169" i="17" s="1"/>
  <c r="O208" i="17"/>
  <c r="E208" i="17" s="1"/>
  <c r="O365" i="17"/>
  <c r="E365" i="17" s="1"/>
  <c r="O173" i="17"/>
  <c r="E173" i="17" s="1"/>
  <c r="O165" i="17"/>
  <c r="E165" i="17" s="1"/>
  <c r="O145" i="17"/>
  <c r="E145" i="17" s="1"/>
  <c r="O312" i="17"/>
  <c r="E312" i="17" s="1"/>
  <c r="O269" i="17"/>
  <c r="E269" i="17" s="1"/>
  <c r="O206" i="17"/>
  <c r="E206" i="17" s="1"/>
  <c r="O370" i="17"/>
  <c r="E370" i="17" s="1"/>
  <c r="O149" i="17"/>
  <c r="E149" i="17" s="1"/>
  <c r="O243" i="17"/>
  <c r="E243" i="17" s="1"/>
  <c r="O152" i="17"/>
  <c r="E152" i="17" s="1"/>
  <c r="O218" i="17"/>
  <c r="E218" i="17" s="1"/>
  <c r="O197" i="17"/>
  <c r="E197" i="17" s="1"/>
  <c r="O378" i="17"/>
  <c r="E378" i="17" s="1"/>
  <c r="O242" i="17"/>
  <c r="E242" i="17" s="1"/>
  <c r="O309" i="17"/>
  <c r="E309" i="17" s="1"/>
  <c r="O260" i="17"/>
  <c r="E260" i="17" s="1"/>
  <c r="O171" i="17"/>
  <c r="E171" i="17" s="1"/>
  <c r="O215" i="17"/>
  <c r="E215" i="17" s="1"/>
  <c r="O248" i="17"/>
  <c r="E248" i="17" s="1"/>
  <c r="O375" i="17"/>
  <c r="E375" i="17" s="1"/>
  <c r="O272" i="17"/>
  <c r="E272" i="17" s="1"/>
  <c r="O315" i="17"/>
  <c r="E315" i="17" s="1"/>
  <c r="O253" i="17"/>
  <c r="E253" i="17" s="1"/>
  <c r="O255" i="17"/>
  <c r="E255" i="17" s="1"/>
  <c r="O320" i="17"/>
  <c r="E320" i="17" s="1"/>
  <c r="O308" i="17"/>
  <c r="E308" i="17" s="1"/>
  <c r="O271" i="17"/>
  <c r="E271" i="17" s="1"/>
  <c r="O205" i="17"/>
  <c r="E205" i="17" s="1"/>
  <c r="O301" i="17"/>
  <c r="E301" i="17" s="1"/>
  <c r="O125" i="17"/>
  <c r="E125" i="17" s="1"/>
  <c r="O129" i="17"/>
  <c r="E129" i="17" s="1"/>
  <c r="O343" i="17"/>
  <c r="E343" i="17" s="1"/>
  <c r="O259" i="17"/>
  <c r="E259" i="17" s="1"/>
  <c r="O322" i="17"/>
  <c r="E322" i="17" s="1"/>
  <c r="O333" i="17"/>
  <c r="E333" i="17" s="1"/>
  <c r="O336" i="17"/>
  <c r="E336" i="17" s="1"/>
  <c r="O293" i="17"/>
  <c r="E293" i="17" s="1"/>
  <c r="O289" i="17"/>
  <c r="E289" i="17" s="1"/>
  <c r="O192" i="17"/>
  <c r="E192" i="17" s="1"/>
  <c r="O212" i="17"/>
  <c r="E212" i="17" s="1"/>
  <c r="O344" i="17"/>
  <c r="E344" i="17" s="1"/>
  <c r="O319" i="17"/>
  <c r="E319" i="17" s="1"/>
  <c r="O298" i="17"/>
  <c r="E298" i="17" s="1"/>
  <c r="O191" i="17"/>
  <c r="E191" i="17" s="1"/>
  <c r="O351" i="17"/>
  <c r="E351" i="17" s="1"/>
  <c r="O341" i="17"/>
  <c r="E341" i="17" s="1"/>
  <c r="O335" i="17"/>
  <c r="E335" i="17" s="1"/>
  <c r="O342" i="17"/>
  <c r="E342" i="17" s="1"/>
  <c r="O204" i="17"/>
  <c r="E204" i="17" s="1"/>
  <c r="O161" i="17"/>
  <c r="E161" i="17" s="1"/>
  <c r="O278" i="17"/>
  <c r="E278" i="17" s="1"/>
  <c r="O362" i="17"/>
  <c r="E362" i="17" s="1"/>
  <c r="O241" i="17"/>
  <c r="E241" i="17" s="1"/>
  <c r="O213" i="17"/>
  <c r="E213" i="17" s="1"/>
  <c r="O227" i="17"/>
  <c r="E227" i="17" s="1"/>
  <c r="O229" i="17"/>
  <c r="E229" i="17" s="1"/>
  <c r="O207" i="17"/>
  <c r="E207" i="17" s="1"/>
  <c r="O321" i="17"/>
  <c r="E321" i="17" s="1"/>
  <c r="O168" i="17"/>
  <c r="E168" i="17" s="1"/>
  <c r="O286" i="17"/>
  <c r="E286" i="17" s="1"/>
  <c r="O239" i="17"/>
  <c r="E239" i="17" s="1"/>
  <c r="O238" i="17"/>
  <c r="E238" i="17" s="1"/>
  <c r="O258" i="17"/>
  <c r="E258" i="17" s="1"/>
  <c r="O187" i="17"/>
  <c r="E187" i="17" s="1"/>
  <c r="O346" i="17"/>
  <c r="E346" i="17" s="1"/>
  <c r="O209" i="17"/>
  <c r="E209" i="17" s="1"/>
  <c r="O363" i="17"/>
  <c r="C67" i="7" s="1"/>
  <c r="O377" i="17"/>
  <c r="E377" i="17" s="1"/>
  <c r="O147" i="17"/>
  <c r="E147" i="17" s="1"/>
  <c r="O199" i="17"/>
  <c r="E199" i="17" s="1"/>
  <c r="O274" i="17"/>
  <c r="E274" i="17" s="1"/>
  <c r="O352" i="17"/>
  <c r="E352" i="17" s="1"/>
  <c r="O235" i="17"/>
  <c r="E235" i="17" s="1"/>
  <c r="O250" i="17"/>
  <c r="E250" i="17" s="1"/>
  <c r="O236" i="17"/>
  <c r="E236" i="17" s="1"/>
  <c r="O148" i="17"/>
  <c r="E148" i="17" s="1"/>
  <c r="C66" i="7"/>
  <c r="O170" i="17"/>
  <c r="E170" i="17" s="1"/>
  <c r="O130" i="17"/>
  <c r="E130" i="17" s="1"/>
  <c r="O256" i="17"/>
  <c r="E256" i="17" s="1"/>
  <c r="O217" i="17"/>
  <c r="E217" i="17" s="1"/>
  <c r="O261" i="17"/>
  <c r="E261" i="17" s="1"/>
  <c r="O316" i="17"/>
  <c r="E316" i="17" s="1"/>
  <c r="O230" i="17"/>
  <c r="E230" i="17" s="1"/>
  <c r="O247" i="17"/>
  <c r="E247" i="17" s="1"/>
  <c r="O345" i="17"/>
  <c r="E345" i="17" s="1"/>
  <c r="O154" i="17"/>
  <c r="E154" i="17" s="1"/>
  <c r="O124" i="17"/>
  <c r="E124" i="17" s="1"/>
  <c r="O179" i="17"/>
  <c r="E179" i="17" s="1"/>
  <c r="O285" i="17"/>
  <c r="E285" i="17" s="1"/>
  <c r="O350" i="17"/>
  <c r="E350" i="17" s="1"/>
  <c r="O305" i="17"/>
  <c r="E305" i="17" s="1"/>
  <c r="O167" i="17"/>
  <c r="E167" i="17" s="1"/>
  <c r="O252" i="17"/>
  <c r="E252" i="17" s="1"/>
  <c r="O349" i="17"/>
  <c r="E349" i="17" s="1"/>
  <c r="O245" i="17"/>
  <c r="E245" i="17" s="1"/>
  <c r="O226" i="17"/>
  <c r="E226" i="17" s="1"/>
  <c r="O224" i="17"/>
  <c r="E224" i="17" s="1"/>
  <c r="O299" i="17"/>
  <c r="E299" i="17" s="1"/>
  <c r="O328" i="17"/>
  <c r="E328" i="17" s="1"/>
  <c r="O160" i="17"/>
  <c r="E160" i="17" s="1"/>
  <c r="O264" i="17"/>
  <c r="E264" i="17" s="1"/>
  <c r="O257" i="17"/>
  <c r="E257" i="17" s="1"/>
  <c r="O254" i="17"/>
  <c r="E254" i="17" s="1"/>
  <c r="O200" i="17"/>
  <c r="E200" i="17" s="1"/>
  <c r="O139" i="17"/>
  <c r="E139" i="17" s="1"/>
  <c r="O225" i="17"/>
  <c r="E225" i="17" s="1"/>
  <c r="O367" i="17"/>
  <c r="E367" i="17" s="1"/>
  <c r="O214" i="17"/>
  <c r="E214" i="17" s="1"/>
  <c r="O368" i="17"/>
  <c r="E368" i="17" s="1"/>
  <c r="O193" i="17"/>
  <c r="E193" i="17" s="1"/>
  <c r="O246" i="17"/>
  <c r="E246" i="17" s="1"/>
  <c r="O323" i="17"/>
  <c r="E323" i="17" s="1"/>
  <c r="O327" i="17"/>
  <c r="E327" i="17" s="1"/>
  <c r="O153" i="17"/>
  <c r="E153" i="17" s="1"/>
  <c r="O141" i="17"/>
  <c r="E141" i="17" s="1"/>
  <c r="O265" i="17"/>
  <c r="E265" i="17" s="1"/>
  <c r="O249" i="17"/>
  <c r="E249" i="17" s="1"/>
  <c r="O303" i="17"/>
  <c r="E303" i="17" s="1"/>
  <c r="O186" i="17"/>
  <c r="E186" i="17" s="1"/>
  <c r="O146" i="17"/>
  <c r="E146" i="17" s="1"/>
  <c r="O143" i="17"/>
  <c r="E143" i="17" s="1"/>
  <c r="O166" i="17"/>
  <c r="E166" i="17" s="1"/>
  <c r="O228" i="17"/>
  <c r="E228" i="17" s="1"/>
  <c r="O284" i="17"/>
  <c r="E284" i="17" s="1"/>
  <c r="O310" i="17"/>
  <c r="E310" i="17" s="1"/>
  <c r="O357" i="17"/>
  <c r="E357" i="17" s="1"/>
  <c r="O296" i="17"/>
  <c r="E296" i="17" s="1"/>
  <c r="O311" i="17"/>
  <c r="E311" i="17" s="1"/>
  <c r="O348" i="17"/>
  <c r="E348" i="17" s="1"/>
  <c r="O194" i="17"/>
  <c r="E194" i="17" s="1"/>
  <c r="O237" i="17"/>
  <c r="E237" i="17" s="1"/>
  <c r="O132" i="17"/>
  <c r="E132" i="17" s="1"/>
  <c r="O306" i="17"/>
  <c r="E306" i="17" s="1"/>
  <c r="O294" i="17"/>
  <c r="E294" i="17" s="1"/>
  <c r="O221" i="17"/>
  <c r="E221" i="17" s="1"/>
  <c r="O270" i="17"/>
  <c r="E270" i="17" s="1"/>
  <c r="O136" i="17"/>
  <c r="E136" i="17" s="1"/>
  <c r="O300" i="17"/>
  <c r="E300" i="17" s="1"/>
  <c r="O162" i="17"/>
  <c r="E162" i="17" s="1"/>
  <c r="O188" i="17"/>
  <c r="E188" i="17" s="1"/>
  <c r="O358" i="17"/>
  <c r="E358" i="17" s="1"/>
  <c r="O329" i="17"/>
  <c r="E329" i="17" s="1"/>
  <c r="O355" i="17"/>
  <c r="E355" i="17" s="1"/>
  <c r="O337" i="17"/>
  <c r="E337" i="17" s="1"/>
  <c r="O172" i="17"/>
  <c r="E172" i="17" s="1"/>
  <c r="O156" i="17"/>
  <c r="E156" i="17" s="1"/>
  <c r="O318" i="17"/>
  <c r="E318" i="17" s="1"/>
  <c r="O135" i="17"/>
  <c r="E135" i="17" s="1"/>
  <c r="O201" i="17"/>
  <c r="E201" i="17" s="1"/>
  <c r="O190" i="17"/>
  <c r="E190" i="17" s="1"/>
  <c r="O364" i="17"/>
  <c r="E364" i="17" s="1"/>
  <c r="O279" i="17"/>
  <c r="E279" i="17" s="1"/>
  <c r="O369" i="17"/>
  <c r="E369" i="17" s="1"/>
  <c r="O297" i="17"/>
  <c r="E297" i="17" s="1"/>
  <c r="O317" i="17"/>
  <c r="E317" i="17" s="1"/>
  <c r="O142" i="17"/>
  <c r="E142" i="17" s="1"/>
  <c r="O374" i="17"/>
  <c r="E374" i="17" s="1"/>
  <c r="O140" i="17"/>
  <c r="E140" i="17" s="1"/>
  <c r="O244" i="17"/>
  <c r="E244" i="17" s="1"/>
  <c r="O291" i="17"/>
  <c r="E291" i="17" s="1"/>
  <c r="O262" i="17"/>
  <c r="E262" i="17" s="1"/>
  <c r="I13" i="7"/>
  <c r="E7" i="16" s="1"/>
  <c r="O353" i="15"/>
  <c r="E353" i="15" s="1"/>
  <c r="O340" i="15"/>
  <c r="E340" i="15" s="1"/>
  <c r="O326" i="15"/>
  <c r="E326" i="15" s="1"/>
  <c r="O309" i="15"/>
  <c r="E309" i="15" s="1"/>
  <c r="O290" i="15"/>
  <c r="E290" i="15" s="1"/>
  <c r="O358" i="15"/>
  <c r="E358" i="15" s="1"/>
  <c r="O347" i="15"/>
  <c r="E347" i="15" s="1"/>
  <c r="O372" i="15"/>
  <c r="E372" i="15" s="1"/>
  <c r="O341" i="15"/>
  <c r="E341" i="15" s="1"/>
  <c r="O310" i="15"/>
  <c r="E310" i="15" s="1"/>
  <c r="O258" i="15"/>
  <c r="E258" i="15" s="1"/>
  <c r="O291" i="15"/>
  <c r="E291" i="15" s="1"/>
  <c r="O302" i="15"/>
  <c r="E302" i="15" s="1"/>
  <c r="O316" i="15"/>
  <c r="E316" i="15" s="1"/>
  <c r="O275" i="15"/>
  <c r="E275" i="15" s="1"/>
  <c r="O346" i="15"/>
  <c r="E346" i="15" s="1"/>
  <c r="O334" i="15"/>
  <c r="E334" i="15" s="1"/>
  <c r="O364" i="15"/>
  <c r="E364" i="15" s="1"/>
  <c r="O361" i="15"/>
  <c r="E361" i="15" s="1"/>
  <c r="AE223" i="15"/>
  <c r="AE194" i="15"/>
  <c r="Q76" i="15"/>
  <c r="Q47" i="15"/>
  <c r="Q281" i="15"/>
  <c r="Q245" i="15"/>
  <c r="AE282" i="15"/>
  <c r="Q33" i="15"/>
  <c r="Q45" i="15"/>
  <c r="Q265" i="15"/>
  <c r="AE154" i="15"/>
  <c r="Q248" i="15"/>
  <c r="Q27" i="15"/>
  <c r="Q106" i="15"/>
  <c r="AE257" i="15"/>
  <c r="AE218" i="15"/>
  <c r="AE373" i="15"/>
  <c r="Q18" i="15"/>
  <c r="Q352" i="15"/>
  <c r="Q342" i="15"/>
  <c r="AE179" i="15"/>
  <c r="AE93" i="15"/>
  <c r="AE207" i="15"/>
  <c r="AE72" i="15"/>
  <c r="AE335" i="15"/>
  <c r="Q253" i="15"/>
  <c r="AE44" i="15"/>
  <c r="Q378" i="15"/>
  <c r="AE162" i="15"/>
  <c r="AE275" i="15"/>
  <c r="AE241" i="15"/>
  <c r="AE150" i="15"/>
  <c r="Q92" i="15"/>
  <c r="Q39" i="15"/>
  <c r="Q349" i="15"/>
  <c r="AE228" i="15"/>
  <c r="AE341" i="15"/>
  <c r="Q258" i="15"/>
  <c r="AE43" i="15"/>
  <c r="Q334" i="15"/>
  <c r="Q291" i="15"/>
  <c r="AE358" i="15"/>
  <c r="AE191" i="15"/>
  <c r="Q220" i="15"/>
  <c r="Q324" i="15"/>
  <c r="AE199" i="15"/>
  <c r="AE260" i="15"/>
  <c r="Q73" i="15"/>
  <c r="Q227" i="15"/>
  <c r="AE309" i="15"/>
  <c r="Q246" i="15"/>
  <c r="Q263" i="15"/>
  <c r="AE196" i="15"/>
  <c r="AE71" i="15"/>
  <c r="Q118" i="15"/>
  <c r="AE200" i="15"/>
  <c r="AE329" i="15"/>
  <c r="AE157" i="15"/>
  <c r="AE19" i="15"/>
  <c r="Q97" i="15"/>
  <c r="AE56" i="15"/>
  <c r="Q50" i="15"/>
  <c r="Q266" i="15"/>
  <c r="AE299" i="15"/>
  <c r="Q298" i="15"/>
  <c r="AE53" i="15"/>
  <c r="AE66" i="15"/>
  <c r="AE192" i="15"/>
  <c r="Q131" i="15"/>
  <c r="AE129" i="15"/>
  <c r="AE166" i="15"/>
  <c r="Q93" i="15"/>
  <c r="Q205" i="15"/>
  <c r="Q348" i="15"/>
  <c r="Q250" i="15"/>
  <c r="Q141" i="15"/>
  <c r="AE186" i="15"/>
  <c r="AE364" i="15"/>
  <c r="Q319" i="15"/>
  <c r="AE294" i="15"/>
  <c r="Q305" i="15"/>
  <c r="Q329" i="15"/>
  <c r="AE64" i="15"/>
  <c r="Q60" i="15"/>
  <c r="Q182" i="15"/>
  <c r="AE319" i="15"/>
  <c r="AE85" i="15"/>
  <c r="AE336" i="15"/>
  <c r="AE57" i="15"/>
  <c r="Q290" i="15"/>
  <c r="AE41" i="15"/>
  <c r="AE151" i="15"/>
  <c r="Q276" i="15"/>
  <c r="AE215" i="15"/>
  <c r="Q44" i="15"/>
  <c r="AE80" i="15"/>
  <c r="AE171" i="15"/>
  <c r="AE58" i="15"/>
  <c r="Q331" i="15"/>
  <c r="AE356" i="15"/>
  <c r="Q300" i="15"/>
  <c r="Q208" i="15"/>
  <c r="AE169" i="15"/>
  <c r="AE135" i="15"/>
  <c r="Q271" i="15"/>
  <c r="Q327" i="15"/>
  <c r="AE290" i="15"/>
  <c r="Q273" i="15"/>
  <c r="AE300" i="15"/>
  <c r="Q64" i="15"/>
  <c r="Q369" i="15"/>
  <c r="AE185" i="15"/>
  <c r="Q337" i="15"/>
  <c r="Q34" i="15"/>
  <c r="AE258" i="15"/>
  <c r="AE177" i="15"/>
  <c r="AE334" i="15"/>
  <c r="Q144" i="15"/>
  <c r="AE117" i="15"/>
  <c r="Q70" i="15"/>
  <c r="AE18" i="15"/>
  <c r="AE279" i="15"/>
  <c r="Q122" i="15"/>
  <c r="Q302" i="15"/>
  <c r="Q113" i="15"/>
  <c r="AE38" i="15"/>
  <c r="AE108" i="15"/>
  <c r="Q79" i="15"/>
  <c r="AE203" i="15"/>
  <c r="Q196" i="15"/>
  <c r="Q114" i="15"/>
  <c r="Q138" i="15"/>
  <c r="AE86" i="15"/>
  <c r="AE371" i="15"/>
  <c r="Q288" i="15"/>
  <c r="Q17" i="15"/>
  <c r="Q207" i="15"/>
  <c r="Q233" i="15"/>
  <c r="Q128" i="15"/>
  <c r="Q108" i="15"/>
  <c r="Q102" i="15"/>
  <c r="Q362" i="15"/>
  <c r="Q283" i="15"/>
  <c r="Q215" i="15"/>
  <c r="Q275" i="15"/>
  <c r="Q86" i="15"/>
  <c r="Q346" i="15"/>
  <c r="Q121" i="15"/>
  <c r="Q303" i="15"/>
  <c r="Q243" i="15"/>
  <c r="Q173" i="15"/>
  <c r="Q379" i="15"/>
  <c r="Q28" i="15"/>
  <c r="Q127" i="15"/>
  <c r="Q304" i="15"/>
  <c r="Q247" i="15"/>
  <c r="Q174" i="15"/>
  <c r="Q54" i="15"/>
  <c r="Q30" i="15"/>
  <c r="Q360" i="15"/>
  <c r="Q72" i="15"/>
  <c r="Q100" i="15"/>
  <c r="Q270" i="15"/>
  <c r="Q236" i="15"/>
  <c r="Q222" i="15"/>
  <c r="Q137" i="15"/>
  <c r="Q84" i="15"/>
  <c r="Q119" i="15"/>
  <c r="Q354" i="15"/>
  <c r="Q51" i="15"/>
  <c r="Q169" i="15"/>
  <c r="Q183" i="15"/>
  <c r="Q188" i="15"/>
  <c r="Q153" i="15"/>
  <c r="Q162" i="15"/>
  <c r="Q374" i="15"/>
  <c r="AE243" i="15"/>
  <c r="AE272" i="15"/>
  <c r="AE90" i="15"/>
  <c r="AE68" i="15"/>
  <c r="AE51" i="15"/>
  <c r="AE94" i="15"/>
  <c r="AE29" i="15"/>
  <c r="AE354" i="15"/>
  <c r="AE113" i="15"/>
  <c r="AE263" i="15"/>
  <c r="AE164" i="15"/>
  <c r="AE277" i="15"/>
  <c r="AE378" i="15"/>
  <c r="AE208" i="15"/>
  <c r="AE230" i="15"/>
  <c r="AE136" i="15"/>
  <c r="AE377" i="15"/>
  <c r="AE286" i="15"/>
  <c r="AE351" i="15"/>
  <c r="AE201" i="15"/>
  <c r="AE76" i="15"/>
  <c r="AE332" i="15"/>
  <c r="AE253" i="15"/>
  <c r="AE297" i="15"/>
  <c r="AE349" i="15"/>
  <c r="AE285" i="15"/>
  <c r="AE128" i="15"/>
  <c r="AE36" i="15"/>
  <c r="AE250" i="15"/>
  <c r="AE65" i="15"/>
  <c r="AE158" i="15"/>
  <c r="AE344" i="15"/>
  <c r="AE189" i="15"/>
  <c r="AE183" i="15"/>
  <c r="AE262" i="15"/>
  <c r="AE353" i="15"/>
  <c r="AE97" i="15"/>
  <c r="AE240" i="15"/>
  <c r="AE379" i="15"/>
  <c r="AE12" i="16" s="1"/>
  <c r="AE251" i="15"/>
  <c r="AE123" i="15"/>
  <c r="AE362" i="15"/>
  <c r="AE234" i="15"/>
  <c r="AE106" i="15"/>
  <c r="AE325" i="15"/>
  <c r="AE197" i="15"/>
  <c r="AE69" i="15"/>
  <c r="AE308" i="15"/>
  <c r="AE180" i="15"/>
  <c r="AE52" i="15"/>
  <c r="AE376" i="15"/>
  <c r="AE270" i="15"/>
  <c r="AE295" i="15"/>
  <c r="AE39" i="15"/>
  <c r="AE182" i="15"/>
  <c r="AE273" i="15"/>
  <c r="AE17" i="15"/>
  <c r="AE160" i="15"/>
  <c r="AE355" i="15"/>
  <c r="AE227" i="15"/>
  <c r="AE99" i="15"/>
  <c r="AE338" i="15"/>
  <c r="AE210" i="15"/>
  <c r="AE82" i="15"/>
  <c r="AE333" i="15"/>
  <c r="AE205" i="15"/>
  <c r="AE77" i="15"/>
  <c r="AE284" i="15"/>
  <c r="AE156" i="15"/>
  <c r="AE28" i="15"/>
  <c r="AE137" i="15"/>
  <c r="AE302" i="15"/>
  <c r="AE367" i="15"/>
  <c r="AE111" i="15"/>
  <c r="AE190" i="15"/>
  <c r="AE281" i="15"/>
  <c r="AE25" i="15"/>
  <c r="AE168" i="15"/>
  <c r="AE75" i="15"/>
  <c r="Q167" i="15"/>
  <c r="AE324" i="15"/>
  <c r="AE327" i="15"/>
  <c r="AE130" i="15"/>
  <c r="AE313" i="15"/>
  <c r="AE366" i="15"/>
  <c r="AE172" i="15"/>
  <c r="AE226" i="15"/>
  <c r="AE369" i="15"/>
  <c r="Q197" i="15"/>
  <c r="Q87" i="15"/>
  <c r="Q117" i="15"/>
  <c r="AE107" i="15"/>
  <c r="Q310" i="15"/>
  <c r="Q41" i="15"/>
  <c r="Q239" i="15"/>
  <c r="AE15" i="15"/>
  <c r="Q307" i="15"/>
  <c r="Q123" i="15"/>
  <c r="Q350" i="15"/>
  <c r="AE61" i="15"/>
  <c r="Q318" i="15"/>
  <c r="AE375" i="15"/>
  <c r="AE119" i="15"/>
  <c r="AE198" i="15"/>
  <c r="Q242" i="15"/>
  <c r="Q21" i="15"/>
  <c r="Q83" i="15"/>
  <c r="AE289" i="15"/>
  <c r="AE33" i="15"/>
  <c r="AE176" i="15"/>
  <c r="Q154" i="15"/>
  <c r="Q201" i="15"/>
  <c r="Q237" i="15"/>
  <c r="AE283" i="15"/>
  <c r="AE155" i="15"/>
  <c r="AE27" i="15"/>
  <c r="AE266" i="15"/>
  <c r="AE138" i="15"/>
  <c r="Q38" i="15"/>
  <c r="Q292" i="15"/>
  <c r="Q361" i="15"/>
  <c r="Q36" i="15"/>
  <c r="Q294" i="15"/>
  <c r="Q363" i="15"/>
  <c r="AE357" i="15"/>
  <c r="AE229" i="15"/>
  <c r="AE101" i="15"/>
  <c r="AE340" i="15"/>
  <c r="AE212" i="15"/>
  <c r="AE84" i="15"/>
  <c r="Q82" i="15"/>
  <c r="Q328" i="15"/>
  <c r="Q317" i="15"/>
  <c r="Q184" i="15"/>
  <c r="Q48" i="15"/>
  <c r="Q314" i="15"/>
  <c r="Q351" i="15"/>
  <c r="Q40" i="15"/>
  <c r="AE248" i="15"/>
  <c r="AE361" i="15"/>
  <c r="Q175" i="15"/>
  <c r="AE127" i="15"/>
  <c r="AE231" i="15"/>
  <c r="AE374" i="15"/>
  <c r="AE118" i="15"/>
  <c r="Q31" i="15"/>
  <c r="Q272" i="15"/>
  <c r="AE337" i="15"/>
  <c r="AE81" i="15"/>
  <c r="AE224" i="15"/>
  <c r="Q58" i="15"/>
  <c r="Q341" i="15"/>
  <c r="Q109" i="15"/>
  <c r="AE259" i="15"/>
  <c r="AE131" i="15"/>
  <c r="AE370" i="15"/>
  <c r="AE242" i="15"/>
  <c r="AE114" i="15"/>
  <c r="Q22" i="15"/>
  <c r="Q274" i="15"/>
  <c r="Q377" i="15"/>
  <c r="Q20" i="15"/>
  <c r="Q280" i="15"/>
  <c r="Q287" i="15"/>
  <c r="AE365" i="15"/>
  <c r="AE237" i="15"/>
  <c r="AE109" i="15"/>
  <c r="AE316" i="15"/>
  <c r="AE188" i="15"/>
  <c r="AE60" i="15"/>
  <c r="Q194" i="15"/>
  <c r="Q251" i="15"/>
  <c r="Q24" i="15"/>
  <c r="Q311" i="15"/>
  <c r="Q160" i="15"/>
  <c r="Q59" i="15"/>
  <c r="Q189" i="15"/>
  <c r="Q139" i="15"/>
  <c r="AE280" i="15"/>
  <c r="Q179" i="15"/>
  <c r="Q158" i="15"/>
  <c r="AE31" i="15"/>
  <c r="AE303" i="15"/>
  <c r="AE47" i="15"/>
  <c r="AE126" i="15"/>
  <c r="Q376" i="15"/>
  <c r="Q254" i="15"/>
  <c r="AE345" i="15"/>
  <c r="AE89" i="15"/>
  <c r="AE232" i="15"/>
  <c r="Q42" i="15"/>
  <c r="Q357" i="15"/>
  <c r="Q75" i="15"/>
  <c r="Q321" i="15"/>
  <c r="Q147" i="15"/>
  <c r="Q46" i="15"/>
  <c r="Q125" i="15"/>
  <c r="Q277" i="15"/>
  <c r="Q289" i="15"/>
  <c r="Q26" i="15"/>
  <c r="Q19" i="15"/>
  <c r="Q195" i="15"/>
  <c r="Q228" i="15"/>
  <c r="Q53" i="15"/>
  <c r="Q35" i="15"/>
  <c r="Q322" i="15"/>
  <c r="Q370" i="15"/>
  <c r="Q267" i="15"/>
  <c r="Q264" i="15"/>
  <c r="Q101" i="15"/>
  <c r="Q135" i="15"/>
  <c r="Q159" i="15"/>
  <c r="Q212" i="15"/>
  <c r="Q85" i="15"/>
  <c r="Q333" i="15"/>
  <c r="Q77" i="15"/>
  <c r="Q187" i="15"/>
  <c r="Q202" i="15"/>
  <c r="Q252" i="15"/>
  <c r="Q133" i="15"/>
  <c r="Q364" i="15"/>
  <c r="Q223" i="15"/>
  <c r="Q57" i="15"/>
  <c r="Q325" i="15"/>
  <c r="Q203" i="15"/>
  <c r="Q259" i="15"/>
  <c r="Q80" i="15"/>
  <c r="Q235" i="15"/>
  <c r="Q37" i="15"/>
  <c r="Q358" i="15"/>
  <c r="Q229" i="15"/>
  <c r="Q68" i="15"/>
  <c r="P11" i="18"/>
  <c r="Z15" i="7"/>
  <c r="AK222" i="17"/>
  <c r="AK356" i="17"/>
  <c r="AK267" i="17"/>
  <c r="AK265" i="17"/>
  <c r="P12" i="17"/>
  <c r="AK226" i="17"/>
  <c r="AK285" i="17"/>
  <c r="AK93" i="17"/>
  <c r="AK278" i="17"/>
  <c r="AK128" i="17"/>
  <c r="AK358" i="17"/>
  <c r="AK102" i="17"/>
  <c r="AK130" i="17"/>
  <c r="AK59" i="17"/>
  <c r="AK366" i="17"/>
  <c r="AK90" i="17"/>
  <c r="AK298" i="17"/>
  <c r="AK307" i="17"/>
  <c r="AK19" i="17"/>
  <c r="AK129" i="17"/>
  <c r="AK224" i="17"/>
  <c r="AK46" i="17"/>
  <c r="AK275" i="17"/>
  <c r="AK160" i="17"/>
  <c r="AK56" i="17"/>
  <c r="AK187" i="17"/>
  <c r="AK280" i="17"/>
  <c r="AK141" i="17"/>
  <c r="AK363" i="17"/>
  <c r="AK119" i="17"/>
  <c r="AK145" i="17"/>
  <c r="AK347" i="17"/>
  <c r="AK75" i="17"/>
  <c r="AK355" i="17"/>
  <c r="AK279" i="17"/>
  <c r="AK55" i="17"/>
  <c r="AK223" i="17"/>
  <c r="AK37" i="17"/>
  <c r="F8" i="17"/>
  <c r="AK69" i="17"/>
  <c r="AK112" i="17"/>
  <c r="AK108" i="17"/>
  <c r="AK174" i="17"/>
  <c r="AK173" i="17"/>
  <c r="AK243" i="17"/>
  <c r="AK306" i="17"/>
  <c r="AK228" i="17"/>
  <c r="AK253" i="17"/>
  <c r="AK284" i="17"/>
  <c r="AK316" i="17"/>
  <c r="AK350" i="17"/>
  <c r="AK333" i="17"/>
  <c r="AK361" i="17"/>
  <c r="AK16" i="17"/>
  <c r="AK31" i="17"/>
  <c r="AK88" i="17"/>
  <c r="AK147" i="17"/>
  <c r="AK139" i="17"/>
  <c r="AK205" i="17"/>
  <c r="AK214" i="17"/>
  <c r="AK282" i="17"/>
  <c r="AK238" i="17"/>
  <c r="AK293" i="17"/>
  <c r="AK364" i="17"/>
  <c r="AK368" i="17"/>
  <c r="AK67" i="17"/>
  <c r="AK85" i="17"/>
  <c r="AK212" i="17"/>
  <c r="AK297" i="17"/>
  <c r="AK305" i="17"/>
  <c r="AK21" i="17"/>
  <c r="AK76" i="17"/>
  <c r="AK131" i="17"/>
  <c r="AK199" i="17"/>
  <c r="AK227" i="17"/>
  <c r="AK348" i="17"/>
  <c r="AK20" i="17"/>
  <c r="AK33" i="17"/>
  <c r="AK89" i="17"/>
  <c r="AK149" i="17"/>
  <c r="AK143" i="17"/>
  <c r="AK206" i="17"/>
  <c r="AK215" i="17"/>
  <c r="AK288" i="17"/>
  <c r="AK239" i="17"/>
  <c r="AK294" i="17"/>
  <c r="AK369" i="17"/>
  <c r="AK371" i="17"/>
  <c r="AK64" i="17"/>
  <c r="AK105" i="17"/>
  <c r="AK166" i="17"/>
  <c r="AK309" i="17"/>
  <c r="AK317" i="17"/>
  <c r="AK29" i="17"/>
  <c r="AK136" i="17"/>
  <c r="AK234" i="17"/>
  <c r="AK32" i="17"/>
  <c r="AK177" i="17"/>
  <c r="AK157" i="17"/>
  <c r="AK328" i="17"/>
  <c r="AK196" i="17"/>
  <c r="AK183" i="17"/>
  <c r="AK315" i="17"/>
  <c r="AK269" i="17"/>
  <c r="AK273" i="17"/>
  <c r="AK192" i="17"/>
  <c r="AK304" i="17"/>
  <c r="AK186" i="17"/>
  <c r="AK161" i="17"/>
  <c r="AK62" i="17"/>
  <c r="AK146" i="17"/>
  <c r="AK204" i="17"/>
  <c r="AK281" i="17"/>
  <c r="AK242" i="17"/>
  <c r="AK299" i="17"/>
  <c r="AK375" i="17"/>
  <c r="AK373" i="17"/>
  <c r="AK70" i="17"/>
  <c r="AK109" i="17"/>
  <c r="AK180" i="17"/>
  <c r="AK314" i="17"/>
  <c r="AK324" i="17"/>
  <c r="AK34" i="17"/>
  <c r="AK155" i="17"/>
  <c r="AK247" i="17"/>
  <c r="AK57" i="17"/>
  <c r="AK190" i="17"/>
  <c r="AK283" i="17"/>
  <c r="AK28" i="17"/>
  <c r="AK114" i="17"/>
  <c r="AK176" i="17"/>
  <c r="AK250" i="17"/>
  <c r="AK262" i="17"/>
  <c r="AK344" i="17"/>
  <c r="AK103" i="17"/>
  <c r="AK236" i="17"/>
  <c r="AK336" i="17"/>
  <c r="AK210" i="17"/>
  <c r="AK115" i="17"/>
  <c r="AK263" i="17"/>
  <c r="AK332" i="17"/>
  <c r="AK78" i="17"/>
  <c r="AK202" i="17"/>
  <c r="AK352" i="17"/>
  <c r="AK201" i="17"/>
  <c r="AK80" i="17"/>
  <c r="AK330" i="17"/>
  <c r="AK251" i="17"/>
  <c r="AK230" i="17"/>
  <c r="AK164" i="17"/>
  <c r="AK96" i="17"/>
  <c r="AK40" i="17"/>
  <c r="AK252" i="17"/>
  <c r="AK165" i="17"/>
  <c r="AK41" i="17"/>
  <c r="AK218" i="17"/>
  <c r="AK124" i="17"/>
  <c r="AK380" i="17"/>
  <c r="AK308" i="17"/>
  <c r="AK302" i="17"/>
  <c r="AK158" i="17"/>
  <c r="AK98" i="17"/>
  <c r="AK44" i="17"/>
  <c r="AK367" i="17"/>
  <c r="AK362" i="17"/>
  <c r="AK289" i="17"/>
  <c r="AK235" i="17"/>
  <c r="AK266" i="17"/>
  <c r="AK184" i="17"/>
  <c r="AK127" i="17"/>
  <c r="AK48" i="17"/>
  <c r="AK43" i="17"/>
  <c r="AK82" i="17"/>
  <c r="AK123" i="17"/>
  <c r="AK122" i="17"/>
  <c r="AK182" i="17"/>
  <c r="AK193" i="17"/>
  <c r="AK264" i="17"/>
  <c r="AK326" i="17"/>
  <c r="AK274" i="17"/>
  <c r="AK339" i="17"/>
  <c r="AK354" i="17"/>
  <c r="AK38" i="17"/>
  <c r="AK117" i="17"/>
  <c r="AK179" i="17"/>
  <c r="AK260" i="17"/>
  <c r="AK270" i="17"/>
  <c r="AK351" i="17"/>
  <c r="AK111" i="17"/>
  <c r="AK240" i="17"/>
  <c r="AK338" i="17"/>
  <c r="AK150" i="17"/>
  <c r="AK290" i="17"/>
  <c r="AK372" i="17"/>
  <c r="AK60" i="17"/>
  <c r="AK142" i="17"/>
  <c r="AK197" i="17"/>
  <c r="AK276" i="17"/>
  <c r="AK286" i="17"/>
  <c r="AK365" i="17"/>
  <c r="AK153" i="17"/>
  <c r="AK292" i="17"/>
  <c r="AK374" i="17"/>
  <c r="AK311" i="17"/>
  <c r="AK144" i="17"/>
  <c r="AK53" i="17"/>
  <c r="AK110" i="17"/>
  <c r="AK170" i="17"/>
  <c r="AK237" i="17"/>
  <c r="AK256" i="17"/>
  <c r="AK337" i="17"/>
  <c r="AK95" i="17"/>
  <c r="AK219" i="17"/>
  <c r="AK376" i="17"/>
  <c r="AK172" i="17"/>
  <c r="AK91" i="17"/>
  <c r="AK370" i="17"/>
  <c r="AK24" i="17"/>
  <c r="AK36" i="17"/>
  <c r="AK45" i="17"/>
  <c r="AK79" i="17"/>
  <c r="AK92" i="17"/>
  <c r="AK42" i="17"/>
  <c r="AK73" i="17"/>
  <c r="AK49" i="17"/>
  <c r="AK359" i="17"/>
  <c r="AK198" i="17"/>
  <c r="AK343" i="17"/>
  <c r="AK87" i="17"/>
  <c r="AK213" i="17"/>
  <c r="AK268" i="17"/>
  <c r="AK349" i="17"/>
  <c r="AK113" i="17"/>
  <c r="AK245" i="17"/>
  <c r="AK342" i="17"/>
  <c r="AK221" i="17"/>
  <c r="AK137" i="17"/>
  <c r="AK360" i="17"/>
  <c r="AK118" i="17"/>
  <c r="AK318" i="17"/>
  <c r="AK52" i="17"/>
  <c r="AK255" i="17"/>
  <c r="AK357" i="17"/>
  <c r="AK345" i="17"/>
  <c r="AK287" i="17"/>
  <c r="AK229" i="17"/>
  <c r="AK25" i="17"/>
  <c r="AK303" i="17"/>
  <c r="AK101" i="17"/>
  <c r="AK331" i="17"/>
  <c r="AK99" i="17"/>
  <c r="AK194" i="17"/>
  <c r="AK329" i="17"/>
  <c r="AK225" i="17"/>
  <c r="AK94" i="17"/>
  <c r="AK340" i="17"/>
  <c r="AK258" i="17"/>
  <c r="AK195" i="17"/>
  <c r="AK72" i="17"/>
  <c r="AK66" i="17"/>
  <c r="AK156" i="17"/>
  <c r="AK211" i="17"/>
  <c r="AK296" i="17"/>
  <c r="AK301" i="17"/>
  <c r="AK378" i="17"/>
  <c r="AK121" i="17"/>
  <c r="AK325" i="17"/>
  <c r="AK54" i="17"/>
  <c r="AK257" i="17"/>
  <c r="AK207" i="17"/>
  <c r="AK26" i="17"/>
  <c r="AK135" i="17"/>
  <c r="AK231" i="17"/>
  <c r="AK63" i="17"/>
  <c r="AK300" i="17"/>
  <c r="AK22" i="17"/>
  <c r="AK65" i="17"/>
  <c r="AK169" i="17"/>
  <c r="AK320" i="17"/>
  <c r="AK151" i="17"/>
  <c r="AK68" i="17"/>
  <c r="AK216" i="17"/>
  <c r="AK51" i="17"/>
  <c r="AK50" i="17"/>
  <c r="AK100" i="17"/>
  <c r="AK140" i="17"/>
  <c r="AK104" i="17"/>
  <c r="AK132" i="17"/>
  <c r="AK167" i="17"/>
  <c r="AK191" i="17"/>
  <c r="AK163" i="17"/>
  <c r="AK200" i="17"/>
  <c r="AK233" i="17"/>
  <c r="AK272" i="17"/>
  <c r="AK346" i="17"/>
  <c r="AK277" i="17"/>
  <c r="AK319" i="17"/>
  <c r="AK18" i="17"/>
  <c r="AK323" i="17"/>
  <c r="AK15" i="17"/>
  <c r="AK261" i="17"/>
  <c r="AK379" i="17"/>
  <c r="AK74" i="17"/>
  <c r="AK327" i="17"/>
  <c r="AK86" i="17"/>
  <c r="AK185" i="17"/>
  <c r="AK133" i="17"/>
  <c r="AK159" i="17"/>
  <c r="AK232" i="17"/>
  <c r="AK71" i="17"/>
  <c r="AK162" i="17"/>
  <c r="AK322" i="17"/>
  <c r="AK126" i="17"/>
  <c r="AK97" i="17"/>
  <c r="AK220" i="17"/>
  <c r="AK377" i="17"/>
  <c r="AK189" i="17"/>
  <c r="AK171" i="17"/>
  <c r="AK295" i="17"/>
  <c r="AK203" i="17"/>
  <c r="AK209" i="17"/>
  <c r="AK241" i="17"/>
  <c r="AK310" i="17"/>
  <c r="AK244" i="17"/>
  <c r="AK23" i="17"/>
  <c r="AK77" i="17"/>
  <c r="AK152" i="17"/>
  <c r="AK148" i="17"/>
  <c r="AK208" i="17"/>
  <c r="AK217" i="17"/>
  <c r="AK291" i="17"/>
  <c r="AK248" i="17"/>
  <c r="AK134" i="17"/>
  <c r="AK125" i="17"/>
  <c r="AK138" i="17"/>
  <c r="AK334" i="17"/>
  <c r="AK175" i="17"/>
  <c r="AK83" i="17"/>
  <c r="AK271" i="17"/>
  <c r="AK181" i="17"/>
  <c r="AK168" i="17"/>
  <c r="AK254" i="17"/>
  <c r="AK61" i="17"/>
  <c r="AK313" i="17"/>
  <c r="AK47" i="17"/>
  <c r="AK341" i="17"/>
  <c r="AK249" i="17"/>
  <c r="AK39" i="17"/>
  <c r="AK312" i="17"/>
  <c r="AK17" i="17"/>
  <c r="AK30" i="17"/>
  <c r="AK154" i="17"/>
  <c r="AK246" i="17"/>
  <c r="AK81" i="17"/>
  <c r="AK335" i="17"/>
  <c r="AK35" i="17"/>
  <c r="AK84" i="17"/>
  <c r="AK353" i="17"/>
  <c r="AK107" i="17"/>
  <c r="AK106" i="17"/>
  <c r="AK27" i="17"/>
  <c r="AK321" i="17"/>
  <c r="AK58" i="17"/>
  <c r="AK116" i="17"/>
  <c r="AK120" i="17"/>
  <c r="AK178" i="17"/>
  <c r="AK188" i="17"/>
  <c r="AK259" i="17"/>
  <c r="Q368" i="15"/>
  <c r="AC368" i="15"/>
  <c r="AC263" i="15"/>
  <c r="AC295" i="15"/>
  <c r="AC303" i="15"/>
  <c r="AC331" i="15"/>
  <c r="AC346" i="15"/>
  <c r="AC351" i="15"/>
  <c r="AC324" i="15"/>
  <c r="AC268" i="15"/>
  <c r="AC362" i="15"/>
  <c r="AC353" i="15"/>
  <c r="AC325" i="15"/>
  <c r="AC371" i="15"/>
  <c r="AC270" i="15"/>
  <c r="AC308" i="15"/>
  <c r="AC338" i="15"/>
  <c r="AC347" i="15"/>
  <c r="AC305" i="15"/>
  <c r="AC267" i="15"/>
  <c r="AC327" i="15"/>
  <c r="AC319" i="15"/>
  <c r="AC359" i="15"/>
  <c r="AC345" i="15"/>
  <c r="AC302" i="15"/>
  <c r="AC274" i="15"/>
  <c r="AC262" i="15"/>
  <c r="AC378" i="15"/>
  <c r="AC306" i="15"/>
  <c r="AC280" i="15"/>
  <c r="AC367" i="15"/>
  <c r="AC293" i="15"/>
  <c r="AC298" i="15"/>
  <c r="AC304" i="15"/>
  <c r="AC289" i="15"/>
  <c r="AC370" i="15"/>
  <c r="AC265" i="15"/>
  <c r="AC287" i="15"/>
  <c r="AC315" i="15"/>
  <c r="AC288" i="15"/>
  <c r="AC299" i="15"/>
  <c r="AC329" i="15"/>
  <c r="AC259" i="15"/>
  <c r="AC372" i="15"/>
  <c r="AC356" i="15"/>
  <c r="AC273" i="15"/>
  <c r="AC312" i="15"/>
  <c r="AC379" i="15"/>
  <c r="AC310" i="15"/>
  <c r="AC285" i="15"/>
  <c r="AC279" i="15"/>
  <c r="AC277" i="15"/>
  <c r="J376" i="6"/>
  <c r="J374" i="6"/>
  <c r="J373" i="6"/>
  <c r="AD373" i="1" s="1"/>
  <c r="J377" i="6"/>
  <c r="AD377" i="1" s="1"/>
  <c r="AC354" i="15"/>
  <c r="AC369" i="15"/>
  <c r="AC340" i="15"/>
  <c r="AC297" i="15"/>
  <c r="AC373" i="15"/>
  <c r="AC339" i="15"/>
  <c r="AC357" i="15"/>
  <c r="AC332" i="15"/>
  <c r="AC278" i="15"/>
  <c r="AC314" i="15"/>
  <c r="AC316" i="15"/>
  <c r="AC292" i="15"/>
  <c r="AC290" i="15"/>
  <c r="AC261" i="15"/>
  <c r="AC275" i="15"/>
  <c r="AC374" i="15"/>
  <c r="AC341" i="15"/>
  <c r="AC360" i="15"/>
  <c r="AC333" i="15"/>
  <c r="AC281" i="15"/>
  <c r="AC321" i="15"/>
  <c r="AC366" i="15"/>
  <c r="AC326" i="15"/>
  <c r="AC350" i="15"/>
  <c r="AC317" i="15"/>
  <c r="AC291" i="15"/>
  <c r="AC309" i="15"/>
  <c r="AC283" i="15"/>
  <c r="AC322" i="15"/>
  <c r="AC282" i="15"/>
  <c r="AC269" i="15"/>
  <c r="AC349" i="15"/>
  <c r="AC335" i="15"/>
  <c r="AC337" i="15"/>
  <c r="AC328" i="15"/>
  <c r="AC307" i="15"/>
  <c r="AC286" i="15"/>
  <c r="AC258" i="15"/>
  <c r="AC272" i="15"/>
  <c r="AC365" i="15"/>
  <c r="AC348" i="15"/>
  <c r="AC355" i="15"/>
  <c r="AC343" i="15"/>
  <c r="AC300" i="15"/>
  <c r="AC271" i="15"/>
  <c r="AC358" i="15"/>
  <c r="AC375" i="15"/>
  <c r="AC344" i="15"/>
  <c r="AC301" i="15"/>
  <c r="AC377" i="15"/>
  <c r="AC342" i="15"/>
  <c r="AC361" i="15"/>
  <c r="AC334" i="15"/>
  <c r="AC284" i="15"/>
  <c r="AC323" i="15"/>
  <c r="AC318" i="15"/>
  <c r="AC296" i="15"/>
  <c r="AC260" i="15"/>
  <c r="AC294" i="15"/>
  <c r="O278" i="15"/>
  <c r="E278" i="15" s="1"/>
  <c r="O262" i="15"/>
  <c r="E262" i="15" s="1"/>
  <c r="O329" i="15"/>
  <c r="E329" i="15" s="1"/>
  <c r="O276" i="15"/>
  <c r="E276" i="15" s="1"/>
  <c r="O261" i="15"/>
  <c r="E261" i="15" s="1"/>
  <c r="O355" i="15"/>
  <c r="E355" i="15" s="1"/>
  <c r="O378" i="15"/>
  <c r="E378" i="15" s="1"/>
  <c r="O273" i="15"/>
  <c r="E273" i="15" s="1"/>
  <c r="O352" i="15"/>
  <c r="E352" i="15" s="1"/>
  <c r="O297" i="15"/>
  <c r="E297" i="15" s="1"/>
  <c r="O315" i="15"/>
  <c r="E315" i="15" s="1"/>
  <c r="O317" i="15"/>
  <c r="E317" i="15" s="1"/>
  <c r="O293" i="15"/>
  <c r="E293" i="15" s="1"/>
  <c r="O277" i="15"/>
  <c r="E277" i="15" s="1"/>
  <c r="O374" i="15"/>
  <c r="E374" i="15" s="1"/>
  <c r="O269" i="15"/>
  <c r="E269" i="15" s="1"/>
  <c r="O286" i="15"/>
  <c r="E286" i="15" s="1"/>
  <c r="O351" i="15"/>
  <c r="E351" i="15" s="1"/>
  <c r="O362" i="15"/>
  <c r="E362" i="15" s="1"/>
  <c r="O305" i="15"/>
  <c r="E305" i="15" s="1"/>
  <c r="O264" i="15"/>
  <c r="E264" i="15" s="1"/>
  <c r="O335" i="15"/>
  <c r="E335" i="15" s="1"/>
  <c r="O301" i="15"/>
  <c r="E301" i="15" s="1"/>
  <c r="O312" i="15"/>
  <c r="E312" i="15" s="1"/>
  <c r="O266" i="15"/>
  <c r="E266" i="15" s="1"/>
  <c r="O366" i="15"/>
  <c r="E366" i="15" s="1"/>
  <c r="O363" i="15"/>
  <c r="E363" i="15" s="1"/>
  <c r="O306" i="15"/>
  <c r="E306" i="15" s="1"/>
  <c r="O344" i="15"/>
  <c r="E344" i="15" s="1"/>
  <c r="O314" i="15"/>
  <c r="E314" i="15" s="1"/>
  <c r="O308" i="15"/>
  <c r="E308" i="15" s="1"/>
  <c r="O330" i="15"/>
  <c r="E330" i="15" s="1"/>
  <c r="O12" i="20"/>
  <c r="AC12" i="20"/>
  <c r="O9" i="23"/>
  <c r="O337" i="15"/>
  <c r="E337" i="15" s="1"/>
  <c r="O304" i="15"/>
  <c r="E304" i="15" s="1"/>
  <c r="O295" i="15"/>
  <c r="E295" i="15" s="1"/>
  <c r="O300" i="15"/>
  <c r="E300" i="15" s="1"/>
  <c r="O289" i="15"/>
  <c r="E289" i="15" s="1"/>
  <c r="O292" i="15"/>
  <c r="E292" i="15" s="1"/>
  <c r="O336" i="15"/>
  <c r="E336" i="15" s="1"/>
  <c r="O359" i="15"/>
  <c r="E359" i="15" s="1"/>
  <c r="O267" i="15"/>
  <c r="E267" i="15" s="1"/>
  <c r="O379" i="15"/>
  <c r="O332" i="15"/>
  <c r="E332" i="15" s="1"/>
  <c r="O354" i="15"/>
  <c r="E354" i="15" s="1"/>
  <c r="O331" i="15"/>
  <c r="E331" i="15" s="1"/>
  <c r="O284" i="15"/>
  <c r="E284" i="15" s="1"/>
  <c r="O357" i="15"/>
  <c r="E357" i="15" s="1"/>
  <c r="O287" i="15"/>
  <c r="E287" i="15" s="1"/>
  <c r="O321" i="15"/>
  <c r="E321" i="15" s="1"/>
  <c r="O288" i="15"/>
  <c r="E288" i="15" s="1"/>
  <c r="O271" i="15"/>
  <c r="E271" i="15" s="1"/>
  <c r="O368" i="15"/>
  <c r="E368" i="15" s="1"/>
  <c r="O369" i="15"/>
  <c r="E369" i="15" s="1"/>
  <c r="O259" i="15"/>
  <c r="E259" i="15" s="1"/>
  <c r="O319" i="15"/>
  <c r="E319" i="15" s="1"/>
  <c r="O260" i="15"/>
  <c r="E260" i="15" s="1"/>
  <c r="O313" i="15"/>
  <c r="E313" i="15" s="1"/>
  <c r="O343" i="15"/>
  <c r="E343" i="15" s="1"/>
  <c r="O324" i="15"/>
  <c r="E324" i="15" s="1"/>
  <c r="O320" i="15"/>
  <c r="E320" i="15" s="1"/>
  <c r="O299" i="15"/>
  <c r="E299" i="15" s="1"/>
  <c r="O350" i="15"/>
  <c r="E350" i="15" s="1"/>
  <c r="O338" i="15"/>
  <c r="E338" i="15" s="1"/>
  <c r="O263" i="15"/>
  <c r="E263" i="15" s="1"/>
  <c r="O322" i="15"/>
  <c r="E322" i="15" s="1"/>
  <c r="O296" i="15"/>
  <c r="E296" i="15" s="1"/>
  <c r="O268" i="15"/>
  <c r="E268" i="15" s="1"/>
  <c r="O318" i="15"/>
  <c r="E318" i="15" s="1"/>
  <c r="O282" i="15"/>
  <c r="E282" i="15" s="1"/>
  <c r="O376" i="15"/>
  <c r="E376" i="15" s="1"/>
  <c r="O345" i="15"/>
  <c r="E345" i="15" s="1"/>
  <c r="O377" i="15"/>
  <c r="E377" i="15" s="1"/>
  <c r="O333" i="15"/>
  <c r="C42" i="7" s="1"/>
  <c r="O274" i="15"/>
  <c r="E274" i="15" s="1"/>
  <c r="O325" i="15"/>
  <c r="E325" i="15" s="1"/>
  <c r="O298" i="15"/>
  <c r="E298" i="15" s="1"/>
  <c r="O270" i="15"/>
  <c r="E270" i="15" s="1"/>
  <c r="O323" i="15"/>
  <c r="E323" i="15" s="1"/>
  <c r="O285" i="15"/>
  <c r="E285" i="15" s="1"/>
  <c r="O348" i="15"/>
  <c r="E348" i="15" s="1"/>
  <c r="O327" i="15"/>
  <c r="E327" i="15" s="1"/>
  <c r="O349" i="15"/>
  <c r="E349" i="15" s="1"/>
  <c r="O281" i="15"/>
  <c r="E281" i="15" s="1"/>
  <c r="O265" i="15"/>
  <c r="E265" i="15" s="1"/>
  <c r="O375" i="15"/>
  <c r="E375" i="15" s="1"/>
  <c r="O373" i="15"/>
  <c r="E373" i="15" s="1"/>
  <c r="O272" i="15"/>
  <c r="E272" i="15" s="1"/>
  <c r="O367" i="15"/>
  <c r="E367" i="15" s="1"/>
  <c r="O365" i="15"/>
  <c r="E365" i="15" s="1"/>
  <c r="O370" i="15"/>
  <c r="E370" i="15" s="1"/>
  <c r="O342" i="15"/>
  <c r="E342" i="15" s="1"/>
  <c r="O371" i="15"/>
  <c r="E371" i="15" s="1"/>
  <c r="O294" i="15"/>
  <c r="E294" i="15" s="1"/>
  <c r="O280" i="15"/>
  <c r="E280" i="15" s="1"/>
  <c r="AJ16" i="22"/>
  <c r="AJ42" i="22"/>
  <c r="AJ51" i="22"/>
  <c r="AJ27" i="22"/>
  <c r="AJ60" i="22"/>
  <c r="AJ48" i="22"/>
  <c r="AJ77" i="22"/>
  <c r="AJ78" i="22"/>
  <c r="AJ95" i="22"/>
  <c r="AJ93" i="22"/>
  <c r="AJ108" i="22"/>
  <c r="AJ132" i="22"/>
  <c r="AJ147" i="22"/>
  <c r="AJ100" i="22"/>
  <c r="AJ118" i="22"/>
  <c r="AJ130" i="22"/>
  <c r="AJ144" i="22"/>
  <c r="AJ165" i="22"/>
  <c r="AJ180" i="22"/>
  <c r="AJ191" i="22"/>
  <c r="AJ210" i="22"/>
  <c r="AJ164" i="22"/>
  <c r="AJ183" i="22"/>
  <c r="AJ200" i="22"/>
  <c r="AJ216" i="22"/>
  <c r="AJ239" i="22"/>
  <c r="AJ256" i="22"/>
  <c r="AJ268" i="22"/>
  <c r="AJ282" i="22"/>
  <c r="AJ295" i="22"/>
  <c r="AJ315" i="22"/>
  <c r="AJ218" i="22"/>
  <c r="AJ229" i="22"/>
  <c r="AJ241" i="22"/>
  <c r="AJ257" i="22"/>
  <c r="AJ277" i="22"/>
  <c r="AJ297" i="22"/>
  <c r="AJ307" i="22"/>
  <c r="AJ326" i="22"/>
  <c r="AJ337" i="22"/>
  <c r="AJ347" i="22"/>
  <c r="AJ358" i="22"/>
  <c r="AJ371" i="22"/>
  <c r="AJ343" i="22"/>
  <c r="AJ367" i="22"/>
  <c r="AJ22" i="22"/>
  <c r="AJ40" i="22"/>
  <c r="AJ29" i="22"/>
  <c r="AJ57" i="22"/>
  <c r="AJ79" i="22"/>
  <c r="AJ98" i="22"/>
  <c r="AJ134" i="22"/>
  <c r="AJ106" i="22"/>
  <c r="AJ131" i="22"/>
  <c r="AJ168" i="22"/>
  <c r="AJ192" i="22"/>
  <c r="AJ166" i="22"/>
  <c r="AJ201" i="22"/>
  <c r="AJ244" i="22"/>
  <c r="AJ17" i="22"/>
  <c r="AJ46" i="22"/>
  <c r="AJ18" i="22"/>
  <c r="AJ41" i="22"/>
  <c r="AJ74" i="22"/>
  <c r="AJ90" i="22"/>
  <c r="AJ124" i="22"/>
  <c r="AJ96" i="22"/>
  <c r="AJ128" i="22"/>
  <c r="AJ160" i="22"/>
  <c r="AJ188" i="22"/>
  <c r="AJ162" i="22"/>
  <c r="AJ197" i="22"/>
  <c r="AJ233" i="22"/>
  <c r="AJ265" i="22"/>
  <c r="AJ292" i="22"/>
  <c r="AJ212" i="22"/>
  <c r="AJ238" i="22"/>
  <c r="AJ273" i="22"/>
  <c r="AJ305" i="22"/>
  <c r="AJ333" i="22"/>
  <c r="AJ356" i="22"/>
  <c r="AJ334" i="22"/>
  <c r="AJ378" i="22"/>
  <c r="AJ56" i="22"/>
  <c r="AJ71" i="22"/>
  <c r="AJ121" i="22"/>
  <c r="AJ126" i="22"/>
  <c r="AJ187" i="22"/>
  <c r="AJ195" i="22"/>
  <c r="AJ263" i="22"/>
  <c r="AJ291" i="22"/>
  <c r="AJ323" i="22"/>
  <c r="AJ237" i="22"/>
  <c r="AJ271" i="22"/>
  <c r="AJ303" i="22"/>
  <c r="AJ331" i="22"/>
  <c r="AJ355" i="22"/>
  <c r="AJ332" i="22"/>
  <c r="AJ377" i="22"/>
  <c r="AJ37" i="22"/>
  <c r="AJ59" i="22"/>
  <c r="AJ66" i="22"/>
  <c r="AJ69" i="22"/>
  <c r="AJ86" i="22"/>
  <c r="AJ116" i="22"/>
  <c r="AJ151" i="22"/>
  <c r="AJ123" i="22"/>
  <c r="AJ153" i="22"/>
  <c r="AJ185" i="22"/>
  <c r="AJ156" i="22"/>
  <c r="AJ193" i="22"/>
  <c r="AJ225" i="22"/>
  <c r="AJ260" i="22"/>
  <c r="AJ288" i="22"/>
  <c r="AJ26" i="22"/>
  <c r="AJ33" i="22"/>
  <c r="AJ30" i="22"/>
  <c r="AJ62" i="22"/>
  <c r="AJ82" i="22"/>
  <c r="AJ101" i="22"/>
  <c r="AJ135" i="22"/>
  <c r="AJ109" i="22"/>
  <c r="AJ133" i="22"/>
  <c r="AJ169" i="22"/>
  <c r="AJ196" i="22"/>
  <c r="AJ167" i="22"/>
  <c r="AJ203" i="22"/>
  <c r="AJ246" i="22"/>
  <c r="AJ272" i="22"/>
  <c r="AJ304" i="22"/>
  <c r="AJ220" i="22"/>
  <c r="AJ243" i="22"/>
  <c r="AJ283" i="22"/>
  <c r="AJ309" i="22"/>
  <c r="AJ339" i="22"/>
  <c r="AJ361" i="22"/>
  <c r="AJ348" i="22"/>
  <c r="AJ19" i="22"/>
  <c r="AJ50" i="22"/>
  <c r="AJ88" i="22"/>
  <c r="AJ141" i="22"/>
  <c r="AJ139" i="22"/>
  <c r="AJ204" i="22"/>
  <c r="AJ209" i="22"/>
  <c r="AJ269" i="22"/>
  <c r="AJ302" i="22"/>
  <c r="AJ219" i="22"/>
  <c r="AJ242" i="22"/>
  <c r="AJ279" i="22"/>
  <c r="AJ308" i="22"/>
  <c r="AJ338" i="22"/>
  <c r="AJ359" i="22"/>
  <c r="AJ344" i="22"/>
  <c r="F7" i="22"/>
  <c r="AJ43" i="22"/>
  <c r="AJ23" i="22"/>
  <c r="AJ44" i="22"/>
  <c r="AJ76" i="22"/>
  <c r="AJ91" i="22"/>
  <c r="AJ127" i="22"/>
  <c r="AJ99" i="22"/>
  <c r="AJ129" i="22"/>
  <c r="AJ161" i="22"/>
  <c r="AJ190" i="22"/>
  <c r="AJ163" i="22"/>
  <c r="AJ198" i="22"/>
  <c r="AJ235" i="22"/>
  <c r="AJ267" i="22"/>
  <c r="AJ294" i="22"/>
  <c r="AJ214" i="22"/>
  <c r="AJ240" i="22"/>
  <c r="AJ276" i="22"/>
  <c r="AJ306" i="22"/>
  <c r="AJ335" i="22"/>
  <c r="AJ357" i="22"/>
  <c r="AJ336" i="22"/>
  <c r="AJ310" i="22"/>
  <c r="AJ222" i="22"/>
  <c r="AJ245" i="22"/>
  <c r="AJ285" i="22"/>
  <c r="AJ317" i="22"/>
  <c r="AJ340" i="22"/>
  <c r="AJ363" i="22"/>
  <c r="AJ349" i="22"/>
  <c r="AJ35" i="22"/>
  <c r="AJ58" i="22"/>
  <c r="AJ36" i="22"/>
  <c r="AJ70" i="22"/>
  <c r="AJ87" i="22"/>
  <c r="AJ119" i="22"/>
  <c r="AJ80" i="22"/>
  <c r="AJ125" i="22"/>
  <c r="AJ154" i="22"/>
  <c r="AJ186" i="22"/>
  <c r="AJ158" i="22"/>
  <c r="AJ194" i="22"/>
  <c r="AJ226" i="22"/>
  <c r="AJ262" i="22"/>
  <c r="AJ290" i="22"/>
  <c r="AJ320" i="22"/>
  <c r="AJ236" i="22"/>
  <c r="AJ270" i="22"/>
  <c r="AJ301" i="22"/>
  <c r="AJ330" i="22"/>
  <c r="AJ354" i="22"/>
  <c r="AJ380" i="22"/>
  <c r="AJ376" i="22"/>
  <c r="AJ45" i="22"/>
  <c r="AJ67" i="22"/>
  <c r="AJ113" i="22"/>
  <c r="AJ120" i="22"/>
  <c r="AJ181" i="22"/>
  <c r="AJ184" i="22"/>
  <c r="AJ258" i="22"/>
  <c r="AJ54" i="22"/>
  <c r="AJ73" i="22"/>
  <c r="AJ105" i="22"/>
  <c r="AJ115" i="22"/>
  <c r="AJ177" i="22"/>
  <c r="AJ176" i="22"/>
  <c r="AJ252" i="22"/>
  <c r="AJ313" i="22"/>
  <c r="AJ254" i="22"/>
  <c r="AJ324" i="22"/>
  <c r="AJ369" i="22"/>
  <c r="AJ34" i="22"/>
  <c r="AJ89" i="22"/>
  <c r="AJ157" i="22"/>
  <c r="AJ230" i="22"/>
  <c r="AJ312" i="22"/>
  <c r="AJ251" i="22"/>
  <c r="AJ322" i="22"/>
  <c r="AJ366" i="22"/>
  <c r="AJ25" i="22"/>
  <c r="AJ31" i="22"/>
  <c r="AJ83" i="22"/>
  <c r="AJ138" i="22"/>
  <c r="AJ136" i="22"/>
  <c r="AJ199" i="22"/>
  <c r="AJ206" i="22"/>
  <c r="AJ274" i="22"/>
  <c r="AJ38" i="22"/>
  <c r="AJ63" i="22"/>
  <c r="AJ85" i="22"/>
  <c r="AJ150" i="22"/>
  <c r="AJ152" i="22"/>
  <c r="AJ155" i="22"/>
  <c r="AJ221" i="22"/>
  <c r="AJ286" i="22"/>
  <c r="AJ232" i="22"/>
  <c r="AJ299" i="22"/>
  <c r="AJ352" i="22"/>
  <c r="AJ372" i="22"/>
  <c r="AJ72" i="22"/>
  <c r="AJ112" i="22"/>
  <c r="AJ173" i="22"/>
  <c r="AJ284" i="22"/>
  <c r="AJ231" i="22"/>
  <c r="AJ298" i="22"/>
  <c r="AJ350" i="22"/>
  <c r="AJ368" i="22"/>
  <c r="AJ52" i="22"/>
  <c r="AJ75" i="22"/>
  <c r="AJ107" i="22"/>
  <c r="AJ117" i="22"/>
  <c r="AJ178" i="22"/>
  <c r="AJ179" i="22"/>
  <c r="AJ253" i="22"/>
  <c r="AJ314" i="22"/>
  <c r="AJ255" i="22"/>
  <c r="AJ325" i="22"/>
  <c r="AJ370" i="22"/>
  <c r="AJ319" i="22"/>
  <c r="AJ266" i="22"/>
  <c r="AJ329" i="22"/>
  <c r="AJ379" i="22"/>
  <c r="AJ24" i="22"/>
  <c r="AJ49" i="22"/>
  <c r="AJ32" i="22"/>
  <c r="AJ65" i="22"/>
  <c r="AJ84" i="22"/>
  <c r="AJ103" i="22"/>
  <c r="AJ140" i="22"/>
  <c r="AJ111" i="22"/>
  <c r="AJ137" i="22"/>
  <c r="AJ174" i="22"/>
  <c r="AJ202" i="22"/>
  <c r="AJ172" i="22"/>
  <c r="AJ207" i="22"/>
  <c r="AJ248" i="22"/>
  <c r="AJ275" i="22"/>
  <c r="AJ311" i="22"/>
  <c r="AJ223" i="22"/>
  <c r="AJ249" i="22"/>
  <c r="AJ287" i="22"/>
  <c r="AJ321" i="22"/>
  <c r="AJ341" i="22"/>
  <c r="AJ365" i="22"/>
  <c r="AJ351" i="22"/>
  <c r="AL13" i="7"/>
  <c r="AJ61" i="22"/>
  <c r="AJ97" i="22"/>
  <c r="AJ148" i="22"/>
  <c r="AJ149" i="22"/>
  <c r="AJ211" i="22"/>
  <c r="AJ217" i="22"/>
  <c r="AJ28" i="22"/>
  <c r="AJ53" i="22"/>
  <c r="AJ92" i="22"/>
  <c r="AJ145" i="22"/>
  <c r="AJ142" i="22"/>
  <c r="AJ205" i="22"/>
  <c r="AJ213" i="22"/>
  <c r="AJ280" i="22"/>
  <c r="AJ227" i="22"/>
  <c r="AJ293" i="22"/>
  <c r="AJ345" i="22"/>
  <c r="AJ362" i="22"/>
  <c r="AJ39" i="22"/>
  <c r="AJ81" i="22"/>
  <c r="AJ159" i="22"/>
  <c r="AJ278" i="22"/>
  <c r="AJ224" i="22"/>
  <c r="AJ289" i="22"/>
  <c r="AJ342" i="22"/>
  <c r="AJ360" i="22"/>
  <c r="AJ15" i="22"/>
  <c r="AJ64" i="22"/>
  <c r="AJ102" i="22"/>
  <c r="AJ110" i="22"/>
  <c r="AJ170" i="22"/>
  <c r="AJ171" i="22"/>
  <c r="AJ247" i="22"/>
  <c r="AJ21" i="22"/>
  <c r="AJ68" i="22"/>
  <c r="AJ114" i="22"/>
  <c r="AJ122" i="22"/>
  <c r="AJ182" i="22"/>
  <c r="AJ189" i="22"/>
  <c r="AJ259" i="22"/>
  <c r="AJ318" i="22"/>
  <c r="AJ264" i="22"/>
  <c r="AJ328" i="22"/>
  <c r="AJ375" i="22"/>
  <c r="AJ47" i="22"/>
  <c r="AJ104" i="22"/>
  <c r="AJ175" i="22"/>
  <c r="AJ250" i="22"/>
  <c r="AJ316" i="22"/>
  <c r="AJ261" i="22"/>
  <c r="AJ327" i="22"/>
  <c r="AJ373" i="22"/>
  <c r="AJ20" i="22"/>
  <c r="AJ55" i="22"/>
  <c r="AJ94" i="22"/>
  <c r="AJ146" i="22"/>
  <c r="AJ143" i="22"/>
  <c r="AJ208" i="22"/>
  <c r="AJ215" i="22"/>
  <c r="AJ281" i="22"/>
  <c r="AJ228" i="22"/>
  <c r="AJ296" i="22"/>
  <c r="AJ346" i="22"/>
  <c r="AJ364" i="22"/>
  <c r="AJ234" i="22"/>
  <c r="AJ300" i="22"/>
  <c r="AJ353" i="22"/>
  <c r="AJ374" i="22"/>
  <c r="AC9" i="20"/>
  <c r="J375" i="6"/>
  <c r="J379" i="6"/>
  <c r="Z54" i="6"/>
  <c r="Z53" i="6" s="1"/>
  <c r="Z55" i="6" s="1"/>
  <c r="J372" i="6"/>
  <c r="J380" i="6"/>
  <c r="J378" i="6"/>
  <c r="T222" i="1"/>
  <c r="S222" i="1" s="1"/>
  <c r="R222" i="1" s="1"/>
  <c r="P222" i="1" s="1"/>
  <c r="V222" i="1" s="1"/>
  <c r="F222" i="1" s="1"/>
  <c r="T110" i="1"/>
  <c r="S110" i="1" s="1"/>
  <c r="R110" i="1" s="1"/>
  <c r="P110" i="1" s="1"/>
  <c r="V110" i="1" s="1"/>
  <c r="T220" i="1"/>
  <c r="S220" i="1" s="1"/>
  <c r="R220" i="1" s="1"/>
  <c r="P220" i="1" s="1"/>
  <c r="V220" i="1" s="1"/>
  <c r="F220" i="1" s="1"/>
  <c r="AH201" i="1"/>
  <c r="AG201" i="1" s="1"/>
  <c r="AF201" i="1" s="1"/>
  <c r="AD201" i="1" s="1"/>
  <c r="AD260" i="1"/>
  <c r="P180" i="1"/>
  <c r="V180" i="1" s="1"/>
  <c r="P182" i="1"/>
  <c r="V182" i="1" s="1"/>
  <c r="F182" i="1" s="1"/>
  <c r="AH323" i="1"/>
  <c r="AG323" i="1" s="1"/>
  <c r="AF323" i="1" s="1"/>
  <c r="T63" i="1"/>
  <c r="S63" i="1" s="1"/>
  <c r="R63" i="1" s="1"/>
  <c r="BY16" i="7"/>
  <c r="BS16" i="7"/>
  <c r="E16" i="7"/>
  <c r="BM16" i="7"/>
  <c r="AI294" i="1"/>
  <c r="AH294" i="1" s="1"/>
  <c r="AG294" i="1" s="1"/>
  <c r="AF294" i="1" s="1"/>
  <c r="AI343" i="1"/>
  <c r="AH343" i="1" s="1"/>
  <c r="AG343" i="1" s="1"/>
  <c r="AF343" i="1" s="1"/>
  <c r="AI375" i="1"/>
  <c r="AH375" i="1" s="1"/>
  <c r="AG375" i="1" s="1"/>
  <c r="AF375" i="1" s="1"/>
  <c r="AI261" i="1"/>
  <c r="AH261" i="1" s="1"/>
  <c r="AG261" i="1" s="1"/>
  <c r="AF261" i="1" s="1"/>
  <c r="AI186" i="1"/>
  <c r="AH186" i="1" s="1"/>
  <c r="AG186" i="1" s="1"/>
  <c r="AF186" i="1" s="1"/>
  <c r="AI332" i="1"/>
  <c r="AH332" i="1" s="1"/>
  <c r="AG332" i="1" s="1"/>
  <c r="AF332" i="1" s="1"/>
  <c r="AI37" i="1"/>
  <c r="AH37" i="1" s="1"/>
  <c r="AG37" i="1" s="1"/>
  <c r="AF37" i="1" s="1"/>
  <c r="AI293" i="1"/>
  <c r="AH293" i="1" s="1"/>
  <c r="AG293" i="1" s="1"/>
  <c r="AF293" i="1" s="1"/>
  <c r="AI59" i="1"/>
  <c r="AH59" i="1" s="1"/>
  <c r="AG59" i="1" s="1"/>
  <c r="AF59" i="1" s="1"/>
  <c r="U22" i="1"/>
  <c r="T22" i="1" s="1"/>
  <c r="S22" i="1" s="1"/>
  <c r="R22" i="1" s="1"/>
  <c r="U49" i="1"/>
  <c r="T49" i="1" s="1"/>
  <c r="S49" i="1" s="1"/>
  <c r="R49" i="1" s="1"/>
  <c r="U62" i="1"/>
  <c r="T62" i="1" s="1"/>
  <c r="S62" i="1" s="1"/>
  <c r="R62" i="1" s="1"/>
  <c r="U74" i="1"/>
  <c r="T74" i="1" s="1"/>
  <c r="S74" i="1" s="1"/>
  <c r="R74" i="1" s="1"/>
  <c r="P74" i="1" s="1"/>
  <c r="V74" i="1" s="1"/>
  <c r="U76" i="1"/>
  <c r="U119" i="1"/>
  <c r="T119" i="1" s="1"/>
  <c r="S119" i="1" s="1"/>
  <c r="R119" i="1" s="1"/>
  <c r="U122" i="1"/>
  <c r="T122" i="1" s="1"/>
  <c r="S122" i="1" s="1"/>
  <c r="R122" i="1" s="1"/>
  <c r="U130" i="1"/>
  <c r="T130" i="1" s="1"/>
  <c r="S130" i="1" s="1"/>
  <c r="R130" i="1" s="1"/>
  <c r="U132" i="1"/>
  <c r="T132" i="1" s="1"/>
  <c r="S132" i="1" s="1"/>
  <c r="R132" i="1" s="1"/>
  <c r="U134" i="1"/>
  <c r="T134" i="1" s="1"/>
  <c r="S134" i="1" s="1"/>
  <c r="R134" i="1" s="1"/>
  <c r="U156" i="1"/>
  <c r="T156" i="1" s="1"/>
  <c r="S156" i="1" s="1"/>
  <c r="R156" i="1" s="1"/>
  <c r="U161" i="1"/>
  <c r="T161" i="1" s="1"/>
  <c r="S161" i="1" s="1"/>
  <c r="R161" i="1" s="1"/>
  <c r="U177" i="1"/>
  <c r="T177" i="1" s="1"/>
  <c r="S177" i="1" s="1"/>
  <c r="R177" i="1" s="1"/>
  <c r="U179" i="1"/>
  <c r="T179" i="1" s="1"/>
  <c r="S179" i="1" s="1"/>
  <c r="R179" i="1" s="1"/>
  <c r="U184" i="1"/>
  <c r="T184" i="1" s="1"/>
  <c r="S184" i="1" s="1"/>
  <c r="R184" i="1" s="1"/>
  <c r="U191" i="1"/>
  <c r="T191" i="1" s="1"/>
  <c r="S191" i="1" s="1"/>
  <c r="R191" i="1" s="1"/>
  <c r="U195" i="1"/>
  <c r="T195" i="1" s="1"/>
  <c r="S195" i="1" s="1"/>
  <c r="R195" i="1" s="1"/>
  <c r="P195" i="1" s="1"/>
  <c r="V195" i="1" s="1"/>
  <c r="F195" i="1" s="1"/>
  <c r="U221" i="1"/>
  <c r="T221" i="1" s="1"/>
  <c r="S221" i="1" s="1"/>
  <c r="R221" i="1" s="1"/>
  <c r="U231" i="1"/>
  <c r="T231" i="1" s="1"/>
  <c r="S231" i="1" s="1"/>
  <c r="R231" i="1" s="1"/>
  <c r="U233" i="1"/>
  <c r="T233" i="1" s="1"/>
  <c r="S233" i="1" s="1"/>
  <c r="R233" i="1" s="1"/>
  <c r="U249" i="1"/>
  <c r="T249" i="1" s="1"/>
  <c r="S249" i="1" s="1"/>
  <c r="R249" i="1" s="1"/>
  <c r="P249" i="1" s="1"/>
  <c r="U269" i="1"/>
  <c r="T269" i="1" s="1"/>
  <c r="S269" i="1" s="1"/>
  <c r="R269" i="1" s="1"/>
  <c r="U277" i="1"/>
  <c r="T277" i="1" s="1"/>
  <c r="S277" i="1" s="1"/>
  <c r="R277" i="1" s="1"/>
  <c r="U299" i="1"/>
  <c r="T299" i="1" s="1"/>
  <c r="S299" i="1" s="1"/>
  <c r="R299" i="1" s="1"/>
  <c r="U301" i="1"/>
  <c r="T301" i="1" s="1"/>
  <c r="S301" i="1" s="1"/>
  <c r="R301" i="1" s="1"/>
  <c r="U314" i="1"/>
  <c r="T314" i="1" s="1"/>
  <c r="S314" i="1" s="1"/>
  <c r="R314" i="1" s="1"/>
  <c r="U321" i="1"/>
  <c r="T321" i="1" s="1"/>
  <c r="S321" i="1" s="1"/>
  <c r="R321" i="1" s="1"/>
  <c r="U326" i="1"/>
  <c r="T326" i="1" s="1"/>
  <c r="S326" i="1" s="1"/>
  <c r="R326" i="1" s="1"/>
  <c r="U379" i="1"/>
  <c r="AI285" i="1"/>
  <c r="AH285" i="1" s="1"/>
  <c r="AG285" i="1" s="1"/>
  <c r="AF285" i="1" s="1"/>
  <c r="AI16" i="1"/>
  <c r="AI159" i="1"/>
  <c r="AH159" i="1" s="1"/>
  <c r="AG159" i="1" s="1"/>
  <c r="AF159" i="1" s="1"/>
  <c r="AI203" i="1"/>
  <c r="AH203" i="1" s="1"/>
  <c r="AG203" i="1" s="1"/>
  <c r="AF203" i="1" s="1"/>
  <c r="U136" i="1"/>
  <c r="T136" i="1" s="1"/>
  <c r="S136" i="1" s="1"/>
  <c r="R136" i="1" s="1"/>
  <c r="U141" i="1"/>
  <c r="T141" i="1" s="1"/>
  <c r="S141" i="1" s="1"/>
  <c r="R141" i="1" s="1"/>
  <c r="U145" i="1"/>
  <c r="T145" i="1" s="1"/>
  <c r="S145" i="1" s="1"/>
  <c r="R145" i="1" s="1"/>
  <c r="U167" i="1"/>
  <c r="T167" i="1" s="1"/>
  <c r="S167" i="1" s="1"/>
  <c r="R167" i="1" s="1"/>
  <c r="U169" i="1"/>
  <c r="T169" i="1" s="1"/>
  <c r="S169" i="1" s="1"/>
  <c r="R169" i="1" s="1"/>
  <c r="U175" i="1"/>
  <c r="T175" i="1" s="1"/>
  <c r="S175" i="1" s="1"/>
  <c r="R175" i="1" s="1"/>
  <c r="U208" i="1"/>
  <c r="T208" i="1" s="1"/>
  <c r="S208" i="1" s="1"/>
  <c r="R208" i="1" s="1"/>
  <c r="U214" i="1"/>
  <c r="T214" i="1" s="1"/>
  <c r="S214" i="1" s="1"/>
  <c r="R214" i="1" s="1"/>
  <c r="U218" i="1"/>
  <c r="T218" i="1" s="1"/>
  <c r="S218" i="1" s="1"/>
  <c r="R218" i="1" s="1"/>
  <c r="U228" i="1"/>
  <c r="T228" i="1" s="1"/>
  <c r="S228" i="1" s="1"/>
  <c r="R228" i="1" s="1"/>
  <c r="U252" i="1"/>
  <c r="T252" i="1" s="1"/>
  <c r="S252" i="1" s="1"/>
  <c r="R252" i="1" s="1"/>
  <c r="U272" i="1"/>
  <c r="T272" i="1" s="1"/>
  <c r="S272" i="1" s="1"/>
  <c r="R272" i="1" s="1"/>
  <c r="U278" i="1"/>
  <c r="T278" i="1" s="1"/>
  <c r="S278" i="1" s="1"/>
  <c r="R278" i="1" s="1"/>
  <c r="U289" i="1"/>
  <c r="T289" i="1" s="1"/>
  <c r="S289" i="1" s="1"/>
  <c r="R289" i="1" s="1"/>
  <c r="U316" i="1"/>
  <c r="T316" i="1" s="1"/>
  <c r="S316" i="1" s="1"/>
  <c r="R316" i="1" s="1"/>
  <c r="U332" i="1"/>
  <c r="T332" i="1" s="1"/>
  <c r="S332" i="1" s="1"/>
  <c r="R332" i="1" s="1"/>
  <c r="U349" i="1"/>
  <c r="T349" i="1" s="1"/>
  <c r="S349" i="1" s="1"/>
  <c r="R349" i="1" s="1"/>
  <c r="U356" i="1"/>
  <c r="T356" i="1" s="1"/>
  <c r="S356" i="1" s="1"/>
  <c r="R356" i="1" s="1"/>
  <c r="U367" i="1"/>
  <c r="T367" i="1" s="1"/>
  <c r="S367" i="1" s="1"/>
  <c r="R367" i="1" s="1"/>
  <c r="AI321" i="1"/>
  <c r="AH321" i="1" s="1"/>
  <c r="AG321" i="1" s="1"/>
  <c r="AF321" i="1" s="1"/>
  <c r="AI124" i="1"/>
  <c r="AH124" i="1" s="1"/>
  <c r="AG124" i="1" s="1"/>
  <c r="AF124" i="1" s="1"/>
  <c r="AI225" i="1"/>
  <c r="AH225" i="1" s="1"/>
  <c r="AG225" i="1" s="1"/>
  <c r="AF225" i="1" s="1"/>
  <c r="AI360" i="1"/>
  <c r="AH360" i="1" s="1"/>
  <c r="AG360" i="1" s="1"/>
  <c r="AF360" i="1" s="1"/>
  <c r="AI264" i="1"/>
  <c r="AH264" i="1" s="1"/>
  <c r="AG264" i="1" s="1"/>
  <c r="AF264" i="1" s="1"/>
  <c r="U35" i="1"/>
  <c r="T35" i="1" s="1"/>
  <c r="S35" i="1" s="1"/>
  <c r="R35" i="1" s="1"/>
  <c r="U104" i="1"/>
  <c r="T104" i="1" s="1"/>
  <c r="S104" i="1" s="1"/>
  <c r="R104" i="1" s="1"/>
  <c r="U106" i="1"/>
  <c r="T106" i="1" s="1"/>
  <c r="S106" i="1" s="1"/>
  <c r="R106" i="1" s="1"/>
  <c r="U159" i="1"/>
  <c r="T159" i="1" s="1"/>
  <c r="S159" i="1" s="1"/>
  <c r="R159" i="1" s="1"/>
  <c r="U188" i="1"/>
  <c r="T188" i="1" s="1"/>
  <c r="S188" i="1" s="1"/>
  <c r="R188" i="1" s="1"/>
  <c r="U197" i="1"/>
  <c r="T197" i="1" s="1"/>
  <c r="S197" i="1" s="1"/>
  <c r="R197" i="1" s="1"/>
  <c r="U200" i="1"/>
  <c r="T200" i="1" s="1"/>
  <c r="S200" i="1" s="1"/>
  <c r="R200" i="1" s="1"/>
  <c r="U236" i="1"/>
  <c r="T236" i="1" s="1"/>
  <c r="S236" i="1" s="1"/>
  <c r="R236" i="1" s="1"/>
  <c r="U238" i="1"/>
  <c r="T238" i="1" s="1"/>
  <c r="S238" i="1" s="1"/>
  <c r="R238" i="1" s="1"/>
  <c r="U240" i="1"/>
  <c r="T240" i="1" s="1"/>
  <c r="S240" i="1" s="1"/>
  <c r="R240" i="1" s="1"/>
  <c r="U245" i="1"/>
  <c r="T245" i="1" s="1"/>
  <c r="S245" i="1" s="1"/>
  <c r="R245" i="1" s="1"/>
  <c r="U247" i="1"/>
  <c r="T247" i="1" s="1"/>
  <c r="S247" i="1" s="1"/>
  <c r="R247" i="1" s="1"/>
  <c r="U263" i="1"/>
  <c r="T263" i="1" s="1"/>
  <c r="S263" i="1" s="1"/>
  <c r="R263" i="1" s="1"/>
  <c r="U305" i="1"/>
  <c r="T305" i="1" s="1"/>
  <c r="S305" i="1" s="1"/>
  <c r="R305" i="1" s="1"/>
  <c r="U309" i="1"/>
  <c r="T309" i="1" s="1"/>
  <c r="S309" i="1" s="1"/>
  <c r="R309" i="1" s="1"/>
  <c r="U311" i="1"/>
  <c r="T311" i="1" s="1"/>
  <c r="S311" i="1" s="1"/>
  <c r="R311" i="1" s="1"/>
  <c r="U328" i="1"/>
  <c r="T328" i="1" s="1"/>
  <c r="S328" i="1" s="1"/>
  <c r="R328" i="1" s="1"/>
  <c r="U337" i="1"/>
  <c r="T337" i="1" s="1"/>
  <c r="S337" i="1" s="1"/>
  <c r="R337" i="1" s="1"/>
  <c r="U351" i="1"/>
  <c r="T351" i="1" s="1"/>
  <c r="S351" i="1" s="1"/>
  <c r="R351" i="1" s="1"/>
  <c r="U359" i="1"/>
  <c r="T359" i="1" s="1"/>
  <c r="S359" i="1" s="1"/>
  <c r="R359" i="1" s="1"/>
  <c r="U361" i="1"/>
  <c r="T361" i="1" s="1"/>
  <c r="S361" i="1" s="1"/>
  <c r="R361" i="1" s="1"/>
  <c r="U363" i="1"/>
  <c r="T363" i="1" s="1"/>
  <c r="S363" i="1" s="1"/>
  <c r="R363" i="1" s="1"/>
  <c r="U365" i="1"/>
  <c r="T365" i="1" s="1"/>
  <c r="S365" i="1" s="1"/>
  <c r="R365" i="1" s="1"/>
  <c r="AI72" i="1"/>
  <c r="AH72" i="1" s="1"/>
  <c r="AG72" i="1" s="1"/>
  <c r="AF72" i="1" s="1"/>
  <c r="AI141" i="1"/>
  <c r="AH141" i="1" s="1"/>
  <c r="AG141" i="1" s="1"/>
  <c r="AF141" i="1" s="1"/>
  <c r="AI348" i="1"/>
  <c r="AH348" i="1" s="1"/>
  <c r="AG348" i="1" s="1"/>
  <c r="AF348" i="1" s="1"/>
  <c r="AI130" i="1"/>
  <c r="AH130" i="1" s="1"/>
  <c r="AG130" i="1" s="1"/>
  <c r="AF130" i="1" s="1"/>
  <c r="AI206" i="1"/>
  <c r="AH206" i="1" s="1"/>
  <c r="AG206" i="1" s="1"/>
  <c r="AF206" i="1" s="1"/>
  <c r="AI295" i="1"/>
  <c r="AH295" i="1" s="1"/>
  <c r="AG295" i="1" s="1"/>
  <c r="AF295" i="1" s="1"/>
  <c r="AI21" i="1"/>
  <c r="AH21" i="1" s="1"/>
  <c r="AG21" i="1" s="1"/>
  <c r="AF21" i="1" s="1"/>
  <c r="AI152" i="1"/>
  <c r="AH152" i="1" s="1"/>
  <c r="AG152" i="1" s="1"/>
  <c r="AF152" i="1" s="1"/>
  <c r="AI219" i="1"/>
  <c r="AH219" i="1" s="1"/>
  <c r="AG219" i="1" s="1"/>
  <c r="AF219" i="1" s="1"/>
  <c r="AI300" i="1"/>
  <c r="AH300" i="1" s="1"/>
  <c r="AG300" i="1" s="1"/>
  <c r="AF300" i="1" s="1"/>
  <c r="U44" i="1"/>
  <c r="T44" i="1" s="1"/>
  <c r="S44" i="1" s="1"/>
  <c r="R44" i="1" s="1"/>
  <c r="U50" i="1"/>
  <c r="T50" i="1" s="1"/>
  <c r="S50" i="1" s="1"/>
  <c r="R50" i="1" s="1"/>
  <c r="U65" i="1"/>
  <c r="T65" i="1" s="1"/>
  <c r="S65" i="1" s="1"/>
  <c r="R65" i="1" s="1"/>
  <c r="U75" i="1"/>
  <c r="T75" i="1" s="1"/>
  <c r="S75" i="1" s="1"/>
  <c r="R75" i="1" s="1"/>
  <c r="U83" i="1"/>
  <c r="T83" i="1" s="1"/>
  <c r="S83" i="1" s="1"/>
  <c r="R83" i="1" s="1"/>
  <c r="U120" i="1"/>
  <c r="T120" i="1" s="1"/>
  <c r="S120" i="1" s="1"/>
  <c r="R120" i="1" s="1"/>
  <c r="U125" i="1"/>
  <c r="T125" i="1" s="1"/>
  <c r="S125" i="1" s="1"/>
  <c r="R125" i="1" s="1"/>
  <c r="U131" i="1"/>
  <c r="T131" i="1" s="1"/>
  <c r="S131" i="1" s="1"/>
  <c r="R131" i="1" s="1"/>
  <c r="U133" i="1"/>
  <c r="T133" i="1" s="1"/>
  <c r="S133" i="1" s="1"/>
  <c r="R133" i="1" s="1"/>
  <c r="U152" i="1"/>
  <c r="T152" i="1" s="1"/>
  <c r="S152" i="1" s="1"/>
  <c r="R152" i="1" s="1"/>
  <c r="U157" i="1"/>
  <c r="T157" i="1" s="1"/>
  <c r="S157" i="1" s="1"/>
  <c r="R157" i="1" s="1"/>
  <c r="U162" i="1"/>
  <c r="T162" i="1" s="1"/>
  <c r="S162" i="1" s="1"/>
  <c r="R162" i="1" s="1"/>
  <c r="U178" i="1"/>
  <c r="T178" i="1" s="1"/>
  <c r="S178" i="1" s="1"/>
  <c r="R178" i="1" s="1"/>
  <c r="U183" i="1"/>
  <c r="T183" i="1" s="1"/>
  <c r="S183" i="1" s="1"/>
  <c r="R183" i="1" s="1"/>
  <c r="U190" i="1"/>
  <c r="T190" i="1" s="1"/>
  <c r="S190" i="1" s="1"/>
  <c r="R190" i="1" s="1"/>
  <c r="U192" i="1"/>
  <c r="T192" i="1" s="1"/>
  <c r="S192" i="1" s="1"/>
  <c r="R192" i="1" s="1"/>
  <c r="U203" i="1"/>
  <c r="T203" i="1" s="1"/>
  <c r="S203" i="1" s="1"/>
  <c r="R203" i="1" s="1"/>
  <c r="U224" i="1"/>
  <c r="T224" i="1" s="1"/>
  <c r="S224" i="1" s="1"/>
  <c r="R224" i="1" s="1"/>
  <c r="U232" i="1"/>
  <c r="T232" i="1" s="1"/>
  <c r="S232" i="1" s="1"/>
  <c r="R232" i="1" s="1"/>
  <c r="U234" i="1"/>
  <c r="T234" i="1" s="1"/>
  <c r="S234" i="1" s="1"/>
  <c r="R234" i="1" s="1"/>
  <c r="U256" i="1"/>
  <c r="T256" i="1" s="1"/>
  <c r="S256" i="1" s="1"/>
  <c r="R256" i="1" s="1"/>
  <c r="U276" i="1"/>
  <c r="T276" i="1" s="1"/>
  <c r="S276" i="1" s="1"/>
  <c r="R276" i="1" s="1"/>
  <c r="U284" i="1"/>
  <c r="T284" i="1" s="1"/>
  <c r="S284" i="1" s="1"/>
  <c r="R284" i="1" s="1"/>
  <c r="U300" i="1"/>
  <c r="T300" i="1" s="1"/>
  <c r="S300" i="1" s="1"/>
  <c r="R300" i="1" s="1"/>
  <c r="U313" i="1"/>
  <c r="T313" i="1" s="1"/>
  <c r="S313" i="1" s="1"/>
  <c r="R313" i="1" s="1"/>
  <c r="U318" i="1"/>
  <c r="T318" i="1" s="1"/>
  <c r="S318" i="1" s="1"/>
  <c r="R318" i="1" s="1"/>
  <c r="U325" i="1"/>
  <c r="T325" i="1" s="1"/>
  <c r="S325" i="1" s="1"/>
  <c r="R325" i="1" s="1"/>
  <c r="U373" i="1"/>
  <c r="T373" i="1" s="1"/>
  <c r="S373" i="1" s="1"/>
  <c r="R373" i="1" s="1"/>
  <c r="AI158" i="1"/>
  <c r="AH158" i="1" s="1"/>
  <c r="AG158" i="1" s="1"/>
  <c r="AF158" i="1" s="1"/>
  <c r="AI32" i="1"/>
  <c r="AH32" i="1" s="1"/>
  <c r="AG32" i="1" s="1"/>
  <c r="AF32" i="1" s="1"/>
  <c r="AI132" i="1"/>
  <c r="AH132" i="1" s="1"/>
  <c r="AG132" i="1" s="1"/>
  <c r="AF132" i="1" s="1"/>
  <c r="AI138" i="1"/>
  <c r="AH138" i="1" s="1"/>
  <c r="AG138" i="1" s="1"/>
  <c r="AF138" i="1" s="1"/>
  <c r="AI128" i="1"/>
  <c r="AH128" i="1" s="1"/>
  <c r="AG128" i="1" s="1"/>
  <c r="AF128" i="1" s="1"/>
  <c r="U137" i="1"/>
  <c r="T137" i="1" s="1"/>
  <c r="S137" i="1" s="1"/>
  <c r="R137" i="1" s="1"/>
  <c r="U142" i="1"/>
  <c r="T142" i="1" s="1"/>
  <c r="S142" i="1" s="1"/>
  <c r="R142" i="1" s="1"/>
  <c r="U146" i="1"/>
  <c r="T146" i="1" s="1"/>
  <c r="S146" i="1" s="1"/>
  <c r="R146" i="1" s="1"/>
  <c r="U168" i="1"/>
  <c r="T168" i="1" s="1"/>
  <c r="S168" i="1" s="1"/>
  <c r="R168" i="1" s="1"/>
  <c r="U174" i="1"/>
  <c r="T174" i="1" s="1"/>
  <c r="S174" i="1" s="1"/>
  <c r="R174" i="1" s="1"/>
  <c r="U204" i="1"/>
  <c r="T204" i="1" s="1"/>
  <c r="S204" i="1" s="1"/>
  <c r="R204" i="1" s="1"/>
  <c r="U213" i="1"/>
  <c r="T213" i="1" s="1"/>
  <c r="S213" i="1" s="1"/>
  <c r="R213" i="1" s="1"/>
  <c r="U217" i="1"/>
  <c r="T217" i="1" s="1"/>
  <c r="S217" i="1" s="1"/>
  <c r="R217" i="1" s="1"/>
  <c r="P217" i="1" s="1"/>
  <c r="V217" i="1" s="1"/>
  <c r="F217" i="1" s="1"/>
  <c r="I217" i="1" s="1"/>
  <c r="U219" i="1"/>
  <c r="T219" i="1" s="1"/>
  <c r="S219" i="1" s="1"/>
  <c r="R219" i="1" s="1"/>
  <c r="U229" i="1"/>
  <c r="T229" i="1" s="1"/>
  <c r="S229" i="1" s="1"/>
  <c r="R229" i="1" s="1"/>
  <c r="U271" i="1"/>
  <c r="T271" i="1" s="1"/>
  <c r="S271" i="1" s="1"/>
  <c r="R271" i="1" s="1"/>
  <c r="U275" i="1"/>
  <c r="T275" i="1" s="1"/>
  <c r="S275" i="1" s="1"/>
  <c r="R275" i="1" s="1"/>
  <c r="U280" i="1"/>
  <c r="T280" i="1" s="1"/>
  <c r="S280" i="1" s="1"/>
  <c r="R280" i="1" s="1"/>
  <c r="U290" i="1"/>
  <c r="T290" i="1" s="1"/>
  <c r="S290" i="1" s="1"/>
  <c r="R290" i="1" s="1"/>
  <c r="U331" i="1"/>
  <c r="T331" i="1" s="1"/>
  <c r="S331" i="1" s="1"/>
  <c r="R331" i="1" s="1"/>
  <c r="U335" i="1"/>
  <c r="T335" i="1" s="1"/>
  <c r="S335" i="1" s="1"/>
  <c r="R335" i="1" s="1"/>
  <c r="U355" i="1"/>
  <c r="T355" i="1" s="1"/>
  <c r="S355" i="1" s="1"/>
  <c r="R355" i="1" s="1"/>
  <c r="U357" i="1"/>
  <c r="T357" i="1" s="1"/>
  <c r="S357" i="1" s="1"/>
  <c r="R357" i="1" s="1"/>
  <c r="U368" i="1"/>
  <c r="T368" i="1" s="1"/>
  <c r="S368" i="1" s="1"/>
  <c r="R368" i="1" s="1"/>
  <c r="AI229" i="1"/>
  <c r="U16" i="1"/>
  <c r="AI171" i="1"/>
  <c r="AH171" i="1" s="1"/>
  <c r="AG171" i="1" s="1"/>
  <c r="AF171" i="1" s="1"/>
  <c r="AI192" i="1"/>
  <c r="AH192" i="1" s="1"/>
  <c r="AG192" i="1" s="1"/>
  <c r="AF192" i="1" s="1"/>
  <c r="AI172" i="1"/>
  <c r="AH172" i="1" s="1"/>
  <c r="AG172" i="1" s="1"/>
  <c r="AF172" i="1" s="1"/>
  <c r="U38" i="1"/>
  <c r="T38" i="1" s="1"/>
  <c r="S38" i="1" s="1"/>
  <c r="R38" i="1" s="1"/>
  <c r="U105" i="1"/>
  <c r="T105" i="1" s="1"/>
  <c r="S105" i="1" s="1"/>
  <c r="R105" i="1" s="1"/>
  <c r="U154" i="1"/>
  <c r="U181" i="1"/>
  <c r="T181" i="1" s="1"/>
  <c r="S181" i="1" s="1"/>
  <c r="R181" i="1" s="1"/>
  <c r="U189" i="1"/>
  <c r="T189" i="1" s="1"/>
  <c r="U199" i="1"/>
  <c r="T199" i="1" s="1"/>
  <c r="S199" i="1" s="1"/>
  <c r="R199" i="1" s="1"/>
  <c r="U201" i="1"/>
  <c r="T201" i="1" s="1"/>
  <c r="S201" i="1" s="1"/>
  <c r="R201" i="1" s="1"/>
  <c r="U237" i="1"/>
  <c r="T237" i="1" s="1"/>
  <c r="S237" i="1" s="1"/>
  <c r="R237" i="1" s="1"/>
  <c r="U239" i="1"/>
  <c r="U244" i="1"/>
  <c r="T244" i="1" s="1"/>
  <c r="S244" i="1" s="1"/>
  <c r="R244" i="1" s="1"/>
  <c r="U246" i="1"/>
  <c r="T246" i="1" s="1"/>
  <c r="S246" i="1" s="1"/>
  <c r="R246" i="1" s="1"/>
  <c r="U262" i="1"/>
  <c r="U264" i="1"/>
  <c r="T264" i="1" s="1"/>
  <c r="S264" i="1" s="1"/>
  <c r="R264" i="1" s="1"/>
  <c r="P264" i="1" s="1"/>
  <c r="U306" i="1"/>
  <c r="T306" i="1" s="1"/>
  <c r="S306" i="1" s="1"/>
  <c r="R306" i="1" s="1"/>
  <c r="U310" i="1"/>
  <c r="T310" i="1" s="1"/>
  <c r="S310" i="1" s="1"/>
  <c r="R310" i="1" s="1"/>
  <c r="U327" i="1"/>
  <c r="T327" i="1" s="1"/>
  <c r="S327" i="1" s="1"/>
  <c r="R327" i="1" s="1"/>
  <c r="U329" i="1"/>
  <c r="T329" i="1" s="1"/>
  <c r="S329" i="1" s="1"/>
  <c r="R329" i="1" s="1"/>
  <c r="U340" i="1"/>
  <c r="T340" i="1" s="1"/>
  <c r="S340" i="1" s="1"/>
  <c r="R340" i="1" s="1"/>
  <c r="U353" i="1"/>
  <c r="T353" i="1" s="1"/>
  <c r="S353" i="1" s="1"/>
  <c r="R353" i="1" s="1"/>
  <c r="U360" i="1"/>
  <c r="T360" i="1" s="1"/>
  <c r="S360" i="1" s="1"/>
  <c r="R360" i="1" s="1"/>
  <c r="U362" i="1"/>
  <c r="T362" i="1" s="1"/>
  <c r="S362" i="1" s="1"/>
  <c r="R362" i="1" s="1"/>
  <c r="U364" i="1"/>
  <c r="T364" i="1" s="1"/>
  <c r="S364" i="1" s="1"/>
  <c r="R364" i="1" s="1"/>
  <c r="P183" i="1"/>
  <c r="V183" i="1" s="1"/>
  <c r="AD266" i="1"/>
  <c r="P286" i="1"/>
  <c r="V286" i="1" s="1"/>
  <c r="F286" i="1" s="1"/>
  <c r="AD187" i="1"/>
  <c r="AD129" i="1"/>
  <c r="P111" i="1"/>
  <c r="V111" i="1" s="1"/>
  <c r="P261" i="1"/>
  <c r="V261" i="1" s="1"/>
  <c r="F261" i="1" s="1"/>
  <c r="O11" i="20"/>
  <c r="AY48" i="6"/>
  <c r="AY51" i="6"/>
  <c r="AY42" i="6"/>
  <c r="AY47" i="6"/>
  <c r="AX38" i="6"/>
  <c r="AX44" i="6"/>
  <c r="AX77" i="6"/>
  <c r="AX65" i="6"/>
  <c r="AD230" i="1"/>
  <c r="P164" i="1"/>
  <c r="V164" i="1" s="1"/>
  <c r="AD67" i="1"/>
  <c r="AD215" i="1"/>
  <c r="AT145" i="6"/>
  <c r="AT134" i="6"/>
  <c r="AT155" i="6"/>
  <c r="AT139" i="6"/>
  <c r="AT148" i="6"/>
  <c r="AT158" i="6"/>
  <c r="AT160" i="6"/>
  <c r="AD110" i="1"/>
  <c r="AT146" i="6"/>
  <c r="AT268" i="6"/>
  <c r="AT266" i="6"/>
  <c r="AT262" i="6"/>
  <c r="AT154" i="6"/>
  <c r="AT151" i="6"/>
  <c r="AT161" i="6"/>
  <c r="AT147" i="6"/>
  <c r="P172" i="1"/>
  <c r="V172" i="1" s="1"/>
  <c r="F172" i="1" s="1"/>
  <c r="G172" i="1" s="1"/>
  <c r="BW172" i="6" s="1"/>
  <c r="AT156" i="6"/>
  <c r="AT136" i="6"/>
  <c r="AT141" i="6"/>
  <c r="J356" i="6"/>
  <c r="J353" i="6"/>
  <c r="J347" i="6"/>
  <c r="J346" i="6"/>
  <c r="P346" i="1" s="1"/>
  <c r="AT356" i="6"/>
  <c r="AT333" i="6"/>
  <c r="AT350" i="6"/>
  <c r="AT342" i="6"/>
  <c r="AT336" i="6"/>
  <c r="AT332" i="6"/>
  <c r="P358" i="1"/>
  <c r="V358" i="1" s="1"/>
  <c r="F358" i="1" s="1"/>
  <c r="P129" i="1"/>
  <c r="V129" i="1" s="1"/>
  <c r="J345" i="6"/>
  <c r="J344" i="6"/>
  <c r="J348" i="6"/>
  <c r="AT371" i="6"/>
  <c r="AT363" i="6"/>
  <c r="AT373" i="6"/>
  <c r="P369" i="1"/>
  <c r="V369" i="1" s="1"/>
  <c r="F369" i="1" s="1"/>
  <c r="G369" i="1" s="1"/>
  <c r="BW369" i="6" s="1"/>
  <c r="P114" i="1"/>
  <c r="V114" i="1" s="1"/>
  <c r="P212" i="1"/>
  <c r="V212" i="1" s="1"/>
  <c r="F212" i="1" s="1"/>
  <c r="P115" i="1"/>
  <c r="V115" i="1" s="1"/>
  <c r="AD180" i="1"/>
  <c r="P234" i="1"/>
  <c r="V234" i="1" s="1"/>
  <c r="F234" i="1" s="1"/>
  <c r="G234" i="1" s="1"/>
  <c r="BW234" i="6" s="1"/>
  <c r="AY45" i="6"/>
  <c r="AY40" i="6"/>
  <c r="AY56" i="6"/>
  <c r="AD176" i="1"/>
  <c r="C35" i="7"/>
  <c r="E119" i="15"/>
  <c r="E210" i="15"/>
  <c r="C38" i="7"/>
  <c r="E88" i="15"/>
  <c r="C34" i="7"/>
  <c r="C32" i="7"/>
  <c r="E29" i="15"/>
  <c r="E15" i="15"/>
  <c r="C36" i="7"/>
  <c r="E149" i="15"/>
  <c r="E60" i="15"/>
  <c r="C33" i="7"/>
  <c r="C37" i="7"/>
  <c r="E180" i="15"/>
  <c r="Q55" i="6"/>
  <c r="Q40" i="6"/>
  <c r="AT114" i="6" s="1"/>
  <c r="AV13" i="6"/>
  <c r="AW15" i="6"/>
  <c r="AW12" i="6" s="1"/>
  <c r="AU13" i="6"/>
  <c r="W25" i="6"/>
  <c r="J153" i="6" s="1"/>
  <c r="AX39" i="6"/>
  <c r="AX78" i="6"/>
  <c r="AT137" i="6"/>
  <c r="AT144" i="6"/>
  <c r="AT142" i="6"/>
  <c r="M39" i="6"/>
  <c r="M38" i="6" s="1"/>
  <c r="M40" i="6" s="1"/>
  <c r="AT249" i="6"/>
  <c r="AT259" i="6"/>
  <c r="AT267" i="6"/>
  <c r="AT264" i="6"/>
  <c r="AT247" i="6"/>
  <c r="AT270" i="6"/>
  <c r="AT273" i="6"/>
  <c r="AT375" i="6"/>
  <c r="AT345" i="6"/>
  <c r="AT380" i="6"/>
  <c r="AT337" i="6"/>
  <c r="AT376" i="6"/>
  <c r="AT378" i="6"/>
  <c r="AT367" i="6"/>
  <c r="AT340" i="6"/>
  <c r="AT368" i="6"/>
  <c r="AX228" i="6"/>
  <c r="AX251" i="6"/>
  <c r="AX215" i="6"/>
  <c r="AX216" i="6"/>
  <c r="AX243" i="6"/>
  <c r="AX212" i="6"/>
  <c r="AX214" i="6"/>
  <c r="AX211" i="6"/>
  <c r="AX313" i="6"/>
  <c r="AX276" i="6"/>
  <c r="AX309" i="6"/>
  <c r="AX295" i="6"/>
  <c r="AX300" i="6"/>
  <c r="AX93" i="6"/>
  <c r="AX149" i="6"/>
  <c r="AX135" i="6"/>
  <c r="AX16" i="6"/>
  <c r="AX20" i="6"/>
  <c r="AX183" i="6"/>
  <c r="AX136" i="6"/>
  <c r="AX159" i="6"/>
  <c r="AX104" i="6"/>
  <c r="AX108" i="6"/>
  <c r="AX284" i="6"/>
  <c r="AX307" i="6"/>
  <c r="AX264" i="6"/>
  <c r="AX304" i="6"/>
  <c r="AX17" i="6"/>
  <c r="AX181" i="6"/>
  <c r="AX22" i="6"/>
  <c r="AX142" i="6"/>
  <c r="AX118" i="6"/>
  <c r="AX138" i="6"/>
  <c r="AX195" i="6"/>
  <c r="AX150" i="6"/>
  <c r="AX167" i="6"/>
  <c r="AX126" i="6"/>
  <c r="AX315" i="6"/>
  <c r="AX265" i="6"/>
  <c r="AX299" i="6"/>
  <c r="AX288" i="6"/>
  <c r="AX263" i="6"/>
  <c r="AX280" i="6"/>
  <c r="AX107" i="6"/>
  <c r="AX185" i="6"/>
  <c r="AX30" i="6"/>
  <c r="AX157" i="6"/>
  <c r="AX187" i="6"/>
  <c r="AX98" i="6"/>
  <c r="AX144" i="6"/>
  <c r="AX248" i="6"/>
  <c r="AX247" i="6"/>
  <c r="AX204" i="6"/>
  <c r="T54" i="6"/>
  <c r="T53" i="6" s="1"/>
  <c r="AX219" i="6"/>
  <c r="AT159" i="6"/>
  <c r="AT143" i="6"/>
  <c r="AT153" i="6"/>
  <c r="AT157" i="6"/>
  <c r="AT152" i="6"/>
  <c r="AT138" i="6"/>
  <c r="V54" i="6"/>
  <c r="V53" i="6" s="1"/>
  <c r="S25" i="6"/>
  <c r="AT150" i="6"/>
  <c r="AX61" i="6"/>
  <c r="AX41" i="6"/>
  <c r="AY41" i="6" s="1"/>
  <c r="AT140" i="6"/>
  <c r="AT135" i="6"/>
  <c r="AT149" i="6"/>
  <c r="AD191" i="1"/>
  <c r="P202" i="1"/>
  <c r="V202" i="1" s="1"/>
  <c r="F202" i="1" s="1"/>
  <c r="AD202" i="1"/>
  <c r="AD209" i="1"/>
  <c r="P253" i="1"/>
  <c r="V253" i="1" s="1"/>
  <c r="F253" i="1" s="1"/>
  <c r="P270" i="1"/>
  <c r="AD246" i="1"/>
  <c r="P292" i="1"/>
  <c r="V292" i="1" s="1"/>
  <c r="F292" i="1" s="1"/>
  <c r="P117" i="1"/>
  <c r="V117" i="1" s="1"/>
  <c r="AD288" i="1"/>
  <c r="AD251" i="1"/>
  <c r="AD214" i="1"/>
  <c r="P167" i="1"/>
  <c r="V167" i="1" s="1"/>
  <c r="O40" i="6"/>
  <c r="AT58" i="6" s="1"/>
  <c r="AS21" i="6"/>
  <c r="S55" i="6"/>
  <c r="W55" i="6"/>
  <c r="P55" i="6"/>
  <c r="AY82" i="6" s="1"/>
  <c r="AX229" i="6"/>
  <c r="AX255" i="6"/>
  <c r="AX217" i="6"/>
  <c r="AX223" i="6"/>
  <c r="AX269" i="6"/>
  <c r="AX282" i="6"/>
  <c r="AX296" i="6"/>
  <c r="AX291" i="6"/>
  <c r="AX290" i="6"/>
  <c r="AX158" i="6"/>
  <c r="AX94" i="6"/>
  <c r="AX192" i="6"/>
  <c r="AX131" i="6"/>
  <c r="AX283" i="6"/>
  <c r="AX262" i="6"/>
  <c r="AX273" i="6"/>
  <c r="AX294" i="6"/>
  <c r="AX123" i="6"/>
  <c r="AX18" i="6"/>
  <c r="AX119" i="6"/>
  <c r="AX112" i="6"/>
  <c r="AX179" i="6"/>
  <c r="AX278" i="6"/>
  <c r="AX277" i="6"/>
  <c r="AX297" i="6"/>
  <c r="AX312" i="6"/>
  <c r="AX314" i="6"/>
  <c r="AX302" i="6"/>
  <c r="AX292" i="6"/>
  <c r="AX261" i="6"/>
  <c r="AX293" i="6"/>
  <c r="AX305" i="6"/>
  <c r="AX311" i="6"/>
  <c r="AX132" i="6"/>
  <c r="AX190" i="6"/>
  <c r="AX171" i="6"/>
  <c r="AX172" i="6"/>
  <c r="AX182" i="6"/>
  <c r="AX114" i="6"/>
  <c r="AX186" i="6"/>
  <c r="AX160" i="6"/>
  <c r="AX155" i="6"/>
  <c r="AX19" i="6"/>
  <c r="AX173" i="6"/>
  <c r="AX188" i="6"/>
  <c r="AX148" i="6"/>
  <c r="AX189" i="6"/>
  <c r="AX127" i="6"/>
  <c r="AX201" i="6"/>
  <c r="AX174" i="6"/>
  <c r="AX162" i="6"/>
  <c r="AX116" i="6"/>
  <c r="AX145" i="6"/>
  <c r="AX156" i="6"/>
  <c r="AX15" i="6"/>
  <c r="AX26" i="6"/>
  <c r="AX28" i="6"/>
  <c r="AX34" i="6"/>
  <c r="AX129" i="6"/>
  <c r="AX153" i="6"/>
  <c r="AX110" i="6"/>
  <c r="AX124" i="6"/>
  <c r="AX146" i="6"/>
  <c r="AX117" i="6"/>
  <c r="AX95" i="6"/>
  <c r="AX97" i="6"/>
  <c r="AX106" i="6"/>
  <c r="AX128" i="6"/>
  <c r="AX257" i="6"/>
  <c r="AX245" i="6"/>
  <c r="AX246" i="6"/>
  <c r="AX205" i="6"/>
  <c r="AX252" i="6"/>
  <c r="AX227" i="6"/>
  <c r="AX239" i="6"/>
  <c r="M54" i="6"/>
  <c r="M53" i="6" s="1"/>
  <c r="U40" i="6"/>
  <c r="AT204" i="6" s="1"/>
  <c r="AS272" i="6"/>
  <c r="AT272" i="6" s="1"/>
  <c r="AS246" i="6"/>
  <c r="AT246" i="6" s="1"/>
  <c r="AS194" i="6"/>
  <c r="AS240" i="6"/>
  <c r="AS265" i="6"/>
  <c r="AT265" i="6" s="1"/>
  <c r="AS286" i="6"/>
  <c r="AS287" i="6"/>
  <c r="AS260" i="6"/>
  <c r="AT260" i="6" s="1"/>
  <c r="AS251" i="6"/>
  <c r="AT251" i="6" s="1"/>
  <c r="AS195" i="6"/>
  <c r="AS209" i="6"/>
  <c r="AS230" i="6"/>
  <c r="AS302" i="6"/>
  <c r="AS361" i="6"/>
  <c r="AT361" i="6" s="1"/>
  <c r="AS327" i="6"/>
  <c r="AS303" i="6"/>
  <c r="AS351" i="6"/>
  <c r="AT351" i="6" s="1"/>
  <c r="AS366" i="6"/>
  <c r="AT366" i="6" s="1"/>
  <c r="AS308" i="6"/>
  <c r="AS306" i="6"/>
  <c r="AS374" i="6"/>
  <c r="AT374" i="6" s="1"/>
  <c r="AS305" i="6"/>
  <c r="AS344" i="6"/>
  <c r="AT344" i="6" s="1"/>
  <c r="AS348" i="6"/>
  <c r="AT348" i="6" s="1"/>
  <c r="AX238" i="6"/>
  <c r="AX259" i="6"/>
  <c r="AX270" i="6"/>
  <c r="AX289" i="6"/>
  <c r="AX168" i="6"/>
  <c r="AX161" i="6"/>
  <c r="AX31" i="6"/>
  <c r="AX178" i="6"/>
  <c r="AX180" i="6"/>
  <c r="AX130" i="6"/>
  <c r="AX301" i="6"/>
  <c r="AX308" i="6"/>
  <c r="AX287" i="6"/>
  <c r="AX274" i="6"/>
  <c r="AX306" i="6"/>
  <c r="AX268" i="6"/>
  <c r="AX303" i="6"/>
  <c r="AX164" i="6"/>
  <c r="AX196" i="6"/>
  <c r="AX21" i="6"/>
  <c r="AX184" i="6"/>
  <c r="AX163" i="6"/>
  <c r="AX134" i="6"/>
  <c r="AX152" i="6"/>
  <c r="AX24" i="6"/>
  <c r="AX27" i="6"/>
  <c r="AX29" i="6"/>
  <c r="AX35" i="6"/>
  <c r="AX115" i="6"/>
  <c r="AX133" i="6"/>
  <c r="AX165" i="6"/>
  <c r="AX175" i="6"/>
  <c r="AX96" i="6"/>
  <c r="AX99" i="6"/>
  <c r="AX121" i="6"/>
  <c r="AX242" i="6"/>
  <c r="AX240" i="6"/>
  <c r="N25" i="6"/>
  <c r="J16" i="6" s="1"/>
  <c r="AY52" i="6"/>
  <c r="AY50" i="6"/>
  <c r="AY55" i="6"/>
  <c r="AS17" i="6"/>
  <c r="J39" i="6"/>
  <c r="J60" i="6"/>
  <c r="J40" i="6"/>
  <c r="J47" i="6"/>
  <c r="J52" i="6"/>
  <c r="AS258" i="6"/>
  <c r="AT258" i="6" s="1"/>
  <c r="AS224" i="6"/>
  <c r="AS238" i="6"/>
  <c r="AY62" i="6"/>
  <c r="AY60" i="6"/>
  <c r="J43" i="6"/>
  <c r="J48" i="6"/>
  <c r="J36" i="6"/>
  <c r="J51" i="6"/>
  <c r="P51" i="1" s="1"/>
  <c r="V51" i="1" s="1"/>
  <c r="AX334" i="6"/>
  <c r="AX359" i="6"/>
  <c r="AX325" i="6"/>
  <c r="AX348" i="6"/>
  <c r="AX327" i="6"/>
  <c r="AX371" i="6"/>
  <c r="AX336" i="6"/>
  <c r="AX366" i="6"/>
  <c r="AX351" i="6"/>
  <c r="AX333" i="6"/>
  <c r="AX358" i="6"/>
  <c r="AX344" i="6"/>
  <c r="AX357" i="6"/>
  <c r="AX375" i="6"/>
  <c r="AX379" i="6"/>
  <c r="I12" i="6"/>
  <c r="I13" i="6"/>
  <c r="AX36" i="6"/>
  <c r="AW13" i="6"/>
  <c r="AS19" i="6"/>
  <c r="J318" i="6"/>
  <c r="J329" i="6"/>
  <c r="AD361" i="1"/>
  <c r="J320" i="6"/>
  <c r="J323" i="6"/>
  <c r="AD312" i="1"/>
  <c r="AY63" i="6"/>
  <c r="AY37" i="6"/>
  <c r="AY39" i="6"/>
  <c r="AY59" i="6"/>
  <c r="AS291" i="6"/>
  <c r="AS296" i="6"/>
  <c r="AS269" i="6"/>
  <c r="AT269" i="6" s="1"/>
  <c r="AS299" i="6"/>
  <c r="AS276" i="6"/>
  <c r="AS255" i="6"/>
  <c r="AT255" i="6" s="1"/>
  <c r="AS243" i="6"/>
  <c r="AS213" i="6"/>
  <c r="AS231" i="6"/>
  <c r="AS196" i="6"/>
  <c r="AS225" i="6"/>
  <c r="AS370" i="6"/>
  <c r="AT370" i="6" s="1"/>
  <c r="AS364" i="6"/>
  <c r="AT364" i="6" s="1"/>
  <c r="AS335" i="6"/>
  <c r="AT335" i="6" s="1"/>
  <c r="AS359" i="6"/>
  <c r="AT359" i="6" s="1"/>
  <c r="AS372" i="6"/>
  <c r="AT372" i="6" s="1"/>
  <c r="AS352" i="6"/>
  <c r="AT352" i="6" s="1"/>
  <c r="AS329" i="6"/>
  <c r="AS343" i="6"/>
  <c r="AT343" i="6" s="1"/>
  <c r="AS315" i="6"/>
  <c r="AS369" i="6"/>
  <c r="AT369" i="6" s="1"/>
  <c r="AS349" i="6"/>
  <c r="AT349" i="6" s="1"/>
  <c r="AS326" i="6"/>
  <c r="AS325" i="6"/>
  <c r="X39" i="6"/>
  <c r="X38" i="6" s="1"/>
  <c r="X40" i="6" s="1"/>
  <c r="J335" i="6"/>
  <c r="J321" i="6"/>
  <c r="J325" i="6"/>
  <c r="J354" i="6"/>
  <c r="J337" i="6"/>
  <c r="J334" i="6"/>
  <c r="J332" i="6"/>
  <c r="J336" i="6"/>
  <c r="J352" i="6"/>
  <c r="J349" i="6"/>
  <c r="J322" i="6"/>
  <c r="J357" i="6"/>
  <c r="J330" i="6"/>
  <c r="J50" i="6"/>
  <c r="J44" i="6"/>
  <c r="J54" i="6"/>
  <c r="J46" i="6"/>
  <c r="J62" i="6"/>
  <c r="AX353" i="6"/>
  <c r="AX322" i="6"/>
  <c r="AX326" i="6"/>
  <c r="AX321" i="6"/>
  <c r="AX347" i="6"/>
  <c r="AX323" i="6"/>
  <c r="AX368" i="6"/>
  <c r="AX370" i="6"/>
  <c r="Y54" i="6"/>
  <c r="Y53" i="6" s="1"/>
  <c r="Y55" i="6" s="1"/>
  <c r="AY57" i="6"/>
  <c r="AY58" i="6"/>
  <c r="AR15" i="6"/>
  <c r="AP13" i="6"/>
  <c r="AP12" i="6"/>
  <c r="AQ12" i="6"/>
  <c r="AQ13" i="6"/>
  <c r="AS20" i="6"/>
  <c r="AS18" i="6"/>
  <c r="J333" i="6"/>
  <c r="J343" i="6"/>
  <c r="AD366" i="1"/>
  <c r="J324" i="6"/>
  <c r="J338" i="6"/>
  <c r="J328" i="6"/>
  <c r="J326" i="6"/>
  <c r="J63" i="6"/>
  <c r="J61" i="6"/>
  <c r="J45" i="6"/>
  <c r="J57" i="6"/>
  <c r="J56" i="6"/>
  <c r="J53" i="6"/>
  <c r="J38" i="6"/>
  <c r="J42" i="6"/>
  <c r="AY43" i="6"/>
  <c r="AY49" i="6"/>
  <c r="AY53" i="6"/>
  <c r="AY38" i="6"/>
  <c r="AY61" i="6"/>
  <c r="AY44" i="6"/>
  <c r="AY54" i="6"/>
  <c r="AY46" i="6"/>
  <c r="AS250" i="6"/>
  <c r="AT250" i="6" s="1"/>
  <c r="AS279" i="6"/>
  <c r="AS261" i="6"/>
  <c r="AT261" i="6" s="1"/>
  <c r="AS257" i="6"/>
  <c r="AT257" i="6" s="1"/>
  <c r="AS295" i="6"/>
  <c r="AS290" i="6"/>
  <c r="AS253" i="6"/>
  <c r="AT253" i="6" s="1"/>
  <c r="AS294" i="6"/>
  <c r="AS300" i="6"/>
  <c r="AS277" i="6"/>
  <c r="AS284" i="6"/>
  <c r="AS252" i="6"/>
  <c r="AT252" i="6" s="1"/>
  <c r="AS297" i="6"/>
  <c r="AS237" i="6"/>
  <c r="AS197" i="6"/>
  <c r="AS228" i="6"/>
  <c r="AS214" i="6"/>
  <c r="AS191" i="6"/>
  <c r="AS289" i="6"/>
  <c r="AS288" i="6"/>
  <c r="AS278" i="6"/>
  <c r="AS285" i="6"/>
  <c r="AS293" i="6"/>
  <c r="AS248" i="6"/>
  <c r="AT248" i="6" s="1"/>
  <c r="AS283" i="6"/>
  <c r="AS263" i="6"/>
  <c r="AT263" i="6" s="1"/>
  <c r="AS301" i="6"/>
  <c r="AS256" i="6"/>
  <c r="AT256" i="6" s="1"/>
  <c r="AS271" i="6"/>
  <c r="AT271" i="6" s="1"/>
  <c r="AS254" i="6"/>
  <c r="AT254" i="6" s="1"/>
  <c r="AS275" i="6"/>
  <c r="AS282" i="6"/>
  <c r="AS201" i="6"/>
  <c r="AS239" i="6"/>
  <c r="AS241" i="6"/>
  <c r="AS203" i="6"/>
  <c r="AS234" i="6"/>
  <c r="AS215" i="6"/>
  <c r="AS205" i="6"/>
  <c r="AS223" i="6"/>
  <c r="AS221" i="6"/>
  <c r="AS206" i="6"/>
  <c r="AS317" i="6"/>
  <c r="AS316" i="6"/>
  <c r="AS310" i="6"/>
  <c r="AS334" i="6"/>
  <c r="AT334" i="6" s="1"/>
  <c r="AS339" i="6"/>
  <c r="AT339" i="6" s="1"/>
  <c r="AS307" i="6"/>
  <c r="AS219" i="6"/>
  <c r="AS242" i="6"/>
  <c r="AS324" i="6"/>
  <c r="AS309" i="6"/>
  <c r="AS360" i="6"/>
  <c r="AT360" i="6" s="1"/>
  <c r="AS357" i="6"/>
  <c r="AT357" i="6" s="1"/>
  <c r="AS362" i="6"/>
  <c r="AT362" i="6" s="1"/>
  <c r="AS341" i="6"/>
  <c r="AT341" i="6" s="1"/>
  <c r="AS365" i="6"/>
  <c r="AT365" i="6" s="1"/>
  <c r="AS346" i="6"/>
  <c r="AT346" i="6" s="1"/>
  <c r="AS323" i="6"/>
  <c r="AS377" i="6"/>
  <c r="AT377" i="6" s="1"/>
  <c r="AS313" i="6"/>
  <c r="AS328" i="6"/>
  <c r="AS347" i="6"/>
  <c r="AT347" i="6" s="1"/>
  <c r="AS355" i="6"/>
  <c r="AT355" i="6" s="1"/>
  <c r="AS379" i="6"/>
  <c r="AT379" i="6" s="1"/>
  <c r="AS358" i="6"/>
  <c r="AT358" i="6" s="1"/>
  <c r="AS354" i="6"/>
  <c r="AT354" i="6" s="1"/>
  <c r="AS330" i="6"/>
  <c r="AT330" i="6" s="1"/>
  <c r="AS353" i="6"/>
  <c r="AT353" i="6" s="1"/>
  <c r="AS331" i="6"/>
  <c r="AT331" i="6" s="1"/>
  <c r="AS338" i="6"/>
  <c r="AT338" i="6" s="1"/>
  <c r="AS311" i="6"/>
  <c r="J342" i="6"/>
  <c r="J317" i="6"/>
  <c r="J341" i="6"/>
  <c r="J316" i="6"/>
  <c r="AD370" i="1"/>
  <c r="J350" i="6"/>
  <c r="J331" i="6"/>
  <c r="J340" i="6"/>
  <c r="AD368" i="1"/>
  <c r="J327" i="6"/>
  <c r="AD302" i="1"/>
  <c r="J339" i="6"/>
  <c r="P291" i="1"/>
  <c r="V291" i="1" s="1"/>
  <c r="J319" i="6"/>
  <c r="J351" i="6"/>
  <c r="J37" i="6"/>
  <c r="J49" i="6"/>
  <c r="J55" i="6"/>
  <c r="J41" i="6"/>
  <c r="J58" i="6"/>
  <c r="J59" i="6"/>
  <c r="AX361" i="6"/>
  <c r="AX349" i="6"/>
  <c r="AX365" i="6"/>
  <c r="AX338" i="6"/>
  <c r="AX343" i="6"/>
  <c r="AX363" i="6"/>
  <c r="AX350" i="6"/>
  <c r="AX356" i="6"/>
  <c r="AX320" i="6"/>
  <c r="AX346" i="6"/>
  <c r="AX352" i="6"/>
  <c r="AX367" i="6"/>
  <c r="AX324" i="6"/>
  <c r="AX331" i="6"/>
  <c r="AX341" i="6"/>
  <c r="AX328" i="6"/>
  <c r="AX329" i="6"/>
  <c r="AX335" i="6"/>
  <c r="AX332" i="6"/>
  <c r="AX340" i="6"/>
  <c r="AX362" i="6"/>
  <c r="AX345" i="6"/>
  <c r="AX369" i="6"/>
  <c r="AX330" i="6"/>
  <c r="AX319" i="6"/>
  <c r="AX378" i="6"/>
  <c r="AX380" i="6"/>
  <c r="AX377" i="6"/>
  <c r="AX372" i="6"/>
  <c r="AX374" i="6"/>
  <c r="AX316" i="6"/>
  <c r="AD305" i="1" l="1"/>
  <c r="P278" i="1"/>
  <c r="V278" i="1" s="1"/>
  <c r="F278" i="1" s="1"/>
  <c r="G278" i="1" s="1"/>
  <c r="BW278" i="6" s="1"/>
  <c r="AD48" i="1"/>
  <c r="AD198" i="1"/>
  <c r="AD315" i="1"/>
  <c r="P265" i="1"/>
  <c r="V265" i="1" s="1"/>
  <c r="F265" i="1" s="1"/>
  <c r="I265" i="1" s="1"/>
  <c r="AD173" i="1"/>
  <c r="P174" i="1"/>
  <c r="V174" i="1" s="1"/>
  <c r="AD300" i="1"/>
  <c r="AD204" i="1"/>
  <c r="P108" i="1"/>
  <c r="V108" i="1" s="1"/>
  <c r="AD285" i="1"/>
  <c r="AD255" i="1"/>
  <c r="AD213" i="1"/>
  <c r="P194" i="1"/>
  <c r="V194" i="1" s="1"/>
  <c r="F194" i="1" s="1"/>
  <c r="P263" i="1"/>
  <c r="V263" i="1" s="1"/>
  <c r="F263" i="1" s="1"/>
  <c r="AD66" i="1"/>
  <c r="AD75" i="1"/>
  <c r="AD117" i="1"/>
  <c r="P126" i="1"/>
  <c r="V126" i="1" s="1"/>
  <c r="AD122" i="1"/>
  <c r="AD124" i="1"/>
  <c r="AD193" i="1"/>
  <c r="P73" i="1"/>
  <c r="V73" i="1" s="1"/>
  <c r="P113" i="1"/>
  <c r="V113" i="1" s="1"/>
  <c r="AD301" i="1"/>
  <c r="P360" i="1"/>
  <c r="AD252" i="1"/>
  <c r="AD216" i="1"/>
  <c r="AD290" i="1"/>
  <c r="P211" i="1"/>
  <c r="V211" i="1" s="1"/>
  <c r="F211" i="1" s="1"/>
  <c r="I211" i="1" s="1"/>
  <c r="P273" i="1"/>
  <c r="V273" i="1" s="1"/>
  <c r="F273" i="1" s="1"/>
  <c r="P198" i="1"/>
  <c r="V198" i="1" s="1"/>
  <c r="F198" i="1" s="1"/>
  <c r="G198" i="1" s="1"/>
  <c r="BW198" i="6" s="1"/>
  <c r="P307" i="1"/>
  <c r="V307" i="1" s="1"/>
  <c r="F307" i="1" s="1"/>
  <c r="AD116" i="1"/>
  <c r="AD196" i="1"/>
  <c r="AD119" i="1"/>
  <c r="P242" i="1"/>
  <c r="V242" i="1" s="1"/>
  <c r="F242" i="1" s="1"/>
  <c r="P127" i="1"/>
  <c r="V127" i="1" s="1"/>
  <c r="AD170" i="1"/>
  <c r="P283" i="1"/>
  <c r="V283" i="1" s="1"/>
  <c r="F283" i="1" s="1"/>
  <c r="G283" i="1" s="1"/>
  <c r="BW283" i="6" s="1"/>
  <c r="AD112" i="1"/>
  <c r="AD185" i="1"/>
  <c r="AA185" i="1" s="1"/>
  <c r="Z185" i="1" s="1"/>
  <c r="Y185" i="1" s="1"/>
  <c r="AD73" i="1"/>
  <c r="P267" i="1"/>
  <c r="V267" i="1" s="1"/>
  <c r="AD276" i="1"/>
  <c r="P69" i="1"/>
  <c r="V69" i="1" s="1"/>
  <c r="P375" i="1"/>
  <c r="V375" i="1" s="1"/>
  <c r="AD194" i="1"/>
  <c r="P248" i="1"/>
  <c r="P252" i="1"/>
  <c r="V252" i="1" s="1"/>
  <c r="F252" i="1" s="1"/>
  <c r="P233" i="1"/>
  <c r="V233" i="1" s="1"/>
  <c r="F233" i="1" s="1"/>
  <c r="P251" i="1"/>
  <c r="P70" i="1"/>
  <c r="V70" i="1" s="1"/>
  <c r="AD304" i="1"/>
  <c r="AA304" i="1" s="1"/>
  <c r="Z304" i="1" s="1"/>
  <c r="Y304" i="1" s="1"/>
  <c r="AD221" i="1"/>
  <c r="P303" i="1"/>
  <c r="V303" i="1" s="1"/>
  <c r="F303" i="1" s="1"/>
  <c r="I303" i="1" s="1"/>
  <c r="AD254" i="1"/>
  <c r="AD192" i="1"/>
  <c r="AD250" i="1"/>
  <c r="AD188" i="1"/>
  <c r="AD178" i="1"/>
  <c r="AD163" i="1"/>
  <c r="AD227" i="1"/>
  <c r="AD292" i="1"/>
  <c r="AA292" i="1" s="1"/>
  <c r="Z292" i="1" s="1"/>
  <c r="Y292" i="1" s="1"/>
  <c r="AD109" i="1"/>
  <c r="P238" i="1"/>
  <c r="V238" i="1" s="1"/>
  <c r="P268" i="1"/>
  <c r="V268" i="1" s="1"/>
  <c r="P226" i="1"/>
  <c r="V226" i="1" s="1"/>
  <c r="AD222" i="1"/>
  <c r="AD184" i="1"/>
  <c r="AD121" i="1"/>
  <c r="AD238" i="1"/>
  <c r="P162" i="1"/>
  <c r="V162" i="1" s="1"/>
  <c r="P250" i="1"/>
  <c r="V250" i="1" s="1"/>
  <c r="F250" i="1" s="1"/>
  <c r="G250" i="1" s="1"/>
  <c r="BW250" i="6" s="1"/>
  <c r="AD218" i="1"/>
  <c r="AD243" i="1"/>
  <c r="AD371" i="1"/>
  <c r="AI12" i="15"/>
  <c r="AD297" i="1"/>
  <c r="P173" i="1"/>
  <c r="V173" i="1" s="1"/>
  <c r="F173" i="1" s="1"/>
  <c r="G173" i="1" s="1"/>
  <c r="BW173" i="6" s="1"/>
  <c r="P353" i="1"/>
  <c r="AD374" i="1"/>
  <c r="AK3" i="16"/>
  <c r="Q13" i="19" s="1"/>
  <c r="P370" i="1"/>
  <c r="V370" i="1" s="1"/>
  <c r="AD298" i="1"/>
  <c r="AD289" i="1"/>
  <c r="AD363" i="1"/>
  <c r="P296" i="1"/>
  <c r="V296" i="1" s="1"/>
  <c r="AD282" i="1"/>
  <c r="P259" i="1"/>
  <c r="V259" i="1" s="1"/>
  <c r="F259" i="1" s="1"/>
  <c r="AD248" i="1"/>
  <c r="P310" i="1"/>
  <c r="V310" i="1" s="1"/>
  <c r="F310" i="1" s="1"/>
  <c r="G310" i="1" s="1"/>
  <c r="BW310" i="6" s="1"/>
  <c r="AD208" i="1"/>
  <c r="AD108" i="1"/>
  <c r="P216" i="1"/>
  <c r="AD247" i="1"/>
  <c r="AD273" i="1"/>
  <c r="AA273" i="1" s="1"/>
  <c r="Z273" i="1" s="1"/>
  <c r="Y273" i="1" s="1"/>
  <c r="AD265" i="1"/>
  <c r="AA265" i="1" s="1"/>
  <c r="Z265" i="1" s="1"/>
  <c r="Y265" i="1" s="1"/>
  <c r="P246" i="1"/>
  <c r="AD253" i="1"/>
  <c r="AA253" i="1" s="1"/>
  <c r="Z253" i="1" s="1"/>
  <c r="Y253" i="1" s="1"/>
  <c r="P209" i="1"/>
  <c r="V209" i="1" s="1"/>
  <c r="F209" i="1" s="1"/>
  <c r="G209" i="1" s="1"/>
  <c r="BW209" i="6" s="1"/>
  <c r="AD205" i="1"/>
  <c r="AD258" i="1"/>
  <c r="AD234" i="1"/>
  <c r="AA234" i="1" s="1"/>
  <c r="Z234" i="1" s="1"/>
  <c r="Y234" i="1" s="1"/>
  <c r="P200" i="1"/>
  <c r="V200" i="1" s="1"/>
  <c r="F200" i="1" s="1"/>
  <c r="P206" i="1"/>
  <c r="V206" i="1" s="1"/>
  <c r="F206" i="1" s="1"/>
  <c r="AD210" i="1"/>
  <c r="P243" i="1"/>
  <c r="V243" i="1" s="1"/>
  <c r="F243" i="1" s="1"/>
  <c r="I243" i="1" s="1"/>
  <c r="P224" i="1"/>
  <c r="V224" i="1" s="1"/>
  <c r="F224" i="1" s="1"/>
  <c r="G224" i="1" s="1"/>
  <c r="BW224" i="6" s="1"/>
  <c r="P128" i="1"/>
  <c r="V128" i="1" s="1"/>
  <c r="AD344" i="1"/>
  <c r="P221" i="1"/>
  <c r="V221" i="1" s="1"/>
  <c r="F221" i="1" s="1"/>
  <c r="I221" i="1" s="1"/>
  <c r="P187" i="1"/>
  <c r="AD195" i="1"/>
  <c r="AD111" i="1"/>
  <c r="AD166" i="1"/>
  <c r="P72" i="1"/>
  <c r="V72" i="1" s="1"/>
  <c r="P218" i="1"/>
  <c r="V218" i="1" s="1"/>
  <c r="F218" i="1" s="1"/>
  <c r="AA218" i="1" s="1"/>
  <c r="Z218" i="1" s="1"/>
  <c r="Y218" i="1" s="1"/>
  <c r="P257" i="1"/>
  <c r="V257" i="1" s="1"/>
  <c r="P281" i="1"/>
  <c r="V281" i="1" s="1"/>
  <c r="F281" i="1" s="1"/>
  <c r="I281" i="1" s="1"/>
  <c r="P165" i="1"/>
  <c r="V165" i="1" s="1"/>
  <c r="AD279" i="1"/>
  <c r="AD164" i="1"/>
  <c r="AD358" i="1"/>
  <c r="P227" i="1"/>
  <c r="V227" i="1" s="1"/>
  <c r="P245" i="1"/>
  <c r="V245" i="1" s="1"/>
  <c r="AD280" i="1"/>
  <c r="AD169" i="1"/>
  <c r="AD236" i="1"/>
  <c r="AD123" i="1"/>
  <c r="AD239" i="1"/>
  <c r="AD307" i="1"/>
  <c r="AD165" i="1"/>
  <c r="AA165" i="1" s="1"/>
  <c r="Z165" i="1" s="1"/>
  <c r="Y165" i="1" s="1"/>
  <c r="P285" i="1"/>
  <c r="V285" i="1" s="1"/>
  <c r="AD257" i="1"/>
  <c r="P170" i="1"/>
  <c r="V170" i="1" s="1"/>
  <c r="P186" i="1"/>
  <c r="V186" i="1" s="1"/>
  <c r="AD274" i="1"/>
  <c r="AD281" i="1"/>
  <c r="AD309" i="1"/>
  <c r="AD125" i="1"/>
  <c r="P378" i="1"/>
  <c r="V378" i="1" s="1"/>
  <c r="F378" i="1" s="1"/>
  <c r="G378" i="1" s="1"/>
  <c r="BW378" i="6" s="1"/>
  <c r="P121" i="1"/>
  <c r="V121" i="1" s="1"/>
  <c r="AD107" i="1"/>
  <c r="AD355" i="1"/>
  <c r="P287" i="1"/>
  <c r="V287" i="1" s="1"/>
  <c r="F287" i="1" s="1"/>
  <c r="G287" i="1" s="1"/>
  <c r="BW287" i="6" s="1"/>
  <c r="AD64" i="1"/>
  <c r="AD311" i="1"/>
  <c r="AD291" i="1"/>
  <c r="P293" i="1"/>
  <c r="V293" i="1" s="1"/>
  <c r="AD77" i="1"/>
  <c r="AA77" i="1" s="1"/>
  <c r="Z77" i="1" s="1"/>
  <c r="Y77" i="1" s="1"/>
  <c r="P313" i="1"/>
  <c r="V313" i="1" s="1"/>
  <c r="P312" i="1"/>
  <c r="V312" i="1" s="1"/>
  <c r="AD296" i="1"/>
  <c r="AD364" i="1"/>
  <c r="AD306" i="1"/>
  <c r="AD278" i="1"/>
  <c r="AA278" i="1" s="1"/>
  <c r="Z278" i="1" s="1"/>
  <c r="Y278" i="1" s="1"/>
  <c r="AD43" i="1"/>
  <c r="AD52" i="1"/>
  <c r="P215" i="1"/>
  <c r="AD259" i="1"/>
  <c r="P193" i="1"/>
  <c r="V193" i="1" s="1"/>
  <c r="F193" i="1" s="1"/>
  <c r="I193" i="1" s="1"/>
  <c r="AD114" i="1"/>
  <c r="AA114" i="1" s="1"/>
  <c r="Z114" i="1" s="1"/>
  <c r="Y114" i="1" s="1"/>
  <c r="AD271" i="1"/>
  <c r="P225" i="1"/>
  <c r="AD70" i="1"/>
  <c r="P116" i="1"/>
  <c r="V116" i="1" s="1"/>
  <c r="AD272" i="1"/>
  <c r="P205" i="1"/>
  <c r="P176" i="1"/>
  <c r="V176" i="1" s="1"/>
  <c r="F176" i="1" s="1"/>
  <c r="G176" i="1" s="1"/>
  <c r="BW176" i="6" s="1"/>
  <c r="AD211" i="1"/>
  <c r="P295" i="1"/>
  <c r="V295" i="1" s="1"/>
  <c r="P210" i="1"/>
  <c r="V210" i="1" s="1"/>
  <c r="AD369" i="1"/>
  <c r="AA369" i="1" s="1"/>
  <c r="Z369" i="1" s="1"/>
  <c r="Y369" i="1" s="1"/>
  <c r="P266" i="1"/>
  <c r="V266" i="1" s="1"/>
  <c r="AD162" i="1"/>
  <c r="AA162" i="1" s="1"/>
  <c r="Z162" i="1" s="1"/>
  <c r="Y162" i="1" s="1"/>
  <c r="AD264" i="1"/>
  <c r="P196" i="1"/>
  <c r="V196" i="1" s="1"/>
  <c r="F196" i="1" s="1"/>
  <c r="P207" i="1"/>
  <c r="AD287" i="1"/>
  <c r="AD244" i="1"/>
  <c r="AD286" i="1"/>
  <c r="AD120" i="1"/>
  <c r="AD71" i="1"/>
  <c r="AD267" i="1"/>
  <c r="AD228" i="1"/>
  <c r="P371" i="1"/>
  <c r="V371" i="1" s="1"/>
  <c r="AD233" i="1"/>
  <c r="AA233" i="1" s="1"/>
  <c r="Z233" i="1" s="1"/>
  <c r="Y233" i="1" s="1"/>
  <c r="AD232" i="1"/>
  <c r="AD131" i="1"/>
  <c r="AD133" i="1"/>
  <c r="P235" i="1"/>
  <c r="V235" i="1" s="1"/>
  <c r="AD68" i="1"/>
  <c r="AD127" i="1"/>
  <c r="AA127" i="1" s="1"/>
  <c r="Z127" i="1" s="1"/>
  <c r="Y127" i="1" s="1"/>
  <c r="AD275" i="1"/>
  <c r="P107" i="1"/>
  <c r="V107" i="1" s="1"/>
  <c r="AD175" i="1"/>
  <c r="AD168" i="1"/>
  <c r="P230" i="1"/>
  <c r="V230" i="1" s="1"/>
  <c r="F230" i="1" s="1"/>
  <c r="G230" i="1" s="1"/>
  <c r="BW230" i="6" s="1"/>
  <c r="AD65" i="1"/>
  <c r="AD183" i="1"/>
  <c r="P112" i="1"/>
  <c r="V112" i="1" s="1"/>
  <c r="P311" i="1"/>
  <c r="V311" i="1" s="1"/>
  <c r="F311" i="1" s="1"/>
  <c r="P302" i="1"/>
  <c r="V302" i="1" s="1"/>
  <c r="AD365" i="1"/>
  <c r="AD313" i="1"/>
  <c r="AD367" i="1"/>
  <c r="AD314" i="1"/>
  <c r="P363" i="1"/>
  <c r="D31" i="7" s="1"/>
  <c r="P364" i="1"/>
  <c r="V364" i="1" s="1"/>
  <c r="F364" i="1" s="1"/>
  <c r="AD203" i="1"/>
  <c r="AD197" i="1"/>
  <c r="AD225" i="1"/>
  <c r="P240" i="1"/>
  <c r="V240" i="1" s="1"/>
  <c r="F240" i="1" s="1"/>
  <c r="G240" i="1" s="1"/>
  <c r="BW240" i="6" s="1"/>
  <c r="AD200" i="1"/>
  <c r="AD308" i="1"/>
  <c r="AD303" i="1"/>
  <c r="P255" i="1"/>
  <c r="V255" i="1" s="1"/>
  <c r="F255" i="1" s="1"/>
  <c r="I255" i="1" s="1"/>
  <c r="P254" i="1"/>
  <c r="V254" i="1" s="1"/>
  <c r="F254" i="1" s="1"/>
  <c r="G254" i="1" s="1"/>
  <c r="BW254" i="6" s="1"/>
  <c r="P132" i="1"/>
  <c r="V132" i="1" s="1"/>
  <c r="P308" i="1"/>
  <c r="V308" i="1" s="1"/>
  <c r="F308" i="1" s="1"/>
  <c r="I308" i="1" s="1"/>
  <c r="AD299" i="1"/>
  <c r="AD206" i="1"/>
  <c r="P197" i="1"/>
  <c r="V197" i="1" s="1"/>
  <c r="AD76" i="1"/>
  <c r="P124" i="1"/>
  <c r="V124" i="1" s="1"/>
  <c r="AA124" i="1" s="1"/>
  <c r="Z124" i="1" s="1"/>
  <c r="Y124" i="1" s="1"/>
  <c r="AD212" i="1"/>
  <c r="AA212" i="1" s="1"/>
  <c r="Z212" i="1" s="1"/>
  <c r="Y212" i="1" s="1"/>
  <c r="AD256" i="1"/>
  <c r="P123" i="1"/>
  <c r="V123" i="1" s="1"/>
  <c r="AD220" i="1"/>
  <c r="AA220" i="1" s="1"/>
  <c r="Z220" i="1" s="1"/>
  <c r="Y220" i="1" s="1"/>
  <c r="AD207" i="1"/>
  <c r="P64" i="1"/>
  <c r="V64" i="1" s="1"/>
  <c r="AD347" i="1"/>
  <c r="P258" i="1"/>
  <c r="V258" i="1" s="1"/>
  <c r="F258" i="1" s="1"/>
  <c r="G258" i="1" s="1"/>
  <c r="BW258" i="6" s="1"/>
  <c r="P181" i="1"/>
  <c r="V181" i="1" s="1"/>
  <c r="P282" i="1"/>
  <c r="V282" i="1" s="1"/>
  <c r="F282" i="1" s="1"/>
  <c r="I282" i="1" s="1"/>
  <c r="AD118" i="1"/>
  <c r="P223" i="1"/>
  <c r="V223" i="1" s="1"/>
  <c r="AD126" i="1"/>
  <c r="AA126" i="1" s="1"/>
  <c r="Z126" i="1" s="1"/>
  <c r="Y126" i="1" s="1"/>
  <c r="AD106" i="1"/>
  <c r="AD182" i="1"/>
  <c r="AA182" i="1" s="1"/>
  <c r="Z182" i="1" s="1"/>
  <c r="Y182" i="1" s="1"/>
  <c r="AD226" i="1"/>
  <c r="AD245" i="1"/>
  <c r="AD262" i="1"/>
  <c r="P171" i="1"/>
  <c r="V171" i="1" s="1"/>
  <c r="F171" i="1" s="1"/>
  <c r="I171" i="1" s="1"/>
  <c r="AD113" i="1"/>
  <c r="P241" i="1"/>
  <c r="D27" i="7" s="1"/>
  <c r="P178" i="1"/>
  <c r="V178" i="1" s="1"/>
  <c r="F178" i="1" s="1"/>
  <c r="I178" i="1" s="1"/>
  <c r="AD237" i="1"/>
  <c r="AD74" i="1"/>
  <c r="P279" i="1"/>
  <c r="V279" i="1" s="1"/>
  <c r="AD283" i="1"/>
  <c r="AA283" i="1" s="1"/>
  <c r="Z283" i="1" s="1"/>
  <c r="Y283" i="1" s="1"/>
  <c r="AD362" i="1"/>
  <c r="P109" i="1"/>
  <c r="V109" i="1" s="1"/>
  <c r="AA109" i="1" s="1"/>
  <c r="Z109" i="1" s="1"/>
  <c r="Y109" i="1" s="1"/>
  <c r="P67" i="1"/>
  <c r="V67" i="1" s="1"/>
  <c r="AA67" i="1" s="1"/>
  <c r="Z67" i="1" s="1"/>
  <c r="Y67" i="1" s="1"/>
  <c r="AD217" i="1"/>
  <c r="AA217" i="1" s="1"/>
  <c r="Z217" i="1" s="1"/>
  <c r="Y217" i="1" s="1"/>
  <c r="AD269" i="1"/>
  <c r="P71" i="1"/>
  <c r="V71" i="1" s="1"/>
  <c r="P66" i="1"/>
  <c r="V66" i="1" s="1"/>
  <c r="AD177" i="1"/>
  <c r="AD372" i="1"/>
  <c r="AD376" i="1"/>
  <c r="AD277" i="1"/>
  <c r="AF17" i="1"/>
  <c r="AD199" i="1"/>
  <c r="P166" i="1"/>
  <c r="V166" i="1" s="1"/>
  <c r="AA166" i="1" s="1"/>
  <c r="Z166" i="1" s="1"/>
  <c r="Y166" i="1" s="1"/>
  <c r="C41" i="7"/>
  <c r="C62" i="7"/>
  <c r="AE383" i="15"/>
  <c r="Q12" i="16"/>
  <c r="Q10" i="16" s="1"/>
  <c r="AA11" i="7"/>
  <c r="Q11" i="17"/>
  <c r="E333" i="15"/>
  <c r="C40" i="7"/>
  <c r="E241" i="15"/>
  <c r="P118" i="1"/>
  <c r="V118" i="1" s="1"/>
  <c r="AD167" i="1"/>
  <c r="AA167" i="1" s="1"/>
  <c r="Z167" i="1" s="1"/>
  <c r="Y167" i="1" s="1"/>
  <c r="E7" i="18"/>
  <c r="O10" i="18" s="1"/>
  <c r="E379" i="17"/>
  <c r="AA113" i="1"/>
  <c r="Z113" i="1" s="1"/>
  <c r="Y113" i="1" s="1"/>
  <c r="P290" i="1"/>
  <c r="V290" i="1" s="1"/>
  <c r="F290" i="1" s="1"/>
  <c r="I290" i="1" s="1"/>
  <c r="P190" i="1"/>
  <c r="V190" i="1" s="1"/>
  <c r="F190" i="1" s="1"/>
  <c r="P184" i="1"/>
  <c r="V184" i="1" s="1"/>
  <c r="F184" i="1" s="1"/>
  <c r="G184" i="1" s="1"/>
  <c r="BW184" i="6" s="1"/>
  <c r="P275" i="1"/>
  <c r="V275" i="1" s="1"/>
  <c r="P133" i="1"/>
  <c r="V133" i="1" s="1"/>
  <c r="AA133" i="1" s="1"/>
  <c r="Z133" i="1" s="1"/>
  <c r="Y133" i="1" s="1"/>
  <c r="AD171" i="1"/>
  <c r="AD172" i="1"/>
  <c r="AA172" i="1" s="1"/>
  <c r="Z172" i="1" s="1"/>
  <c r="Y172" i="1" s="1"/>
  <c r="P232" i="1"/>
  <c r="V232" i="1" s="1"/>
  <c r="F232" i="1" s="1"/>
  <c r="I232" i="1" s="1"/>
  <c r="AD310" i="1"/>
  <c r="AY374" i="6"/>
  <c r="AZ374" i="6" s="1"/>
  <c r="AY377" i="6"/>
  <c r="AZ377" i="6" s="1"/>
  <c r="AY378" i="6"/>
  <c r="AZ378" i="6" s="1"/>
  <c r="AA107" i="1"/>
  <c r="Z107" i="1" s="1"/>
  <c r="Y107" i="1" s="1"/>
  <c r="E363" i="17"/>
  <c r="P372" i="1"/>
  <c r="V372" i="1" s="1"/>
  <c r="F372" i="1" s="1"/>
  <c r="AA164" i="1"/>
  <c r="Z164" i="1" s="1"/>
  <c r="Y164" i="1" s="1"/>
  <c r="C63" i="7"/>
  <c r="E302" i="17"/>
  <c r="E8" i="16"/>
  <c r="K13" i="19" s="1"/>
  <c r="K37" i="19" s="1"/>
  <c r="AA121" i="1"/>
  <c r="Z121" i="1" s="1"/>
  <c r="Y121" i="1" s="1"/>
  <c r="C64" i="7"/>
  <c r="C61" i="7"/>
  <c r="AA112" i="1"/>
  <c r="Z112" i="1" s="1"/>
  <c r="Y112" i="1" s="1"/>
  <c r="AE381" i="15"/>
  <c r="Q381" i="15"/>
  <c r="C60" i="7"/>
  <c r="P373" i="1"/>
  <c r="V373" i="1" s="1"/>
  <c r="P300" i="1"/>
  <c r="V300" i="1" s="1"/>
  <c r="F300" i="1" s="1"/>
  <c r="P368" i="1"/>
  <c r="V368" i="1" s="1"/>
  <c r="F368" i="1" s="1"/>
  <c r="P355" i="1"/>
  <c r="V355" i="1" s="1"/>
  <c r="F355" i="1" s="1"/>
  <c r="P365" i="1"/>
  <c r="V365" i="1" s="1"/>
  <c r="AD360" i="1"/>
  <c r="P367" i="1"/>
  <c r="V367" i="1" s="1"/>
  <c r="F367" i="1" s="1"/>
  <c r="AD379" i="1"/>
  <c r="P314" i="1"/>
  <c r="V314" i="1" s="1"/>
  <c r="F314" i="1" s="1"/>
  <c r="P361" i="1"/>
  <c r="V361" i="1" s="1"/>
  <c r="P271" i="1"/>
  <c r="V271" i="1" s="1"/>
  <c r="F271" i="1" s="1"/>
  <c r="P208" i="1"/>
  <c r="V208" i="1" s="1"/>
  <c r="F208" i="1" s="1"/>
  <c r="G208" i="1" s="1"/>
  <c r="BW208" i="6" s="1"/>
  <c r="P309" i="1"/>
  <c r="V309" i="1" s="1"/>
  <c r="F309" i="1" s="1"/>
  <c r="G309" i="1" s="1"/>
  <c r="BW309" i="6" s="1"/>
  <c r="P119" i="1"/>
  <c r="D23" i="7" s="1"/>
  <c r="P191" i="1"/>
  <c r="V191" i="1" s="1"/>
  <c r="F191" i="1" s="1"/>
  <c r="I191" i="1" s="1"/>
  <c r="P192" i="1"/>
  <c r="V192" i="1" s="1"/>
  <c r="F192" i="1" s="1"/>
  <c r="G192" i="1" s="1"/>
  <c r="BW192" i="6" s="1"/>
  <c r="P213" i="1"/>
  <c r="V213" i="1" s="1"/>
  <c r="F213" i="1" s="1"/>
  <c r="G213" i="1" s="1"/>
  <c r="BW213" i="6" s="1"/>
  <c r="P288" i="1"/>
  <c r="V288" i="1" s="1"/>
  <c r="P260" i="1"/>
  <c r="V260" i="1" s="1"/>
  <c r="AD190" i="1"/>
  <c r="P274" i="1"/>
  <c r="V274" i="1" s="1"/>
  <c r="F274" i="1" s="1"/>
  <c r="G274" i="1" s="1"/>
  <c r="BW274" i="6" s="1"/>
  <c r="P219" i="1"/>
  <c r="V219" i="1" s="1"/>
  <c r="F219" i="1" s="1"/>
  <c r="I219" i="1" s="1"/>
  <c r="P130" i="1"/>
  <c r="V130" i="1" s="1"/>
  <c r="P269" i="1"/>
  <c r="V269" i="1" s="1"/>
  <c r="P188" i="1"/>
  <c r="V188" i="1" s="1"/>
  <c r="F188" i="1" s="1"/>
  <c r="G188" i="1" s="1"/>
  <c r="BW188" i="6" s="1"/>
  <c r="AD294" i="1"/>
  <c r="AA294" i="1" s="1"/>
  <c r="Z294" i="1" s="1"/>
  <c r="Y294" i="1" s="1"/>
  <c r="P276" i="1"/>
  <c r="V276" i="1" s="1"/>
  <c r="F276" i="1" s="1"/>
  <c r="I276" i="1" s="1"/>
  <c r="P169" i="1"/>
  <c r="V169" i="1" s="1"/>
  <c r="F169" i="1" s="1"/>
  <c r="I169" i="1" s="1"/>
  <c r="P131" i="1"/>
  <c r="V131" i="1" s="1"/>
  <c r="AA131" i="1" s="1"/>
  <c r="Z131" i="1" s="1"/>
  <c r="Y131" i="1" s="1"/>
  <c r="P362" i="1"/>
  <c r="V362" i="1" s="1"/>
  <c r="F362" i="1" s="1"/>
  <c r="AA362" i="1" s="1"/>
  <c r="Z362" i="1" s="1"/>
  <c r="Y362" i="1" s="1"/>
  <c r="P280" i="1"/>
  <c r="V280" i="1" s="1"/>
  <c r="F280" i="1" s="1"/>
  <c r="G280" i="1" s="1"/>
  <c r="BW280" i="6" s="1"/>
  <c r="P179" i="1"/>
  <c r="V179" i="1" s="1"/>
  <c r="F179" i="1" s="1"/>
  <c r="I179" i="1" s="1"/>
  <c r="P68" i="1"/>
  <c r="V68" i="1" s="1"/>
  <c r="AD223" i="1"/>
  <c r="P75" i="1"/>
  <c r="V75" i="1" s="1"/>
  <c r="AA75" i="1" s="1"/>
  <c r="Z75" i="1" s="1"/>
  <c r="Y75" i="1" s="1"/>
  <c r="AD130" i="1"/>
  <c r="AD115" i="1"/>
  <c r="AA115" i="1" s="1"/>
  <c r="Z115" i="1" s="1"/>
  <c r="Y115" i="1" s="1"/>
  <c r="AD69" i="1"/>
  <c r="AD186" i="1"/>
  <c r="AD235" i="1"/>
  <c r="P377" i="1"/>
  <c r="V377" i="1" s="1"/>
  <c r="C11" i="19"/>
  <c r="F35" i="19"/>
  <c r="AD174" i="1"/>
  <c r="E379" i="15"/>
  <c r="C36" i="19"/>
  <c r="J15" i="7"/>
  <c r="AI13" i="7"/>
  <c r="AE382" i="15"/>
  <c r="Q382" i="15"/>
  <c r="L14" i="19"/>
  <c r="AE11" i="17"/>
  <c r="AI11" i="17"/>
  <c r="P10" i="17"/>
  <c r="P11" i="20"/>
  <c r="AF15" i="7"/>
  <c r="C43" i="7"/>
  <c r="Q383" i="15"/>
  <c r="AM5" i="17"/>
  <c r="AM7" i="17"/>
  <c r="AM11" i="17" s="1"/>
  <c r="AK5" i="17"/>
  <c r="AM9" i="17"/>
  <c r="AK6" i="17"/>
  <c r="AK7" i="17"/>
  <c r="AK11" i="17" s="1"/>
  <c r="AK9" i="17"/>
  <c r="AK18" i="18"/>
  <c r="AK28" i="18"/>
  <c r="AK42" i="18"/>
  <c r="AK37" i="18"/>
  <c r="AK55" i="18"/>
  <c r="AK58" i="18"/>
  <c r="AK49" i="18"/>
  <c r="AK72" i="18"/>
  <c r="AK79" i="18"/>
  <c r="AK95" i="18"/>
  <c r="AK99" i="18"/>
  <c r="AK113" i="18"/>
  <c r="AK128" i="18"/>
  <c r="AK146" i="18"/>
  <c r="AK97" i="18"/>
  <c r="AK118" i="18"/>
  <c r="AK132" i="18"/>
  <c r="AK148" i="18"/>
  <c r="AK164" i="18"/>
  <c r="AK178" i="18"/>
  <c r="AK205" i="18"/>
  <c r="AK166" i="18"/>
  <c r="AK182" i="18"/>
  <c r="AK193" i="18"/>
  <c r="AK204" i="18"/>
  <c r="AK36" i="18"/>
  <c r="AK50" i="18"/>
  <c r="AK65" i="18"/>
  <c r="AK68" i="18"/>
  <c r="AK94" i="18"/>
  <c r="AK123" i="18"/>
  <c r="AK89" i="18"/>
  <c r="AK127" i="18"/>
  <c r="AK159" i="18"/>
  <c r="AK198" i="18"/>
  <c r="AK176" i="18"/>
  <c r="AK201" i="18"/>
  <c r="AK216" i="18"/>
  <c r="AK231" i="18"/>
  <c r="AK246" i="18"/>
  <c r="AK264" i="18"/>
  <c r="AK280" i="18"/>
  <c r="AK297" i="18"/>
  <c r="AK319" i="18"/>
  <c r="AK221" i="18"/>
  <c r="AK240" i="18"/>
  <c r="AK255" i="18"/>
  <c r="AK272" i="18"/>
  <c r="AK287" i="18"/>
  <c r="AK305" i="18"/>
  <c r="AK314" i="18"/>
  <c r="AK326" i="18"/>
  <c r="AK343" i="18"/>
  <c r="AK359" i="18"/>
  <c r="AK371" i="18"/>
  <c r="AK329" i="18"/>
  <c r="AK345" i="18"/>
  <c r="AK363" i="18"/>
  <c r="AK15" i="18"/>
  <c r="AK53" i="18"/>
  <c r="AK77" i="18"/>
  <c r="AK126" i="18"/>
  <c r="AK131" i="18"/>
  <c r="AK200" i="18"/>
  <c r="AK203" i="18"/>
  <c r="AK233" i="18"/>
  <c r="AK266" i="18"/>
  <c r="AK298" i="18"/>
  <c r="AK222" i="18"/>
  <c r="AK257" i="18"/>
  <c r="AK288" i="18"/>
  <c r="AK17" i="18"/>
  <c r="AK62" i="18"/>
  <c r="P12" i="18"/>
  <c r="AK20" i="18"/>
  <c r="AK21" i="18"/>
  <c r="AK67" i="18"/>
  <c r="AK87" i="18"/>
  <c r="AK107" i="18"/>
  <c r="AK136" i="18"/>
  <c r="AK106" i="18"/>
  <c r="AK139" i="18"/>
  <c r="AK172" i="18"/>
  <c r="AK157" i="18"/>
  <c r="AK189" i="18"/>
  <c r="AK16" i="18"/>
  <c r="AK27" i="18"/>
  <c r="AK88" i="18"/>
  <c r="AK140" i="18"/>
  <c r="AK141" i="18"/>
  <c r="AK158" i="18"/>
  <c r="AK209" i="18"/>
  <c r="AK239" i="18"/>
  <c r="AK271" i="18"/>
  <c r="AK302" i="18"/>
  <c r="AK232" i="18"/>
  <c r="AK261" i="18"/>
  <c r="AK295" i="18"/>
  <c r="AK321" i="18"/>
  <c r="AK349" i="18"/>
  <c r="AK377" i="18"/>
  <c r="AK354" i="18"/>
  <c r="AK40" i="18"/>
  <c r="AK98" i="18"/>
  <c r="AK162" i="18"/>
  <c r="AK219" i="18"/>
  <c r="AK282" i="18"/>
  <c r="AK241" i="18"/>
  <c r="AK24" i="18"/>
  <c r="AK84" i="18"/>
  <c r="AK135" i="18"/>
  <c r="AK138" i="18"/>
  <c r="AK156" i="18"/>
  <c r="AK207" i="18"/>
  <c r="AK236" i="18"/>
  <c r="AK270" i="18"/>
  <c r="AK301" i="18"/>
  <c r="AK228" i="18"/>
  <c r="AK260" i="18"/>
  <c r="AK292" i="18"/>
  <c r="AK317" i="18"/>
  <c r="AK348" i="18"/>
  <c r="AK375" i="18"/>
  <c r="AK351" i="18"/>
  <c r="AK315" i="18"/>
  <c r="AK372" i="18"/>
  <c r="AK311" i="18"/>
  <c r="AK368" i="18"/>
  <c r="AK376" i="18"/>
  <c r="AK23" i="18"/>
  <c r="AK34" i="18"/>
  <c r="AK38" i="18"/>
  <c r="AK70" i="18"/>
  <c r="AK90" i="18"/>
  <c r="AK111" i="18"/>
  <c r="AK144" i="18"/>
  <c r="AK109" i="18"/>
  <c r="AK142" i="18"/>
  <c r="AK175" i="18"/>
  <c r="AK160" i="18"/>
  <c r="AK191" i="18"/>
  <c r="AK29" i="18"/>
  <c r="AK60" i="18"/>
  <c r="AK78" i="18"/>
  <c r="AK147" i="18"/>
  <c r="AK151" i="18"/>
  <c r="AK169" i="18"/>
  <c r="AK214" i="18"/>
  <c r="AK243" i="18"/>
  <c r="AK274" i="18"/>
  <c r="AK308" i="18"/>
  <c r="AK237" i="18"/>
  <c r="AK267" i="18"/>
  <c r="AK300" i="18"/>
  <c r="AK323" i="18"/>
  <c r="AK353" i="18"/>
  <c r="AK325" i="18"/>
  <c r="AK357" i="18"/>
  <c r="AK35" i="18"/>
  <c r="AK112" i="18"/>
  <c r="AK177" i="18"/>
  <c r="AK227" i="18"/>
  <c r="AK291" i="18"/>
  <c r="AK251" i="18"/>
  <c r="AK31" i="18"/>
  <c r="AK83" i="18"/>
  <c r="AK154" i="18"/>
  <c r="AK215" i="18"/>
  <c r="AK278" i="18"/>
  <c r="AK238" i="18"/>
  <c r="AK303" i="18"/>
  <c r="AK356" i="18"/>
  <c r="AK358" i="18"/>
  <c r="AK330" i="18"/>
  <c r="AK379" i="18"/>
  <c r="AK30" i="18"/>
  <c r="AK46" i="18"/>
  <c r="AK61" i="18"/>
  <c r="AK75" i="18"/>
  <c r="AK82" i="18"/>
  <c r="AK116" i="18"/>
  <c r="AK149" i="18"/>
  <c r="AK120" i="18"/>
  <c r="AK153" i="18"/>
  <c r="AK183" i="18"/>
  <c r="AK170" i="18"/>
  <c r="AK195" i="18"/>
  <c r="AK43" i="18"/>
  <c r="AK54" i="18"/>
  <c r="AK100" i="18"/>
  <c r="AK103" i="18"/>
  <c r="AK165" i="18"/>
  <c r="AK185" i="18"/>
  <c r="AK224" i="18"/>
  <c r="AK248" i="18"/>
  <c r="AK283" i="18"/>
  <c r="AK211" i="18"/>
  <c r="AK245" i="18"/>
  <c r="AK276" i="18"/>
  <c r="AK307" i="18"/>
  <c r="AK335" i="18"/>
  <c r="AK361" i="18"/>
  <c r="AK331" i="18"/>
  <c r="AK365" i="18"/>
  <c r="AK51" i="18"/>
  <c r="AK145" i="18"/>
  <c r="AK163" i="18"/>
  <c r="AK242" i="18"/>
  <c r="AK304" i="18"/>
  <c r="AK265" i="18"/>
  <c r="AK47" i="18"/>
  <c r="AK117" i="18"/>
  <c r="AK184" i="18"/>
  <c r="AK230" i="18"/>
  <c r="AK294" i="18"/>
  <c r="AK254" i="18"/>
  <c r="AK313" i="18"/>
  <c r="AK370" i="18"/>
  <c r="AK306" i="18"/>
  <c r="AK364" i="18"/>
  <c r="AK355" i="18"/>
  <c r="AK32" i="18"/>
  <c r="AK48" i="18"/>
  <c r="AK64" i="18"/>
  <c r="AK66" i="18"/>
  <c r="AK86" i="18"/>
  <c r="AK122" i="18"/>
  <c r="AK85" i="18"/>
  <c r="AK124" i="18"/>
  <c r="AK155" i="18"/>
  <c r="AK187" i="18"/>
  <c r="AK173" i="18"/>
  <c r="AK197" i="18"/>
  <c r="AK25" i="18"/>
  <c r="AK69" i="18"/>
  <c r="AK110" i="18"/>
  <c r="AK108" i="18"/>
  <c r="AK174" i="18"/>
  <c r="AK190" i="18"/>
  <c r="AK226" i="18"/>
  <c r="AK256" i="18"/>
  <c r="AK289" i="18"/>
  <c r="AK213" i="18"/>
  <c r="AK250" i="18"/>
  <c r="AK279" i="18"/>
  <c r="AK310" i="18"/>
  <c r="AK337" i="18"/>
  <c r="AK366" i="18"/>
  <c r="AK333" i="18"/>
  <c r="AK373" i="18"/>
  <c r="AK44" i="18"/>
  <c r="AK93" i="18"/>
  <c r="AK181" i="18"/>
  <c r="AK247" i="18"/>
  <c r="AK320" i="18"/>
  <c r="AK275" i="18"/>
  <c r="F8" i="18"/>
  <c r="AK102" i="18"/>
  <c r="AK105" i="18"/>
  <c r="AK168" i="18"/>
  <c r="AK188" i="18"/>
  <c r="AK225" i="18"/>
  <c r="AK252" i="18"/>
  <c r="AK285" i="18"/>
  <c r="AK212" i="18"/>
  <c r="AK249" i="18"/>
  <c r="AK277" i="18"/>
  <c r="AK309" i="18"/>
  <c r="AK336" i="18"/>
  <c r="AK362" i="18"/>
  <c r="AK332" i="18"/>
  <c r="AK367" i="18"/>
  <c r="AK344" i="18"/>
  <c r="AK346" i="18"/>
  <c r="AK339" i="18"/>
  <c r="AK334" i="18"/>
  <c r="AK380" i="18"/>
  <c r="AK39" i="18"/>
  <c r="AK52" i="18"/>
  <c r="AK33" i="18"/>
  <c r="AK73" i="18"/>
  <c r="AK96" i="18"/>
  <c r="AK125" i="18"/>
  <c r="AK91" i="18"/>
  <c r="AK129" i="18"/>
  <c r="AK161" i="18"/>
  <c r="AK199" i="18"/>
  <c r="AK180" i="18"/>
  <c r="AK202" i="18"/>
  <c r="AK41" i="18"/>
  <c r="AK74" i="18"/>
  <c r="AK115" i="18"/>
  <c r="AK119" i="18"/>
  <c r="AK179" i="18"/>
  <c r="AK194" i="18"/>
  <c r="AK229" i="18"/>
  <c r="AK262" i="18"/>
  <c r="AK293" i="18"/>
  <c r="AK218" i="18"/>
  <c r="AK253" i="18"/>
  <c r="AK284" i="18"/>
  <c r="AK312" i="18"/>
  <c r="AK341" i="18"/>
  <c r="AK369" i="18"/>
  <c r="AK338" i="18"/>
  <c r="AK378" i="18"/>
  <c r="AK71" i="18"/>
  <c r="AK114" i="18"/>
  <c r="AK192" i="18"/>
  <c r="AK258" i="18"/>
  <c r="AK217" i="18"/>
  <c r="AK281" i="18"/>
  <c r="AK63" i="18"/>
  <c r="AK150" i="18"/>
  <c r="AK171" i="18"/>
  <c r="AK244" i="18"/>
  <c r="AK268" i="18"/>
  <c r="AK327" i="18"/>
  <c r="AK322" i="18"/>
  <c r="AK45" i="18"/>
  <c r="AK57" i="18"/>
  <c r="AK101" i="18"/>
  <c r="AK104" i="18"/>
  <c r="AK167" i="18"/>
  <c r="AK186" i="18"/>
  <c r="AK56" i="18"/>
  <c r="AK130" i="18"/>
  <c r="AK208" i="18"/>
  <c r="AK234" i="18"/>
  <c r="AK299" i="18"/>
  <c r="AK259" i="18"/>
  <c r="AK316" i="18"/>
  <c r="AK374" i="18"/>
  <c r="AK26" i="18"/>
  <c r="AK143" i="18"/>
  <c r="AK273" i="18"/>
  <c r="AK296" i="18"/>
  <c r="AK121" i="18"/>
  <c r="AK263" i="18"/>
  <c r="AK286" i="18"/>
  <c r="AK340" i="18"/>
  <c r="AK352" i="18"/>
  <c r="AK318" i="18"/>
  <c r="AK324" i="18"/>
  <c r="AK328" i="18"/>
  <c r="AK22" i="18"/>
  <c r="AK59" i="18"/>
  <c r="AK81" i="18"/>
  <c r="AK133" i="18"/>
  <c r="AK137" i="18"/>
  <c r="AK152" i="18"/>
  <c r="AK19" i="18"/>
  <c r="AK80" i="18"/>
  <c r="AK134" i="18"/>
  <c r="AK206" i="18"/>
  <c r="AK269" i="18"/>
  <c r="AK223" i="18"/>
  <c r="AK290" i="18"/>
  <c r="AK347" i="18"/>
  <c r="AK350" i="18"/>
  <c r="AK92" i="18"/>
  <c r="AK210" i="18"/>
  <c r="AK235" i="18"/>
  <c r="AK76" i="18"/>
  <c r="AK196" i="18"/>
  <c r="AK220" i="18"/>
  <c r="AK342" i="18"/>
  <c r="AK360" i="18"/>
  <c r="P376" i="1"/>
  <c r="V376" i="1" s="1"/>
  <c r="O383" i="15"/>
  <c r="AC381" i="15"/>
  <c r="P374" i="1"/>
  <c r="V374" i="1" s="1"/>
  <c r="F374" i="1" s="1"/>
  <c r="AD375" i="1"/>
  <c r="AA66" i="1"/>
  <c r="Z66" i="1" s="1"/>
  <c r="Y66" i="1" s="1"/>
  <c r="AD378" i="1"/>
  <c r="AY77" i="6"/>
  <c r="AC383" i="15"/>
  <c r="AC382" i="15"/>
  <c r="O9" i="24"/>
  <c r="O382" i="15"/>
  <c r="O381" i="15"/>
  <c r="AC12" i="22"/>
  <c r="AC9" i="22"/>
  <c r="O12" i="22"/>
  <c r="AJ23" i="23"/>
  <c r="AJ32" i="23"/>
  <c r="AJ44" i="23"/>
  <c r="AJ45" i="23"/>
  <c r="AJ28" i="23"/>
  <c r="AJ41" i="23"/>
  <c r="AJ66" i="23"/>
  <c r="AJ73" i="23"/>
  <c r="AJ92" i="23"/>
  <c r="AJ86" i="23"/>
  <c r="AJ106" i="23"/>
  <c r="AJ118" i="23"/>
  <c r="AJ138" i="23"/>
  <c r="AJ87" i="23"/>
  <c r="AJ111" i="23"/>
  <c r="AJ126" i="23"/>
  <c r="AJ142" i="23"/>
  <c r="AJ20" i="23"/>
  <c r="AJ43" i="23"/>
  <c r="AJ26" i="23"/>
  <c r="AJ65" i="23"/>
  <c r="AJ90" i="23"/>
  <c r="AJ104" i="23"/>
  <c r="AJ135" i="23"/>
  <c r="AJ109" i="23"/>
  <c r="AJ141" i="23"/>
  <c r="AJ154" i="23"/>
  <c r="AJ173" i="23"/>
  <c r="AJ186" i="23"/>
  <c r="AJ200" i="23"/>
  <c r="AJ156" i="23"/>
  <c r="AJ170" i="23"/>
  <c r="AJ191" i="23"/>
  <c r="AJ208" i="23"/>
  <c r="AJ223" i="23"/>
  <c r="AJ236" i="23"/>
  <c r="AJ245" i="23"/>
  <c r="AJ263" i="23"/>
  <c r="AJ277" i="23"/>
  <c r="AJ286" i="23"/>
  <c r="AJ300" i="23"/>
  <c r="AJ313" i="23"/>
  <c r="AJ212" i="23"/>
  <c r="AJ234" i="23"/>
  <c r="AJ255" i="23"/>
  <c r="AJ274" i="23"/>
  <c r="AJ296" i="23"/>
  <c r="AJ320" i="23"/>
  <c r="AJ332" i="23"/>
  <c r="AJ342" i="23"/>
  <c r="AJ358" i="23"/>
  <c r="AJ368" i="23"/>
  <c r="AJ379" i="23"/>
  <c r="AJ347" i="23"/>
  <c r="AJ371" i="23"/>
  <c r="AJ27" i="23"/>
  <c r="AJ15" i="23"/>
  <c r="AJ64" i="23"/>
  <c r="AJ68" i="23"/>
  <c r="AJ83" i="23"/>
  <c r="AJ114" i="23"/>
  <c r="AJ147" i="23"/>
  <c r="AJ121" i="23"/>
  <c r="AJ148" i="23"/>
  <c r="AJ162" i="23"/>
  <c r="AJ178" i="23"/>
  <c r="AJ190" i="23"/>
  <c r="AJ206" i="23"/>
  <c r="AJ160" i="23"/>
  <c r="AJ175" i="23"/>
  <c r="AJ197" i="23"/>
  <c r="AJ216" i="23"/>
  <c r="AJ228" i="23"/>
  <c r="AJ240" i="23"/>
  <c r="AJ252" i="23"/>
  <c r="AJ269" i="23"/>
  <c r="AJ280" i="23"/>
  <c r="AJ291" i="23"/>
  <c r="AJ303" i="23"/>
  <c r="AJ316" i="23"/>
  <c r="AJ221" i="23"/>
  <c r="AJ247" i="23"/>
  <c r="AJ260" i="23"/>
  <c r="AJ285" i="23"/>
  <c r="AJ306" i="23"/>
  <c r="AJ325" i="23"/>
  <c r="AJ336" i="23"/>
  <c r="AJ350" i="23"/>
  <c r="AJ363" i="23"/>
  <c r="AJ373" i="23"/>
  <c r="AJ334" i="23"/>
  <c r="AJ353" i="23"/>
  <c r="AJ22" i="23"/>
  <c r="AJ35" i="23"/>
  <c r="AJ53" i="23"/>
  <c r="AJ57" i="23"/>
  <c r="AJ76" i="23"/>
  <c r="AJ96" i="23"/>
  <c r="AJ124" i="23"/>
  <c r="AJ91" i="23"/>
  <c r="AJ129" i="23"/>
  <c r="AJ19" i="23"/>
  <c r="AJ59" i="23"/>
  <c r="AJ81" i="23"/>
  <c r="AJ143" i="23"/>
  <c r="AJ145" i="23"/>
  <c r="AJ177" i="23"/>
  <c r="AJ205" i="23"/>
  <c r="AJ174" i="23"/>
  <c r="AJ214" i="23"/>
  <c r="AJ239" i="23"/>
  <c r="AJ265" i="23"/>
  <c r="AJ289" i="23"/>
  <c r="AJ315" i="23"/>
  <c r="AJ238" i="23"/>
  <c r="AJ276" i="23"/>
  <c r="AJ324" i="23"/>
  <c r="AJ349" i="23"/>
  <c r="AJ372" i="23"/>
  <c r="AJ352" i="23"/>
  <c r="AJ34" i="23"/>
  <c r="AJ46" i="23"/>
  <c r="AJ95" i="23"/>
  <c r="AJ89" i="23"/>
  <c r="AJ150" i="23"/>
  <c r="AJ181" i="23"/>
  <c r="AJ209" i="23"/>
  <c r="AJ184" i="23"/>
  <c r="AJ218" i="23"/>
  <c r="AJ242" i="23"/>
  <c r="AJ271" i="23"/>
  <c r="AJ294" i="23"/>
  <c r="AJ319" i="23"/>
  <c r="AJ249" i="23"/>
  <c r="AJ290" i="23"/>
  <c r="AJ328" i="23"/>
  <c r="AJ354" i="23"/>
  <c r="AJ376" i="23"/>
  <c r="AJ361" i="23"/>
  <c r="AJ42" i="23"/>
  <c r="AJ63" i="23"/>
  <c r="AJ103" i="23"/>
  <c r="AJ105" i="23"/>
  <c r="AJ37" i="23"/>
  <c r="AJ97" i="23"/>
  <c r="AJ152" i="23"/>
  <c r="AJ210" i="23"/>
  <c r="AJ219" i="23"/>
  <c r="AJ272" i="23"/>
  <c r="AR13" i="7"/>
  <c r="AJ39" i="23"/>
  <c r="AJ55" i="23"/>
  <c r="AJ60" i="23"/>
  <c r="AJ78" i="23"/>
  <c r="AJ98" i="23"/>
  <c r="AJ130" i="23"/>
  <c r="AJ101" i="23"/>
  <c r="AJ132" i="23"/>
  <c r="AJ30" i="23"/>
  <c r="AJ36" i="23"/>
  <c r="AJ85" i="23"/>
  <c r="AJ80" i="23"/>
  <c r="AJ149" i="23"/>
  <c r="AJ180" i="23"/>
  <c r="AJ207" i="23"/>
  <c r="AJ179" i="23"/>
  <c r="AJ217" i="23"/>
  <c r="AJ241" i="23"/>
  <c r="AJ270" i="23"/>
  <c r="AJ293" i="23"/>
  <c r="AJ318" i="23"/>
  <c r="AJ248" i="23"/>
  <c r="AJ287" i="23"/>
  <c r="AJ327" i="23"/>
  <c r="AJ351" i="23"/>
  <c r="AJ375" i="23"/>
  <c r="AJ355" i="23"/>
  <c r="AJ40" i="23"/>
  <c r="AJ61" i="23"/>
  <c r="AJ99" i="23"/>
  <c r="AJ102" i="23"/>
  <c r="AJ153" i="23"/>
  <c r="AJ183" i="23"/>
  <c r="AJ155" i="23"/>
  <c r="AJ189" i="23"/>
  <c r="AJ220" i="23"/>
  <c r="AJ244" i="23"/>
  <c r="AJ273" i="23"/>
  <c r="AJ298" i="23"/>
  <c r="AJ322" i="23"/>
  <c r="AJ253" i="23"/>
  <c r="AJ295" i="23"/>
  <c r="AJ330" i="23"/>
  <c r="AJ357" i="23"/>
  <c r="AJ378" i="23"/>
  <c r="AJ370" i="23"/>
  <c r="AJ48" i="23"/>
  <c r="AJ71" i="23"/>
  <c r="AJ108" i="23"/>
  <c r="AJ115" i="23"/>
  <c r="AJ49" i="23"/>
  <c r="AJ110" i="23"/>
  <c r="AJ161" i="23"/>
  <c r="AJ158" i="23"/>
  <c r="AJ227" i="23"/>
  <c r="AJ279" i="23"/>
  <c r="AJ215" i="23"/>
  <c r="AJ304" i="23"/>
  <c r="AJ360" i="23"/>
  <c r="F7" i="23"/>
  <c r="AJ74" i="23"/>
  <c r="AJ128" i="23"/>
  <c r="AJ194" i="23"/>
  <c r="AJ201" i="23"/>
  <c r="AJ257" i="23"/>
  <c r="AJ307" i="23"/>
  <c r="AJ266" i="23"/>
  <c r="AJ339" i="23"/>
  <c r="AJ343" i="23"/>
  <c r="AJ134" i="23"/>
  <c r="AJ58" i="23"/>
  <c r="AJ182" i="23"/>
  <c r="AJ243" i="23"/>
  <c r="AJ321" i="23"/>
  <c r="AJ292" i="23"/>
  <c r="AJ356" i="23"/>
  <c r="AJ362" i="23"/>
  <c r="AJ67" i="23"/>
  <c r="AJ112" i="23"/>
  <c r="AJ187" i="23"/>
  <c r="AJ192" i="23"/>
  <c r="AJ246" i="23"/>
  <c r="AJ301" i="23"/>
  <c r="AJ256" i="23"/>
  <c r="AJ333" i="23"/>
  <c r="AJ326" i="23"/>
  <c r="AJ17" i="23"/>
  <c r="AJ116" i="23"/>
  <c r="AJ54" i="23"/>
  <c r="AJ169" i="23"/>
  <c r="AJ232" i="23"/>
  <c r="AJ225" i="23"/>
  <c r="AJ366" i="23"/>
  <c r="AJ93" i="23"/>
  <c r="AJ202" i="23"/>
  <c r="AJ264" i="23"/>
  <c r="AJ275" i="23"/>
  <c r="AJ348" i="23"/>
  <c r="AJ33" i="23"/>
  <c r="AJ151" i="23"/>
  <c r="AJ131" i="23"/>
  <c r="AJ203" i="23"/>
  <c r="AJ309" i="23"/>
  <c r="AJ340" i="23"/>
  <c r="AJ31" i="23"/>
  <c r="AJ176" i="23"/>
  <c r="AJ237" i="23"/>
  <c r="AJ235" i="23"/>
  <c r="AJ369" i="23"/>
  <c r="AJ24" i="23"/>
  <c r="AJ50" i="23"/>
  <c r="AJ62" i="23"/>
  <c r="AJ75" i="23"/>
  <c r="AJ82" i="23"/>
  <c r="AJ113" i="23"/>
  <c r="AJ146" i="23"/>
  <c r="AJ120" i="23"/>
  <c r="AJ38" i="23"/>
  <c r="AJ70" i="23"/>
  <c r="AJ117" i="23"/>
  <c r="AJ125" i="23"/>
  <c r="AJ164" i="23"/>
  <c r="AJ193" i="23"/>
  <c r="AJ163" i="23"/>
  <c r="AJ198" i="23"/>
  <c r="AJ229" i="23"/>
  <c r="AJ254" i="23"/>
  <c r="AJ281" i="23"/>
  <c r="AJ305" i="23"/>
  <c r="AJ222" i="23"/>
  <c r="AJ262" i="23"/>
  <c r="AJ308" i="23"/>
  <c r="AJ338" i="23"/>
  <c r="AJ364" i="23"/>
  <c r="AJ337" i="23"/>
  <c r="AJ16" i="23"/>
  <c r="AJ56" i="23"/>
  <c r="AJ79" i="23"/>
  <c r="AJ133" i="23"/>
  <c r="AJ136" i="23"/>
  <c r="AJ172" i="23"/>
  <c r="AJ199" i="23"/>
  <c r="AJ168" i="23"/>
  <c r="AJ204" i="23"/>
  <c r="AJ233" i="23"/>
  <c r="AJ261" i="23"/>
  <c r="AJ284" i="23"/>
  <c r="AJ310" i="23"/>
  <c r="AJ230" i="23"/>
  <c r="AJ268" i="23"/>
  <c r="AJ317" i="23"/>
  <c r="AJ341" i="23"/>
  <c r="AJ367" i="23"/>
  <c r="AJ346" i="23"/>
  <c r="AJ380" i="23"/>
  <c r="AJ51" i="23"/>
  <c r="AJ94" i="23"/>
  <c r="AJ140" i="23"/>
  <c r="AJ21" i="23"/>
  <c r="AJ72" i="23"/>
  <c r="AJ119" i="23"/>
  <c r="AJ188" i="23"/>
  <c r="AJ196" i="23"/>
  <c r="AJ250" i="23"/>
  <c r="AJ302" i="23"/>
  <c r="AJ258" i="23"/>
  <c r="AJ335" i="23"/>
  <c r="AJ331" i="23"/>
  <c r="AJ52" i="23"/>
  <c r="AJ123" i="23"/>
  <c r="AJ167" i="23"/>
  <c r="AJ165" i="23"/>
  <c r="AJ231" i="23"/>
  <c r="AJ282" i="23"/>
  <c r="AJ224" i="23"/>
  <c r="AJ311" i="23"/>
  <c r="AJ365" i="23"/>
  <c r="AJ18" i="23"/>
  <c r="AJ88" i="23"/>
  <c r="AJ137" i="23"/>
  <c r="AJ100" i="23"/>
  <c r="AJ185" i="23"/>
  <c r="AJ297" i="23"/>
  <c r="AJ251" i="23"/>
  <c r="AJ329" i="23"/>
  <c r="AJ377" i="23"/>
  <c r="AJ47" i="23"/>
  <c r="AJ107" i="23"/>
  <c r="AJ159" i="23"/>
  <c r="AJ157" i="23"/>
  <c r="AJ226" i="23"/>
  <c r="AJ278" i="23"/>
  <c r="AJ213" i="23"/>
  <c r="AJ299" i="23"/>
  <c r="AJ359" i="23"/>
  <c r="AJ374" i="23"/>
  <c r="AJ69" i="23"/>
  <c r="AJ122" i="23"/>
  <c r="AJ127" i="23"/>
  <c r="AJ166" i="23"/>
  <c r="AJ283" i="23"/>
  <c r="AJ312" i="23"/>
  <c r="AJ25" i="23"/>
  <c r="AJ144" i="23"/>
  <c r="AJ211" i="23"/>
  <c r="AJ314" i="23"/>
  <c r="AJ344" i="23"/>
  <c r="AJ29" i="23"/>
  <c r="AJ84" i="23"/>
  <c r="AJ77" i="23"/>
  <c r="AJ195" i="23"/>
  <c r="AJ259" i="23"/>
  <c r="AJ267" i="23"/>
  <c r="AJ345" i="23"/>
  <c r="AJ139" i="23"/>
  <c r="AJ171" i="23"/>
  <c r="AJ288" i="23"/>
  <c r="AJ323" i="23"/>
  <c r="AY372" i="6"/>
  <c r="AZ372" i="6" s="1"/>
  <c r="AM380" i="6" s="1"/>
  <c r="AM381" i="6" s="1"/>
  <c r="AY380" i="6"/>
  <c r="AZ380" i="6" s="1"/>
  <c r="AY373" i="6"/>
  <c r="AZ373" i="6" s="1"/>
  <c r="AT311" i="6"/>
  <c r="AT328" i="6"/>
  <c r="AT321" i="6"/>
  <c r="AT324" i="6"/>
  <c r="AT314" i="6"/>
  <c r="AT319" i="6"/>
  <c r="AT310" i="6"/>
  <c r="AT317" i="6"/>
  <c r="F174" i="1"/>
  <c r="I174" i="1" s="1"/>
  <c r="D25" i="7"/>
  <c r="AY379" i="6"/>
  <c r="AZ379" i="6" s="1"/>
  <c r="AT21" i="6"/>
  <c r="AY375" i="6"/>
  <c r="AZ375" i="6" s="1"/>
  <c r="AY376" i="6"/>
  <c r="AZ376" i="6" s="1"/>
  <c r="F245" i="1"/>
  <c r="G245" i="1" s="1"/>
  <c r="BW245" i="6" s="1"/>
  <c r="P120" i="1"/>
  <c r="V120" i="1" s="1"/>
  <c r="P106" i="1"/>
  <c r="V106" i="1" s="1"/>
  <c r="T262" i="1"/>
  <c r="AH229" i="1"/>
  <c r="AI383" i="1"/>
  <c r="AH16" i="1"/>
  <c r="AH381" i="1" s="1"/>
  <c r="T379" i="1"/>
  <c r="BR16" i="7"/>
  <c r="BL16" i="7"/>
  <c r="BX16" i="7"/>
  <c r="U12" i="15"/>
  <c r="D16" i="7"/>
  <c r="J11" i="7" s="1"/>
  <c r="U11" i="15" s="1"/>
  <c r="T76" i="1"/>
  <c r="AI382" i="1"/>
  <c r="U383" i="1"/>
  <c r="AD72" i="1"/>
  <c r="AA72" i="1" s="1"/>
  <c r="Z72" i="1" s="1"/>
  <c r="Y72" i="1" s="1"/>
  <c r="P228" i="1"/>
  <c r="V228" i="1" s="1"/>
  <c r="P177" i="1"/>
  <c r="V177" i="1" s="1"/>
  <c r="F177" i="1" s="1"/>
  <c r="P244" i="1"/>
  <c r="V244" i="1" s="1"/>
  <c r="F244" i="1" s="1"/>
  <c r="I244" i="1" s="1"/>
  <c r="P301" i="1"/>
  <c r="V301" i="1" s="1"/>
  <c r="AD293" i="1"/>
  <c r="F183" i="1"/>
  <c r="G183" i="1" s="1"/>
  <c r="BW183" i="6" s="1"/>
  <c r="F180" i="1"/>
  <c r="AA180" i="1" s="1"/>
  <c r="Z180" i="1" s="1"/>
  <c r="Y180" i="1" s="1"/>
  <c r="P305" i="1"/>
  <c r="V305" i="1" s="1"/>
  <c r="F305" i="1" s="1"/>
  <c r="P289" i="1"/>
  <c r="V289" i="1" s="1"/>
  <c r="F289" i="1" s="1"/>
  <c r="P306" i="1"/>
  <c r="V306" i="1" s="1"/>
  <c r="AD219" i="1"/>
  <c r="P204" i="1"/>
  <c r="V204" i="1" s="1"/>
  <c r="F204" i="1" s="1"/>
  <c r="P203" i="1"/>
  <c r="V203" i="1" s="1"/>
  <c r="F203" i="1" s="1"/>
  <c r="P214" i="1"/>
  <c r="V214" i="1" s="1"/>
  <c r="F214" i="1" s="1"/>
  <c r="P247" i="1"/>
  <c r="V247" i="1" s="1"/>
  <c r="F247" i="1" s="1"/>
  <c r="P175" i="1"/>
  <c r="V175" i="1" s="1"/>
  <c r="F175" i="1" s="1"/>
  <c r="AA175" i="1" s="1"/>
  <c r="Z175" i="1" s="1"/>
  <c r="Y175" i="1" s="1"/>
  <c r="P284" i="1"/>
  <c r="V284" i="1" s="1"/>
  <c r="F284" i="1" s="1"/>
  <c r="AA284" i="1" s="1"/>
  <c r="Z284" i="1" s="1"/>
  <c r="Y284" i="1" s="1"/>
  <c r="AD270" i="1"/>
  <c r="P272" i="1"/>
  <c r="V272" i="1" s="1"/>
  <c r="AA74" i="1"/>
  <c r="Z74" i="1" s="1"/>
  <c r="Y74" i="1" s="1"/>
  <c r="AD132" i="1"/>
  <c r="P229" i="1"/>
  <c r="V229" i="1" s="1"/>
  <c r="F229" i="1" s="1"/>
  <c r="G229" i="1" s="1"/>
  <c r="BW229" i="6" s="1"/>
  <c r="P256" i="1"/>
  <c r="V256" i="1" s="1"/>
  <c r="F256" i="1" s="1"/>
  <c r="I256" i="1" s="1"/>
  <c r="P315" i="1"/>
  <c r="V315" i="1" s="1"/>
  <c r="F315" i="1" s="1"/>
  <c r="I315" i="1" s="1"/>
  <c r="P237" i="1"/>
  <c r="V237" i="1" s="1"/>
  <c r="F237" i="1" s="1"/>
  <c r="G237" i="1" s="1"/>
  <c r="BW237" i="6" s="1"/>
  <c r="P199" i="1"/>
  <c r="V199" i="1" s="1"/>
  <c r="F199" i="1" s="1"/>
  <c r="G199" i="1" s="1"/>
  <c r="BW199" i="6" s="1"/>
  <c r="P125" i="1"/>
  <c r="V125" i="1" s="1"/>
  <c r="AA125" i="1" s="1"/>
  <c r="Z125" i="1" s="1"/>
  <c r="Y125" i="1" s="1"/>
  <c r="P277" i="1"/>
  <c r="V277" i="1" s="1"/>
  <c r="F277" i="1" s="1"/>
  <c r="I277" i="1" s="1"/>
  <c r="P168" i="1"/>
  <c r="V168" i="1" s="1"/>
  <c r="P65" i="1"/>
  <c r="V65" i="1" s="1"/>
  <c r="AA65" i="1" s="1"/>
  <c r="Z65" i="1" s="1"/>
  <c r="Y65" i="1" s="1"/>
  <c r="AD261" i="1"/>
  <c r="AA261" i="1" s="1"/>
  <c r="Z261" i="1" s="1"/>
  <c r="Y261" i="1" s="1"/>
  <c r="P359" i="1"/>
  <c r="V359" i="1" s="1"/>
  <c r="F359" i="1" s="1"/>
  <c r="I359" i="1" s="1"/>
  <c r="AD128" i="1"/>
  <c r="T239" i="1"/>
  <c r="S189" i="1"/>
  <c r="R189" i="1" s="1"/>
  <c r="P189" i="1" s="1"/>
  <c r="T154" i="1"/>
  <c r="S154" i="1" s="1"/>
  <c r="R154" i="1" s="1"/>
  <c r="T16" i="1"/>
  <c r="U381" i="1"/>
  <c r="AI381" i="1"/>
  <c r="P231" i="1"/>
  <c r="V231" i="1" s="1"/>
  <c r="F231" i="1" s="1"/>
  <c r="AA231" i="1" s="1"/>
  <c r="Z231" i="1" s="1"/>
  <c r="Y231" i="1" s="1"/>
  <c r="U382" i="1"/>
  <c r="AD295" i="1"/>
  <c r="P122" i="1"/>
  <c r="V122" i="1" s="1"/>
  <c r="AA122" i="1" s="1"/>
  <c r="Z122" i="1" s="1"/>
  <c r="Y122" i="1" s="1"/>
  <c r="P236" i="1"/>
  <c r="P201" i="1"/>
  <c r="V201" i="1" s="1"/>
  <c r="F201" i="1" s="1"/>
  <c r="AA201" i="1" s="1"/>
  <c r="Z201" i="1" s="1"/>
  <c r="Y201" i="1" s="1"/>
  <c r="P299" i="1"/>
  <c r="AD179" i="1"/>
  <c r="AD263" i="1"/>
  <c r="AA263" i="1" s="1"/>
  <c r="Z263" i="1" s="1"/>
  <c r="Y263" i="1" s="1"/>
  <c r="AA129" i="1"/>
  <c r="Z129" i="1" s="1"/>
  <c r="Y129" i="1" s="1"/>
  <c r="AA73" i="1"/>
  <c r="Z73" i="1" s="1"/>
  <c r="Y73" i="1" s="1"/>
  <c r="AA111" i="1"/>
  <c r="Z111" i="1" s="1"/>
  <c r="Y111" i="1" s="1"/>
  <c r="AC10" i="16"/>
  <c r="O10" i="16"/>
  <c r="AH13" i="7"/>
  <c r="O11" i="22"/>
  <c r="AT18" i="6"/>
  <c r="F268" i="1"/>
  <c r="AA268" i="1" s="1"/>
  <c r="Z268" i="1" s="1"/>
  <c r="Y268" i="1" s="1"/>
  <c r="AT19" i="6"/>
  <c r="AA117" i="1"/>
  <c r="Z117" i="1" s="1"/>
  <c r="Y117" i="1" s="1"/>
  <c r="AY78" i="6"/>
  <c r="AY72" i="6"/>
  <c r="AY64" i="6"/>
  <c r="AT44" i="6"/>
  <c r="AZ44" i="6" s="1"/>
  <c r="AT224" i="6"/>
  <c r="AY289" i="6"/>
  <c r="AT195" i="6"/>
  <c r="AY302" i="6"/>
  <c r="AY312" i="6"/>
  <c r="AT32" i="6"/>
  <c r="AT52" i="6"/>
  <c r="AZ52" i="6" s="1"/>
  <c r="AT274" i="6"/>
  <c r="AT295" i="6"/>
  <c r="AY88" i="6"/>
  <c r="AT25" i="6"/>
  <c r="AY73" i="6"/>
  <c r="AT51" i="6"/>
  <c r="AZ51" i="6" s="1"/>
  <c r="P348" i="1"/>
  <c r="V348" i="1" s="1"/>
  <c r="G294" i="1"/>
  <c r="BW294" i="6" s="1"/>
  <c r="AD36" i="1"/>
  <c r="AD346" i="1"/>
  <c r="AY148" i="6"/>
  <c r="AZ148" i="6" s="1"/>
  <c r="W380" i="6" s="1"/>
  <c r="W381" i="6" s="1"/>
  <c r="P36" i="1"/>
  <c r="V36" i="1" s="1"/>
  <c r="I198" i="1"/>
  <c r="AT110" i="6"/>
  <c r="AT101" i="6"/>
  <c r="AT83" i="6"/>
  <c r="AA163" i="1"/>
  <c r="Z163" i="1" s="1"/>
  <c r="Y163" i="1" s="1"/>
  <c r="AD353" i="1"/>
  <c r="G211" i="1"/>
  <c r="BW211" i="6" s="1"/>
  <c r="F371" i="1"/>
  <c r="G371" i="1" s="1"/>
  <c r="BW371" i="6" s="1"/>
  <c r="G265" i="1"/>
  <c r="BW265" i="6" s="1"/>
  <c r="I185" i="1"/>
  <c r="F295" i="1"/>
  <c r="I295" i="1" s="1"/>
  <c r="P52" i="1"/>
  <c r="V52" i="1" s="1"/>
  <c r="P40" i="1"/>
  <c r="V40" i="1" s="1"/>
  <c r="AD39" i="1"/>
  <c r="G282" i="1"/>
  <c r="BW282" i="6" s="1"/>
  <c r="I172" i="1"/>
  <c r="G243" i="1"/>
  <c r="BW243" i="6" s="1"/>
  <c r="I369" i="1"/>
  <c r="AA194" i="1"/>
  <c r="Z194" i="1" s="1"/>
  <c r="Y194" i="1" s="1"/>
  <c r="AA110" i="1"/>
  <c r="Z110" i="1" s="1"/>
  <c r="Y110" i="1" s="1"/>
  <c r="AD356" i="1"/>
  <c r="I176" i="1"/>
  <c r="P345" i="1"/>
  <c r="V345" i="1" s="1"/>
  <c r="I234" i="1"/>
  <c r="AY86" i="6"/>
  <c r="AY69" i="6"/>
  <c r="AY65" i="6"/>
  <c r="AY91" i="6"/>
  <c r="AY71" i="6"/>
  <c r="AY81" i="6"/>
  <c r="AY90" i="6"/>
  <c r="AY83" i="6"/>
  <c r="AY66" i="6"/>
  <c r="AY87" i="6"/>
  <c r="AT64" i="6"/>
  <c r="AT66" i="6"/>
  <c r="AT59" i="6"/>
  <c r="AZ59" i="6" s="1"/>
  <c r="AT72" i="6"/>
  <c r="AT75" i="6"/>
  <c r="AT74" i="6"/>
  <c r="AT50" i="6"/>
  <c r="AZ50" i="6" s="1"/>
  <c r="P380" i="6" s="1"/>
  <c r="P381" i="6" s="1"/>
  <c r="AT43" i="6"/>
  <c r="AZ43" i="6" s="1"/>
  <c r="AT45" i="6"/>
  <c r="AZ45" i="6" s="1"/>
  <c r="AT31" i="6"/>
  <c r="AT22" i="6"/>
  <c r="AY102" i="6"/>
  <c r="V187" i="1"/>
  <c r="F187" i="1" s="1"/>
  <c r="P347" i="1"/>
  <c r="V347" i="1" s="1"/>
  <c r="F347" i="1" s="1"/>
  <c r="F266" i="1"/>
  <c r="G266" i="1" s="1"/>
  <c r="BW266" i="6" s="1"/>
  <c r="AY68" i="6"/>
  <c r="AY89" i="6"/>
  <c r="AY70" i="6"/>
  <c r="AT38" i="6"/>
  <c r="AZ38" i="6" s="1"/>
  <c r="AT33" i="6"/>
  <c r="AY67" i="6"/>
  <c r="AY76" i="6"/>
  <c r="AY80" i="6"/>
  <c r="AY74" i="6"/>
  <c r="P47" i="1"/>
  <c r="V47" i="1" s="1"/>
  <c r="I278" i="1"/>
  <c r="AD51" i="1"/>
  <c r="AA51" i="1" s="1"/>
  <c r="Z51" i="1" s="1"/>
  <c r="Y51" i="1" s="1"/>
  <c r="P48" i="1"/>
  <c r="V48" i="1" s="1"/>
  <c r="AA48" i="1" s="1"/>
  <c r="Z48" i="1" s="1"/>
  <c r="Y48" i="1" s="1"/>
  <c r="AT36" i="6"/>
  <c r="AY84" i="6"/>
  <c r="AY79" i="6"/>
  <c r="AT199" i="6"/>
  <c r="AT244" i="6"/>
  <c r="AY132" i="6"/>
  <c r="AY119" i="6"/>
  <c r="AY310" i="6"/>
  <c r="AY313" i="6"/>
  <c r="AT46" i="6"/>
  <c r="AZ46" i="6" s="1"/>
  <c r="AT65" i="6"/>
  <c r="AT69" i="6"/>
  <c r="AT67" i="6"/>
  <c r="AT62" i="6"/>
  <c r="AZ62" i="6" s="1"/>
  <c r="G217" i="1"/>
  <c r="BW217" i="6" s="1"/>
  <c r="I209" i="1"/>
  <c r="G212" i="1"/>
  <c r="BW212" i="6" s="1"/>
  <c r="AZ58" i="6"/>
  <c r="AY121" i="6"/>
  <c r="AY96" i="6"/>
  <c r="AY115" i="6"/>
  <c r="AY294" i="6"/>
  <c r="J26" i="6"/>
  <c r="P26" i="1" s="1"/>
  <c r="V26" i="1" s="1"/>
  <c r="J27" i="6"/>
  <c r="P27" i="1" s="1"/>
  <c r="V27" i="1" s="1"/>
  <c r="J29" i="6"/>
  <c r="AD29" i="1" s="1"/>
  <c r="J30" i="6"/>
  <c r="P30" i="1" s="1"/>
  <c r="V30" i="1" s="1"/>
  <c r="J138" i="6"/>
  <c r="J151" i="6"/>
  <c r="P151" i="1" s="1"/>
  <c r="V151" i="1" s="1"/>
  <c r="J154" i="6"/>
  <c r="J149" i="6"/>
  <c r="J147" i="6"/>
  <c r="AD147" i="1" s="1"/>
  <c r="J136" i="6"/>
  <c r="J148" i="6"/>
  <c r="AT122" i="6"/>
  <c r="AT78" i="6"/>
  <c r="AT126" i="6"/>
  <c r="AT119" i="6"/>
  <c r="AT102" i="6"/>
  <c r="G307" i="1"/>
  <c r="BW307" i="6" s="1"/>
  <c r="AA307" i="1"/>
  <c r="Z307" i="1" s="1"/>
  <c r="Y307" i="1" s="1"/>
  <c r="P356" i="1"/>
  <c r="V356" i="1" s="1"/>
  <c r="F356" i="1" s="1"/>
  <c r="AD47" i="1"/>
  <c r="AD60" i="1"/>
  <c r="P60" i="1"/>
  <c r="D21" i="7" s="1"/>
  <c r="I307" i="1"/>
  <c r="P43" i="1"/>
  <c r="V43" i="1" s="1"/>
  <c r="J25" i="6"/>
  <c r="AT121" i="6"/>
  <c r="AT80" i="6"/>
  <c r="AA193" i="1"/>
  <c r="Z193" i="1" s="1"/>
  <c r="Y193" i="1" s="1"/>
  <c r="I253" i="1"/>
  <c r="G253" i="1"/>
  <c r="BW253" i="6" s="1"/>
  <c r="J157" i="6"/>
  <c r="AD157" i="1" s="1"/>
  <c r="J145" i="6"/>
  <c r="P145" i="1" s="1"/>
  <c r="V145" i="1" s="1"/>
  <c r="AY125" i="6"/>
  <c r="AY100" i="6"/>
  <c r="AY109" i="6"/>
  <c r="AA176" i="1"/>
  <c r="Z176" i="1" s="1"/>
  <c r="Y176" i="1" s="1"/>
  <c r="P344" i="1"/>
  <c r="V344" i="1" s="1"/>
  <c r="F344" i="1" s="1"/>
  <c r="G304" i="1"/>
  <c r="BW304" i="6" s="1"/>
  <c r="I304" i="1"/>
  <c r="J101" i="6"/>
  <c r="J102" i="6"/>
  <c r="J93" i="6"/>
  <c r="J90" i="6"/>
  <c r="P153" i="1"/>
  <c r="V153" i="1" s="1"/>
  <c r="AD153" i="1"/>
  <c r="V55" i="6"/>
  <c r="AY275" i="6" s="1"/>
  <c r="T55" i="6"/>
  <c r="AY213" i="6" s="1"/>
  <c r="AT103" i="6"/>
  <c r="AT81" i="6"/>
  <c r="AT98" i="6"/>
  <c r="AT79" i="6"/>
  <c r="AT111" i="6"/>
  <c r="AT127" i="6"/>
  <c r="AT92" i="6"/>
  <c r="AT99" i="6"/>
  <c r="AT105" i="6"/>
  <c r="AT108" i="6"/>
  <c r="AT85" i="6"/>
  <c r="AT90" i="6"/>
  <c r="AT115" i="6"/>
  <c r="AT86" i="6"/>
  <c r="AT123" i="6"/>
  <c r="AT112" i="6"/>
  <c r="AT109" i="6"/>
  <c r="AT82" i="6"/>
  <c r="AZ82" i="6" s="1"/>
  <c r="AT124" i="6"/>
  <c r="AT93" i="6"/>
  <c r="AT118" i="6"/>
  <c r="AT133" i="6"/>
  <c r="AT116" i="6"/>
  <c r="AT87" i="6"/>
  <c r="AT132" i="6"/>
  <c r="AT129" i="6"/>
  <c r="AT120" i="6"/>
  <c r="J87" i="6"/>
  <c r="I250" i="1"/>
  <c r="D26" i="7"/>
  <c r="AY316" i="6"/>
  <c r="AY330" i="6"/>
  <c r="AZ330" i="6" s="1"/>
  <c r="AJ380" i="6" s="1"/>
  <c r="AJ381" i="6" s="1"/>
  <c r="AY354" i="6"/>
  <c r="AZ354" i="6" s="1"/>
  <c r="AY362" i="6"/>
  <c r="AZ362" i="6" s="1"/>
  <c r="AY332" i="6"/>
  <c r="AZ332" i="6" s="1"/>
  <c r="AY329" i="6"/>
  <c r="AY337" i="6"/>
  <c r="AZ337" i="6" s="1"/>
  <c r="AY331" i="6"/>
  <c r="AZ331" i="6" s="1"/>
  <c r="AY342" i="6"/>
  <c r="AZ342" i="6" s="1"/>
  <c r="AY352" i="6"/>
  <c r="AZ352" i="6" s="1"/>
  <c r="AY320" i="6"/>
  <c r="AY350" i="6"/>
  <c r="AZ350" i="6" s="1"/>
  <c r="AY343" i="6"/>
  <c r="AZ343" i="6" s="1"/>
  <c r="AY365" i="6"/>
  <c r="AZ365" i="6" s="1"/>
  <c r="AY360" i="6"/>
  <c r="AZ360" i="6" s="1"/>
  <c r="AY317" i="6"/>
  <c r="AD348" i="1"/>
  <c r="AD40" i="1"/>
  <c r="P39" i="1"/>
  <c r="V39" i="1" s="1"/>
  <c r="AD345" i="1"/>
  <c r="I212" i="1"/>
  <c r="I254" i="1"/>
  <c r="AT125" i="6"/>
  <c r="AT89" i="6"/>
  <c r="AT128" i="6"/>
  <c r="AT130" i="6"/>
  <c r="AT91" i="6"/>
  <c r="AT97" i="6"/>
  <c r="AT88" i="6"/>
  <c r="AT113" i="6"/>
  <c r="AT100" i="6"/>
  <c r="AT107" i="6"/>
  <c r="J104" i="6"/>
  <c r="AT95" i="6"/>
  <c r="J79" i="6"/>
  <c r="AT96" i="6"/>
  <c r="AY143" i="6"/>
  <c r="AZ143" i="6" s="1"/>
  <c r="AY147" i="6"/>
  <c r="AZ147" i="6" s="1"/>
  <c r="AY93" i="6"/>
  <c r="V207" i="1"/>
  <c r="F207" i="1" s="1"/>
  <c r="AT17" i="6"/>
  <c r="AY130" i="6"/>
  <c r="AY106" i="6"/>
  <c r="AY95" i="6"/>
  <c r="AY146" i="6"/>
  <c r="AZ146" i="6" s="1"/>
  <c r="AY110" i="6"/>
  <c r="AY129" i="6"/>
  <c r="AY145" i="6"/>
  <c r="AZ145" i="6" s="1"/>
  <c r="AY114" i="6"/>
  <c r="AZ114" i="6" s="1"/>
  <c r="AY144" i="6"/>
  <c r="AZ144" i="6" s="1"/>
  <c r="AY118" i="6"/>
  <c r="AY136" i="6"/>
  <c r="AZ136" i="6" s="1"/>
  <c r="AY135" i="6"/>
  <c r="AZ135" i="6" s="1"/>
  <c r="G194" i="1"/>
  <c r="BW194" i="6" s="1"/>
  <c r="I194" i="1"/>
  <c r="AA254" i="1"/>
  <c r="Z254" i="1" s="1"/>
  <c r="Y254" i="1" s="1"/>
  <c r="I310" i="1"/>
  <c r="AJ9" i="15"/>
  <c r="AJ11" i="15" s="1"/>
  <c r="G273" i="1"/>
  <c r="BW273" i="6" s="1"/>
  <c r="I273" i="1"/>
  <c r="AA108" i="1"/>
  <c r="Z108" i="1" s="1"/>
  <c r="Y108" i="1" s="1"/>
  <c r="J155" i="6"/>
  <c r="J142" i="6"/>
  <c r="J159" i="6"/>
  <c r="J139" i="6"/>
  <c r="J160" i="6"/>
  <c r="J141" i="6"/>
  <c r="AY137" i="6"/>
  <c r="AZ137" i="6" s="1"/>
  <c r="AY120" i="6"/>
  <c r="AT309" i="6"/>
  <c r="AT242" i="6"/>
  <c r="AT206" i="6"/>
  <c r="AT223" i="6"/>
  <c r="AT215" i="6"/>
  <c r="AT203" i="6"/>
  <c r="AT239" i="6"/>
  <c r="AT282" i="6"/>
  <c r="AT280" i="6"/>
  <c r="AT293" i="6"/>
  <c r="AT278" i="6"/>
  <c r="AT289" i="6"/>
  <c r="AT214" i="6"/>
  <c r="AT197" i="6"/>
  <c r="AT297" i="6"/>
  <c r="AT284" i="6"/>
  <c r="AT300" i="6"/>
  <c r="AT20" i="6"/>
  <c r="AT196" i="6"/>
  <c r="AT213" i="6"/>
  <c r="AT16" i="6"/>
  <c r="AY99" i="6"/>
  <c r="AY133" i="6"/>
  <c r="AY98" i="6"/>
  <c r="AY134" i="6"/>
  <c r="AZ134" i="6" s="1"/>
  <c r="V380" i="6" s="1"/>
  <c r="V381" i="6" s="1"/>
  <c r="AT202" i="6"/>
  <c r="AT229" i="6"/>
  <c r="AT236" i="6"/>
  <c r="AT222" i="6"/>
  <c r="AT198" i="6"/>
  <c r="AT208" i="6"/>
  <c r="AT235" i="6"/>
  <c r="M55" i="6"/>
  <c r="AY23" i="6" s="1"/>
  <c r="AY128" i="6"/>
  <c r="AY97" i="6"/>
  <c r="AY117" i="6"/>
  <c r="AY124" i="6"/>
  <c r="AY116" i="6"/>
  <c r="AY127" i="6"/>
  <c r="AY311" i="6"/>
  <c r="AY293" i="6"/>
  <c r="AY112" i="6"/>
  <c r="AY123" i="6"/>
  <c r="AY131" i="6"/>
  <c r="AY94" i="6"/>
  <c r="AY113" i="6"/>
  <c r="AY290" i="6"/>
  <c r="AY105" i="6"/>
  <c r="AY92" i="6"/>
  <c r="J97" i="6"/>
  <c r="J94" i="6"/>
  <c r="J80" i="6"/>
  <c r="J81" i="6"/>
  <c r="J103" i="6"/>
  <c r="J105" i="6"/>
  <c r="J99" i="6"/>
  <c r="J89" i="6"/>
  <c r="J98" i="6"/>
  <c r="J96" i="6"/>
  <c r="J82" i="6"/>
  <c r="J88" i="6"/>
  <c r="J78" i="6"/>
  <c r="J92" i="6"/>
  <c r="J144" i="6"/>
  <c r="J86" i="6"/>
  <c r="J91" i="6"/>
  <c r="J161" i="6"/>
  <c r="J84" i="6"/>
  <c r="J100" i="6"/>
  <c r="AY126" i="6"/>
  <c r="AY138" i="6"/>
  <c r="AZ138" i="6" s="1"/>
  <c r="AY142" i="6"/>
  <c r="AZ142" i="6" s="1"/>
  <c r="J140" i="6"/>
  <c r="J134" i="6"/>
  <c r="J150" i="6"/>
  <c r="J143" i="6"/>
  <c r="J158" i="6"/>
  <c r="J146" i="6"/>
  <c r="J152" i="6"/>
  <c r="AY141" i="6"/>
  <c r="AZ141" i="6" s="1"/>
  <c r="AY122" i="6"/>
  <c r="AT117" i="6"/>
  <c r="AT106" i="6"/>
  <c r="AT104" i="6"/>
  <c r="AT84" i="6"/>
  <c r="AT94" i="6"/>
  <c r="AY139" i="6"/>
  <c r="AZ139" i="6" s="1"/>
  <c r="AT131" i="6"/>
  <c r="J85" i="6"/>
  <c r="J95" i="6"/>
  <c r="J137" i="6"/>
  <c r="J156" i="6"/>
  <c r="J135" i="6"/>
  <c r="AY140" i="6"/>
  <c r="AZ140" i="6" s="1"/>
  <c r="J83" i="6"/>
  <c r="AA195" i="1"/>
  <c r="Z195" i="1" s="1"/>
  <c r="Y195" i="1" s="1"/>
  <c r="I195" i="1"/>
  <c r="G195" i="1"/>
  <c r="BW195" i="6" s="1"/>
  <c r="V249" i="1"/>
  <c r="F249" i="1" s="1"/>
  <c r="V215" i="1"/>
  <c r="F215" i="1" s="1"/>
  <c r="V248" i="1"/>
  <c r="F248" i="1" s="1"/>
  <c r="V264" i="1"/>
  <c r="F264" i="1" s="1"/>
  <c r="V225" i="1"/>
  <c r="F225" i="1" s="1"/>
  <c r="V251" i="1"/>
  <c r="F251" i="1" s="1"/>
  <c r="V216" i="1"/>
  <c r="F216" i="1" s="1"/>
  <c r="V270" i="1"/>
  <c r="F270" i="1" s="1"/>
  <c r="V205" i="1"/>
  <c r="F205" i="1" s="1"/>
  <c r="I202" i="1"/>
  <c r="G202" i="1"/>
  <c r="BW202" i="6" s="1"/>
  <c r="AA202" i="1"/>
  <c r="Z202" i="1" s="1"/>
  <c r="Y202" i="1" s="1"/>
  <c r="I233" i="1"/>
  <c r="G233" i="1"/>
  <c r="BW233" i="6" s="1"/>
  <c r="AA70" i="1"/>
  <c r="Z70" i="1" s="1"/>
  <c r="Y70" i="1" s="1"/>
  <c r="V246" i="1"/>
  <c r="F246" i="1" s="1"/>
  <c r="G255" i="1"/>
  <c r="BW255" i="6" s="1"/>
  <c r="AY298" i="6"/>
  <c r="AY299" i="6"/>
  <c r="AY309" i="6"/>
  <c r="AY304" i="6"/>
  <c r="AY315" i="6"/>
  <c r="AY295" i="6"/>
  <c r="AY307" i="6"/>
  <c r="AT217" i="6"/>
  <c r="AT245" i="6"/>
  <c r="AT233" i="6"/>
  <c r="AT218" i="6"/>
  <c r="AT192" i="6"/>
  <c r="AT220" i="6"/>
  <c r="AT29" i="6"/>
  <c r="AT37" i="6"/>
  <c r="AZ37" i="6" s="1"/>
  <c r="AT48" i="6"/>
  <c r="AZ48" i="6" s="1"/>
  <c r="AT35" i="6"/>
  <c r="AT26" i="6"/>
  <c r="AT219" i="6"/>
  <c r="AT221" i="6"/>
  <c r="AT205" i="6"/>
  <c r="AT234" i="6"/>
  <c r="AT241" i="6"/>
  <c r="AT201" i="6"/>
  <c r="AT191" i="6"/>
  <c r="AT228" i="6"/>
  <c r="AT237" i="6"/>
  <c r="AT49" i="6"/>
  <c r="AZ49" i="6" s="1"/>
  <c r="AT47" i="6"/>
  <c r="AZ47" i="6" s="1"/>
  <c r="AT40" i="6"/>
  <c r="AZ40" i="6" s="1"/>
  <c r="AT39" i="6"/>
  <c r="AZ39" i="6" s="1"/>
  <c r="AT30" i="6"/>
  <c r="AT34" i="6"/>
  <c r="AT27" i="6"/>
  <c r="AT225" i="6"/>
  <c r="AT231" i="6"/>
  <c r="AT243" i="6"/>
  <c r="AT23" i="6"/>
  <c r="AT28" i="6"/>
  <c r="AT238" i="6"/>
  <c r="J21" i="6"/>
  <c r="J17" i="6"/>
  <c r="J33" i="6"/>
  <c r="J15" i="6"/>
  <c r="J18" i="6"/>
  <c r="J19" i="6"/>
  <c r="J28" i="6"/>
  <c r="J35" i="6"/>
  <c r="J24" i="6"/>
  <c r="J22" i="6"/>
  <c r="J20" i="6"/>
  <c r="J31" i="6"/>
  <c r="J23" i="6"/>
  <c r="J32" i="6"/>
  <c r="AY303" i="6"/>
  <c r="AY306" i="6"/>
  <c r="AY308" i="6"/>
  <c r="AY301" i="6"/>
  <c r="AT230" i="6"/>
  <c r="AT209" i="6"/>
  <c r="AT212" i="6"/>
  <c r="AT226" i="6"/>
  <c r="AT240" i="6"/>
  <c r="AT194" i="6"/>
  <c r="AT216" i="6"/>
  <c r="AT193" i="6"/>
  <c r="AT210" i="6"/>
  <c r="AT190" i="6"/>
  <c r="AY305" i="6"/>
  <c r="AY292" i="6"/>
  <c r="AY314" i="6"/>
  <c r="AY297" i="6"/>
  <c r="AY291" i="6"/>
  <c r="AY296" i="6"/>
  <c r="J34" i="6"/>
  <c r="AY104" i="6"/>
  <c r="AY101" i="6"/>
  <c r="AY103" i="6"/>
  <c r="AY108" i="6"/>
  <c r="AY111" i="6"/>
  <c r="AY107" i="6"/>
  <c r="AY300" i="6"/>
  <c r="AY288" i="6"/>
  <c r="AT207" i="6"/>
  <c r="AT200" i="6"/>
  <c r="AT227" i="6"/>
  <c r="AT211" i="6"/>
  <c r="AT232" i="6"/>
  <c r="AT41" i="6"/>
  <c r="AZ41" i="6" s="1"/>
  <c r="AT24" i="6"/>
  <c r="AY85" i="6"/>
  <c r="AT73" i="6"/>
  <c r="AT56" i="6"/>
  <c r="AZ56" i="6" s="1"/>
  <c r="AT77" i="6"/>
  <c r="AT57" i="6"/>
  <c r="AZ57" i="6" s="1"/>
  <c r="AT71" i="6"/>
  <c r="AT76" i="6"/>
  <c r="AT68" i="6"/>
  <c r="AT60" i="6"/>
  <c r="AZ60" i="6" s="1"/>
  <c r="AT55" i="6"/>
  <c r="AZ55" i="6" s="1"/>
  <c r="AT61" i="6"/>
  <c r="AZ61" i="6" s="1"/>
  <c r="AT70" i="6"/>
  <c r="AT53" i="6"/>
  <c r="AZ53" i="6" s="1"/>
  <c r="AT63" i="6"/>
  <c r="AZ63" i="6" s="1"/>
  <c r="AT54" i="6"/>
  <c r="AZ54" i="6" s="1"/>
  <c r="AY75" i="6"/>
  <c r="AT42" i="6"/>
  <c r="AZ42" i="6" s="1"/>
  <c r="AY319" i="6"/>
  <c r="AY369" i="6"/>
  <c r="AZ369" i="6" s="1"/>
  <c r="AY345" i="6"/>
  <c r="AZ345" i="6" s="1"/>
  <c r="AY340" i="6"/>
  <c r="AZ340" i="6" s="1"/>
  <c r="AY335" i="6"/>
  <c r="AZ335" i="6" s="1"/>
  <c r="AY328" i="6"/>
  <c r="AY341" i="6"/>
  <c r="AZ341" i="6" s="1"/>
  <c r="AY324" i="6"/>
  <c r="AY367" i="6"/>
  <c r="AZ367" i="6" s="1"/>
  <c r="AY346" i="6"/>
  <c r="AZ346" i="6" s="1"/>
  <c r="AY356" i="6"/>
  <c r="AZ356" i="6" s="1"/>
  <c r="AY363" i="6"/>
  <c r="AZ363" i="6" s="1"/>
  <c r="AY338" i="6"/>
  <c r="AZ338" i="6" s="1"/>
  <c r="AY349" i="6"/>
  <c r="AZ349" i="6" s="1"/>
  <c r="AY361" i="6"/>
  <c r="AZ361" i="6" s="1"/>
  <c r="AT313" i="6"/>
  <c r="AT323" i="6"/>
  <c r="AT318" i="6"/>
  <c r="AT320" i="6"/>
  <c r="AT307" i="6"/>
  <c r="AT316" i="6"/>
  <c r="AT322" i="6"/>
  <c r="AT275" i="6"/>
  <c r="AT301" i="6"/>
  <c r="AT283" i="6"/>
  <c r="AT285" i="6"/>
  <c r="AT288" i="6"/>
  <c r="AT277" i="6"/>
  <c r="AT294" i="6"/>
  <c r="AT292" i="6"/>
  <c r="AT290" i="6"/>
  <c r="AT279" i="6"/>
  <c r="F170" i="1"/>
  <c r="AA170" i="1" s="1"/>
  <c r="Z170" i="1" s="1"/>
  <c r="Y170" i="1" s="1"/>
  <c r="I224" i="1"/>
  <c r="AA224" i="1"/>
  <c r="Z224" i="1" s="1"/>
  <c r="Y224" i="1" s="1"/>
  <c r="I292" i="1"/>
  <c r="G292" i="1"/>
  <c r="BW292" i="6" s="1"/>
  <c r="G221" i="1"/>
  <c r="BW221" i="6" s="1"/>
  <c r="I182" i="1"/>
  <c r="G182" i="1"/>
  <c r="BW182" i="6" s="1"/>
  <c r="AA178" i="1"/>
  <c r="Z178" i="1" s="1"/>
  <c r="Y178" i="1" s="1"/>
  <c r="AA173" i="1"/>
  <c r="Z173" i="1" s="1"/>
  <c r="Y173" i="1" s="1"/>
  <c r="G242" i="1"/>
  <c r="BW242" i="6" s="1"/>
  <c r="I242" i="1"/>
  <c r="AA242" i="1"/>
  <c r="Z242" i="1" s="1"/>
  <c r="Y242" i="1" s="1"/>
  <c r="AA240" i="1"/>
  <c r="Z240" i="1" s="1"/>
  <c r="Y240" i="1" s="1"/>
  <c r="I358" i="1"/>
  <c r="AA358" i="1"/>
  <c r="Z358" i="1" s="1"/>
  <c r="Y358" i="1" s="1"/>
  <c r="G358" i="1"/>
  <c r="BW358" i="6" s="1"/>
  <c r="I222" i="1"/>
  <c r="G222" i="1"/>
  <c r="BW222" i="6" s="1"/>
  <c r="AA222" i="1"/>
  <c r="Z222" i="1" s="1"/>
  <c r="Y222" i="1" s="1"/>
  <c r="G263" i="1"/>
  <c r="BW263" i="6" s="1"/>
  <c r="I263" i="1"/>
  <c r="I297" i="1"/>
  <c r="AA297" i="1"/>
  <c r="Z297" i="1" s="1"/>
  <c r="Y297" i="1" s="1"/>
  <c r="G297" i="1"/>
  <c r="BW297" i="6" s="1"/>
  <c r="I230" i="1"/>
  <c r="AA286" i="1"/>
  <c r="Z286" i="1" s="1"/>
  <c r="Y286" i="1" s="1"/>
  <c r="I286" i="1"/>
  <c r="G286" i="1"/>
  <c r="BW286" i="6" s="1"/>
  <c r="I283" i="1"/>
  <c r="I220" i="1"/>
  <c r="G220" i="1"/>
  <c r="BW220" i="6" s="1"/>
  <c r="AD58" i="1"/>
  <c r="P58" i="1"/>
  <c r="V58" i="1" s="1"/>
  <c r="P55" i="1"/>
  <c r="V55" i="1" s="1"/>
  <c r="AD55" i="1"/>
  <c r="AD37" i="1"/>
  <c r="P37" i="1"/>
  <c r="V37" i="1" s="1"/>
  <c r="AD331" i="1"/>
  <c r="P331" i="1"/>
  <c r="V331" i="1" s="1"/>
  <c r="P316" i="1"/>
  <c r="AD316" i="1"/>
  <c r="AD317" i="1"/>
  <c r="P317" i="1"/>
  <c r="G261" i="1"/>
  <c r="BW261" i="6" s="1"/>
  <c r="I261" i="1"/>
  <c r="P42" i="1"/>
  <c r="V42" i="1" s="1"/>
  <c r="AD42" i="1"/>
  <c r="P53" i="1"/>
  <c r="V53" i="1" s="1"/>
  <c r="AD53" i="1"/>
  <c r="AD57" i="1"/>
  <c r="P57" i="1"/>
  <c r="V57" i="1" s="1"/>
  <c r="P61" i="1"/>
  <c r="V61" i="1" s="1"/>
  <c r="AD61" i="1"/>
  <c r="AD326" i="1"/>
  <c r="P326" i="1"/>
  <c r="AD328" i="1"/>
  <c r="P328" i="1"/>
  <c r="P343" i="1"/>
  <c r="V343" i="1" s="1"/>
  <c r="AD343" i="1"/>
  <c r="AR12" i="6"/>
  <c r="AS15" i="6"/>
  <c r="AR13" i="6"/>
  <c r="AY368" i="6"/>
  <c r="AZ368" i="6" s="1"/>
  <c r="AY357" i="6"/>
  <c r="AZ357" i="6" s="1"/>
  <c r="AY347" i="6"/>
  <c r="AZ347" i="6" s="1"/>
  <c r="AY321" i="6"/>
  <c r="AY351" i="6"/>
  <c r="AZ351" i="6" s="1"/>
  <c r="AY339" i="6"/>
  <c r="AZ339" i="6" s="1"/>
  <c r="AY336" i="6"/>
  <c r="AZ336" i="6" s="1"/>
  <c r="AY327" i="6"/>
  <c r="AY322" i="6"/>
  <c r="AY325" i="6"/>
  <c r="AY359" i="6"/>
  <c r="AZ359" i="6" s="1"/>
  <c r="AY334" i="6"/>
  <c r="AZ334" i="6" s="1"/>
  <c r="AD62" i="1"/>
  <c r="P62" i="1"/>
  <c r="V62" i="1" s="1"/>
  <c r="P54" i="1"/>
  <c r="V54" i="1" s="1"/>
  <c r="AD54" i="1"/>
  <c r="AD50" i="1"/>
  <c r="P50" i="1"/>
  <c r="V50" i="1" s="1"/>
  <c r="P357" i="1"/>
  <c r="AD357" i="1"/>
  <c r="P349" i="1"/>
  <c r="V349" i="1" s="1"/>
  <c r="AD349" i="1"/>
  <c r="P336" i="1"/>
  <c r="V336" i="1" s="1"/>
  <c r="AD336" i="1"/>
  <c r="V298" i="1"/>
  <c r="F298" i="1" s="1"/>
  <c r="P325" i="1"/>
  <c r="V325" i="1" s="1"/>
  <c r="AD325" i="1"/>
  <c r="V360" i="1"/>
  <c r="F360" i="1" s="1"/>
  <c r="AD335" i="1"/>
  <c r="P335" i="1"/>
  <c r="AT325" i="6"/>
  <c r="AT315" i="6"/>
  <c r="AT305" i="6"/>
  <c r="AT306" i="6"/>
  <c r="AT312" i="6"/>
  <c r="AT327" i="6"/>
  <c r="AT302" i="6"/>
  <c r="AT287" i="6"/>
  <c r="AT286" i="6"/>
  <c r="AT291" i="6"/>
  <c r="P320" i="1"/>
  <c r="AD320" i="1"/>
  <c r="V363" i="1"/>
  <c r="F363" i="1" s="1"/>
  <c r="V353" i="1"/>
  <c r="F353" i="1" s="1"/>
  <c r="P318" i="1"/>
  <c r="AD318" i="1"/>
  <c r="AX13" i="6"/>
  <c r="AY36" i="6"/>
  <c r="AX12" i="6"/>
  <c r="P59" i="1"/>
  <c r="V59" i="1" s="1"/>
  <c r="AD59" i="1"/>
  <c r="AD41" i="1"/>
  <c r="P41" i="1"/>
  <c r="V41" i="1" s="1"/>
  <c r="P49" i="1"/>
  <c r="V49" i="1" s="1"/>
  <c r="AD49" i="1"/>
  <c r="AD351" i="1"/>
  <c r="P351" i="1"/>
  <c r="V351" i="1" s="1"/>
  <c r="P319" i="1"/>
  <c r="V319" i="1" s="1"/>
  <c r="AD319" i="1"/>
  <c r="F291" i="1"/>
  <c r="P339" i="1"/>
  <c r="V339" i="1" s="1"/>
  <c r="AD339" i="1"/>
  <c r="P327" i="1"/>
  <c r="V327" i="1" s="1"/>
  <c r="AD327" i="1"/>
  <c r="AD340" i="1"/>
  <c r="P340" i="1"/>
  <c r="V340" i="1" s="1"/>
  <c r="P350" i="1"/>
  <c r="V350" i="1" s="1"/>
  <c r="AD350" i="1"/>
  <c r="P341" i="1"/>
  <c r="AD341" i="1"/>
  <c r="AD342" i="1"/>
  <c r="P342" i="1"/>
  <c r="P38" i="1"/>
  <c r="V38" i="1" s="1"/>
  <c r="AD38" i="1"/>
  <c r="AD56" i="1"/>
  <c r="P56" i="1"/>
  <c r="V56" i="1" s="1"/>
  <c r="AD45" i="1"/>
  <c r="P45" i="1"/>
  <c r="V45" i="1" s="1"/>
  <c r="AD63" i="1"/>
  <c r="P63" i="1"/>
  <c r="V63" i="1" s="1"/>
  <c r="P338" i="1"/>
  <c r="AD338" i="1"/>
  <c r="F293" i="1"/>
  <c r="P324" i="1"/>
  <c r="AD324" i="1"/>
  <c r="V366" i="1"/>
  <c r="F366" i="1" s="1"/>
  <c r="F375" i="1"/>
  <c r="P333" i="1"/>
  <c r="V333" i="1" s="1"/>
  <c r="AD333" i="1"/>
  <c r="AY370" i="6"/>
  <c r="AZ370" i="6" s="1"/>
  <c r="AY323" i="6"/>
  <c r="AY344" i="6"/>
  <c r="AZ344" i="6" s="1"/>
  <c r="AK380" i="6" s="1"/>
  <c r="AK381" i="6" s="1"/>
  <c r="AY358" i="6"/>
  <c r="AZ358" i="6" s="1"/>
  <c r="AL380" i="6" s="1"/>
  <c r="AL381" i="6" s="1"/>
  <c r="AY333" i="6"/>
  <c r="AZ333" i="6" s="1"/>
  <c r="AY366" i="6"/>
  <c r="AZ366" i="6" s="1"/>
  <c r="AY326" i="6"/>
  <c r="AY371" i="6"/>
  <c r="AZ371" i="6" s="1"/>
  <c r="AY348" i="6"/>
  <c r="AZ348" i="6" s="1"/>
  <c r="AY353" i="6"/>
  <c r="AZ353" i="6" s="1"/>
  <c r="AY318" i="6"/>
  <c r="AY355" i="6"/>
  <c r="AZ355" i="6" s="1"/>
  <c r="AY364" i="6"/>
  <c r="AZ364" i="6" s="1"/>
  <c r="P46" i="1"/>
  <c r="V46" i="1" s="1"/>
  <c r="AD46" i="1"/>
  <c r="AD44" i="1"/>
  <c r="P44" i="1"/>
  <c r="P330" i="1"/>
  <c r="AD330" i="1"/>
  <c r="AD322" i="1"/>
  <c r="P322" i="1"/>
  <c r="V322" i="1" s="1"/>
  <c r="P352" i="1"/>
  <c r="V352" i="1" s="1"/>
  <c r="AD352" i="1"/>
  <c r="P332" i="1"/>
  <c r="V332" i="1" s="1"/>
  <c r="AD332" i="1"/>
  <c r="AD334" i="1"/>
  <c r="P334" i="1"/>
  <c r="AD337" i="1"/>
  <c r="P337" i="1"/>
  <c r="V337" i="1" s="1"/>
  <c r="AD354" i="1"/>
  <c r="P354" i="1"/>
  <c r="P321" i="1"/>
  <c r="AD321" i="1"/>
  <c r="AT326" i="6"/>
  <c r="AT329" i="6"/>
  <c r="AT308" i="6"/>
  <c r="AT303" i="6"/>
  <c r="AT304" i="6"/>
  <c r="AT298" i="6"/>
  <c r="AT276" i="6"/>
  <c r="AT299" i="6"/>
  <c r="AT296" i="6"/>
  <c r="AT281" i="6"/>
  <c r="V346" i="1"/>
  <c r="F346" i="1" s="1"/>
  <c r="F312" i="1"/>
  <c r="P323" i="1"/>
  <c r="V323" i="1" s="1"/>
  <c r="AD323" i="1"/>
  <c r="P329" i="1"/>
  <c r="AD329" i="1"/>
  <c r="AA71" i="1" l="1"/>
  <c r="Z71" i="1" s="1"/>
  <c r="Y71" i="1" s="1"/>
  <c r="F313" i="1"/>
  <c r="G281" i="1"/>
  <c r="BW281" i="6" s="1"/>
  <c r="I287" i="1"/>
  <c r="D29" i="7"/>
  <c r="I218" i="1"/>
  <c r="I173" i="1"/>
  <c r="I378" i="1"/>
  <c r="AA221" i="1"/>
  <c r="Z221" i="1" s="1"/>
  <c r="Y221" i="1" s="1"/>
  <c r="G303" i="1"/>
  <c r="BW303" i="6" s="1"/>
  <c r="AA198" i="1"/>
  <c r="Z198" i="1" s="1"/>
  <c r="Y198" i="1" s="1"/>
  <c r="F226" i="1"/>
  <c r="AA226" i="1" s="1"/>
  <c r="Z226" i="1" s="1"/>
  <c r="Y226" i="1" s="1"/>
  <c r="AA177" i="1"/>
  <c r="Z177" i="1" s="1"/>
  <c r="Y177" i="1" s="1"/>
  <c r="AA106" i="1"/>
  <c r="Z106" i="1" s="1"/>
  <c r="Y106" i="1" s="1"/>
  <c r="AA243" i="1"/>
  <c r="Z243" i="1" s="1"/>
  <c r="Y243" i="1" s="1"/>
  <c r="AA69" i="1"/>
  <c r="Z69" i="1" s="1"/>
  <c r="Y69" i="1" s="1"/>
  <c r="F267" i="1"/>
  <c r="G267" i="1" s="1"/>
  <c r="BW267" i="6" s="1"/>
  <c r="AA211" i="1"/>
  <c r="Z211" i="1" s="1"/>
  <c r="Y211" i="1" s="1"/>
  <c r="AA116" i="1"/>
  <c r="Z116" i="1" s="1"/>
  <c r="Y116" i="1" s="1"/>
  <c r="F296" i="1"/>
  <c r="I296" i="1" s="1"/>
  <c r="AA287" i="1"/>
  <c r="Z287" i="1" s="1"/>
  <c r="Y287" i="1" s="1"/>
  <c r="F370" i="1"/>
  <c r="G370" i="1" s="1"/>
  <c r="BW370" i="6" s="1"/>
  <c r="G218" i="1"/>
  <c r="BW218" i="6" s="1"/>
  <c r="G178" i="1"/>
  <c r="BW178" i="6" s="1"/>
  <c r="G193" i="1"/>
  <c r="BW193" i="6" s="1"/>
  <c r="AA303" i="1"/>
  <c r="Z303" i="1" s="1"/>
  <c r="Y303" i="1" s="1"/>
  <c r="AA250" i="1"/>
  <c r="Z250" i="1" s="1"/>
  <c r="Y250" i="1" s="1"/>
  <c r="AA43" i="1"/>
  <c r="Z43" i="1" s="1"/>
  <c r="Y43" i="1" s="1"/>
  <c r="I258" i="1"/>
  <c r="F223" i="1"/>
  <c r="I223" i="1" s="1"/>
  <c r="O15" i="7"/>
  <c r="AA128" i="1"/>
  <c r="Z128" i="1" s="1"/>
  <c r="Y128" i="1" s="1"/>
  <c r="AA168" i="1"/>
  <c r="Z168" i="1" s="1"/>
  <c r="Y168" i="1" s="1"/>
  <c r="F285" i="1"/>
  <c r="G285" i="1" s="1"/>
  <c r="BW285" i="6" s="1"/>
  <c r="F235" i="1"/>
  <c r="I235" i="1" s="1"/>
  <c r="F238" i="1"/>
  <c r="I238" i="1" s="1"/>
  <c r="AA378" i="1"/>
  <c r="Z378" i="1" s="1"/>
  <c r="Y378" i="1" s="1"/>
  <c r="AA123" i="1"/>
  <c r="Z123" i="1" s="1"/>
  <c r="Y123" i="1" s="1"/>
  <c r="AA310" i="1"/>
  <c r="Z310" i="1" s="1"/>
  <c r="Y310" i="1" s="1"/>
  <c r="AA281" i="1"/>
  <c r="Z281" i="1" s="1"/>
  <c r="Y281" i="1" s="1"/>
  <c r="AA120" i="1"/>
  <c r="Z120" i="1" s="1"/>
  <c r="Y120" i="1" s="1"/>
  <c r="AA258" i="1"/>
  <c r="Z258" i="1" s="1"/>
  <c r="Y258" i="1" s="1"/>
  <c r="AA282" i="1"/>
  <c r="Z282" i="1" s="1"/>
  <c r="Y282" i="1" s="1"/>
  <c r="AA230" i="1"/>
  <c r="Z230" i="1" s="1"/>
  <c r="Y230" i="1" s="1"/>
  <c r="AA209" i="1"/>
  <c r="Z209" i="1" s="1"/>
  <c r="Y209" i="1" s="1"/>
  <c r="F210" i="1"/>
  <c r="G210" i="1" s="1"/>
  <c r="BW210" i="6" s="1"/>
  <c r="F181" i="1"/>
  <c r="I181" i="1" s="1"/>
  <c r="AA52" i="1"/>
  <c r="Z52" i="1" s="1"/>
  <c r="Y52" i="1" s="1"/>
  <c r="F257" i="1"/>
  <c r="G257" i="1" s="1"/>
  <c r="BW257" i="6" s="1"/>
  <c r="F186" i="1"/>
  <c r="I186" i="1" s="1"/>
  <c r="F227" i="1"/>
  <c r="I227" i="1" s="1"/>
  <c r="AA68" i="1"/>
  <c r="Z68" i="1" s="1"/>
  <c r="Y68" i="1" s="1"/>
  <c r="AA64" i="1"/>
  <c r="Z64" i="1" s="1"/>
  <c r="Y64" i="1" s="1"/>
  <c r="G171" i="1"/>
  <c r="BW171" i="6" s="1"/>
  <c r="G308" i="1"/>
  <c r="BW308" i="6" s="1"/>
  <c r="AA372" i="1"/>
  <c r="Z372" i="1" s="1"/>
  <c r="Y372" i="1" s="1"/>
  <c r="AA118" i="1"/>
  <c r="Z118" i="1" s="1"/>
  <c r="Y118" i="1" s="1"/>
  <c r="AA308" i="1"/>
  <c r="Z308" i="1" s="1"/>
  <c r="Y308" i="1" s="1"/>
  <c r="F302" i="1"/>
  <c r="G302" i="1" s="1"/>
  <c r="BW302" i="6" s="1"/>
  <c r="I240" i="1"/>
  <c r="AA255" i="1"/>
  <c r="Z255" i="1" s="1"/>
  <c r="Y255" i="1" s="1"/>
  <c r="G290" i="1"/>
  <c r="BW290" i="6" s="1"/>
  <c r="F197" i="1"/>
  <c r="I197" i="1" s="1"/>
  <c r="AA290" i="1"/>
  <c r="Z290" i="1" s="1"/>
  <c r="Y290" i="1" s="1"/>
  <c r="AA132" i="1"/>
  <c r="Z132" i="1" s="1"/>
  <c r="Y132" i="1" s="1"/>
  <c r="F279" i="1"/>
  <c r="G279" i="1" s="1"/>
  <c r="BW279" i="6" s="1"/>
  <c r="V241" i="1"/>
  <c r="F241" i="1" s="1"/>
  <c r="AA241" i="1" s="1"/>
  <c r="Z241" i="1" s="1"/>
  <c r="Y241" i="1" s="1"/>
  <c r="AA171" i="1"/>
  <c r="Z171" i="1" s="1"/>
  <c r="Y171" i="1" s="1"/>
  <c r="E383" i="15"/>
  <c r="Q11" i="18"/>
  <c r="AG11" i="7"/>
  <c r="Q11" i="20" s="1"/>
  <c r="F377" i="1"/>
  <c r="G377" i="1" s="1"/>
  <c r="BW377" i="6" s="1"/>
  <c r="G232" i="1"/>
  <c r="BW232" i="6" s="1"/>
  <c r="I184" i="1"/>
  <c r="AA184" i="1"/>
  <c r="Z184" i="1" s="1"/>
  <c r="Y184" i="1" s="1"/>
  <c r="AA191" i="1"/>
  <c r="Z191" i="1" s="1"/>
  <c r="Y191" i="1" s="1"/>
  <c r="AJ10" i="15"/>
  <c r="AJ12" i="15" s="1"/>
  <c r="AJ13" i="15" s="1"/>
  <c r="F275" i="1"/>
  <c r="I275" i="1" s="1"/>
  <c r="I280" i="1"/>
  <c r="AA232" i="1"/>
  <c r="Z232" i="1" s="1"/>
  <c r="Y232" i="1" s="1"/>
  <c r="AA276" i="1"/>
  <c r="Z276" i="1" s="1"/>
  <c r="Y276" i="1" s="1"/>
  <c r="I241" i="1"/>
  <c r="F365" i="1"/>
  <c r="AA365" i="1" s="1"/>
  <c r="Z365" i="1" s="1"/>
  <c r="Y365" i="1" s="1"/>
  <c r="F373" i="1"/>
  <c r="G373" i="1" s="1"/>
  <c r="BW373" i="6" s="1"/>
  <c r="AZ321" i="6"/>
  <c r="AA274" i="1"/>
  <c r="Z274" i="1" s="1"/>
  <c r="Y274" i="1" s="1"/>
  <c r="AA280" i="1"/>
  <c r="Z280" i="1" s="1"/>
  <c r="Y280" i="1" s="1"/>
  <c r="G276" i="1"/>
  <c r="BW276" i="6" s="1"/>
  <c r="AY279" i="6"/>
  <c r="AZ279" i="6" s="1"/>
  <c r="AY263" i="6"/>
  <c r="AZ263" i="6" s="1"/>
  <c r="AZ84" i="6"/>
  <c r="AY233" i="6"/>
  <c r="AZ233" i="6" s="1"/>
  <c r="AA309" i="1"/>
  <c r="Z309" i="1" s="1"/>
  <c r="Y309" i="1" s="1"/>
  <c r="I309" i="1"/>
  <c r="AZ72" i="6"/>
  <c r="AA213" i="1"/>
  <c r="Z213" i="1" s="1"/>
  <c r="Y213" i="1" s="1"/>
  <c r="F260" i="1"/>
  <c r="AA260" i="1" s="1"/>
  <c r="Z260" i="1" s="1"/>
  <c r="Y260" i="1" s="1"/>
  <c r="I274" i="1"/>
  <c r="G191" i="1"/>
  <c r="BW191" i="6" s="1"/>
  <c r="E9" i="15"/>
  <c r="E11" i="15" s="1"/>
  <c r="C12" i="19" s="1"/>
  <c r="AK8" i="15"/>
  <c r="AA188" i="1"/>
  <c r="Z188" i="1" s="1"/>
  <c r="Y188" i="1" s="1"/>
  <c r="I188" i="1"/>
  <c r="G256" i="1"/>
  <c r="BW256" i="6" s="1"/>
  <c r="I213" i="1"/>
  <c r="AJ10" i="17"/>
  <c r="AJ12" i="17" s="1"/>
  <c r="G372" i="1"/>
  <c r="BW372" i="6" s="1"/>
  <c r="I372" i="1"/>
  <c r="AZ289" i="6"/>
  <c r="AZ317" i="6"/>
  <c r="I199" i="1"/>
  <c r="I362" i="1"/>
  <c r="AA130" i="1"/>
  <c r="Z130" i="1" s="1"/>
  <c r="Y130" i="1" s="1"/>
  <c r="G362" i="1"/>
  <c r="BW362" i="6" s="1"/>
  <c r="AA192" i="1"/>
  <c r="Z192" i="1" s="1"/>
  <c r="Y192" i="1" s="1"/>
  <c r="AA219" i="1"/>
  <c r="Z219" i="1" s="1"/>
  <c r="Y219" i="1" s="1"/>
  <c r="E382" i="15"/>
  <c r="E381" i="15"/>
  <c r="F361" i="1"/>
  <c r="I361" i="1" s="1"/>
  <c r="D28" i="7"/>
  <c r="I192" i="1"/>
  <c r="G219" i="1"/>
  <c r="BW219" i="6" s="1"/>
  <c r="F269" i="1"/>
  <c r="I269" i="1" s="1"/>
  <c r="F288" i="1"/>
  <c r="G288" i="1" s="1"/>
  <c r="BW288" i="6" s="1"/>
  <c r="AA208" i="1"/>
  <c r="Z208" i="1" s="1"/>
  <c r="Y208" i="1" s="1"/>
  <c r="I208" i="1"/>
  <c r="V119" i="1"/>
  <c r="AA119" i="1" s="1"/>
  <c r="Z119" i="1" s="1"/>
  <c r="Y119" i="1" s="1"/>
  <c r="L36" i="19"/>
  <c r="AO13" i="7"/>
  <c r="AK23" i="20"/>
  <c r="AK34" i="20"/>
  <c r="AK53" i="20"/>
  <c r="AK68" i="20"/>
  <c r="AK69" i="20"/>
  <c r="AK83" i="20"/>
  <c r="AK125" i="20"/>
  <c r="AK84" i="20"/>
  <c r="AK127" i="20"/>
  <c r="AK158" i="20"/>
  <c r="AK184" i="20"/>
  <c r="AK210" i="20"/>
  <c r="AK191" i="20"/>
  <c r="AK230" i="20"/>
  <c r="AK259" i="20"/>
  <c r="AK296" i="20"/>
  <c r="AK216" i="20"/>
  <c r="AK250" i="20"/>
  <c r="AK282" i="20"/>
  <c r="AK308" i="20"/>
  <c r="AK337" i="20"/>
  <c r="AK366" i="20"/>
  <c r="AK352" i="20"/>
  <c r="AK22" i="20"/>
  <c r="AK52" i="20"/>
  <c r="AK81" i="20"/>
  <c r="AK124" i="20"/>
  <c r="AK123" i="20"/>
  <c r="AK182" i="20"/>
  <c r="AK186" i="20"/>
  <c r="AK257" i="20"/>
  <c r="AK215" i="20"/>
  <c r="AK279" i="20"/>
  <c r="AK41" i="20"/>
  <c r="AK76" i="20"/>
  <c r="AK120" i="20"/>
  <c r="AK114" i="20"/>
  <c r="AK177" i="20"/>
  <c r="AK181" i="20"/>
  <c r="AK252" i="20"/>
  <c r="AK324" i="20"/>
  <c r="AK276" i="20"/>
  <c r="AK330" i="20"/>
  <c r="AK342" i="20"/>
  <c r="AK47" i="20"/>
  <c r="AK109" i="20"/>
  <c r="AK169" i="20"/>
  <c r="AK240" i="20"/>
  <c r="AK269" i="20"/>
  <c r="AK335" i="20"/>
  <c r="AK348" i="20"/>
  <c r="AK61" i="20"/>
  <c r="AK134" i="20"/>
  <c r="AK194" i="20"/>
  <c r="AK266" i="20"/>
  <c r="AK290" i="20"/>
  <c r="AK362" i="20"/>
  <c r="AK37" i="20"/>
  <c r="AK86" i="20"/>
  <c r="AK212" i="20"/>
  <c r="AK303" i="20"/>
  <c r="AK309" i="20"/>
  <c r="AK24" i="20"/>
  <c r="AK62" i="20"/>
  <c r="AK87" i="20"/>
  <c r="AK135" i="20"/>
  <c r="AK140" i="20"/>
  <c r="AK195" i="20"/>
  <c r="AK206" i="20"/>
  <c r="AK268" i="20"/>
  <c r="AK229" i="20"/>
  <c r="AK292" i="20"/>
  <c r="AK347" i="20"/>
  <c r="AK364" i="20"/>
  <c r="AK35" i="20"/>
  <c r="AK146" i="20"/>
  <c r="AK202" i="20"/>
  <c r="AK283" i="20"/>
  <c r="AK299" i="20"/>
  <c r="AK376" i="20"/>
  <c r="AK115" i="20"/>
  <c r="AK325" i="20"/>
  <c r="AK28" i="20"/>
  <c r="AK145" i="20"/>
  <c r="AK236" i="20"/>
  <c r="AK18" i="20"/>
  <c r="AK55" i="20"/>
  <c r="AK75" i="20"/>
  <c r="AK129" i="20"/>
  <c r="AK130" i="20"/>
  <c r="AK188" i="20"/>
  <c r="AK193" i="20"/>
  <c r="AK261" i="20"/>
  <c r="AK221" i="20"/>
  <c r="AK287" i="20"/>
  <c r="AK339" i="20"/>
  <c r="AK356" i="20"/>
  <c r="AK56" i="20"/>
  <c r="AK131" i="20"/>
  <c r="AK189" i="20"/>
  <c r="AK262" i="20"/>
  <c r="AK288" i="20"/>
  <c r="AK357" i="20"/>
  <c r="AK148" i="20"/>
  <c r="AK285" i="20"/>
  <c r="AK378" i="20"/>
  <c r="AK110" i="20"/>
  <c r="AK319" i="20"/>
  <c r="AK380" i="20"/>
  <c r="AK60" i="20"/>
  <c r="AK103" i="20"/>
  <c r="AK164" i="20"/>
  <c r="AK237" i="20"/>
  <c r="AK263" i="20"/>
  <c r="AK370" i="20"/>
  <c r="AK88" i="20"/>
  <c r="AK208" i="20"/>
  <c r="AK320" i="20"/>
  <c r="AK44" i="20"/>
  <c r="AK167" i="20"/>
  <c r="AK265" i="20"/>
  <c r="AK54" i="20"/>
  <c r="AK187" i="20"/>
  <c r="AK286" i="20"/>
  <c r="AK49" i="20"/>
  <c r="AK122" i="20"/>
  <c r="AK179" i="20"/>
  <c r="AK254" i="20"/>
  <c r="AK278" i="20"/>
  <c r="AK346" i="20"/>
  <c r="AK119" i="20"/>
  <c r="AK251" i="20"/>
  <c r="AK341" i="20"/>
  <c r="AK253" i="20"/>
  <c r="AK142" i="20"/>
  <c r="AK372" i="20"/>
  <c r="AK73" i="20"/>
  <c r="AK111" i="20"/>
  <c r="AK175" i="20"/>
  <c r="AK321" i="20"/>
  <c r="AK327" i="20"/>
  <c r="AK40" i="20"/>
  <c r="AK163" i="20"/>
  <c r="AK258" i="20"/>
  <c r="AK96" i="20"/>
  <c r="AK360" i="20"/>
  <c r="AK243" i="20"/>
  <c r="AK79" i="20"/>
  <c r="AK137" i="20"/>
  <c r="AK201" i="20"/>
  <c r="AK227" i="20"/>
  <c r="AK344" i="20"/>
  <c r="AK63" i="20"/>
  <c r="AK196" i="20"/>
  <c r="AK293" i="20"/>
  <c r="AK365" i="20"/>
  <c r="AK102" i="20"/>
  <c r="AK314" i="20"/>
  <c r="AK17" i="20"/>
  <c r="AK128" i="20"/>
  <c r="AK217" i="20"/>
  <c r="AK30" i="20"/>
  <c r="AK98" i="20"/>
  <c r="AK153" i="20"/>
  <c r="AK224" i="20"/>
  <c r="AK247" i="20"/>
  <c r="AK361" i="20"/>
  <c r="AK74" i="20"/>
  <c r="AK180" i="20"/>
  <c r="AK329" i="20"/>
  <c r="AK178" i="20"/>
  <c r="AK21" i="20"/>
  <c r="AK297" i="20"/>
  <c r="AK33" i="20"/>
  <c r="AK143" i="20"/>
  <c r="AK200" i="20"/>
  <c r="AK281" i="20"/>
  <c r="AK298" i="20"/>
  <c r="AK375" i="20"/>
  <c r="AK97" i="20"/>
  <c r="AK306" i="20"/>
  <c r="AK25" i="20"/>
  <c r="AK246" i="20"/>
  <c r="AK172" i="20"/>
  <c r="AK50" i="20"/>
  <c r="AK15" i="20"/>
  <c r="AK89" i="20"/>
  <c r="AK138" i="20"/>
  <c r="AK144" i="20"/>
  <c r="AK197" i="20"/>
  <c r="AK241" i="20"/>
  <c r="AK318" i="20"/>
  <c r="AK270" i="20"/>
  <c r="AK322" i="20"/>
  <c r="AK331" i="20"/>
  <c r="AK31" i="20"/>
  <c r="AK67" i="20"/>
  <c r="AK155" i="20"/>
  <c r="AK209" i="20"/>
  <c r="AK295" i="20"/>
  <c r="AK19" i="20"/>
  <c r="AK95" i="20"/>
  <c r="AK151" i="20"/>
  <c r="AK222" i="20"/>
  <c r="AK284" i="20"/>
  <c r="AK359" i="20"/>
  <c r="AK66" i="20"/>
  <c r="AK166" i="20"/>
  <c r="AK316" i="20"/>
  <c r="AK363" i="20"/>
  <c r="AK82" i="20"/>
  <c r="AK205" i="20"/>
  <c r="AK345" i="20"/>
  <c r="AK85" i="20"/>
  <c r="AK232" i="20"/>
  <c r="AK367" i="20"/>
  <c r="AK64" i="20"/>
  <c r="AK104" i="20"/>
  <c r="AK165" i="20"/>
  <c r="AK315" i="20"/>
  <c r="AK317" i="20"/>
  <c r="AK16" i="20"/>
  <c r="AK150" i="20"/>
  <c r="AK244" i="20"/>
  <c r="AK77" i="20"/>
  <c r="AK332" i="20"/>
  <c r="AK218" i="20"/>
  <c r="AK39" i="20"/>
  <c r="AK92" i="20"/>
  <c r="AK213" i="20"/>
  <c r="AK305" i="20"/>
  <c r="AK310" i="20"/>
  <c r="P12" i="20"/>
  <c r="AK198" i="20"/>
  <c r="AK225" i="20"/>
  <c r="AK59" i="20"/>
  <c r="AK301" i="20"/>
  <c r="AK173" i="20"/>
  <c r="AK42" i="20"/>
  <c r="AK101" i="20"/>
  <c r="AK307" i="20"/>
  <c r="AK26" i="20"/>
  <c r="AK328" i="20"/>
  <c r="AK238" i="20"/>
  <c r="AK126" i="20"/>
  <c r="AK353" i="20"/>
  <c r="AK80" i="20"/>
  <c r="AK185" i="20"/>
  <c r="AK334" i="20"/>
  <c r="AK275" i="20"/>
  <c r="AK121" i="20"/>
  <c r="AK280" i="20"/>
  <c r="F8" i="20"/>
  <c r="AK248" i="20"/>
  <c r="AK336" i="20"/>
  <c r="AK235" i="20"/>
  <c r="AK223" i="20"/>
  <c r="AK333" i="20"/>
  <c r="AK190" i="20"/>
  <c r="AK289" i="20"/>
  <c r="AK136" i="20"/>
  <c r="AK349" i="20"/>
  <c r="AK162" i="20"/>
  <c r="AK313" i="20"/>
  <c r="AK192" i="20"/>
  <c r="AK154" i="20"/>
  <c r="AK291" i="20"/>
  <c r="AK302" i="20"/>
  <c r="AK113" i="20"/>
  <c r="AK48" i="20"/>
  <c r="AK199" i="20"/>
  <c r="AK91" i="20"/>
  <c r="AK219" i="20"/>
  <c r="AK354" i="20"/>
  <c r="AK156" i="20"/>
  <c r="AK152" i="20"/>
  <c r="AK271" i="20"/>
  <c r="AK27" i="20"/>
  <c r="AK71" i="20"/>
  <c r="AK112" i="20"/>
  <c r="AK108" i="20"/>
  <c r="AK171" i="20"/>
  <c r="AK170" i="20"/>
  <c r="AK211" i="20"/>
  <c r="AK274" i="20"/>
  <c r="AK234" i="20"/>
  <c r="AK294" i="20"/>
  <c r="AK350" i="20"/>
  <c r="AK371" i="20"/>
  <c r="AK99" i="20"/>
  <c r="AK157" i="20"/>
  <c r="AK226" i="20"/>
  <c r="AK249" i="20"/>
  <c r="AK43" i="20"/>
  <c r="AK147" i="20"/>
  <c r="AK203" i="20"/>
  <c r="AK245" i="20"/>
  <c r="AK300" i="20"/>
  <c r="AK377" i="20"/>
  <c r="AK105" i="20"/>
  <c r="AK304" i="20"/>
  <c r="AK20" i="20"/>
  <c r="AK139" i="20"/>
  <c r="AK228" i="20"/>
  <c r="AK36" i="20"/>
  <c r="AK160" i="20"/>
  <c r="AK255" i="20"/>
  <c r="AK45" i="20"/>
  <c r="AK107" i="20"/>
  <c r="AK168" i="20"/>
  <c r="AK239" i="20"/>
  <c r="AK267" i="20"/>
  <c r="AK374" i="20"/>
  <c r="AK93" i="20"/>
  <c r="AK220" i="20"/>
  <c r="AK355" i="20"/>
  <c r="AK183" i="20"/>
  <c r="AK90" i="20"/>
  <c r="AK351" i="20"/>
  <c r="AK38" i="20"/>
  <c r="AK94" i="20"/>
  <c r="AK161" i="20"/>
  <c r="AK233" i="20"/>
  <c r="AK256" i="20"/>
  <c r="AK368" i="20"/>
  <c r="AK78" i="20"/>
  <c r="AK133" i="20"/>
  <c r="AK340" i="20"/>
  <c r="AK204" i="20"/>
  <c r="AK72" i="20"/>
  <c r="AK326" i="20"/>
  <c r="AK57" i="20"/>
  <c r="AK159" i="20"/>
  <c r="AK312" i="20"/>
  <c r="AK141" i="20"/>
  <c r="AK231" i="20"/>
  <c r="AK106" i="20"/>
  <c r="AK373" i="20"/>
  <c r="AK260" i="20"/>
  <c r="AK118" i="20"/>
  <c r="AK214" i="20"/>
  <c r="AK32" i="20"/>
  <c r="AK176" i="20"/>
  <c r="AK343" i="20"/>
  <c r="AK117" i="20"/>
  <c r="AK174" i="20"/>
  <c r="AK272" i="20"/>
  <c r="AK100" i="20"/>
  <c r="AK369" i="20"/>
  <c r="AK116" i="20"/>
  <c r="AK132" i="20"/>
  <c r="AK264" i="20"/>
  <c r="AK358" i="20"/>
  <c r="AK273" i="20"/>
  <c r="AK58" i="20"/>
  <c r="AK70" i="20"/>
  <c r="AK338" i="20"/>
  <c r="AK65" i="20"/>
  <c r="AK207" i="20"/>
  <c r="AK379" i="20"/>
  <c r="AK323" i="20"/>
  <c r="AK277" i="20"/>
  <c r="AK29" i="20"/>
  <c r="AK149" i="20"/>
  <c r="AK242" i="20"/>
  <c r="AK46" i="20"/>
  <c r="AK311" i="20"/>
  <c r="AK51" i="20"/>
  <c r="L15" i="19"/>
  <c r="P10" i="18"/>
  <c r="AK3" i="17"/>
  <c r="Q14" i="19" s="1"/>
  <c r="AL15" i="7"/>
  <c r="P11" i="22"/>
  <c r="I183" i="1"/>
  <c r="G179" i="1"/>
  <c r="BW179" i="6" s="1"/>
  <c r="F376" i="1"/>
  <c r="G376" i="1" s="1"/>
  <c r="BW376" i="6" s="1"/>
  <c r="I284" i="1"/>
  <c r="I229" i="1"/>
  <c r="AZ324" i="6"/>
  <c r="AZ328" i="6"/>
  <c r="AY273" i="6"/>
  <c r="AZ273" i="6" s="1"/>
  <c r="G244" i="1"/>
  <c r="BW244" i="6" s="1"/>
  <c r="G284" i="1"/>
  <c r="BW284" i="6" s="1"/>
  <c r="AZ319" i="6"/>
  <c r="AY276" i="6"/>
  <c r="AZ276" i="6" s="1"/>
  <c r="AA179" i="1"/>
  <c r="Z179" i="1" s="1"/>
  <c r="Y179" i="1" s="1"/>
  <c r="AZ77" i="6"/>
  <c r="G174" i="1"/>
  <c r="BW174" i="6" s="1"/>
  <c r="I245" i="1"/>
  <c r="AC9" i="23"/>
  <c r="O9" i="25"/>
  <c r="AC12" i="23"/>
  <c r="O12" i="23"/>
  <c r="AX13" i="7"/>
  <c r="AJ20" i="24"/>
  <c r="AJ41" i="24"/>
  <c r="AJ31" i="24"/>
  <c r="F7" i="24"/>
  <c r="AJ56" i="24"/>
  <c r="AJ55" i="24"/>
  <c r="AJ73" i="24"/>
  <c r="AJ77" i="24"/>
  <c r="AJ96" i="24"/>
  <c r="AJ100" i="24"/>
  <c r="AJ119" i="24"/>
  <c r="AJ149" i="24"/>
  <c r="AJ101" i="24"/>
  <c r="AJ115" i="24"/>
  <c r="AJ125" i="24"/>
  <c r="AJ138" i="24"/>
  <c r="AJ148" i="24"/>
  <c r="AJ167" i="24"/>
  <c r="AJ184" i="24"/>
  <c r="AJ193" i="24"/>
  <c r="AJ207" i="24"/>
  <c r="AJ166" i="24"/>
  <c r="AJ182" i="24"/>
  <c r="AJ206" i="24"/>
  <c r="AJ218" i="24"/>
  <c r="AJ228" i="24"/>
  <c r="AJ245" i="24"/>
  <c r="AJ260" i="24"/>
  <c r="AJ279" i="24"/>
  <c r="AJ293" i="24"/>
  <c r="AJ310" i="24"/>
  <c r="AJ216" i="24"/>
  <c r="AJ236" i="24"/>
  <c r="AJ255" i="24"/>
  <c r="AJ266" i="24"/>
  <c r="AJ283" i="24"/>
  <c r="AJ300" i="24"/>
  <c r="AJ313" i="24"/>
  <c r="AJ327" i="24"/>
  <c r="AJ345" i="24"/>
  <c r="AJ358" i="24"/>
  <c r="AJ372" i="24"/>
  <c r="AJ334" i="24"/>
  <c r="AJ347" i="24"/>
  <c r="AJ368" i="24"/>
  <c r="AJ35" i="24"/>
  <c r="AJ43" i="24"/>
  <c r="AJ63" i="24"/>
  <c r="AJ79" i="24"/>
  <c r="AJ85" i="24"/>
  <c r="AJ133" i="24"/>
  <c r="AJ106" i="24"/>
  <c r="AJ129" i="24"/>
  <c r="AJ154" i="24"/>
  <c r="AJ188" i="24"/>
  <c r="AJ158" i="24"/>
  <c r="AJ197" i="24"/>
  <c r="AJ221" i="24"/>
  <c r="AJ248" i="24"/>
  <c r="AJ284" i="24"/>
  <c r="AJ316" i="24"/>
  <c r="AJ239" i="24"/>
  <c r="AJ273" i="24"/>
  <c r="AJ304" i="24"/>
  <c r="AJ330" i="24"/>
  <c r="AJ362" i="24"/>
  <c r="AJ338" i="24"/>
  <c r="AJ378" i="24"/>
  <c r="AJ32" i="24"/>
  <c r="AJ33" i="24"/>
  <c r="AJ58" i="24"/>
  <c r="AJ74" i="24"/>
  <c r="AJ97" i="24"/>
  <c r="AJ127" i="24"/>
  <c r="AJ104" i="24"/>
  <c r="AJ126" i="24"/>
  <c r="AJ151" i="24"/>
  <c r="AJ186" i="24"/>
  <c r="AJ155" i="24"/>
  <c r="AJ183" i="24"/>
  <c r="AJ219" i="24"/>
  <c r="AJ246" i="24"/>
  <c r="AJ280" i="24"/>
  <c r="AJ314" i="24"/>
  <c r="AJ237" i="24"/>
  <c r="AJ270" i="24"/>
  <c r="AJ302" i="24"/>
  <c r="AJ328" i="24"/>
  <c r="AJ359" i="24"/>
  <c r="AJ335" i="24"/>
  <c r="AJ369" i="24"/>
  <c r="AJ34" i="24"/>
  <c r="AJ36" i="24"/>
  <c r="AJ61" i="24"/>
  <c r="AJ76" i="24"/>
  <c r="AJ81" i="24"/>
  <c r="AJ130" i="24"/>
  <c r="AJ105" i="24"/>
  <c r="AJ128" i="24"/>
  <c r="AJ153" i="24"/>
  <c r="AJ187" i="24"/>
  <c r="AJ156" i="24"/>
  <c r="AJ185" i="24"/>
  <c r="AJ220" i="24"/>
  <c r="AJ247" i="24"/>
  <c r="AJ282" i="24"/>
  <c r="AJ315" i="24"/>
  <c r="AJ238" i="24"/>
  <c r="AJ272" i="24"/>
  <c r="AJ303" i="24"/>
  <c r="AJ329" i="24"/>
  <c r="AJ360" i="24"/>
  <c r="AJ337" i="24"/>
  <c r="AJ375" i="24"/>
  <c r="AJ62" i="24"/>
  <c r="AJ75" i="24"/>
  <c r="AJ144" i="24"/>
  <c r="AJ136" i="24"/>
  <c r="AJ192" i="24"/>
  <c r="AJ203" i="24"/>
  <c r="AJ258" i="24"/>
  <c r="AJ215" i="24"/>
  <c r="AJ281" i="24"/>
  <c r="AJ342" i="24"/>
  <c r="AJ346" i="24"/>
  <c r="AJ38" i="24"/>
  <c r="AJ66" i="24"/>
  <c r="AJ90" i="24"/>
  <c r="AJ112" i="24"/>
  <c r="AJ160" i="24"/>
  <c r="AJ161" i="24"/>
  <c r="AJ224" i="24"/>
  <c r="AJ286" i="24"/>
  <c r="AJ249" i="24"/>
  <c r="AJ309" i="24"/>
  <c r="AJ366" i="24"/>
  <c r="AJ27" i="24"/>
  <c r="AJ52" i="24"/>
  <c r="AJ89" i="24"/>
  <c r="AJ98" i="24"/>
  <c r="AJ146" i="24"/>
  <c r="AJ204" i="24"/>
  <c r="AJ213" i="24"/>
  <c r="AJ275" i="24"/>
  <c r="AJ232" i="24"/>
  <c r="AJ296" i="24"/>
  <c r="AJ355" i="24"/>
  <c r="AJ364" i="24"/>
  <c r="AJ54" i="24"/>
  <c r="AJ99" i="24"/>
  <c r="AJ205" i="24"/>
  <c r="AJ277" i="24"/>
  <c r="AJ297" i="24"/>
  <c r="AJ367" i="24"/>
  <c r="AJ69" i="24"/>
  <c r="AJ122" i="24"/>
  <c r="AJ177" i="24"/>
  <c r="AJ305" i="24"/>
  <c r="AJ324" i="24"/>
  <c r="AJ39" i="24"/>
  <c r="AJ91" i="24"/>
  <c r="AJ163" i="24"/>
  <c r="AJ225" i="24"/>
  <c r="AJ252" i="24"/>
  <c r="AJ370" i="24"/>
  <c r="AJ71" i="24"/>
  <c r="AJ181" i="24"/>
  <c r="AJ326" i="24"/>
  <c r="AJ88" i="24"/>
  <c r="AJ212" i="24"/>
  <c r="AJ354" i="24"/>
  <c r="AJ57" i="24"/>
  <c r="AJ142" i="24"/>
  <c r="AJ191" i="24"/>
  <c r="AJ253" i="24"/>
  <c r="AJ278" i="24"/>
  <c r="AJ344" i="24"/>
  <c r="AJ116" i="24"/>
  <c r="AJ244" i="24"/>
  <c r="AJ333" i="24"/>
  <c r="AJ95" i="24"/>
  <c r="AJ271" i="24"/>
  <c r="AJ363" i="24"/>
  <c r="AJ24" i="24"/>
  <c r="AJ23" i="24"/>
  <c r="AJ37" i="24"/>
  <c r="AJ17" i="24"/>
  <c r="AJ44" i="24"/>
  <c r="AJ46" i="24"/>
  <c r="AJ64" i="24"/>
  <c r="AJ67" i="24"/>
  <c r="AJ80" i="24"/>
  <c r="AJ86" i="24"/>
  <c r="AJ87" i="24"/>
  <c r="AJ108" i="24"/>
  <c r="AJ134" i="24"/>
  <c r="AJ94" i="24"/>
  <c r="AJ109" i="24"/>
  <c r="AJ121" i="24"/>
  <c r="AJ131" i="24"/>
  <c r="AJ143" i="24"/>
  <c r="AJ157" i="24"/>
  <c r="AJ175" i="24"/>
  <c r="AJ189" i="24"/>
  <c r="AJ199" i="24"/>
  <c r="AJ159" i="24"/>
  <c r="AJ174" i="24"/>
  <c r="AJ198" i="24"/>
  <c r="AJ211" i="24"/>
  <c r="AJ223" i="24"/>
  <c r="AJ240" i="24"/>
  <c r="AJ250" i="24"/>
  <c r="AJ269" i="24"/>
  <c r="AJ285" i="24"/>
  <c r="AJ301" i="24"/>
  <c r="AJ318" i="24"/>
  <c r="AJ230" i="24"/>
  <c r="AJ242" i="24"/>
  <c r="AJ261" i="24"/>
  <c r="AJ274" i="24"/>
  <c r="AJ292" i="24"/>
  <c r="AJ306" i="24"/>
  <c r="AJ323" i="24"/>
  <c r="AJ336" i="24"/>
  <c r="AJ353" i="24"/>
  <c r="AJ365" i="24"/>
  <c r="AJ377" i="24"/>
  <c r="AJ341" i="24"/>
  <c r="AJ361" i="24"/>
  <c r="AJ379" i="24"/>
  <c r="AJ21" i="24"/>
  <c r="AJ51" i="24"/>
  <c r="AJ45" i="24"/>
  <c r="AJ65" i="24"/>
  <c r="AJ83" i="24"/>
  <c r="AJ107" i="24"/>
  <c r="AJ84" i="24"/>
  <c r="AJ120" i="24"/>
  <c r="AJ141" i="24"/>
  <c r="AJ173" i="24"/>
  <c r="AJ196" i="24"/>
  <c r="AJ171" i="24"/>
  <c r="AJ210" i="24"/>
  <c r="AJ235" i="24"/>
  <c r="AJ268" i="24"/>
  <c r="AJ299" i="24"/>
  <c r="AJ226" i="24"/>
  <c r="AJ259" i="24"/>
  <c r="AJ291" i="24"/>
  <c r="AJ320" i="24"/>
  <c r="AJ351" i="24"/>
  <c r="AJ376" i="24"/>
  <c r="AJ356" i="24"/>
  <c r="AJ16" i="24"/>
  <c r="AJ42" i="24"/>
  <c r="AJ22" i="24"/>
  <c r="AJ59" i="24"/>
  <c r="AJ78" i="24"/>
  <c r="AJ102" i="24"/>
  <c r="AJ150" i="24"/>
  <c r="AJ117" i="24"/>
  <c r="AJ139" i="24"/>
  <c r="AJ168" i="24"/>
  <c r="AJ194" i="24"/>
  <c r="AJ169" i="24"/>
  <c r="AJ208" i="24"/>
  <c r="AJ229" i="24"/>
  <c r="AJ264" i="24"/>
  <c r="AJ295" i="24"/>
  <c r="AJ217" i="24"/>
  <c r="AJ256" i="24"/>
  <c r="AJ289" i="24"/>
  <c r="AJ317" i="24"/>
  <c r="AJ348" i="24"/>
  <c r="AJ373" i="24"/>
  <c r="AJ349" i="24"/>
  <c r="AJ19" i="24"/>
  <c r="AJ49" i="24"/>
  <c r="AJ28" i="24"/>
  <c r="AJ60" i="24"/>
  <c r="AJ82" i="24"/>
  <c r="AJ103" i="24"/>
  <c r="AJ152" i="24"/>
  <c r="AJ118" i="24"/>
  <c r="AJ140" i="24"/>
  <c r="AJ172" i="24"/>
  <c r="AJ195" i="24"/>
  <c r="AJ170" i="24"/>
  <c r="AJ209" i="24"/>
  <c r="AJ234" i="24"/>
  <c r="AJ267" i="24"/>
  <c r="AJ298" i="24"/>
  <c r="AJ222" i="24"/>
  <c r="AJ257" i="24"/>
  <c r="AJ290" i="24"/>
  <c r="AJ319" i="24"/>
  <c r="AJ350" i="24"/>
  <c r="AJ374" i="24"/>
  <c r="AJ352" i="24"/>
  <c r="AJ40" i="24"/>
  <c r="AJ48" i="24"/>
  <c r="AJ92" i="24"/>
  <c r="AJ114" i="24"/>
  <c r="AJ165" i="24"/>
  <c r="AJ164" i="24"/>
  <c r="AJ227" i="24"/>
  <c r="AJ288" i="24"/>
  <c r="AJ254" i="24"/>
  <c r="AJ312" i="24"/>
  <c r="AJ371" i="24"/>
  <c r="AJ380" i="24"/>
  <c r="AJ53" i="24"/>
  <c r="AJ68" i="24"/>
  <c r="AJ137" i="24"/>
  <c r="AJ132" i="24"/>
  <c r="AJ190" i="24"/>
  <c r="AJ200" i="24"/>
  <c r="AJ251" i="24"/>
  <c r="AJ321" i="24"/>
  <c r="AJ276" i="24"/>
  <c r="AJ339" i="24"/>
  <c r="AJ343" i="24"/>
  <c r="AJ29" i="24"/>
  <c r="AJ70" i="24"/>
  <c r="AJ111" i="24"/>
  <c r="AJ123" i="24"/>
  <c r="AJ178" i="24"/>
  <c r="AJ180" i="24"/>
  <c r="AJ243" i="24"/>
  <c r="AJ307" i="24"/>
  <c r="AJ263" i="24"/>
  <c r="AJ325" i="24"/>
  <c r="AJ332" i="24"/>
  <c r="AJ15" i="24"/>
  <c r="AJ93" i="24"/>
  <c r="AJ147" i="24"/>
  <c r="AJ214" i="24"/>
  <c r="AJ233" i="24"/>
  <c r="AJ357" i="24"/>
  <c r="AJ18" i="24"/>
  <c r="AJ110" i="24"/>
  <c r="AJ176" i="24"/>
  <c r="AJ241" i="24"/>
  <c r="AJ262" i="24"/>
  <c r="AJ331" i="24"/>
  <c r="AJ47" i="24"/>
  <c r="AJ113" i="24"/>
  <c r="AJ162" i="24"/>
  <c r="AJ287" i="24"/>
  <c r="AJ311" i="24"/>
  <c r="AJ25" i="24"/>
  <c r="AJ124" i="24"/>
  <c r="AJ308" i="24"/>
  <c r="AJ26" i="24"/>
  <c r="AJ145" i="24"/>
  <c r="AJ231" i="24"/>
  <c r="AJ72" i="24"/>
  <c r="AJ135" i="24"/>
  <c r="AJ202" i="24"/>
  <c r="AJ322" i="24"/>
  <c r="AJ340" i="24"/>
  <c r="AJ30" i="24"/>
  <c r="AJ179" i="24"/>
  <c r="AJ265" i="24"/>
  <c r="AJ50" i="24"/>
  <c r="AJ201" i="24"/>
  <c r="AJ294" i="24"/>
  <c r="AZ299" i="6"/>
  <c r="AA174" i="1"/>
  <c r="Z174" i="1" s="1"/>
  <c r="Y174" i="1" s="1"/>
  <c r="I226" i="1"/>
  <c r="AA237" i="1"/>
  <c r="Z237" i="1" s="1"/>
  <c r="Y237" i="1" s="1"/>
  <c r="G277" i="1"/>
  <c r="BW277" i="6" s="1"/>
  <c r="AZ314" i="6"/>
  <c r="AZ311" i="6"/>
  <c r="AY190" i="6"/>
  <c r="AZ190" i="6" s="1"/>
  <c r="Z380" i="6" s="1"/>
  <c r="Z381" i="6" s="1"/>
  <c r="AY188" i="6"/>
  <c r="AZ188" i="6" s="1"/>
  <c r="AZ310" i="6"/>
  <c r="G175" i="1"/>
  <c r="BW175" i="6" s="1"/>
  <c r="G180" i="1"/>
  <c r="BW180" i="6" s="1"/>
  <c r="AZ312" i="6"/>
  <c r="AZ89" i="6"/>
  <c r="AA256" i="1"/>
  <c r="Z256" i="1" s="1"/>
  <c r="Y256" i="1" s="1"/>
  <c r="G268" i="1"/>
  <c r="BW268" i="6" s="1"/>
  <c r="AA245" i="1"/>
  <c r="Z245" i="1" s="1"/>
  <c r="Y245" i="1" s="1"/>
  <c r="G359" i="1"/>
  <c r="BW359" i="6" s="1"/>
  <c r="G226" i="1"/>
  <c r="BW226" i="6" s="1"/>
  <c r="I237" i="1"/>
  <c r="I177" i="1"/>
  <c r="AZ295" i="6"/>
  <c r="I175" i="1"/>
  <c r="I180" i="1"/>
  <c r="AA359" i="1"/>
  <c r="Z359" i="1" s="1"/>
  <c r="Y359" i="1" s="1"/>
  <c r="G177" i="1"/>
  <c r="BW177" i="6" s="1"/>
  <c r="G235" i="1"/>
  <c r="BW235" i="6" s="1"/>
  <c r="F228" i="1"/>
  <c r="I228" i="1" s="1"/>
  <c r="AZ302" i="6"/>
  <c r="AH380" i="6" s="1"/>
  <c r="AH381" i="6" s="1"/>
  <c r="AA183" i="1"/>
  <c r="Z183" i="1" s="1"/>
  <c r="Y183" i="1" s="1"/>
  <c r="I231" i="1"/>
  <c r="AZ73" i="6"/>
  <c r="F272" i="1"/>
  <c r="G272" i="1" s="1"/>
  <c r="BW272" i="6" s="1"/>
  <c r="AZ78" i="6"/>
  <c r="R380" i="6" s="1"/>
  <c r="R381" i="6" s="1"/>
  <c r="AA199" i="1"/>
  <c r="Z199" i="1" s="1"/>
  <c r="Y199" i="1" s="1"/>
  <c r="G315" i="1"/>
  <c r="BW315" i="6" s="1"/>
  <c r="AZ64" i="6"/>
  <c r="Q380" i="6" s="1"/>
  <c r="Q381" i="6" s="1"/>
  <c r="AA315" i="1"/>
  <c r="Z315" i="1" s="1"/>
  <c r="Y315" i="1" s="1"/>
  <c r="V299" i="1"/>
  <c r="F299" i="1" s="1"/>
  <c r="V236" i="1"/>
  <c r="F236" i="1" s="1"/>
  <c r="V189" i="1"/>
  <c r="F189" i="1" s="1"/>
  <c r="S239" i="1"/>
  <c r="R239" i="1" s="1"/>
  <c r="P239" i="1" s="1"/>
  <c r="S76" i="1"/>
  <c r="R76" i="1" s="1"/>
  <c r="P76" i="1" s="1"/>
  <c r="V76" i="1" s="1"/>
  <c r="AA76" i="1" s="1"/>
  <c r="Z76" i="1" s="1"/>
  <c r="Y76" i="1" s="1"/>
  <c r="I16" i="7"/>
  <c r="S379" i="1"/>
  <c r="R379" i="1" s="1"/>
  <c r="P379" i="1" s="1"/>
  <c r="D35" i="19" s="1"/>
  <c r="G186" i="1"/>
  <c r="BW186" i="6" s="1"/>
  <c r="I268" i="1"/>
  <c r="F306" i="1"/>
  <c r="I306" i="1" s="1"/>
  <c r="AA244" i="1"/>
  <c r="Z244" i="1" s="1"/>
  <c r="Y244" i="1" s="1"/>
  <c r="F301" i="1"/>
  <c r="I301" i="1" s="1"/>
  <c r="G231" i="1"/>
  <c r="BW231" i="6" s="1"/>
  <c r="AA277" i="1"/>
  <c r="Z277" i="1" s="1"/>
  <c r="Y277" i="1" s="1"/>
  <c r="G201" i="1"/>
  <c r="BW201" i="6" s="1"/>
  <c r="I201" i="1"/>
  <c r="T381" i="1"/>
  <c r="T382" i="1"/>
  <c r="S16" i="1"/>
  <c r="T383" i="1"/>
  <c r="U10" i="15"/>
  <c r="AG16" i="1"/>
  <c r="AH382" i="1"/>
  <c r="AH383" i="1"/>
  <c r="AG229" i="1"/>
  <c r="AF229" i="1" s="1"/>
  <c r="AD229" i="1" s="1"/>
  <c r="AA229" i="1" s="1"/>
  <c r="Z229" i="1" s="1"/>
  <c r="Y229" i="1" s="1"/>
  <c r="S262" i="1"/>
  <c r="R262" i="1" s="1"/>
  <c r="P262" i="1" s="1"/>
  <c r="V262" i="1" s="1"/>
  <c r="F262" i="1" s="1"/>
  <c r="Q15" i="7"/>
  <c r="AE74" i="16"/>
  <c r="AE17" i="16"/>
  <c r="AE364" i="16"/>
  <c r="AE291" i="16"/>
  <c r="AE171" i="16"/>
  <c r="AE60" i="16"/>
  <c r="AE184" i="16"/>
  <c r="AE303" i="16"/>
  <c r="AE199" i="16"/>
  <c r="AE151" i="16"/>
  <c r="AE24" i="16"/>
  <c r="AE28" i="16"/>
  <c r="AE148" i="16"/>
  <c r="AE123" i="16"/>
  <c r="AE305" i="16"/>
  <c r="AE285" i="16"/>
  <c r="AE264" i="16"/>
  <c r="AE144" i="16"/>
  <c r="AE51" i="16"/>
  <c r="AE318" i="16"/>
  <c r="AE228" i="16"/>
  <c r="AE302" i="16"/>
  <c r="AE326" i="16"/>
  <c r="AE138" i="16"/>
  <c r="AE81" i="16"/>
  <c r="AE61" i="16"/>
  <c r="AE355" i="16"/>
  <c r="AE213" i="16"/>
  <c r="AE353" i="16"/>
  <c r="AE226" i="16"/>
  <c r="AE222" i="16"/>
  <c r="AE356" i="16"/>
  <c r="AE88" i="16"/>
  <c r="AE176" i="16"/>
  <c r="AE206" i="16"/>
  <c r="AE173" i="16"/>
  <c r="AE229" i="16"/>
  <c r="AE224" i="16"/>
  <c r="AE167" i="16"/>
  <c r="AE242" i="16"/>
  <c r="AE22" i="16"/>
  <c r="AE118" i="16"/>
  <c r="AE120" i="16"/>
  <c r="AE271" i="16"/>
  <c r="AE257" i="16"/>
  <c r="AE216" i="16"/>
  <c r="AE284" i="16"/>
  <c r="AE347" i="16"/>
  <c r="AE274" i="16"/>
  <c r="AE354" i="16"/>
  <c r="AE297" i="16"/>
  <c r="AE78" i="16"/>
  <c r="AE106" i="16"/>
  <c r="AE268" i="16"/>
  <c r="AE260" i="16"/>
  <c r="AE307" i="16"/>
  <c r="AE373" i="16"/>
  <c r="AE48" i="16"/>
  <c r="AE64" i="16"/>
  <c r="AE189" i="16"/>
  <c r="AE115" i="16"/>
  <c r="AE75" i="16"/>
  <c r="AE53" i="16"/>
  <c r="AE339" i="16"/>
  <c r="AE41" i="16"/>
  <c r="AE187" i="16"/>
  <c r="AE370" i="16"/>
  <c r="AE272" i="16"/>
  <c r="AE376" i="16"/>
  <c r="AE130" i="16"/>
  <c r="AE201" i="16"/>
  <c r="AE91" i="16"/>
  <c r="AE16" i="16"/>
  <c r="AE282" i="16"/>
  <c r="AE175" i="16"/>
  <c r="AE240" i="16"/>
  <c r="AE250" i="16"/>
  <c r="AE18" i="16"/>
  <c r="AE177" i="16"/>
  <c r="AE136" i="16"/>
  <c r="AE190" i="16"/>
  <c r="AE279" i="16"/>
  <c r="AE155" i="16"/>
  <c r="AE82" i="16"/>
  <c r="AE244" i="16"/>
  <c r="AE219" i="16"/>
  <c r="AE342" i="16"/>
  <c r="AE146" i="16"/>
  <c r="AE85" i="16"/>
  <c r="AE225" i="16"/>
  <c r="AE98" i="16"/>
  <c r="AE158" i="16"/>
  <c r="AE245" i="16"/>
  <c r="AE344" i="16"/>
  <c r="AE65" i="16"/>
  <c r="AE198" i="16"/>
  <c r="AE329" i="16"/>
  <c r="AE293" i="16"/>
  <c r="AE160" i="16"/>
  <c r="AE140" i="16"/>
  <c r="AE67" i="16"/>
  <c r="AE90" i="16"/>
  <c r="AE374" i="16"/>
  <c r="AE377" i="16"/>
  <c r="AE166" i="16"/>
  <c r="AE21" i="16"/>
  <c r="AE378" i="16"/>
  <c r="AE308" i="16"/>
  <c r="AE283" i="16"/>
  <c r="AE103" i="16"/>
  <c r="AE210" i="16"/>
  <c r="AE296" i="16"/>
  <c r="AE299" i="16"/>
  <c r="AE188" i="16"/>
  <c r="AE312" i="16"/>
  <c r="AE367" i="16"/>
  <c r="AE54" i="16"/>
  <c r="AE262" i="16"/>
  <c r="AE194" i="16"/>
  <c r="AE36" i="16"/>
  <c r="AE84" i="16"/>
  <c r="AE59" i="16"/>
  <c r="AE369" i="16"/>
  <c r="AE93" i="16"/>
  <c r="AE72" i="16"/>
  <c r="AE23" i="16"/>
  <c r="AE34" i="16"/>
  <c r="AE126" i="16"/>
  <c r="AE117" i="16"/>
  <c r="AE92" i="16"/>
  <c r="AE19" i="16"/>
  <c r="AE372" i="16"/>
  <c r="AE231" i="16"/>
  <c r="AE341" i="16"/>
  <c r="AE286" i="16"/>
  <c r="AE45" i="16"/>
  <c r="AE181" i="16"/>
  <c r="AE288" i="16"/>
  <c r="AE195" i="16"/>
  <c r="AE33" i="16"/>
  <c r="AE79" i="16"/>
  <c r="AE105" i="16"/>
  <c r="AE69" i="16"/>
  <c r="AE359" i="16"/>
  <c r="AE57" i="16"/>
  <c r="AE350" i="16"/>
  <c r="AE169" i="16"/>
  <c r="AE71" i="16"/>
  <c r="AE95" i="16"/>
  <c r="AE357" i="16"/>
  <c r="AE76" i="16"/>
  <c r="AE277" i="16"/>
  <c r="AE252" i="16"/>
  <c r="AE38" i="16"/>
  <c r="AE174" i="16"/>
  <c r="AE116" i="16"/>
  <c r="AE86" i="16"/>
  <c r="AE360" i="16"/>
  <c r="AE345" i="16"/>
  <c r="AE100" i="16"/>
  <c r="AE258" i="16"/>
  <c r="AE182" i="16"/>
  <c r="AE362" i="16"/>
  <c r="AE157" i="16"/>
  <c r="AE162" i="16"/>
  <c r="AE348" i="16"/>
  <c r="AE180" i="16"/>
  <c r="AE214" i="16"/>
  <c r="AE43" i="16"/>
  <c r="AE239" i="16"/>
  <c r="AE304" i="16"/>
  <c r="AE96" i="16"/>
  <c r="AE114" i="16"/>
  <c r="AE363" i="16"/>
  <c r="AE203" i="16"/>
  <c r="Q287" i="16"/>
  <c r="Q177" i="16"/>
  <c r="Q211" i="16"/>
  <c r="Q277" i="16"/>
  <c r="Q254" i="16"/>
  <c r="Q233" i="16"/>
  <c r="Q160" i="16"/>
  <c r="Q268" i="16"/>
  <c r="Q138" i="16"/>
  <c r="Q371" i="16"/>
  <c r="Q181" i="16"/>
  <c r="Q135" i="16"/>
  <c r="Q295" i="16"/>
  <c r="Q132" i="16"/>
  <c r="Q214" i="16"/>
  <c r="Q50" i="16"/>
  <c r="Q237" i="16"/>
  <c r="Q41" i="16"/>
  <c r="Q182" i="16"/>
  <c r="Q228" i="16"/>
  <c r="Q217" i="16"/>
  <c r="Q26" i="16"/>
  <c r="Q25" i="16"/>
  <c r="Q204" i="16"/>
  <c r="Q379" i="16"/>
  <c r="Q309" i="16"/>
  <c r="Q273" i="16"/>
  <c r="Q124" i="16"/>
  <c r="Q198" i="16"/>
  <c r="Q139" i="16"/>
  <c r="Q369" i="16"/>
  <c r="Q244" i="16"/>
  <c r="Q350" i="16"/>
  <c r="Q191" i="16"/>
  <c r="Q219" i="16"/>
  <c r="Q45" i="16"/>
  <c r="Q22" i="16"/>
  <c r="Q343" i="16"/>
  <c r="Q332" i="16"/>
  <c r="Q180" i="16"/>
  <c r="Q195" i="16"/>
  <c r="Q264" i="16"/>
  <c r="Q260" i="16"/>
  <c r="Q29" i="16"/>
  <c r="Q81" i="16"/>
  <c r="Q169" i="16"/>
  <c r="Q171" i="16"/>
  <c r="Q321" i="16"/>
  <c r="Q340" i="16"/>
  <c r="Q243" i="16"/>
  <c r="Q61" i="16"/>
  <c r="Q170" i="16"/>
  <c r="Q96" i="16"/>
  <c r="Q344" i="16"/>
  <c r="Q69" i="16"/>
  <c r="Q239" i="16"/>
  <c r="Q168" i="16"/>
  <c r="Q166" i="16"/>
  <c r="Q39" i="16"/>
  <c r="Q307" i="16"/>
  <c r="Q364" i="16"/>
  <c r="Q105" i="16"/>
  <c r="Q74" i="16"/>
  <c r="Q113" i="16"/>
  <c r="Q258" i="16"/>
  <c r="Q16" i="16"/>
  <c r="Q18" i="16"/>
  <c r="Q356" i="16"/>
  <c r="Q351" i="16"/>
  <c r="Q144" i="16"/>
  <c r="Q62" i="16"/>
  <c r="Q227" i="16"/>
  <c r="Q209" i="16"/>
  <c r="Q215" i="16"/>
  <c r="Q122" i="16"/>
  <c r="Q48" i="16"/>
  <c r="Q21" i="16"/>
  <c r="Q349" i="16"/>
  <c r="Q91" i="16"/>
  <c r="Q306" i="16"/>
  <c r="Q280" i="16"/>
  <c r="Q212" i="16"/>
  <c r="Q143" i="16"/>
  <c r="Q361" i="16"/>
  <c r="Q341" i="16"/>
  <c r="Q302" i="16"/>
  <c r="Q372" i="16"/>
  <c r="Q60" i="16"/>
  <c r="Q196" i="16"/>
  <c r="Q272" i="16"/>
  <c r="Q188" i="16"/>
  <c r="Q282" i="16"/>
  <c r="Q118" i="16"/>
  <c r="Q202" i="16"/>
  <c r="Q70" i="16"/>
  <c r="Q116" i="16"/>
  <c r="Q163" i="16"/>
  <c r="Q346" i="16"/>
  <c r="Q28" i="16"/>
  <c r="Q194" i="16"/>
  <c r="Q303" i="16"/>
  <c r="Q293" i="16"/>
  <c r="Q49" i="16"/>
  <c r="Q208" i="16"/>
  <c r="Q67" i="16"/>
  <c r="Q55" i="16"/>
  <c r="Q281" i="16"/>
  <c r="Q121" i="16"/>
  <c r="Q58" i="16"/>
  <c r="Q83" i="16"/>
  <c r="Q193" i="16"/>
  <c r="Q131" i="16"/>
  <c r="Q201" i="16"/>
  <c r="Q286" i="16"/>
  <c r="Q327" i="16"/>
  <c r="Q173" i="16"/>
  <c r="Q187" i="16"/>
  <c r="Q271" i="16"/>
  <c r="Q256" i="16"/>
  <c r="Q190" i="16"/>
  <c r="Q107" i="16"/>
  <c r="Q157" i="16"/>
  <c r="Q120" i="16"/>
  <c r="Q17" i="16"/>
  <c r="Q336" i="16"/>
  <c r="Q259" i="16"/>
  <c r="Q128" i="16"/>
  <c r="Q251" i="16"/>
  <c r="Q312" i="16"/>
  <c r="Q176" i="16"/>
  <c r="Q125" i="16"/>
  <c r="Q203" i="16"/>
  <c r="Q123" i="16"/>
  <c r="Q34" i="16"/>
  <c r="Q330" i="16"/>
  <c r="Q77" i="16"/>
  <c r="Q200" i="16"/>
  <c r="Q154" i="16"/>
  <c r="Q199" i="16"/>
  <c r="Q331" i="16"/>
  <c r="Q380" i="16"/>
  <c r="Q262" i="16"/>
  <c r="Q236" i="16"/>
  <c r="Q266" i="16"/>
  <c r="Q329" i="16"/>
  <c r="Q108" i="16"/>
  <c r="Q31" i="16"/>
  <c r="Q88" i="16"/>
  <c r="Q72" i="16"/>
  <c r="Q164" i="16"/>
  <c r="Q252" i="16"/>
  <c r="Q106" i="16"/>
  <c r="Q97" i="16"/>
  <c r="Q51" i="16"/>
  <c r="Q305" i="16"/>
  <c r="Q324" i="16"/>
  <c r="Q183" i="16"/>
  <c r="Q355" i="16"/>
  <c r="Q167" i="16"/>
  <c r="Q192" i="16"/>
  <c r="Q175" i="16"/>
  <c r="Q141" i="16"/>
  <c r="Q59" i="16"/>
  <c r="AE168" i="16"/>
  <c r="AE255" i="16"/>
  <c r="AE278" i="16"/>
  <c r="AE143" i="16"/>
  <c r="Q179" i="16"/>
  <c r="Q218" i="16"/>
  <c r="Q253" i="16"/>
  <c r="Q359" i="16"/>
  <c r="Q317" i="16"/>
  <c r="Q226" i="16"/>
  <c r="Q319" i="16"/>
  <c r="Q241" i="16"/>
  <c r="Q30" i="16"/>
  <c r="Q185" i="16"/>
  <c r="Q337" i="16"/>
  <c r="Q19" i="16"/>
  <c r="Q156" i="16"/>
  <c r="Q161" i="16"/>
  <c r="Q153" i="16"/>
  <c r="Q162" i="16"/>
  <c r="Q133" i="16"/>
  <c r="Q36" i="16"/>
  <c r="Q89" i="16"/>
  <c r="Q234" i="16"/>
  <c r="Q283" i="16"/>
  <c r="Q64" i="16"/>
  <c r="Q255" i="16"/>
  <c r="Q109" i="16"/>
  <c r="Q278" i="16"/>
  <c r="Q223" i="16"/>
  <c r="Q33" i="16"/>
  <c r="Q150" i="16"/>
  <c r="Q103" i="16"/>
  <c r="Q126" i="16"/>
  <c r="Q71" i="16"/>
  <c r="Q186" i="16"/>
  <c r="Q240" i="16"/>
  <c r="Q269" i="16"/>
  <c r="Q87" i="16"/>
  <c r="Q270" i="16"/>
  <c r="Q110" i="16"/>
  <c r="Q238" i="16"/>
  <c r="Q274" i="16"/>
  <c r="Q308" i="16"/>
  <c r="Q310" i="16"/>
  <c r="Q368" i="16"/>
  <c r="Q335" i="16"/>
  <c r="Q339" i="16"/>
  <c r="Q114" i="16"/>
  <c r="Q328" i="16"/>
  <c r="Q184" i="16"/>
  <c r="Q288" i="16"/>
  <c r="Q79" i="16"/>
  <c r="Q57" i="16"/>
  <c r="Q94" i="16"/>
  <c r="Q38" i="16"/>
  <c r="Q52" i="16"/>
  <c r="Q263" i="16"/>
  <c r="Q362" i="16"/>
  <c r="Q301" i="16"/>
  <c r="Q246" i="16"/>
  <c r="Q284" i="16"/>
  <c r="Q149" i="16"/>
  <c r="Q378" i="16"/>
  <c r="Q285" i="16"/>
  <c r="Q248" i="16"/>
  <c r="Q205" i="16"/>
  <c r="Q37" i="16"/>
  <c r="Q342" i="16"/>
  <c r="Q299" i="16"/>
  <c r="Q315" i="16"/>
  <c r="Q279" i="16"/>
  <c r="Q377" i="16"/>
  <c r="Q146" i="16"/>
  <c r="Q354" i="16"/>
  <c r="Q46" i="16"/>
  <c r="Q63" i="16"/>
  <c r="Q290" i="16"/>
  <c r="Q294" i="16"/>
  <c r="Q267" i="16"/>
  <c r="Q137" i="16"/>
  <c r="Q40" i="16"/>
  <c r="Q172" i="16"/>
  <c r="Q152" i="16"/>
  <c r="Q322" i="16"/>
  <c r="Q104" i="16"/>
  <c r="Q178" i="16"/>
  <c r="Q221" i="16"/>
  <c r="Q90" i="16"/>
  <c r="Q129" i="16"/>
  <c r="Q338" i="16"/>
  <c r="Q119" i="16"/>
  <c r="Q318" i="16"/>
  <c r="Q326" i="16"/>
  <c r="Q100" i="16"/>
  <c r="Q370" i="16"/>
  <c r="Q257" i="16"/>
  <c r="Q242" i="16"/>
  <c r="Q158" i="16"/>
  <c r="Q376" i="16"/>
  <c r="Q102" i="16"/>
  <c r="Q245" i="16"/>
  <c r="Q136" i="16"/>
  <c r="Q35" i="16"/>
  <c r="Q247" i="16"/>
  <c r="Q230" i="16"/>
  <c r="AE183" i="16"/>
  <c r="AE332" i="16"/>
  <c r="AE87" i="16"/>
  <c r="AE324" i="16"/>
  <c r="AE325" i="16"/>
  <c r="AE249" i="16"/>
  <c r="AE32" i="16"/>
  <c r="AE309" i="16"/>
  <c r="AE30" i="16"/>
  <c r="AE236" i="16"/>
  <c r="AE292" i="16"/>
  <c r="AE290" i="16"/>
  <c r="AE221" i="16"/>
  <c r="AE66" i="16"/>
  <c r="AE110" i="16"/>
  <c r="AE77" i="16"/>
  <c r="AE266" i="16"/>
  <c r="AE55" i="16"/>
  <c r="AE25" i="16"/>
  <c r="AE276" i="16"/>
  <c r="AE102" i="16"/>
  <c r="AE125" i="16"/>
  <c r="AE193" i="16"/>
  <c r="AE58" i="16"/>
  <c r="AE179" i="16"/>
  <c r="AE328" i="16"/>
  <c r="AE20" i="16"/>
  <c r="AE340" i="16"/>
  <c r="AE265" i="16"/>
  <c r="AE147" i="16"/>
  <c r="AE281" i="16"/>
  <c r="AE208" i="16"/>
  <c r="AE99" i="16"/>
  <c r="AE192" i="16"/>
  <c r="AE152" i="16"/>
  <c r="AE311" i="16"/>
  <c r="AE380" i="16"/>
  <c r="AE323" i="16"/>
  <c r="AE49" i="16"/>
  <c r="AE270" i="16"/>
  <c r="AE83" i="16"/>
  <c r="AE186" i="16"/>
  <c r="AE243" i="16"/>
  <c r="AE26" i="16"/>
  <c r="AE108" i="16"/>
  <c r="AE133" i="16"/>
  <c r="AE313" i="16"/>
  <c r="AE241" i="16"/>
  <c r="AE375" i="16"/>
  <c r="AE227" i="16"/>
  <c r="AE31" i="16"/>
  <c r="AE269" i="16"/>
  <c r="AE165" i="16"/>
  <c r="AE365" i="16"/>
  <c r="AE336" i="16"/>
  <c r="AE256" i="16"/>
  <c r="AE233" i="16"/>
  <c r="AE263" i="16"/>
  <c r="AE352" i="16"/>
  <c r="AE280" i="16"/>
  <c r="AE109" i="16"/>
  <c r="AE338" i="16"/>
  <c r="AE322" i="16"/>
  <c r="AE248" i="16"/>
  <c r="AE50" i="16"/>
  <c r="AE343" i="16"/>
  <c r="AE73" i="16"/>
  <c r="AE145" i="16"/>
  <c r="AE63" i="16"/>
  <c r="AE294" i="16"/>
  <c r="AE141" i="16"/>
  <c r="AE131" i="16"/>
  <c r="AE113" i="16"/>
  <c r="AE159" i="16"/>
  <c r="AE301" i="16"/>
  <c r="AE129" i="16"/>
  <c r="AE371" i="16"/>
  <c r="AE154" i="16"/>
  <c r="AE317" i="16"/>
  <c r="AE27" i="16"/>
  <c r="AE134" i="16"/>
  <c r="AE207" i="16"/>
  <c r="AE289" i="16"/>
  <c r="AE178" i="16"/>
  <c r="AE379" i="16"/>
  <c r="AE12" i="17" s="1"/>
  <c r="AE211" i="16"/>
  <c r="AE164" i="16"/>
  <c r="AE358" i="16"/>
  <c r="AE205" i="16"/>
  <c r="AE232" i="16"/>
  <c r="AE273" i="16"/>
  <c r="AE56" i="16"/>
  <c r="AE101" i="16"/>
  <c r="AE89" i="16"/>
  <c r="AE319" i="16"/>
  <c r="Q297" i="16"/>
  <c r="Q292" i="16"/>
  <c r="Q216" i="16"/>
  <c r="Q56" i="16"/>
  <c r="Q53" i="16"/>
  <c r="Q347" i="16"/>
  <c r="Q300" i="16"/>
  <c r="Q213" i="16"/>
  <c r="Q232" i="16"/>
  <c r="Q275" i="16"/>
  <c r="Q229" i="16"/>
  <c r="Q101" i="16"/>
  <c r="Q313" i="16"/>
  <c r="Q320" i="16"/>
  <c r="Q289" i="16"/>
  <c r="Q314" i="16"/>
  <c r="Q47" i="16"/>
  <c r="Q231" i="16"/>
  <c r="Q140" i="16"/>
  <c r="Q117" i="16"/>
  <c r="Q373" i="16"/>
  <c r="Q358" i="16"/>
  <c r="Q174" i="16"/>
  <c r="Q134" i="16"/>
  <c r="Q44" i="16"/>
  <c r="Q145" i="16"/>
  <c r="Q24" i="16"/>
  <c r="Q334" i="16"/>
  <c r="Q333" i="16"/>
  <c r="Q98" i="16"/>
  <c r="Q316" i="16"/>
  <c r="Q112" i="16"/>
  <c r="Q225" i="16"/>
  <c r="Q366" i="16"/>
  <c r="Q189" i="16"/>
  <c r="Q115" i="16"/>
  <c r="Q148" i="16"/>
  <c r="Q375" i="16"/>
  <c r="Q142" i="16"/>
  <c r="Q80" i="16"/>
  <c r="Q27" i="16"/>
  <c r="Q250" i="16"/>
  <c r="Q210" i="16"/>
  <c r="Q235" i="16"/>
  <c r="Q345" i="16"/>
  <c r="Q76" i="16"/>
  <c r="Q224" i="16"/>
  <c r="Q73" i="16"/>
  <c r="Q323" i="16"/>
  <c r="Q374" i="16"/>
  <c r="Q84" i="16"/>
  <c r="Q65" i="16"/>
  <c r="Q197" i="16"/>
  <c r="Q357" i="16"/>
  <c r="Q311" i="16"/>
  <c r="Q222" i="16"/>
  <c r="Q325" i="16"/>
  <c r="Q291" i="16"/>
  <c r="Q82" i="16"/>
  <c r="Q367" i="16"/>
  <c r="Q78" i="16"/>
  <c r="Q93" i="16"/>
  <c r="Q147" i="16"/>
  <c r="Q68" i="16"/>
  <c r="Q155" i="16"/>
  <c r="Q165" i="16"/>
  <c r="Q92" i="16"/>
  <c r="Q130" i="16"/>
  <c r="Q353" i="16"/>
  <c r="Q220" i="16"/>
  <c r="Q151" i="16"/>
  <c r="Q75" i="16"/>
  <c r="Q298" i="16"/>
  <c r="Q276" i="16"/>
  <c r="Q363" i="16"/>
  <c r="Q32" i="16"/>
  <c r="Q348" i="16"/>
  <c r="Q265" i="16"/>
  <c r="Q54" i="16"/>
  <c r="Q86" i="16"/>
  <c r="Q206" i="16"/>
  <c r="Q261" i="16"/>
  <c r="Q42" i="16"/>
  <c r="Q296" i="16"/>
  <c r="Q111" i="16"/>
  <c r="Q15" i="16"/>
  <c r="Q23" i="16"/>
  <c r="Q85" i="16"/>
  <c r="Q304" i="16"/>
  <c r="Q95" i="16"/>
  <c r="Q360" i="16"/>
  <c r="Q127" i="16"/>
  <c r="Q99" i="16"/>
  <c r="Q365" i="16"/>
  <c r="Q207" i="16"/>
  <c r="Q352" i="16"/>
  <c r="Q43" i="16"/>
  <c r="Q249" i="16"/>
  <c r="Q66" i="16"/>
  <c r="Q20" i="16"/>
  <c r="Q159" i="16"/>
  <c r="AE327" i="16"/>
  <c r="AE132" i="16"/>
  <c r="AE298" i="16"/>
  <c r="AE94" i="16"/>
  <c r="AE300" i="16"/>
  <c r="AE46" i="16"/>
  <c r="AE306" i="16"/>
  <c r="AE70" i="16"/>
  <c r="AE331" i="16"/>
  <c r="AE196" i="16"/>
  <c r="AE261" i="16"/>
  <c r="AE237" i="16"/>
  <c r="AE218" i="16"/>
  <c r="AE42" i="16"/>
  <c r="AE156" i="16"/>
  <c r="AE230" i="16"/>
  <c r="AE44" i="16"/>
  <c r="AE191" i="16"/>
  <c r="AE124" i="16"/>
  <c r="AE150" i="16"/>
  <c r="AE137" i="16"/>
  <c r="AE316" i="16"/>
  <c r="AE202" i="16"/>
  <c r="AE275" i="16"/>
  <c r="AE15" i="16"/>
  <c r="AE161" i="16"/>
  <c r="AE349" i="16"/>
  <c r="AE315" i="16"/>
  <c r="AE267" i="16"/>
  <c r="AE139" i="16"/>
  <c r="AE119" i="16"/>
  <c r="AE333" i="16"/>
  <c r="AE68" i="16"/>
  <c r="AE172" i="16"/>
  <c r="AE197" i="16"/>
  <c r="AE361" i="16"/>
  <c r="AE62" i="16"/>
  <c r="AE235" i="16"/>
  <c r="AE29" i="16"/>
  <c r="AE234" i="16"/>
  <c r="AE122" i="16"/>
  <c r="AE127" i="16"/>
  <c r="AE47" i="16"/>
  <c r="AE246" i="16"/>
  <c r="AE35" i="16"/>
  <c r="AE128" i="16"/>
  <c r="AE112" i="16"/>
  <c r="AE259" i="16"/>
  <c r="AE215" i="16"/>
  <c r="AE97" i="16"/>
  <c r="AE320" i="16"/>
  <c r="AE335" i="16"/>
  <c r="AE295" i="16"/>
  <c r="AE223" i="16"/>
  <c r="AE247" i="16"/>
  <c r="AE163" i="16"/>
  <c r="AE142" i="16"/>
  <c r="AE254" i="16"/>
  <c r="AE200" i="16"/>
  <c r="AE212" i="16"/>
  <c r="AE321" i="16"/>
  <c r="AE153" i="16"/>
  <c r="AE209" i="16"/>
  <c r="AE314" i="16"/>
  <c r="AE346" i="16"/>
  <c r="AE251" i="16"/>
  <c r="AE238" i="16"/>
  <c r="AE104" i="16"/>
  <c r="AE287" i="16"/>
  <c r="AE310" i="16"/>
  <c r="AE185" i="16"/>
  <c r="AE107" i="16"/>
  <c r="AE204" i="16"/>
  <c r="AE170" i="16"/>
  <c r="AE351" i="16"/>
  <c r="AE366" i="16"/>
  <c r="AE111" i="16"/>
  <c r="AE135" i="16"/>
  <c r="AE40" i="16"/>
  <c r="AE337" i="16"/>
  <c r="AE52" i="16"/>
  <c r="AE368" i="16"/>
  <c r="AE121" i="16"/>
  <c r="AE149" i="16"/>
  <c r="AE39" i="16"/>
  <c r="AE37" i="16"/>
  <c r="AE334" i="16"/>
  <c r="AE220" i="16"/>
  <c r="AE217" i="16"/>
  <c r="AE80" i="16"/>
  <c r="AE253" i="16"/>
  <c r="AE330" i="16"/>
  <c r="AC30" i="16"/>
  <c r="AC19" i="16"/>
  <c r="AC24" i="16"/>
  <c r="AC39" i="16"/>
  <c r="AC27" i="16"/>
  <c r="AC44" i="16"/>
  <c r="AC35" i="16"/>
  <c r="AC43" i="16"/>
  <c r="AC28" i="16"/>
  <c r="AC20" i="16"/>
  <c r="AC32" i="16"/>
  <c r="AC42" i="16"/>
  <c r="AC23" i="16"/>
  <c r="AC25" i="16"/>
  <c r="AC16" i="16"/>
  <c r="AC21" i="16"/>
  <c r="AC38" i="16"/>
  <c r="AC26" i="16"/>
  <c r="AC37" i="16"/>
  <c r="AC41" i="16"/>
  <c r="AC29" i="16"/>
  <c r="AC18" i="16"/>
  <c r="AC45" i="16"/>
  <c r="AC15" i="16"/>
  <c r="AC17" i="16"/>
  <c r="AC22" i="16"/>
  <c r="AC40" i="16"/>
  <c r="AC31" i="16"/>
  <c r="AC33" i="16"/>
  <c r="AC34" i="16"/>
  <c r="AC36" i="16"/>
  <c r="AC56" i="16"/>
  <c r="AC88" i="16"/>
  <c r="AC63" i="16"/>
  <c r="AC90" i="16"/>
  <c r="AC62" i="16"/>
  <c r="AC89" i="16"/>
  <c r="AC75" i="16"/>
  <c r="AC79" i="16"/>
  <c r="AC53" i="16"/>
  <c r="AC87" i="16"/>
  <c r="AC161" i="16"/>
  <c r="AC244" i="16"/>
  <c r="AC127" i="16"/>
  <c r="AC316" i="16"/>
  <c r="AC179" i="16"/>
  <c r="AC129" i="16"/>
  <c r="AC106" i="16"/>
  <c r="AC346" i="16"/>
  <c r="AC373" i="16"/>
  <c r="AC239" i="16"/>
  <c r="AC366" i="16"/>
  <c r="AC214" i="16"/>
  <c r="AC369" i="16"/>
  <c r="AC315" i="16"/>
  <c r="AC260" i="16"/>
  <c r="AC364" i="16"/>
  <c r="AC344" i="16"/>
  <c r="AC67" i="16"/>
  <c r="AC49" i="16"/>
  <c r="AC182" i="16"/>
  <c r="AC194" i="16"/>
  <c r="AC278" i="16"/>
  <c r="AC271" i="16"/>
  <c r="AC170" i="16"/>
  <c r="AC131" i="16"/>
  <c r="AC199" i="16"/>
  <c r="AC152" i="16"/>
  <c r="AC267" i="16"/>
  <c r="AC91" i="16"/>
  <c r="AC76" i="16"/>
  <c r="AC259" i="16"/>
  <c r="AC348" i="16"/>
  <c r="AC378" i="16"/>
  <c r="AC282" i="16"/>
  <c r="AC233" i="16"/>
  <c r="AC126" i="16"/>
  <c r="AC203" i="16"/>
  <c r="AC223" i="16"/>
  <c r="AC80" i="16"/>
  <c r="AC65" i="16"/>
  <c r="AC84" i="16"/>
  <c r="AC58" i="16"/>
  <c r="AC81" i="16"/>
  <c r="AC68" i="16"/>
  <c r="AC96" i="16"/>
  <c r="AC60" i="16"/>
  <c r="AC83" i="16"/>
  <c r="AC72" i="16"/>
  <c r="AC101" i="16"/>
  <c r="AC46" i="16"/>
  <c r="AC93" i="16"/>
  <c r="AC51" i="16"/>
  <c r="AC69" i="16"/>
  <c r="AC64" i="16"/>
  <c r="AC104" i="16"/>
  <c r="AC78" i="16"/>
  <c r="AC55" i="16"/>
  <c r="AC73" i="16"/>
  <c r="AC102" i="16"/>
  <c r="AC92" i="16"/>
  <c r="AC57" i="16"/>
  <c r="AC103" i="16"/>
  <c r="AC94" i="16"/>
  <c r="AC86" i="16"/>
  <c r="AC222" i="16"/>
  <c r="AC358" i="16"/>
  <c r="AC189" i="16"/>
  <c r="AC327" i="16"/>
  <c r="AC258" i="16"/>
  <c r="AC317" i="16"/>
  <c r="AC118" i="16"/>
  <c r="AC362" i="16"/>
  <c r="AC183" i="16"/>
  <c r="AC270" i="16"/>
  <c r="AC141" i="16"/>
  <c r="AC234" i="16"/>
  <c r="AC173" i="16"/>
  <c r="AC168" i="16"/>
  <c r="AC151" i="16"/>
  <c r="AC328" i="16"/>
  <c r="AC326" i="16"/>
  <c r="AC54" i="16"/>
  <c r="AC329" i="16"/>
  <c r="AC281" i="16"/>
  <c r="AC225" i="16"/>
  <c r="AC324" i="16"/>
  <c r="AC248" i="16"/>
  <c r="AC318" i="16"/>
  <c r="AC139" i="16"/>
  <c r="AC367" i="16"/>
  <c r="AC77" i="16"/>
  <c r="AC100" i="16"/>
  <c r="AC299" i="16"/>
  <c r="AC210" i="16"/>
  <c r="AC113" i="16"/>
  <c r="AC325" i="16"/>
  <c r="AC380" i="16"/>
  <c r="AC302" i="16"/>
  <c r="AC193" i="16"/>
  <c r="AC155" i="16"/>
  <c r="AC217" i="16"/>
  <c r="AC50" i="16"/>
  <c r="AC47" i="16"/>
  <c r="AC97" i="16"/>
  <c r="AC52" i="16"/>
  <c r="AC70" i="16"/>
  <c r="AC66" i="16"/>
  <c r="AC95" i="16"/>
  <c r="AC82" i="16"/>
  <c r="AC48" i="16"/>
  <c r="AC71" i="16"/>
  <c r="AC98" i="16"/>
  <c r="AC85" i="16"/>
  <c r="AC59" i="16"/>
  <c r="AC74" i="16"/>
  <c r="AC105" i="16"/>
  <c r="AC61" i="16"/>
  <c r="AC99" i="16"/>
  <c r="AC273" i="16"/>
  <c r="AC298" i="16"/>
  <c r="AC284" i="16"/>
  <c r="AC138" i="16"/>
  <c r="AC136" i="16"/>
  <c r="AC340" i="16"/>
  <c r="AC265" i="16"/>
  <c r="AC130" i="16"/>
  <c r="AC166" i="16"/>
  <c r="AC296" i="16"/>
  <c r="AC227" i="16"/>
  <c r="AC338" i="16"/>
  <c r="AC360" i="16"/>
  <c r="AC290" i="16"/>
  <c r="AC376" i="16"/>
  <c r="AC116" i="16"/>
  <c r="AC119" i="16"/>
  <c r="AC146" i="16"/>
  <c r="AC207" i="16"/>
  <c r="AC285" i="16"/>
  <c r="AC250" i="16"/>
  <c r="AC293" i="16"/>
  <c r="AC289" i="16"/>
  <c r="AC202" i="16"/>
  <c r="AC333" i="16"/>
  <c r="AC191" i="16"/>
  <c r="AC218" i="16"/>
  <c r="AC266" i="16"/>
  <c r="AC337" i="16"/>
  <c r="AC365" i="16"/>
  <c r="AC341" i="16"/>
  <c r="AC253" i="16"/>
  <c r="AC370" i="16"/>
  <c r="AC291" i="16"/>
  <c r="AC132" i="16"/>
  <c r="AC157" i="16"/>
  <c r="AC122" i="16"/>
  <c r="AC297" i="16"/>
  <c r="AC224" i="16"/>
  <c r="AC309" i="16"/>
  <c r="AC292" i="16"/>
  <c r="AC303" i="16"/>
  <c r="AC347" i="16"/>
  <c r="AC339" i="16"/>
  <c r="AC354" i="16"/>
  <c r="AC201" i="16"/>
  <c r="AC158" i="16"/>
  <c r="AC204" i="16"/>
  <c r="AC144" i="16"/>
  <c r="AC295" i="16"/>
  <c r="AC331" i="16"/>
  <c r="AC345" i="16"/>
  <c r="AC115" i="16"/>
  <c r="AC206" i="16"/>
  <c r="AC243" i="16"/>
  <c r="AC198" i="16"/>
  <c r="AC264" i="16"/>
  <c r="AC275" i="16"/>
  <c r="AC186" i="16"/>
  <c r="AC321" i="16"/>
  <c r="AC174" i="16"/>
  <c r="AC205" i="16"/>
  <c r="AC133" i="16"/>
  <c r="AC247" i="16"/>
  <c r="AC305" i="16"/>
  <c r="AC350" i="16"/>
  <c r="AC196" i="16"/>
  <c r="AC363" i="16"/>
  <c r="AC232" i="16"/>
  <c r="AC379" i="16"/>
  <c r="AC121" i="16"/>
  <c r="AC134" i="16"/>
  <c r="AC162" i="16"/>
  <c r="AC163" i="16"/>
  <c r="AC313" i="16"/>
  <c r="AC164" i="16"/>
  <c r="AC359" i="16"/>
  <c r="AC226" i="16"/>
  <c r="AC335" i="16"/>
  <c r="AC261" i="16"/>
  <c r="AC251" i="16"/>
  <c r="AC172" i="16"/>
  <c r="AC357" i="16"/>
  <c r="AC307" i="16"/>
  <c r="AC283" i="16"/>
  <c r="AC342" i="16"/>
  <c r="AC149" i="16"/>
  <c r="AC230" i="16"/>
  <c r="AC213" i="16"/>
  <c r="AC147" i="16"/>
  <c r="AC192" i="16"/>
  <c r="AC322" i="16"/>
  <c r="AC272" i="16"/>
  <c r="AC180" i="16"/>
  <c r="AC332" i="16"/>
  <c r="AC140" i="16"/>
  <c r="AC123" i="16"/>
  <c r="AC150" i="16"/>
  <c r="AC215" i="16"/>
  <c r="AC237" i="16"/>
  <c r="AC178" i="16"/>
  <c r="AC169" i="16"/>
  <c r="AC352" i="16"/>
  <c r="AC137" i="16"/>
  <c r="AC240" i="16"/>
  <c r="AC160" i="16"/>
  <c r="AC114" i="16"/>
  <c r="AC254" i="16"/>
  <c r="AC356" i="16"/>
  <c r="AC349" i="16"/>
  <c r="AC276" i="16"/>
  <c r="AC300" i="16"/>
  <c r="AC377" i="16"/>
  <c r="AC263" i="16"/>
  <c r="AC304" i="16"/>
  <c r="AC175" i="16"/>
  <c r="AC156" i="16"/>
  <c r="AC221" i="16"/>
  <c r="AC257" i="16"/>
  <c r="AC314" i="16"/>
  <c r="AC256" i="16"/>
  <c r="AC371" i="16"/>
  <c r="AC154" i="16"/>
  <c r="AC165" i="16"/>
  <c r="AC308" i="16"/>
  <c r="AC117" i="16"/>
  <c r="AC238" i="16"/>
  <c r="AC159" i="16"/>
  <c r="AC120" i="16"/>
  <c r="AC145" i="16"/>
  <c r="AC171" i="16"/>
  <c r="AC188" i="16"/>
  <c r="AC195" i="16"/>
  <c r="AC269" i="16"/>
  <c r="AC181" i="16"/>
  <c r="AC330" i="16"/>
  <c r="AC184" i="16"/>
  <c r="AC375" i="16"/>
  <c r="AC242" i="16"/>
  <c r="AC219" i="16"/>
  <c r="AC153" i="16"/>
  <c r="AC372" i="16"/>
  <c r="AC274" i="16"/>
  <c r="AC262" i="16"/>
  <c r="AC187" i="16"/>
  <c r="AC108" i="16"/>
  <c r="AC277" i="16"/>
  <c r="AC361" i="16"/>
  <c r="AC301" i="16"/>
  <c r="AC124" i="16"/>
  <c r="AC208" i="16"/>
  <c r="AC286" i="16"/>
  <c r="AC228" i="16"/>
  <c r="AC355" i="16"/>
  <c r="AC312" i="16"/>
  <c r="AC235" i="16"/>
  <c r="AC374" i="16"/>
  <c r="AC280" i="16"/>
  <c r="AC323" i="16"/>
  <c r="AC229" i="16"/>
  <c r="AC190" i="16"/>
  <c r="AC268" i="16"/>
  <c r="AC311" i="16"/>
  <c r="AC252" i="16"/>
  <c r="AC110" i="16"/>
  <c r="AC128" i="16"/>
  <c r="AC236" i="16"/>
  <c r="AC212" i="16"/>
  <c r="AC200" i="16"/>
  <c r="AC288" i="16"/>
  <c r="AC368" i="16"/>
  <c r="AC177" i="16"/>
  <c r="AC112" i="16"/>
  <c r="AC143" i="16"/>
  <c r="AC211" i="16"/>
  <c r="AC176" i="16"/>
  <c r="AC310" i="16"/>
  <c r="AC246" i="16"/>
  <c r="AC167" i="16"/>
  <c r="AC216" i="16"/>
  <c r="AC241" i="16"/>
  <c r="AC279" i="16"/>
  <c r="AC343" i="16"/>
  <c r="AC107" i="16"/>
  <c r="AC148" i="16"/>
  <c r="AC287" i="16"/>
  <c r="AC125" i="16"/>
  <c r="AC220" i="16"/>
  <c r="AC109" i="16"/>
  <c r="AC245" i="16"/>
  <c r="AC351" i="16"/>
  <c r="AC111" i="16"/>
  <c r="AC185" i="16"/>
  <c r="AC135" i="16"/>
  <c r="AC231" i="16"/>
  <c r="AC306" i="16"/>
  <c r="AC320" i="16"/>
  <c r="AC353" i="16"/>
  <c r="AC142" i="16"/>
  <c r="AC249" i="16"/>
  <c r="AC334" i="16"/>
  <c r="AC255" i="16"/>
  <c r="AC319" i="16"/>
  <c r="AC294" i="16"/>
  <c r="AC209" i="16"/>
  <c r="AC336" i="16"/>
  <c r="AC197" i="16"/>
  <c r="O53" i="16"/>
  <c r="E53" i="16" s="1"/>
  <c r="O44" i="16"/>
  <c r="E44" i="16" s="1"/>
  <c r="O56" i="16"/>
  <c r="E56" i="16" s="1"/>
  <c r="O19" i="16"/>
  <c r="E19" i="16" s="1"/>
  <c r="O82" i="16"/>
  <c r="E82" i="16" s="1"/>
  <c r="O42" i="16"/>
  <c r="E42" i="16" s="1"/>
  <c r="O95" i="16"/>
  <c r="E95" i="16" s="1"/>
  <c r="O50" i="16"/>
  <c r="E50" i="16" s="1"/>
  <c r="O86" i="16"/>
  <c r="E86" i="16" s="1"/>
  <c r="O58" i="16"/>
  <c r="E58" i="16" s="1"/>
  <c r="O101" i="16"/>
  <c r="E101" i="16" s="1"/>
  <c r="O64" i="16"/>
  <c r="E64" i="16" s="1"/>
  <c r="O77" i="16"/>
  <c r="E77" i="16" s="1"/>
  <c r="O36" i="16"/>
  <c r="E36" i="16" s="1"/>
  <c r="O30" i="16"/>
  <c r="E30" i="16" s="1"/>
  <c r="O89" i="16"/>
  <c r="E89" i="16" s="1"/>
  <c r="O21" i="16"/>
  <c r="E21" i="16" s="1"/>
  <c r="O37" i="16"/>
  <c r="E37" i="16" s="1"/>
  <c r="O28" i="16"/>
  <c r="E28" i="16" s="1"/>
  <c r="O72" i="16"/>
  <c r="E72" i="16" s="1"/>
  <c r="O75" i="16"/>
  <c r="E75" i="16" s="1"/>
  <c r="O43" i="16"/>
  <c r="E43" i="16" s="1"/>
  <c r="O35" i="16"/>
  <c r="E35" i="16" s="1"/>
  <c r="O18" i="16"/>
  <c r="E18" i="16" s="1"/>
  <c r="O54" i="16"/>
  <c r="E54" i="16" s="1"/>
  <c r="O16" i="16"/>
  <c r="E16" i="16" s="1"/>
  <c r="O102" i="16"/>
  <c r="E102" i="16" s="1"/>
  <c r="O40" i="16"/>
  <c r="E40" i="16" s="1"/>
  <c r="O87" i="16"/>
  <c r="E87" i="16" s="1"/>
  <c r="O67" i="16"/>
  <c r="E67" i="16" s="1"/>
  <c r="O90" i="16"/>
  <c r="E90" i="16" s="1"/>
  <c r="O70" i="16"/>
  <c r="E70" i="16" s="1"/>
  <c r="O23" i="16"/>
  <c r="E23" i="16" s="1"/>
  <c r="O29" i="16"/>
  <c r="O41" i="16"/>
  <c r="E41" i="16" s="1"/>
  <c r="O69" i="16"/>
  <c r="E69" i="16" s="1"/>
  <c r="O27" i="16"/>
  <c r="E27" i="16" s="1"/>
  <c r="O88" i="16"/>
  <c r="O60" i="16"/>
  <c r="O93" i="16"/>
  <c r="E93" i="16" s="1"/>
  <c r="O71" i="16"/>
  <c r="E71" i="16" s="1"/>
  <c r="O17" i="16"/>
  <c r="E17" i="16" s="1"/>
  <c r="O104" i="16"/>
  <c r="E104" i="16" s="1"/>
  <c r="O34" i="16"/>
  <c r="E34" i="16" s="1"/>
  <c r="O92" i="16"/>
  <c r="E92" i="16" s="1"/>
  <c r="O155" i="16"/>
  <c r="E155" i="16" s="1"/>
  <c r="O307" i="16"/>
  <c r="E307" i="16" s="1"/>
  <c r="O306" i="16"/>
  <c r="E306" i="16" s="1"/>
  <c r="O378" i="16"/>
  <c r="E378" i="16" s="1"/>
  <c r="O79" i="17"/>
  <c r="E79" i="17" s="1"/>
  <c r="O123" i="17"/>
  <c r="E123" i="17" s="1"/>
  <c r="O145" i="16"/>
  <c r="E145" i="16" s="1"/>
  <c r="O147" i="16"/>
  <c r="E147" i="16" s="1"/>
  <c r="O196" i="16"/>
  <c r="E196" i="16" s="1"/>
  <c r="O159" i="16"/>
  <c r="E159" i="16" s="1"/>
  <c r="O179" i="16"/>
  <c r="E179" i="16" s="1"/>
  <c r="O210" i="16"/>
  <c r="O267" i="16"/>
  <c r="E267" i="16" s="1"/>
  <c r="O224" i="16"/>
  <c r="E224" i="16" s="1"/>
  <c r="O274" i="16"/>
  <c r="E274" i="16" s="1"/>
  <c r="O330" i="16"/>
  <c r="E330" i="16" s="1"/>
  <c r="O193" i="16"/>
  <c r="E193" i="16" s="1"/>
  <c r="O373" i="16"/>
  <c r="E373" i="16" s="1"/>
  <c r="O98" i="17"/>
  <c r="E98" i="17" s="1"/>
  <c r="O120" i="16"/>
  <c r="E120" i="16" s="1"/>
  <c r="O203" i="16"/>
  <c r="E203" i="16" s="1"/>
  <c r="O187" i="16"/>
  <c r="E187" i="16" s="1"/>
  <c r="O254" i="16"/>
  <c r="E254" i="16" s="1"/>
  <c r="O278" i="16"/>
  <c r="E278" i="16" s="1"/>
  <c r="O309" i="16"/>
  <c r="E309" i="16" s="1"/>
  <c r="O232" i="16"/>
  <c r="E232" i="16" s="1"/>
  <c r="O251" i="16"/>
  <c r="E251" i="16" s="1"/>
  <c r="O287" i="16"/>
  <c r="E287" i="16" s="1"/>
  <c r="O322" i="16"/>
  <c r="E322" i="16" s="1"/>
  <c r="O336" i="16"/>
  <c r="E336" i="16" s="1"/>
  <c r="O340" i="16"/>
  <c r="E340" i="16" s="1"/>
  <c r="O370" i="16"/>
  <c r="E370" i="16" s="1"/>
  <c r="O29" i="17"/>
  <c r="O23" i="17"/>
  <c r="E23" i="17" s="1"/>
  <c r="O96" i="17"/>
  <c r="E96" i="17" s="1"/>
  <c r="O113" i="17"/>
  <c r="E113" i="17" s="1"/>
  <c r="O21" i="17"/>
  <c r="E21" i="17" s="1"/>
  <c r="O47" i="17"/>
  <c r="E47" i="17" s="1"/>
  <c r="O49" i="16"/>
  <c r="E49" i="16" s="1"/>
  <c r="O51" i="16"/>
  <c r="E51" i="16" s="1"/>
  <c r="O46" i="16"/>
  <c r="E46" i="16" s="1"/>
  <c r="O97" i="16"/>
  <c r="E97" i="16" s="1"/>
  <c r="O66" i="16"/>
  <c r="E66" i="16" s="1"/>
  <c r="O25" i="16"/>
  <c r="E25" i="16" s="1"/>
  <c r="O94" i="16"/>
  <c r="E94" i="16" s="1"/>
  <c r="O55" i="16"/>
  <c r="E55" i="16" s="1"/>
  <c r="O80" i="16"/>
  <c r="E80" i="16" s="1"/>
  <c r="O26" i="16"/>
  <c r="E26" i="16" s="1"/>
  <c r="O99" i="16"/>
  <c r="E99" i="16" s="1"/>
  <c r="O59" i="16"/>
  <c r="E59" i="16" s="1"/>
  <c r="O32" i="16"/>
  <c r="E32" i="16" s="1"/>
  <c r="O74" i="16"/>
  <c r="E74" i="16" s="1"/>
  <c r="O84" i="16"/>
  <c r="E84" i="16" s="1"/>
  <c r="O100" i="16"/>
  <c r="E100" i="16" s="1"/>
  <c r="O47" i="16"/>
  <c r="E47" i="16" s="1"/>
  <c r="O38" i="16"/>
  <c r="E38" i="16" s="1"/>
  <c r="O62" i="16"/>
  <c r="E62" i="16" s="1"/>
  <c r="O76" i="16"/>
  <c r="E76" i="16" s="1"/>
  <c r="O79" i="16"/>
  <c r="E79" i="16" s="1"/>
  <c r="O85" i="16"/>
  <c r="E85" i="16" s="1"/>
  <c r="O63" i="16"/>
  <c r="E63" i="16" s="1"/>
  <c r="O73" i="16"/>
  <c r="E73" i="16" s="1"/>
  <c r="O31" i="16"/>
  <c r="E31" i="16" s="1"/>
  <c r="O48" i="16"/>
  <c r="E48" i="16" s="1"/>
  <c r="O105" i="16"/>
  <c r="E105" i="16" s="1"/>
  <c r="O52" i="16"/>
  <c r="E52" i="16" s="1"/>
  <c r="O15" i="16"/>
  <c r="O103" i="16"/>
  <c r="E103" i="16" s="1"/>
  <c r="O39" i="16"/>
  <c r="E39" i="16" s="1"/>
  <c r="O98" i="16"/>
  <c r="E98" i="16" s="1"/>
  <c r="O22" i="16"/>
  <c r="E22" i="16" s="1"/>
  <c r="O83" i="16"/>
  <c r="E83" i="16" s="1"/>
  <c r="O68" i="16"/>
  <c r="E68" i="16" s="1"/>
  <c r="O20" i="16"/>
  <c r="E20" i="16" s="1"/>
  <c r="O45" i="16"/>
  <c r="E45" i="16" s="1"/>
  <c r="O61" i="16"/>
  <c r="E61" i="16" s="1"/>
  <c r="O81" i="16"/>
  <c r="E81" i="16" s="1"/>
  <c r="O65" i="16"/>
  <c r="E65" i="16" s="1"/>
  <c r="O24" i="16"/>
  <c r="E24" i="16" s="1"/>
  <c r="O91" i="16"/>
  <c r="E91" i="16" s="1"/>
  <c r="O33" i="16"/>
  <c r="E33" i="16" s="1"/>
  <c r="O78" i="16"/>
  <c r="E78" i="16" s="1"/>
  <c r="O57" i="16"/>
  <c r="E57" i="16" s="1"/>
  <c r="O96" i="16"/>
  <c r="E96" i="16" s="1"/>
  <c r="O124" i="16"/>
  <c r="E124" i="16" s="1"/>
  <c r="O209" i="16"/>
  <c r="E209" i="16" s="1"/>
  <c r="O265" i="16"/>
  <c r="E265" i="16" s="1"/>
  <c r="O335" i="16"/>
  <c r="E335" i="16" s="1"/>
  <c r="O55" i="17"/>
  <c r="E55" i="17" s="1"/>
  <c r="O111" i="17"/>
  <c r="E111" i="17" s="1"/>
  <c r="O121" i="16"/>
  <c r="E121" i="16" s="1"/>
  <c r="O125" i="16"/>
  <c r="E125" i="16" s="1"/>
  <c r="O190" i="16"/>
  <c r="E190" i="16" s="1"/>
  <c r="O204" i="16"/>
  <c r="E204" i="16" s="1"/>
  <c r="O166" i="16"/>
  <c r="E166" i="16" s="1"/>
  <c r="O194" i="16"/>
  <c r="E194" i="16" s="1"/>
  <c r="O243" i="16"/>
  <c r="E243" i="16" s="1"/>
  <c r="O291" i="16"/>
  <c r="E291" i="16" s="1"/>
  <c r="O244" i="16"/>
  <c r="E244" i="16" s="1"/>
  <c r="O317" i="16"/>
  <c r="E317" i="16" s="1"/>
  <c r="O115" i="16"/>
  <c r="E115" i="16" s="1"/>
  <c r="O237" i="16"/>
  <c r="E237" i="16" s="1"/>
  <c r="O52" i="17"/>
  <c r="E52" i="17" s="1"/>
  <c r="O128" i="16"/>
  <c r="E128" i="16" s="1"/>
  <c r="O184" i="16"/>
  <c r="E184" i="16" s="1"/>
  <c r="O165" i="16"/>
  <c r="E165" i="16" s="1"/>
  <c r="O220" i="16"/>
  <c r="E220" i="16" s="1"/>
  <c r="O262" i="16"/>
  <c r="E262" i="16" s="1"/>
  <c r="O288" i="16"/>
  <c r="E288" i="16" s="1"/>
  <c r="O223" i="16"/>
  <c r="E223" i="16" s="1"/>
  <c r="O240" i="16"/>
  <c r="E240" i="16" s="1"/>
  <c r="O266" i="16"/>
  <c r="E266" i="16" s="1"/>
  <c r="O311" i="16"/>
  <c r="E311" i="16" s="1"/>
  <c r="O326" i="16"/>
  <c r="E326" i="16" s="1"/>
  <c r="O358" i="16"/>
  <c r="E358" i="16" s="1"/>
  <c r="O352" i="16"/>
  <c r="E352" i="16" s="1"/>
  <c r="O377" i="16"/>
  <c r="E377" i="16" s="1"/>
  <c r="O22" i="17"/>
  <c r="E22" i="17" s="1"/>
  <c r="O70" i="17"/>
  <c r="E70" i="17" s="1"/>
  <c r="O110" i="17"/>
  <c r="E110" i="17" s="1"/>
  <c r="O359" i="16"/>
  <c r="E359" i="16" s="1"/>
  <c r="O50" i="17"/>
  <c r="E50" i="17" s="1"/>
  <c r="O48" i="17"/>
  <c r="E48" i="17" s="1"/>
  <c r="O101" i="17"/>
  <c r="E101" i="17" s="1"/>
  <c r="O357" i="16"/>
  <c r="E357" i="16" s="1"/>
  <c r="O376" i="16"/>
  <c r="E376" i="16" s="1"/>
  <c r="O41" i="17"/>
  <c r="E41" i="17" s="1"/>
  <c r="O81" i="17"/>
  <c r="E81" i="17" s="1"/>
  <c r="O116" i="17"/>
  <c r="E116" i="17" s="1"/>
  <c r="O126" i="16"/>
  <c r="E126" i="16" s="1"/>
  <c r="O272" i="16"/>
  <c r="O113" i="16"/>
  <c r="E113" i="16" s="1"/>
  <c r="O175" i="16"/>
  <c r="E175" i="16" s="1"/>
  <c r="O208" i="16"/>
  <c r="E208" i="16" s="1"/>
  <c r="O300" i="16"/>
  <c r="E300" i="16" s="1"/>
  <c r="O260" i="16"/>
  <c r="E260" i="16" s="1"/>
  <c r="O302" i="16"/>
  <c r="O371" i="16"/>
  <c r="E371" i="16" s="1"/>
  <c r="O77" i="17"/>
  <c r="E77" i="17" s="1"/>
  <c r="O143" i="16"/>
  <c r="E143" i="16" s="1"/>
  <c r="O249" i="16"/>
  <c r="E249" i="16" s="1"/>
  <c r="O282" i="16"/>
  <c r="E282" i="16" s="1"/>
  <c r="O346" i="16"/>
  <c r="E346" i="16" s="1"/>
  <c r="O43" i="17"/>
  <c r="E43" i="17" s="1"/>
  <c r="O88" i="17"/>
  <c r="O108" i="16"/>
  <c r="E108" i="16" s="1"/>
  <c r="O161" i="16"/>
  <c r="E161" i="16" s="1"/>
  <c r="O157" i="16"/>
  <c r="E157" i="16" s="1"/>
  <c r="O214" i="16"/>
  <c r="E214" i="16" s="1"/>
  <c r="O315" i="16"/>
  <c r="E315" i="16" s="1"/>
  <c r="O268" i="16"/>
  <c r="E268" i="16" s="1"/>
  <c r="O308" i="16"/>
  <c r="E308" i="16" s="1"/>
  <c r="O337" i="16"/>
  <c r="E337" i="16" s="1"/>
  <c r="O379" i="16"/>
  <c r="O57" i="17"/>
  <c r="E57" i="17" s="1"/>
  <c r="O82" i="17"/>
  <c r="E82" i="17" s="1"/>
  <c r="O119" i="16"/>
  <c r="O227" i="16"/>
  <c r="E227" i="16" s="1"/>
  <c r="O26" i="17"/>
  <c r="E26" i="17" s="1"/>
  <c r="O110" i="16"/>
  <c r="E110" i="16" s="1"/>
  <c r="O169" i="16"/>
  <c r="E169" i="16" s="1"/>
  <c r="O163" i="16"/>
  <c r="E163" i="16" s="1"/>
  <c r="O217" i="16"/>
  <c r="E217" i="16" s="1"/>
  <c r="O275" i="16"/>
  <c r="E275" i="16" s="1"/>
  <c r="O228" i="16"/>
  <c r="E228" i="16" s="1"/>
  <c r="O284" i="16"/>
  <c r="E284" i="16" s="1"/>
  <c r="O334" i="16"/>
  <c r="E334" i="16" s="1"/>
  <c r="O233" i="16"/>
  <c r="E233" i="16" s="1"/>
  <c r="O343" i="16"/>
  <c r="E343" i="16" s="1"/>
  <c r="O355" i="16"/>
  <c r="E355" i="16" s="1"/>
  <c r="O375" i="16"/>
  <c r="E375" i="16" s="1"/>
  <c r="O39" i="17"/>
  <c r="E39" i="17" s="1"/>
  <c r="O73" i="17"/>
  <c r="E73" i="17" s="1"/>
  <c r="O114" i="17"/>
  <c r="E114" i="17" s="1"/>
  <c r="O372" i="16"/>
  <c r="E372" i="16" s="1"/>
  <c r="O71" i="17"/>
  <c r="E71" i="17" s="1"/>
  <c r="O329" i="16"/>
  <c r="E329" i="16" s="1"/>
  <c r="O61" i="17"/>
  <c r="E61" i="17" s="1"/>
  <c r="O109" i="17"/>
  <c r="E109" i="17" s="1"/>
  <c r="O270" i="16"/>
  <c r="E270" i="16" s="1"/>
  <c r="O356" i="16"/>
  <c r="E356" i="16" s="1"/>
  <c r="O104" i="17"/>
  <c r="E104" i="17" s="1"/>
  <c r="O148" i="16"/>
  <c r="E148" i="16" s="1"/>
  <c r="O189" i="16"/>
  <c r="E189" i="16" s="1"/>
  <c r="O235" i="16"/>
  <c r="E235" i="16" s="1"/>
  <c r="O367" i="16"/>
  <c r="E367" i="16" s="1"/>
  <c r="O42" i="17"/>
  <c r="E42" i="17" s="1"/>
  <c r="O91" i="17"/>
  <c r="E91" i="17" s="1"/>
  <c r="O206" i="16"/>
  <c r="E206" i="16" s="1"/>
  <c r="O327" i="16"/>
  <c r="E327" i="16" s="1"/>
  <c r="O105" i="17"/>
  <c r="E105" i="17" s="1"/>
  <c r="O123" i="16"/>
  <c r="E123" i="16" s="1"/>
  <c r="O176" i="16"/>
  <c r="E176" i="16" s="1"/>
  <c r="O213" i="16"/>
  <c r="E213" i="16" s="1"/>
  <c r="O328" i="16"/>
  <c r="E328" i="16" s="1"/>
  <c r="O20" i="17"/>
  <c r="E20" i="17" s="1"/>
  <c r="O78" i="17"/>
  <c r="E78" i="17" s="1"/>
  <c r="O310" i="16"/>
  <c r="E310" i="16" s="1"/>
  <c r="O323" i="16"/>
  <c r="E323" i="16" s="1"/>
  <c r="O295" i="16"/>
  <c r="E295" i="16" s="1"/>
  <c r="O153" i="16"/>
  <c r="E153" i="16" s="1"/>
  <c r="O178" i="16"/>
  <c r="E178" i="16" s="1"/>
  <c r="O44" i="17"/>
  <c r="E44" i="17" s="1"/>
  <c r="O118" i="17"/>
  <c r="E118" i="17" s="1"/>
  <c r="O312" i="16"/>
  <c r="E312" i="16" s="1"/>
  <c r="O120" i="17"/>
  <c r="E120" i="17" s="1"/>
  <c r="O180" i="16"/>
  <c r="O80" i="17"/>
  <c r="E80" i="17" s="1"/>
  <c r="O121" i="17"/>
  <c r="E121" i="17" s="1"/>
  <c r="O350" i="16"/>
  <c r="E350" i="16" s="1"/>
  <c r="O32" i="17"/>
  <c r="E32" i="17" s="1"/>
  <c r="O59" i="17"/>
  <c r="E59" i="17" s="1"/>
  <c r="O92" i="17"/>
  <c r="E92" i="17" s="1"/>
  <c r="O119" i="17"/>
  <c r="O215" i="16"/>
  <c r="E215" i="16" s="1"/>
  <c r="O72" i="17"/>
  <c r="E72" i="17" s="1"/>
  <c r="O114" i="16"/>
  <c r="E114" i="16" s="1"/>
  <c r="O212" i="16"/>
  <c r="E212" i="16" s="1"/>
  <c r="O253" i="16"/>
  <c r="E253" i="16" s="1"/>
  <c r="O225" i="16"/>
  <c r="E225" i="16" s="1"/>
  <c r="O283" i="16"/>
  <c r="E283" i="16" s="1"/>
  <c r="O332" i="16"/>
  <c r="E332" i="16" s="1"/>
  <c r="O49" i="17"/>
  <c r="E49" i="17" s="1"/>
  <c r="O106" i="17"/>
  <c r="E106" i="17" s="1"/>
  <c r="O177" i="16"/>
  <c r="E177" i="16" s="1"/>
  <c r="O218" i="16"/>
  <c r="E218" i="16" s="1"/>
  <c r="O331" i="16"/>
  <c r="E331" i="16" s="1"/>
  <c r="O27" i="17"/>
  <c r="E27" i="17" s="1"/>
  <c r="O87" i="17"/>
  <c r="E87" i="17" s="1"/>
  <c r="O131" i="16"/>
  <c r="E131" i="16" s="1"/>
  <c r="O134" i="16"/>
  <c r="E134" i="16" s="1"/>
  <c r="O160" i="16"/>
  <c r="E160" i="16" s="1"/>
  <c r="O185" i="16"/>
  <c r="E185" i="16" s="1"/>
  <c r="O259" i="16"/>
  <c r="E259" i="16" s="1"/>
  <c r="O229" i="16"/>
  <c r="E229" i="16" s="1"/>
  <c r="O289" i="16"/>
  <c r="E289" i="16" s="1"/>
  <c r="O348" i="16"/>
  <c r="E348" i="16" s="1"/>
  <c r="O354" i="16"/>
  <c r="E354" i="16" s="1"/>
  <c r="O31" i="17"/>
  <c r="E31" i="17" s="1"/>
  <c r="O38" i="17"/>
  <c r="E38" i="17" s="1"/>
  <c r="O99" i="17"/>
  <c r="E99" i="17" s="1"/>
  <c r="O181" i="16"/>
  <c r="E181" i="16" s="1"/>
  <c r="O341" i="16"/>
  <c r="E341" i="16" s="1"/>
  <c r="O94" i="17"/>
  <c r="E94" i="17" s="1"/>
  <c r="O111" i="16"/>
  <c r="E111" i="16" s="1"/>
  <c r="O199" i="16"/>
  <c r="E199" i="16" s="1"/>
  <c r="O183" i="16"/>
  <c r="E183" i="16" s="1"/>
  <c r="O248" i="16"/>
  <c r="E248" i="16" s="1"/>
  <c r="O304" i="16"/>
  <c r="E304" i="16" s="1"/>
  <c r="O246" i="16"/>
  <c r="E246" i="16" s="1"/>
  <c r="O321" i="16"/>
  <c r="E321" i="16" s="1"/>
  <c r="O129" i="16"/>
  <c r="E129" i="16" s="1"/>
  <c r="O277" i="16"/>
  <c r="E277" i="16" s="1"/>
  <c r="O15" i="17"/>
  <c r="O347" i="16"/>
  <c r="E347" i="16" s="1"/>
  <c r="O30" i="17"/>
  <c r="E30" i="17" s="1"/>
  <c r="O46" i="17"/>
  <c r="E46" i="17" s="1"/>
  <c r="O90" i="17"/>
  <c r="E90" i="17" s="1"/>
  <c r="O117" i="17"/>
  <c r="E117" i="17" s="1"/>
  <c r="O33" i="17"/>
  <c r="E33" i="17" s="1"/>
  <c r="O112" i="17"/>
  <c r="E112" i="17" s="1"/>
  <c r="O17" i="17"/>
  <c r="E17" i="17" s="1"/>
  <c r="O86" i="17"/>
  <c r="E86" i="17" s="1"/>
  <c r="O167" i="16"/>
  <c r="E167" i="16" s="1"/>
  <c r="O293" i="16"/>
  <c r="E293" i="16" s="1"/>
  <c r="O40" i="17"/>
  <c r="E40" i="17" s="1"/>
  <c r="O150" i="16"/>
  <c r="E150" i="16" s="1"/>
  <c r="O173" i="16"/>
  <c r="E173" i="16" s="1"/>
  <c r="O271" i="16"/>
  <c r="E271" i="16" s="1"/>
  <c r="O294" i="16"/>
  <c r="E294" i="16" s="1"/>
  <c r="O360" i="16"/>
  <c r="E360" i="16" s="1"/>
  <c r="O51" i="17"/>
  <c r="E51" i="17" s="1"/>
  <c r="O118" i="16"/>
  <c r="E118" i="16" s="1"/>
  <c r="O252" i="16"/>
  <c r="E252" i="16" s="1"/>
  <c r="O45" i="17"/>
  <c r="E45" i="17" s="1"/>
  <c r="O117" i="16"/>
  <c r="E117" i="16" s="1"/>
  <c r="O141" i="16"/>
  <c r="E141" i="16" s="1"/>
  <c r="O242" i="16"/>
  <c r="E242" i="16" s="1"/>
  <c r="O280" i="16"/>
  <c r="E280" i="16" s="1"/>
  <c r="O344" i="16"/>
  <c r="E344" i="16" s="1"/>
  <c r="O36" i="17"/>
  <c r="E36" i="17" s="1"/>
  <c r="O257" i="16"/>
  <c r="E257" i="16" s="1"/>
  <c r="O255" i="16"/>
  <c r="E255" i="16" s="1"/>
  <c r="O174" i="16"/>
  <c r="E174" i="16" s="1"/>
  <c r="O63" i="17"/>
  <c r="E63" i="17" s="1"/>
  <c r="O195" i="16"/>
  <c r="E195" i="16" s="1"/>
  <c r="O241" i="16"/>
  <c r="O76" i="17"/>
  <c r="E76" i="17" s="1"/>
  <c r="O164" i="16"/>
  <c r="E164" i="16" s="1"/>
  <c r="O380" i="16"/>
  <c r="E380" i="16" s="1"/>
  <c r="O142" i="16"/>
  <c r="E142" i="16" s="1"/>
  <c r="O349" i="16"/>
  <c r="E349" i="16" s="1"/>
  <c r="O56" i="17"/>
  <c r="E56" i="17" s="1"/>
  <c r="O256" i="16"/>
  <c r="E256" i="16" s="1"/>
  <c r="O95" i="17"/>
  <c r="E95" i="17" s="1"/>
  <c r="O156" i="16"/>
  <c r="E156" i="16" s="1"/>
  <c r="O261" i="16"/>
  <c r="E261" i="16" s="1"/>
  <c r="O264" i="16"/>
  <c r="E264" i="16" s="1"/>
  <c r="O172" i="16"/>
  <c r="E172" i="16" s="1"/>
  <c r="O75" i="17"/>
  <c r="E75" i="17" s="1"/>
  <c r="O107" i="16"/>
  <c r="E107" i="16" s="1"/>
  <c r="O197" i="16"/>
  <c r="E197" i="16" s="1"/>
  <c r="O182" i="16"/>
  <c r="E182" i="16" s="1"/>
  <c r="O247" i="16"/>
  <c r="E247" i="16" s="1"/>
  <c r="O303" i="16"/>
  <c r="E303" i="16" s="1"/>
  <c r="O245" i="16"/>
  <c r="E245" i="16" s="1"/>
  <c r="O319" i="16"/>
  <c r="E319" i="16" s="1"/>
  <c r="O364" i="16"/>
  <c r="E364" i="16" s="1"/>
  <c r="O64" i="17"/>
  <c r="E64" i="17" s="1"/>
  <c r="O345" i="16"/>
  <c r="E345" i="16" s="1"/>
  <c r="O115" i="17"/>
  <c r="E115" i="17" s="1"/>
  <c r="O107" i="17"/>
  <c r="E107" i="17" s="1"/>
  <c r="O362" i="16"/>
  <c r="E362" i="16" s="1"/>
  <c r="O130" i="16"/>
  <c r="E130" i="16" s="1"/>
  <c r="O318" i="16"/>
  <c r="E318" i="16" s="1"/>
  <c r="O18" i="17"/>
  <c r="E18" i="17" s="1"/>
  <c r="O205" i="16"/>
  <c r="E205" i="16" s="1"/>
  <c r="O66" i="17"/>
  <c r="E66" i="17" s="1"/>
  <c r="O188" i="16"/>
  <c r="E188" i="16" s="1"/>
  <c r="O298" i="16"/>
  <c r="E298" i="16" s="1"/>
  <c r="O65" i="17"/>
  <c r="E65" i="17" s="1"/>
  <c r="O13" i="7"/>
  <c r="O234" i="16"/>
  <c r="E234" i="16" s="1"/>
  <c r="O361" i="16"/>
  <c r="E361" i="16" s="1"/>
  <c r="O202" i="16"/>
  <c r="E202" i="16" s="1"/>
  <c r="O363" i="16"/>
  <c r="O60" i="17"/>
  <c r="O338" i="16"/>
  <c r="E338" i="16" s="1"/>
  <c r="O106" i="16"/>
  <c r="E106" i="16" s="1"/>
  <c r="O68" i="17"/>
  <c r="E68" i="17" s="1"/>
  <c r="O238" i="16"/>
  <c r="E238" i="16" s="1"/>
  <c r="O136" i="16"/>
  <c r="E136" i="16" s="1"/>
  <c r="O138" i="16"/>
  <c r="E138" i="16" s="1"/>
  <c r="O168" i="16"/>
  <c r="E168" i="16" s="1"/>
  <c r="O281" i="16"/>
  <c r="E281" i="16" s="1"/>
  <c r="O297" i="16"/>
  <c r="E297" i="16" s="1"/>
  <c r="O58" i="17"/>
  <c r="E58" i="17" s="1"/>
  <c r="O84" i="17"/>
  <c r="E84" i="17" s="1"/>
  <c r="O230" i="16"/>
  <c r="E230" i="16" s="1"/>
  <c r="O231" i="16"/>
  <c r="E231" i="16" s="1"/>
  <c r="O109" i="16"/>
  <c r="E109" i="16" s="1"/>
  <c r="O146" i="16"/>
  <c r="E146" i="16" s="1"/>
  <c r="O54" i="17"/>
  <c r="E54" i="17" s="1"/>
  <c r="O292" i="16"/>
  <c r="E292" i="16" s="1"/>
  <c r="O108" i="17"/>
  <c r="E108" i="17" s="1"/>
  <c r="O37" i="17"/>
  <c r="E37" i="17" s="1"/>
  <c r="O122" i="16"/>
  <c r="E122" i="16" s="1"/>
  <c r="O135" i="16"/>
  <c r="E135" i="16" s="1"/>
  <c r="O285" i="16"/>
  <c r="E285" i="16" s="1"/>
  <c r="O171" i="16"/>
  <c r="E171" i="16" s="1"/>
  <c r="O305" i="16"/>
  <c r="E305" i="16" s="1"/>
  <c r="O83" i="17"/>
  <c r="E83" i="17" s="1"/>
  <c r="O207" i="16"/>
  <c r="E207" i="16" s="1"/>
  <c r="O258" i="16"/>
  <c r="E258" i="16" s="1"/>
  <c r="O263" i="16"/>
  <c r="E263" i="16" s="1"/>
  <c r="O19" i="17"/>
  <c r="E19" i="17" s="1"/>
  <c r="O24" i="17"/>
  <c r="E24" i="17" s="1"/>
  <c r="O112" i="16"/>
  <c r="E112" i="16" s="1"/>
  <c r="O139" i="16"/>
  <c r="E139" i="16" s="1"/>
  <c r="O62" i="17"/>
  <c r="E62" i="17" s="1"/>
  <c r="O122" i="17"/>
  <c r="E122" i="17" s="1"/>
  <c r="O374" i="16"/>
  <c r="E374" i="16" s="1"/>
  <c r="O149" i="16"/>
  <c r="O351" i="16"/>
  <c r="E351" i="16" s="1"/>
  <c r="O137" i="16"/>
  <c r="E137" i="16" s="1"/>
  <c r="O201" i="16"/>
  <c r="E201" i="16" s="1"/>
  <c r="O219" i="16"/>
  <c r="E219" i="16" s="1"/>
  <c r="O325" i="16"/>
  <c r="E325" i="16" s="1"/>
  <c r="O314" i="16"/>
  <c r="E314" i="16" s="1"/>
  <c r="O116" i="16"/>
  <c r="E116" i="16" s="1"/>
  <c r="O152" i="16"/>
  <c r="E152" i="16" s="1"/>
  <c r="O162" i="16"/>
  <c r="E162" i="16" s="1"/>
  <c r="O211" i="16"/>
  <c r="E211" i="16" s="1"/>
  <c r="O269" i="16"/>
  <c r="E269" i="16" s="1"/>
  <c r="O226" i="16"/>
  <c r="E226" i="16" s="1"/>
  <c r="O276" i="16"/>
  <c r="E276" i="16" s="1"/>
  <c r="O333" i="16"/>
  <c r="O53" i="17"/>
  <c r="E53" i="17" s="1"/>
  <c r="O102" i="17"/>
  <c r="E102" i="17" s="1"/>
  <c r="O34" i="17"/>
  <c r="E34" i="17" s="1"/>
  <c r="O25" i="17"/>
  <c r="E25" i="17" s="1"/>
  <c r="O186" i="16"/>
  <c r="E186" i="16" s="1"/>
  <c r="O100" i="17"/>
  <c r="E100" i="17" s="1"/>
  <c r="O170" i="16"/>
  <c r="E170" i="16" s="1"/>
  <c r="O313" i="16"/>
  <c r="E313" i="16" s="1"/>
  <c r="O74" i="17"/>
  <c r="E74" i="17" s="1"/>
  <c r="O301" i="16"/>
  <c r="E301" i="16" s="1"/>
  <c r="O140" i="16"/>
  <c r="E140" i="16" s="1"/>
  <c r="O296" i="16"/>
  <c r="E296" i="16" s="1"/>
  <c r="O366" i="16"/>
  <c r="E366" i="16" s="1"/>
  <c r="AC10" i="17"/>
  <c r="O221" i="16"/>
  <c r="E221" i="16" s="1"/>
  <c r="O353" i="16"/>
  <c r="E353" i="16" s="1"/>
  <c r="O144" i="16"/>
  <c r="E144" i="16" s="1"/>
  <c r="O69" i="17"/>
  <c r="E69" i="17" s="1"/>
  <c r="O316" i="16"/>
  <c r="E316" i="16" s="1"/>
  <c r="O151" i="16"/>
  <c r="E151" i="16" s="1"/>
  <c r="O93" i="17"/>
  <c r="E93" i="17" s="1"/>
  <c r="O154" i="16"/>
  <c r="E154" i="16" s="1"/>
  <c r="O192" i="16"/>
  <c r="E192" i="16" s="1"/>
  <c r="O239" i="16"/>
  <c r="E239" i="16" s="1"/>
  <c r="O16" i="17"/>
  <c r="E16" i="17" s="1"/>
  <c r="O191" i="16"/>
  <c r="E191" i="16" s="1"/>
  <c r="O222" i="16"/>
  <c r="E222" i="16" s="1"/>
  <c r="O236" i="16"/>
  <c r="E236" i="16" s="1"/>
  <c r="O368" i="16"/>
  <c r="E368" i="16" s="1"/>
  <c r="O89" i="17"/>
  <c r="E89" i="17" s="1"/>
  <c r="O67" i="17"/>
  <c r="E67" i="17" s="1"/>
  <c r="O127" i="16"/>
  <c r="E127" i="16" s="1"/>
  <c r="O342" i="16"/>
  <c r="E342" i="16" s="1"/>
  <c r="O369" i="16"/>
  <c r="E369" i="16" s="1"/>
  <c r="O250" i="16"/>
  <c r="E250" i="16" s="1"/>
  <c r="O279" i="16"/>
  <c r="E279" i="16" s="1"/>
  <c r="O290" i="16"/>
  <c r="E290" i="16" s="1"/>
  <c r="O158" i="16"/>
  <c r="E158" i="16" s="1"/>
  <c r="O97" i="17"/>
  <c r="E97" i="17" s="1"/>
  <c r="O339" i="16"/>
  <c r="E339" i="16" s="1"/>
  <c r="O28" i="17"/>
  <c r="E28" i="17" s="1"/>
  <c r="O133" i="16"/>
  <c r="E133" i="16" s="1"/>
  <c r="O286" i="16"/>
  <c r="E286" i="16" s="1"/>
  <c r="O320" i="16"/>
  <c r="E320" i="16" s="1"/>
  <c r="O132" i="16"/>
  <c r="E132" i="16" s="1"/>
  <c r="O200" i="16"/>
  <c r="E200" i="16" s="1"/>
  <c r="O216" i="16"/>
  <c r="E216" i="16" s="1"/>
  <c r="O324" i="16"/>
  <c r="E324" i="16" s="1"/>
  <c r="O85" i="17"/>
  <c r="E85" i="17" s="1"/>
  <c r="O365" i="16"/>
  <c r="E365" i="16" s="1"/>
  <c r="O35" i="17"/>
  <c r="E35" i="17" s="1"/>
  <c r="O273" i="16"/>
  <c r="E273" i="16" s="1"/>
  <c r="O299" i="16"/>
  <c r="E299" i="16" s="1"/>
  <c r="O198" i="16"/>
  <c r="E198" i="16" s="1"/>
  <c r="O103" i="17"/>
  <c r="E103" i="17" s="1"/>
  <c r="AC45" i="17"/>
  <c r="AC33" i="17"/>
  <c r="AC118" i="17"/>
  <c r="AC99" i="17"/>
  <c r="AC32" i="17"/>
  <c r="AC81" i="17"/>
  <c r="AC110" i="17"/>
  <c r="AC82" i="17"/>
  <c r="AC19" i="17"/>
  <c r="AC89" i="17"/>
  <c r="AC98" i="17"/>
  <c r="AC49" i="17"/>
  <c r="AC36" i="17"/>
  <c r="AC22" i="17"/>
  <c r="AC23" i="17"/>
  <c r="AC62" i="17"/>
  <c r="AC116" i="17"/>
  <c r="AC109" i="17"/>
  <c r="AC72" i="17"/>
  <c r="AC100" i="17"/>
  <c r="AC39" i="17"/>
  <c r="AC104" i="17"/>
  <c r="AC55" i="17"/>
  <c r="AC59" i="17"/>
  <c r="AC107" i="17"/>
  <c r="AC43" i="17"/>
  <c r="AC42" i="17"/>
  <c r="AC44" i="17"/>
  <c r="AC97" i="17"/>
  <c r="AC108" i="17"/>
  <c r="AC53" i="17"/>
  <c r="AC106" i="17"/>
  <c r="AC66" i="17"/>
  <c r="AC56" i="17"/>
  <c r="AC68" i="17"/>
  <c r="AC51" i="17"/>
  <c r="AC26" i="17"/>
  <c r="AC73" i="17"/>
  <c r="AC88" i="17"/>
  <c r="AC115" i="17"/>
  <c r="AC48" i="17"/>
  <c r="AC113" i="17"/>
  <c r="AC84" i="17"/>
  <c r="AC75" i="17"/>
  <c r="AC86" i="17"/>
  <c r="AC102" i="17"/>
  <c r="AC105" i="17"/>
  <c r="AC92" i="17"/>
  <c r="AC85" i="17"/>
  <c r="AC83" i="17"/>
  <c r="AC61" i="17"/>
  <c r="AC24" i="17"/>
  <c r="AC38" i="17"/>
  <c r="AC64" i="17"/>
  <c r="AC117" i="17"/>
  <c r="AC34" i="17"/>
  <c r="AC31" i="17"/>
  <c r="AC25" i="17"/>
  <c r="AC112" i="17"/>
  <c r="AC103" i="17"/>
  <c r="AC52" i="17"/>
  <c r="AC87" i="17"/>
  <c r="AC65" i="17"/>
  <c r="AC20" i="17"/>
  <c r="AC50" i="17"/>
  <c r="AC30" i="17"/>
  <c r="AC35" i="17"/>
  <c r="AC114" i="17"/>
  <c r="AC77" i="17"/>
  <c r="AC58" i="17"/>
  <c r="AC93" i="17"/>
  <c r="AC41" i="17"/>
  <c r="AC17" i="17"/>
  <c r="AC29" i="17"/>
  <c r="AC15" i="17"/>
  <c r="AC121" i="17"/>
  <c r="AC70" i="17"/>
  <c r="AC71" i="17"/>
  <c r="AC60" i="17"/>
  <c r="AC40" i="17"/>
  <c r="AC47" i="17"/>
  <c r="AC119" i="17"/>
  <c r="AC27" i="17"/>
  <c r="AC120" i="17"/>
  <c r="AC37" i="17"/>
  <c r="AC67" i="17"/>
  <c r="AC21" i="17"/>
  <c r="AC122" i="17"/>
  <c r="AC123" i="17"/>
  <c r="AC91" i="17"/>
  <c r="AC57" i="17"/>
  <c r="AC63" i="17"/>
  <c r="AC101" i="17"/>
  <c r="AC79" i="17"/>
  <c r="AC46" i="17"/>
  <c r="AC28" i="17"/>
  <c r="AC18" i="17"/>
  <c r="AC96" i="17"/>
  <c r="AC90" i="17"/>
  <c r="AC94" i="17"/>
  <c r="AC16" i="17"/>
  <c r="AC76" i="17"/>
  <c r="AC95" i="17"/>
  <c r="AC80" i="17"/>
  <c r="AC78" i="17"/>
  <c r="AC54" i="17"/>
  <c r="AC74" i="17"/>
  <c r="AC111" i="17"/>
  <c r="AC69" i="17"/>
  <c r="AN13" i="7"/>
  <c r="O11" i="23"/>
  <c r="AY214" i="6"/>
  <c r="AZ214" i="6" s="1"/>
  <c r="AY195" i="6"/>
  <c r="AZ195" i="6" s="1"/>
  <c r="AY221" i="6"/>
  <c r="AZ221" i="6" s="1"/>
  <c r="AY183" i="6"/>
  <c r="AZ183" i="6" s="1"/>
  <c r="AY229" i="6"/>
  <c r="AZ229" i="6" s="1"/>
  <c r="AY231" i="6"/>
  <c r="AZ231" i="6" s="1"/>
  <c r="AY19" i="6"/>
  <c r="AZ19" i="6" s="1"/>
  <c r="AY271" i="6"/>
  <c r="AZ271" i="6" s="1"/>
  <c r="AY34" i="6"/>
  <c r="AZ34" i="6" s="1"/>
  <c r="AY241" i="6"/>
  <c r="AZ241" i="6" s="1"/>
  <c r="AY251" i="6"/>
  <c r="AZ251" i="6" s="1"/>
  <c r="AY281" i="6"/>
  <c r="AZ281" i="6" s="1"/>
  <c r="AZ291" i="6"/>
  <c r="AZ306" i="6"/>
  <c r="AY267" i="6"/>
  <c r="AZ267" i="6" s="1"/>
  <c r="AY278" i="6"/>
  <c r="AZ278" i="6" s="1"/>
  <c r="AY266" i="6"/>
  <c r="AZ266" i="6" s="1"/>
  <c r="AY284" i="6"/>
  <c r="AZ284" i="6" s="1"/>
  <c r="AY287" i="6"/>
  <c r="AZ287" i="6" s="1"/>
  <c r="AY244" i="6"/>
  <c r="AZ244" i="6" s="1"/>
  <c r="AY250" i="6"/>
  <c r="AZ250" i="6" s="1"/>
  <c r="AY222" i="6"/>
  <c r="AZ222" i="6" s="1"/>
  <c r="AY243" i="6"/>
  <c r="AZ243" i="6" s="1"/>
  <c r="AY248" i="6"/>
  <c r="AZ248" i="6" s="1"/>
  <c r="AY270" i="6"/>
  <c r="AZ270" i="6" s="1"/>
  <c r="AY187" i="6"/>
  <c r="AZ187" i="6" s="1"/>
  <c r="AY247" i="6"/>
  <c r="AZ247" i="6" s="1"/>
  <c r="AY255" i="6"/>
  <c r="AZ255" i="6" s="1"/>
  <c r="AY246" i="6"/>
  <c r="AZ246" i="6" s="1"/>
  <c r="AD380" i="6" s="1"/>
  <c r="AD381" i="6" s="1"/>
  <c r="AY286" i="6"/>
  <c r="AZ286" i="6" s="1"/>
  <c r="AY178" i="6"/>
  <c r="AZ178" i="6" s="1"/>
  <c r="AZ132" i="6"/>
  <c r="AY185" i="6"/>
  <c r="AZ185" i="6" s="1"/>
  <c r="AY285" i="6"/>
  <c r="AZ285" i="6" s="1"/>
  <c r="AZ315" i="6"/>
  <c r="AA181" i="1"/>
  <c r="Z181" i="1" s="1"/>
  <c r="Y181" i="1" s="1"/>
  <c r="AZ313" i="6"/>
  <c r="AA36" i="1"/>
  <c r="Z36" i="1" s="1"/>
  <c r="Y36" i="1" s="1"/>
  <c r="AY237" i="6"/>
  <c r="AZ237" i="6" s="1"/>
  <c r="AZ301" i="6"/>
  <c r="AY202" i="6"/>
  <c r="AZ202" i="6" s="1"/>
  <c r="AY207" i="6"/>
  <c r="AZ207" i="6" s="1"/>
  <c r="AY280" i="6"/>
  <c r="AZ280" i="6" s="1"/>
  <c r="AY235" i="6"/>
  <c r="AZ235" i="6" s="1"/>
  <c r="AY236" i="6"/>
  <c r="AZ236" i="6" s="1"/>
  <c r="AY160" i="6"/>
  <c r="AZ160" i="6" s="1"/>
  <c r="AY161" i="6"/>
  <c r="AZ161" i="6" s="1"/>
  <c r="AY165" i="6"/>
  <c r="AZ165" i="6" s="1"/>
  <c r="AY159" i="6"/>
  <c r="AZ159" i="6" s="1"/>
  <c r="AY170" i="6"/>
  <c r="AZ170" i="6" s="1"/>
  <c r="AY154" i="6"/>
  <c r="AZ154" i="6" s="1"/>
  <c r="AY155" i="6"/>
  <c r="AZ155" i="6" s="1"/>
  <c r="AY156" i="6"/>
  <c r="AZ156" i="6" s="1"/>
  <c r="AY150" i="6"/>
  <c r="AZ150" i="6" s="1"/>
  <c r="AY163" i="6"/>
  <c r="AZ163" i="6" s="1"/>
  <c r="AY175" i="6"/>
  <c r="AZ175" i="6" s="1"/>
  <c r="AY158" i="6"/>
  <c r="AZ158" i="6" s="1"/>
  <c r="AY226" i="6"/>
  <c r="AZ226" i="6" s="1"/>
  <c r="AY211" i="6"/>
  <c r="AZ211" i="6" s="1"/>
  <c r="AY167" i="6"/>
  <c r="AZ167" i="6" s="1"/>
  <c r="AY201" i="6"/>
  <c r="AZ201" i="6" s="1"/>
  <c r="AY227" i="6"/>
  <c r="AZ227" i="6" s="1"/>
  <c r="AY192" i="6"/>
  <c r="AZ192" i="6" s="1"/>
  <c r="AZ88" i="6"/>
  <c r="AY177" i="6"/>
  <c r="AZ177" i="6" s="1"/>
  <c r="AY224" i="6"/>
  <c r="AZ224" i="6" s="1"/>
  <c r="AY197" i="6"/>
  <c r="AZ197" i="6" s="1"/>
  <c r="AY203" i="6"/>
  <c r="AZ203" i="6" s="1"/>
  <c r="AY210" i="6"/>
  <c r="AZ210" i="6" s="1"/>
  <c r="AZ80" i="6"/>
  <c r="AZ119" i="6"/>
  <c r="AY172" i="6"/>
  <c r="AZ172" i="6" s="1"/>
  <c r="AY162" i="6"/>
  <c r="AZ162" i="6" s="1"/>
  <c r="X380" i="6" s="1"/>
  <c r="X381" i="6" s="1"/>
  <c r="AZ67" i="6"/>
  <c r="AY151" i="6"/>
  <c r="AZ151" i="6" s="1"/>
  <c r="AY157" i="6"/>
  <c r="AZ157" i="6" s="1"/>
  <c r="AY169" i="6"/>
  <c r="AZ169" i="6" s="1"/>
  <c r="AY166" i="6"/>
  <c r="AZ166" i="6" s="1"/>
  <c r="AY171" i="6"/>
  <c r="AZ171" i="6" s="1"/>
  <c r="AY173" i="6"/>
  <c r="AZ173" i="6" s="1"/>
  <c r="AY174" i="6"/>
  <c r="AZ174" i="6" s="1"/>
  <c r="AY153" i="6"/>
  <c r="AZ153" i="6" s="1"/>
  <c r="AY168" i="6"/>
  <c r="AZ168" i="6" s="1"/>
  <c r="AY164" i="6"/>
  <c r="AZ164" i="6" s="1"/>
  <c r="AY152" i="6"/>
  <c r="AZ152" i="6" s="1"/>
  <c r="AY149" i="6"/>
  <c r="AZ149" i="6" s="1"/>
  <c r="AY32" i="6"/>
  <c r="AZ32" i="6" s="1"/>
  <c r="AY18" i="6"/>
  <c r="AZ18" i="6" s="1"/>
  <c r="F348" i="1"/>
  <c r="AA348" i="1" s="1"/>
  <c r="Z348" i="1" s="1"/>
  <c r="Y348" i="1" s="1"/>
  <c r="AD30" i="1"/>
  <c r="AA30" i="1" s="1"/>
  <c r="Z30" i="1" s="1"/>
  <c r="AZ101" i="6"/>
  <c r="AZ307" i="6"/>
  <c r="AZ70" i="6"/>
  <c r="AZ68" i="6"/>
  <c r="AZ71" i="6"/>
  <c r="AZ106" i="6"/>
  <c r="T380" i="6" s="1"/>
  <c r="T381" i="6" s="1"/>
  <c r="AZ100" i="6"/>
  <c r="AD145" i="1"/>
  <c r="AA145" i="1" s="1"/>
  <c r="Z145" i="1" s="1"/>
  <c r="Y145" i="1" s="1"/>
  <c r="P147" i="1"/>
  <c r="V147" i="1" s="1"/>
  <c r="AA147" i="1" s="1"/>
  <c r="Z147" i="1" s="1"/>
  <c r="Y147" i="1" s="1"/>
  <c r="G169" i="1"/>
  <c r="BW169" i="6" s="1"/>
  <c r="AZ91" i="6"/>
  <c r="AZ102" i="6"/>
  <c r="AZ69" i="6"/>
  <c r="AZ110" i="6"/>
  <c r="AZ128" i="6"/>
  <c r="AZ86" i="6"/>
  <c r="AZ90" i="6"/>
  <c r="I257" i="1"/>
  <c r="AA169" i="1"/>
  <c r="Z169" i="1" s="1"/>
  <c r="Y169" i="1" s="1"/>
  <c r="AZ113" i="6"/>
  <c r="AZ95" i="6"/>
  <c r="AZ93" i="6"/>
  <c r="AD151" i="1"/>
  <c r="AA151" i="1" s="1"/>
  <c r="Z151" i="1" s="1"/>
  <c r="Y151" i="1" s="1"/>
  <c r="P149" i="1"/>
  <c r="D24" i="7" s="1"/>
  <c r="AZ83" i="6"/>
  <c r="AZ129" i="6"/>
  <c r="AZ133" i="6"/>
  <c r="AD26" i="1"/>
  <c r="AA26" i="1" s="1"/>
  <c r="Z26" i="1" s="1"/>
  <c r="Y26" i="1" s="1"/>
  <c r="I371" i="1"/>
  <c r="I266" i="1"/>
  <c r="AZ297" i="6"/>
  <c r="AZ309" i="6"/>
  <c r="AZ116" i="6"/>
  <c r="P25" i="1"/>
  <c r="V25" i="1" s="1"/>
  <c r="AA371" i="1"/>
  <c r="Z371" i="1" s="1"/>
  <c r="Y371" i="1" s="1"/>
  <c r="G295" i="1"/>
  <c r="BW295" i="6" s="1"/>
  <c r="AA266" i="1"/>
  <c r="Z266" i="1" s="1"/>
  <c r="Y266" i="1" s="1"/>
  <c r="AZ75" i="6"/>
  <c r="AZ300" i="6"/>
  <c r="AZ112" i="6"/>
  <c r="AA47" i="1"/>
  <c r="Z47" i="1" s="1"/>
  <c r="Y47" i="1" s="1"/>
  <c r="AA40" i="1"/>
  <c r="Z40" i="1" s="1"/>
  <c r="Y40" i="1" s="1"/>
  <c r="AZ323" i="6"/>
  <c r="AA257" i="1"/>
  <c r="Z257" i="1" s="1"/>
  <c r="Y257" i="1" s="1"/>
  <c r="F345" i="1"/>
  <c r="I345" i="1" s="1"/>
  <c r="G181" i="1"/>
  <c r="BW181" i="6" s="1"/>
  <c r="AZ111" i="6"/>
  <c r="AZ103" i="6"/>
  <c r="AZ105" i="6"/>
  <c r="AZ98" i="6"/>
  <c r="AZ120" i="6"/>
  <c r="U380" i="6" s="1"/>
  <c r="U381" i="6" s="1"/>
  <c r="P154" i="1"/>
  <c r="V154" i="1" s="1"/>
  <c r="P157" i="1"/>
  <c r="V157" i="1" s="1"/>
  <c r="AA157" i="1" s="1"/>
  <c r="Z157" i="1" s="1"/>
  <c r="Y157" i="1" s="1"/>
  <c r="P29" i="1"/>
  <c r="D20" i="7" s="1"/>
  <c r="AZ121" i="6"/>
  <c r="AZ74" i="6"/>
  <c r="AZ66" i="6"/>
  <c r="AA295" i="1"/>
  <c r="Z295" i="1" s="1"/>
  <c r="Y295" i="1" s="1"/>
  <c r="AA269" i="1"/>
  <c r="Z269" i="1" s="1"/>
  <c r="Y269" i="1" s="1"/>
  <c r="G197" i="1"/>
  <c r="BW197" i="6" s="1"/>
  <c r="AZ96" i="6"/>
  <c r="AD154" i="1"/>
  <c r="AA39" i="1"/>
  <c r="Z39" i="1" s="1"/>
  <c r="Y39" i="1" s="1"/>
  <c r="AZ118" i="6"/>
  <c r="AZ115" i="6"/>
  <c r="AZ92" i="6"/>
  <c r="S380" i="6" s="1"/>
  <c r="S381" i="6" s="1"/>
  <c r="AA223" i="1"/>
  <c r="Z223" i="1" s="1"/>
  <c r="Y223" i="1" s="1"/>
  <c r="G223" i="1"/>
  <c r="BW223" i="6" s="1"/>
  <c r="G187" i="1"/>
  <c r="BW187" i="6" s="1"/>
  <c r="I187" i="1"/>
  <c r="AA187" i="1"/>
  <c r="Z187" i="1" s="1"/>
  <c r="Y187" i="1" s="1"/>
  <c r="I170" i="1"/>
  <c r="AZ107" i="6"/>
  <c r="AZ108" i="6"/>
  <c r="AZ127" i="6"/>
  <c r="P136" i="1"/>
  <c r="V136" i="1" s="1"/>
  <c r="AZ130" i="6"/>
  <c r="AZ109" i="6"/>
  <c r="AZ296" i="6"/>
  <c r="AZ294" i="6"/>
  <c r="AZ275" i="6"/>
  <c r="AZ316" i="6"/>
  <c r="AI380" i="6" s="1"/>
  <c r="AI381" i="6" s="1"/>
  <c r="AZ320" i="6"/>
  <c r="AZ76" i="6"/>
  <c r="AZ85" i="6"/>
  <c r="AY269" i="6"/>
  <c r="AZ269" i="6" s="1"/>
  <c r="AY262" i="6"/>
  <c r="AZ262" i="6" s="1"/>
  <c r="AY272" i="6"/>
  <c r="AZ272" i="6" s="1"/>
  <c r="AY264" i="6"/>
  <c r="AZ264" i="6" s="1"/>
  <c r="AY274" i="6"/>
  <c r="AZ274" i="6" s="1"/>
  <c r="AF380" i="6" s="1"/>
  <c r="AF381" i="6" s="1"/>
  <c r="AY230" i="6"/>
  <c r="AZ230" i="6" s="1"/>
  <c r="AY218" i="6"/>
  <c r="AZ218" i="6" s="1"/>
  <c r="AB380" i="6" s="1"/>
  <c r="AB381" i="6" s="1"/>
  <c r="AY258" i="6"/>
  <c r="AZ258" i="6" s="1"/>
  <c r="AY206" i="6"/>
  <c r="AZ206" i="6" s="1"/>
  <c r="AY228" i="6"/>
  <c r="AZ228" i="6" s="1"/>
  <c r="AY215" i="6"/>
  <c r="AZ215" i="6" s="1"/>
  <c r="AY212" i="6"/>
  <c r="AZ212" i="6" s="1"/>
  <c r="AY204" i="6"/>
  <c r="AZ204" i="6" s="1"/>
  <c r="AA380" i="6" s="1"/>
  <c r="AA381" i="6" s="1"/>
  <c r="AY282" i="6"/>
  <c r="AZ282" i="6" s="1"/>
  <c r="AZ123" i="6"/>
  <c r="AZ124" i="6"/>
  <c r="AZ97" i="6"/>
  <c r="AY216" i="6"/>
  <c r="AZ216" i="6" s="1"/>
  <c r="AY223" i="6"/>
  <c r="AZ223" i="6" s="1"/>
  <c r="AY189" i="6"/>
  <c r="AZ189" i="6" s="1"/>
  <c r="AY257" i="6"/>
  <c r="AZ257" i="6" s="1"/>
  <c r="AY205" i="6"/>
  <c r="AZ205" i="6" s="1"/>
  <c r="AY259" i="6"/>
  <c r="AZ259" i="6" s="1"/>
  <c r="AY268" i="6"/>
  <c r="AZ268" i="6" s="1"/>
  <c r="AY242" i="6"/>
  <c r="AZ242" i="6" s="1"/>
  <c r="AY249" i="6"/>
  <c r="AZ249" i="6" s="1"/>
  <c r="AY191" i="6"/>
  <c r="AZ191" i="6" s="1"/>
  <c r="AY217" i="6"/>
  <c r="AZ217" i="6" s="1"/>
  <c r="AY283" i="6"/>
  <c r="AZ283" i="6" s="1"/>
  <c r="AY180" i="6"/>
  <c r="AZ180" i="6" s="1"/>
  <c r="AY240" i="6"/>
  <c r="AZ240" i="6" s="1"/>
  <c r="AZ87" i="6"/>
  <c r="AZ99" i="6"/>
  <c r="AZ79" i="6"/>
  <c r="AZ81" i="6"/>
  <c r="AY220" i="6"/>
  <c r="AZ220" i="6" s="1"/>
  <c r="AY232" i="6"/>
  <c r="AZ232" i="6" s="1"/>
  <c r="AC380" i="6" s="1"/>
  <c r="AC381" i="6" s="1"/>
  <c r="AY193" i="6"/>
  <c r="AZ193" i="6" s="1"/>
  <c r="AY198" i="6"/>
  <c r="AZ198" i="6" s="1"/>
  <c r="AY194" i="6"/>
  <c r="AZ194" i="6" s="1"/>
  <c r="AY176" i="6"/>
  <c r="AZ176" i="6" s="1"/>
  <c r="Y380" i="6" s="1"/>
  <c r="Y381" i="6" s="1"/>
  <c r="AY209" i="6"/>
  <c r="AZ209" i="6" s="1"/>
  <c r="AY225" i="6"/>
  <c r="AZ225" i="6" s="1"/>
  <c r="AY253" i="6"/>
  <c r="AZ253" i="6" s="1"/>
  <c r="AY265" i="6"/>
  <c r="AZ265" i="6" s="1"/>
  <c r="AY260" i="6"/>
  <c r="AZ260" i="6" s="1"/>
  <c r="AE380" i="6" s="1"/>
  <c r="AE381" i="6" s="1"/>
  <c r="AY254" i="6"/>
  <c r="AZ254" i="6" s="1"/>
  <c r="AY234" i="6"/>
  <c r="AZ234" i="6" s="1"/>
  <c r="AY256" i="6"/>
  <c r="AZ256" i="6" s="1"/>
  <c r="AA153" i="1"/>
  <c r="Z153" i="1" s="1"/>
  <c r="Y153" i="1" s="1"/>
  <c r="AD27" i="1"/>
  <c r="AA27" i="1" s="1"/>
  <c r="Z27" i="1" s="1"/>
  <c r="Y27" i="1" s="1"/>
  <c r="AZ65" i="6"/>
  <c r="AD25" i="1"/>
  <c r="AZ329" i="6"/>
  <c r="G170" i="1"/>
  <c r="BW170" i="6" s="1"/>
  <c r="V60" i="1"/>
  <c r="AA60" i="1" s="1"/>
  <c r="Z60" i="1" s="1"/>
  <c r="Y60" i="1" s="1"/>
  <c r="AZ292" i="6"/>
  <c r="AY28" i="6"/>
  <c r="AZ28" i="6" s="1"/>
  <c r="AY24" i="6"/>
  <c r="AZ24" i="6" s="1"/>
  <c r="AZ122" i="6"/>
  <c r="AZ126" i="6"/>
  <c r="AZ213" i="6"/>
  <c r="AD136" i="1"/>
  <c r="AD149" i="1"/>
  <c r="AZ125" i="6"/>
  <c r="AD148" i="1"/>
  <c r="P148" i="1"/>
  <c r="V148" i="1" s="1"/>
  <c r="AD138" i="1"/>
  <c r="P138" i="1"/>
  <c r="V138" i="1" s="1"/>
  <c r="G200" i="1"/>
  <c r="BW200" i="6" s="1"/>
  <c r="I200" i="1"/>
  <c r="AA200" i="1"/>
  <c r="Z200" i="1" s="1"/>
  <c r="Y200" i="1" s="1"/>
  <c r="AA206" i="1"/>
  <c r="Z206" i="1" s="1"/>
  <c r="Y206" i="1" s="1"/>
  <c r="G206" i="1"/>
  <c r="BW206" i="6" s="1"/>
  <c r="I206" i="1"/>
  <c r="AA190" i="1"/>
  <c r="Z190" i="1" s="1"/>
  <c r="Y190" i="1" s="1"/>
  <c r="I190" i="1"/>
  <c r="G190" i="1"/>
  <c r="BW190" i="6" s="1"/>
  <c r="P23" i="1"/>
  <c r="V23" i="1" s="1"/>
  <c r="AD23" i="1"/>
  <c r="P20" i="1"/>
  <c r="V20" i="1" s="1"/>
  <c r="AD20" i="1"/>
  <c r="P24" i="1"/>
  <c r="V24" i="1" s="1"/>
  <c r="AD24" i="1"/>
  <c r="AD28" i="1"/>
  <c r="P28" i="1"/>
  <c r="V28" i="1" s="1"/>
  <c r="P18" i="1"/>
  <c r="V18" i="1" s="1"/>
  <c r="AD18" i="1"/>
  <c r="P33" i="1"/>
  <c r="V33" i="1" s="1"/>
  <c r="AD33" i="1"/>
  <c r="P21" i="1"/>
  <c r="V21" i="1" s="1"/>
  <c r="AD21" i="1"/>
  <c r="AD156" i="1"/>
  <c r="P156" i="1"/>
  <c r="V156" i="1" s="1"/>
  <c r="AD95" i="1"/>
  <c r="P95" i="1"/>
  <c r="V95" i="1" s="1"/>
  <c r="AD152" i="1"/>
  <c r="P152" i="1"/>
  <c r="V152" i="1" s="1"/>
  <c r="P158" i="1"/>
  <c r="V158" i="1" s="1"/>
  <c r="AD158" i="1"/>
  <c r="P150" i="1"/>
  <c r="V150" i="1" s="1"/>
  <c r="AD150" i="1"/>
  <c r="P140" i="1"/>
  <c r="V140" i="1" s="1"/>
  <c r="AD140" i="1"/>
  <c r="AD84" i="1"/>
  <c r="P84" i="1"/>
  <c r="V84" i="1" s="1"/>
  <c r="P91" i="1"/>
  <c r="V91" i="1" s="1"/>
  <c r="AD91" i="1"/>
  <c r="AD144" i="1"/>
  <c r="P144" i="1"/>
  <c r="V144" i="1" s="1"/>
  <c r="AD78" i="1"/>
  <c r="P78" i="1"/>
  <c r="V78" i="1" s="1"/>
  <c r="P82" i="1"/>
  <c r="V82" i="1" s="1"/>
  <c r="AD82" i="1"/>
  <c r="AD98" i="1"/>
  <c r="P98" i="1"/>
  <c r="V98" i="1" s="1"/>
  <c r="AD99" i="1"/>
  <c r="P99" i="1"/>
  <c r="V99" i="1" s="1"/>
  <c r="AD103" i="1"/>
  <c r="P103" i="1"/>
  <c r="V103" i="1" s="1"/>
  <c r="P80" i="1"/>
  <c r="V80" i="1" s="1"/>
  <c r="AD80" i="1"/>
  <c r="AD97" i="1"/>
  <c r="P97" i="1"/>
  <c r="V97" i="1" s="1"/>
  <c r="P141" i="1"/>
  <c r="V141" i="1" s="1"/>
  <c r="AD141" i="1"/>
  <c r="P139" i="1"/>
  <c r="AD139" i="1"/>
  <c r="V139" i="1"/>
  <c r="AD142" i="1"/>
  <c r="P142" i="1"/>
  <c r="V142" i="1" s="1"/>
  <c r="P104" i="1"/>
  <c r="V104" i="1" s="1"/>
  <c r="AD104" i="1"/>
  <c r="AY181" i="6"/>
  <c r="AZ181" i="6" s="1"/>
  <c r="AY199" i="6"/>
  <c r="AZ199" i="6" s="1"/>
  <c r="AY200" i="6"/>
  <c r="AZ200" i="6" s="1"/>
  <c r="AY208" i="6"/>
  <c r="AZ208" i="6" s="1"/>
  <c r="AY219" i="6"/>
  <c r="AZ219" i="6" s="1"/>
  <c r="P93" i="1"/>
  <c r="V93" i="1" s="1"/>
  <c r="AD93" i="1"/>
  <c r="AD101" i="1"/>
  <c r="P101" i="1"/>
  <c r="V101" i="1" s="1"/>
  <c r="AY179" i="6"/>
  <c r="AZ179" i="6" s="1"/>
  <c r="AY261" i="6"/>
  <c r="AZ261" i="6" s="1"/>
  <c r="AY186" i="6"/>
  <c r="AZ186" i="6" s="1"/>
  <c r="AY252" i="6"/>
  <c r="AZ252" i="6" s="1"/>
  <c r="AY238" i="6"/>
  <c r="AZ238" i="6" s="1"/>
  <c r="AY184" i="6"/>
  <c r="AZ184" i="6" s="1"/>
  <c r="AD34" i="1"/>
  <c r="P34" i="1"/>
  <c r="V34" i="1" s="1"/>
  <c r="AD32" i="1"/>
  <c r="P32" i="1"/>
  <c r="V32" i="1" s="1"/>
  <c r="AD31" i="1"/>
  <c r="P31" i="1"/>
  <c r="V31" i="1" s="1"/>
  <c r="P22" i="1"/>
  <c r="V22" i="1" s="1"/>
  <c r="AD22" i="1"/>
  <c r="AD35" i="1"/>
  <c r="P35" i="1"/>
  <c r="V35" i="1" s="1"/>
  <c r="AD19" i="1"/>
  <c r="P19" i="1"/>
  <c r="V19" i="1" s="1"/>
  <c r="AD15" i="1"/>
  <c r="P15" i="1"/>
  <c r="V15" i="1" s="1"/>
  <c r="P17" i="1"/>
  <c r="V17" i="1" s="1"/>
  <c r="AD17" i="1"/>
  <c r="P83" i="1"/>
  <c r="V83" i="1" s="1"/>
  <c r="AD83" i="1"/>
  <c r="AD135" i="1"/>
  <c r="P135" i="1"/>
  <c r="V135" i="1" s="1"/>
  <c r="AD137" i="1"/>
  <c r="P137" i="1"/>
  <c r="V137" i="1" s="1"/>
  <c r="P85" i="1"/>
  <c r="V85" i="1" s="1"/>
  <c r="AD85" i="1"/>
  <c r="P146" i="1"/>
  <c r="V146" i="1" s="1"/>
  <c r="AD146" i="1"/>
  <c r="AD143" i="1"/>
  <c r="P143" i="1"/>
  <c r="V143" i="1" s="1"/>
  <c r="P134" i="1"/>
  <c r="V134" i="1" s="1"/>
  <c r="AD134" i="1"/>
  <c r="AD100" i="1"/>
  <c r="P100" i="1"/>
  <c r="V100" i="1" s="1"/>
  <c r="P161" i="1"/>
  <c r="V161" i="1" s="1"/>
  <c r="AD161" i="1"/>
  <c r="P86" i="1"/>
  <c r="V86" i="1" s="1"/>
  <c r="AD86" i="1"/>
  <c r="AD92" i="1"/>
  <c r="P92" i="1"/>
  <c r="V92" i="1" s="1"/>
  <c r="AD88" i="1"/>
  <c r="P88" i="1"/>
  <c r="D22" i="7" s="1"/>
  <c r="P96" i="1"/>
  <c r="V96" i="1" s="1"/>
  <c r="AD96" i="1"/>
  <c r="AD89" i="1"/>
  <c r="P89" i="1"/>
  <c r="V89" i="1" s="1"/>
  <c r="AD105" i="1"/>
  <c r="P105" i="1"/>
  <c r="V105" i="1" s="1"/>
  <c r="AD81" i="1"/>
  <c r="P81" i="1"/>
  <c r="V81" i="1" s="1"/>
  <c r="P94" i="1"/>
  <c r="V94" i="1" s="1"/>
  <c r="AD94" i="1"/>
  <c r="AD160" i="1"/>
  <c r="P160" i="1"/>
  <c r="V160" i="1" s="1"/>
  <c r="AD159" i="1"/>
  <c r="P159" i="1"/>
  <c r="V159" i="1" s="1"/>
  <c r="AD155" i="1"/>
  <c r="P155" i="1"/>
  <c r="V155" i="1" s="1"/>
  <c r="G207" i="1"/>
  <c r="BW207" i="6" s="1"/>
  <c r="AA207" i="1"/>
  <c r="Z207" i="1" s="1"/>
  <c r="Y207" i="1" s="1"/>
  <c r="I207" i="1"/>
  <c r="I196" i="1"/>
  <c r="G196" i="1"/>
  <c r="BW196" i="6" s="1"/>
  <c r="AA196" i="1"/>
  <c r="Z196" i="1" s="1"/>
  <c r="Y196" i="1" s="1"/>
  <c r="AD79" i="1"/>
  <c r="P79" i="1"/>
  <c r="V79" i="1" s="1"/>
  <c r="AA210" i="1"/>
  <c r="Z210" i="1" s="1"/>
  <c r="Y210" i="1" s="1"/>
  <c r="I210" i="1"/>
  <c r="AD87" i="1"/>
  <c r="P87" i="1"/>
  <c r="V87" i="1" s="1"/>
  <c r="P90" i="1"/>
  <c r="V90" i="1" s="1"/>
  <c r="AD90" i="1"/>
  <c r="AD102" i="1"/>
  <c r="P102" i="1"/>
  <c r="V102" i="1" s="1"/>
  <c r="AY277" i="6"/>
  <c r="AZ277" i="6" s="1"/>
  <c r="AY182" i="6"/>
  <c r="AZ182" i="6" s="1"/>
  <c r="AY245" i="6"/>
  <c r="AZ245" i="6" s="1"/>
  <c r="AY239" i="6"/>
  <c r="AZ239" i="6" s="1"/>
  <c r="AY196" i="6"/>
  <c r="AZ196" i="6" s="1"/>
  <c r="H61" i="19"/>
  <c r="O88" i="18"/>
  <c r="C70" i="7" s="1"/>
  <c r="O195" i="18"/>
  <c r="O315" i="18"/>
  <c r="O23" i="18"/>
  <c r="O138" i="18"/>
  <c r="O64" i="18"/>
  <c r="O122" i="18"/>
  <c r="O203" i="18"/>
  <c r="O238" i="18"/>
  <c r="O48" i="18"/>
  <c r="O120" i="18"/>
  <c r="O186" i="18"/>
  <c r="O287" i="18"/>
  <c r="O256" i="18"/>
  <c r="O368" i="18"/>
  <c r="O367" i="18"/>
  <c r="O74" i="18"/>
  <c r="O112" i="18"/>
  <c r="O165" i="18"/>
  <c r="O321" i="18"/>
  <c r="O332" i="18"/>
  <c r="O19" i="18"/>
  <c r="O99" i="18"/>
  <c r="O294" i="18"/>
  <c r="O337" i="18"/>
  <c r="O141" i="18"/>
  <c r="O172" i="18"/>
  <c r="O313" i="18"/>
  <c r="O117" i="18"/>
  <c r="O225" i="18"/>
  <c r="O242" i="18"/>
  <c r="O351" i="18"/>
  <c r="O355" i="18"/>
  <c r="O71" i="18"/>
  <c r="O114" i="18"/>
  <c r="O209" i="18"/>
  <c r="O265" i="18"/>
  <c r="O273" i="18"/>
  <c r="O360" i="18"/>
  <c r="O84" i="18"/>
  <c r="O277" i="18"/>
  <c r="O349" i="18"/>
  <c r="O131" i="18"/>
  <c r="O220" i="18"/>
  <c r="O343" i="18"/>
  <c r="O22" i="18"/>
  <c r="O105" i="18"/>
  <c r="O136" i="18"/>
  <c r="O191" i="18"/>
  <c r="O263" i="18"/>
  <c r="O65" i="18"/>
  <c r="O16" i="18"/>
  <c r="O92" i="18"/>
  <c r="O163" i="18"/>
  <c r="O228" i="18"/>
  <c r="O246" i="18"/>
  <c r="O45" i="18"/>
  <c r="O115" i="18"/>
  <c r="O174" i="18"/>
  <c r="O307" i="18"/>
  <c r="O293" i="18"/>
  <c r="O377" i="18"/>
  <c r="O374" i="18"/>
  <c r="O73" i="18"/>
  <c r="O127" i="18"/>
  <c r="O173" i="18"/>
  <c r="O288" i="18"/>
  <c r="O306" i="18"/>
  <c r="O366" i="18"/>
  <c r="O119" i="18"/>
  <c r="C71" i="7" s="1"/>
  <c r="O261" i="18"/>
  <c r="O361" i="18"/>
  <c r="O96" i="18"/>
  <c r="O210" i="18"/>
  <c r="C74" i="7" s="1"/>
  <c r="O341" i="18"/>
  <c r="O160" i="18"/>
  <c r="O200" i="18"/>
  <c r="O236" i="18"/>
  <c r="O305" i="18"/>
  <c r="O20" i="18"/>
  <c r="O44" i="18"/>
  <c r="O95" i="18"/>
  <c r="O158" i="18"/>
  <c r="O217" i="18"/>
  <c r="O229" i="18"/>
  <c r="O358" i="18"/>
  <c r="O46" i="18"/>
  <c r="O157" i="18"/>
  <c r="O302" i="18"/>
  <c r="C77" i="7" s="1"/>
  <c r="O365" i="18"/>
  <c r="O78" i="18"/>
  <c r="O250" i="18"/>
  <c r="O376" i="18"/>
  <c r="O107" i="18"/>
  <c r="O243" i="18"/>
  <c r="O109" i="18"/>
  <c r="O148" i="18"/>
  <c r="O259" i="18"/>
  <c r="O102" i="18"/>
  <c r="O216" i="18"/>
  <c r="O364" i="18"/>
  <c r="O89" i="18"/>
  <c r="O212" i="18"/>
  <c r="O371" i="18"/>
  <c r="O146" i="18"/>
  <c r="O350" i="18"/>
  <c r="O208" i="18"/>
  <c r="O144" i="18"/>
  <c r="O262" i="18"/>
  <c r="O30" i="18"/>
  <c r="O98" i="18"/>
  <c r="O258" i="18"/>
  <c r="O93" i="18"/>
  <c r="O335" i="18"/>
  <c r="O162" i="18"/>
  <c r="O82" i="18"/>
  <c r="O207" i="18"/>
  <c r="O56" i="18"/>
  <c r="O77" i="18"/>
  <c r="O179" i="18"/>
  <c r="O25" i="18"/>
  <c r="O194" i="18"/>
  <c r="O264" i="18"/>
  <c r="O346" i="18"/>
  <c r="O153" i="18"/>
  <c r="O266" i="18"/>
  <c r="O149" i="18"/>
  <c r="C72" i="7" s="1"/>
  <c r="O348" i="18"/>
  <c r="O298" i="18"/>
  <c r="O126" i="18"/>
  <c r="O317" i="18"/>
  <c r="O354" i="18"/>
  <c r="O133" i="18"/>
  <c r="O311" i="18"/>
  <c r="O336" i="18"/>
  <c r="O248" i="18"/>
  <c r="O86" i="18"/>
  <c r="O325" i="18"/>
  <c r="O319" i="18"/>
  <c r="O202" i="18"/>
  <c r="O152" i="18"/>
  <c r="O87" i="18"/>
  <c r="O379" i="18"/>
  <c r="C39" i="19" s="1"/>
  <c r="O72" i="18"/>
  <c r="O178" i="18"/>
  <c r="O17" i="18"/>
  <c r="O295" i="18"/>
  <c r="O211" i="18"/>
  <c r="O359" i="18"/>
  <c r="O239" i="18"/>
  <c r="O139" i="18"/>
  <c r="O70" i="18"/>
  <c r="O329" i="18"/>
  <c r="O156" i="18"/>
  <c r="O357" i="18"/>
  <c r="O140" i="18"/>
  <c r="O240" i="18"/>
  <c r="O50" i="18"/>
  <c r="O301" i="18"/>
  <c r="O125" i="18"/>
  <c r="O281" i="18"/>
  <c r="O94" i="18"/>
  <c r="O83" i="18"/>
  <c r="O347" i="18"/>
  <c r="O201" i="18"/>
  <c r="O104" i="18"/>
  <c r="O151" i="18"/>
  <c r="O224" i="18"/>
  <c r="O121" i="18"/>
  <c r="O320" i="18"/>
  <c r="O375" i="18"/>
  <c r="O40" i="18"/>
  <c r="O296" i="18"/>
  <c r="O193" i="18"/>
  <c r="O130" i="18"/>
  <c r="O28" i="18"/>
  <c r="O198" i="18"/>
  <c r="O177" i="18"/>
  <c r="O176" i="18"/>
  <c r="O41" i="18"/>
  <c r="O249" i="18"/>
  <c r="O189" i="18"/>
  <c r="O303" i="18"/>
  <c r="O57" i="18"/>
  <c r="O222" i="18"/>
  <c r="O35" i="18"/>
  <c r="O118" i="18"/>
  <c r="O286" i="18"/>
  <c r="O62" i="18"/>
  <c r="O218" i="18"/>
  <c r="O318" i="18"/>
  <c r="O36" i="18"/>
  <c r="O171" i="18"/>
  <c r="O291" i="18"/>
  <c r="O75" i="18"/>
  <c r="O271" i="18"/>
  <c r="O170" i="18"/>
  <c r="O370" i="18"/>
  <c r="O297" i="18"/>
  <c r="O24" i="18"/>
  <c r="O80" i="18"/>
  <c r="O205" i="18"/>
  <c r="O338" i="18"/>
  <c r="O154" i="18"/>
  <c r="O15" i="18"/>
  <c r="O215" i="18"/>
  <c r="O58" i="18"/>
  <c r="O187" i="18"/>
  <c r="O34" i="18"/>
  <c r="O32" i="18"/>
  <c r="O164" i="18"/>
  <c r="O309" i="18"/>
  <c r="O166" i="18"/>
  <c r="O244" i="18"/>
  <c r="O52" i="18"/>
  <c r="O142" i="18"/>
  <c r="O221" i="18"/>
  <c r="O344" i="18"/>
  <c r="O167" i="18"/>
  <c r="O43" i="18"/>
  <c r="O274" i="18"/>
  <c r="O196" i="18"/>
  <c r="O272" i="18"/>
  <c r="C76" i="7" s="1"/>
  <c r="O59" i="18"/>
  <c r="O108" i="18"/>
  <c r="O279" i="18"/>
  <c r="O373" i="18"/>
  <c r="O184" i="18"/>
  <c r="O55" i="18"/>
  <c r="O260" i="18"/>
  <c r="O175" i="18"/>
  <c r="O81" i="18"/>
  <c r="O18" i="18"/>
  <c r="O280" i="18"/>
  <c r="O145" i="18"/>
  <c r="O61" i="18"/>
  <c r="O113" i="18"/>
  <c r="O270" i="18"/>
  <c r="O37" i="18"/>
  <c r="O378" i="18"/>
  <c r="O66" i="18"/>
  <c r="O116" i="18"/>
  <c r="O90" i="18"/>
  <c r="O230" i="18"/>
  <c r="O278" i="18"/>
  <c r="O100" i="18"/>
  <c r="O339" i="18"/>
  <c r="O91" i="18"/>
  <c r="O161" i="18"/>
  <c r="O76" i="18"/>
  <c r="O330" i="18"/>
  <c r="O316" i="18"/>
  <c r="O159" i="18"/>
  <c r="O327" i="18"/>
  <c r="O276" i="18"/>
  <c r="O234" i="18"/>
  <c r="O147" i="18"/>
  <c r="O101" i="18"/>
  <c r="O69" i="18"/>
  <c r="O183" i="18"/>
  <c r="O299" i="18"/>
  <c r="O267" i="18"/>
  <c r="O192" i="18"/>
  <c r="O68" i="18"/>
  <c r="O322" i="18"/>
  <c r="O53" i="18"/>
  <c r="O328" i="18"/>
  <c r="O372" i="18"/>
  <c r="O128" i="18"/>
  <c r="O169" i="18"/>
  <c r="O269" i="18"/>
  <c r="O103" i="18"/>
  <c r="O369" i="18"/>
  <c r="O137" i="18"/>
  <c r="O324" i="18"/>
  <c r="O124" i="18"/>
  <c r="O282" i="18"/>
  <c r="O33" i="18"/>
  <c r="O181" i="18"/>
  <c r="O289" i="18"/>
  <c r="O123" i="18"/>
  <c r="O241" i="18"/>
  <c r="C75" i="7" s="1"/>
  <c r="O21" i="18"/>
  <c r="O132" i="18"/>
  <c r="O247" i="18"/>
  <c r="O353" i="18"/>
  <c r="O206" i="18"/>
  <c r="O26" i="18"/>
  <c r="O268" i="18"/>
  <c r="O190" i="18"/>
  <c r="O285" i="18"/>
  <c r="O29" i="18"/>
  <c r="C68" i="7" s="1"/>
  <c r="O180" i="18"/>
  <c r="C73" i="7" s="1"/>
  <c r="O214" i="18"/>
  <c r="O39" i="18"/>
  <c r="O292" i="18"/>
  <c r="O150" i="18"/>
  <c r="AA13" i="7"/>
  <c r="AG10" i="7" s="1"/>
  <c r="O79" i="18"/>
  <c r="O290" i="18"/>
  <c r="O106" i="18"/>
  <c r="O111" i="18"/>
  <c r="O300" i="18"/>
  <c r="O97" i="18"/>
  <c r="O235" i="18"/>
  <c r="O356" i="18"/>
  <c r="O60" i="18"/>
  <c r="C69" i="7" s="1"/>
  <c r="O182" i="18"/>
  <c r="O226" i="18"/>
  <c r="O54" i="18"/>
  <c r="O308" i="18"/>
  <c r="O237" i="18"/>
  <c r="O254" i="18"/>
  <c r="O283" i="18"/>
  <c r="O362" i="18"/>
  <c r="O63" i="18"/>
  <c r="O155" i="18"/>
  <c r="O310" i="18"/>
  <c r="O134" i="18"/>
  <c r="O253" i="18"/>
  <c r="O197" i="18"/>
  <c r="O38" i="18"/>
  <c r="O31" i="18"/>
  <c r="O245" i="18"/>
  <c r="O204" i="18"/>
  <c r="O27" i="18"/>
  <c r="O252" i="18"/>
  <c r="O227" i="18"/>
  <c r="O363" i="18"/>
  <c r="C79" i="7" s="1"/>
  <c r="O333" i="18"/>
  <c r="C78" i="7" s="1"/>
  <c r="O232" i="18"/>
  <c r="O213" i="18"/>
  <c r="O304" i="18"/>
  <c r="O219" i="18"/>
  <c r="O129" i="18"/>
  <c r="O143" i="18"/>
  <c r="O334" i="18"/>
  <c r="O255" i="18"/>
  <c r="O199" i="18"/>
  <c r="O331" i="18"/>
  <c r="O352" i="18"/>
  <c r="O185" i="18"/>
  <c r="O110" i="18"/>
  <c r="O188" i="18"/>
  <c r="O51" i="18"/>
  <c r="O47" i="18"/>
  <c r="O223" i="18"/>
  <c r="O323" i="18"/>
  <c r="O340" i="18"/>
  <c r="O135" i="18"/>
  <c r="O275" i="18"/>
  <c r="O42" i="18"/>
  <c r="O312" i="18"/>
  <c r="O345" i="18"/>
  <c r="O67" i="18"/>
  <c r="O85" i="18"/>
  <c r="O257" i="18"/>
  <c r="O314" i="18"/>
  <c r="O233" i="18"/>
  <c r="O168" i="18"/>
  <c r="O284" i="18"/>
  <c r="O49" i="18"/>
  <c r="O231" i="18"/>
  <c r="O326" i="18"/>
  <c r="O251" i="18"/>
  <c r="O342" i="18"/>
  <c r="AZ94" i="6"/>
  <c r="AZ117" i="6"/>
  <c r="AY20" i="6"/>
  <c r="AZ20" i="6" s="1"/>
  <c r="AY22" i="6"/>
  <c r="AZ22" i="6" s="1"/>
  <c r="N380" i="6" s="1"/>
  <c r="N381" i="6" s="1"/>
  <c r="AY16" i="6"/>
  <c r="AZ16" i="6" s="1"/>
  <c r="AZ293" i="6"/>
  <c r="AY25" i="6"/>
  <c r="AZ25" i="6" s="1"/>
  <c r="AY21" i="6"/>
  <c r="AZ21" i="6" s="1"/>
  <c r="AY35" i="6"/>
  <c r="AZ35" i="6" s="1"/>
  <c r="AZ304" i="6"/>
  <c r="AZ308" i="6"/>
  <c r="AZ305" i="6"/>
  <c r="AZ290" i="6"/>
  <c r="AZ288" i="6"/>
  <c r="AG380" i="6" s="1"/>
  <c r="AG381" i="6" s="1"/>
  <c r="AZ104" i="6"/>
  <c r="AY15" i="6"/>
  <c r="AY17" i="6"/>
  <c r="AZ17" i="6" s="1"/>
  <c r="AY30" i="6"/>
  <c r="AZ30" i="6" s="1"/>
  <c r="AY29" i="6"/>
  <c r="AZ29" i="6" s="1"/>
  <c r="J12" i="6"/>
  <c r="AZ23" i="6"/>
  <c r="AY33" i="6"/>
  <c r="AZ33" i="6" s="1"/>
  <c r="AY26" i="6"/>
  <c r="AZ26" i="6" s="1"/>
  <c r="AZ131" i="6"/>
  <c r="AY31" i="6"/>
  <c r="AZ31" i="6" s="1"/>
  <c r="AY27" i="6"/>
  <c r="AZ27" i="6" s="1"/>
  <c r="I203" i="1"/>
  <c r="AA203" i="1"/>
  <c r="Z203" i="1" s="1"/>
  <c r="Y203" i="1" s="1"/>
  <c r="G203" i="1"/>
  <c r="BW203" i="6" s="1"/>
  <c r="I204" i="1"/>
  <c r="G204" i="1"/>
  <c r="BW204" i="6" s="1"/>
  <c r="AA204" i="1"/>
  <c r="Z204" i="1" s="1"/>
  <c r="Y204" i="1" s="1"/>
  <c r="I249" i="1"/>
  <c r="AA249" i="1"/>
  <c r="Z249" i="1" s="1"/>
  <c r="Y249" i="1" s="1"/>
  <c r="G249" i="1"/>
  <c r="BW249" i="6" s="1"/>
  <c r="I246" i="1"/>
  <c r="AA246" i="1"/>
  <c r="Z246" i="1" s="1"/>
  <c r="Y246" i="1" s="1"/>
  <c r="G246" i="1"/>
  <c r="BW246" i="6" s="1"/>
  <c r="I252" i="1"/>
  <c r="AA252" i="1"/>
  <c r="Z252" i="1" s="1"/>
  <c r="Y252" i="1" s="1"/>
  <c r="G252" i="1"/>
  <c r="BW252" i="6" s="1"/>
  <c r="I248" i="1"/>
  <c r="AA248" i="1"/>
  <c r="Z248" i="1" s="1"/>
  <c r="Y248" i="1" s="1"/>
  <c r="G248" i="1"/>
  <c r="BW248" i="6" s="1"/>
  <c r="AA215" i="1"/>
  <c r="Z215" i="1" s="1"/>
  <c r="Y215" i="1" s="1"/>
  <c r="I215" i="1"/>
  <c r="G215" i="1"/>
  <c r="BW215" i="6" s="1"/>
  <c r="G259" i="1"/>
  <c r="BW259" i="6" s="1"/>
  <c r="I259" i="1"/>
  <c r="AA259" i="1"/>
  <c r="Z259" i="1" s="1"/>
  <c r="Y259" i="1" s="1"/>
  <c r="AA205" i="1"/>
  <c r="Z205" i="1" s="1"/>
  <c r="Y205" i="1" s="1"/>
  <c r="I205" i="1"/>
  <c r="G205" i="1"/>
  <c r="BW205" i="6" s="1"/>
  <c r="I270" i="1"/>
  <c r="G270" i="1"/>
  <c r="BW270" i="6" s="1"/>
  <c r="AA270" i="1"/>
  <c r="Z270" i="1" s="1"/>
  <c r="Y270" i="1" s="1"/>
  <c r="AA247" i="1"/>
  <c r="Z247" i="1" s="1"/>
  <c r="Y247" i="1" s="1"/>
  <c r="G247" i="1"/>
  <c r="BW247" i="6" s="1"/>
  <c r="I247" i="1"/>
  <c r="I216" i="1"/>
  <c r="AA216" i="1"/>
  <c r="Z216" i="1" s="1"/>
  <c r="Y216" i="1" s="1"/>
  <c r="G216" i="1"/>
  <c r="BW216" i="6" s="1"/>
  <c r="AA251" i="1"/>
  <c r="Z251" i="1" s="1"/>
  <c r="Y251" i="1" s="1"/>
  <c r="G251" i="1"/>
  <c r="BW251" i="6" s="1"/>
  <c r="I251" i="1"/>
  <c r="I225" i="1"/>
  <c r="AA225" i="1"/>
  <c r="Z225" i="1" s="1"/>
  <c r="Y225" i="1" s="1"/>
  <c r="G225" i="1"/>
  <c r="BW225" i="6" s="1"/>
  <c r="AA271" i="1"/>
  <c r="Z271" i="1" s="1"/>
  <c r="Y271" i="1" s="1"/>
  <c r="G271" i="1"/>
  <c r="BW271" i="6" s="1"/>
  <c r="I271" i="1"/>
  <c r="AA214" i="1"/>
  <c r="Z214" i="1" s="1"/>
  <c r="Y214" i="1" s="1"/>
  <c r="G214" i="1"/>
  <c r="BW214" i="6" s="1"/>
  <c r="I214" i="1"/>
  <c r="AA264" i="1"/>
  <c r="Z264" i="1" s="1"/>
  <c r="Y264" i="1" s="1"/>
  <c r="G264" i="1"/>
  <c r="BW264" i="6" s="1"/>
  <c r="I264" i="1"/>
  <c r="AZ298" i="6"/>
  <c r="AZ303" i="6"/>
  <c r="AZ318" i="6"/>
  <c r="J13" i="6"/>
  <c r="AZ322" i="6"/>
  <c r="AZ325" i="6"/>
  <c r="AA46" i="1"/>
  <c r="Z46" i="1" s="1"/>
  <c r="Y46" i="1" s="1"/>
  <c r="G364" i="1"/>
  <c r="BW364" i="6" s="1"/>
  <c r="I364" i="1"/>
  <c r="AA364" i="1"/>
  <c r="Z364" i="1" s="1"/>
  <c r="Y364" i="1" s="1"/>
  <c r="AA346" i="1"/>
  <c r="Z346" i="1" s="1"/>
  <c r="Y346" i="1" s="1"/>
  <c r="I346" i="1"/>
  <c r="G346" i="1"/>
  <c r="BW346" i="6" s="1"/>
  <c r="I314" i="1"/>
  <c r="G314" i="1"/>
  <c r="BW314" i="6" s="1"/>
  <c r="AA314" i="1"/>
  <c r="Z314" i="1" s="1"/>
  <c r="Y314" i="1" s="1"/>
  <c r="I356" i="1"/>
  <c r="AA356" i="1"/>
  <c r="Z356" i="1" s="1"/>
  <c r="Y356" i="1" s="1"/>
  <c r="G356" i="1"/>
  <c r="BW356" i="6" s="1"/>
  <c r="I311" i="1"/>
  <c r="AA311" i="1"/>
  <c r="Z311" i="1" s="1"/>
  <c r="Y311" i="1" s="1"/>
  <c r="G311" i="1"/>
  <c r="BW311" i="6" s="1"/>
  <c r="AA363" i="1"/>
  <c r="Z363" i="1" s="1"/>
  <c r="Y363" i="1" s="1"/>
  <c r="I363" i="1"/>
  <c r="G363" i="1"/>
  <c r="BW363" i="6" s="1"/>
  <c r="AA305" i="1"/>
  <c r="Z305" i="1" s="1"/>
  <c r="Y305" i="1" s="1"/>
  <c r="I305" i="1"/>
  <c r="G305" i="1"/>
  <c r="BW305" i="6" s="1"/>
  <c r="I298" i="1"/>
  <c r="G298" i="1"/>
  <c r="BW298" i="6" s="1"/>
  <c r="AA298" i="1"/>
  <c r="Z298" i="1" s="1"/>
  <c r="Y298" i="1" s="1"/>
  <c r="V329" i="1"/>
  <c r="F329" i="1" s="1"/>
  <c r="AZ326" i="6"/>
  <c r="I375" i="1"/>
  <c r="AA375" i="1"/>
  <c r="Z375" i="1" s="1"/>
  <c r="Y375" i="1" s="1"/>
  <c r="G375" i="1"/>
  <c r="BW375" i="6" s="1"/>
  <c r="I366" i="1"/>
  <c r="AA366" i="1"/>
  <c r="Z366" i="1" s="1"/>
  <c r="Y366" i="1" s="1"/>
  <c r="G366" i="1"/>
  <c r="BW366" i="6" s="1"/>
  <c r="I293" i="1"/>
  <c r="AA293" i="1"/>
  <c r="Z293" i="1" s="1"/>
  <c r="Y293" i="1" s="1"/>
  <c r="G293" i="1"/>
  <c r="BW293" i="6" s="1"/>
  <c r="V338" i="1"/>
  <c r="F338" i="1" s="1"/>
  <c r="G355" i="1"/>
  <c r="BW355" i="6" s="1"/>
  <c r="AA355" i="1"/>
  <c r="Z355" i="1" s="1"/>
  <c r="Y355" i="1" s="1"/>
  <c r="I355" i="1"/>
  <c r="AA374" i="1"/>
  <c r="Z374" i="1" s="1"/>
  <c r="Y374" i="1" s="1"/>
  <c r="I374" i="1"/>
  <c r="G374" i="1"/>
  <c r="BW374" i="6" s="1"/>
  <c r="AA38" i="1"/>
  <c r="Z38" i="1" s="1"/>
  <c r="Y38" i="1" s="1"/>
  <c r="V341" i="1"/>
  <c r="F341" i="1" s="1"/>
  <c r="F327" i="1"/>
  <c r="AA49" i="1"/>
  <c r="Z49" i="1" s="1"/>
  <c r="Y49" i="1" s="1"/>
  <c r="AA41" i="1"/>
  <c r="Z41" i="1" s="1"/>
  <c r="Y41" i="1" s="1"/>
  <c r="AZ36" i="6"/>
  <c r="O380" i="6" s="1"/>
  <c r="O381" i="6" s="1"/>
  <c r="G353" i="1"/>
  <c r="BW353" i="6" s="1"/>
  <c r="I353" i="1"/>
  <c r="AA353" i="1"/>
  <c r="Z353" i="1" s="1"/>
  <c r="Y353" i="1" s="1"/>
  <c r="G344" i="1"/>
  <c r="BW344" i="6" s="1"/>
  <c r="I344" i="1"/>
  <c r="AA344" i="1"/>
  <c r="Z344" i="1" s="1"/>
  <c r="Y344" i="1" s="1"/>
  <c r="G347" i="1"/>
  <c r="BW347" i="6" s="1"/>
  <c r="AA347" i="1"/>
  <c r="Z347" i="1" s="1"/>
  <c r="Y347" i="1" s="1"/>
  <c r="I347" i="1"/>
  <c r="V335" i="1"/>
  <c r="F335" i="1" s="1"/>
  <c r="AA289" i="1"/>
  <c r="Z289" i="1" s="1"/>
  <c r="Y289" i="1" s="1"/>
  <c r="I289" i="1"/>
  <c r="G289" i="1"/>
  <c r="BW289" i="6" s="1"/>
  <c r="AA360" i="1"/>
  <c r="Z360" i="1" s="1"/>
  <c r="Y360" i="1" s="1"/>
  <c r="G360" i="1"/>
  <c r="BW360" i="6" s="1"/>
  <c r="I360" i="1"/>
  <c r="F349" i="1"/>
  <c r="AA50" i="1"/>
  <c r="Z50" i="1" s="1"/>
  <c r="Y50" i="1" s="1"/>
  <c r="AZ327" i="6"/>
  <c r="F343" i="1"/>
  <c r="AA61" i="1"/>
  <c r="Z61" i="1" s="1"/>
  <c r="Y61" i="1" s="1"/>
  <c r="V316" i="1"/>
  <c r="F316" i="1" s="1"/>
  <c r="G368" i="1"/>
  <c r="BW368" i="6" s="1"/>
  <c r="I368" i="1"/>
  <c r="AA368" i="1"/>
  <c r="Z368" i="1" s="1"/>
  <c r="Y368" i="1" s="1"/>
  <c r="I300" i="1"/>
  <c r="AA300" i="1"/>
  <c r="Z300" i="1" s="1"/>
  <c r="Y300" i="1" s="1"/>
  <c r="G300" i="1"/>
  <c r="BW300" i="6" s="1"/>
  <c r="AA37" i="1"/>
  <c r="Z37" i="1" s="1"/>
  <c r="Y37" i="1" s="1"/>
  <c r="AA55" i="1"/>
  <c r="Z55" i="1" s="1"/>
  <c r="Y55" i="1" s="1"/>
  <c r="V321" i="1"/>
  <c r="F321" i="1" s="1"/>
  <c r="AA367" i="1"/>
  <c r="Z367" i="1" s="1"/>
  <c r="Y367" i="1" s="1"/>
  <c r="G367" i="1"/>
  <c r="BW367" i="6" s="1"/>
  <c r="I367" i="1"/>
  <c r="F337" i="1"/>
  <c r="F352" i="1"/>
  <c r="V44" i="1"/>
  <c r="G296" i="1"/>
  <c r="BW296" i="6" s="1"/>
  <c r="AA296" i="1"/>
  <c r="Z296" i="1" s="1"/>
  <c r="Y296" i="1" s="1"/>
  <c r="F323" i="1"/>
  <c r="I312" i="1"/>
  <c r="G312" i="1"/>
  <c r="BW312" i="6" s="1"/>
  <c r="AA312" i="1"/>
  <c r="Z312" i="1" s="1"/>
  <c r="Y312" i="1" s="1"/>
  <c r="V354" i="1"/>
  <c r="F354" i="1" s="1"/>
  <c r="V334" i="1"/>
  <c r="F334" i="1" s="1"/>
  <c r="F332" i="1"/>
  <c r="I313" i="1"/>
  <c r="G313" i="1"/>
  <c r="BW313" i="6" s="1"/>
  <c r="AA313" i="1"/>
  <c r="Z313" i="1" s="1"/>
  <c r="Y313" i="1" s="1"/>
  <c r="F322" i="1"/>
  <c r="V330" i="1"/>
  <c r="F330" i="1" s="1"/>
  <c r="D30" i="7"/>
  <c r="F333" i="1"/>
  <c r="V324" i="1"/>
  <c r="F324" i="1" s="1"/>
  <c r="AA63" i="1"/>
  <c r="Z63" i="1" s="1"/>
  <c r="Y63" i="1" s="1"/>
  <c r="AA45" i="1"/>
  <c r="Z45" i="1" s="1"/>
  <c r="Y45" i="1" s="1"/>
  <c r="AA56" i="1"/>
  <c r="Z56" i="1" s="1"/>
  <c r="Y56" i="1" s="1"/>
  <c r="V342" i="1"/>
  <c r="F342" i="1" s="1"/>
  <c r="F350" i="1"/>
  <c r="F340" i="1"/>
  <c r="F339" i="1"/>
  <c r="AA291" i="1"/>
  <c r="Z291" i="1" s="1"/>
  <c r="Y291" i="1" s="1"/>
  <c r="I291" i="1"/>
  <c r="G291" i="1"/>
  <c r="BW291" i="6" s="1"/>
  <c r="F319" i="1"/>
  <c r="F351" i="1"/>
  <c r="AA59" i="1"/>
  <c r="Z59" i="1" s="1"/>
  <c r="Y59" i="1" s="1"/>
  <c r="V318" i="1"/>
  <c r="F318" i="1" s="1"/>
  <c r="V320" i="1"/>
  <c r="F325" i="1"/>
  <c r="F336" i="1"/>
  <c r="V357" i="1"/>
  <c r="F357" i="1" s="1"/>
  <c r="AA54" i="1"/>
  <c r="Z54" i="1" s="1"/>
  <c r="Y54" i="1" s="1"/>
  <c r="AA62" i="1"/>
  <c r="Z62" i="1" s="1"/>
  <c r="Y62" i="1" s="1"/>
  <c r="AS12" i="6"/>
  <c r="AS13" i="6"/>
  <c r="AT15" i="6"/>
  <c r="V328" i="1"/>
  <c r="F328" i="1" s="1"/>
  <c r="V326" i="1"/>
  <c r="F326" i="1" s="1"/>
  <c r="AA57" i="1"/>
  <c r="Z57" i="1" s="1"/>
  <c r="Y57" i="1" s="1"/>
  <c r="AA53" i="1"/>
  <c r="Z53" i="1" s="1"/>
  <c r="Y53" i="1" s="1"/>
  <c r="AA42" i="1"/>
  <c r="Z42" i="1" s="1"/>
  <c r="Y42" i="1" s="1"/>
  <c r="V317" i="1"/>
  <c r="F317" i="1" s="1"/>
  <c r="I370" i="1"/>
  <c r="F331" i="1"/>
  <c r="AA58" i="1"/>
  <c r="Z58" i="1" s="1"/>
  <c r="Y58" i="1" s="1"/>
  <c r="AA186" i="1" l="1"/>
  <c r="Z186" i="1" s="1"/>
  <c r="Y186" i="1" s="1"/>
  <c r="AA302" i="1"/>
  <c r="Z302" i="1" s="1"/>
  <c r="Y302" i="1" s="1"/>
  <c r="AA235" i="1"/>
  <c r="Z235" i="1" s="1"/>
  <c r="Y235" i="1" s="1"/>
  <c r="AA267" i="1"/>
  <c r="Z267" i="1" s="1"/>
  <c r="Y267" i="1" s="1"/>
  <c r="I267" i="1"/>
  <c r="AA370" i="1"/>
  <c r="Z370" i="1" s="1"/>
  <c r="Y370" i="1" s="1"/>
  <c r="I260" i="1"/>
  <c r="G269" i="1"/>
  <c r="BW269" i="6" s="1"/>
  <c r="I285" i="1"/>
  <c r="AA238" i="1"/>
  <c r="Z238" i="1" s="1"/>
  <c r="Y238" i="1" s="1"/>
  <c r="G238" i="1"/>
  <c r="BW238" i="6" s="1"/>
  <c r="AA285" i="1"/>
  <c r="Z285" i="1" s="1"/>
  <c r="Y285" i="1" s="1"/>
  <c r="AA227" i="1"/>
  <c r="Z227" i="1" s="1"/>
  <c r="Y227" i="1" s="1"/>
  <c r="G227" i="1"/>
  <c r="BW227" i="6" s="1"/>
  <c r="AM11" i="7"/>
  <c r="Q11" i="22" s="1"/>
  <c r="I302" i="1"/>
  <c r="AA197" i="1"/>
  <c r="Z197" i="1" s="1"/>
  <c r="Y197" i="1" s="1"/>
  <c r="G275" i="1"/>
  <c r="BW275" i="6" s="1"/>
  <c r="AA275" i="1"/>
  <c r="Z275" i="1" s="1"/>
  <c r="Y275" i="1" s="1"/>
  <c r="G241" i="1"/>
  <c r="BW241" i="6" s="1"/>
  <c r="I279" i="1"/>
  <c r="AA279" i="1"/>
  <c r="Z279" i="1" s="1"/>
  <c r="Y279" i="1" s="1"/>
  <c r="G365" i="1"/>
  <c r="BW365" i="6" s="1"/>
  <c r="AA377" i="1"/>
  <c r="Z377" i="1" s="1"/>
  <c r="Y377" i="1" s="1"/>
  <c r="I377" i="1"/>
  <c r="I365" i="1"/>
  <c r="I373" i="1"/>
  <c r="AA373" i="1"/>
  <c r="Z373" i="1" s="1"/>
  <c r="Y373" i="1" s="1"/>
  <c r="AA288" i="1"/>
  <c r="Z288" i="1" s="1"/>
  <c r="Y288" i="1" s="1"/>
  <c r="G260" i="1"/>
  <c r="BW260" i="6" s="1"/>
  <c r="F36" i="19"/>
  <c r="G361" i="1"/>
  <c r="BW361" i="6" s="1"/>
  <c r="I376" i="1"/>
  <c r="AA361" i="1"/>
  <c r="Z361" i="1" s="1"/>
  <c r="Y361" i="1" s="1"/>
  <c r="AA376" i="1"/>
  <c r="Z376" i="1" s="1"/>
  <c r="Y376" i="1" s="1"/>
  <c r="I288" i="1"/>
  <c r="U115" i="15"/>
  <c r="T115" i="15" s="1"/>
  <c r="S115" i="15" s="1"/>
  <c r="R115" i="15" s="1"/>
  <c r="P115" i="15" s="1"/>
  <c r="V115" i="15" s="1"/>
  <c r="F115" i="15" s="1"/>
  <c r="G115" i="15" s="1"/>
  <c r="BX115" i="6" s="1"/>
  <c r="AU13" i="7"/>
  <c r="E379" i="16"/>
  <c r="C37" i="19"/>
  <c r="AS11" i="7"/>
  <c r="Q11" i="23" s="1"/>
  <c r="P11" i="23"/>
  <c r="AR15" i="7"/>
  <c r="AK20" i="22"/>
  <c r="AK46" i="22"/>
  <c r="AK60" i="22"/>
  <c r="AK61" i="22"/>
  <c r="AK83" i="22"/>
  <c r="AK115" i="22"/>
  <c r="AK146" i="22"/>
  <c r="AK103" i="22"/>
  <c r="AK132" i="22"/>
  <c r="AK170" i="22"/>
  <c r="AK197" i="22"/>
  <c r="AK164" i="22"/>
  <c r="AK204" i="22"/>
  <c r="AK233" i="22"/>
  <c r="AK279" i="22"/>
  <c r="AK312" i="22"/>
  <c r="AK234" i="22"/>
  <c r="AK261" i="22"/>
  <c r="AK284" i="22"/>
  <c r="AK316" i="22"/>
  <c r="AK346" i="22"/>
  <c r="AK375" i="22"/>
  <c r="AK354" i="22"/>
  <c r="AK22" i="22"/>
  <c r="AK40" i="22"/>
  <c r="AK93" i="22"/>
  <c r="AK152" i="22"/>
  <c r="AK138" i="22"/>
  <c r="AK201" i="22"/>
  <c r="AK210" i="22"/>
  <c r="AK288" i="22"/>
  <c r="AK237" i="22"/>
  <c r="AK287" i="22"/>
  <c r="AK350" i="22"/>
  <c r="AK359" i="22"/>
  <c r="AK52" i="22"/>
  <c r="AK85" i="22"/>
  <c r="AK207" i="22"/>
  <c r="AK292" i="22"/>
  <c r="AK290" i="22"/>
  <c r="AK362" i="22"/>
  <c r="AK79" i="22"/>
  <c r="AK119" i="22"/>
  <c r="AK184" i="22"/>
  <c r="AK218" i="22"/>
  <c r="AK330" i="22"/>
  <c r="AK15" i="22"/>
  <c r="AK48" i="22"/>
  <c r="AK75" i="22"/>
  <c r="AK142" i="22"/>
  <c r="AK130" i="22"/>
  <c r="AK194" i="22"/>
  <c r="AK199" i="22"/>
  <c r="AK271" i="22"/>
  <c r="AK229" i="22"/>
  <c r="AK281" i="22"/>
  <c r="AK343" i="22"/>
  <c r="AK349" i="22"/>
  <c r="AK50" i="22"/>
  <c r="AK145" i="22"/>
  <c r="AK195" i="22"/>
  <c r="AK278" i="22"/>
  <c r="AK283" i="22"/>
  <c r="AK352" i="22"/>
  <c r="AK141" i="22"/>
  <c r="AK269" i="22"/>
  <c r="AK344" i="22"/>
  <c r="AK104" i="22"/>
  <c r="AK313" i="22"/>
  <c r="AK21" i="22"/>
  <c r="AK91" i="22"/>
  <c r="AK137" i="22"/>
  <c r="AK206" i="22"/>
  <c r="AK236" i="22"/>
  <c r="AK348" i="22"/>
  <c r="AK57" i="22"/>
  <c r="AK209" i="22"/>
  <c r="AK294" i="22"/>
  <c r="AK99" i="22"/>
  <c r="AK23" i="22"/>
  <c r="AK235" i="22"/>
  <c r="AK64" i="22"/>
  <c r="AK92" i="22"/>
  <c r="AK156" i="22"/>
  <c r="AK300" i="22"/>
  <c r="AK305" i="22"/>
  <c r="AK373" i="22"/>
  <c r="AK113" i="22"/>
  <c r="AK212" i="22"/>
  <c r="AK39" i="22"/>
  <c r="AK251" i="22"/>
  <c r="AK198" i="22"/>
  <c r="AK38" i="22"/>
  <c r="AK53" i="22"/>
  <c r="AK107" i="22"/>
  <c r="AK98" i="22"/>
  <c r="AK161" i="22"/>
  <c r="AK158" i="22"/>
  <c r="AK226" i="22"/>
  <c r="AK302" i="22"/>
  <c r="AK249" i="22"/>
  <c r="AK309" i="22"/>
  <c r="AK366" i="22"/>
  <c r="AK380" i="22"/>
  <c r="AK69" i="22"/>
  <c r="AK121" i="22"/>
  <c r="AK191" i="22"/>
  <c r="AK221" i="22"/>
  <c r="AK337" i="22"/>
  <c r="AK26" i="22"/>
  <c r="AK178" i="22"/>
  <c r="AK266" i="22"/>
  <c r="AK62" i="22"/>
  <c r="AK155" i="22"/>
  <c r="AK304" i="22"/>
  <c r="AK27" i="22"/>
  <c r="AK127" i="22"/>
  <c r="AK181" i="22"/>
  <c r="AK253" i="22"/>
  <c r="AK268" i="22"/>
  <c r="AK333" i="22"/>
  <c r="AK114" i="22"/>
  <c r="AK232" i="22"/>
  <c r="AK374" i="22"/>
  <c r="AK196" i="22"/>
  <c r="AK117" i="22"/>
  <c r="AK377" i="22"/>
  <c r="AK105" i="22"/>
  <c r="AK315" i="22"/>
  <c r="AK29" i="22"/>
  <c r="AK242" i="22"/>
  <c r="AK310" i="22"/>
  <c r="AK37" i="22"/>
  <c r="AK188" i="22"/>
  <c r="AK274" i="22"/>
  <c r="AK128" i="22"/>
  <c r="AK334" i="22"/>
  <c r="AK149" i="22"/>
  <c r="P12" i="22"/>
  <c r="AK47" i="22"/>
  <c r="AK94" i="22"/>
  <c r="AK153" i="22"/>
  <c r="AK140" i="22"/>
  <c r="AK202" i="22"/>
  <c r="AK213" i="22"/>
  <c r="AK291" i="22"/>
  <c r="AK238" i="22"/>
  <c r="AK289" i="22"/>
  <c r="AK351" i="22"/>
  <c r="AK360" i="22"/>
  <c r="AK66" i="22"/>
  <c r="AK95" i="22"/>
  <c r="AK157" i="22"/>
  <c r="AK301" i="22"/>
  <c r="AK307" i="22"/>
  <c r="AK376" i="22"/>
  <c r="AK111" i="22"/>
  <c r="AK320" i="22"/>
  <c r="AK32" i="22"/>
  <c r="AK150" i="22"/>
  <c r="AK246" i="22"/>
  <c r="AK28" i="22"/>
  <c r="AK97" i="22"/>
  <c r="AK144" i="22"/>
  <c r="AK216" i="22"/>
  <c r="AK240" i="22"/>
  <c r="AK355" i="22"/>
  <c r="AK58" i="22"/>
  <c r="AK163" i="22"/>
  <c r="AK314" i="22"/>
  <c r="AK126" i="22"/>
  <c r="AK49" i="22"/>
  <c r="AK262" i="22"/>
  <c r="AK118" i="22"/>
  <c r="AK244" i="22"/>
  <c r="AK378" i="22"/>
  <c r="AK217" i="22"/>
  <c r="AK159" i="22"/>
  <c r="AK347" i="22"/>
  <c r="AK120" i="22"/>
  <c r="AK219" i="22"/>
  <c r="AK30" i="22"/>
  <c r="AK270" i="22"/>
  <c r="AK368" i="22"/>
  <c r="AK31" i="22"/>
  <c r="AK35" i="22"/>
  <c r="AK59" i="22"/>
  <c r="AK77" i="22"/>
  <c r="AK81" i="22"/>
  <c r="AK129" i="22"/>
  <c r="AK88" i="22"/>
  <c r="AK116" i="22"/>
  <c r="AK148" i="22"/>
  <c r="AK185" i="22"/>
  <c r="AK211" i="22"/>
  <c r="AK182" i="22"/>
  <c r="AK220" i="22"/>
  <c r="AK256" i="22"/>
  <c r="AK298" i="22"/>
  <c r="AK214" i="22"/>
  <c r="AK243" i="22"/>
  <c r="AK272" i="22"/>
  <c r="AK295" i="22"/>
  <c r="AK329" i="22"/>
  <c r="AK361" i="22"/>
  <c r="AK335" i="22"/>
  <c r="AK371" i="22"/>
  <c r="AK17" i="22"/>
  <c r="AK67" i="22"/>
  <c r="AK123" i="22"/>
  <c r="AK106" i="22"/>
  <c r="AK173" i="22"/>
  <c r="AK174" i="22"/>
  <c r="AK245" i="22"/>
  <c r="AK317" i="22"/>
  <c r="AK264" i="22"/>
  <c r="AK322" i="22"/>
  <c r="AK379" i="22"/>
  <c r="AK19" i="22"/>
  <c r="AK96" i="22"/>
  <c r="AK143" i="22"/>
  <c r="AK215" i="22"/>
  <c r="AK239" i="22"/>
  <c r="AK353" i="22"/>
  <c r="AK36" i="22"/>
  <c r="AK133" i="22"/>
  <c r="AK186" i="22"/>
  <c r="AK257" i="22"/>
  <c r="AK273" i="22"/>
  <c r="AK336" i="22"/>
  <c r="AK42" i="22"/>
  <c r="AK56" i="22"/>
  <c r="AK110" i="22"/>
  <c r="AK100" i="22"/>
  <c r="AK168" i="22"/>
  <c r="AK162" i="22"/>
  <c r="AK230" i="22"/>
  <c r="AK306" i="22"/>
  <c r="AK254" i="22"/>
  <c r="AK311" i="22"/>
  <c r="AK369" i="22"/>
  <c r="AK18" i="22"/>
  <c r="AK78" i="22"/>
  <c r="AK131" i="22"/>
  <c r="AK203" i="22"/>
  <c r="AK231" i="22"/>
  <c r="AK345" i="22"/>
  <c r="AK44" i="22"/>
  <c r="AK193" i="22"/>
  <c r="AK277" i="22"/>
  <c r="AK63" i="22"/>
  <c r="AK166" i="22"/>
  <c r="AK318" i="22"/>
  <c r="AK24" i="22"/>
  <c r="AK151" i="22"/>
  <c r="AK200" i="22"/>
  <c r="AK282" i="22"/>
  <c r="AK286" i="22"/>
  <c r="AK358" i="22"/>
  <c r="AK87" i="22"/>
  <c r="AK297" i="22"/>
  <c r="AK370" i="22"/>
  <c r="AK303" i="22"/>
  <c r="AK136" i="22"/>
  <c r="AK33" i="22"/>
  <c r="AK84" i="22"/>
  <c r="AK154" i="22"/>
  <c r="AK223" i="22"/>
  <c r="AK247" i="22"/>
  <c r="AK364" i="22"/>
  <c r="AK76" i="22"/>
  <c r="AK180" i="22"/>
  <c r="AK328" i="22"/>
  <c r="AK165" i="22"/>
  <c r="F8" i="22"/>
  <c r="AK285" i="22"/>
  <c r="AK43" i="22"/>
  <c r="AK70" i="22"/>
  <c r="AK139" i="22"/>
  <c r="AK122" i="22"/>
  <c r="AK190" i="22"/>
  <c r="AK192" i="22"/>
  <c r="AK267" i="22"/>
  <c r="AK225" i="22"/>
  <c r="AK276" i="22"/>
  <c r="AK338" i="22"/>
  <c r="AK342" i="22"/>
  <c r="AK41" i="22"/>
  <c r="AK135" i="22"/>
  <c r="AK189" i="22"/>
  <c r="AK260" i="22"/>
  <c r="AK275" i="22"/>
  <c r="AK340" i="22"/>
  <c r="AK125" i="22"/>
  <c r="AK252" i="22"/>
  <c r="AK331" i="22"/>
  <c r="AK90" i="22"/>
  <c r="AK299" i="22"/>
  <c r="AK372" i="22"/>
  <c r="AK74" i="22"/>
  <c r="AK112" i="22"/>
  <c r="AK179" i="22"/>
  <c r="AK323" i="22"/>
  <c r="AK326" i="22"/>
  <c r="AK45" i="22"/>
  <c r="AK169" i="22"/>
  <c r="AK259" i="22"/>
  <c r="AK71" i="22"/>
  <c r="AK341" i="22"/>
  <c r="AK241" i="22"/>
  <c r="AK65" i="22"/>
  <c r="AK167" i="22"/>
  <c r="AK321" i="22"/>
  <c r="AK147" i="22"/>
  <c r="AK55" i="22"/>
  <c r="AK205" i="22"/>
  <c r="AK134" i="22"/>
  <c r="AK258" i="22"/>
  <c r="AK339" i="22"/>
  <c r="AK255" i="22"/>
  <c r="AK228" i="22"/>
  <c r="AK357" i="22"/>
  <c r="AK25" i="22"/>
  <c r="AK72" i="22"/>
  <c r="AK124" i="22"/>
  <c r="AK109" i="22"/>
  <c r="AK175" i="22"/>
  <c r="AK176" i="22"/>
  <c r="AK250" i="22"/>
  <c r="AK319" i="22"/>
  <c r="AK265" i="22"/>
  <c r="AK324" i="22"/>
  <c r="AK327" i="22"/>
  <c r="AK34" i="22"/>
  <c r="AK102" i="22"/>
  <c r="AK160" i="22"/>
  <c r="AK224" i="22"/>
  <c r="AK248" i="22"/>
  <c r="AK365" i="22"/>
  <c r="AK73" i="22"/>
  <c r="AK177" i="22"/>
  <c r="AK325" i="22"/>
  <c r="AK82" i="22"/>
  <c r="AK222" i="22"/>
  <c r="AK363" i="22"/>
  <c r="AK54" i="22"/>
  <c r="AK86" i="22"/>
  <c r="AK208" i="22"/>
  <c r="AK296" i="22"/>
  <c r="AK293" i="22"/>
  <c r="AK367" i="22"/>
  <c r="AK101" i="22"/>
  <c r="AK308" i="22"/>
  <c r="AK16" i="22"/>
  <c r="AK227" i="22"/>
  <c r="AK171" i="22"/>
  <c r="AK51" i="22"/>
  <c r="AK172" i="22"/>
  <c r="AK263" i="22"/>
  <c r="AK80" i="22"/>
  <c r="AK356" i="22"/>
  <c r="AK89" i="22"/>
  <c r="AK68" i="22"/>
  <c r="AK187" i="22"/>
  <c r="AK332" i="22"/>
  <c r="AK183" i="22"/>
  <c r="AK108" i="22"/>
  <c r="AK280" i="22"/>
  <c r="L16" i="19"/>
  <c r="P10" i="20"/>
  <c r="G228" i="1"/>
  <c r="BW228" i="6" s="1"/>
  <c r="G61" i="19"/>
  <c r="AC12" i="24"/>
  <c r="O12" i="24"/>
  <c r="AC9" i="24"/>
  <c r="AJ22" i="25"/>
  <c r="AJ41" i="25"/>
  <c r="AJ33" i="25"/>
  <c r="AJ20" i="25"/>
  <c r="AJ55" i="25"/>
  <c r="AJ50" i="25"/>
  <c r="AJ68" i="25"/>
  <c r="AJ75" i="25"/>
  <c r="AJ91" i="25"/>
  <c r="AJ90" i="25"/>
  <c r="AJ18" i="25"/>
  <c r="AJ28" i="25"/>
  <c r="AJ52" i="25"/>
  <c r="AJ67" i="25"/>
  <c r="AJ89" i="25"/>
  <c r="AJ107" i="25"/>
  <c r="AJ118" i="25"/>
  <c r="AJ130" i="25"/>
  <c r="AJ142" i="25"/>
  <c r="AJ82" i="25"/>
  <c r="AJ102" i="25"/>
  <c r="AJ134" i="25"/>
  <c r="AJ156" i="25"/>
  <c r="AJ171" i="25"/>
  <c r="AJ186" i="25"/>
  <c r="AJ198" i="25"/>
  <c r="AJ153" i="25"/>
  <c r="AJ170" i="25"/>
  <c r="AJ187" i="25"/>
  <c r="AJ208" i="25"/>
  <c r="AJ221" i="25"/>
  <c r="AJ236" i="25"/>
  <c r="AJ253" i="25"/>
  <c r="AJ272" i="25"/>
  <c r="AJ283" i="25"/>
  <c r="AJ295" i="25"/>
  <c r="AJ311" i="25"/>
  <c r="AJ218" i="25"/>
  <c r="AJ240" i="25"/>
  <c r="AJ252" i="25"/>
  <c r="AJ265" i="25"/>
  <c r="AJ289" i="25"/>
  <c r="AJ307" i="25"/>
  <c r="AJ320" i="25"/>
  <c r="AJ336" i="25"/>
  <c r="AJ354" i="25"/>
  <c r="AJ367" i="25"/>
  <c r="F7" i="25"/>
  <c r="AJ42" i="25"/>
  <c r="AJ24" i="25"/>
  <c r="AJ53" i="25"/>
  <c r="AJ76" i="25"/>
  <c r="AJ99" i="25"/>
  <c r="AJ113" i="25"/>
  <c r="AJ125" i="25"/>
  <c r="AJ136" i="25"/>
  <c r="AJ149" i="25"/>
  <c r="AJ98" i="25"/>
  <c r="AJ123" i="25"/>
  <c r="AJ147" i="25"/>
  <c r="AJ164" i="25"/>
  <c r="AJ179" i="25"/>
  <c r="AJ194" i="25"/>
  <c r="AJ207" i="25"/>
  <c r="AJ166" i="25"/>
  <c r="AJ181" i="25"/>
  <c r="AJ200" i="25"/>
  <c r="AJ217" i="25"/>
  <c r="AJ229" i="25"/>
  <c r="AJ243" i="25"/>
  <c r="AJ266" i="25"/>
  <c r="AJ280" i="25"/>
  <c r="AJ291" i="25"/>
  <c r="AJ303" i="25"/>
  <c r="AJ323" i="25"/>
  <c r="AJ231" i="25"/>
  <c r="AJ247" i="25"/>
  <c r="AJ261" i="25"/>
  <c r="AJ275" i="25"/>
  <c r="AJ298" i="25"/>
  <c r="AJ316" i="25"/>
  <c r="AJ330" i="25"/>
  <c r="AJ348" i="25"/>
  <c r="AJ363" i="25"/>
  <c r="AJ376" i="25"/>
  <c r="AJ332" i="25"/>
  <c r="AJ347" i="25"/>
  <c r="AJ37" i="25"/>
  <c r="AJ57" i="25"/>
  <c r="AJ46" i="25"/>
  <c r="AJ71" i="25"/>
  <c r="AJ83" i="25"/>
  <c r="AJ30" i="25"/>
  <c r="AJ65" i="25"/>
  <c r="AJ94" i="25"/>
  <c r="AJ120" i="25"/>
  <c r="AJ145" i="25"/>
  <c r="AJ114" i="25"/>
  <c r="AJ158" i="25"/>
  <c r="AJ189" i="25"/>
  <c r="AJ159" i="25"/>
  <c r="AJ193" i="25"/>
  <c r="AJ223" i="25"/>
  <c r="AJ257" i="25"/>
  <c r="AJ286" i="25"/>
  <c r="AJ315" i="25"/>
  <c r="AJ244" i="25"/>
  <c r="AJ269" i="25"/>
  <c r="AJ310" i="25"/>
  <c r="AJ340" i="25"/>
  <c r="AJ373" i="25"/>
  <c r="AJ15" i="25"/>
  <c r="AJ61" i="25"/>
  <c r="AJ106" i="25"/>
  <c r="AJ128" i="25"/>
  <c r="AJ151" i="25"/>
  <c r="AJ129" i="25"/>
  <c r="AJ167" i="25"/>
  <c r="AJ196" i="25"/>
  <c r="AJ169" i="25"/>
  <c r="AJ205" i="25"/>
  <c r="AJ235" i="25"/>
  <c r="AJ270" i="25"/>
  <c r="AJ293" i="25"/>
  <c r="AJ216" i="25"/>
  <c r="AJ251" i="25"/>
  <c r="AJ285" i="25"/>
  <c r="AJ319" i="25"/>
  <c r="AJ350" i="25"/>
  <c r="AJ378" i="25"/>
  <c r="AJ352" i="25"/>
  <c r="AJ370" i="25"/>
  <c r="AJ328" i="25"/>
  <c r="AJ344" i="25"/>
  <c r="AJ356" i="25"/>
  <c r="AJ29" i="25"/>
  <c r="AJ63" i="25"/>
  <c r="AJ93" i="25"/>
  <c r="AJ39" i="25"/>
  <c r="AJ116" i="25"/>
  <c r="AJ100" i="25"/>
  <c r="AJ182" i="25"/>
  <c r="AJ184" i="25"/>
  <c r="AJ248" i="25"/>
  <c r="AJ304" i="25"/>
  <c r="AJ262" i="25"/>
  <c r="AJ333" i="25"/>
  <c r="AJ32" i="25"/>
  <c r="AJ81" i="25"/>
  <c r="AJ146" i="25"/>
  <c r="AJ161" i="25"/>
  <c r="AJ160" i="25"/>
  <c r="AJ224" i="25"/>
  <c r="AJ287" i="25"/>
  <c r="AJ245" i="25"/>
  <c r="AJ312" i="25"/>
  <c r="AJ374" i="25"/>
  <c r="AJ365" i="25"/>
  <c r="AJ339" i="25"/>
  <c r="AJ371" i="25"/>
  <c r="AJ25" i="25"/>
  <c r="AJ49" i="25"/>
  <c r="AJ150" i="25"/>
  <c r="AJ168" i="25"/>
  <c r="AJ292" i="25"/>
  <c r="AJ318" i="25"/>
  <c r="AJ79" i="25"/>
  <c r="AJ141" i="25"/>
  <c r="AJ213" i="25"/>
  <c r="AJ228" i="25"/>
  <c r="AJ360" i="25"/>
  <c r="AJ331" i="25"/>
  <c r="AJ48" i="25"/>
  <c r="AJ103" i="25"/>
  <c r="AJ126" i="25"/>
  <c r="AJ195" i="25"/>
  <c r="AJ267" i="25"/>
  <c r="AJ276" i="25"/>
  <c r="AJ56" i="25"/>
  <c r="AJ96" i="25"/>
  <c r="AJ178" i="25"/>
  <c r="AJ301" i="25"/>
  <c r="AJ325" i="25"/>
  <c r="AJ372" i="25"/>
  <c r="AJ21" i="25"/>
  <c r="AJ31" i="25"/>
  <c r="AJ51" i="25"/>
  <c r="AJ54" i="25"/>
  <c r="AJ40" i="25"/>
  <c r="AJ66" i="25"/>
  <c r="AJ60" i="25"/>
  <c r="AJ74" i="25"/>
  <c r="AJ80" i="25"/>
  <c r="AJ95" i="25"/>
  <c r="AJ105" i="25"/>
  <c r="AJ38" i="25"/>
  <c r="BD13" i="7"/>
  <c r="AJ47" i="25"/>
  <c r="AJ73" i="25"/>
  <c r="AJ84" i="25"/>
  <c r="AJ112" i="25"/>
  <c r="AJ124" i="25"/>
  <c r="AJ135" i="25"/>
  <c r="AJ148" i="25"/>
  <c r="AJ97" i="25"/>
  <c r="AJ122" i="25"/>
  <c r="AJ144" i="25"/>
  <c r="AJ162" i="25"/>
  <c r="AJ176" i="25"/>
  <c r="AJ191" i="25"/>
  <c r="AJ206" i="25"/>
  <c r="AJ163" i="25"/>
  <c r="AJ180" i="25"/>
  <c r="AJ199" i="25"/>
  <c r="AJ215" i="25"/>
  <c r="AJ227" i="25"/>
  <c r="AJ242" i="25"/>
  <c r="AJ264" i="25"/>
  <c r="AJ279" i="25"/>
  <c r="AJ288" i="25"/>
  <c r="AJ302" i="25"/>
  <c r="AJ322" i="25"/>
  <c r="AJ230" i="25"/>
  <c r="AJ246" i="25"/>
  <c r="AJ260" i="25"/>
  <c r="AJ274" i="25"/>
  <c r="AJ297" i="25"/>
  <c r="AJ313" i="25"/>
  <c r="AJ326" i="25"/>
  <c r="AJ343" i="25"/>
  <c r="AJ361" i="25"/>
  <c r="AJ375" i="25"/>
  <c r="AJ27" i="25"/>
  <c r="AJ34" i="25"/>
  <c r="AJ62" i="25"/>
  <c r="AJ69" i="25"/>
  <c r="AJ92" i="25"/>
  <c r="AJ109" i="25"/>
  <c r="AJ119" i="25"/>
  <c r="AJ131" i="25"/>
  <c r="AJ143" i="25"/>
  <c r="AJ86" i="25"/>
  <c r="AJ108" i="25"/>
  <c r="AJ139" i="25"/>
  <c r="AJ157" i="25"/>
  <c r="AJ173" i="25"/>
  <c r="AJ188" i="25"/>
  <c r="AJ201" i="25"/>
  <c r="AJ155" i="25"/>
  <c r="AJ172" i="25"/>
  <c r="AJ192" i="25"/>
  <c r="AJ210" i="25"/>
  <c r="AJ222" i="25"/>
  <c r="AJ237" i="25"/>
  <c r="AJ254" i="25"/>
  <c r="AJ273" i="25"/>
  <c r="AJ284" i="25"/>
  <c r="AJ299" i="25"/>
  <c r="AJ314" i="25"/>
  <c r="AJ225" i="25"/>
  <c r="AJ241" i="25"/>
  <c r="AJ255" i="25"/>
  <c r="AJ268" i="25"/>
  <c r="AJ290" i="25"/>
  <c r="AJ308" i="25"/>
  <c r="AJ321" i="25"/>
  <c r="AJ337" i="25"/>
  <c r="AJ358" i="25"/>
  <c r="AJ368" i="25"/>
  <c r="AJ327" i="25"/>
  <c r="AJ342" i="25"/>
  <c r="AJ380" i="25"/>
  <c r="AJ26" i="25"/>
  <c r="AJ45" i="25"/>
  <c r="AJ64" i="25"/>
  <c r="AJ88" i="25"/>
  <c r="AJ36" i="25"/>
  <c r="AJ72" i="25"/>
  <c r="AJ110" i="25"/>
  <c r="AJ132" i="25"/>
  <c r="AJ87" i="25"/>
  <c r="AJ140" i="25"/>
  <c r="AJ174" i="25"/>
  <c r="AJ203" i="25"/>
  <c r="AJ177" i="25"/>
  <c r="AJ212" i="25"/>
  <c r="AJ238" i="25"/>
  <c r="AJ277" i="25"/>
  <c r="AJ300" i="25"/>
  <c r="AJ226" i="25"/>
  <c r="AJ256" i="25"/>
  <c r="AJ294" i="25"/>
  <c r="AJ324" i="25"/>
  <c r="AJ359" i="25"/>
  <c r="AJ23" i="25"/>
  <c r="AJ43" i="25"/>
  <c r="AJ85" i="25"/>
  <c r="AJ117" i="25"/>
  <c r="AJ138" i="25"/>
  <c r="AJ101" i="25"/>
  <c r="AJ154" i="25"/>
  <c r="AJ183" i="25"/>
  <c r="AJ211" i="25"/>
  <c r="AJ185" i="25"/>
  <c r="AJ220" i="25"/>
  <c r="AJ250" i="25"/>
  <c r="AJ282" i="25"/>
  <c r="AJ309" i="25"/>
  <c r="AJ234" i="25"/>
  <c r="AJ263" i="25"/>
  <c r="AJ306" i="25"/>
  <c r="AJ334" i="25"/>
  <c r="AJ366" i="25"/>
  <c r="AJ338" i="25"/>
  <c r="AJ357" i="25"/>
  <c r="AJ377" i="25"/>
  <c r="AJ335" i="25"/>
  <c r="AJ351" i="25"/>
  <c r="AJ369" i="25"/>
  <c r="AJ35" i="25"/>
  <c r="AJ70" i="25"/>
  <c r="AJ19" i="25"/>
  <c r="AJ78" i="25"/>
  <c r="AJ137" i="25"/>
  <c r="AJ152" i="25"/>
  <c r="AJ209" i="25"/>
  <c r="AJ219" i="25"/>
  <c r="AJ281" i="25"/>
  <c r="AJ232" i="25"/>
  <c r="AJ305" i="25"/>
  <c r="AJ364" i="25"/>
  <c r="AJ44" i="25"/>
  <c r="AJ121" i="25"/>
  <c r="AJ115" i="25"/>
  <c r="AJ190" i="25"/>
  <c r="AJ197" i="25"/>
  <c r="AJ259" i="25"/>
  <c r="AJ317" i="25"/>
  <c r="AJ271" i="25"/>
  <c r="AJ341" i="25"/>
  <c r="AJ345" i="25"/>
  <c r="AJ379" i="25"/>
  <c r="AJ353" i="25"/>
  <c r="AJ17" i="25"/>
  <c r="AJ77" i="25"/>
  <c r="AJ104" i="25"/>
  <c r="AJ165" i="25"/>
  <c r="AJ233" i="25"/>
  <c r="AJ249" i="25"/>
  <c r="AJ16" i="25"/>
  <c r="AJ133" i="25"/>
  <c r="AJ204" i="25"/>
  <c r="AJ278" i="25"/>
  <c r="AJ296" i="25"/>
  <c r="AJ355" i="25"/>
  <c r="AJ362" i="25"/>
  <c r="AJ58" i="25"/>
  <c r="AJ59" i="25"/>
  <c r="AJ127" i="25"/>
  <c r="AJ202" i="25"/>
  <c r="AJ214" i="25"/>
  <c r="AJ349" i="25"/>
  <c r="AJ111" i="25"/>
  <c r="AJ175" i="25"/>
  <c r="AJ239" i="25"/>
  <c r="AJ258" i="25"/>
  <c r="AJ329" i="25"/>
  <c r="AJ346" i="25"/>
  <c r="AA272" i="1"/>
  <c r="Z272" i="1" s="1"/>
  <c r="Y272" i="1" s="1"/>
  <c r="AA228" i="1"/>
  <c r="Z228" i="1" s="1"/>
  <c r="I272" i="1"/>
  <c r="AA301" i="1"/>
  <c r="Z301" i="1" s="1"/>
  <c r="Y301" i="1" s="1"/>
  <c r="J61" i="19"/>
  <c r="G301" i="1"/>
  <c r="BW301" i="6" s="1"/>
  <c r="AA306" i="1"/>
  <c r="Z306" i="1" s="1"/>
  <c r="Y306" i="1" s="1"/>
  <c r="AA89" i="1"/>
  <c r="Z89" i="1" s="1"/>
  <c r="Y89" i="1" s="1"/>
  <c r="V149" i="1"/>
  <c r="AA149" i="1" s="1"/>
  <c r="Z149" i="1" s="1"/>
  <c r="Y149" i="1" s="1"/>
  <c r="U96" i="15"/>
  <c r="T96" i="15" s="1"/>
  <c r="S96" i="15" s="1"/>
  <c r="R96" i="15" s="1"/>
  <c r="U251" i="15"/>
  <c r="T251" i="15" s="1"/>
  <c r="S251" i="15" s="1"/>
  <c r="R251" i="15" s="1"/>
  <c r="P251" i="15" s="1"/>
  <c r="V251" i="15" s="1"/>
  <c r="F251" i="15" s="1"/>
  <c r="H251" i="15" s="1"/>
  <c r="U90" i="15"/>
  <c r="T90" i="15" s="1"/>
  <c r="U127" i="15"/>
  <c r="T127" i="15" s="1"/>
  <c r="S127" i="15" s="1"/>
  <c r="R127" i="15" s="1"/>
  <c r="P127" i="15" s="1"/>
  <c r="U253" i="15"/>
  <c r="T253" i="15" s="1"/>
  <c r="S253" i="15" s="1"/>
  <c r="R253" i="15" s="1"/>
  <c r="P253" i="15" s="1"/>
  <c r="V253" i="15" s="1"/>
  <c r="F253" i="15" s="1"/>
  <c r="U118" i="15"/>
  <c r="T118" i="15" s="1"/>
  <c r="S118" i="15" s="1"/>
  <c r="R118" i="15" s="1"/>
  <c r="P118" i="15" s="1"/>
  <c r="V118" i="15" s="1"/>
  <c r="F118" i="15" s="1"/>
  <c r="G118" i="15" s="1"/>
  <c r="BX118" i="6" s="1"/>
  <c r="U69" i="15"/>
  <c r="T69" i="15" s="1"/>
  <c r="S69" i="15" s="1"/>
  <c r="R69" i="15" s="1"/>
  <c r="P69" i="15" s="1"/>
  <c r="V69" i="15" s="1"/>
  <c r="F69" i="15" s="1"/>
  <c r="H69" i="15" s="1"/>
  <c r="U145" i="15"/>
  <c r="T145" i="15" s="1"/>
  <c r="U335" i="15"/>
  <c r="T335" i="15" s="1"/>
  <c r="S335" i="15" s="1"/>
  <c r="R335" i="15" s="1"/>
  <c r="U332" i="15"/>
  <c r="T332" i="15" s="1"/>
  <c r="S332" i="15" s="1"/>
  <c r="R332" i="15" s="1"/>
  <c r="P332" i="15" s="1"/>
  <c r="V332" i="15" s="1"/>
  <c r="F332" i="15" s="1"/>
  <c r="G332" i="15" s="1"/>
  <c r="BX332" i="6" s="1"/>
  <c r="U337" i="15"/>
  <c r="T337" i="15" s="1"/>
  <c r="S337" i="15" s="1"/>
  <c r="R337" i="15" s="1"/>
  <c r="P337" i="15" s="1"/>
  <c r="V337" i="15" s="1"/>
  <c r="F337" i="15" s="1"/>
  <c r="G337" i="15" s="1"/>
  <c r="BX337" i="6" s="1"/>
  <c r="U285" i="15"/>
  <c r="T285" i="15" s="1"/>
  <c r="S285" i="15" s="1"/>
  <c r="R285" i="15" s="1"/>
  <c r="P285" i="15" s="1"/>
  <c r="V285" i="15" s="1"/>
  <c r="F285" i="15" s="1"/>
  <c r="G285" i="15" s="1"/>
  <c r="BX285" i="6" s="1"/>
  <c r="U161" i="15"/>
  <c r="T161" i="15" s="1"/>
  <c r="U133" i="15"/>
  <c r="T133" i="15" s="1"/>
  <c r="S133" i="15" s="1"/>
  <c r="R133" i="15" s="1"/>
  <c r="P133" i="15" s="1"/>
  <c r="V133" i="15" s="1"/>
  <c r="F133" i="15" s="1"/>
  <c r="H133" i="15" s="1"/>
  <c r="U322" i="15"/>
  <c r="T322" i="15" s="1"/>
  <c r="S322" i="15" s="1"/>
  <c r="R322" i="15" s="1"/>
  <c r="P322" i="15" s="1"/>
  <c r="U157" i="15"/>
  <c r="T157" i="15" s="1"/>
  <c r="S157" i="15" s="1"/>
  <c r="R157" i="15" s="1"/>
  <c r="U277" i="15"/>
  <c r="T277" i="15" s="1"/>
  <c r="S277" i="15" s="1"/>
  <c r="R277" i="15" s="1"/>
  <c r="P277" i="15" s="1"/>
  <c r="V277" i="15" s="1"/>
  <c r="F277" i="15" s="1"/>
  <c r="H277" i="15" s="1"/>
  <c r="U377" i="15"/>
  <c r="T377" i="15" s="1"/>
  <c r="S377" i="15" s="1"/>
  <c r="R377" i="15" s="1"/>
  <c r="P377" i="15" s="1"/>
  <c r="U152" i="15"/>
  <c r="T152" i="15" s="1"/>
  <c r="S152" i="15" s="1"/>
  <c r="R152" i="15" s="1"/>
  <c r="U356" i="15"/>
  <c r="T356" i="15" s="1"/>
  <c r="S356" i="15" s="1"/>
  <c r="R356" i="15" s="1"/>
  <c r="P356" i="15" s="1"/>
  <c r="V356" i="15" s="1"/>
  <c r="F356" i="15" s="1"/>
  <c r="G356" i="15" s="1"/>
  <c r="BX356" i="6" s="1"/>
  <c r="U179" i="15"/>
  <c r="T179" i="15" s="1"/>
  <c r="S179" i="15" s="1"/>
  <c r="R179" i="15" s="1"/>
  <c r="P179" i="15" s="1"/>
  <c r="V179" i="15" s="1"/>
  <c r="F179" i="15" s="1"/>
  <c r="G179" i="15" s="1"/>
  <c r="BX179" i="6" s="1"/>
  <c r="U40" i="15"/>
  <c r="T40" i="15" s="1"/>
  <c r="S40" i="15" s="1"/>
  <c r="R40" i="15" s="1"/>
  <c r="P40" i="15" s="1"/>
  <c r="V40" i="15" s="1"/>
  <c r="F40" i="15" s="1"/>
  <c r="U44" i="15"/>
  <c r="T44" i="15" s="1"/>
  <c r="S44" i="15" s="1"/>
  <c r="R44" i="15" s="1"/>
  <c r="U35" i="15"/>
  <c r="T35" i="15" s="1"/>
  <c r="U341" i="15"/>
  <c r="T341" i="15" s="1"/>
  <c r="S341" i="15" s="1"/>
  <c r="R341" i="15" s="1"/>
  <c r="U62" i="15"/>
  <c r="T62" i="15" s="1"/>
  <c r="S62" i="15" s="1"/>
  <c r="R62" i="15" s="1"/>
  <c r="P62" i="15" s="1"/>
  <c r="V62" i="15" s="1"/>
  <c r="F62" i="15" s="1"/>
  <c r="G62" i="15" s="1"/>
  <c r="BX62" i="6" s="1"/>
  <c r="U375" i="15"/>
  <c r="T375" i="15" s="1"/>
  <c r="S375" i="15" s="1"/>
  <c r="R375" i="15" s="1"/>
  <c r="U60" i="15"/>
  <c r="T60" i="15" s="1"/>
  <c r="S60" i="15" s="1"/>
  <c r="R60" i="15" s="1"/>
  <c r="P60" i="15" s="1"/>
  <c r="U208" i="15"/>
  <c r="T208" i="15" s="1"/>
  <c r="S208" i="15" s="1"/>
  <c r="R208" i="15" s="1"/>
  <c r="P208" i="15" s="1"/>
  <c r="V208" i="15" s="1"/>
  <c r="F208" i="15" s="1"/>
  <c r="U52" i="15"/>
  <c r="T52" i="15" s="1"/>
  <c r="S52" i="15" s="1"/>
  <c r="R52" i="15" s="1"/>
  <c r="P52" i="15" s="1"/>
  <c r="U92" i="15"/>
  <c r="T92" i="15" s="1"/>
  <c r="S92" i="15" s="1"/>
  <c r="R92" i="15" s="1"/>
  <c r="U180" i="15"/>
  <c r="T180" i="15" s="1"/>
  <c r="S180" i="15" s="1"/>
  <c r="R180" i="15" s="1"/>
  <c r="P180" i="15" s="1"/>
  <c r="U363" i="15"/>
  <c r="T363" i="15" s="1"/>
  <c r="S363" i="15" s="1"/>
  <c r="R363" i="15" s="1"/>
  <c r="U237" i="15"/>
  <c r="T237" i="15" s="1"/>
  <c r="S237" i="15" s="1"/>
  <c r="R237" i="15" s="1"/>
  <c r="P237" i="15" s="1"/>
  <c r="V237" i="15" s="1"/>
  <c r="F237" i="15" s="1"/>
  <c r="G237" i="15" s="1"/>
  <c r="BX237" i="6" s="1"/>
  <c r="U84" i="15"/>
  <c r="T84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111" i="15"/>
  <c r="T111" i="15" s="1"/>
  <c r="S111" i="15" s="1"/>
  <c r="R111" i="15" s="1"/>
  <c r="P111" i="15" s="1"/>
  <c r="V111" i="15" s="1"/>
  <c r="F111" i="15" s="1"/>
  <c r="H111" i="15" s="1"/>
  <c r="U83" i="15"/>
  <c r="T83" i="15" s="1"/>
  <c r="S83" i="15" s="1"/>
  <c r="R83" i="15" s="1"/>
  <c r="U57" i="15"/>
  <c r="T57" i="15" s="1"/>
  <c r="S57" i="15" s="1"/>
  <c r="R57" i="15" s="1"/>
  <c r="P57" i="15" s="1"/>
  <c r="U61" i="15"/>
  <c r="T61" i="15" s="1"/>
  <c r="S61" i="15" s="1"/>
  <c r="R61" i="15" s="1"/>
  <c r="P61" i="15" s="1"/>
  <c r="U231" i="15"/>
  <c r="T231" i="15" s="1"/>
  <c r="S231" i="15" s="1"/>
  <c r="R231" i="15" s="1"/>
  <c r="P231" i="15" s="1"/>
  <c r="V231" i="15" s="1"/>
  <c r="F231" i="15" s="1"/>
  <c r="H231" i="15" s="1"/>
  <c r="I231" i="15" s="1"/>
  <c r="U173" i="15"/>
  <c r="T173" i="15" s="1"/>
  <c r="S173" i="15" s="1"/>
  <c r="R173" i="15" s="1"/>
  <c r="P173" i="15" s="1"/>
  <c r="V173" i="15" s="1"/>
  <c r="F173" i="15" s="1"/>
  <c r="G173" i="15" s="1"/>
  <c r="BX173" i="6" s="1"/>
  <c r="U355" i="15"/>
  <c r="T355" i="15" s="1"/>
  <c r="S355" i="15" s="1"/>
  <c r="R355" i="15" s="1"/>
  <c r="P355" i="15" s="1"/>
  <c r="V355" i="15" s="1"/>
  <c r="F355" i="15" s="1"/>
  <c r="U243" i="15"/>
  <c r="T243" i="15" s="1"/>
  <c r="S243" i="15" s="1"/>
  <c r="R243" i="15" s="1"/>
  <c r="P243" i="15" s="1"/>
  <c r="V243" i="15" s="1"/>
  <c r="F243" i="15" s="1"/>
  <c r="H243" i="15" s="1"/>
  <c r="U301" i="15"/>
  <c r="T301" i="15" s="1"/>
  <c r="S301" i="15" s="1"/>
  <c r="R301" i="15" s="1"/>
  <c r="P301" i="15" s="1"/>
  <c r="V301" i="15" s="1"/>
  <c r="F301" i="15" s="1"/>
  <c r="U275" i="15"/>
  <c r="T275" i="15" s="1"/>
  <c r="S275" i="15" s="1"/>
  <c r="R275" i="15" s="1"/>
  <c r="P275" i="15" s="1"/>
  <c r="V275" i="15" s="1"/>
  <c r="F275" i="15" s="1"/>
  <c r="G275" i="15" s="1"/>
  <c r="BX275" i="6" s="1"/>
  <c r="U160" i="15"/>
  <c r="T160" i="15" s="1"/>
  <c r="U289" i="15"/>
  <c r="T289" i="15" s="1"/>
  <c r="S289" i="15" s="1"/>
  <c r="R289" i="15" s="1"/>
  <c r="P289" i="15" s="1"/>
  <c r="V289" i="15" s="1"/>
  <c r="F289" i="15" s="1"/>
  <c r="U239" i="15"/>
  <c r="T239" i="15" s="1"/>
  <c r="S239" i="15" s="1"/>
  <c r="R239" i="15" s="1"/>
  <c r="P239" i="15" s="1"/>
  <c r="V239" i="15" s="1"/>
  <c r="F239" i="15" s="1"/>
  <c r="G239" i="15" s="1"/>
  <c r="BX239" i="6" s="1"/>
  <c r="U158" i="15"/>
  <c r="T158" i="15" s="1"/>
  <c r="U280" i="15"/>
  <c r="T280" i="15" s="1"/>
  <c r="S280" i="15" s="1"/>
  <c r="R280" i="15" s="1"/>
  <c r="P280" i="15" s="1"/>
  <c r="V280" i="15" s="1"/>
  <c r="F280" i="15" s="1"/>
  <c r="U48" i="15"/>
  <c r="T48" i="15" s="1"/>
  <c r="S48" i="15" s="1"/>
  <c r="R48" i="15" s="1"/>
  <c r="P48" i="15" s="1"/>
  <c r="V48" i="15" s="1"/>
  <c r="F48" i="15" s="1"/>
  <c r="U329" i="15"/>
  <c r="T329" i="15" s="1"/>
  <c r="S329" i="15" s="1"/>
  <c r="R329" i="15" s="1"/>
  <c r="U170" i="15"/>
  <c r="T170" i="15" s="1"/>
  <c r="S170" i="15" s="1"/>
  <c r="R170" i="15" s="1"/>
  <c r="P170" i="15" s="1"/>
  <c r="V170" i="15" s="1"/>
  <c r="F170" i="15" s="1"/>
  <c r="H170" i="15" s="1"/>
  <c r="U142" i="15"/>
  <c r="T142" i="15" s="1"/>
  <c r="S142" i="15" s="1"/>
  <c r="R142" i="15" s="1"/>
  <c r="U323" i="15"/>
  <c r="T323" i="15" s="1"/>
  <c r="S323" i="15" s="1"/>
  <c r="R323" i="15" s="1"/>
  <c r="P323" i="15" s="1"/>
  <c r="V323" i="15" s="1"/>
  <c r="F323" i="15" s="1"/>
  <c r="G323" i="15" s="1"/>
  <c r="BX323" i="6" s="1"/>
  <c r="U93" i="15"/>
  <c r="T93" i="15" s="1"/>
  <c r="U21" i="15"/>
  <c r="T21" i="15" s="1"/>
  <c r="S21" i="15" s="1"/>
  <c r="R21" i="15" s="1"/>
  <c r="U373" i="15"/>
  <c r="T373" i="15" s="1"/>
  <c r="S373" i="15" s="1"/>
  <c r="R373" i="15" s="1"/>
  <c r="P373" i="15" s="1"/>
  <c r="V373" i="15" s="1"/>
  <c r="F373" i="15" s="1"/>
  <c r="G373" i="15" s="1"/>
  <c r="BX373" i="6" s="1"/>
  <c r="U103" i="15"/>
  <c r="T103" i="15" s="1"/>
  <c r="S103" i="15" s="1"/>
  <c r="R103" i="15" s="1"/>
  <c r="U171" i="15"/>
  <c r="T171" i="15" s="1"/>
  <c r="S171" i="15" s="1"/>
  <c r="R171" i="15" s="1"/>
  <c r="P171" i="15" s="1"/>
  <c r="V171" i="15" s="1"/>
  <c r="F171" i="15" s="1"/>
  <c r="H171" i="15" s="1"/>
  <c r="U308" i="15"/>
  <c r="T308" i="15" s="1"/>
  <c r="S308" i="15" s="1"/>
  <c r="R308" i="15" s="1"/>
  <c r="P308" i="15" s="1"/>
  <c r="V308" i="15" s="1"/>
  <c r="F308" i="15" s="1"/>
  <c r="U309" i="15"/>
  <c r="T309" i="15" s="1"/>
  <c r="S309" i="15" s="1"/>
  <c r="R309" i="15" s="1"/>
  <c r="P309" i="15" s="1"/>
  <c r="V309" i="15" s="1"/>
  <c r="F309" i="15" s="1"/>
  <c r="U172" i="15"/>
  <c r="T172" i="15" s="1"/>
  <c r="S172" i="15" s="1"/>
  <c r="R172" i="15" s="1"/>
  <c r="P172" i="15" s="1"/>
  <c r="V172" i="15" s="1"/>
  <c r="F172" i="15" s="1"/>
  <c r="H172" i="15" s="1"/>
  <c r="U79" i="15"/>
  <c r="T79" i="15" s="1"/>
  <c r="U63" i="15"/>
  <c r="T63" i="15" s="1"/>
  <c r="S63" i="15" s="1"/>
  <c r="R63" i="15" s="1"/>
  <c r="P63" i="15" s="1"/>
  <c r="V63" i="15" s="1"/>
  <c r="F63" i="15" s="1"/>
  <c r="U186" i="15"/>
  <c r="T186" i="15" s="1"/>
  <c r="S186" i="15" s="1"/>
  <c r="R186" i="15" s="1"/>
  <c r="P186" i="15" s="1"/>
  <c r="V186" i="15" s="1"/>
  <c r="F186" i="15" s="1"/>
  <c r="H186" i="15" s="1"/>
  <c r="I186" i="15" s="1"/>
  <c r="U296" i="15"/>
  <c r="T296" i="15" s="1"/>
  <c r="S296" i="15" s="1"/>
  <c r="R296" i="15" s="1"/>
  <c r="P296" i="15" s="1"/>
  <c r="V296" i="15" s="1"/>
  <c r="F296" i="15" s="1"/>
  <c r="U131" i="15"/>
  <c r="T131" i="15" s="1"/>
  <c r="S131" i="15" s="1"/>
  <c r="R131" i="15" s="1"/>
  <c r="P131" i="15" s="1"/>
  <c r="V131" i="15" s="1"/>
  <c r="F131" i="15" s="1"/>
  <c r="H131" i="15" s="1"/>
  <c r="U114" i="15"/>
  <c r="T114" i="15" s="1"/>
  <c r="S114" i="15" s="1"/>
  <c r="R114" i="15" s="1"/>
  <c r="P114" i="15" s="1"/>
  <c r="V114" i="15" s="1"/>
  <c r="F114" i="15" s="1"/>
  <c r="H114" i="15" s="1"/>
  <c r="U268" i="15"/>
  <c r="T268" i="15" s="1"/>
  <c r="S268" i="15" s="1"/>
  <c r="R268" i="15" s="1"/>
  <c r="P268" i="15" s="1"/>
  <c r="V268" i="15" s="1"/>
  <c r="F268" i="15" s="1"/>
  <c r="H268" i="15" s="1"/>
  <c r="U101" i="15"/>
  <c r="T101" i="15" s="1"/>
  <c r="U291" i="15"/>
  <c r="T291" i="15" s="1"/>
  <c r="S291" i="15" s="1"/>
  <c r="R291" i="15" s="1"/>
  <c r="P291" i="15" s="1"/>
  <c r="U250" i="15"/>
  <c r="T250" i="15" s="1"/>
  <c r="S250" i="15" s="1"/>
  <c r="R250" i="15" s="1"/>
  <c r="P250" i="15" s="1"/>
  <c r="V250" i="15" s="1"/>
  <c r="F250" i="15" s="1"/>
  <c r="G250" i="15" s="1"/>
  <c r="BX250" i="6" s="1"/>
  <c r="U193" i="15"/>
  <c r="T193" i="15" s="1"/>
  <c r="S193" i="15" s="1"/>
  <c r="R193" i="15" s="1"/>
  <c r="P193" i="15" s="1"/>
  <c r="V193" i="15" s="1"/>
  <c r="F193" i="15" s="1"/>
  <c r="G193" i="15" s="1"/>
  <c r="BX193" i="6" s="1"/>
  <c r="U51" i="15"/>
  <c r="T51" i="15" s="1"/>
  <c r="S51" i="15" s="1"/>
  <c r="R51" i="15" s="1"/>
  <c r="P51" i="15" s="1"/>
  <c r="V51" i="15" s="1"/>
  <c r="F51" i="15" s="1"/>
  <c r="U75" i="15"/>
  <c r="T75" i="15" s="1"/>
  <c r="S75" i="15" s="1"/>
  <c r="R75" i="15" s="1"/>
  <c r="P75" i="15" s="1"/>
  <c r="V75" i="15" s="1"/>
  <c r="F75" i="15" s="1"/>
  <c r="U318" i="15"/>
  <c r="T318" i="15" s="1"/>
  <c r="S318" i="15" s="1"/>
  <c r="R318" i="15" s="1"/>
  <c r="P318" i="15" s="1"/>
  <c r="V318" i="15" s="1"/>
  <c r="F318" i="15" s="1"/>
  <c r="U342" i="15"/>
  <c r="T342" i="15" s="1"/>
  <c r="S342" i="15" s="1"/>
  <c r="R342" i="15" s="1"/>
  <c r="P342" i="15" s="1"/>
  <c r="V342" i="15" s="1"/>
  <c r="F342" i="15" s="1"/>
  <c r="U136" i="15"/>
  <c r="T136" i="15" s="1"/>
  <c r="S136" i="15" s="1"/>
  <c r="R136" i="15" s="1"/>
  <c r="U317" i="15"/>
  <c r="T317" i="15" s="1"/>
  <c r="U358" i="15"/>
  <c r="T358" i="15" s="1"/>
  <c r="S358" i="15" s="1"/>
  <c r="R358" i="15" s="1"/>
  <c r="P358" i="15" s="1"/>
  <c r="V358" i="15" s="1"/>
  <c r="F358" i="15" s="1"/>
  <c r="H358" i="15" s="1"/>
  <c r="U303" i="15"/>
  <c r="T303" i="15" s="1"/>
  <c r="S303" i="15" s="1"/>
  <c r="R303" i="15" s="1"/>
  <c r="P303" i="15" s="1"/>
  <c r="V303" i="15" s="1"/>
  <c r="F303" i="15" s="1"/>
  <c r="G303" i="15" s="1"/>
  <c r="BX303" i="6" s="1"/>
  <c r="U66" i="15"/>
  <c r="T66" i="15" s="1"/>
  <c r="S66" i="15" s="1"/>
  <c r="R66" i="15" s="1"/>
  <c r="P66" i="15" s="1"/>
  <c r="V66" i="15" s="1"/>
  <c r="F66" i="15" s="1"/>
  <c r="U255" i="15"/>
  <c r="T255" i="15" s="1"/>
  <c r="S255" i="15" s="1"/>
  <c r="R255" i="15" s="1"/>
  <c r="P255" i="15" s="1"/>
  <c r="V255" i="15" s="1"/>
  <c r="F255" i="15" s="1"/>
  <c r="G255" i="15" s="1"/>
  <c r="BX255" i="6" s="1"/>
  <c r="U205" i="15"/>
  <c r="T205" i="15" s="1"/>
  <c r="S205" i="15" s="1"/>
  <c r="R205" i="15" s="1"/>
  <c r="P205" i="15" s="1"/>
  <c r="V205" i="15" s="1"/>
  <c r="F205" i="15" s="1"/>
  <c r="G205" i="15" s="1"/>
  <c r="BX205" i="6" s="1"/>
  <c r="U349" i="15"/>
  <c r="T349" i="15" s="1"/>
  <c r="S349" i="15" s="1"/>
  <c r="R349" i="15" s="1"/>
  <c r="P349" i="15" s="1"/>
  <c r="U28" i="15"/>
  <c r="T28" i="15" s="1"/>
  <c r="U305" i="15"/>
  <c r="T305" i="15" s="1"/>
  <c r="U141" i="15"/>
  <c r="T141" i="15" s="1"/>
  <c r="S141" i="15" s="1"/>
  <c r="R141" i="15" s="1"/>
  <c r="U359" i="15"/>
  <c r="T359" i="15" s="1"/>
  <c r="S359" i="15" s="1"/>
  <c r="R359" i="15" s="1"/>
  <c r="P359" i="15" s="1"/>
  <c r="V359" i="15" s="1"/>
  <c r="F359" i="15" s="1"/>
  <c r="G359" i="15" s="1"/>
  <c r="BX359" i="6" s="1"/>
  <c r="U214" i="15"/>
  <c r="T214" i="15" s="1"/>
  <c r="S214" i="15" s="1"/>
  <c r="R214" i="15" s="1"/>
  <c r="P214" i="15" s="1"/>
  <c r="V214" i="15" s="1"/>
  <c r="F214" i="15" s="1"/>
  <c r="G214" i="15" s="1"/>
  <c r="BX214" i="6" s="1"/>
  <c r="U168" i="15"/>
  <c r="T168" i="15" s="1"/>
  <c r="S168" i="15" s="1"/>
  <c r="R168" i="15" s="1"/>
  <c r="P168" i="15" s="1"/>
  <c r="V168" i="15" s="1"/>
  <c r="F168" i="15" s="1"/>
  <c r="U64" i="15"/>
  <c r="T64" i="15" s="1"/>
  <c r="S64" i="15" s="1"/>
  <c r="R64" i="15" s="1"/>
  <c r="P64" i="15" s="1"/>
  <c r="V64" i="15" s="1"/>
  <c r="F64" i="15" s="1"/>
  <c r="H64" i="15" s="1"/>
  <c r="U247" i="15"/>
  <c r="T247" i="15" s="1"/>
  <c r="S247" i="15" s="1"/>
  <c r="R247" i="15" s="1"/>
  <c r="P247" i="15" s="1"/>
  <c r="V247" i="15" s="1"/>
  <c r="F247" i="15" s="1"/>
  <c r="H247" i="15" s="1"/>
  <c r="U42" i="15"/>
  <c r="T42" i="15" s="1"/>
  <c r="S42" i="15" s="1"/>
  <c r="R42" i="15" s="1"/>
  <c r="P42" i="15" s="1"/>
  <c r="V42" i="15" s="1"/>
  <c r="F42" i="15" s="1"/>
  <c r="H42" i="15" s="1"/>
  <c r="U267" i="15"/>
  <c r="T267" i="15" s="1"/>
  <c r="S267" i="15" s="1"/>
  <c r="R267" i="15" s="1"/>
  <c r="P267" i="15" s="1"/>
  <c r="V267" i="15" s="1"/>
  <c r="F267" i="15" s="1"/>
  <c r="U364" i="15"/>
  <c r="T364" i="15" s="1"/>
  <c r="S364" i="15" s="1"/>
  <c r="R364" i="15" s="1"/>
  <c r="P364" i="15" s="1"/>
  <c r="V364" i="15" s="1"/>
  <c r="F364" i="15" s="1"/>
  <c r="H364" i="15" s="1"/>
  <c r="U325" i="15"/>
  <c r="T325" i="15" s="1"/>
  <c r="S325" i="15" s="1"/>
  <c r="R325" i="15" s="1"/>
  <c r="P325" i="15" s="1"/>
  <c r="V325" i="15" s="1"/>
  <c r="F325" i="15" s="1"/>
  <c r="G325" i="15" s="1"/>
  <c r="BX325" i="6" s="1"/>
  <c r="U163" i="15"/>
  <c r="T163" i="15" s="1"/>
  <c r="S163" i="15" s="1"/>
  <c r="R163" i="15" s="1"/>
  <c r="P163" i="15" s="1"/>
  <c r="V163" i="15" s="1"/>
  <c r="F163" i="15" s="1"/>
  <c r="G163" i="15" s="1"/>
  <c r="BX163" i="6" s="1"/>
  <c r="U206" i="15"/>
  <c r="T206" i="15" s="1"/>
  <c r="S206" i="15" s="1"/>
  <c r="R206" i="15" s="1"/>
  <c r="P206" i="15" s="1"/>
  <c r="V206" i="15" s="1"/>
  <c r="F206" i="15" s="1"/>
  <c r="G206" i="15" s="1"/>
  <c r="BX206" i="6" s="1"/>
  <c r="U328" i="15"/>
  <c r="T328" i="15" s="1"/>
  <c r="S328" i="15" s="1"/>
  <c r="R328" i="15" s="1"/>
  <c r="P328" i="15" s="1"/>
  <c r="V328" i="15" s="1"/>
  <c r="F328" i="15" s="1"/>
  <c r="G328" i="15" s="1"/>
  <c r="BX328" i="6" s="1"/>
  <c r="U56" i="15"/>
  <c r="T56" i="15" s="1"/>
  <c r="S56" i="15" s="1"/>
  <c r="R56" i="15" s="1"/>
  <c r="P56" i="15" s="1"/>
  <c r="U212" i="15"/>
  <c r="T212" i="15" s="1"/>
  <c r="S212" i="15" s="1"/>
  <c r="R212" i="15" s="1"/>
  <c r="P212" i="15" s="1"/>
  <c r="V212" i="15" s="1"/>
  <c r="F212" i="15" s="1"/>
  <c r="U98" i="15"/>
  <c r="T98" i="15" s="1"/>
  <c r="S98" i="15" s="1"/>
  <c r="R98" i="15" s="1"/>
  <c r="U68" i="15"/>
  <c r="T68" i="15" s="1"/>
  <c r="S68" i="15" s="1"/>
  <c r="R68" i="15" s="1"/>
  <c r="P68" i="15" s="1"/>
  <c r="V68" i="15" s="1"/>
  <c r="F68" i="15" s="1"/>
  <c r="G68" i="15" s="1"/>
  <c r="BX68" i="6" s="1"/>
  <c r="U128" i="15"/>
  <c r="T128" i="15" s="1"/>
  <c r="S128" i="15" s="1"/>
  <c r="R128" i="15" s="1"/>
  <c r="P128" i="15" s="1"/>
  <c r="V128" i="15" s="1"/>
  <c r="F128" i="15" s="1"/>
  <c r="H128" i="15" s="1"/>
  <c r="U87" i="15"/>
  <c r="T87" i="15" s="1"/>
  <c r="S87" i="15" s="1"/>
  <c r="R87" i="15" s="1"/>
  <c r="U150" i="15"/>
  <c r="T150" i="15" s="1"/>
  <c r="S150" i="15" s="1"/>
  <c r="R150" i="15" s="1"/>
  <c r="U281" i="15"/>
  <c r="T281" i="15" s="1"/>
  <c r="S281" i="15" s="1"/>
  <c r="R281" i="15" s="1"/>
  <c r="P281" i="15" s="1"/>
  <c r="U302" i="15"/>
  <c r="T302" i="15" s="1"/>
  <c r="S302" i="15" s="1"/>
  <c r="R302" i="15" s="1"/>
  <c r="U23" i="15"/>
  <c r="T23" i="15" s="1"/>
  <c r="S23" i="15" s="1"/>
  <c r="R23" i="15" s="1"/>
  <c r="U195" i="15"/>
  <c r="T195" i="15" s="1"/>
  <c r="S195" i="15" s="1"/>
  <c r="R195" i="15" s="1"/>
  <c r="P195" i="15" s="1"/>
  <c r="V195" i="15" s="1"/>
  <c r="F195" i="15" s="1"/>
  <c r="U45" i="15"/>
  <c r="T45" i="15" s="1"/>
  <c r="S45" i="15" s="1"/>
  <c r="R45" i="15" s="1"/>
  <c r="P45" i="15" s="1"/>
  <c r="V45" i="15" s="1"/>
  <c r="F45" i="15" s="1"/>
  <c r="G45" i="15" s="1"/>
  <c r="BX45" i="6" s="1"/>
  <c r="U73" i="15"/>
  <c r="T73" i="15" s="1"/>
  <c r="S73" i="15" s="1"/>
  <c r="R73" i="15" s="1"/>
  <c r="P73" i="15" s="1"/>
  <c r="V73" i="15" s="1"/>
  <c r="F73" i="15" s="1"/>
  <c r="G73" i="15" s="1"/>
  <c r="BX73" i="6" s="1"/>
  <c r="U229" i="15"/>
  <c r="T229" i="15" s="1"/>
  <c r="S229" i="15" s="1"/>
  <c r="R229" i="15" s="1"/>
  <c r="P229" i="15" s="1"/>
  <c r="U29" i="15"/>
  <c r="T29" i="15" s="1"/>
  <c r="S29" i="15" s="1"/>
  <c r="R29" i="15" s="1"/>
  <c r="U134" i="15"/>
  <c r="T134" i="15" s="1"/>
  <c r="U50" i="15"/>
  <c r="T50" i="15" s="1"/>
  <c r="S50" i="15" s="1"/>
  <c r="R50" i="15" s="1"/>
  <c r="U350" i="15"/>
  <c r="T350" i="15" s="1"/>
  <c r="S350" i="15" s="1"/>
  <c r="R350" i="15" s="1"/>
  <c r="P350" i="15" s="1"/>
  <c r="U187" i="15"/>
  <c r="T187" i="15" s="1"/>
  <c r="S187" i="15" s="1"/>
  <c r="R187" i="15" s="1"/>
  <c r="P187" i="15" s="1"/>
  <c r="V187" i="15" s="1"/>
  <c r="F187" i="15" s="1"/>
  <c r="H187" i="15" s="1"/>
  <c r="U379" i="15"/>
  <c r="T379" i="15" s="1"/>
  <c r="S379" i="15" s="1"/>
  <c r="R379" i="15" s="1"/>
  <c r="P379" i="15" s="1"/>
  <c r="U126" i="15"/>
  <c r="T126" i="15" s="1"/>
  <c r="S126" i="15" s="1"/>
  <c r="R126" i="15" s="1"/>
  <c r="P126" i="15" s="1"/>
  <c r="V126" i="15" s="1"/>
  <c r="F126" i="15" s="1"/>
  <c r="H126" i="15" s="1"/>
  <c r="U124" i="15"/>
  <c r="T124" i="15" s="1"/>
  <c r="S124" i="15" s="1"/>
  <c r="R124" i="15" s="1"/>
  <c r="P124" i="15" s="1"/>
  <c r="V124" i="15" s="1"/>
  <c r="F124" i="15" s="1"/>
  <c r="H124" i="15" s="1"/>
  <c r="U117" i="15"/>
  <c r="T117" i="15" s="1"/>
  <c r="S117" i="15" s="1"/>
  <c r="R117" i="15" s="1"/>
  <c r="P117" i="15" s="1"/>
  <c r="V117" i="15" s="1"/>
  <c r="F117" i="15" s="1"/>
  <c r="G117" i="15" s="1"/>
  <c r="BX117" i="6" s="1"/>
  <c r="U55" i="15"/>
  <c r="T55" i="15" s="1"/>
  <c r="S55" i="15" s="1"/>
  <c r="R55" i="15" s="1"/>
  <c r="P55" i="15" s="1"/>
  <c r="V55" i="15" s="1"/>
  <c r="F55" i="15" s="1"/>
  <c r="U326" i="15"/>
  <c r="T326" i="15" s="1"/>
  <c r="S326" i="15" s="1"/>
  <c r="R326" i="15" s="1"/>
  <c r="P326" i="15" s="1"/>
  <c r="V326" i="15" s="1"/>
  <c r="F326" i="15" s="1"/>
  <c r="U245" i="15"/>
  <c r="T245" i="15" s="1"/>
  <c r="S245" i="15" s="1"/>
  <c r="R245" i="15" s="1"/>
  <c r="P245" i="15" s="1"/>
  <c r="V245" i="15" s="1"/>
  <c r="F245" i="15" s="1"/>
  <c r="G245" i="15" s="1"/>
  <c r="BX245" i="6" s="1"/>
  <c r="U132" i="15"/>
  <c r="T132" i="15" s="1"/>
  <c r="S132" i="15" s="1"/>
  <c r="R132" i="15" s="1"/>
  <c r="P132" i="15" s="1"/>
  <c r="V132" i="15" s="1"/>
  <c r="F132" i="15" s="1"/>
  <c r="H132" i="15" s="1"/>
  <c r="U265" i="15"/>
  <c r="T265" i="15" s="1"/>
  <c r="S265" i="15" s="1"/>
  <c r="R265" i="15" s="1"/>
  <c r="P265" i="15" s="1"/>
  <c r="V265" i="15" s="1"/>
  <c r="F265" i="15" s="1"/>
  <c r="H265" i="15" s="1"/>
  <c r="U125" i="15"/>
  <c r="T125" i="15" s="1"/>
  <c r="S125" i="15" s="1"/>
  <c r="R125" i="15" s="1"/>
  <c r="P125" i="15" s="1"/>
  <c r="V125" i="15" s="1"/>
  <c r="F125" i="15" s="1"/>
  <c r="H125" i="15" s="1"/>
  <c r="J125" i="15" s="1"/>
  <c r="U298" i="15"/>
  <c r="T298" i="15" s="1"/>
  <c r="S298" i="15" s="1"/>
  <c r="R298" i="15" s="1"/>
  <c r="P298" i="15" s="1"/>
  <c r="U105" i="15"/>
  <c r="T105" i="15" s="1"/>
  <c r="S105" i="15" s="1"/>
  <c r="R105" i="15" s="1"/>
  <c r="U70" i="15"/>
  <c r="T70" i="15" s="1"/>
  <c r="S70" i="15" s="1"/>
  <c r="R70" i="15" s="1"/>
  <c r="P70" i="15" s="1"/>
  <c r="V70" i="15" s="1"/>
  <c r="F70" i="15" s="1"/>
  <c r="U300" i="15"/>
  <c r="T300" i="15" s="1"/>
  <c r="S300" i="15" s="1"/>
  <c r="R300" i="15" s="1"/>
  <c r="U26" i="15"/>
  <c r="T26" i="15" s="1"/>
  <c r="S26" i="15" s="1"/>
  <c r="R26" i="15" s="1"/>
  <c r="U203" i="15"/>
  <c r="T203" i="15" s="1"/>
  <c r="S203" i="15" s="1"/>
  <c r="R203" i="15" s="1"/>
  <c r="P203" i="15" s="1"/>
  <c r="V203" i="15" s="1"/>
  <c r="F203" i="15" s="1"/>
  <c r="H203" i="15" s="1"/>
  <c r="U119" i="15"/>
  <c r="T119" i="15" s="1"/>
  <c r="S119" i="15" s="1"/>
  <c r="R119" i="15" s="1"/>
  <c r="P119" i="15" s="1"/>
  <c r="D35" i="7" s="1"/>
  <c r="U238" i="15"/>
  <c r="T238" i="15" s="1"/>
  <c r="S238" i="15" s="1"/>
  <c r="R238" i="15" s="1"/>
  <c r="P238" i="15" s="1"/>
  <c r="V238" i="15" s="1"/>
  <c r="F238" i="15" s="1"/>
  <c r="G238" i="15" s="1"/>
  <c r="BX238" i="6" s="1"/>
  <c r="U100" i="15"/>
  <c r="T100" i="15" s="1"/>
  <c r="S100" i="15" s="1"/>
  <c r="R100" i="15" s="1"/>
  <c r="U256" i="15"/>
  <c r="T256" i="15" s="1"/>
  <c r="S256" i="15" s="1"/>
  <c r="R256" i="15" s="1"/>
  <c r="P256" i="15" s="1"/>
  <c r="V256" i="15" s="1"/>
  <c r="F256" i="15" s="1"/>
  <c r="H256" i="15" s="1"/>
  <c r="U294" i="15"/>
  <c r="T294" i="15" s="1"/>
  <c r="S294" i="15" s="1"/>
  <c r="R294" i="15" s="1"/>
  <c r="P294" i="15" s="1"/>
  <c r="V294" i="15" s="1"/>
  <c r="F294" i="15" s="1"/>
  <c r="H294" i="15" s="1"/>
  <c r="U346" i="15"/>
  <c r="T346" i="15" s="1"/>
  <c r="S346" i="15" s="1"/>
  <c r="R346" i="15" s="1"/>
  <c r="P346" i="15" s="1"/>
  <c r="V346" i="15" s="1"/>
  <c r="F346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164" i="15"/>
  <c r="T164" i="15" s="1"/>
  <c r="S164" i="15" s="1"/>
  <c r="R164" i="15" s="1"/>
  <c r="P164" i="15" s="1"/>
  <c r="V164" i="15" s="1"/>
  <c r="F164" i="15" s="1"/>
  <c r="H164" i="15" s="1"/>
  <c r="U213" i="15"/>
  <c r="T213" i="15" s="1"/>
  <c r="S213" i="15" s="1"/>
  <c r="R213" i="15" s="1"/>
  <c r="P213" i="15" s="1"/>
  <c r="V213" i="15" s="1"/>
  <c r="F213" i="15" s="1"/>
  <c r="G213" i="15" s="1"/>
  <c r="BX213" i="6" s="1"/>
  <c r="U272" i="15"/>
  <c r="T272" i="15" s="1"/>
  <c r="S272" i="15" s="1"/>
  <c r="R272" i="15" s="1"/>
  <c r="P272" i="15" s="1"/>
  <c r="V272" i="15" s="1"/>
  <c r="U233" i="15"/>
  <c r="T233" i="15" s="1"/>
  <c r="S233" i="15" s="1"/>
  <c r="R233" i="15" s="1"/>
  <c r="P233" i="15" s="1"/>
  <c r="V233" i="15" s="1"/>
  <c r="F233" i="15" s="1"/>
  <c r="H233" i="15" s="1"/>
  <c r="U112" i="15"/>
  <c r="T112" i="15" s="1"/>
  <c r="S112" i="15" s="1"/>
  <c r="R112" i="15" s="1"/>
  <c r="P112" i="15" s="1"/>
  <c r="V112" i="15" s="1"/>
  <c r="F112" i="15" s="1"/>
  <c r="G112" i="15" s="1"/>
  <c r="BX112" i="6" s="1"/>
  <c r="U32" i="15"/>
  <c r="T32" i="15" s="1"/>
  <c r="U17" i="15"/>
  <c r="T17" i="15" s="1"/>
  <c r="U67" i="15"/>
  <c r="T67" i="15" s="1"/>
  <c r="S67" i="15" s="1"/>
  <c r="R67" i="15" s="1"/>
  <c r="P67" i="15" s="1"/>
  <c r="V67" i="15" s="1"/>
  <c r="F67" i="15" s="1"/>
  <c r="U30" i="15"/>
  <c r="T30" i="15" s="1"/>
  <c r="U352" i="15"/>
  <c r="T352" i="15" s="1"/>
  <c r="U366" i="15"/>
  <c r="T366" i="15" s="1"/>
  <c r="S366" i="15" s="1"/>
  <c r="R366" i="15" s="1"/>
  <c r="P366" i="15" s="1"/>
  <c r="V366" i="15" s="1"/>
  <c r="F366" i="15" s="1"/>
  <c r="U33" i="15"/>
  <c r="T33" i="15" s="1"/>
  <c r="S33" i="15" s="1"/>
  <c r="R33" i="15" s="1"/>
  <c r="U222" i="15"/>
  <c r="T222" i="15" s="1"/>
  <c r="S222" i="15" s="1"/>
  <c r="R222" i="15" s="1"/>
  <c r="P222" i="15" s="1"/>
  <c r="V222" i="15" s="1"/>
  <c r="F222" i="15" s="1"/>
  <c r="G222" i="15" s="1"/>
  <c r="BX222" i="6" s="1"/>
  <c r="U339" i="15"/>
  <c r="T339" i="15" s="1"/>
  <c r="U85" i="15"/>
  <c r="T85" i="15" s="1"/>
  <c r="S85" i="15" s="1"/>
  <c r="R85" i="15" s="1"/>
  <c r="U89" i="15"/>
  <c r="T89" i="15" s="1"/>
  <c r="U80" i="15"/>
  <c r="T80" i="15" s="1"/>
  <c r="U156" i="15"/>
  <c r="T156" i="15" s="1"/>
  <c r="S156" i="15" s="1"/>
  <c r="R156" i="15" s="1"/>
  <c r="P156" i="15" s="1"/>
  <c r="V156" i="15" s="1"/>
  <c r="F156" i="15" s="1"/>
  <c r="U39" i="15"/>
  <c r="T39" i="15" s="1"/>
  <c r="S39" i="15" s="1"/>
  <c r="R39" i="15" s="1"/>
  <c r="P39" i="15" s="1"/>
  <c r="V39" i="15" s="1"/>
  <c r="F39" i="15" s="1"/>
  <c r="U365" i="15"/>
  <c r="T365" i="15" s="1"/>
  <c r="S365" i="15" s="1"/>
  <c r="R365" i="15" s="1"/>
  <c r="P365" i="15" s="1"/>
  <c r="V365" i="15" s="1"/>
  <c r="F365" i="15" s="1"/>
  <c r="G365" i="15" s="1"/>
  <c r="BX365" i="6" s="1"/>
  <c r="U97" i="15"/>
  <c r="T97" i="15" s="1"/>
  <c r="U315" i="15"/>
  <c r="T315" i="15" s="1"/>
  <c r="S315" i="15" s="1"/>
  <c r="R315" i="15" s="1"/>
  <c r="P315" i="15" s="1"/>
  <c r="V315" i="15" s="1"/>
  <c r="F315" i="15" s="1"/>
  <c r="G315" i="15" s="1"/>
  <c r="BX315" i="6" s="1"/>
  <c r="U376" i="15"/>
  <c r="T376" i="15" s="1"/>
  <c r="S376" i="15" s="1"/>
  <c r="R376" i="15" s="1"/>
  <c r="P376" i="15" s="1"/>
  <c r="V376" i="15" s="1"/>
  <c r="F376" i="15" s="1"/>
  <c r="U22" i="15"/>
  <c r="T22" i="15" s="1"/>
  <c r="U273" i="15"/>
  <c r="T273" i="15" s="1"/>
  <c r="S273" i="15" s="1"/>
  <c r="R273" i="15" s="1"/>
  <c r="P273" i="15" s="1"/>
  <c r="V273" i="15" s="1"/>
  <c r="F273" i="15" s="1"/>
  <c r="G273" i="15" s="1"/>
  <c r="BX273" i="6" s="1"/>
  <c r="U374" i="15"/>
  <c r="T374" i="15" s="1"/>
  <c r="U235" i="15"/>
  <c r="T235" i="15" s="1"/>
  <c r="S235" i="15" s="1"/>
  <c r="R235" i="15" s="1"/>
  <c r="P235" i="15" s="1"/>
  <c r="V235" i="15" s="1"/>
  <c r="U271" i="15"/>
  <c r="T271" i="15" s="1"/>
  <c r="S271" i="15" s="1"/>
  <c r="R271" i="15" s="1"/>
  <c r="P271" i="15" s="1"/>
  <c r="V271" i="15" s="1"/>
  <c r="F271" i="15" s="1"/>
  <c r="H271" i="15" s="1"/>
  <c r="U148" i="15"/>
  <c r="T148" i="15" s="1"/>
  <c r="S148" i="15" s="1"/>
  <c r="R148" i="15" s="1"/>
  <c r="P148" i="15" s="1"/>
  <c r="V148" i="15" s="1"/>
  <c r="U269" i="15"/>
  <c r="T269" i="15" s="1"/>
  <c r="S269" i="15" s="1"/>
  <c r="R269" i="15" s="1"/>
  <c r="P269" i="15" s="1"/>
  <c r="V269" i="15" s="1"/>
  <c r="F269" i="15" s="1"/>
  <c r="H269" i="15" s="1"/>
  <c r="U178" i="15"/>
  <c r="T178" i="15" s="1"/>
  <c r="S178" i="15" s="1"/>
  <c r="R178" i="15" s="1"/>
  <c r="P178" i="15" s="1"/>
  <c r="V178" i="15" s="1"/>
  <c r="F178" i="15" s="1"/>
  <c r="H178" i="15" s="1"/>
  <c r="I178" i="15" s="1"/>
  <c r="U200" i="15"/>
  <c r="T200" i="15" s="1"/>
  <c r="S200" i="15" s="1"/>
  <c r="R200" i="15" s="1"/>
  <c r="P200" i="15" s="1"/>
  <c r="V200" i="15" s="1"/>
  <c r="F200" i="15" s="1"/>
  <c r="G200" i="15" s="1"/>
  <c r="BX200" i="6" s="1"/>
  <c r="U74" i="15"/>
  <c r="T74" i="15" s="1"/>
  <c r="S74" i="15" s="1"/>
  <c r="R74" i="15" s="1"/>
  <c r="P74" i="15" s="1"/>
  <c r="V74" i="15" s="1"/>
  <c r="F74" i="15" s="1"/>
  <c r="G74" i="15" s="1"/>
  <c r="BX74" i="6" s="1"/>
  <c r="U292" i="15"/>
  <c r="T292" i="15" s="1"/>
  <c r="S292" i="15" s="1"/>
  <c r="R292" i="15" s="1"/>
  <c r="P292" i="15" s="1"/>
  <c r="V292" i="15" s="1"/>
  <c r="F292" i="15" s="1"/>
  <c r="G292" i="15" s="1"/>
  <c r="BX292" i="6" s="1"/>
  <c r="U106" i="15"/>
  <c r="T106" i="15" s="1"/>
  <c r="S106" i="15" s="1"/>
  <c r="R106" i="15" s="1"/>
  <c r="P106" i="15" s="1"/>
  <c r="V106" i="15" s="1"/>
  <c r="F106" i="15" s="1"/>
  <c r="G106" i="15" s="1"/>
  <c r="BX106" i="6" s="1"/>
  <c r="U107" i="15"/>
  <c r="T107" i="15" s="1"/>
  <c r="S107" i="15" s="1"/>
  <c r="R107" i="15" s="1"/>
  <c r="P107" i="15" s="1"/>
  <c r="V107" i="15" s="1"/>
  <c r="F107" i="15" s="1"/>
  <c r="G107" i="15" s="1"/>
  <c r="BX107" i="6" s="1"/>
  <c r="U81" i="15"/>
  <c r="T81" i="15" s="1"/>
  <c r="S81" i="15" s="1"/>
  <c r="R81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AA262" i="1"/>
  <c r="Z262" i="1" s="1"/>
  <c r="Y262" i="1" s="1"/>
  <c r="I262" i="1"/>
  <c r="G262" i="1"/>
  <c r="BW262" i="6" s="1"/>
  <c r="AG383" i="1"/>
  <c r="AG381" i="1"/>
  <c r="AF16" i="1"/>
  <c r="AG382" i="1"/>
  <c r="V379" i="1"/>
  <c r="F379" i="1" s="1"/>
  <c r="H74" i="15"/>
  <c r="G251" i="15"/>
  <c r="BX251" i="6" s="1"/>
  <c r="H106" i="15"/>
  <c r="V127" i="15"/>
  <c r="S305" i="15"/>
  <c r="R305" i="15" s="1"/>
  <c r="P305" i="15" s="1"/>
  <c r="S374" i="15"/>
  <c r="R374" i="15" s="1"/>
  <c r="P374" i="15" s="1"/>
  <c r="S317" i="15"/>
  <c r="R317" i="15" s="1"/>
  <c r="P317" i="15" s="1"/>
  <c r="S339" i="15"/>
  <c r="R339" i="15" s="1"/>
  <c r="P339" i="15" s="1"/>
  <c r="V339" i="15" s="1"/>
  <c r="F339" i="15" s="1"/>
  <c r="G268" i="15"/>
  <c r="BX268" i="6" s="1"/>
  <c r="S352" i="15"/>
  <c r="R352" i="15" s="1"/>
  <c r="P352" i="15" s="1"/>
  <c r="V352" i="15" s="1"/>
  <c r="F352" i="15" s="1"/>
  <c r="G352" i="15" s="1"/>
  <c r="BX352" i="6" s="1"/>
  <c r="V239" i="1"/>
  <c r="I61" i="19" s="1"/>
  <c r="I189" i="1"/>
  <c r="G189" i="1"/>
  <c r="BW189" i="6" s="1"/>
  <c r="AA189" i="1"/>
  <c r="Z189" i="1" s="1"/>
  <c r="Y189" i="1" s="1"/>
  <c r="AA236" i="1"/>
  <c r="Z236" i="1" s="1"/>
  <c r="Y236" i="1" s="1"/>
  <c r="G236" i="1"/>
  <c r="BW236" i="6" s="1"/>
  <c r="I236" i="1"/>
  <c r="I299" i="1"/>
  <c r="AA299" i="1"/>
  <c r="Z299" i="1" s="1"/>
  <c r="Y299" i="1" s="1"/>
  <c r="G299" i="1"/>
  <c r="BW299" i="6" s="1"/>
  <c r="G345" i="1"/>
  <c r="BW345" i="6" s="1"/>
  <c r="G306" i="1"/>
  <c r="BW306" i="6" s="1"/>
  <c r="AI89" i="15"/>
  <c r="AH89" i="15" s="1"/>
  <c r="K16" i="7"/>
  <c r="AI277" i="15"/>
  <c r="AH277" i="15" s="1"/>
  <c r="AG277" i="15" s="1"/>
  <c r="AF277" i="15" s="1"/>
  <c r="AD277" i="15" s="1"/>
  <c r="AI206" i="15"/>
  <c r="AH206" i="15" s="1"/>
  <c r="AG206" i="15" s="1"/>
  <c r="AF206" i="15" s="1"/>
  <c r="AD206" i="15" s="1"/>
  <c r="AI16" i="15"/>
  <c r="AH16" i="15" s="1"/>
  <c r="AI331" i="15"/>
  <c r="AH331" i="15" s="1"/>
  <c r="AI45" i="15"/>
  <c r="AH45" i="15" s="1"/>
  <c r="AI340" i="15"/>
  <c r="AH340" i="15" s="1"/>
  <c r="AI248" i="15"/>
  <c r="AH248" i="15" s="1"/>
  <c r="AG248" i="15" s="1"/>
  <c r="AF248" i="15" s="1"/>
  <c r="AD248" i="15" s="1"/>
  <c r="AI159" i="15"/>
  <c r="AH159" i="15" s="1"/>
  <c r="AI285" i="15"/>
  <c r="AH285" i="15" s="1"/>
  <c r="AG285" i="15" s="1"/>
  <c r="AF285" i="15" s="1"/>
  <c r="AD285" i="15" s="1"/>
  <c r="AI38" i="15"/>
  <c r="AH38" i="15" s="1"/>
  <c r="AI299" i="15"/>
  <c r="AH299" i="15" s="1"/>
  <c r="AG299" i="15" s="1"/>
  <c r="AF299" i="15" s="1"/>
  <c r="AD299" i="15" s="1"/>
  <c r="AI90" i="15"/>
  <c r="AH90" i="15" s="1"/>
  <c r="AI205" i="15"/>
  <c r="AH205" i="15" s="1"/>
  <c r="AG205" i="15" s="1"/>
  <c r="AF205" i="15" s="1"/>
  <c r="AD205" i="15" s="1"/>
  <c r="AI260" i="15"/>
  <c r="AH260" i="15" s="1"/>
  <c r="AG260" i="15" s="1"/>
  <c r="AF260" i="15" s="1"/>
  <c r="AD260" i="15" s="1"/>
  <c r="AI364" i="15"/>
  <c r="AH364" i="15" s="1"/>
  <c r="AI247" i="15"/>
  <c r="AH247" i="15" s="1"/>
  <c r="AG247" i="15" s="1"/>
  <c r="AF247" i="15" s="1"/>
  <c r="AD247" i="15" s="1"/>
  <c r="AI146" i="15"/>
  <c r="AH146" i="15" s="1"/>
  <c r="AI97" i="15"/>
  <c r="AH97" i="15" s="1"/>
  <c r="AI353" i="15"/>
  <c r="AH353" i="15" s="1"/>
  <c r="AI74" i="15"/>
  <c r="AH74" i="15" s="1"/>
  <c r="AG74" i="15" s="1"/>
  <c r="AF74" i="15" s="1"/>
  <c r="AD74" i="15" s="1"/>
  <c r="AI128" i="15"/>
  <c r="AH128" i="15" s="1"/>
  <c r="AG128" i="15" s="1"/>
  <c r="AF128" i="15" s="1"/>
  <c r="AD128" i="15" s="1"/>
  <c r="AI256" i="15"/>
  <c r="AH256" i="15" s="1"/>
  <c r="AG256" i="15" s="1"/>
  <c r="AF256" i="15" s="1"/>
  <c r="AD256" i="15" s="1"/>
  <c r="AI246" i="15"/>
  <c r="AH246" i="15" s="1"/>
  <c r="AG246" i="15" s="1"/>
  <c r="AF246" i="15" s="1"/>
  <c r="AD246" i="15" s="1"/>
  <c r="AI19" i="15"/>
  <c r="AH19" i="15" s="1"/>
  <c r="AI147" i="15"/>
  <c r="AH147" i="15" s="1"/>
  <c r="AI275" i="15"/>
  <c r="AH275" i="15" s="1"/>
  <c r="AI15" i="15"/>
  <c r="AI73" i="15"/>
  <c r="AH73" i="15" s="1"/>
  <c r="AI329" i="15"/>
  <c r="AH329" i="15" s="1"/>
  <c r="AI333" i="15"/>
  <c r="AH333" i="15" s="1"/>
  <c r="AI254" i="15"/>
  <c r="AH254" i="15" s="1"/>
  <c r="AG254" i="15" s="1"/>
  <c r="AF254" i="15" s="1"/>
  <c r="AD254" i="15" s="1"/>
  <c r="AI82" i="15"/>
  <c r="AH82" i="15" s="1"/>
  <c r="AI189" i="15"/>
  <c r="AH189" i="15" s="1"/>
  <c r="AG189" i="15" s="1"/>
  <c r="AF189" i="15" s="1"/>
  <c r="AD189" i="15" s="1"/>
  <c r="AI208" i="15"/>
  <c r="AH208" i="15" s="1"/>
  <c r="AG208" i="15" s="1"/>
  <c r="AF208" i="15" s="1"/>
  <c r="AD208" i="15" s="1"/>
  <c r="AI312" i="15"/>
  <c r="AH312" i="15" s="1"/>
  <c r="AI195" i="15"/>
  <c r="AH195" i="15" s="1"/>
  <c r="AG195" i="15" s="1"/>
  <c r="AF195" i="15" s="1"/>
  <c r="AD195" i="15" s="1"/>
  <c r="AI350" i="15"/>
  <c r="AH350" i="15" s="1"/>
  <c r="AI378" i="15"/>
  <c r="AH378" i="15" s="1"/>
  <c r="AG378" i="15" s="1"/>
  <c r="AF378" i="15" s="1"/>
  <c r="AD378" i="15" s="1"/>
  <c r="AI228" i="15"/>
  <c r="AH228" i="15" s="1"/>
  <c r="AG228" i="15" s="1"/>
  <c r="AF228" i="15" s="1"/>
  <c r="AD228" i="15" s="1"/>
  <c r="AI151" i="15"/>
  <c r="AH151" i="15" s="1"/>
  <c r="AI65" i="15"/>
  <c r="AH65" i="15" s="1"/>
  <c r="AG65" i="15" s="1"/>
  <c r="AF65" i="15" s="1"/>
  <c r="AD65" i="15" s="1"/>
  <c r="AI261" i="15"/>
  <c r="AH261" i="15" s="1"/>
  <c r="AG261" i="15" s="1"/>
  <c r="AF261" i="15" s="1"/>
  <c r="AD261" i="15" s="1"/>
  <c r="AI300" i="15"/>
  <c r="AH300" i="15" s="1"/>
  <c r="AI18" i="15"/>
  <c r="AH18" i="15" s="1"/>
  <c r="AI289" i="15"/>
  <c r="AH289" i="15" s="1"/>
  <c r="AI96" i="15"/>
  <c r="AH96" i="15" s="1"/>
  <c r="AI182" i="15"/>
  <c r="AH182" i="15" s="1"/>
  <c r="AG182" i="15" s="1"/>
  <c r="AF182" i="15" s="1"/>
  <c r="AD182" i="15" s="1"/>
  <c r="AI115" i="15"/>
  <c r="AH115" i="15" s="1"/>
  <c r="AG115" i="15" s="1"/>
  <c r="AF115" i="15" s="1"/>
  <c r="AD115" i="15" s="1"/>
  <c r="AI371" i="15"/>
  <c r="AH371" i="15" s="1"/>
  <c r="AG371" i="15" s="1"/>
  <c r="AF371" i="15" s="1"/>
  <c r="AD371" i="15" s="1"/>
  <c r="AI265" i="15"/>
  <c r="AH265" i="15" s="1"/>
  <c r="AG265" i="15" s="1"/>
  <c r="AF265" i="15" s="1"/>
  <c r="AD265" i="15" s="1"/>
  <c r="AI164" i="15"/>
  <c r="AH164" i="15" s="1"/>
  <c r="AI257" i="15"/>
  <c r="AH257" i="15" s="1"/>
  <c r="AG257" i="15" s="1"/>
  <c r="AF257" i="15" s="1"/>
  <c r="AD257" i="15" s="1"/>
  <c r="AI214" i="15"/>
  <c r="AH214" i="15" s="1"/>
  <c r="AG214" i="15" s="1"/>
  <c r="AF214" i="15" s="1"/>
  <c r="AD214" i="15" s="1"/>
  <c r="AI162" i="15"/>
  <c r="AH162" i="15" s="1"/>
  <c r="AG162" i="15" s="1"/>
  <c r="AF162" i="15" s="1"/>
  <c r="AD162" i="15" s="1"/>
  <c r="AI100" i="15"/>
  <c r="AH100" i="15" s="1"/>
  <c r="AI374" i="15"/>
  <c r="AH374" i="15" s="1"/>
  <c r="AI61" i="15"/>
  <c r="AH61" i="15" s="1"/>
  <c r="AI176" i="15"/>
  <c r="AH176" i="15" s="1"/>
  <c r="AG176" i="15" s="1"/>
  <c r="AF176" i="15" s="1"/>
  <c r="AD176" i="15" s="1"/>
  <c r="AI278" i="15"/>
  <c r="AH278" i="15" s="1"/>
  <c r="AI163" i="15"/>
  <c r="AH163" i="15" s="1"/>
  <c r="AG163" i="15" s="1"/>
  <c r="AF163" i="15" s="1"/>
  <c r="AD163" i="15" s="1"/>
  <c r="AI34" i="15"/>
  <c r="AH34" i="15" s="1"/>
  <c r="AI361" i="15"/>
  <c r="AH361" i="15" s="1"/>
  <c r="AI199" i="15"/>
  <c r="AH199" i="15" s="1"/>
  <c r="AG199" i="15" s="1"/>
  <c r="AF199" i="15" s="1"/>
  <c r="AD199" i="15" s="1"/>
  <c r="AI222" i="15"/>
  <c r="AH222" i="15" s="1"/>
  <c r="AG222" i="15" s="1"/>
  <c r="AF222" i="15" s="1"/>
  <c r="AD222" i="15" s="1"/>
  <c r="AI84" i="15"/>
  <c r="AH84" i="15" s="1"/>
  <c r="AI154" i="15"/>
  <c r="AH154" i="15" s="1"/>
  <c r="AI362" i="15"/>
  <c r="AH362" i="15" s="1"/>
  <c r="AG362" i="15" s="1"/>
  <c r="AF362" i="15" s="1"/>
  <c r="AD362" i="15" s="1"/>
  <c r="AI181" i="15"/>
  <c r="AH181" i="15" s="1"/>
  <c r="AG181" i="15" s="1"/>
  <c r="AF181" i="15" s="1"/>
  <c r="AD181" i="15" s="1"/>
  <c r="AI365" i="15"/>
  <c r="AH365" i="15" s="1"/>
  <c r="AI290" i="15"/>
  <c r="AH290" i="15" s="1"/>
  <c r="AG290" i="15" s="1"/>
  <c r="AF290" i="15" s="1"/>
  <c r="AD290" i="15" s="1"/>
  <c r="AI124" i="15"/>
  <c r="AH124" i="15" s="1"/>
  <c r="AG124" i="15" s="1"/>
  <c r="AF124" i="15" s="1"/>
  <c r="AD124" i="15" s="1"/>
  <c r="AI252" i="15"/>
  <c r="AH252" i="15" s="1"/>
  <c r="AG252" i="15" s="1"/>
  <c r="AF252" i="15" s="1"/>
  <c r="AD252" i="15" s="1"/>
  <c r="AI238" i="15"/>
  <c r="AH238" i="15" s="1"/>
  <c r="AG238" i="15" s="1"/>
  <c r="AF238" i="15" s="1"/>
  <c r="AD238" i="15" s="1"/>
  <c r="AI79" i="15"/>
  <c r="AH79" i="15" s="1"/>
  <c r="AI207" i="15"/>
  <c r="AH207" i="15" s="1"/>
  <c r="AG207" i="15" s="1"/>
  <c r="AF207" i="15" s="1"/>
  <c r="AD207" i="15" s="1"/>
  <c r="AI335" i="15"/>
  <c r="AH335" i="15" s="1"/>
  <c r="AI294" i="15"/>
  <c r="AH294" i="15" s="1"/>
  <c r="AG294" i="15" s="1"/>
  <c r="AF294" i="15" s="1"/>
  <c r="AD294" i="15" s="1"/>
  <c r="AI241" i="15"/>
  <c r="AH241" i="15" s="1"/>
  <c r="AG241" i="15" s="1"/>
  <c r="AF241" i="15" s="1"/>
  <c r="AD241" i="15" s="1"/>
  <c r="AI349" i="15"/>
  <c r="AH349" i="15" s="1"/>
  <c r="AI266" i="15"/>
  <c r="AH266" i="15" s="1"/>
  <c r="AG266" i="15" s="1"/>
  <c r="AF266" i="15" s="1"/>
  <c r="AD266" i="15" s="1"/>
  <c r="AI136" i="15"/>
  <c r="AH136" i="15" s="1"/>
  <c r="AI264" i="15"/>
  <c r="AH264" i="15" s="1"/>
  <c r="AG264" i="15" s="1"/>
  <c r="AF264" i="15" s="1"/>
  <c r="AD264" i="15" s="1"/>
  <c r="AI262" i="15"/>
  <c r="AH262" i="15" s="1"/>
  <c r="AG262" i="15" s="1"/>
  <c r="AF262" i="15" s="1"/>
  <c r="AD262" i="15" s="1"/>
  <c r="AI27" i="15"/>
  <c r="AH27" i="15" s="1"/>
  <c r="AI155" i="15"/>
  <c r="AH155" i="15" s="1"/>
  <c r="AI283" i="15"/>
  <c r="AH283" i="15" s="1"/>
  <c r="AG283" i="15" s="1"/>
  <c r="AF283" i="15" s="1"/>
  <c r="AD283" i="15" s="1"/>
  <c r="AI66" i="15"/>
  <c r="AH66" i="15" s="1"/>
  <c r="AG66" i="15" s="1"/>
  <c r="AF66" i="15" s="1"/>
  <c r="AD66" i="15" s="1"/>
  <c r="AI121" i="15"/>
  <c r="AH121" i="15" s="1"/>
  <c r="AG121" i="15" s="1"/>
  <c r="AF121" i="15" s="1"/>
  <c r="AD121" i="15" s="1"/>
  <c r="AI377" i="15"/>
  <c r="AH377" i="15" s="1"/>
  <c r="AG377" i="15" s="1"/>
  <c r="AF377" i="15" s="1"/>
  <c r="AD377" i="15" s="1"/>
  <c r="AI231" i="15"/>
  <c r="AH231" i="15" s="1"/>
  <c r="AI284" i="15"/>
  <c r="AH284" i="15" s="1"/>
  <c r="AG284" i="15" s="1"/>
  <c r="AF284" i="15" s="1"/>
  <c r="AD284" i="15" s="1"/>
  <c r="AI244" i="15"/>
  <c r="AH244" i="15" s="1"/>
  <c r="AI106" i="15"/>
  <c r="AH106" i="15" s="1"/>
  <c r="AI357" i="15"/>
  <c r="AH357" i="15" s="1"/>
  <c r="AI26" i="15"/>
  <c r="AH26" i="15" s="1"/>
  <c r="AI62" i="15"/>
  <c r="AH62" i="15" s="1"/>
  <c r="AI161" i="15"/>
  <c r="AH161" i="15" s="1"/>
  <c r="AI54" i="15"/>
  <c r="AH54" i="15" s="1"/>
  <c r="AI307" i="15"/>
  <c r="AH307" i="15" s="1"/>
  <c r="AI234" i="15"/>
  <c r="AH234" i="15" s="1"/>
  <c r="AG234" i="15" s="1"/>
  <c r="AF234" i="15" s="1"/>
  <c r="AD234" i="15" s="1"/>
  <c r="AI272" i="15"/>
  <c r="AH272" i="15" s="1"/>
  <c r="AG272" i="15" s="1"/>
  <c r="AF272" i="15" s="1"/>
  <c r="AD272" i="15" s="1"/>
  <c r="AI197" i="15"/>
  <c r="AH197" i="15" s="1"/>
  <c r="AI317" i="15"/>
  <c r="AH317" i="15" s="1"/>
  <c r="AI150" i="15"/>
  <c r="AH150" i="15" s="1"/>
  <c r="AI355" i="15"/>
  <c r="AH355" i="15" s="1"/>
  <c r="AI135" i="15"/>
  <c r="AH135" i="15" s="1"/>
  <c r="AI276" i="15"/>
  <c r="AH276" i="15" s="1"/>
  <c r="AI322" i="15"/>
  <c r="AH322" i="15" s="1"/>
  <c r="AI346" i="15"/>
  <c r="AH346" i="15" s="1"/>
  <c r="AI117" i="15"/>
  <c r="AH117" i="15" s="1"/>
  <c r="AG117" i="15" s="1"/>
  <c r="AF117" i="15" s="1"/>
  <c r="AD117" i="15" s="1"/>
  <c r="AI42" i="15"/>
  <c r="AH42" i="15" s="1"/>
  <c r="AI156" i="15"/>
  <c r="AH156" i="15" s="1"/>
  <c r="AI356" i="15"/>
  <c r="AH356" i="15" s="1"/>
  <c r="AI239" i="15"/>
  <c r="AH239" i="15" s="1"/>
  <c r="AG239" i="15" s="1"/>
  <c r="AF239" i="15" s="1"/>
  <c r="AD239" i="15" s="1"/>
  <c r="AI358" i="15"/>
  <c r="AH358" i="15" s="1"/>
  <c r="AG358" i="15" s="1"/>
  <c r="AF358" i="15" s="1"/>
  <c r="AD358" i="15" s="1"/>
  <c r="AI104" i="15"/>
  <c r="AH104" i="15" s="1"/>
  <c r="AI70" i="15"/>
  <c r="AH70" i="15" s="1"/>
  <c r="AG70" i="15" s="1"/>
  <c r="AF70" i="15" s="1"/>
  <c r="AD70" i="15" s="1"/>
  <c r="AI123" i="15"/>
  <c r="AH123" i="15" s="1"/>
  <c r="AG123" i="15" s="1"/>
  <c r="AF123" i="15" s="1"/>
  <c r="AD123" i="15" s="1"/>
  <c r="AI366" i="15"/>
  <c r="AH366" i="15" s="1"/>
  <c r="AI167" i="15"/>
  <c r="AH167" i="15" s="1"/>
  <c r="AI180" i="15"/>
  <c r="AH180" i="15" s="1"/>
  <c r="AI68" i="15"/>
  <c r="AH68" i="15" s="1"/>
  <c r="AI274" i="15"/>
  <c r="AH274" i="15" s="1"/>
  <c r="AI160" i="15"/>
  <c r="AH160" i="15" s="1"/>
  <c r="AI179" i="15"/>
  <c r="AH179" i="15" s="1"/>
  <c r="AG179" i="15" s="1"/>
  <c r="AF179" i="15" s="1"/>
  <c r="AD179" i="15" s="1"/>
  <c r="AI218" i="15"/>
  <c r="AH218" i="15" s="1"/>
  <c r="AI370" i="15"/>
  <c r="AH370" i="15" s="1"/>
  <c r="AI41" i="15"/>
  <c r="AH41" i="15" s="1"/>
  <c r="AI193" i="15"/>
  <c r="AH193" i="15" s="1"/>
  <c r="AG193" i="15" s="1"/>
  <c r="AF193" i="15" s="1"/>
  <c r="AD193" i="15" s="1"/>
  <c r="AI240" i="15"/>
  <c r="AH240" i="15" s="1"/>
  <c r="AI227" i="15"/>
  <c r="AH227" i="15" s="1"/>
  <c r="AG227" i="15" s="1"/>
  <c r="AF227" i="15" s="1"/>
  <c r="AD227" i="15" s="1"/>
  <c r="AI263" i="15"/>
  <c r="AH263" i="15" s="1"/>
  <c r="AG263" i="15" s="1"/>
  <c r="AF263" i="15" s="1"/>
  <c r="AD263" i="15" s="1"/>
  <c r="AI148" i="15"/>
  <c r="AH148" i="15" s="1"/>
  <c r="AI293" i="15"/>
  <c r="AH293" i="15" s="1"/>
  <c r="AI245" i="15"/>
  <c r="AH245" i="15" s="1"/>
  <c r="AG245" i="15" s="1"/>
  <c r="AF245" i="15" s="1"/>
  <c r="AD245" i="15" s="1"/>
  <c r="AI92" i="15"/>
  <c r="AH92" i="15" s="1"/>
  <c r="AI46" i="15"/>
  <c r="AH46" i="15" s="1"/>
  <c r="AI47" i="15"/>
  <c r="AH47" i="15" s="1"/>
  <c r="AI303" i="15"/>
  <c r="AH303" i="15" s="1"/>
  <c r="AG303" i="15" s="1"/>
  <c r="AF303" i="15" s="1"/>
  <c r="AD303" i="15" s="1"/>
  <c r="AI49" i="15"/>
  <c r="AH49" i="15" s="1"/>
  <c r="AI221" i="15"/>
  <c r="AH221" i="15" s="1"/>
  <c r="AG221" i="15" s="1"/>
  <c r="AF221" i="15" s="1"/>
  <c r="AD221" i="15" s="1"/>
  <c r="AI40" i="15"/>
  <c r="AH40" i="15" s="1"/>
  <c r="AI198" i="15"/>
  <c r="AH198" i="15" s="1"/>
  <c r="AG198" i="15" s="1"/>
  <c r="AF198" i="15" s="1"/>
  <c r="AD198" i="15" s="1"/>
  <c r="AI59" i="15"/>
  <c r="AH59" i="15" s="1"/>
  <c r="AI315" i="15"/>
  <c r="AH315" i="15" s="1"/>
  <c r="AG315" i="15" s="1"/>
  <c r="AF315" i="15" s="1"/>
  <c r="AD315" i="15" s="1"/>
  <c r="AI57" i="15"/>
  <c r="AH57" i="15" s="1"/>
  <c r="AI295" i="15"/>
  <c r="AH295" i="15" s="1"/>
  <c r="AI348" i="15"/>
  <c r="AH348" i="15" s="1"/>
  <c r="AI282" i="15"/>
  <c r="AH282" i="15" s="1"/>
  <c r="AI122" i="15"/>
  <c r="AH122" i="15" s="1"/>
  <c r="AG122" i="15" s="1"/>
  <c r="AF122" i="15" s="1"/>
  <c r="AD122" i="15" s="1"/>
  <c r="AI172" i="15"/>
  <c r="AH172" i="15" s="1"/>
  <c r="AG172" i="15" s="1"/>
  <c r="AF172" i="15" s="1"/>
  <c r="AD172" i="15" s="1"/>
  <c r="AI242" i="15"/>
  <c r="AH242" i="15" s="1"/>
  <c r="AG242" i="15" s="1"/>
  <c r="AF242" i="15" s="1"/>
  <c r="AD242" i="15" s="1"/>
  <c r="AI320" i="15"/>
  <c r="AH320" i="15" s="1"/>
  <c r="AI213" i="15"/>
  <c r="AH213" i="15" s="1"/>
  <c r="AG213" i="15" s="1"/>
  <c r="AF213" i="15" s="1"/>
  <c r="AD213" i="15" s="1"/>
  <c r="AI268" i="15"/>
  <c r="AH268" i="15" s="1"/>
  <c r="AG268" i="15" s="1"/>
  <c r="AF268" i="15" s="1"/>
  <c r="AD268" i="15" s="1"/>
  <c r="AI209" i="15"/>
  <c r="AH209" i="15" s="1"/>
  <c r="AG209" i="15" s="1"/>
  <c r="AF209" i="15" s="1"/>
  <c r="AD209" i="15" s="1"/>
  <c r="AI153" i="15"/>
  <c r="AH153" i="15" s="1"/>
  <c r="AI326" i="15"/>
  <c r="AH326" i="15" s="1"/>
  <c r="AI152" i="15"/>
  <c r="AH152" i="15" s="1"/>
  <c r="AI107" i="15"/>
  <c r="AH107" i="15" s="1"/>
  <c r="AG107" i="15" s="1"/>
  <c r="AF107" i="15" s="1"/>
  <c r="AD107" i="15" s="1"/>
  <c r="AI217" i="15"/>
  <c r="AH217" i="15" s="1"/>
  <c r="AG217" i="15" s="1"/>
  <c r="AF217" i="15" s="1"/>
  <c r="AD217" i="15" s="1"/>
  <c r="AI173" i="15"/>
  <c r="AH173" i="15" s="1"/>
  <c r="AG173" i="15" s="1"/>
  <c r="AF173" i="15" s="1"/>
  <c r="AD173" i="15" s="1"/>
  <c r="AI308" i="15"/>
  <c r="AH308" i="15" s="1"/>
  <c r="AG308" i="15" s="1"/>
  <c r="AF308" i="15" s="1"/>
  <c r="AD308" i="15" s="1"/>
  <c r="AI338" i="15"/>
  <c r="AH338" i="15" s="1"/>
  <c r="AI25" i="15"/>
  <c r="AH25" i="15" s="1"/>
  <c r="AI170" i="15"/>
  <c r="AH170" i="15" s="1"/>
  <c r="AG170" i="15" s="1"/>
  <c r="AF170" i="15" s="1"/>
  <c r="AD170" i="15" s="1"/>
  <c r="AI379" i="15"/>
  <c r="AI230" i="15"/>
  <c r="AH230" i="15" s="1"/>
  <c r="AG230" i="15" s="1"/>
  <c r="AF230" i="15" s="1"/>
  <c r="AD230" i="15" s="1"/>
  <c r="AI223" i="15"/>
  <c r="AH223" i="15" s="1"/>
  <c r="AG223" i="15" s="1"/>
  <c r="AF223" i="15" s="1"/>
  <c r="AD223" i="15" s="1"/>
  <c r="AI29" i="15"/>
  <c r="AH29" i="15" s="1"/>
  <c r="AI166" i="15"/>
  <c r="AH166" i="15" s="1"/>
  <c r="AG166" i="15" s="1"/>
  <c r="AF166" i="15" s="1"/>
  <c r="AD166" i="15" s="1"/>
  <c r="AI363" i="15"/>
  <c r="AH363" i="15" s="1"/>
  <c r="AI288" i="15"/>
  <c r="AH288" i="15" s="1"/>
  <c r="AI287" i="15"/>
  <c r="AH287" i="15" s="1"/>
  <c r="AI63" i="15"/>
  <c r="AH63" i="15" s="1"/>
  <c r="AI281" i="15"/>
  <c r="AH281" i="15" s="1"/>
  <c r="AI372" i="15"/>
  <c r="AH372" i="15" s="1"/>
  <c r="AI345" i="15"/>
  <c r="AH345" i="15" s="1"/>
  <c r="AI216" i="15"/>
  <c r="AH216" i="15" s="1"/>
  <c r="AI31" i="15"/>
  <c r="AH31" i="15" s="1"/>
  <c r="AI142" i="15"/>
  <c r="AH142" i="15" s="1"/>
  <c r="AI75" i="15"/>
  <c r="AH75" i="15" s="1"/>
  <c r="AI236" i="15"/>
  <c r="AH236" i="15" s="1"/>
  <c r="AI235" i="15"/>
  <c r="AH235" i="15" s="1"/>
  <c r="AG235" i="15" s="1"/>
  <c r="AF235" i="15" s="1"/>
  <c r="AD235" i="15" s="1"/>
  <c r="AI280" i="15"/>
  <c r="AH280" i="15" s="1"/>
  <c r="AG280" i="15" s="1"/>
  <c r="AF280" i="15" s="1"/>
  <c r="AD280" i="15" s="1"/>
  <c r="AI273" i="15"/>
  <c r="AH273" i="15" s="1"/>
  <c r="AG273" i="15" s="1"/>
  <c r="AF273" i="15" s="1"/>
  <c r="AD273" i="15" s="1"/>
  <c r="AI95" i="15"/>
  <c r="AH95" i="15" s="1"/>
  <c r="AI120" i="15"/>
  <c r="AH120" i="15" s="1"/>
  <c r="AG120" i="15" s="1"/>
  <c r="AF120" i="15" s="1"/>
  <c r="AD120" i="15" s="1"/>
  <c r="AI270" i="15"/>
  <c r="AH270" i="15" s="1"/>
  <c r="AG270" i="15" s="1"/>
  <c r="AF270" i="15" s="1"/>
  <c r="AD270" i="15" s="1"/>
  <c r="AI301" i="15"/>
  <c r="AH301" i="15" s="1"/>
  <c r="AG301" i="15" s="1"/>
  <c r="AF301" i="15" s="1"/>
  <c r="AD301" i="15" s="1"/>
  <c r="AI203" i="15"/>
  <c r="AH203" i="15" s="1"/>
  <c r="AG203" i="15" s="1"/>
  <c r="AF203" i="15" s="1"/>
  <c r="AD203" i="15" s="1"/>
  <c r="AI337" i="15"/>
  <c r="AH337" i="15" s="1"/>
  <c r="AI78" i="15"/>
  <c r="AH78" i="15" s="1"/>
  <c r="AI149" i="15"/>
  <c r="AH149" i="15" s="1"/>
  <c r="AI52" i="15"/>
  <c r="AH52" i="15" s="1"/>
  <c r="AI313" i="15"/>
  <c r="AH313" i="15" s="1"/>
  <c r="AG313" i="15" s="1"/>
  <c r="AF313" i="15" s="1"/>
  <c r="AD313" i="15" s="1"/>
  <c r="AI187" i="15"/>
  <c r="AH187" i="15" s="1"/>
  <c r="AG187" i="15" s="1"/>
  <c r="AF187" i="15" s="1"/>
  <c r="AD187" i="15" s="1"/>
  <c r="AI168" i="15"/>
  <c r="AH168" i="15" s="1"/>
  <c r="AG168" i="15" s="1"/>
  <c r="AF168" i="15" s="1"/>
  <c r="AD168" i="15" s="1"/>
  <c r="AI305" i="15"/>
  <c r="AH305" i="15" s="1"/>
  <c r="AG305" i="15" s="1"/>
  <c r="AF305" i="15" s="1"/>
  <c r="AD305" i="15" s="1"/>
  <c r="AI175" i="15"/>
  <c r="AH175" i="15" s="1"/>
  <c r="AG175" i="15" s="1"/>
  <c r="AF175" i="15" s="1"/>
  <c r="AD175" i="15" s="1"/>
  <c r="AI220" i="15"/>
  <c r="AH220" i="15" s="1"/>
  <c r="AG220" i="15" s="1"/>
  <c r="AF220" i="15" s="1"/>
  <c r="AD220" i="15" s="1"/>
  <c r="AI58" i="15"/>
  <c r="AH58" i="15" s="1"/>
  <c r="AI94" i="15"/>
  <c r="AH94" i="15" s="1"/>
  <c r="AI344" i="15"/>
  <c r="AH344" i="15" s="1"/>
  <c r="AI126" i="15"/>
  <c r="AH126" i="15" s="1"/>
  <c r="AG126" i="15" s="1"/>
  <c r="AF126" i="15" s="1"/>
  <c r="AD126" i="15" s="1"/>
  <c r="AI87" i="15"/>
  <c r="AH87" i="15" s="1"/>
  <c r="AI296" i="15"/>
  <c r="AH296" i="15" s="1"/>
  <c r="AI55" i="15"/>
  <c r="AH55" i="15" s="1"/>
  <c r="AI158" i="15"/>
  <c r="AH158" i="15" s="1"/>
  <c r="AI251" i="15"/>
  <c r="AH251" i="15" s="1"/>
  <c r="AG251" i="15" s="1"/>
  <c r="AF251" i="15" s="1"/>
  <c r="AD251" i="15" s="1"/>
  <c r="AI232" i="15"/>
  <c r="AH232" i="15" s="1"/>
  <c r="AG232" i="15" s="1"/>
  <c r="AF232" i="15" s="1"/>
  <c r="AD232" i="15" s="1"/>
  <c r="AI367" i="15"/>
  <c r="AH367" i="15" s="1"/>
  <c r="AI174" i="15"/>
  <c r="AH174" i="15" s="1"/>
  <c r="AG174" i="15" s="1"/>
  <c r="AF174" i="15" s="1"/>
  <c r="AD174" i="15" s="1"/>
  <c r="AI373" i="15"/>
  <c r="AH373" i="15" s="1"/>
  <c r="AG373" i="15" s="1"/>
  <c r="AF373" i="15" s="1"/>
  <c r="AD373" i="15" s="1"/>
  <c r="AI37" i="15"/>
  <c r="AH37" i="15" s="1"/>
  <c r="AI316" i="15"/>
  <c r="AH316" i="15" s="1"/>
  <c r="AI99" i="15"/>
  <c r="AH99" i="15" s="1"/>
  <c r="AI279" i="15"/>
  <c r="AH279" i="15" s="1"/>
  <c r="AG279" i="15" s="1"/>
  <c r="AF279" i="15" s="1"/>
  <c r="AD279" i="15" s="1"/>
  <c r="AI310" i="15"/>
  <c r="AH310" i="15" s="1"/>
  <c r="AG310" i="15" s="1"/>
  <c r="AF310" i="15" s="1"/>
  <c r="AD310" i="15" s="1"/>
  <c r="AI51" i="15"/>
  <c r="AH51" i="15" s="1"/>
  <c r="AI311" i="15"/>
  <c r="AH311" i="15" s="1"/>
  <c r="AI101" i="15"/>
  <c r="AH101" i="15" s="1"/>
  <c r="AI116" i="15"/>
  <c r="AH116" i="15" s="1"/>
  <c r="AG116" i="15" s="1"/>
  <c r="AF116" i="15" s="1"/>
  <c r="AD116" i="15" s="1"/>
  <c r="AI103" i="15"/>
  <c r="AH103" i="15" s="1"/>
  <c r="AI249" i="15"/>
  <c r="AH249" i="15" s="1"/>
  <c r="AG249" i="15" s="1"/>
  <c r="AF249" i="15" s="1"/>
  <c r="AD249" i="15" s="1"/>
  <c r="AI347" i="15"/>
  <c r="AH347" i="15" s="1"/>
  <c r="AI91" i="15"/>
  <c r="AH91" i="15" s="1"/>
  <c r="AI134" i="15"/>
  <c r="AH134" i="15" s="1"/>
  <c r="AI72" i="15"/>
  <c r="AH72" i="15" s="1"/>
  <c r="AG72" i="15" s="1"/>
  <c r="AF72" i="15" s="1"/>
  <c r="AD72" i="15" s="1"/>
  <c r="AI369" i="15"/>
  <c r="AH369" i="15" s="1"/>
  <c r="AG369" i="15" s="1"/>
  <c r="AF369" i="15" s="1"/>
  <c r="AD369" i="15" s="1"/>
  <c r="AI50" i="15"/>
  <c r="AH50" i="15" s="1"/>
  <c r="AI143" i="15"/>
  <c r="AH143" i="15" s="1"/>
  <c r="AI110" i="15"/>
  <c r="AH110" i="15" s="1"/>
  <c r="AG110" i="15" s="1"/>
  <c r="AF110" i="15" s="1"/>
  <c r="AD110" i="15" s="1"/>
  <c r="AI60" i="15"/>
  <c r="AH60" i="15" s="1"/>
  <c r="AI309" i="15"/>
  <c r="AH309" i="15" s="1"/>
  <c r="AG309" i="15" s="1"/>
  <c r="AF309" i="15" s="1"/>
  <c r="AD309" i="15" s="1"/>
  <c r="AI186" i="15"/>
  <c r="AH186" i="15" s="1"/>
  <c r="AG186" i="15" s="1"/>
  <c r="AF186" i="15" s="1"/>
  <c r="AD186" i="15" s="1"/>
  <c r="AI212" i="15"/>
  <c r="AH212" i="15" s="1"/>
  <c r="AG212" i="15" s="1"/>
  <c r="AF212" i="15" s="1"/>
  <c r="AD212" i="15" s="1"/>
  <c r="AI327" i="15"/>
  <c r="AH327" i="15" s="1"/>
  <c r="AI291" i="15"/>
  <c r="AH291" i="15" s="1"/>
  <c r="AI22" i="15"/>
  <c r="AH22" i="15" s="1"/>
  <c r="AI321" i="15"/>
  <c r="AH321" i="15" s="1"/>
  <c r="AI297" i="15"/>
  <c r="AH297" i="15" s="1"/>
  <c r="AI144" i="15"/>
  <c r="AH144" i="15" s="1"/>
  <c r="AI325" i="15"/>
  <c r="AH325" i="15" s="1"/>
  <c r="AI243" i="15"/>
  <c r="AH243" i="15" s="1"/>
  <c r="AG243" i="15" s="1"/>
  <c r="AF243" i="15" s="1"/>
  <c r="AD243" i="15" s="1"/>
  <c r="AI224" i="15"/>
  <c r="AH224" i="15" s="1"/>
  <c r="AG224" i="15" s="1"/>
  <c r="AF224" i="15" s="1"/>
  <c r="AD224" i="15" s="1"/>
  <c r="AI33" i="15"/>
  <c r="AH33" i="15" s="1"/>
  <c r="AI196" i="15"/>
  <c r="AH196" i="15" s="1"/>
  <c r="AG196" i="15" s="1"/>
  <c r="AF196" i="15" s="1"/>
  <c r="AD196" i="15" s="1"/>
  <c r="AI332" i="15"/>
  <c r="AH332" i="15" s="1"/>
  <c r="AI169" i="15"/>
  <c r="AH169" i="15" s="1"/>
  <c r="AG169" i="15" s="1"/>
  <c r="AF169" i="15" s="1"/>
  <c r="AD169" i="15" s="1"/>
  <c r="AI67" i="15"/>
  <c r="AH67" i="15" s="1"/>
  <c r="AG67" i="15" s="1"/>
  <c r="AF67" i="15" s="1"/>
  <c r="AD67" i="15" s="1"/>
  <c r="AI80" i="15"/>
  <c r="AH80" i="15" s="1"/>
  <c r="AI215" i="15"/>
  <c r="AH215" i="15" s="1"/>
  <c r="AG215" i="15" s="1"/>
  <c r="AF215" i="15" s="1"/>
  <c r="AD215" i="15" s="1"/>
  <c r="AI69" i="15"/>
  <c r="AH69" i="15" s="1"/>
  <c r="AI226" i="15"/>
  <c r="AH226" i="15" s="1"/>
  <c r="AG226" i="15" s="1"/>
  <c r="AF226" i="15" s="1"/>
  <c r="AD226" i="15" s="1"/>
  <c r="AI211" i="15"/>
  <c r="AH211" i="15" s="1"/>
  <c r="AG211" i="15" s="1"/>
  <c r="AF211" i="15" s="1"/>
  <c r="AD211" i="15" s="1"/>
  <c r="AI328" i="15"/>
  <c r="AH328" i="15" s="1"/>
  <c r="AI192" i="15"/>
  <c r="AH192" i="15" s="1"/>
  <c r="AG192" i="15" s="1"/>
  <c r="AF192" i="15" s="1"/>
  <c r="AD192" i="15" s="1"/>
  <c r="AI125" i="15"/>
  <c r="AH125" i="15" s="1"/>
  <c r="AG125" i="15" s="1"/>
  <c r="AF125" i="15" s="1"/>
  <c r="AD125" i="15" s="1"/>
  <c r="AI342" i="15"/>
  <c r="AH342" i="15" s="1"/>
  <c r="AI119" i="15"/>
  <c r="AH119" i="15" s="1"/>
  <c r="AG119" i="15" s="1"/>
  <c r="AF119" i="15" s="1"/>
  <c r="AD119" i="15" s="1"/>
  <c r="AI132" i="15"/>
  <c r="AH132" i="15" s="1"/>
  <c r="AG132" i="15" s="1"/>
  <c r="AF132" i="15" s="1"/>
  <c r="AD132" i="15" s="1"/>
  <c r="AI43" i="15"/>
  <c r="AH43" i="15" s="1"/>
  <c r="AI114" i="15"/>
  <c r="AH114" i="15" s="1"/>
  <c r="AI319" i="15"/>
  <c r="AH319" i="15" s="1"/>
  <c r="AI85" i="15"/>
  <c r="AH85" i="15" s="1"/>
  <c r="AI255" i="15"/>
  <c r="AH255" i="15" s="1"/>
  <c r="AI330" i="15"/>
  <c r="AH330" i="15" s="1"/>
  <c r="AI130" i="15"/>
  <c r="AH130" i="15" s="1"/>
  <c r="AI138" i="15"/>
  <c r="AH138" i="15" s="1"/>
  <c r="AI139" i="15"/>
  <c r="AH139" i="15" s="1"/>
  <c r="AI76" i="15"/>
  <c r="AH76" i="15" s="1"/>
  <c r="AI56" i="15"/>
  <c r="AH56" i="15" s="1"/>
  <c r="AI354" i="15"/>
  <c r="AH354" i="15" s="1"/>
  <c r="AI171" i="15"/>
  <c r="AH171" i="15" s="1"/>
  <c r="AI145" i="15"/>
  <c r="AH145" i="15" s="1"/>
  <c r="AI157" i="15"/>
  <c r="AH157" i="15" s="1"/>
  <c r="AI341" i="15"/>
  <c r="AH341" i="15" s="1"/>
  <c r="AI81" i="15"/>
  <c r="AH81" i="15" s="1"/>
  <c r="AI21" i="15"/>
  <c r="AH21" i="15" s="1"/>
  <c r="AI334" i="15"/>
  <c r="AH334" i="15" s="1"/>
  <c r="AI352" i="15"/>
  <c r="AH352" i="15" s="1"/>
  <c r="AI24" i="15"/>
  <c r="AH24" i="15" s="1"/>
  <c r="AI351" i="15"/>
  <c r="AH351" i="15" s="1"/>
  <c r="AI267" i="15"/>
  <c r="AH267" i="15" s="1"/>
  <c r="AG267" i="15" s="1"/>
  <c r="AF267" i="15" s="1"/>
  <c r="AD267" i="15" s="1"/>
  <c r="AI191" i="15"/>
  <c r="AH191" i="15" s="1"/>
  <c r="AG191" i="15" s="1"/>
  <c r="AF191" i="15" s="1"/>
  <c r="AD191" i="15" s="1"/>
  <c r="AI140" i="15"/>
  <c r="AH140" i="15" s="1"/>
  <c r="AI250" i="15"/>
  <c r="AH250" i="15" s="1"/>
  <c r="AG250" i="15" s="1"/>
  <c r="AF250" i="15" s="1"/>
  <c r="AD250" i="15" s="1"/>
  <c r="AI184" i="15"/>
  <c r="AH184" i="15" s="1"/>
  <c r="AG184" i="15" s="1"/>
  <c r="AF184" i="15" s="1"/>
  <c r="AD184" i="15" s="1"/>
  <c r="AI127" i="15"/>
  <c r="AH127" i="15" s="1"/>
  <c r="AG127" i="15" s="1"/>
  <c r="AF127" i="15" s="1"/>
  <c r="AD127" i="15" s="1"/>
  <c r="AI44" i="15"/>
  <c r="AH44" i="15" s="1"/>
  <c r="AI39" i="15"/>
  <c r="AH39" i="15" s="1"/>
  <c r="AI194" i="15"/>
  <c r="AH194" i="15" s="1"/>
  <c r="AG194" i="15" s="1"/>
  <c r="AF194" i="15" s="1"/>
  <c r="AD194" i="15" s="1"/>
  <c r="AI368" i="15"/>
  <c r="AH368" i="15" s="1"/>
  <c r="AI17" i="15"/>
  <c r="AH17" i="15" s="1"/>
  <c r="AI178" i="15"/>
  <c r="AH178" i="15" s="1"/>
  <c r="AG178" i="15" s="1"/>
  <c r="AF178" i="15" s="1"/>
  <c r="AD178" i="15" s="1"/>
  <c r="AI292" i="15"/>
  <c r="AH292" i="15" s="1"/>
  <c r="AG292" i="15" s="1"/>
  <c r="AF292" i="15" s="1"/>
  <c r="AD292" i="15" s="1"/>
  <c r="AI237" i="15"/>
  <c r="AH237" i="15" s="1"/>
  <c r="AG237" i="15" s="1"/>
  <c r="AF237" i="15" s="1"/>
  <c r="AD237" i="15" s="1"/>
  <c r="AI141" i="15"/>
  <c r="AH141" i="15" s="1"/>
  <c r="AI286" i="15"/>
  <c r="AH286" i="15" s="1"/>
  <c r="AG286" i="15" s="1"/>
  <c r="AF286" i="15" s="1"/>
  <c r="AD286" i="15" s="1"/>
  <c r="AI202" i="15"/>
  <c r="AH202" i="15" s="1"/>
  <c r="AG202" i="15" s="1"/>
  <c r="AF202" i="15" s="1"/>
  <c r="AD202" i="15" s="1"/>
  <c r="AI376" i="15"/>
  <c r="AH376" i="15" s="1"/>
  <c r="AI98" i="15"/>
  <c r="AH98" i="15" s="1"/>
  <c r="AI253" i="15"/>
  <c r="AH253" i="15" s="1"/>
  <c r="AG253" i="15" s="1"/>
  <c r="AF253" i="15" s="1"/>
  <c r="AD253" i="15" s="1"/>
  <c r="AI229" i="15"/>
  <c r="AH229" i="15" s="1"/>
  <c r="AG229" i="15" s="1"/>
  <c r="AF229" i="15" s="1"/>
  <c r="AD229" i="15" s="1"/>
  <c r="AI185" i="15"/>
  <c r="AH185" i="15" s="1"/>
  <c r="AG185" i="15" s="1"/>
  <c r="AF185" i="15" s="1"/>
  <c r="AD185" i="15" s="1"/>
  <c r="AI304" i="15"/>
  <c r="AH304" i="15" s="1"/>
  <c r="AG304" i="15" s="1"/>
  <c r="AF304" i="15" s="1"/>
  <c r="AD304" i="15" s="1"/>
  <c r="AI177" i="15"/>
  <c r="AH177" i="15" s="1"/>
  <c r="AG177" i="15" s="1"/>
  <c r="AF177" i="15" s="1"/>
  <c r="AD177" i="15" s="1"/>
  <c r="AI111" i="15"/>
  <c r="AH111" i="15" s="1"/>
  <c r="AG111" i="15" s="1"/>
  <c r="AF111" i="15" s="1"/>
  <c r="AD111" i="15" s="1"/>
  <c r="AI28" i="15"/>
  <c r="AH28" i="15" s="1"/>
  <c r="AI298" i="15"/>
  <c r="AH298" i="15" s="1"/>
  <c r="AI20" i="15"/>
  <c r="AH20" i="15" s="1"/>
  <c r="AI233" i="15"/>
  <c r="AH233" i="15" s="1"/>
  <c r="AG233" i="15" s="1"/>
  <c r="AF233" i="15" s="1"/>
  <c r="AD233" i="15" s="1"/>
  <c r="AI112" i="15"/>
  <c r="AH112" i="15" s="1"/>
  <c r="AG112" i="15" s="1"/>
  <c r="AF112" i="15" s="1"/>
  <c r="AD112" i="15" s="1"/>
  <c r="AI259" i="15"/>
  <c r="AH259" i="15" s="1"/>
  <c r="AG259" i="15" s="1"/>
  <c r="AF259" i="15" s="1"/>
  <c r="AD259" i="15" s="1"/>
  <c r="AI137" i="15"/>
  <c r="AH137" i="15" s="1"/>
  <c r="AI32" i="15"/>
  <c r="AH32" i="15" s="1"/>
  <c r="AI314" i="15"/>
  <c r="AH314" i="15" s="1"/>
  <c r="AI269" i="15"/>
  <c r="AH269" i="15" s="1"/>
  <c r="AG269" i="15" s="1"/>
  <c r="AF269" i="15" s="1"/>
  <c r="AD269" i="15" s="1"/>
  <c r="AI30" i="15"/>
  <c r="AH30" i="15" s="1"/>
  <c r="AI359" i="15"/>
  <c r="AH359" i="15" s="1"/>
  <c r="AG359" i="15" s="1"/>
  <c r="AF359" i="15" s="1"/>
  <c r="AD359" i="15" s="1"/>
  <c r="AI302" i="15"/>
  <c r="AH302" i="15" s="1"/>
  <c r="AG302" i="15" s="1"/>
  <c r="AF302" i="15" s="1"/>
  <c r="AD302" i="15" s="1"/>
  <c r="AI219" i="15"/>
  <c r="AH219" i="15" s="1"/>
  <c r="AG219" i="15" s="1"/>
  <c r="AF219" i="15" s="1"/>
  <c r="AD219" i="15" s="1"/>
  <c r="AI336" i="15"/>
  <c r="AH336" i="15" s="1"/>
  <c r="AI200" i="15"/>
  <c r="AH200" i="15" s="1"/>
  <c r="AG200" i="15" s="1"/>
  <c r="AF200" i="15" s="1"/>
  <c r="AD200" i="15" s="1"/>
  <c r="AI93" i="15"/>
  <c r="AH93" i="15" s="1"/>
  <c r="AI113" i="15"/>
  <c r="AH113" i="15" s="1"/>
  <c r="AG113" i="15" s="1"/>
  <c r="AF113" i="15" s="1"/>
  <c r="AD113" i="15" s="1"/>
  <c r="AI271" i="15"/>
  <c r="AH271" i="15" s="1"/>
  <c r="AG271" i="15" s="1"/>
  <c r="AF271" i="15" s="1"/>
  <c r="AD271" i="15" s="1"/>
  <c r="AI324" i="15"/>
  <c r="AH324" i="15" s="1"/>
  <c r="AI188" i="15"/>
  <c r="AH188" i="15" s="1"/>
  <c r="AG188" i="15" s="1"/>
  <c r="AF188" i="15" s="1"/>
  <c r="AD188" i="15" s="1"/>
  <c r="AI109" i="15"/>
  <c r="AH109" i="15" s="1"/>
  <c r="AG109" i="15" s="1"/>
  <c r="AF109" i="15" s="1"/>
  <c r="AD109" i="15" s="1"/>
  <c r="AI53" i="15"/>
  <c r="AH53" i="15" s="1"/>
  <c r="AI165" i="15"/>
  <c r="AH165" i="15" s="1"/>
  <c r="AG165" i="15" s="1"/>
  <c r="AF165" i="15" s="1"/>
  <c r="AD165" i="15" s="1"/>
  <c r="AI71" i="15"/>
  <c r="AH71" i="15" s="1"/>
  <c r="AG71" i="15" s="1"/>
  <c r="AF71" i="15" s="1"/>
  <c r="AD71" i="15" s="1"/>
  <c r="AI105" i="15"/>
  <c r="AH105" i="15" s="1"/>
  <c r="AI35" i="15"/>
  <c r="AH35" i="15" s="1"/>
  <c r="AI48" i="15"/>
  <c r="AH48" i="15" s="1"/>
  <c r="AI23" i="15"/>
  <c r="AH23" i="15" s="1"/>
  <c r="AI131" i="15"/>
  <c r="AH131" i="15" s="1"/>
  <c r="AG131" i="15" s="1"/>
  <c r="AF131" i="15" s="1"/>
  <c r="AD131" i="15" s="1"/>
  <c r="AI343" i="15"/>
  <c r="AH343" i="15" s="1"/>
  <c r="AI318" i="15"/>
  <c r="AH318" i="15" s="1"/>
  <c r="AI360" i="15"/>
  <c r="AH360" i="15" s="1"/>
  <c r="AI306" i="15"/>
  <c r="AH306" i="15" s="1"/>
  <c r="AI183" i="15"/>
  <c r="AH183" i="15" s="1"/>
  <c r="AG183" i="15" s="1"/>
  <c r="AF183" i="15" s="1"/>
  <c r="AD183" i="15" s="1"/>
  <c r="AI210" i="15"/>
  <c r="AH210" i="15" s="1"/>
  <c r="AG210" i="15" s="1"/>
  <c r="AF210" i="15" s="1"/>
  <c r="AD210" i="15" s="1"/>
  <c r="AI77" i="15"/>
  <c r="AH77" i="15" s="1"/>
  <c r="AI323" i="15"/>
  <c r="AH323" i="15" s="1"/>
  <c r="AI86" i="15"/>
  <c r="AH86" i="15" s="1"/>
  <c r="AI129" i="15"/>
  <c r="AH129" i="15" s="1"/>
  <c r="AG129" i="15" s="1"/>
  <c r="AF129" i="15" s="1"/>
  <c r="AD129" i="15" s="1"/>
  <c r="AI36" i="15"/>
  <c r="AH36" i="15" s="1"/>
  <c r="AI201" i="15"/>
  <c r="AH201" i="15" s="1"/>
  <c r="AG201" i="15" s="1"/>
  <c r="AF201" i="15" s="1"/>
  <c r="AD201" i="15" s="1"/>
  <c r="AI339" i="15"/>
  <c r="AH339" i="15" s="1"/>
  <c r="AI83" i="15"/>
  <c r="AH83" i="15" s="1"/>
  <c r="AI118" i="15"/>
  <c r="AH118" i="15" s="1"/>
  <c r="AG118" i="15" s="1"/>
  <c r="AF118" i="15" s="1"/>
  <c r="AD118" i="15" s="1"/>
  <c r="AI64" i="15"/>
  <c r="AH64" i="15" s="1"/>
  <c r="AG64" i="15" s="1"/>
  <c r="AF64" i="15" s="1"/>
  <c r="AD64" i="15" s="1"/>
  <c r="AI225" i="15"/>
  <c r="AH225" i="15" s="1"/>
  <c r="AG225" i="15" s="1"/>
  <c r="AF225" i="15" s="1"/>
  <c r="AD225" i="15" s="1"/>
  <c r="AI375" i="15"/>
  <c r="AH375" i="15" s="1"/>
  <c r="AI190" i="15"/>
  <c r="AH190" i="15" s="1"/>
  <c r="AG190" i="15" s="1"/>
  <c r="AF190" i="15" s="1"/>
  <c r="AD190" i="15" s="1"/>
  <c r="AI133" i="15"/>
  <c r="AH133" i="15" s="1"/>
  <c r="AG133" i="15" s="1"/>
  <c r="AF133" i="15" s="1"/>
  <c r="AD133" i="15" s="1"/>
  <c r="AI88" i="15"/>
  <c r="AH88" i="15" s="1"/>
  <c r="AI258" i="15"/>
  <c r="AH258" i="15" s="1"/>
  <c r="AG258" i="15" s="1"/>
  <c r="AF258" i="15" s="1"/>
  <c r="AD258" i="15" s="1"/>
  <c r="AI204" i="15"/>
  <c r="AH204" i="15" s="1"/>
  <c r="AG204" i="15" s="1"/>
  <c r="AF204" i="15" s="1"/>
  <c r="AD204" i="15" s="1"/>
  <c r="AI102" i="15"/>
  <c r="AH102" i="15" s="1"/>
  <c r="AI108" i="15"/>
  <c r="AH108" i="15" s="1"/>
  <c r="AG108" i="15" s="1"/>
  <c r="AF108" i="15" s="1"/>
  <c r="AD108" i="15" s="1"/>
  <c r="R16" i="1"/>
  <c r="S383" i="1"/>
  <c r="S382" i="1"/>
  <c r="S381" i="1"/>
  <c r="U16" i="15"/>
  <c r="T16" i="15" s="1"/>
  <c r="U324" i="15"/>
  <c r="T324" i="15" s="1"/>
  <c r="U88" i="15"/>
  <c r="T88" i="15" s="1"/>
  <c r="U336" i="15"/>
  <c r="T336" i="15" s="1"/>
  <c r="U116" i="15"/>
  <c r="T116" i="15" s="1"/>
  <c r="S116" i="15" s="1"/>
  <c r="R116" i="15" s="1"/>
  <c r="P116" i="15" s="1"/>
  <c r="V116" i="15" s="1"/>
  <c r="F116" i="15" s="1"/>
  <c r="U278" i="15"/>
  <c r="T278" i="15" s="1"/>
  <c r="S278" i="15" s="1"/>
  <c r="R278" i="15" s="1"/>
  <c r="P278" i="15" s="1"/>
  <c r="V278" i="15" s="1"/>
  <c r="F278" i="15" s="1"/>
  <c r="U230" i="15"/>
  <c r="T230" i="15" s="1"/>
  <c r="S230" i="15" s="1"/>
  <c r="R230" i="15" s="1"/>
  <c r="P230" i="15" s="1"/>
  <c r="V230" i="15" s="1"/>
  <c r="F230" i="15" s="1"/>
  <c r="U264" i="15"/>
  <c r="T264" i="15" s="1"/>
  <c r="S264" i="15" s="1"/>
  <c r="R264" i="15" s="1"/>
  <c r="P264" i="15" s="1"/>
  <c r="V264" i="15" s="1"/>
  <c r="F264" i="15" s="1"/>
  <c r="U347" i="15"/>
  <c r="T347" i="15" s="1"/>
  <c r="U169" i="15"/>
  <c r="T169" i="15" s="1"/>
  <c r="S169" i="15" s="1"/>
  <c r="R169" i="15" s="1"/>
  <c r="P169" i="15" s="1"/>
  <c r="V169" i="15" s="1"/>
  <c r="F169" i="15" s="1"/>
  <c r="U94" i="15"/>
  <c r="T94" i="15" s="1"/>
  <c r="U236" i="15"/>
  <c r="T236" i="15" s="1"/>
  <c r="S236" i="15" s="1"/>
  <c r="R236" i="15" s="1"/>
  <c r="P236" i="15" s="1"/>
  <c r="V236" i="15" s="1"/>
  <c r="F236" i="15" s="1"/>
  <c r="U165" i="15"/>
  <c r="T165" i="15" s="1"/>
  <c r="S165" i="15" s="1"/>
  <c r="R165" i="15" s="1"/>
  <c r="P165" i="15" s="1"/>
  <c r="V165" i="15" s="1"/>
  <c r="F165" i="15" s="1"/>
  <c r="U217" i="15"/>
  <c r="T217" i="15" s="1"/>
  <c r="S217" i="15" s="1"/>
  <c r="R217" i="15" s="1"/>
  <c r="P217" i="15" s="1"/>
  <c r="V217" i="15" s="1"/>
  <c r="F217" i="15" s="1"/>
  <c r="U146" i="15"/>
  <c r="T146" i="15" s="1"/>
  <c r="U354" i="15"/>
  <c r="T354" i="15" s="1"/>
  <c r="U24" i="15"/>
  <c r="T24" i="15" s="1"/>
  <c r="U95" i="15"/>
  <c r="T95" i="15" s="1"/>
  <c r="U202" i="15"/>
  <c r="T202" i="15" s="1"/>
  <c r="S202" i="15" s="1"/>
  <c r="R202" i="15" s="1"/>
  <c r="P202" i="15" s="1"/>
  <c r="V202" i="15" s="1"/>
  <c r="F202" i="15" s="1"/>
  <c r="U155" i="15"/>
  <c r="T155" i="15" s="1"/>
  <c r="U210" i="15"/>
  <c r="T210" i="15" s="1"/>
  <c r="S210" i="15" s="1"/>
  <c r="R210" i="15" s="1"/>
  <c r="P210" i="15" s="1"/>
  <c r="U129" i="15"/>
  <c r="T129" i="15" s="1"/>
  <c r="S129" i="15" s="1"/>
  <c r="R129" i="15" s="1"/>
  <c r="P129" i="15" s="1"/>
  <c r="V129" i="15" s="1"/>
  <c r="F129" i="15" s="1"/>
  <c r="U166" i="15"/>
  <c r="T166" i="15" s="1"/>
  <c r="S166" i="15" s="1"/>
  <c r="R166" i="15" s="1"/>
  <c r="P166" i="15" s="1"/>
  <c r="V166" i="15" s="1"/>
  <c r="F166" i="15" s="1"/>
  <c r="U331" i="15"/>
  <c r="T331" i="15" s="1"/>
  <c r="U123" i="15"/>
  <c r="T123" i="15" s="1"/>
  <c r="U27" i="15"/>
  <c r="T27" i="15" s="1"/>
  <c r="U223" i="15"/>
  <c r="T223" i="15" s="1"/>
  <c r="S223" i="15" s="1"/>
  <c r="R223" i="15" s="1"/>
  <c r="P223" i="15" s="1"/>
  <c r="V223" i="15" s="1"/>
  <c r="F223" i="15" s="1"/>
  <c r="U43" i="15"/>
  <c r="T43" i="15" s="1"/>
  <c r="U149" i="15"/>
  <c r="T149" i="15" s="1"/>
  <c r="U174" i="15"/>
  <c r="T174" i="15" s="1"/>
  <c r="S174" i="15" s="1"/>
  <c r="R174" i="15" s="1"/>
  <c r="P174" i="15" s="1"/>
  <c r="V174" i="15" s="1"/>
  <c r="F174" i="15" s="1"/>
  <c r="U343" i="15"/>
  <c r="T343" i="15" s="1"/>
  <c r="U287" i="15"/>
  <c r="T287" i="15" s="1"/>
  <c r="S287" i="15" s="1"/>
  <c r="R287" i="15" s="1"/>
  <c r="P287" i="15" s="1"/>
  <c r="V287" i="15" s="1"/>
  <c r="F287" i="15" s="1"/>
  <c r="U290" i="15"/>
  <c r="T290" i="15" s="1"/>
  <c r="S290" i="15" s="1"/>
  <c r="R290" i="15" s="1"/>
  <c r="P290" i="15" s="1"/>
  <c r="V290" i="15" s="1"/>
  <c r="F290" i="15" s="1"/>
  <c r="U162" i="15"/>
  <c r="T162" i="15" s="1"/>
  <c r="S162" i="15" s="1"/>
  <c r="R162" i="15" s="1"/>
  <c r="P162" i="15" s="1"/>
  <c r="V162" i="15" s="1"/>
  <c r="F162" i="15" s="1"/>
  <c r="U216" i="15"/>
  <c r="T216" i="15" s="1"/>
  <c r="S216" i="15" s="1"/>
  <c r="R216" i="15" s="1"/>
  <c r="P216" i="15" s="1"/>
  <c r="V216" i="15" s="1"/>
  <c r="F216" i="15" s="1"/>
  <c r="U266" i="15"/>
  <c r="T266" i="15" s="1"/>
  <c r="S266" i="15" s="1"/>
  <c r="R266" i="15" s="1"/>
  <c r="P266" i="15" s="1"/>
  <c r="V266" i="15" s="1"/>
  <c r="F266" i="15" s="1"/>
  <c r="U313" i="15"/>
  <c r="T313" i="15" s="1"/>
  <c r="S313" i="15" s="1"/>
  <c r="R313" i="15" s="1"/>
  <c r="P313" i="15" s="1"/>
  <c r="V313" i="15" s="1"/>
  <c r="F313" i="15" s="1"/>
  <c r="H313" i="15" s="1"/>
  <c r="U244" i="15"/>
  <c r="T244" i="15" s="1"/>
  <c r="S244" i="15" s="1"/>
  <c r="R244" i="15" s="1"/>
  <c r="P244" i="15" s="1"/>
  <c r="V244" i="15" s="1"/>
  <c r="F244" i="15" s="1"/>
  <c r="U20" i="15"/>
  <c r="T20" i="15" s="1"/>
  <c r="U252" i="15"/>
  <c r="T252" i="15" s="1"/>
  <c r="S252" i="15" s="1"/>
  <c r="R252" i="15" s="1"/>
  <c r="P252" i="15" s="1"/>
  <c r="V252" i="15" s="1"/>
  <c r="F252" i="15" s="1"/>
  <c r="U262" i="15"/>
  <c r="T262" i="15" s="1"/>
  <c r="S262" i="15" s="1"/>
  <c r="R262" i="15" s="1"/>
  <c r="P262" i="15" s="1"/>
  <c r="V262" i="15" s="1"/>
  <c r="F262" i="15" s="1"/>
  <c r="U246" i="15"/>
  <c r="T246" i="15" s="1"/>
  <c r="S246" i="15" s="1"/>
  <c r="R246" i="15" s="1"/>
  <c r="P246" i="15" s="1"/>
  <c r="V246" i="15" s="1"/>
  <c r="F246" i="15" s="1"/>
  <c r="U232" i="15"/>
  <c r="T232" i="15" s="1"/>
  <c r="S232" i="15" s="1"/>
  <c r="R232" i="15" s="1"/>
  <c r="P232" i="15" s="1"/>
  <c r="V232" i="15" s="1"/>
  <c r="F232" i="15" s="1"/>
  <c r="U86" i="15"/>
  <c r="T86" i="15" s="1"/>
  <c r="U110" i="15"/>
  <c r="T110" i="15" s="1"/>
  <c r="S110" i="15" s="1"/>
  <c r="R110" i="15" s="1"/>
  <c r="P110" i="15" s="1"/>
  <c r="V110" i="15" s="1"/>
  <c r="F110" i="15" s="1"/>
  <c r="U344" i="15"/>
  <c r="T344" i="15" s="1"/>
  <c r="U121" i="15"/>
  <c r="T121" i="15" s="1"/>
  <c r="U104" i="15"/>
  <c r="T104" i="15" s="1"/>
  <c r="U234" i="15"/>
  <c r="T234" i="15" s="1"/>
  <c r="S234" i="15" s="1"/>
  <c r="R234" i="15" s="1"/>
  <c r="P234" i="15" s="1"/>
  <c r="V234" i="15" s="1"/>
  <c r="F234" i="15" s="1"/>
  <c r="U102" i="15"/>
  <c r="T102" i="15" s="1"/>
  <c r="U319" i="15"/>
  <c r="T319" i="15" s="1"/>
  <c r="U41" i="15"/>
  <c r="T41" i="15" s="1"/>
  <c r="U293" i="15"/>
  <c r="T293" i="15" s="1"/>
  <c r="U18" i="15"/>
  <c r="T18" i="15" s="1"/>
  <c r="U333" i="15"/>
  <c r="T333" i="15" s="1"/>
  <c r="U316" i="15"/>
  <c r="T316" i="15" s="1"/>
  <c r="U248" i="15"/>
  <c r="T248" i="15" s="1"/>
  <c r="S248" i="15" s="1"/>
  <c r="R248" i="15" s="1"/>
  <c r="P248" i="15" s="1"/>
  <c r="V248" i="15" s="1"/>
  <c r="F248" i="15" s="1"/>
  <c r="U314" i="15"/>
  <c r="T314" i="15" s="1"/>
  <c r="U37" i="15"/>
  <c r="T37" i="15" s="1"/>
  <c r="U321" i="15"/>
  <c r="T321" i="15" s="1"/>
  <c r="U369" i="15"/>
  <c r="T369" i="15" s="1"/>
  <c r="S369" i="15" s="1"/>
  <c r="R369" i="15" s="1"/>
  <c r="P369" i="15" s="1"/>
  <c r="V369" i="15" s="1"/>
  <c r="F369" i="15" s="1"/>
  <c r="U188" i="15"/>
  <c r="T188" i="15" s="1"/>
  <c r="S188" i="15" s="1"/>
  <c r="R188" i="15" s="1"/>
  <c r="P188" i="15" s="1"/>
  <c r="V188" i="15" s="1"/>
  <c r="F188" i="15" s="1"/>
  <c r="U82" i="15"/>
  <c r="T82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19" i="15"/>
  <c r="T219" i="15" s="1"/>
  <c r="S219" i="15" s="1"/>
  <c r="R219" i="15" s="1"/>
  <c r="P219" i="15" s="1"/>
  <c r="V219" i="15" s="1"/>
  <c r="F219" i="15" s="1"/>
  <c r="H219" i="15" s="1"/>
  <c r="U353" i="15"/>
  <c r="T353" i="15" s="1"/>
  <c r="U320" i="15"/>
  <c r="T320" i="15" s="1"/>
  <c r="U143" i="15"/>
  <c r="T143" i="15" s="1"/>
  <c r="U196" i="15"/>
  <c r="T196" i="15" s="1"/>
  <c r="S196" i="15" s="1"/>
  <c r="R196" i="15" s="1"/>
  <c r="P196" i="15" s="1"/>
  <c r="V196" i="15" s="1"/>
  <c r="F196" i="15" s="1"/>
  <c r="H196" i="15" s="1"/>
  <c r="I196" i="15" s="1"/>
  <c r="U25" i="15"/>
  <c r="T25" i="15" s="1"/>
  <c r="U338" i="15"/>
  <c r="T338" i="15" s="1"/>
  <c r="U254" i="15"/>
  <c r="T254" i="15" s="1"/>
  <c r="S254" i="15" s="1"/>
  <c r="R254" i="15" s="1"/>
  <c r="P254" i="15" s="1"/>
  <c r="V254" i="15" s="1"/>
  <c r="F254" i="15" s="1"/>
  <c r="U218" i="15"/>
  <c r="T218" i="15" s="1"/>
  <c r="S218" i="15" s="1"/>
  <c r="R218" i="15" s="1"/>
  <c r="P218" i="15" s="1"/>
  <c r="V218" i="15" s="1"/>
  <c r="F218" i="15" s="1"/>
  <c r="U345" i="15"/>
  <c r="T345" i="15" s="1"/>
  <c r="U54" i="15"/>
  <c r="T54" i="15" s="1"/>
  <c r="U109" i="15"/>
  <c r="T109" i="15" s="1"/>
  <c r="S109" i="15" s="1"/>
  <c r="R109" i="15" s="1"/>
  <c r="P109" i="15" s="1"/>
  <c r="V109" i="15" s="1"/>
  <c r="F109" i="15" s="1"/>
  <c r="U263" i="15"/>
  <c r="T263" i="15" s="1"/>
  <c r="S263" i="15" s="1"/>
  <c r="R263" i="15" s="1"/>
  <c r="P263" i="15" s="1"/>
  <c r="V263" i="15" s="1"/>
  <c r="F263" i="15" s="1"/>
  <c r="U226" i="15"/>
  <c r="T226" i="15" s="1"/>
  <c r="S226" i="15" s="1"/>
  <c r="R226" i="15" s="1"/>
  <c r="P226" i="15" s="1"/>
  <c r="V226" i="15" s="1"/>
  <c r="F226" i="15" s="1"/>
  <c r="U36" i="15"/>
  <c r="T36" i="15" s="1"/>
  <c r="U78" i="15"/>
  <c r="T78" i="15" s="1"/>
  <c r="U228" i="15"/>
  <c r="T228" i="15" s="1"/>
  <c r="S228" i="15" s="1"/>
  <c r="R228" i="15" s="1"/>
  <c r="P228" i="15" s="1"/>
  <c r="V228" i="15" s="1"/>
  <c r="F228" i="15" s="1"/>
  <c r="G228" i="15" s="1"/>
  <c r="BX228" i="6" s="1"/>
  <c r="U204" i="15"/>
  <c r="T204" i="15" s="1"/>
  <c r="S204" i="15" s="1"/>
  <c r="R204" i="15" s="1"/>
  <c r="P204" i="15" s="1"/>
  <c r="V204" i="15" s="1"/>
  <c r="F204" i="15" s="1"/>
  <c r="U154" i="15"/>
  <c r="T154" i="15" s="1"/>
  <c r="U65" i="15"/>
  <c r="T65" i="15" s="1"/>
  <c r="S65" i="15" s="1"/>
  <c r="R65" i="15" s="1"/>
  <c r="P65" i="15" s="1"/>
  <c r="V65" i="15" s="1"/>
  <c r="F65" i="15" s="1"/>
  <c r="U370" i="15"/>
  <c r="T370" i="15" s="1"/>
  <c r="S370" i="15" s="1"/>
  <c r="R370" i="15" s="1"/>
  <c r="P370" i="15" s="1"/>
  <c r="V370" i="15" s="1"/>
  <c r="F370" i="15" s="1"/>
  <c r="H370" i="15" s="1"/>
  <c r="U299" i="15"/>
  <c r="T299" i="15" s="1"/>
  <c r="S299" i="15" s="1"/>
  <c r="R299" i="15" s="1"/>
  <c r="P299" i="15" s="1"/>
  <c r="V299" i="15" s="1"/>
  <c r="F299" i="15" s="1"/>
  <c r="U276" i="15"/>
  <c r="T276" i="15" s="1"/>
  <c r="S276" i="15" s="1"/>
  <c r="R276" i="15" s="1"/>
  <c r="P276" i="15" s="1"/>
  <c r="V276" i="15" s="1"/>
  <c r="F276" i="15" s="1"/>
  <c r="U312" i="15"/>
  <c r="T312" i="15" s="1"/>
  <c r="S312" i="15" s="1"/>
  <c r="R312" i="15" s="1"/>
  <c r="P312" i="15" s="1"/>
  <c r="V312" i="15" s="1"/>
  <c r="F312" i="15" s="1"/>
  <c r="U225" i="15"/>
  <c r="T225" i="15" s="1"/>
  <c r="S225" i="15" s="1"/>
  <c r="R225" i="15" s="1"/>
  <c r="P225" i="15" s="1"/>
  <c r="V225" i="15" s="1"/>
  <c r="F225" i="15" s="1"/>
  <c r="G225" i="15" s="1"/>
  <c r="BX225" i="6" s="1"/>
  <c r="U283" i="15"/>
  <c r="T283" i="15" s="1"/>
  <c r="S283" i="15" s="1"/>
  <c r="R283" i="15" s="1"/>
  <c r="P283" i="15" s="1"/>
  <c r="V283" i="15" s="1"/>
  <c r="F283" i="15" s="1"/>
  <c r="U177" i="15"/>
  <c r="T177" i="15" s="1"/>
  <c r="S177" i="15" s="1"/>
  <c r="R177" i="15" s="1"/>
  <c r="P177" i="15" s="1"/>
  <c r="V177" i="15" s="1"/>
  <c r="F177" i="15" s="1"/>
  <c r="U130" i="15"/>
  <c r="T130" i="15" s="1"/>
  <c r="S130" i="15" s="1"/>
  <c r="R130" i="15" s="1"/>
  <c r="P130" i="15" s="1"/>
  <c r="V130" i="15" s="1"/>
  <c r="F130" i="15" s="1"/>
  <c r="U122" i="15"/>
  <c r="T122" i="15" s="1"/>
  <c r="S122" i="15" s="1"/>
  <c r="R122" i="15" s="1"/>
  <c r="P122" i="15" s="1"/>
  <c r="V122" i="15" s="1"/>
  <c r="F122" i="15" s="1"/>
  <c r="G122" i="15" s="1"/>
  <c r="BX122" i="6" s="1"/>
  <c r="U340" i="15"/>
  <c r="T340" i="15" s="1"/>
  <c r="U77" i="15"/>
  <c r="T77" i="15" s="1"/>
  <c r="U258" i="15"/>
  <c r="T258" i="15" s="1"/>
  <c r="S258" i="15" s="1"/>
  <c r="R258" i="15" s="1"/>
  <c r="P258" i="15" s="1"/>
  <c r="V258" i="15" s="1"/>
  <c r="F258" i="15" s="1"/>
  <c r="U304" i="15"/>
  <c r="T304" i="15" s="1"/>
  <c r="S304" i="15" s="1"/>
  <c r="R304" i="15" s="1"/>
  <c r="P304" i="15" s="1"/>
  <c r="V304" i="15" s="1"/>
  <c r="F304" i="15" s="1"/>
  <c r="H304" i="15" s="1"/>
  <c r="U306" i="15"/>
  <c r="T306" i="15" s="1"/>
  <c r="U295" i="15"/>
  <c r="T295" i="15" s="1"/>
  <c r="S295" i="15" s="1"/>
  <c r="R295" i="15" s="1"/>
  <c r="P295" i="15" s="1"/>
  <c r="V295" i="15" s="1"/>
  <c r="F295" i="15" s="1"/>
  <c r="U221" i="15"/>
  <c r="T221" i="15" s="1"/>
  <c r="S221" i="15" s="1"/>
  <c r="R221" i="15" s="1"/>
  <c r="P221" i="15" s="1"/>
  <c r="V221" i="15" s="1"/>
  <c r="F221" i="15" s="1"/>
  <c r="H221" i="15" s="1"/>
  <c r="J221" i="15" s="1"/>
  <c r="U297" i="15"/>
  <c r="T297" i="15" s="1"/>
  <c r="S297" i="15" s="1"/>
  <c r="R297" i="15" s="1"/>
  <c r="P297" i="15" s="1"/>
  <c r="V297" i="15" s="1"/>
  <c r="F297" i="15" s="1"/>
  <c r="U274" i="15"/>
  <c r="T274" i="15" s="1"/>
  <c r="S274" i="15" s="1"/>
  <c r="R274" i="15" s="1"/>
  <c r="P274" i="15" s="1"/>
  <c r="V274" i="15" s="1"/>
  <c r="F274" i="15" s="1"/>
  <c r="H274" i="15" s="1"/>
  <c r="I274" i="15" s="1"/>
  <c r="U185" i="15"/>
  <c r="T185" i="15" s="1"/>
  <c r="S185" i="15" s="1"/>
  <c r="R185" i="15" s="1"/>
  <c r="P185" i="15" s="1"/>
  <c r="V185" i="15" s="1"/>
  <c r="F185" i="15" s="1"/>
  <c r="U201" i="15"/>
  <c r="T201" i="15" s="1"/>
  <c r="S201" i="15" s="1"/>
  <c r="R201" i="15" s="1"/>
  <c r="P201" i="15" s="1"/>
  <c r="V201" i="15" s="1"/>
  <c r="F201" i="15" s="1"/>
  <c r="U137" i="15"/>
  <c r="T137" i="15" s="1"/>
  <c r="U47" i="15"/>
  <c r="T47" i="15" s="1"/>
  <c r="U159" i="15"/>
  <c r="T159" i="15" s="1"/>
  <c r="U53" i="15"/>
  <c r="T53" i="15" s="1"/>
  <c r="U378" i="15"/>
  <c r="T378" i="15" s="1"/>
  <c r="S378" i="15" s="1"/>
  <c r="R378" i="15" s="1"/>
  <c r="P378" i="15" s="1"/>
  <c r="V378" i="15" s="1"/>
  <c r="F378" i="15" s="1"/>
  <c r="U311" i="15"/>
  <c r="T311" i="15" s="1"/>
  <c r="U257" i="15"/>
  <c r="T257" i="15" s="1"/>
  <c r="S257" i="15" s="1"/>
  <c r="R257" i="15" s="1"/>
  <c r="P257" i="15" s="1"/>
  <c r="V257" i="15" s="1"/>
  <c r="F257" i="15" s="1"/>
  <c r="G257" i="15" s="1"/>
  <c r="BX257" i="6" s="1"/>
  <c r="U144" i="15"/>
  <c r="T144" i="15" s="1"/>
  <c r="U357" i="15"/>
  <c r="T357" i="15" s="1"/>
  <c r="U58" i="15"/>
  <c r="T58" i="15" s="1"/>
  <c r="U153" i="15"/>
  <c r="T153" i="15" s="1"/>
  <c r="S153" i="15" s="1"/>
  <c r="R153" i="15" s="1"/>
  <c r="P153" i="15" s="1"/>
  <c r="V153" i="15" s="1"/>
  <c r="F153" i="15" s="1"/>
  <c r="G153" i="15" s="1"/>
  <c r="BX153" i="6" s="1"/>
  <c r="U288" i="15"/>
  <c r="T288" i="15" s="1"/>
  <c r="S288" i="15" s="1"/>
  <c r="R288" i="15" s="1"/>
  <c r="P288" i="15" s="1"/>
  <c r="V288" i="15" s="1"/>
  <c r="F288" i="15" s="1"/>
  <c r="U261" i="15"/>
  <c r="T261" i="15" s="1"/>
  <c r="S261" i="15" s="1"/>
  <c r="R261" i="15" s="1"/>
  <c r="P261" i="15" s="1"/>
  <c r="V261" i="15" s="1"/>
  <c r="F261" i="15" s="1"/>
  <c r="U167" i="15"/>
  <c r="T167" i="15" s="1"/>
  <c r="S167" i="15" s="1"/>
  <c r="R167" i="15" s="1"/>
  <c r="P167" i="15" s="1"/>
  <c r="V167" i="15" s="1"/>
  <c r="U241" i="15"/>
  <c r="T241" i="15" s="1"/>
  <c r="S241" i="15" s="1"/>
  <c r="R241" i="15" s="1"/>
  <c r="P241" i="15" s="1"/>
  <c r="U108" i="15"/>
  <c r="T108" i="15" s="1"/>
  <c r="S108" i="15" s="1"/>
  <c r="R108" i="15" s="1"/>
  <c r="P108" i="15" s="1"/>
  <c r="V108" i="15" s="1"/>
  <c r="F108" i="15" s="1"/>
  <c r="U286" i="15"/>
  <c r="T286" i="15" s="1"/>
  <c r="S286" i="15" s="1"/>
  <c r="R286" i="15" s="1"/>
  <c r="P286" i="15" s="1"/>
  <c r="V286" i="15" s="1"/>
  <c r="F286" i="15" s="1"/>
  <c r="U368" i="15"/>
  <c r="T368" i="15" s="1"/>
  <c r="S368" i="15" s="1"/>
  <c r="R368" i="15" s="1"/>
  <c r="P368" i="15" s="1"/>
  <c r="V368" i="15" s="1"/>
  <c r="F368" i="15" s="1"/>
  <c r="U307" i="15"/>
  <c r="T307" i="15" s="1"/>
  <c r="S307" i="15" s="1"/>
  <c r="R307" i="15" s="1"/>
  <c r="P307" i="15" s="1"/>
  <c r="V307" i="15" s="1"/>
  <c r="F307" i="15" s="1"/>
  <c r="U120" i="15"/>
  <c r="T120" i="15" s="1"/>
  <c r="S120" i="15" s="1"/>
  <c r="R120" i="15" s="1"/>
  <c r="P120" i="15" s="1"/>
  <c r="V120" i="15" s="1"/>
  <c r="F120" i="15" s="1"/>
  <c r="U181" i="15"/>
  <c r="T181" i="15" s="1"/>
  <c r="S181" i="15" s="1"/>
  <c r="R181" i="15" s="1"/>
  <c r="P181" i="15" s="1"/>
  <c r="V181" i="15" s="1"/>
  <c r="F181" i="15" s="1"/>
  <c r="U189" i="15"/>
  <c r="T189" i="15" s="1"/>
  <c r="U334" i="15"/>
  <c r="T334" i="15" s="1"/>
  <c r="U310" i="15"/>
  <c r="T310" i="15" s="1"/>
  <c r="S310" i="15" s="1"/>
  <c r="R310" i="15" s="1"/>
  <c r="P310" i="15" s="1"/>
  <c r="V310" i="15" s="1"/>
  <c r="F310" i="15" s="1"/>
  <c r="U362" i="15"/>
  <c r="T362" i="15" s="1"/>
  <c r="S362" i="15" s="1"/>
  <c r="R362" i="15" s="1"/>
  <c r="P362" i="15" s="1"/>
  <c r="V362" i="15" s="1"/>
  <c r="F362" i="15" s="1"/>
  <c r="U367" i="15"/>
  <c r="T367" i="15" s="1"/>
  <c r="U194" i="15"/>
  <c r="T194" i="15" s="1"/>
  <c r="S194" i="15" s="1"/>
  <c r="R194" i="15" s="1"/>
  <c r="P194" i="15" s="1"/>
  <c r="V194" i="15" s="1"/>
  <c r="F194" i="15" s="1"/>
  <c r="U198" i="15"/>
  <c r="T198" i="15" s="1"/>
  <c r="S198" i="15" s="1"/>
  <c r="R198" i="15" s="1"/>
  <c r="P198" i="15" s="1"/>
  <c r="U224" i="15"/>
  <c r="T224" i="15" s="1"/>
  <c r="S224" i="15" s="1"/>
  <c r="R224" i="15" s="1"/>
  <c r="P224" i="15" s="1"/>
  <c r="V224" i="15" s="1"/>
  <c r="F224" i="15" s="1"/>
  <c r="U242" i="15"/>
  <c r="T242" i="15" s="1"/>
  <c r="S242" i="15" s="1"/>
  <c r="R242" i="15" s="1"/>
  <c r="P242" i="15" s="1"/>
  <c r="V242" i="15" s="1"/>
  <c r="F242" i="15" s="1"/>
  <c r="U72" i="15"/>
  <c r="T72" i="15" s="1"/>
  <c r="S72" i="15" s="1"/>
  <c r="R72" i="15" s="1"/>
  <c r="P72" i="15" s="1"/>
  <c r="V72" i="15" s="1"/>
  <c r="F72" i="15" s="1"/>
  <c r="U327" i="15"/>
  <c r="T327" i="15" s="1"/>
  <c r="U38" i="15"/>
  <c r="T38" i="15" s="1"/>
  <c r="U360" i="15"/>
  <c r="T360" i="15" s="1"/>
  <c r="U151" i="15"/>
  <c r="T151" i="15" s="1"/>
  <c r="U209" i="15"/>
  <c r="T209" i="15" s="1"/>
  <c r="S209" i="15" s="1"/>
  <c r="R209" i="15" s="1"/>
  <c r="P209" i="15" s="1"/>
  <c r="V209" i="15" s="1"/>
  <c r="F209" i="15" s="1"/>
  <c r="U138" i="15"/>
  <c r="T138" i="15" s="1"/>
  <c r="U371" i="15"/>
  <c r="T371" i="15" s="1"/>
  <c r="U147" i="15"/>
  <c r="T147" i="15" s="1"/>
  <c r="U351" i="15"/>
  <c r="T351" i="15" s="1"/>
  <c r="U175" i="15"/>
  <c r="T175" i="15" s="1"/>
  <c r="S175" i="15" s="1"/>
  <c r="R175" i="15" s="1"/>
  <c r="P175" i="15" s="1"/>
  <c r="V175" i="15" s="1"/>
  <c r="F175" i="15" s="1"/>
  <c r="U49" i="15"/>
  <c r="T49" i="15" s="1"/>
  <c r="U183" i="15"/>
  <c r="T183" i="15" s="1"/>
  <c r="S183" i="15" s="1"/>
  <c r="R183" i="15" s="1"/>
  <c r="P183" i="15" s="1"/>
  <c r="V183" i="15" s="1"/>
  <c r="F183" i="15" s="1"/>
  <c r="U330" i="15"/>
  <c r="T330" i="15" s="1"/>
  <c r="U259" i="15"/>
  <c r="T259" i="15" s="1"/>
  <c r="S259" i="15" s="1"/>
  <c r="R259" i="15" s="1"/>
  <c r="P259" i="15" s="1"/>
  <c r="V259" i="15" s="1"/>
  <c r="F259" i="15" s="1"/>
  <c r="G259" i="15" s="1"/>
  <c r="BX259" i="6" s="1"/>
  <c r="U46" i="15"/>
  <c r="T46" i="15" s="1"/>
  <c r="U348" i="15"/>
  <c r="T348" i="15" s="1"/>
  <c r="U135" i="15"/>
  <c r="T135" i="15" s="1"/>
  <c r="U282" i="15"/>
  <c r="T282" i="15" s="1"/>
  <c r="S282" i="15" s="1"/>
  <c r="R282" i="15" s="1"/>
  <c r="P282" i="15" s="1"/>
  <c r="V282" i="15" s="1"/>
  <c r="F282" i="15" s="1"/>
  <c r="U19" i="15"/>
  <c r="T19" i="15" s="1"/>
  <c r="U139" i="15"/>
  <c r="T139" i="15" s="1"/>
  <c r="U240" i="15"/>
  <c r="T240" i="15" s="1"/>
  <c r="S240" i="15" s="1"/>
  <c r="R240" i="15" s="1"/>
  <c r="P240" i="15" s="1"/>
  <c r="V240" i="15" s="1"/>
  <c r="F240" i="15" s="1"/>
  <c r="U197" i="15"/>
  <c r="T197" i="15" s="1"/>
  <c r="S197" i="15" s="1"/>
  <c r="R197" i="15" s="1"/>
  <c r="P197" i="15" s="1"/>
  <c r="V197" i="15" s="1"/>
  <c r="F197" i="15" s="1"/>
  <c r="U279" i="15"/>
  <c r="T279" i="15" s="1"/>
  <c r="S279" i="15" s="1"/>
  <c r="R279" i="15" s="1"/>
  <c r="P279" i="15" s="1"/>
  <c r="V279" i="15" s="1"/>
  <c r="F279" i="15" s="1"/>
  <c r="U215" i="15"/>
  <c r="T215" i="15" s="1"/>
  <c r="S215" i="15" s="1"/>
  <c r="R215" i="15" s="1"/>
  <c r="P215" i="15" s="1"/>
  <c r="V215" i="15" s="1"/>
  <c r="F215" i="15" s="1"/>
  <c r="H215" i="15" s="1"/>
  <c r="U207" i="15"/>
  <c r="T207" i="15" s="1"/>
  <c r="S207" i="15" s="1"/>
  <c r="R207" i="15" s="1"/>
  <c r="P207" i="15" s="1"/>
  <c r="V207" i="15" s="1"/>
  <c r="F207" i="15" s="1"/>
  <c r="U284" i="15"/>
  <c r="T284" i="15" s="1"/>
  <c r="S284" i="15" s="1"/>
  <c r="R284" i="15" s="1"/>
  <c r="P284" i="15" s="1"/>
  <c r="V284" i="15" s="1"/>
  <c r="F284" i="15" s="1"/>
  <c r="U91" i="15"/>
  <c r="T91" i="15" s="1"/>
  <c r="U76" i="15"/>
  <c r="T76" i="15" s="1"/>
  <c r="S76" i="15" s="1"/>
  <c r="R76" i="15" s="1"/>
  <c r="P76" i="15" s="1"/>
  <c r="V76" i="15" s="1"/>
  <c r="F76" i="15" s="1"/>
  <c r="U71" i="15"/>
  <c r="T71" i="15" s="1"/>
  <c r="S71" i="15" s="1"/>
  <c r="R71" i="15" s="1"/>
  <c r="P71" i="15" s="1"/>
  <c r="V71" i="15" s="1"/>
  <c r="F71" i="15" s="1"/>
  <c r="U260" i="15"/>
  <c r="T260" i="15" s="1"/>
  <c r="S260" i="15" s="1"/>
  <c r="R260" i="15" s="1"/>
  <c r="P260" i="15" s="1"/>
  <c r="V260" i="15" s="1"/>
  <c r="F260" i="15" s="1"/>
  <c r="U184" i="15"/>
  <c r="T184" i="15" s="1"/>
  <c r="S184" i="15" s="1"/>
  <c r="R184" i="15" s="1"/>
  <c r="P184" i="15" s="1"/>
  <c r="V184" i="15" s="1"/>
  <c r="F184" i="15" s="1"/>
  <c r="U34" i="15"/>
  <c r="T34" i="15" s="1"/>
  <c r="U372" i="15"/>
  <c r="T372" i="15" s="1"/>
  <c r="S372" i="15" s="1"/>
  <c r="R372" i="15" s="1"/>
  <c r="P372" i="15" s="1"/>
  <c r="V372" i="15" s="1"/>
  <c r="F372" i="15" s="1"/>
  <c r="U199" i="15"/>
  <c r="T199" i="15" s="1"/>
  <c r="S199" i="15" s="1"/>
  <c r="R199" i="15" s="1"/>
  <c r="P199" i="15" s="1"/>
  <c r="V199" i="15" s="1"/>
  <c r="F199" i="15" s="1"/>
  <c r="U99" i="15"/>
  <c r="T99" i="15" s="1"/>
  <c r="U192" i="15"/>
  <c r="T192" i="15" s="1"/>
  <c r="S192" i="15" s="1"/>
  <c r="R192" i="15" s="1"/>
  <c r="P192" i="15" s="1"/>
  <c r="V192" i="15" s="1"/>
  <c r="F192" i="15" s="1"/>
  <c r="U361" i="15"/>
  <c r="T361" i="15" s="1"/>
  <c r="S361" i="15" s="1"/>
  <c r="R361" i="15" s="1"/>
  <c r="P361" i="15" s="1"/>
  <c r="V361" i="15" s="1"/>
  <c r="F361" i="15" s="1"/>
  <c r="U182" i="15"/>
  <c r="T182" i="15" s="1"/>
  <c r="S182" i="15" s="1"/>
  <c r="R182" i="15" s="1"/>
  <c r="P182" i="15" s="1"/>
  <c r="V182" i="15" s="1"/>
  <c r="F182" i="15" s="1"/>
  <c r="U59" i="15"/>
  <c r="T59" i="15" s="1"/>
  <c r="U227" i="15"/>
  <c r="T227" i="15" s="1"/>
  <c r="S227" i="15" s="1"/>
  <c r="R227" i="15" s="1"/>
  <c r="P227" i="15" s="1"/>
  <c r="U211" i="15"/>
  <c r="T211" i="15" s="1"/>
  <c r="S211" i="15" s="1"/>
  <c r="R211" i="15" s="1"/>
  <c r="P211" i="15" s="1"/>
  <c r="V211" i="15" s="1"/>
  <c r="F211" i="15" s="1"/>
  <c r="U15" i="15"/>
  <c r="U31" i="15"/>
  <c r="T31" i="15" s="1"/>
  <c r="U140" i="15"/>
  <c r="T140" i="15" s="1"/>
  <c r="U113" i="15"/>
  <c r="T113" i="15" s="1"/>
  <c r="S113" i="15" s="1"/>
  <c r="R113" i="15" s="1"/>
  <c r="P113" i="15" s="1"/>
  <c r="V113" i="15" s="1"/>
  <c r="F113" i="15" s="1"/>
  <c r="U270" i="15"/>
  <c r="T270" i="15" s="1"/>
  <c r="S270" i="15" s="1"/>
  <c r="R270" i="15" s="1"/>
  <c r="P270" i="15" s="1"/>
  <c r="V270" i="15" s="1"/>
  <c r="F270" i="15" s="1"/>
  <c r="H270" i="15" s="1"/>
  <c r="J270" i="15" s="1"/>
  <c r="U249" i="15"/>
  <c r="T249" i="15" s="1"/>
  <c r="S249" i="15" s="1"/>
  <c r="R249" i="15" s="1"/>
  <c r="P249" i="15" s="1"/>
  <c r="V249" i="15" s="1"/>
  <c r="F249" i="15" s="1"/>
  <c r="AE381" i="16"/>
  <c r="AE383" i="16"/>
  <c r="AE382" i="16"/>
  <c r="Q383" i="16"/>
  <c r="Q382" i="16"/>
  <c r="Q381" i="16"/>
  <c r="P15" i="7"/>
  <c r="Q12" i="17"/>
  <c r="G348" i="1"/>
  <c r="BW348" i="6" s="1"/>
  <c r="AC382" i="16"/>
  <c r="AC381" i="16"/>
  <c r="AC383" i="16"/>
  <c r="AC378" i="17"/>
  <c r="AC298" i="17"/>
  <c r="AC241" i="17"/>
  <c r="AC161" i="17"/>
  <c r="AC377" i="17"/>
  <c r="AC240" i="17"/>
  <c r="AC175" i="17"/>
  <c r="AC129" i="17"/>
  <c r="AC253" i="17"/>
  <c r="AC152" i="17"/>
  <c r="AC182" i="17"/>
  <c r="AC276" i="17"/>
  <c r="AC291" i="17"/>
  <c r="AC341" i="17"/>
  <c r="AC367" i="17"/>
  <c r="AC230" i="17"/>
  <c r="AC342" i="17"/>
  <c r="AC174" i="17"/>
  <c r="AC176" i="17"/>
  <c r="AC305" i="17"/>
  <c r="AC226" i="17"/>
  <c r="AC368" i="17"/>
  <c r="AC202" i="17"/>
  <c r="AC248" i="17"/>
  <c r="AC243" i="17"/>
  <c r="AC354" i="17"/>
  <c r="AC178" i="17"/>
  <c r="AC162" i="17"/>
  <c r="AC310" i="17"/>
  <c r="AC212" i="17"/>
  <c r="AC254" i="17"/>
  <c r="AC125" i="17"/>
  <c r="AC360" i="17"/>
  <c r="AC326" i="17"/>
  <c r="AC255" i="17"/>
  <c r="AC185" i="17"/>
  <c r="AC335" i="17"/>
  <c r="AC258" i="17"/>
  <c r="AC186" i="17"/>
  <c r="AC131" i="17"/>
  <c r="AC220" i="17"/>
  <c r="AC142" i="17"/>
  <c r="AC169" i="17"/>
  <c r="AC264" i="17"/>
  <c r="AC282" i="17"/>
  <c r="AC333" i="17"/>
  <c r="AC280" i="17"/>
  <c r="AC204" i="17"/>
  <c r="AC315" i="17"/>
  <c r="AC164" i="17"/>
  <c r="AC245" i="17"/>
  <c r="AC270" i="17"/>
  <c r="AC201" i="17"/>
  <c r="AC346" i="17"/>
  <c r="AC181" i="17"/>
  <c r="AC238" i="17"/>
  <c r="AC233" i="17"/>
  <c r="AC343" i="17"/>
  <c r="AC195" i="17"/>
  <c r="AC198" i="17"/>
  <c r="AC242" i="17"/>
  <c r="AC271" i="17"/>
  <c r="AC312" i="17"/>
  <c r="AC183" i="17"/>
  <c r="AC330" i="17"/>
  <c r="AC179" i="17"/>
  <c r="AC288" i="17"/>
  <c r="AC155" i="17"/>
  <c r="AC334" i="17"/>
  <c r="AC228" i="17"/>
  <c r="AC331" i="17"/>
  <c r="AC177" i="17"/>
  <c r="AC297" i="17"/>
  <c r="AC157" i="17"/>
  <c r="AC284" i="17"/>
  <c r="AC197" i="17"/>
  <c r="AC311" i="17"/>
  <c r="AC325" i="17"/>
  <c r="AC320" i="17"/>
  <c r="AC158" i="17"/>
  <c r="AC344" i="17"/>
  <c r="AC199" i="17"/>
  <c r="AC313" i="17"/>
  <c r="AC172" i="17"/>
  <c r="AC353" i="17"/>
  <c r="AC214" i="17"/>
  <c r="AC319" i="17"/>
  <c r="AC144" i="17"/>
  <c r="AC193" i="17"/>
  <c r="AC167" i="17"/>
  <c r="AC265" i="17"/>
  <c r="AC188" i="17"/>
  <c r="AC303" i="17"/>
  <c r="AC337" i="17"/>
  <c r="AC351" i="17"/>
  <c r="AC235" i="17"/>
  <c r="AC272" i="17"/>
  <c r="AC151" i="17"/>
  <c r="AC286" i="17"/>
  <c r="AC166" i="17"/>
  <c r="AC140" i="17"/>
  <c r="AC300" i="17"/>
  <c r="AC133" i="17"/>
  <c r="AC278" i="17"/>
  <c r="AC275" i="17"/>
  <c r="AC318" i="17"/>
  <c r="AC146" i="17"/>
  <c r="AC273" i="17"/>
  <c r="AC339" i="17"/>
  <c r="AC170" i="17"/>
  <c r="AC350" i="17"/>
  <c r="AC191" i="17"/>
  <c r="AC281" i="17"/>
  <c r="AC138" i="17"/>
  <c r="AC221" i="17"/>
  <c r="AC145" i="17"/>
  <c r="AC134" i="17"/>
  <c r="AC293" i="17"/>
  <c r="AC362" i="17"/>
  <c r="AC257" i="17"/>
  <c r="AC227" i="17"/>
  <c r="AC327" i="17"/>
  <c r="AC127" i="17"/>
  <c r="AC262" i="17"/>
  <c r="AC373" i="17"/>
  <c r="AC196" i="17"/>
  <c r="AC139" i="17"/>
  <c r="AC239" i="17"/>
  <c r="AC348" i="17"/>
  <c r="AC194" i="17"/>
  <c r="AC266" i="17"/>
  <c r="AC147" i="17"/>
  <c r="AC379" i="17"/>
  <c r="AC256" i="17"/>
  <c r="AC364" i="17"/>
  <c r="AC184" i="17"/>
  <c r="AC148" i="17"/>
  <c r="AC208" i="17"/>
  <c r="AC376" i="17"/>
  <c r="AC223" i="17"/>
  <c r="AC323" i="17"/>
  <c r="AC143" i="17"/>
  <c r="AC336" i="17"/>
  <c r="AC294" i="17"/>
  <c r="AC374" i="17"/>
  <c r="AC159" i="17"/>
  <c r="AC279" i="17"/>
  <c r="AC128" i="17"/>
  <c r="AC356" i="17"/>
  <c r="AC246" i="17"/>
  <c r="AC349" i="17"/>
  <c r="AC211" i="17"/>
  <c r="AC338" i="17"/>
  <c r="AC263" i="17"/>
  <c r="AC328" i="17"/>
  <c r="AC205" i="17"/>
  <c r="AC316" i="17"/>
  <c r="AC136" i="17"/>
  <c r="AC365" i="17"/>
  <c r="AC371" i="17"/>
  <c r="AC250" i="17"/>
  <c r="AC369" i="17"/>
  <c r="AC234" i="17"/>
  <c r="AC180" i="17"/>
  <c r="AC171" i="17"/>
  <c r="AC216" i="17"/>
  <c r="AC156" i="17"/>
  <c r="AC224" i="17"/>
  <c r="AC290" i="17"/>
  <c r="AC149" i="17"/>
  <c r="AC137" i="17"/>
  <c r="AC296" i="17"/>
  <c r="AC370" i="17"/>
  <c r="AC219" i="17"/>
  <c r="AC207" i="17"/>
  <c r="AC287" i="17"/>
  <c r="AC261" i="17"/>
  <c r="AC141" i="17"/>
  <c r="AC249" i="17"/>
  <c r="AC210" i="17"/>
  <c r="AC160" i="17"/>
  <c r="AC308" i="17"/>
  <c r="AC132" i="17"/>
  <c r="AC301" i="17"/>
  <c r="AC321" i="17"/>
  <c r="AC130" i="17"/>
  <c r="AC124" i="17"/>
  <c r="AC285" i="17"/>
  <c r="AC358" i="17"/>
  <c r="AC247" i="17"/>
  <c r="AC200" i="17"/>
  <c r="AC236" i="17"/>
  <c r="AC355" i="17"/>
  <c r="AC332" i="17"/>
  <c r="AC307" i="17"/>
  <c r="AC314" i="17"/>
  <c r="AC352" i="17"/>
  <c r="AC232" i="17"/>
  <c r="AC289" i="17"/>
  <c r="AC283" i="17"/>
  <c r="AC366" i="17"/>
  <c r="AC363" i="17"/>
  <c r="AC274" i="17"/>
  <c r="AC306" i="17"/>
  <c r="AC372" i="17"/>
  <c r="AC277" i="17"/>
  <c r="AC268" i="17"/>
  <c r="AC309" i="17"/>
  <c r="AC322" i="17"/>
  <c r="AC206" i="17"/>
  <c r="AC209" i="17"/>
  <c r="AC229" i="17"/>
  <c r="AC340" i="17"/>
  <c r="AC163" i="17"/>
  <c r="AC126" i="17"/>
  <c r="AC251" i="17"/>
  <c r="AC231" i="17"/>
  <c r="AC218" i="17"/>
  <c r="AC190" i="17"/>
  <c r="AC222" i="17"/>
  <c r="AC324" i="17"/>
  <c r="AC154" i="17"/>
  <c r="AC150" i="17"/>
  <c r="AC299" i="17"/>
  <c r="AC215" i="17"/>
  <c r="AC189" i="17"/>
  <c r="AC203" i="17"/>
  <c r="AC153" i="17"/>
  <c r="AC329" i="17"/>
  <c r="AC173" i="17"/>
  <c r="AC252" i="17"/>
  <c r="AC359" i="17"/>
  <c r="AC225" i="17"/>
  <c r="AC213" i="17"/>
  <c r="AC192" i="17"/>
  <c r="AC361" i="17"/>
  <c r="AC135" i="17"/>
  <c r="AC165" i="17"/>
  <c r="AC260" i="17"/>
  <c r="AC375" i="17"/>
  <c r="AC347" i="17"/>
  <c r="AC244" i="17"/>
  <c r="AC259" i="17"/>
  <c r="AC292" i="17"/>
  <c r="AC168" i="17"/>
  <c r="AC317" i="17"/>
  <c r="AC269" i="17"/>
  <c r="AC304" i="17"/>
  <c r="AC357" i="17"/>
  <c r="AC217" i="17"/>
  <c r="AC237" i="17"/>
  <c r="AC267" i="17"/>
  <c r="AC187" i="17"/>
  <c r="AC302" i="17"/>
  <c r="AC295" i="17"/>
  <c r="AC345" i="17"/>
  <c r="AC10" i="18"/>
  <c r="AC137" i="18" s="1"/>
  <c r="E333" i="16"/>
  <c r="C54" i="7"/>
  <c r="C48" i="7"/>
  <c r="E149" i="16"/>
  <c r="C57" i="7"/>
  <c r="E60" i="17"/>
  <c r="C51" i="7"/>
  <c r="E241" i="16"/>
  <c r="C49" i="7"/>
  <c r="E180" i="16"/>
  <c r="E119" i="16"/>
  <c r="C47" i="7"/>
  <c r="C58" i="7"/>
  <c r="E88" i="17"/>
  <c r="C53" i="7"/>
  <c r="E302" i="16"/>
  <c r="E272" i="16"/>
  <c r="C52" i="7"/>
  <c r="E15" i="16"/>
  <c r="O383" i="16"/>
  <c r="O381" i="16"/>
  <c r="O382" i="16"/>
  <c r="E29" i="17"/>
  <c r="C56" i="7"/>
  <c r="C46" i="7"/>
  <c r="E88" i="16"/>
  <c r="E29" i="16"/>
  <c r="C44" i="7"/>
  <c r="C55" i="7"/>
  <c r="E363" i="16"/>
  <c r="O383" i="17"/>
  <c r="O382" i="17"/>
  <c r="E15" i="17"/>
  <c r="O381" i="17"/>
  <c r="E119" i="17"/>
  <c r="C59" i="7"/>
  <c r="E210" i="16"/>
  <c r="C50" i="7"/>
  <c r="C45" i="7"/>
  <c r="E60" i="16"/>
  <c r="AT13" i="7"/>
  <c r="O11" i="24"/>
  <c r="I348" i="1"/>
  <c r="AA345" i="1"/>
  <c r="Z345" i="1" s="1"/>
  <c r="Y345" i="1" s="1"/>
  <c r="AA25" i="1"/>
  <c r="Z25" i="1" s="1"/>
  <c r="Y25" i="1" s="1"/>
  <c r="V29" i="1"/>
  <c r="AA29" i="1" s="1"/>
  <c r="Z29" i="1" s="1"/>
  <c r="Y29" i="1" s="1"/>
  <c r="AA102" i="1"/>
  <c r="Z102" i="1" s="1"/>
  <c r="Y102" i="1" s="1"/>
  <c r="AA90" i="1"/>
  <c r="Z90" i="1" s="1"/>
  <c r="Y90" i="1" s="1"/>
  <c r="AA87" i="1"/>
  <c r="Z87" i="1" s="1"/>
  <c r="Y87" i="1" s="1"/>
  <c r="AA79" i="1"/>
  <c r="Z79" i="1" s="1"/>
  <c r="Y79" i="1" s="1"/>
  <c r="AA154" i="1"/>
  <c r="Z154" i="1" s="1"/>
  <c r="Y154" i="1" s="1"/>
  <c r="AA91" i="1"/>
  <c r="Z91" i="1" s="1"/>
  <c r="Y91" i="1" s="1"/>
  <c r="AA136" i="1"/>
  <c r="Z136" i="1" s="1"/>
  <c r="Y136" i="1" s="1"/>
  <c r="AA94" i="1"/>
  <c r="Z94" i="1" s="1"/>
  <c r="Y94" i="1" s="1"/>
  <c r="AA105" i="1"/>
  <c r="Z105" i="1" s="1"/>
  <c r="Y105" i="1" s="1"/>
  <c r="AA96" i="1"/>
  <c r="Z96" i="1" s="1"/>
  <c r="Y96" i="1" s="1"/>
  <c r="V88" i="1"/>
  <c r="AA88" i="1" s="1"/>
  <c r="Z88" i="1" s="1"/>
  <c r="Y88" i="1" s="1"/>
  <c r="AA92" i="1"/>
  <c r="Z92" i="1" s="1"/>
  <c r="Y92" i="1" s="1"/>
  <c r="AA161" i="1"/>
  <c r="Z161" i="1" s="1"/>
  <c r="Y161" i="1" s="1"/>
  <c r="AA93" i="1"/>
  <c r="Z93" i="1" s="1"/>
  <c r="Y93" i="1" s="1"/>
  <c r="AA104" i="1"/>
  <c r="Z104" i="1" s="1"/>
  <c r="Y104" i="1" s="1"/>
  <c r="AA141" i="1"/>
  <c r="Z141" i="1" s="1"/>
  <c r="Y141" i="1" s="1"/>
  <c r="AA97" i="1"/>
  <c r="Z97" i="1" s="1"/>
  <c r="Y97" i="1" s="1"/>
  <c r="AA80" i="1"/>
  <c r="Z80" i="1" s="1"/>
  <c r="Y80" i="1" s="1"/>
  <c r="AA103" i="1"/>
  <c r="Z103" i="1" s="1"/>
  <c r="Y103" i="1" s="1"/>
  <c r="AA138" i="1"/>
  <c r="Z138" i="1" s="1"/>
  <c r="Y138" i="1" s="1"/>
  <c r="AY13" i="6"/>
  <c r="AA137" i="1"/>
  <c r="Z137" i="1" s="1"/>
  <c r="Y137" i="1" s="1"/>
  <c r="AA83" i="1"/>
  <c r="Z83" i="1" s="1"/>
  <c r="Y83" i="1" s="1"/>
  <c r="AA19" i="1"/>
  <c r="Z19" i="1" s="1"/>
  <c r="Y19" i="1" s="1"/>
  <c r="AA35" i="1"/>
  <c r="Z35" i="1" s="1"/>
  <c r="Y35" i="1" s="1"/>
  <c r="AA34" i="1"/>
  <c r="Z34" i="1" s="1"/>
  <c r="Y34" i="1" s="1"/>
  <c r="AA82" i="1"/>
  <c r="Z82" i="1" s="1"/>
  <c r="Y82" i="1" s="1"/>
  <c r="AA78" i="1"/>
  <c r="Z78" i="1" s="1"/>
  <c r="Y78" i="1" s="1"/>
  <c r="AA144" i="1"/>
  <c r="Z144" i="1" s="1"/>
  <c r="Y144" i="1" s="1"/>
  <c r="AA150" i="1"/>
  <c r="Z150" i="1" s="1"/>
  <c r="Y150" i="1" s="1"/>
  <c r="AA158" i="1"/>
  <c r="Z158" i="1" s="1"/>
  <c r="Y158" i="1" s="1"/>
  <c r="AA95" i="1"/>
  <c r="Z95" i="1" s="1"/>
  <c r="Y95" i="1" s="1"/>
  <c r="AA156" i="1"/>
  <c r="Z156" i="1" s="1"/>
  <c r="Y156" i="1" s="1"/>
  <c r="AA21" i="1"/>
  <c r="Z21" i="1" s="1"/>
  <c r="Y21" i="1" s="1"/>
  <c r="AA18" i="1"/>
  <c r="Z18" i="1" s="1"/>
  <c r="Y18" i="1" s="1"/>
  <c r="AA28" i="1"/>
  <c r="Z28" i="1" s="1"/>
  <c r="Y28" i="1" s="1"/>
  <c r="AA148" i="1"/>
  <c r="Z148" i="1" s="1"/>
  <c r="Y148" i="1" s="1"/>
  <c r="AA159" i="1"/>
  <c r="Z159" i="1" s="1"/>
  <c r="Y159" i="1" s="1"/>
  <c r="AA81" i="1"/>
  <c r="Z81" i="1" s="1"/>
  <c r="Y81" i="1" s="1"/>
  <c r="AA100" i="1"/>
  <c r="Z100" i="1" s="1"/>
  <c r="Y100" i="1" s="1"/>
  <c r="AA152" i="1"/>
  <c r="Z152" i="1" s="1"/>
  <c r="Y152" i="1" s="1"/>
  <c r="AA155" i="1"/>
  <c r="Z155" i="1" s="1"/>
  <c r="Y155" i="1" s="1"/>
  <c r="AA160" i="1"/>
  <c r="Z160" i="1" s="1"/>
  <c r="Y160" i="1" s="1"/>
  <c r="AA86" i="1"/>
  <c r="Z86" i="1" s="1"/>
  <c r="Y86" i="1" s="1"/>
  <c r="AA134" i="1"/>
  <c r="Z134" i="1" s="1"/>
  <c r="Y134" i="1" s="1"/>
  <c r="AA143" i="1"/>
  <c r="Z143" i="1" s="1"/>
  <c r="Y143" i="1" s="1"/>
  <c r="AA146" i="1"/>
  <c r="Z146" i="1" s="1"/>
  <c r="Y146" i="1" s="1"/>
  <c r="AA85" i="1"/>
  <c r="Z85" i="1" s="1"/>
  <c r="Y85" i="1" s="1"/>
  <c r="AA135" i="1"/>
  <c r="Z135" i="1" s="1"/>
  <c r="Y135" i="1" s="1"/>
  <c r="AA17" i="1"/>
  <c r="Z17" i="1" s="1"/>
  <c r="Y17" i="1" s="1"/>
  <c r="AA15" i="1"/>
  <c r="Z15" i="1" s="1"/>
  <c r="Y15" i="1" s="1"/>
  <c r="AA22" i="1"/>
  <c r="Z22" i="1" s="1"/>
  <c r="Y22" i="1" s="1"/>
  <c r="AA31" i="1"/>
  <c r="Z31" i="1" s="1"/>
  <c r="Y31" i="1" s="1"/>
  <c r="AA32" i="1"/>
  <c r="Z32" i="1" s="1"/>
  <c r="Y32" i="1" s="1"/>
  <c r="AA101" i="1"/>
  <c r="Z101" i="1" s="1"/>
  <c r="Y101" i="1" s="1"/>
  <c r="AA142" i="1"/>
  <c r="Z142" i="1" s="1"/>
  <c r="Y142" i="1" s="1"/>
  <c r="AA139" i="1"/>
  <c r="Z139" i="1" s="1"/>
  <c r="Y139" i="1" s="1"/>
  <c r="AA99" i="1"/>
  <c r="Z99" i="1" s="1"/>
  <c r="Y99" i="1" s="1"/>
  <c r="AA98" i="1"/>
  <c r="Z98" i="1" s="1"/>
  <c r="Y98" i="1" s="1"/>
  <c r="AA84" i="1"/>
  <c r="Z84" i="1" s="1"/>
  <c r="Y84" i="1" s="1"/>
  <c r="AA140" i="1"/>
  <c r="Z140" i="1" s="1"/>
  <c r="Y140" i="1" s="1"/>
  <c r="AA33" i="1"/>
  <c r="Z33" i="1" s="1"/>
  <c r="Y33" i="1" s="1"/>
  <c r="AA24" i="1"/>
  <c r="Z24" i="1" s="1"/>
  <c r="Y24" i="1" s="1"/>
  <c r="AA20" i="1"/>
  <c r="Z20" i="1" s="1"/>
  <c r="Y20" i="1" s="1"/>
  <c r="AA23" i="1"/>
  <c r="Z23" i="1" s="1"/>
  <c r="Y23" i="1" s="1"/>
  <c r="O382" i="18"/>
  <c r="O383" i="18"/>
  <c r="O381" i="18"/>
  <c r="E8" i="20"/>
  <c r="K16" i="19" s="1"/>
  <c r="E7" i="20"/>
  <c r="AY12" i="6"/>
  <c r="L61" i="19"/>
  <c r="I317" i="1"/>
  <c r="AA317" i="1"/>
  <c r="Z317" i="1" s="1"/>
  <c r="Y317" i="1" s="1"/>
  <c r="G317" i="1"/>
  <c r="BW317" i="6" s="1"/>
  <c r="G326" i="1"/>
  <c r="BW326" i="6" s="1"/>
  <c r="I326" i="1"/>
  <c r="AA326" i="1"/>
  <c r="Z326" i="1" s="1"/>
  <c r="Y326" i="1" s="1"/>
  <c r="G357" i="1"/>
  <c r="BW357" i="6" s="1"/>
  <c r="I357" i="1"/>
  <c r="AA357" i="1"/>
  <c r="Z357" i="1" s="1"/>
  <c r="Y357" i="1" s="1"/>
  <c r="G318" i="1"/>
  <c r="BW318" i="6" s="1"/>
  <c r="I318" i="1"/>
  <c r="AA318" i="1"/>
  <c r="Z318" i="1" s="1"/>
  <c r="Y318" i="1" s="1"/>
  <c r="I354" i="1"/>
  <c r="G354" i="1"/>
  <c r="BW354" i="6" s="1"/>
  <c r="AA354" i="1"/>
  <c r="Z354" i="1" s="1"/>
  <c r="Y354" i="1" s="1"/>
  <c r="I338" i="1"/>
  <c r="AA338" i="1"/>
  <c r="Z338" i="1" s="1"/>
  <c r="Y338" i="1" s="1"/>
  <c r="G338" i="1"/>
  <c r="BW338" i="6" s="1"/>
  <c r="AA342" i="1"/>
  <c r="Z342" i="1" s="1"/>
  <c r="Y342" i="1" s="1"/>
  <c r="G342" i="1"/>
  <c r="BW342" i="6" s="1"/>
  <c r="I342" i="1"/>
  <c r="G324" i="1"/>
  <c r="BW324" i="6" s="1"/>
  <c r="AA324" i="1"/>
  <c r="Z324" i="1" s="1"/>
  <c r="Y324" i="1" s="1"/>
  <c r="I324" i="1"/>
  <c r="I334" i="1"/>
  <c r="G334" i="1"/>
  <c r="BW334" i="6" s="1"/>
  <c r="AA334" i="1"/>
  <c r="Z334" i="1" s="1"/>
  <c r="Y334" i="1" s="1"/>
  <c r="I321" i="1"/>
  <c r="G321" i="1"/>
  <c r="BW321" i="6" s="1"/>
  <c r="AA321" i="1"/>
  <c r="Z321" i="1" s="1"/>
  <c r="Y321" i="1" s="1"/>
  <c r="I335" i="1"/>
  <c r="AA335" i="1"/>
  <c r="Z335" i="1" s="1"/>
  <c r="Y335" i="1" s="1"/>
  <c r="G335" i="1"/>
  <c r="BW335" i="6" s="1"/>
  <c r="I328" i="1"/>
  <c r="G328" i="1"/>
  <c r="BW328" i="6" s="1"/>
  <c r="AA328" i="1"/>
  <c r="Z328" i="1" s="1"/>
  <c r="Y328" i="1" s="1"/>
  <c r="AT13" i="6"/>
  <c r="AT12" i="6"/>
  <c r="AZ15" i="6"/>
  <c r="I325" i="1"/>
  <c r="AA325" i="1"/>
  <c r="Z325" i="1" s="1"/>
  <c r="Y325" i="1" s="1"/>
  <c r="G325" i="1"/>
  <c r="BW325" i="6" s="1"/>
  <c r="AA339" i="1"/>
  <c r="Z339" i="1" s="1"/>
  <c r="Y339" i="1" s="1"/>
  <c r="I339" i="1"/>
  <c r="G339" i="1"/>
  <c r="BW339" i="6" s="1"/>
  <c r="I340" i="1"/>
  <c r="G340" i="1"/>
  <c r="BW340" i="6" s="1"/>
  <c r="AA340" i="1"/>
  <c r="Z340" i="1" s="1"/>
  <c r="Y340" i="1" s="1"/>
  <c r="AA330" i="1"/>
  <c r="Z330" i="1" s="1"/>
  <c r="Y330" i="1" s="1"/>
  <c r="I330" i="1"/>
  <c r="G330" i="1"/>
  <c r="BW330" i="6" s="1"/>
  <c r="I323" i="1"/>
  <c r="G323" i="1"/>
  <c r="BW323" i="6" s="1"/>
  <c r="AA323" i="1"/>
  <c r="Z323" i="1" s="1"/>
  <c r="Y323" i="1" s="1"/>
  <c r="I337" i="1"/>
  <c r="AA337" i="1"/>
  <c r="Z337" i="1" s="1"/>
  <c r="Y337" i="1" s="1"/>
  <c r="G337" i="1"/>
  <c r="BW337" i="6" s="1"/>
  <c r="AA316" i="1"/>
  <c r="Z316" i="1" s="1"/>
  <c r="Y316" i="1" s="1"/>
  <c r="G316" i="1"/>
  <c r="BW316" i="6" s="1"/>
  <c r="I316" i="1"/>
  <c r="G343" i="1"/>
  <c r="BW343" i="6" s="1"/>
  <c r="AA343" i="1"/>
  <c r="Z343" i="1" s="1"/>
  <c r="Y343" i="1" s="1"/>
  <c r="I343" i="1"/>
  <c r="AA341" i="1"/>
  <c r="Z341" i="1" s="1"/>
  <c r="Y341" i="1" s="1"/>
  <c r="G341" i="1"/>
  <c r="BW341" i="6" s="1"/>
  <c r="I341" i="1"/>
  <c r="G329" i="1"/>
  <c r="BW329" i="6" s="1"/>
  <c r="AA329" i="1"/>
  <c r="Z329" i="1" s="1"/>
  <c r="Y329" i="1" s="1"/>
  <c r="I329" i="1"/>
  <c r="I331" i="1"/>
  <c r="AA331" i="1"/>
  <c r="Z331" i="1" s="1"/>
  <c r="Y331" i="1" s="1"/>
  <c r="G331" i="1"/>
  <c r="BW331" i="6" s="1"/>
  <c r="G336" i="1"/>
  <c r="BW336" i="6" s="1"/>
  <c r="AA336" i="1"/>
  <c r="Z336" i="1" s="1"/>
  <c r="Y336" i="1" s="1"/>
  <c r="I336" i="1"/>
  <c r="K61" i="19"/>
  <c r="F320" i="1"/>
  <c r="AA351" i="1"/>
  <c r="Z351" i="1" s="1"/>
  <c r="Y351" i="1" s="1"/>
  <c r="G351" i="1"/>
  <c r="BW351" i="6" s="1"/>
  <c r="I351" i="1"/>
  <c r="I319" i="1"/>
  <c r="G319" i="1"/>
  <c r="BW319" i="6" s="1"/>
  <c r="AA319" i="1"/>
  <c r="Z319" i="1" s="1"/>
  <c r="Y319" i="1" s="1"/>
  <c r="I350" i="1"/>
  <c r="G350" i="1"/>
  <c r="BW350" i="6" s="1"/>
  <c r="AA350" i="1"/>
  <c r="Z350" i="1" s="1"/>
  <c r="Y350" i="1" s="1"/>
  <c r="AA333" i="1"/>
  <c r="Z333" i="1" s="1"/>
  <c r="Y333" i="1" s="1"/>
  <c r="I333" i="1"/>
  <c r="G333" i="1"/>
  <c r="BW333" i="6" s="1"/>
  <c r="AA44" i="1"/>
  <c r="Z44" i="1" s="1"/>
  <c r="Y44" i="1" s="1"/>
  <c r="AA322" i="1"/>
  <c r="Z322" i="1" s="1"/>
  <c r="Y322" i="1" s="1"/>
  <c r="I322" i="1"/>
  <c r="G322" i="1"/>
  <c r="BW322" i="6" s="1"/>
  <c r="AA332" i="1"/>
  <c r="Z332" i="1" s="1"/>
  <c r="Y332" i="1" s="1"/>
  <c r="G332" i="1"/>
  <c r="BW332" i="6" s="1"/>
  <c r="I332" i="1"/>
  <c r="G352" i="1"/>
  <c r="BW352" i="6" s="1"/>
  <c r="AA352" i="1"/>
  <c r="Z352" i="1" s="1"/>
  <c r="Y352" i="1" s="1"/>
  <c r="I352" i="1"/>
  <c r="I349" i="1"/>
  <c r="G349" i="1"/>
  <c r="BW349" i="6" s="1"/>
  <c r="AA349" i="1"/>
  <c r="Z349" i="1" s="1"/>
  <c r="Y349" i="1" s="1"/>
  <c r="Y30" i="1"/>
  <c r="G327" i="1"/>
  <c r="BW327" i="6" s="1"/>
  <c r="I327" i="1"/>
  <c r="AA327" i="1"/>
  <c r="Z327" i="1" s="1"/>
  <c r="Y327" i="1" s="1"/>
  <c r="H260" i="15" l="1"/>
  <c r="I260" i="15" s="1"/>
  <c r="H267" i="15"/>
  <c r="I267" i="15" s="1"/>
  <c r="P157" i="15"/>
  <c r="V157" i="15" s="1"/>
  <c r="F157" i="15" s="1"/>
  <c r="G157" i="15" s="1"/>
  <c r="BX157" i="6" s="1"/>
  <c r="K40" i="19"/>
  <c r="P81" i="15"/>
  <c r="V81" i="15" s="1"/>
  <c r="F81" i="15" s="1"/>
  <c r="G81" i="15" s="1"/>
  <c r="BX81" i="6" s="1"/>
  <c r="AC36" i="18"/>
  <c r="AC29" i="18"/>
  <c r="AC42" i="18"/>
  <c r="AC30" i="18"/>
  <c r="AC37" i="18"/>
  <c r="AC40" i="18"/>
  <c r="AC15" i="18"/>
  <c r="AC41" i="18"/>
  <c r="AC43" i="18"/>
  <c r="AC35" i="18"/>
  <c r="AC24" i="18"/>
  <c r="AC21" i="18"/>
  <c r="AC32" i="18"/>
  <c r="AC19" i="18"/>
  <c r="AC23" i="18"/>
  <c r="AC39" i="18"/>
  <c r="AC20" i="18"/>
  <c r="AC45" i="18"/>
  <c r="AC26" i="18"/>
  <c r="AC28" i="18"/>
  <c r="AC31" i="18"/>
  <c r="AC16" i="18"/>
  <c r="AC33" i="18"/>
  <c r="AC38" i="18"/>
  <c r="AC25" i="18"/>
  <c r="AC22" i="18"/>
  <c r="AC18" i="18"/>
  <c r="AC34" i="18"/>
  <c r="AC17" i="18"/>
  <c r="AC27" i="18"/>
  <c r="AC44" i="18"/>
  <c r="P103" i="15"/>
  <c r="V103" i="15" s="1"/>
  <c r="F103" i="15" s="1"/>
  <c r="G103" i="15" s="1"/>
  <c r="BX103" i="6" s="1"/>
  <c r="P21" i="15"/>
  <c r="V21" i="15" s="1"/>
  <c r="F21" i="15" s="1"/>
  <c r="G21" i="15" s="1"/>
  <c r="BX21" i="6" s="1"/>
  <c r="P136" i="15"/>
  <c r="V136" i="15" s="1"/>
  <c r="F136" i="15" s="1"/>
  <c r="H136" i="15" s="1"/>
  <c r="H288" i="15"/>
  <c r="I288" i="15" s="1"/>
  <c r="H115" i="15"/>
  <c r="I115" i="15" s="1"/>
  <c r="P83" i="15"/>
  <c r="V83" i="15" s="1"/>
  <c r="F83" i="15" s="1"/>
  <c r="G83" i="15" s="1"/>
  <c r="BX83" i="6" s="1"/>
  <c r="P87" i="15"/>
  <c r="V87" i="15" s="1"/>
  <c r="F87" i="15" s="1"/>
  <c r="H87" i="15" s="1"/>
  <c r="I87" i="15" s="1"/>
  <c r="P33" i="15"/>
  <c r="V33" i="15" s="1"/>
  <c r="F33" i="15" s="1"/>
  <c r="G33" i="15" s="1"/>
  <c r="BX33" i="6" s="1"/>
  <c r="P100" i="15"/>
  <c r="V100" i="15" s="1"/>
  <c r="F100" i="15" s="1"/>
  <c r="G100" i="15" s="1"/>
  <c r="BX100" i="6" s="1"/>
  <c r="P141" i="15"/>
  <c r="V141" i="15" s="1"/>
  <c r="F141" i="15" s="1"/>
  <c r="G141" i="15" s="1"/>
  <c r="BX141" i="6" s="1"/>
  <c r="U12" i="16"/>
  <c r="O16" i="7" s="1"/>
  <c r="P152" i="15"/>
  <c r="V152" i="15" s="1"/>
  <c r="F152" i="15" s="1"/>
  <c r="H152" i="15" s="1"/>
  <c r="I152" i="15" s="1"/>
  <c r="AA115" i="15"/>
  <c r="Z115" i="15" s="1"/>
  <c r="Y115" i="15" s="1"/>
  <c r="L39" i="19"/>
  <c r="L37" i="19"/>
  <c r="V379" i="15"/>
  <c r="F379" i="15" s="1"/>
  <c r="G379" i="15" s="1"/>
  <c r="BX379" i="6" s="1"/>
  <c r="D36" i="19"/>
  <c r="BA13" i="7"/>
  <c r="L38" i="19"/>
  <c r="AC72" i="18"/>
  <c r="AC78" i="18"/>
  <c r="AC91" i="18"/>
  <c r="AC60" i="18"/>
  <c r="AC46" i="18"/>
  <c r="AC58" i="18"/>
  <c r="AC64" i="18"/>
  <c r="AC56" i="18"/>
  <c r="AC59" i="18"/>
  <c r="AC84" i="18"/>
  <c r="AC71" i="18"/>
  <c r="AC47" i="18"/>
  <c r="AC50" i="18"/>
  <c r="AC93" i="18"/>
  <c r="AC69" i="18"/>
  <c r="AC104" i="18"/>
  <c r="AC51" i="18"/>
  <c r="AC88" i="18"/>
  <c r="AC86" i="18"/>
  <c r="AC68" i="18"/>
  <c r="AC55" i="18"/>
  <c r="AC79" i="18"/>
  <c r="AC82" i="18"/>
  <c r="AC57" i="18"/>
  <c r="AC73" i="18"/>
  <c r="AC90" i="18"/>
  <c r="AC89" i="18"/>
  <c r="AC53" i="18"/>
  <c r="AC85" i="18"/>
  <c r="AC87" i="18"/>
  <c r="AC54" i="18"/>
  <c r="AC63" i="18"/>
  <c r="AC99" i="18"/>
  <c r="AC65" i="18"/>
  <c r="AC62" i="18"/>
  <c r="AC52" i="18"/>
  <c r="AC80" i="18"/>
  <c r="AC48" i="18"/>
  <c r="AC75" i="18"/>
  <c r="AC67" i="18"/>
  <c r="AC66" i="18"/>
  <c r="AC70" i="18"/>
  <c r="AC61" i="18"/>
  <c r="AC49" i="18"/>
  <c r="AC96" i="18"/>
  <c r="AC74" i="18"/>
  <c r="AC95" i="18"/>
  <c r="AC98" i="18"/>
  <c r="AC97" i="18"/>
  <c r="AC83" i="18"/>
  <c r="AC102" i="18"/>
  <c r="AC76" i="18"/>
  <c r="AC77" i="18"/>
  <c r="AC103" i="18"/>
  <c r="AC101" i="18"/>
  <c r="AC81" i="18"/>
  <c r="AC100" i="18"/>
  <c r="AC94" i="18"/>
  <c r="AC92" i="18"/>
  <c r="P150" i="15"/>
  <c r="V150" i="15" s="1"/>
  <c r="F150" i="15" s="1"/>
  <c r="G150" i="15" s="1"/>
  <c r="BX150" i="6" s="1"/>
  <c r="P98" i="15"/>
  <c r="V98" i="15" s="1"/>
  <c r="F98" i="15" s="1"/>
  <c r="G98" i="15" s="1"/>
  <c r="BX98" i="6" s="1"/>
  <c r="AC133" i="18"/>
  <c r="AC248" i="18"/>
  <c r="AC116" i="18"/>
  <c r="AC289" i="18"/>
  <c r="AC110" i="18"/>
  <c r="AC132" i="18"/>
  <c r="AC120" i="18"/>
  <c r="AC122" i="18"/>
  <c r="AC130" i="18"/>
  <c r="AC123" i="18"/>
  <c r="AC117" i="18"/>
  <c r="AC126" i="18"/>
  <c r="AC125" i="18"/>
  <c r="AC127" i="18"/>
  <c r="AC131" i="18"/>
  <c r="AC112" i="18"/>
  <c r="AC109" i="18"/>
  <c r="AC128" i="18"/>
  <c r="AC311" i="18"/>
  <c r="AC236" i="18"/>
  <c r="AC124" i="18"/>
  <c r="AC232" i="18"/>
  <c r="AC129" i="18"/>
  <c r="AC111" i="18"/>
  <c r="AC119" i="18"/>
  <c r="AC106" i="18"/>
  <c r="AC113" i="18"/>
  <c r="AC115" i="18"/>
  <c r="AC118" i="18"/>
  <c r="AC121" i="18"/>
  <c r="AC114" i="18"/>
  <c r="AC108" i="18"/>
  <c r="AC105" i="18"/>
  <c r="AC107" i="18"/>
  <c r="AY11" i="7"/>
  <c r="Q11" i="24" s="1"/>
  <c r="P11" i="24"/>
  <c r="AX15" i="7"/>
  <c r="AK24" i="23"/>
  <c r="AK41" i="23"/>
  <c r="AK60" i="23"/>
  <c r="AK62" i="23"/>
  <c r="AK81" i="23"/>
  <c r="AK105" i="23"/>
  <c r="AK136" i="23"/>
  <c r="AK101" i="23"/>
  <c r="AK135" i="23"/>
  <c r="AK166" i="23"/>
  <c r="AK205" i="23"/>
  <c r="AK181" i="23"/>
  <c r="AK207" i="23"/>
  <c r="AK234" i="23"/>
  <c r="AK266" i="23"/>
  <c r="AK293" i="23"/>
  <c r="AK211" i="23"/>
  <c r="AK245" i="23"/>
  <c r="AK279" i="23"/>
  <c r="AK316" i="23"/>
  <c r="AK361" i="23"/>
  <c r="AK333" i="23"/>
  <c r="AK360" i="23"/>
  <c r="AK18" i="23"/>
  <c r="AK52" i="23"/>
  <c r="AK86" i="23"/>
  <c r="AK144" i="23"/>
  <c r="AK148" i="23"/>
  <c r="AK156" i="23"/>
  <c r="AK215" i="23"/>
  <c r="AK275" i="23"/>
  <c r="AK223" i="23"/>
  <c r="AK297" i="23"/>
  <c r="AK373" i="23"/>
  <c r="AK368" i="23"/>
  <c r="AK37" i="23"/>
  <c r="AK75" i="23"/>
  <c r="AK31" i="23"/>
  <c r="AK64" i="23"/>
  <c r="AK87" i="23"/>
  <c r="AK88" i="23"/>
  <c r="AK157" i="23"/>
  <c r="AK168" i="23"/>
  <c r="AK224" i="23"/>
  <c r="AK285" i="23"/>
  <c r="AK235" i="23"/>
  <c r="AK305" i="23"/>
  <c r="AK325" i="23"/>
  <c r="AK378" i="23"/>
  <c r="AK77" i="23"/>
  <c r="AK118" i="23"/>
  <c r="AK195" i="23"/>
  <c r="AK311" i="23"/>
  <c r="AK343" i="23"/>
  <c r="AK32" i="23"/>
  <c r="AK92" i="23"/>
  <c r="AK90" i="23"/>
  <c r="AK158" i="23"/>
  <c r="AK169" i="23"/>
  <c r="AK225" i="23"/>
  <c r="AK287" i="23"/>
  <c r="AK236" i="23"/>
  <c r="AK306" i="23"/>
  <c r="AK327" i="23"/>
  <c r="AK379" i="23"/>
  <c r="AK74" i="23"/>
  <c r="AK113" i="23"/>
  <c r="AK190" i="23"/>
  <c r="AK303" i="23"/>
  <c r="AK335" i="23"/>
  <c r="AK42" i="23"/>
  <c r="AK170" i="23"/>
  <c r="AK246" i="23"/>
  <c r="AK35" i="23"/>
  <c r="AK116" i="23"/>
  <c r="AK192" i="23"/>
  <c r="AK308" i="23"/>
  <c r="AK341" i="23"/>
  <c r="AK17" i="23"/>
  <c r="AK71" i="23"/>
  <c r="AK133" i="23"/>
  <c r="AK203" i="23"/>
  <c r="AK320" i="23"/>
  <c r="AK356" i="23"/>
  <c r="AK16" i="23"/>
  <c r="AK206" i="23"/>
  <c r="AK281" i="23"/>
  <c r="AK70" i="23"/>
  <c r="AK134" i="23"/>
  <c r="AK204" i="23"/>
  <c r="AK321" i="23"/>
  <c r="AK357" i="23"/>
  <c r="AK380" i="23"/>
  <c r="AK33" i="23"/>
  <c r="AK49" i="23"/>
  <c r="AK50" i="23"/>
  <c r="AK67" i="23"/>
  <c r="AK98" i="23"/>
  <c r="AK128" i="23"/>
  <c r="AK93" i="23"/>
  <c r="AK160" i="23"/>
  <c r="AK171" i="23"/>
  <c r="AK227" i="23"/>
  <c r="AK289" i="23"/>
  <c r="AK237" i="23"/>
  <c r="AK307" i="23"/>
  <c r="AK328" i="23"/>
  <c r="F8" i="23"/>
  <c r="AK69" i="23"/>
  <c r="AK130" i="23"/>
  <c r="AK202" i="23"/>
  <c r="AK318" i="23"/>
  <c r="AK352" i="23"/>
  <c r="AK38" i="23"/>
  <c r="AK21" i="23"/>
  <c r="AK83" i="23"/>
  <c r="AK140" i="23"/>
  <c r="AK210" i="23"/>
  <c r="AK216" i="23"/>
  <c r="AK367" i="23"/>
  <c r="AK63" i="23"/>
  <c r="AK167" i="23"/>
  <c r="AK304" i="23"/>
  <c r="AK66" i="23"/>
  <c r="AK142" i="23"/>
  <c r="AK212" i="23"/>
  <c r="AK217" i="23"/>
  <c r="AK370" i="23"/>
  <c r="AK56" i="23"/>
  <c r="AK159" i="23"/>
  <c r="AK298" i="23"/>
  <c r="AK104" i="23"/>
  <c r="AK22" i="23"/>
  <c r="AK162" i="23"/>
  <c r="AK300" i="23"/>
  <c r="AK53" i="23"/>
  <c r="AK177" i="23"/>
  <c r="AK314" i="23"/>
  <c r="AK138" i="23"/>
  <c r="AK46" i="23"/>
  <c r="AK180" i="23"/>
  <c r="AK315" i="23"/>
  <c r="AK145" i="23"/>
  <c r="AK154" i="23"/>
  <c r="AK213" i="23"/>
  <c r="AK274" i="23"/>
  <c r="AK218" i="23"/>
  <c r="AK288" i="23"/>
  <c r="AK372" i="23"/>
  <c r="AK365" i="23"/>
  <c r="AK51" i="23"/>
  <c r="AK94" i="23"/>
  <c r="AK173" i="23"/>
  <c r="AK290" i="23"/>
  <c r="AK309" i="23"/>
  <c r="AK19" i="23"/>
  <c r="AK80" i="23"/>
  <c r="AK68" i="23"/>
  <c r="AK106" i="23"/>
  <c r="AK186" i="23"/>
  <c r="AK295" i="23"/>
  <c r="AK322" i="23"/>
  <c r="AK29" i="23"/>
  <c r="AK155" i="23"/>
  <c r="AK231" i="23"/>
  <c r="AK48" i="23"/>
  <c r="AK107" i="23"/>
  <c r="AK187" i="23"/>
  <c r="AK296" i="23"/>
  <c r="AK326" i="23"/>
  <c r="AK26" i="23"/>
  <c r="AK150" i="23"/>
  <c r="AK226" i="23"/>
  <c r="AK65" i="23"/>
  <c r="AK319" i="23"/>
  <c r="AK151" i="23"/>
  <c r="AK229" i="23"/>
  <c r="AK36" i="23"/>
  <c r="AK163" i="23"/>
  <c r="AK240" i="23"/>
  <c r="AK82" i="23"/>
  <c r="AK366" i="23"/>
  <c r="AK165" i="23"/>
  <c r="AK244" i="23"/>
  <c r="AK28" i="23"/>
  <c r="AK39" i="23"/>
  <c r="AK61" i="23"/>
  <c r="AK76" i="23"/>
  <c r="AK95" i="23"/>
  <c r="AK121" i="23"/>
  <c r="AK149" i="23"/>
  <c r="AK117" i="23"/>
  <c r="AK152" i="23"/>
  <c r="AK183" i="23"/>
  <c r="AK164" i="23"/>
  <c r="AK194" i="23"/>
  <c r="AK221" i="23"/>
  <c r="AK253" i="23"/>
  <c r="AK282" i="23"/>
  <c r="AK310" i="23"/>
  <c r="AK230" i="23"/>
  <c r="AK263" i="23"/>
  <c r="AK301" i="23"/>
  <c r="AK342" i="23"/>
  <c r="AK323" i="23"/>
  <c r="AK349" i="23"/>
  <c r="AK374" i="23"/>
  <c r="AK20" i="23"/>
  <c r="AK73" i="23"/>
  <c r="AK115" i="23"/>
  <c r="AK111" i="23"/>
  <c r="AK176" i="23"/>
  <c r="AK189" i="23"/>
  <c r="AK247" i="23"/>
  <c r="AK302" i="23"/>
  <c r="AK254" i="23"/>
  <c r="AK334" i="23"/>
  <c r="AK340" i="23"/>
  <c r="AK27" i="23"/>
  <c r="AK57" i="23"/>
  <c r="AK91" i="23"/>
  <c r="AK47" i="23"/>
  <c r="AK78" i="23"/>
  <c r="AK125" i="23"/>
  <c r="AK123" i="23"/>
  <c r="AK185" i="23"/>
  <c r="AK196" i="23"/>
  <c r="AK256" i="23"/>
  <c r="AK312" i="23"/>
  <c r="AK268" i="23"/>
  <c r="AK345" i="23"/>
  <c r="AK351" i="23"/>
  <c r="AK40" i="23"/>
  <c r="AK122" i="23"/>
  <c r="AK184" i="23"/>
  <c r="AK255" i="23"/>
  <c r="AK264" i="23"/>
  <c r="AK350" i="23"/>
  <c r="AK43" i="23"/>
  <c r="AK127" i="23"/>
  <c r="AK124" i="23"/>
  <c r="AK191" i="23"/>
  <c r="AK198" i="23"/>
  <c r="AK258" i="23"/>
  <c r="AK313" i="23"/>
  <c r="AK270" i="23"/>
  <c r="AK347" i="23"/>
  <c r="AK353" i="23"/>
  <c r="AK23" i="23"/>
  <c r="AK119" i="23"/>
  <c r="AK178" i="23"/>
  <c r="AK249" i="23"/>
  <c r="AK257" i="23"/>
  <c r="AK344" i="23"/>
  <c r="AK109" i="23"/>
  <c r="AK238" i="23"/>
  <c r="AK336" i="23"/>
  <c r="AK120" i="23"/>
  <c r="AK179" i="23"/>
  <c r="AK251" i="23"/>
  <c r="AK261" i="23"/>
  <c r="AK346" i="23"/>
  <c r="AK58" i="23"/>
  <c r="AK131" i="23"/>
  <c r="AK199" i="23"/>
  <c r="AK262" i="23"/>
  <c r="AK277" i="23"/>
  <c r="AK358" i="23"/>
  <c r="AK137" i="23"/>
  <c r="AK267" i="23"/>
  <c r="AK362" i="23"/>
  <c r="AK132" i="23"/>
  <c r="AK200" i="23"/>
  <c r="AK265" i="23"/>
  <c r="AK278" i="23"/>
  <c r="AK359" i="23"/>
  <c r="AK15" i="23"/>
  <c r="P12" i="23"/>
  <c r="AK44" i="23"/>
  <c r="AK72" i="23"/>
  <c r="AK85" i="23"/>
  <c r="AK114" i="23"/>
  <c r="AK143" i="23"/>
  <c r="AK126" i="23"/>
  <c r="AK193" i="23"/>
  <c r="AK201" i="23"/>
  <c r="AK259" i="23"/>
  <c r="AK317" i="23"/>
  <c r="AK271" i="23"/>
  <c r="AK348" i="23"/>
  <c r="AK354" i="23"/>
  <c r="AK55" i="23"/>
  <c r="AK129" i="23"/>
  <c r="AK197" i="23"/>
  <c r="AK260" i="23"/>
  <c r="AK273" i="23"/>
  <c r="AK355" i="23"/>
  <c r="AK54" i="23"/>
  <c r="AK30" i="23"/>
  <c r="AK139" i="23"/>
  <c r="AK208" i="23"/>
  <c r="AK269" i="23"/>
  <c r="AK284" i="23"/>
  <c r="AK363" i="23"/>
  <c r="AK79" i="23"/>
  <c r="AK283" i="23"/>
  <c r="AK375" i="23"/>
  <c r="AK141" i="23"/>
  <c r="AK153" i="23"/>
  <c r="AK272" i="23"/>
  <c r="AK286" i="23"/>
  <c r="AK364" i="23"/>
  <c r="AK146" i="23"/>
  <c r="AK276" i="23"/>
  <c r="AK369" i="23"/>
  <c r="AK294" i="23"/>
  <c r="AK147" i="23"/>
  <c r="AK280" i="23"/>
  <c r="AK371" i="23"/>
  <c r="AK97" i="23"/>
  <c r="AK291" i="23"/>
  <c r="AK25" i="23"/>
  <c r="AK214" i="23"/>
  <c r="AK100" i="23"/>
  <c r="AK292" i="23"/>
  <c r="AK108" i="23"/>
  <c r="AK175" i="23"/>
  <c r="AK188" i="23"/>
  <c r="AK243" i="23"/>
  <c r="AK299" i="23"/>
  <c r="AK252" i="23"/>
  <c r="AK332" i="23"/>
  <c r="AK339" i="23"/>
  <c r="AK34" i="23"/>
  <c r="AK99" i="23"/>
  <c r="AK161" i="23"/>
  <c r="AK228" i="23"/>
  <c r="AK239" i="23"/>
  <c r="AK329" i="23"/>
  <c r="AK59" i="23"/>
  <c r="AK45" i="23"/>
  <c r="AK110" i="23"/>
  <c r="AK172" i="23"/>
  <c r="AK241" i="23"/>
  <c r="AK248" i="23"/>
  <c r="AK337" i="23"/>
  <c r="AK96" i="23"/>
  <c r="AK222" i="23"/>
  <c r="AK324" i="23"/>
  <c r="AK112" i="23"/>
  <c r="AK174" i="23"/>
  <c r="AK242" i="23"/>
  <c r="AK250" i="23"/>
  <c r="AK338" i="23"/>
  <c r="AK89" i="23"/>
  <c r="AK219" i="23"/>
  <c r="AK376" i="23"/>
  <c r="AK182" i="23"/>
  <c r="AK84" i="23"/>
  <c r="AK220" i="23"/>
  <c r="AK377" i="23"/>
  <c r="AK102" i="23"/>
  <c r="AK232" i="23"/>
  <c r="AK330" i="23"/>
  <c r="AK209" i="23"/>
  <c r="AK103" i="23"/>
  <c r="AK233" i="23"/>
  <c r="AK331" i="23"/>
  <c r="P10" i="22"/>
  <c r="L17" i="19"/>
  <c r="AA122" i="15"/>
  <c r="Z122" i="15" s="1"/>
  <c r="Y122" i="15" s="1"/>
  <c r="H179" i="15"/>
  <c r="J179" i="15" s="1"/>
  <c r="G221" i="15"/>
  <c r="BX221" i="6" s="1"/>
  <c r="G186" i="15"/>
  <c r="BX186" i="6" s="1"/>
  <c r="P26" i="15"/>
  <c r="V26" i="15" s="1"/>
  <c r="F26" i="15" s="1"/>
  <c r="H26" i="15" s="1"/>
  <c r="I26" i="15" s="1"/>
  <c r="P23" i="15"/>
  <c r="V23" i="15" s="1"/>
  <c r="F23" i="15" s="1"/>
  <c r="H23" i="15" s="1"/>
  <c r="J23" i="15" s="1"/>
  <c r="J16" i="7"/>
  <c r="P11" i="7" s="1"/>
  <c r="U11" i="16" s="1"/>
  <c r="P300" i="15"/>
  <c r="V300" i="15" s="1"/>
  <c r="F300" i="15" s="1"/>
  <c r="G300" i="15" s="1"/>
  <c r="BX300" i="6" s="1"/>
  <c r="P50" i="15"/>
  <c r="V50" i="15" s="1"/>
  <c r="F50" i="15" s="1"/>
  <c r="G50" i="15" s="1"/>
  <c r="BX50" i="6" s="1"/>
  <c r="P302" i="15"/>
  <c r="V302" i="15" s="1"/>
  <c r="F302" i="15" s="1"/>
  <c r="P329" i="15"/>
  <c r="V329" i="15" s="1"/>
  <c r="F329" i="15" s="1"/>
  <c r="H329" i="15" s="1"/>
  <c r="I329" i="15" s="1"/>
  <c r="P363" i="15"/>
  <c r="V363" i="15" s="1"/>
  <c r="P375" i="15"/>
  <c r="V375" i="15" s="1"/>
  <c r="F375" i="15" s="1"/>
  <c r="P341" i="15"/>
  <c r="V341" i="15" s="1"/>
  <c r="F341" i="15" s="1"/>
  <c r="G341" i="15" s="1"/>
  <c r="BX341" i="6" s="1"/>
  <c r="P44" i="15"/>
  <c r="V44" i="15" s="1"/>
  <c r="F44" i="15" s="1"/>
  <c r="G44" i="15" s="1"/>
  <c r="BX44" i="6" s="1"/>
  <c r="P335" i="15"/>
  <c r="V335" i="15" s="1"/>
  <c r="F335" i="15" s="1"/>
  <c r="G335" i="15" s="1"/>
  <c r="BX335" i="6" s="1"/>
  <c r="O12" i="25"/>
  <c r="AC12" i="25"/>
  <c r="AC9" i="25"/>
  <c r="J115" i="15"/>
  <c r="G124" i="15"/>
  <c r="BX124" i="6" s="1"/>
  <c r="G304" i="15"/>
  <c r="BX304" i="6" s="1"/>
  <c r="G219" i="15"/>
  <c r="BX219" i="6" s="1"/>
  <c r="H153" i="15"/>
  <c r="I153" i="15" s="1"/>
  <c r="H176" i="15"/>
  <c r="I176" i="15" s="1"/>
  <c r="AA133" i="15"/>
  <c r="Z133" i="15" s="1"/>
  <c r="Y133" i="15" s="1"/>
  <c r="AA64" i="15"/>
  <c r="Z64" i="15" s="1"/>
  <c r="Y64" i="15" s="1"/>
  <c r="AA269" i="15"/>
  <c r="Z269" i="15" s="1"/>
  <c r="Y269" i="15" s="1"/>
  <c r="AA233" i="15"/>
  <c r="Z233" i="15" s="1"/>
  <c r="Y233" i="15" s="1"/>
  <c r="AA243" i="15"/>
  <c r="Z243" i="15" s="1"/>
  <c r="Y243" i="15" s="1"/>
  <c r="AA212" i="15"/>
  <c r="Z212" i="15" s="1"/>
  <c r="Y212" i="15" s="1"/>
  <c r="AA220" i="15"/>
  <c r="Z220" i="15" s="1"/>
  <c r="Y220" i="15" s="1"/>
  <c r="AA308" i="15"/>
  <c r="Z308" i="15" s="1"/>
  <c r="Y308" i="15" s="1"/>
  <c r="AA172" i="15"/>
  <c r="Z172" i="15" s="1"/>
  <c r="Y172" i="15" s="1"/>
  <c r="AA315" i="15"/>
  <c r="Z315" i="15" s="1"/>
  <c r="Y315" i="15" s="1"/>
  <c r="AA245" i="15"/>
  <c r="Z245" i="15" s="1"/>
  <c r="Y245" i="15" s="1"/>
  <c r="AA70" i="15"/>
  <c r="Z70" i="15" s="1"/>
  <c r="Y70" i="15" s="1"/>
  <c r="AA358" i="15"/>
  <c r="Z358" i="15" s="1"/>
  <c r="Y358" i="15" s="1"/>
  <c r="AA66" i="15"/>
  <c r="Z66" i="15" s="1"/>
  <c r="Y66" i="15" s="1"/>
  <c r="AA294" i="15"/>
  <c r="Z294" i="15" s="1"/>
  <c r="Y294" i="15" s="1"/>
  <c r="AA124" i="15"/>
  <c r="Z124" i="15" s="1"/>
  <c r="Y124" i="15" s="1"/>
  <c r="AA214" i="15"/>
  <c r="Z214" i="15" s="1"/>
  <c r="Y214" i="15" s="1"/>
  <c r="AA205" i="15"/>
  <c r="Z205" i="15" s="1"/>
  <c r="Y205" i="15" s="1"/>
  <c r="AA285" i="15"/>
  <c r="Z285" i="15" s="1"/>
  <c r="Y285" i="15" s="1"/>
  <c r="G64" i="15"/>
  <c r="BX64" i="6" s="1"/>
  <c r="G364" i="15"/>
  <c r="BX364" i="6" s="1"/>
  <c r="AC211" i="18"/>
  <c r="AC351" i="18"/>
  <c r="AC165" i="18"/>
  <c r="AC154" i="18"/>
  <c r="AC233" i="18"/>
  <c r="AC366" i="18"/>
  <c r="AC242" i="18"/>
  <c r="AC334" i="18"/>
  <c r="G133" i="15"/>
  <c r="BX133" i="6" s="1"/>
  <c r="G294" i="15"/>
  <c r="BX294" i="6" s="1"/>
  <c r="H213" i="15"/>
  <c r="J213" i="15" s="1"/>
  <c r="H73" i="15"/>
  <c r="I73" i="15" s="1"/>
  <c r="P29" i="15"/>
  <c r="V29" i="15" s="1"/>
  <c r="F29" i="15" s="1"/>
  <c r="P92" i="15"/>
  <c r="V92" i="15" s="1"/>
  <c r="P142" i="15"/>
  <c r="V142" i="15" s="1"/>
  <c r="F142" i="15" s="1"/>
  <c r="P85" i="15"/>
  <c r="V85" i="15" s="1"/>
  <c r="F85" i="15" s="1"/>
  <c r="H85" i="15" s="1"/>
  <c r="J85" i="15" s="1"/>
  <c r="P105" i="15"/>
  <c r="V105" i="15" s="1"/>
  <c r="F105" i="15" s="1"/>
  <c r="P96" i="15"/>
  <c r="V96" i="15" s="1"/>
  <c r="F96" i="15" s="1"/>
  <c r="G96" i="15" s="1"/>
  <c r="BX96" i="6" s="1"/>
  <c r="H373" i="15"/>
  <c r="I373" i="15" s="1"/>
  <c r="G247" i="15"/>
  <c r="BX247" i="6" s="1"/>
  <c r="G187" i="15"/>
  <c r="BX187" i="6" s="1"/>
  <c r="G132" i="15"/>
  <c r="BX132" i="6" s="1"/>
  <c r="H45" i="15"/>
  <c r="J45" i="15" s="1"/>
  <c r="G203" i="15"/>
  <c r="BX203" i="6" s="1"/>
  <c r="AA117" i="15"/>
  <c r="Z117" i="15" s="1"/>
  <c r="Y117" i="15" s="1"/>
  <c r="J231" i="15"/>
  <c r="I125" i="15"/>
  <c r="J178" i="15"/>
  <c r="H273" i="15"/>
  <c r="I273" i="15" s="1"/>
  <c r="H193" i="15"/>
  <c r="J193" i="15" s="1"/>
  <c r="AA112" i="15"/>
  <c r="Z112" i="15" s="1"/>
  <c r="Y112" i="15" s="1"/>
  <c r="AA253" i="15"/>
  <c r="Z253" i="15" s="1"/>
  <c r="Y253" i="15" s="1"/>
  <c r="AA178" i="15"/>
  <c r="Z178" i="15" s="1"/>
  <c r="Y178" i="15" s="1"/>
  <c r="AA132" i="15"/>
  <c r="Z132" i="15" s="1"/>
  <c r="Y132" i="15" s="1"/>
  <c r="AA186" i="15"/>
  <c r="Z186" i="15" s="1"/>
  <c r="Y186" i="15" s="1"/>
  <c r="AA373" i="15"/>
  <c r="Z373" i="15" s="1"/>
  <c r="Y373" i="15" s="1"/>
  <c r="AA273" i="15"/>
  <c r="Z273" i="15" s="1"/>
  <c r="Y273" i="15" s="1"/>
  <c r="AA239" i="15"/>
  <c r="Z239" i="15" s="1"/>
  <c r="Y239" i="15" s="1"/>
  <c r="AA222" i="15"/>
  <c r="Z222" i="15" s="1"/>
  <c r="Y222" i="15" s="1"/>
  <c r="AA195" i="15"/>
  <c r="Z195" i="15" s="1"/>
  <c r="Y195" i="15" s="1"/>
  <c r="AA208" i="15"/>
  <c r="Z208" i="15" s="1"/>
  <c r="Y208" i="15" s="1"/>
  <c r="AA256" i="15"/>
  <c r="Z256" i="15" s="1"/>
  <c r="Y256" i="15" s="1"/>
  <c r="AA247" i="15"/>
  <c r="Z247" i="15" s="1"/>
  <c r="Y247" i="15" s="1"/>
  <c r="AA206" i="15"/>
  <c r="Z206" i="15" s="1"/>
  <c r="Y206" i="15" s="1"/>
  <c r="H222" i="15"/>
  <c r="I222" i="15" s="1"/>
  <c r="G125" i="15"/>
  <c r="BX125" i="6" s="1"/>
  <c r="G231" i="15"/>
  <c r="BX231" i="6" s="1"/>
  <c r="H255" i="15"/>
  <c r="J255" i="15" s="1"/>
  <c r="G69" i="15"/>
  <c r="BX69" i="6" s="1"/>
  <c r="G277" i="15"/>
  <c r="BX277" i="6" s="1"/>
  <c r="G128" i="15"/>
  <c r="BX128" i="6" s="1"/>
  <c r="G111" i="15"/>
  <c r="BX111" i="6" s="1"/>
  <c r="G126" i="15"/>
  <c r="BX126" i="6" s="1"/>
  <c r="G256" i="15"/>
  <c r="BX256" i="6" s="1"/>
  <c r="G164" i="15"/>
  <c r="BX164" i="6" s="1"/>
  <c r="D40" i="7"/>
  <c r="H112" i="15"/>
  <c r="I112" i="15" s="1"/>
  <c r="G131" i="15"/>
  <c r="BX131" i="6" s="1"/>
  <c r="H328" i="15"/>
  <c r="J328" i="15" s="1"/>
  <c r="H122" i="15"/>
  <c r="I122" i="15" s="1"/>
  <c r="AA129" i="15"/>
  <c r="Z129" i="15" s="1"/>
  <c r="Y129" i="15" s="1"/>
  <c r="H245" i="15"/>
  <c r="J245" i="15" s="1"/>
  <c r="H275" i="15"/>
  <c r="J275" i="15" s="1"/>
  <c r="G265" i="15"/>
  <c r="BX265" i="6" s="1"/>
  <c r="G114" i="15"/>
  <c r="BX114" i="6" s="1"/>
  <c r="G271" i="15"/>
  <c r="BX271" i="6" s="1"/>
  <c r="G269" i="15"/>
  <c r="BX269" i="6" s="1"/>
  <c r="M61" i="19"/>
  <c r="N61" i="19" s="1"/>
  <c r="H214" i="15"/>
  <c r="J214" i="15" s="1"/>
  <c r="I221" i="15"/>
  <c r="G288" i="15"/>
  <c r="BX288" i="6" s="1"/>
  <c r="H315" i="15"/>
  <c r="J315" i="15" s="1"/>
  <c r="H292" i="15"/>
  <c r="J292" i="15" s="1"/>
  <c r="H250" i="15"/>
  <c r="J250" i="15" s="1"/>
  <c r="H191" i="15"/>
  <c r="J191" i="15" s="1"/>
  <c r="AA191" i="15"/>
  <c r="Z191" i="15" s="1"/>
  <c r="Y191" i="15" s="1"/>
  <c r="AA107" i="15"/>
  <c r="Z107" i="15" s="1"/>
  <c r="Y107" i="15" s="1"/>
  <c r="H200" i="15"/>
  <c r="H173" i="15"/>
  <c r="I173" i="15" s="1"/>
  <c r="H285" i="15"/>
  <c r="J285" i="15" s="1"/>
  <c r="H118" i="15"/>
  <c r="I118" i="15" s="1"/>
  <c r="H163" i="15"/>
  <c r="I163" i="15" s="1"/>
  <c r="H68" i="15"/>
  <c r="J68" i="15" s="1"/>
  <c r="G243" i="15"/>
  <c r="BX243" i="6" s="1"/>
  <c r="V119" i="15"/>
  <c r="F119" i="15" s="1"/>
  <c r="G119" i="15" s="1"/>
  <c r="BX119" i="6" s="1"/>
  <c r="G233" i="15"/>
  <c r="BX233" i="6" s="1"/>
  <c r="H107" i="15"/>
  <c r="J107" i="15" s="1"/>
  <c r="F148" i="15"/>
  <c r="H148" i="15" s="1"/>
  <c r="H117" i="15"/>
  <c r="I117" i="15" s="1"/>
  <c r="F235" i="15"/>
  <c r="AA235" i="15" s="1"/>
  <c r="Z235" i="15" s="1"/>
  <c r="Y235" i="15" s="1"/>
  <c r="H238" i="15"/>
  <c r="I238" i="15" s="1"/>
  <c r="H303" i="15"/>
  <c r="J303" i="15" s="1"/>
  <c r="H359" i="15"/>
  <c r="I359" i="15" s="1"/>
  <c r="AA131" i="15"/>
  <c r="Z131" i="15" s="1"/>
  <c r="Y131" i="15" s="1"/>
  <c r="AA200" i="15"/>
  <c r="Z200" i="15" s="1"/>
  <c r="Y200" i="15" s="1"/>
  <c r="AA359" i="15"/>
  <c r="Z359" i="15" s="1"/>
  <c r="Y359" i="15" s="1"/>
  <c r="AA111" i="15"/>
  <c r="Z111" i="15" s="1"/>
  <c r="Y111" i="15" s="1"/>
  <c r="AA292" i="15"/>
  <c r="Z292" i="15" s="1"/>
  <c r="Y292" i="15" s="1"/>
  <c r="AA267" i="15"/>
  <c r="Z267" i="15" s="1"/>
  <c r="Y267" i="15" s="1"/>
  <c r="AA125" i="15"/>
  <c r="Z125" i="15" s="1"/>
  <c r="Y125" i="15" s="1"/>
  <c r="AA126" i="15"/>
  <c r="Z126" i="15" s="1"/>
  <c r="Y126" i="15" s="1"/>
  <c r="AA187" i="15"/>
  <c r="Z187" i="15" s="1"/>
  <c r="Y187" i="15" s="1"/>
  <c r="AA203" i="15"/>
  <c r="Z203" i="15" s="1"/>
  <c r="Y203" i="15" s="1"/>
  <c r="AA280" i="15"/>
  <c r="Z280" i="15" s="1"/>
  <c r="Y280" i="15" s="1"/>
  <c r="AA268" i="15"/>
  <c r="Z268" i="15" s="1"/>
  <c r="Y268" i="15" s="1"/>
  <c r="AA303" i="15"/>
  <c r="Z303" i="15" s="1"/>
  <c r="Y303" i="15" s="1"/>
  <c r="AA193" i="15"/>
  <c r="Z193" i="15" s="1"/>
  <c r="Y193" i="15" s="1"/>
  <c r="AA179" i="15"/>
  <c r="Z179" i="15" s="1"/>
  <c r="Y179" i="15" s="1"/>
  <c r="AA238" i="15"/>
  <c r="Z238" i="15" s="1"/>
  <c r="Y238" i="15" s="1"/>
  <c r="AA128" i="15"/>
  <c r="Z128" i="15" s="1"/>
  <c r="Y128" i="15" s="1"/>
  <c r="AA277" i="15"/>
  <c r="Z277" i="15" s="1"/>
  <c r="Y277" i="15" s="1"/>
  <c r="H206" i="15"/>
  <c r="J206" i="15" s="1"/>
  <c r="G178" i="15"/>
  <c r="BX178" i="6" s="1"/>
  <c r="G267" i="15"/>
  <c r="BX267" i="6" s="1"/>
  <c r="G171" i="15"/>
  <c r="BX171" i="6" s="1"/>
  <c r="F272" i="15"/>
  <c r="AA272" i="15" s="1"/>
  <c r="Z272" i="15" s="1"/>
  <c r="Y272" i="15" s="1"/>
  <c r="F127" i="15"/>
  <c r="G127" i="15" s="1"/>
  <c r="BX127" i="6" s="1"/>
  <c r="I364" i="15"/>
  <c r="J364" i="15"/>
  <c r="H332" i="15"/>
  <c r="J332" i="15" s="1"/>
  <c r="G42" i="15"/>
  <c r="BX42" i="6" s="1"/>
  <c r="G129" i="15"/>
  <c r="BX129" i="6" s="1"/>
  <c r="J186" i="15"/>
  <c r="G274" i="15"/>
  <c r="BX274" i="6" s="1"/>
  <c r="AA118" i="15"/>
  <c r="Z118" i="15" s="1"/>
  <c r="Y118" i="15" s="1"/>
  <c r="AA271" i="15"/>
  <c r="Z271" i="15" s="1"/>
  <c r="Y271" i="15" s="1"/>
  <c r="AA237" i="15"/>
  <c r="Z237" i="15" s="1"/>
  <c r="Y237" i="15" s="1"/>
  <c r="AA250" i="15"/>
  <c r="Z250" i="15" s="1"/>
  <c r="Y250" i="15" s="1"/>
  <c r="AA251" i="15"/>
  <c r="Z251" i="15" s="1"/>
  <c r="Y251" i="15" s="1"/>
  <c r="AA170" i="15"/>
  <c r="Z170" i="15" s="1"/>
  <c r="Y170" i="15" s="1"/>
  <c r="AA173" i="15"/>
  <c r="Z173" i="15" s="1"/>
  <c r="Y173" i="15" s="1"/>
  <c r="AA213" i="15"/>
  <c r="Z213" i="15" s="1"/>
  <c r="Y213" i="15" s="1"/>
  <c r="AA163" i="15"/>
  <c r="Z163" i="15" s="1"/>
  <c r="Y163" i="15" s="1"/>
  <c r="AA176" i="15"/>
  <c r="Z176" i="15" s="1"/>
  <c r="Y176" i="15" s="1"/>
  <c r="AA265" i="15"/>
  <c r="Z265" i="15" s="1"/>
  <c r="Y265" i="15" s="1"/>
  <c r="AA74" i="15"/>
  <c r="Z74" i="15" s="1"/>
  <c r="Y74" i="15" s="1"/>
  <c r="H237" i="15"/>
  <c r="J237" i="15" s="1"/>
  <c r="H205" i="15"/>
  <c r="H365" i="15"/>
  <c r="H220" i="15"/>
  <c r="I220" i="15" s="1"/>
  <c r="G170" i="15"/>
  <c r="BX170" i="6" s="1"/>
  <c r="G172" i="15"/>
  <c r="BX172" i="6" s="1"/>
  <c r="G358" i="15"/>
  <c r="BX358" i="6" s="1"/>
  <c r="J271" i="15"/>
  <c r="I271" i="15"/>
  <c r="J170" i="15"/>
  <c r="I170" i="15"/>
  <c r="I251" i="15"/>
  <c r="J251" i="15"/>
  <c r="I187" i="15"/>
  <c r="J187" i="15"/>
  <c r="I247" i="15"/>
  <c r="J247" i="15"/>
  <c r="H323" i="15"/>
  <c r="I323" i="15" s="1"/>
  <c r="S97" i="15"/>
  <c r="R97" i="15" s="1"/>
  <c r="P97" i="15" s="1"/>
  <c r="V97" i="15" s="1"/>
  <c r="F97" i="15" s="1"/>
  <c r="S80" i="15"/>
  <c r="R80" i="15" s="1"/>
  <c r="P80" i="15" s="1"/>
  <c r="V80" i="15" s="1"/>
  <c r="F80" i="15" s="1"/>
  <c r="S30" i="15"/>
  <c r="R30" i="15" s="1"/>
  <c r="P30" i="15" s="1"/>
  <c r="V30" i="15" s="1"/>
  <c r="F30" i="15" s="1"/>
  <c r="S17" i="15"/>
  <c r="R17" i="15" s="1"/>
  <c r="P17" i="15" s="1"/>
  <c r="V17" i="15" s="1"/>
  <c r="F17" i="15" s="1"/>
  <c r="G195" i="15"/>
  <c r="BX195" i="6" s="1"/>
  <c r="H195" i="15"/>
  <c r="J267" i="15"/>
  <c r="S79" i="15"/>
  <c r="R79" i="15" s="1"/>
  <c r="P79" i="15" s="1"/>
  <c r="V79" i="15" s="1"/>
  <c r="F79" i="15" s="1"/>
  <c r="J171" i="15"/>
  <c r="I171" i="15"/>
  <c r="S93" i="15"/>
  <c r="R93" i="15" s="1"/>
  <c r="P93" i="15" s="1"/>
  <c r="V93" i="15" s="1"/>
  <c r="F93" i="15" s="1"/>
  <c r="G280" i="15"/>
  <c r="BX280" i="6" s="1"/>
  <c r="H280" i="15"/>
  <c r="S160" i="15"/>
  <c r="R160" i="15" s="1"/>
  <c r="P160" i="15" s="1"/>
  <c r="V160" i="15" s="1"/>
  <c r="F160" i="15" s="1"/>
  <c r="S84" i="15"/>
  <c r="R84" i="15" s="1"/>
  <c r="P84" i="15" s="1"/>
  <c r="V84" i="15" s="1"/>
  <c r="F84" i="15" s="1"/>
  <c r="H208" i="15"/>
  <c r="G208" i="15"/>
  <c r="BX208" i="6" s="1"/>
  <c r="S161" i="15"/>
  <c r="R161" i="15" s="1"/>
  <c r="P161" i="15" s="1"/>
  <c r="V161" i="15" s="1"/>
  <c r="F161" i="15" s="1"/>
  <c r="G253" i="15"/>
  <c r="BX253" i="6" s="1"/>
  <c r="H253" i="15"/>
  <c r="S90" i="15"/>
  <c r="R90" i="15" s="1"/>
  <c r="P90" i="15" s="1"/>
  <c r="V90" i="15" s="1"/>
  <c r="F90" i="15" s="1"/>
  <c r="J268" i="15"/>
  <c r="I268" i="15"/>
  <c r="S22" i="15"/>
  <c r="R22" i="15" s="1"/>
  <c r="P22" i="15" s="1"/>
  <c r="V22" i="15" s="1"/>
  <c r="F22" i="15" s="1"/>
  <c r="G156" i="15"/>
  <c r="BX156" i="6" s="1"/>
  <c r="H156" i="15"/>
  <c r="S89" i="15"/>
  <c r="R89" i="15" s="1"/>
  <c r="P89" i="15" s="1"/>
  <c r="V89" i="15" s="1"/>
  <c r="F89" i="15" s="1"/>
  <c r="S32" i="15"/>
  <c r="R32" i="15" s="1"/>
  <c r="P32" i="15" s="1"/>
  <c r="I233" i="15"/>
  <c r="J233" i="15"/>
  <c r="G70" i="15"/>
  <c r="BX70" i="6" s="1"/>
  <c r="H70" i="15"/>
  <c r="S134" i="15"/>
  <c r="R134" i="15" s="1"/>
  <c r="P134" i="15" s="1"/>
  <c r="V134" i="15" s="1"/>
  <c r="F134" i="15" s="1"/>
  <c r="V229" i="15"/>
  <c r="F229" i="15" s="1"/>
  <c r="V281" i="15"/>
  <c r="F281" i="15" s="1"/>
  <c r="G212" i="15"/>
  <c r="BX212" i="6" s="1"/>
  <c r="H212" i="15"/>
  <c r="S28" i="15"/>
  <c r="R28" i="15" s="1"/>
  <c r="P28" i="15" s="1"/>
  <c r="V28" i="15" s="1"/>
  <c r="F28" i="15" s="1"/>
  <c r="H66" i="15"/>
  <c r="G66" i="15"/>
  <c r="BX66" i="6" s="1"/>
  <c r="I358" i="15"/>
  <c r="J358" i="15"/>
  <c r="S101" i="15"/>
  <c r="R101" i="15" s="1"/>
  <c r="P101" i="15" s="1"/>
  <c r="V101" i="15" s="1"/>
  <c r="F101" i="15" s="1"/>
  <c r="I172" i="15"/>
  <c r="J172" i="15"/>
  <c r="H308" i="15"/>
  <c r="G308" i="15"/>
  <c r="BX308" i="6" s="1"/>
  <c r="S158" i="15"/>
  <c r="R158" i="15" s="1"/>
  <c r="P158" i="15" s="1"/>
  <c r="V158" i="15" s="1"/>
  <c r="F158" i="15" s="1"/>
  <c r="D37" i="7"/>
  <c r="V180" i="15"/>
  <c r="F180" i="15" s="1"/>
  <c r="S35" i="15"/>
  <c r="R35" i="15" s="1"/>
  <c r="P35" i="15" s="1"/>
  <c r="V35" i="15" s="1"/>
  <c r="F35" i="15" s="1"/>
  <c r="S145" i="15"/>
  <c r="R145" i="15" s="1"/>
  <c r="P145" i="15" s="1"/>
  <c r="V145" i="15" s="1"/>
  <c r="F145" i="15" s="1"/>
  <c r="I215" i="15"/>
  <c r="J215" i="15"/>
  <c r="I370" i="15"/>
  <c r="J370" i="15"/>
  <c r="J313" i="15"/>
  <c r="I313" i="15"/>
  <c r="AA219" i="15"/>
  <c r="Z219" i="15" s="1"/>
  <c r="Y219" i="15" s="1"/>
  <c r="AA259" i="15"/>
  <c r="Z259" i="15" s="1"/>
  <c r="Y259" i="15" s="1"/>
  <c r="AA304" i="15"/>
  <c r="Z304" i="15" s="1"/>
  <c r="Y304" i="15" s="1"/>
  <c r="AA202" i="15"/>
  <c r="Z202" i="15" s="1"/>
  <c r="Y202" i="15" s="1"/>
  <c r="AA199" i="15"/>
  <c r="Z199" i="15" s="1"/>
  <c r="Y199" i="15" s="1"/>
  <c r="AA228" i="15"/>
  <c r="Z228" i="15" s="1"/>
  <c r="Y228" i="15" s="1"/>
  <c r="H225" i="15"/>
  <c r="I225" i="15" s="1"/>
  <c r="H259" i="15"/>
  <c r="J259" i="15" s="1"/>
  <c r="H228" i="15"/>
  <c r="G55" i="15"/>
  <c r="BX55" i="6" s="1"/>
  <c r="H55" i="15"/>
  <c r="J55" i="15" s="1"/>
  <c r="G355" i="15"/>
  <c r="BX355" i="6" s="1"/>
  <c r="H355" i="15"/>
  <c r="G63" i="15"/>
  <c r="BX63" i="6" s="1"/>
  <c r="H63" i="15"/>
  <c r="I63" i="15" s="1"/>
  <c r="G339" i="15"/>
  <c r="BX339" i="6" s="1"/>
  <c r="G75" i="15"/>
  <c r="BX75" i="6" s="1"/>
  <c r="H75" i="15"/>
  <c r="G39" i="15"/>
  <c r="BX39" i="6" s="1"/>
  <c r="H39" i="15"/>
  <c r="V317" i="15"/>
  <c r="F317" i="15" s="1"/>
  <c r="V374" i="15"/>
  <c r="F374" i="15" s="1"/>
  <c r="V61" i="15"/>
  <c r="F61" i="15" s="1"/>
  <c r="G326" i="15"/>
  <c r="BX326" i="6" s="1"/>
  <c r="AA301" i="15"/>
  <c r="Z301" i="15" s="1"/>
  <c r="Y301" i="15" s="1"/>
  <c r="G301" i="15"/>
  <c r="BX301" i="6" s="1"/>
  <c r="H301" i="15"/>
  <c r="G346" i="15"/>
  <c r="BX346" i="6" s="1"/>
  <c r="H346" i="15"/>
  <c r="G309" i="15"/>
  <c r="BX309" i="6" s="1"/>
  <c r="AA309" i="15"/>
  <c r="Z309" i="15" s="1"/>
  <c r="Y309" i="15" s="1"/>
  <c r="H309" i="15"/>
  <c r="G366" i="15"/>
  <c r="BX366" i="6" s="1"/>
  <c r="H366" i="15"/>
  <c r="V291" i="15"/>
  <c r="F291" i="15" s="1"/>
  <c r="H51" i="15"/>
  <c r="G51" i="15"/>
  <c r="BX51" i="6" s="1"/>
  <c r="G318" i="15"/>
  <c r="BX318" i="6" s="1"/>
  <c r="H318" i="15"/>
  <c r="J318" i="15" s="1"/>
  <c r="G342" i="15"/>
  <c r="BX342" i="6" s="1"/>
  <c r="G376" i="15"/>
  <c r="BX376" i="6" s="1"/>
  <c r="H376" i="15"/>
  <c r="V349" i="15"/>
  <c r="F349" i="15" s="1"/>
  <c r="V305" i="15"/>
  <c r="F305" i="15" s="1"/>
  <c r="I379" i="1"/>
  <c r="AA379" i="1"/>
  <c r="Z379" i="1" s="1"/>
  <c r="Y379" i="1" s="1"/>
  <c r="G379" i="1"/>
  <c r="BW379" i="6" s="1"/>
  <c r="H339" i="15"/>
  <c r="J339" i="15" s="1"/>
  <c r="G249" i="15"/>
  <c r="BX249" i="6" s="1"/>
  <c r="AA249" i="15"/>
  <c r="Z249" i="15" s="1"/>
  <c r="Y249" i="15" s="1"/>
  <c r="AA113" i="15"/>
  <c r="Z113" i="15" s="1"/>
  <c r="Y113" i="15" s="1"/>
  <c r="G113" i="15"/>
  <c r="BX113" i="6" s="1"/>
  <c r="H113" i="15"/>
  <c r="S31" i="15"/>
  <c r="R31" i="15" s="1"/>
  <c r="P31" i="15" s="1"/>
  <c r="V31" i="15" s="1"/>
  <c r="F31" i="15" s="1"/>
  <c r="H211" i="15"/>
  <c r="G211" i="15"/>
  <c r="BX211" i="6" s="1"/>
  <c r="AA211" i="15"/>
  <c r="Z211" i="15" s="1"/>
  <c r="Y211" i="15" s="1"/>
  <c r="S59" i="15"/>
  <c r="R59" i="15" s="1"/>
  <c r="P59" i="15" s="1"/>
  <c r="V59" i="15" s="1"/>
  <c r="F59" i="15" s="1"/>
  <c r="G361" i="15"/>
  <c r="BX361" i="6" s="1"/>
  <c r="S99" i="15"/>
  <c r="R99" i="15" s="1"/>
  <c r="P99" i="15" s="1"/>
  <c r="V99" i="15" s="1"/>
  <c r="F99" i="15" s="1"/>
  <c r="G372" i="15"/>
  <c r="BX372" i="6" s="1"/>
  <c r="H372" i="15"/>
  <c r="AA184" i="15"/>
  <c r="Z184" i="15" s="1"/>
  <c r="Y184" i="15" s="1"/>
  <c r="G184" i="15"/>
  <c r="BX184" i="6" s="1"/>
  <c r="H184" i="15"/>
  <c r="H71" i="15"/>
  <c r="G71" i="15"/>
  <c r="BX71" i="6" s="1"/>
  <c r="S91" i="15"/>
  <c r="R91" i="15" s="1"/>
  <c r="P91" i="15" s="1"/>
  <c r="V91" i="15" s="1"/>
  <c r="F91" i="15" s="1"/>
  <c r="AA207" i="15"/>
  <c r="Z207" i="15" s="1"/>
  <c r="Y207" i="15" s="1"/>
  <c r="G207" i="15"/>
  <c r="BX207" i="6" s="1"/>
  <c r="G279" i="15"/>
  <c r="BX279" i="6" s="1"/>
  <c r="AA279" i="15"/>
  <c r="Z279" i="15" s="1"/>
  <c r="Y279" i="15" s="1"/>
  <c r="H279" i="15"/>
  <c r="G240" i="15"/>
  <c r="BX240" i="6" s="1"/>
  <c r="H240" i="15"/>
  <c r="S19" i="15"/>
  <c r="R19" i="15" s="1"/>
  <c r="P19" i="15" s="1"/>
  <c r="V19" i="15" s="1"/>
  <c r="F19" i="15" s="1"/>
  <c r="S135" i="15"/>
  <c r="R135" i="15" s="1"/>
  <c r="P135" i="15" s="1"/>
  <c r="V135" i="15" s="1"/>
  <c r="S46" i="15"/>
  <c r="R46" i="15" s="1"/>
  <c r="P46" i="15" s="1"/>
  <c r="V46" i="15" s="1"/>
  <c r="S330" i="15"/>
  <c r="R330" i="15" s="1"/>
  <c r="P330" i="15" s="1"/>
  <c r="S49" i="15"/>
  <c r="R49" i="15" s="1"/>
  <c r="P49" i="15" s="1"/>
  <c r="V49" i="15" s="1"/>
  <c r="F49" i="15" s="1"/>
  <c r="S351" i="15"/>
  <c r="R351" i="15" s="1"/>
  <c r="P351" i="15" s="1"/>
  <c r="V351" i="15" s="1"/>
  <c r="F351" i="15" s="1"/>
  <c r="S371" i="15"/>
  <c r="R371" i="15" s="1"/>
  <c r="P371" i="15" s="1"/>
  <c r="V371" i="15" s="1"/>
  <c r="F371" i="15" s="1"/>
  <c r="G209" i="15"/>
  <c r="BX209" i="6" s="1"/>
  <c r="H209" i="15"/>
  <c r="AA209" i="15"/>
  <c r="Z209" i="15" s="1"/>
  <c r="Y209" i="15" s="1"/>
  <c r="S360" i="15"/>
  <c r="R360" i="15" s="1"/>
  <c r="P360" i="15" s="1"/>
  <c r="V360" i="15" s="1"/>
  <c r="F360" i="15" s="1"/>
  <c r="S327" i="15"/>
  <c r="R327" i="15" s="1"/>
  <c r="P327" i="15" s="1"/>
  <c r="V327" i="15" s="1"/>
  <c r="F327" i="15" s="1"/>
  <c r="G242" i="15"/>
  <c r="BX242" i="6" s="1"/>
  <c r="H242" i="15"/>
  <c r="AA242" i="15"/>
  <c r="Z242" i="15" s="1"/>
  <c r="Y242" i="15" s="1"/>
  <c r="V198" i="15"/>
  <c r="F198" i="15" s="1"/>
  <c r="S367" i="15"/>
  <c r="R367" i="15" s="1"/>
  <c r="P367" i="15" s="1"/>
  <c r="V367" i="15" s="1"/>
  <c r="F367" i="15" s="1"/>
  <c r="H310" i="15"/>
  <c r="G310" i="15"/>
  <c r="BX310" i="6" s="1"/>
  <c r="AA310" i="15"/>
  <c r="Z310" i="15" s="1"/>
  <c r="Y310" i="15" s="1"/>
  <c r="S189" i="15"/>
  <c r="R189" i="15" s="1"/>
  <c r="P189" i="15" s="1"/>
  <c r="V189" i="15" s="1"/>
  <c r="AA120" i="15"/>
  <c r="Z120" i="15" s="1"/>
  <c r="Y120" i="15" s="1"/>
  <c r="G120" i="15"/>
  <c r="BX120" i="6" s="1"/>
  <c r="H120" i="15"/>
  <c r="G368" i="15"/>
  <c r="BX368" i="6" s="1"/>
  <c r="AA108" i="15"/>
  <c r="Z108" i="15" s="1"/>
  <c r="Y108" i="15" s="1"/>
  <c r="G108" i="15"/>
  <c r="BX108" i="6" s="1"/>
  <c r="H108" i="15"/>
  <c r="S58" i="15"/>
  <c r="R58" i="15" s="1"/>
  <c r="P58" i="15" s="1"/>
  <c r="S144" i="15"/>
  <c r="R144" i="15" s="1"/>
  <c r="P144" i="15" s="1"/>
  <c r="V144" i="15" s="1"/>
  <c r="F144" i="15" s="1"/>
  <c r="S311" i="15"/>
  <c r="R311" i="15" s="1"/>
  <c r="P311" i="15" s="1"/>
  <c r="V311" i="15" s="1"/>
  <c r="F311" i="15" s="1"/>
  <c r="S53" i="15"/>
  <c r="R53" i="15" s="1"/>
  <c r="P53" i="15" s="1"/>
  <c r="V53" i="15" s="1"/>
  <c r="F53" i="15" s="1"/>
  <c r="S47" i="15"/>
  <c r="R47" i="15" s="1"/>
  <c r="P47" i="15" s="1"/>
  <c r="V47" i="15" s="1"/>
  <c r="F47" i="15" s="1"/>
  <c r="AA201" i="15"/>
  <c r="Z201" i="15" s="1"/>
  <c r="Y201" i="15" s="1"/>
  <c r="G201" i="15"/>
  <c r="BX201" i="6" s="1"/>
  <c r="H201" i="15"/>
  <c r="S306" i="15"/>
  <c r="R306" i="15" s="1"/>
  <c r="P306" i="15" s="1"/>
  <c r="V306" i="15" s="1"/>
  <c r="F306" i="15" s="1"/>
  <c r="AA258" i="15"/>
  <c r="Z258" i="15" s="1"/>
  <c r="Y258" i="15" s="1"/>
  <c r="G258" i="15"/>
  <c r="BX258" i="6" s="1"/>
  <c r="H258" i="15"/>
  <c r="S340" i="15"/>
  <c r="R340" i="15" s="1"/>
  <c r="P340" i="15" s="1"/>
  <c r="V340" i="15" s="1"/>
  <c r="F340" i="15" s="1"/>
  <c r="G130" i="15"/>
  <c r="BX130" i="6" s="1"/>
  <c r="H130" i="15"/>
  <c r="AA283" i="15"/>
  <c r="Z283" i="15" s="1"/>
  <c r="Y283" i="15" s="1"/>
  <c r="G283" i="15"/>
  <c r="BX283" i="6" s="1"/>
  <c r="H283" i="15"/>
  <c r="G312" i="15"/>
  <c r="BX312" i="6" s="1"/>
  <c r="AA299" i="15"/>
  <c r="Z299" i="15" s="1"/>
  <c r="Y299" i="15" s="1"/>
  <c r="G299" i="15"/>
  <c r="BX299" i="6" s="1"/>
  <c r="G65" i="15"/>
  <c r="BX65" i="6" s="1"/>
  <c r="H65" i="15"/>
  <c r="AA204" i="15"/>
  <c r="Z204" i="15" s="1"/>
  <c r="Y204" i="15" s="1"/>
  <c r="G204" i="15"/>
  <c r="BX204" i="6" s="1"/>
  <c r="S78" i="15"/>
  <c r="R78" i="15" s="1"/>
  <c r="P78" i="15" s="1"/>
  <c r="V78" i="15" s="1"/>
  <c r="F78" i="15" s="1"/>
  <c r="G226" i="15"/>
  <c r="BX226" i="6" s="1"/>
  <c r="AA226" i="15"/>
  <c r="Z226" i="15" s="1"/>
  <c r="Y226" i="15" s="1"/>
  <c r="H226" i="15"/>
  <c r="AA109" i="15"/>
  <c r="Z109" i="15" s="1"/>
  <c r="Y109" i="15" s="1"/>
  <c r="G109" i="15"/>
  <c r="BX109" i="6" s="1"/>
  <c r="H109" i="15"/>
  <c r="S345" i="15"/>
  <c r="R345" i="15" s="1"/>
  <c r="P345" i="15" s="1"/>
  <c r="V345" i="15" s="1"/>
  <c r="F345" i="15" s="1"/>
  <c r="G254" i="15"/>
  <c r="BX254" i="6" s="1"/>
  <c r="H254" i="15"/>
  <c r="S25" i="15"/>
  <c r="R25" i="15" s="1"/>
  <c r="P25" i="15" s="1"/>
  <c r="V25" i="15" s="1"/>
  <c r="F25" i="15" s="1"/>
  <c r="S143" i="15"/>
  <c r="R143" i="15" s="1"/>
  <c r="P143" i="15" s="1"/>
  <c r="V143" i="15" s="1"/>
  <c r="F143" i="15" s="1"/>
  <c r="S353" i="15"/>
  <c r="R353" i="15" s="1"/>
  <c r="P353" i="15" s="1"/>
  <c r="V353" i="15" s="1"/>
  <c r="F353" i="15" s="1"/>
  <c r="H188" i="15"/>
  <c r="G188" i="15"/>
  <c r="BX188" i="6" s="1"/>
  <c r="AA188" i="15"/>
  <c r="Z188" i="15" s="1"/>
  <c r="Y188" i="15" s="1"/>
  <c r="S321" i="15"/>
  <c r="R321" i="15" s="1"/>
  <c r="P321" i="15" s="1"/>
  <c r="V321" i="15" s="1"/>
  <c r="F321" i="15" s="1"/>
  <c r="S314" i="15"/>
  <c r="R314" i="15" s="1"/>
  <c r="P314" i="15" s="1"/>
  <c r="V314" i="15" s="1"/>
  <c r="F314" i="15" s="1"/>
  <c r="S316" i="15"/>
  <c r="R316" i="15" s="1"/>
  <c r="P316" i="15" s="1"/>
  <c r="V316" i="15" s="1"/>
  <c r="F316" i="15" s="1"/>
  <c r="S18" i="15"/>
  <c r="R18" i="15" s="1"/>
  <c r="P18" i="15" s="1"/>
  <c r="V18" i="15" s="1"/>
  <c r="F18" i="15" s="1"/>
  <c r="S41" i="15"/>
  <c r="R41" i="15" s="1"/>
  <c r="P41" i="15" s="1"/>
  <c r="V41" i="15" s="1"/>
  <c r="F41" i="15" s="1"/>
  <c r="S102" i="15"/>
  <c r="R102" i="15" s="1"/>
  <c r="P102" i="15" s="1"/>
  <c r="V102" i="15" s="1"/>
  <c r="F102" i="15" s="1"/>
  <c r="S104" i="15"/>
  <c r="R104" i="15" s="1"/>
  <c r="P104" i="15" s="1"/>
  <c r="V104" i="15" s="1"/>
  <c r="F104" i="15" s="1"/>
  <c r="S344" i="15"/>
  <c r="R344" i="15" s="1"/>
  <c r="P344" i="15" s="1"/>
  <c r="V344" i="15" s="1"/>
  <c r="F344" i="15" s="1"/>
  <c r="S86" i="15"/>
  <c r="R86" i="15" s="1"/>
  <c r="P86" i="15" s="1"/>
  <c r="V86" i="15" s="1"/>
  <c r="F86" i="15" s="1"/>
  <c r="G246" i="15"/>
  <c r="BX246" i="6" s="1"/>
  <c r="AA246" i="15"/>
  <c r="Z246" i="15" s="1"/>
  <c r="Y246" i="15" s="1"/>
  <c r="G252" i="15"/>
  <c r="BX252" i="6" s="1"/>
  <c r="AA252" i="15"/>
  <c r="Z252" i="15" s="1"/>
  <c r="Y252" i="15" s="1"/>
  <c r="G244" i="15"/>
  <c r="BX244" i="6" s="1"/>
  <c r="H244" i="15"/>
  <c r="AA266" i="15"/>
  <c r="Z266" i="15" s="1"/>
  <c r="Y266" i="15" s="1"/>
  <c r="G266" i="15"/>
  <c r="BX266" i="6" s="1"/>
  <c r="G162" i="15"/>
  <c r="BX162" i="6" s="1"/>
  <c r="H162" i="15"/>
  <c r="G287" i="15"/>
  <c r="BX287" i="6" s="1"/>
  <c r="H287" i="15"/>
  <c r="G174" i="15"/>
  <c r="BX174" i="6" s="1"/>
  <c r="AA174" i="15"/>
  <c r="Z174" i="15" s="1"/>
  <c r="Y174" i="15" s="1"/>
  <c r="H174" i="15"/>
  <c r="S43" i="15"/>
  <c r="R43" i="15" s="1"/>
  <c r="P43" i="15" s="1"/>
  <c r="V43" i="15" s="1"/>
  <c r="F43" i="15" s="1"/>
  <c r="S27" i="15"/>
  <c r="R27" i="15" s="1"/>
  <c r="P27" i="15" s="1"/>
  <c r="V27" i="15" s="1"/>
  <c r="F27" i="15" s="1"/>
  <c r="S331" i="15"/>
  <c r="R331" i="15" s="1"/>
  <c r="P331" i="15" s="1"/>
  <c r="S155" i="15"/>
  <c r="R155" i="15" s="1"/>
  <c r="P155" i="15" s="1"/>
  <c r="V155" i="15" s="1"/>
  <c r="F155" i="15" s="1"/>
  <c r="S95" i="15"/>
  <c r="R95" i="15" s="1"/>
  <c r="P95" i="15" s="1"/>
  <c r="V95" i="15" s="1"/>
  <c r="F95" i="15" s="1"/>
  <c r="S354" i="15"/>
  <c r="R354" i="15" s="1"/>
  <c r="P354" i="15" s="1"/>
  <c r="G217" i="15"/>
  <c r="BX217" i="6" s="1"/>
  <c r="AA217" i="15"/>
  <c r="Z217" i="15" s="1"/>
  <c r="Y217" i="15" s="1"/>
  <c r="H217" i="15"/>
  <c r="H236" i="15"/>
  <c r="G236" i="15"/>
  <c r="BX236" i="6" s="1"/>
  <c r="AA169" i="15"/>
  <c r="Z169" i="15" s="1"/>
  <c r="Y169" i="15" s="1"/>
  <c r="G169" i="15"/>
  <c r="BX169" i="6" s="1"/>
  <c r="H169" i="15"/>
  <c r="G264" i="15"/>
  <c r="BX264" i="6" s="1"/>
  <c r="AA264" i="15"/>
  <c r="Z264" i="15" s="1"/>
  <c r="Y264" i="15" s="1"/>
  <c r="G278" i="15"/>
  <c r="BX278" i="6" s="1"/>
  <c r="H278" i="15"/>
  <c r="S336" i="15"/>
  <c r="R336" i="15" s="1"/>
  <c r="P336" i="15" s="1"/>
  <c r="S324" i="15"/>
  <c r="R324" i="15" s="1"/>
  <c r="P324" i="15" s="1"/>
  <c r="V324" i="15" s="1"/>
  <c r="F324" i="15" s="1"/>
  <c r="R383" i="1"/>
  <c r="R381" i="1"/>
  <c r="R382" i="1"/>
  <c r="P16" i="1"/>
  <c r="AG102" i="15"/>
  <c r="AF102" i="15" s="1"/>
  <c r="AD102" i="15" s="1"/>
  <c r="AG375" i="15"/>
  <c r="AF375" i="15" s="1"/>
  <c r="AD375" i="15" s="1"/>
  <c r="AG83" i="15"/>
  <c r="AF83" i="15" s="1"/>
  <c r="AD83" i="15" s="1"/>
  <c r="AG323" i="15"/>
  <c r="AF323" i="15" s="1"/>
  <c r="AD323" i="15" s="1"/>
  <c r="AA323" i="15" s="1"/>
  <c r="Z323" i="15" s="1"/>
  <c r="Y323" i="15" s="1"/>
  <c r="AG306" i="15"/>
  <c r="AF306" i="15" s="1"/>
  <c r="AD306" i="15" s="1"/>
  <c r="AG318" i="15"/>
  <c r="AF318" i="15" s="1"/>
  <c r="AD318" i="15" s="1"/>
  <c r="AA318" i="15" s="1"/>
  <c r="Z318" i="15" s="1"/>
  <c r="Y318" i="15" s="1"/>
  <c r="AG48" i="15"/>
  <c r="AF48" i="15" s="1"/>
  <c r="AD48" i="15" s="1"/>
  <c r="AA48" i="15" s="1"/>
  <c r="Z48" i="15" s="1"/>
  <c r="Y48" i="15" s="1"/>
  <c r="AG105" i="15"/>
  <c r="AF105" i="15" s="1"/>
  <c r="AD105" i="15" s="1"/>
  <c r="AG324" i="15"/>
  <c r="AF324" i="15" s="1"/>
  <c r="AD324" i="15" s="1"/>
  <c r="AG32" i="15"/>
  <c r="AF32" i="15" s="1"/>
  <c r="AD32" i="15" s="1"/>
  <c r="AG298" i="15"/>
  <c r="AF298" i="15" s="1"/>
  <c r="AD298" i="15" s="1"/>
  <c r="AG98" i="15"/>
  <c r="AF98" i="15" s="1"/>
  <c r="AD98" i="15" s="1"/>
  <c r="AG141" i="15"/>
  <c r="AF141" i="15" s="1"/>
  <c r="AD141" i="15" s="1"/>
  <c r="AG17" i="15"/>
  <c r="AF17" i="15" s="1"/>
  <c r="AD17" i="15" s="1"/>
  <c r="AG44" i="15"/>
  <c r="AF44" i="15" s="1"/>
  <c r="AD44" i="15" s="1"/>
  <c r="AG140" i="15"/>
  <c r="AF140" i="15" s="1"/>
  <c r="AD140" i="15" s="1"/>
  <c r="AG24" i="15"/>
  <c r="AF24" i="15" s="1"/>
  <c r="AD24" i="15" s="1"/>
  <c r="AG334" i="15"/>
  <c r="AF334" i="15" s="1"/>
  <c r="AD334" i="15" s="1"/>
  <c r="AG81" i="15"/>
  <c r="AF81" i="15" s="1"/>
  <c r="AD81" i="15" s="1"/>
  <c r="AG157" i="15"/>
  <c r="AF157" i="15" s="1"/>
  <c r="AD157" i="15" s="1"/>
  <c r="AG171" i="15"/>
  <c r="AF171" i="15" s="1"/>
  <c r="AD171" i="15" s="1"/>
  <c r="AA171" i="15" s="1"/>
  <c r="Z171" i="15" s="1"/>
  <c r="Y171" i="15" s="1"/>
  <c r="AG56" i="15"/>
  <c r="AF56" i="15" s="1"/>
  <c r="AD56" i="15" s="1"/>
  <c r="AG139" i="15"/>
  <c r="AF139" i="15" s="1"/>
  <c r="AD139" i="15" s="1"/>
  <c r="AG130" i="15"/>
  <c r="AF130" i="15" s="1"/>
  <c r="AD130" i="15" s="1"/>
  <c r="AA130" i="15" s="1"/>
  <c r="Z130" i="15" s="1"/>
  <c r="Y130" i="15" s="1"/>
  <c r="AG255" i="15"/>
  <c r="AF255" i="15" s="1"/>
  <c r="AD255" i="15" s="1"/>
  <c r="AA255" i="15" s="1"/>
  <c r="Z255" i="15" s="1"/>
  <c r="Y255" i="15" s="1"/>
  <c r="AG319" i="15"/>
  <c r="AF319" i="15" s="1"/>
  <c r="AD319" i="15" s="1"/>
  <c r="AG43" i="15"/>
  <c r="AF43" i="15" s="1"/>
  <c r="AD43" i="15" s="1"/>
  <c r="AG328" i="15"/>
  <c r="AF328" i="15" s="1"/>
  <c r="AD328" i="15" s="1"/>
  <c r="AA328" i="15" s="1"/>
  <c r="Z328" i="15" s="1"/>
  <c r="Y328" i="15" s="1"/>
  <c r="AG332" i="15"/>
  <c r="AF332" i="15" s="1"/>
  <c r="AD332" i="15" s="1"/>
  <c r="AA332" i="15" s="1"/>
  <c r="Z332" i="15" s="1"/>
  <c r="Y332" i="15" s="1"/>
  <c r="AG33" i="15"/>
  <c r="AF33" i="15" s="1"/>
  <c r="AD33" i="15" s="1"/>
  <c r="AG144" i="15"/>
  <c r="AF144" i="15" s="1"/>
  <c r="AD144" i="15" s="1"/>
  <c r="AG321" i="15"/>
  <c r="AF321" i="15" s="1"/>
  <c r="AD321" i="15" s="1"/>
  <c r="AG291" i="15"/>
  <c r="AF291" i="15" s="1"/>
  <c r="AD291" i="15" s="1"/>
  <c r="AG50" i="15"/>
  <c r="AF50" i="15" s="1"/>
  <c r="AD50" i="15" s="1"/>
  <c r="AG91" i="15"/>
  <c r="AF91" i="15" s="1"/>
  <c r="AD91" i="15" s="1"/>
  <c r="AG311" i="15"/>
  <c r="AF311" i="15" s="1"/>
  <c r="AD311" i="15" s="1"/>
  <c r="AG99" i="15"/>
  <c r="AF99" i="15" s="1"/>
  <c r="AD99" i="15" s="1"/>
  <c r="AG37" i="15"/>
  <c r="AF37" i="15" s="1"/>
  <c r="AD37" i="15" s="1"/>
  <c r="AG158" i="15"/>
  <c r="AF158" i="15" s="1"/>
  <c r="AD158" i="15" s="1"/>
  <c r="AG296" i="15"/>
  <c r="AF296" i="15" s="1"/>
  <c r="AD296" i="15" s="1"/>
  <c r="AA296" i="15" s="1"/>
  <c r="Z296" i="15" s="1"/>
  <c r="Y296" i="15" s="1"/>
  <c r="AG94" i="15"/>
  <c r="AF94" i="15" s="1"/>
  <c r="AD94" i="15" s="1"/>
  <c r="AG52" i="15"/>
  <c r="AF52" i="15" s="1"/>
  <c r="AD52" i="15" s="1"/>
  <c r="AG78" i="15"/>
  <c r="AF78" i="15" s="1"/>
  <c r="AD78" i="15" s="1"/>
  <c r="AG95" i="15"/>
  <c r="AF95" i="15" s="1"/>
  <c r="AD95" i="15" s="1"/>
  <c r="AG236" i="15"/>
  <c r="AF236" i="15" s="1"/>
  <c r="AD236" i="15" s="1"/>
  <c r="AA236" i="15" s="1"/>
  <c r="Z236" i="15" s="1"/>
  <c r="Y236" i="15" s="1"/>
  <c r="AG142" i="15"/>
  <c r="AF142" i="15" s="1"/>
  <c r="AD142" i="15" s="1"/>
  <c r="AG216" i="15"/>
  <c r="AF216" i="15" s="1"/>
  <c r="AD216" i="15" s="1"/>
  <c r="AA216" i="15" s="1"/>
  <c r="Z216" i="15" s="1"/>
  <c r="Y216" i="15" s="1"/>
  <c r="AG372" i="15"/>
  <c r="AF372" i="15" s="1"/>
  <c r="AD372" i="15" s="1"/>
  <c r="AA372" i="15" s="1"/>
  <c r="Z372" i="15" s="1"/>
  <c r="Y372" i="15" s="1"/>
  <c r="AG63" i="15"/>
  <c r="AF63" i="15" s="1"/>
  <c r="AD63" i="15" s="1"/>
  <c r="AA63" i="15" s="1"/>
  <c r="Z63" i="15" s="1"/>
  <c r="Y63" i="15" s="1"/>
  <c r="AG288" i="15"/>
  <c r="AF288" i="15" s="1"/>
  <c r="AD288" i="15" s="1"/>
  <c r="AA288" i="15" s="1"/>
  <c r="Z288" i="15" s="1"/>
  <c r="Y288" i="15" s="1"/>
  <c r="AH379" i="15"/>
  <c r="AG379" i="15" s="1"/>
  <c r="AF379" i="15" s="1"/>
  <c r="AD379" i="15" s="1"/>
  <c r="AI12" i="16"/>
  <c r="AG25" i="15"/>
  <c r="AF25" i="15" s="1"/>
  <c r="AD25" i="15" s="1"/>
  <c r="AG152" i="15"/>
  <c r="AF152" i="15" s="1"/>
  <c r="AD152" i="15" s="1"/>
  <c r="AG153" i="15"/>
  <c r="AF153" i="15" s="1"/>
  <c r="AD153" i="15" s="1"/>
  <c r="AA153" i="15" s="1"/>
  <c r="Z153" i="15" s="1"/>
  <c r="Y153" i="15" s="1"/>
  <c r="AG320" i="15"/>
  <c r="AF320" i="15" s="1"/>
  <c r="AD320" i="15" s="1"/>
  <c r="AG282" i="15"/>
  <c r="AF282" i="15" s="1"/>
  <c r="AD282" i="15" s="1"/>
  <c r="AA282" i="15" s="1"/>
  <c r="Z282" i="15" s="1"/>
  <c r="Y282" i="15" s="1"/>
  <c r="AG295" i="15"/>
  <c r="AF295" i="15" s="1"/>
  <c r="AD295" i="15" s="1"/>
  <c r="AA295" i="15" s="1"/>
  <c r="Z295" i="15" s="1"/>
  <c r="Y295" i="15" s="1"/>
  <c r="AG46" i="15"/>
  <c r="AF46" i="15" s="1"/>
  <c r="AD46" i="15" s="1"/>
  <c r="AG148" i="15"/>
  <c r="AF148" i="15" s="1"/>
  <c r="AD148" i="15" s="1"/>
  <c r="AG370" i="15"/>
  <c r="AF370" i="15" s="1"/>
  <c r="AD370" i="15" s="1"/>
  <c r="AA370" i="15" s="1"/>
  <c r="Z370" i="15" s="1"/>
  <c r="Y370" i="15" s="1"/>
  <c r="AG274" i="15"/>
  <c r="AF274" i="15" s="1"/>
  <c r="AD274" i="15" s="1"/>
  <c r="AA274" i="15" s="1"/>
  <c r="Z274" i="15" s="1"/>
  <c r="Y274" i="15" s="1"/>
  <c r="AG180" i="15"/>
  <c r="AF180" i="15" s="1"/>
  <c r="AD180" i="15" s="1"/>
  <c r="AG366" i="15"/>
  <c r="AF366" i="15" s="1"/>
  <c r="AD366" i="15" s="1"/>
  <c r="AA366" i="15" s="1"/>
  <c r="Z366" i="15" s="1"/>
  <c r="Y366" i="15" s="1"/>
  <c r="AG356" i="15"/>
  <c r="AF356" i="15" s="1"/>
  <c r="AD356" i="15" s="1"/>
  <c r="AA356" i="15" s="1"/>
  <c r="Z356" i="15" s="1"/>
  <c r="Y356" i="15" s="1"/>
  <c r="AG42" i="15"/>
  <c r="AF42" i="15" s="1"/>
  <c r="AD42" i="15" s="1"/>
  <c r="AA42" i="15" s="1"/>
  <c r="Z42" i="15" s="1"/>
  <c r="Y42" i="15" s="1"/>
  <c r="AG346" i="15"/>
  <c r="AF346" i="15" s="1"/>
  <c r="AD346" i="15" s="1"/>
  <c r="AA346" i="15" s="1"/>
  <c r="Z346" i="15" s="1"/>
  <c r="Y346" i="15" s="1"/>
  <c r="AG276" i="15"/>
  <c r="AF276" i="15" s="1"/>
  <c r="AD276" i="15" s="1"/>
  <c r="AA276" i="15" s="1"/>
  <c r="Z276" i="15" s="1"/>
  <c r="Y276" i="15" s="1"/>
  <c r="AG355" i="15"/>
  <c r="AF355" i="15" s="1"/>
  <c r="AD355" i="15" s="1"/>
  <c r="AA355" i="15" s="1"/>
  <c r="Z355" i="15" s="1"/>
  <c r="Y355" i="15" s="1"/>
  <c r="AG317" i="15"/>
  <c r="AF317" i="15" s="1"/>
  <c r="AD317" i="15" s="1"/>
  <c r="AG307" i="15"/>
  <c r="AF307" i="15" s="1"/>
  <c r="AD307" i="15" s="1"/>
  <c r="AA307" i="15" s="1"/>
  <c r="Z307" i="15" s="1"/>
  <c r="Y307" i="15" s="1"/>
  <c r="AG161" i="15"/>
  <c r="AF161" i="15" s="1"/>
  <c r="AD161" i="15" s="1"/>
  <c r="AG26" i="15"/>
  <c r="AF26" i="15" s="1"/>
  <c r="AD26" i="15" s="1"/>
  <c r="AG106" i="15"/>
  <c r="AF106" i="15" s="1"/>
  <c r="AD106" i="15" s="1"/>
  <c r="AA106" i="15" s="1"/>
  <c r="Z106" i="15" s="1"/>
  <c r="Y106" i="15" s="1"/>
  <c r="AG155" i="15"/>
  <c r="AF155" i="15" s="1"/>
  <c r="AD155" i="15" s="1"/>
  <c r="AG136" i="15"/>
  <c r="AF136" i="15" s="1"/>
  <c r="AD136" i="15" s="1"/>
  <c r="AG349" i="15"/>
  <c r="AF349" i="15" s="1"/>
  <c r="AD349" i="15" s="1"/>
  <c r="AG365" i="15"/>
  <c r="AF365" i="15" s="1"/>
  <c r="AD365" i="15" s="1"/>
  <c r="AA365" i="15" s="1"/>
  <c r="Z365" i="15" s="1"/>
  <c r="Y365" i="15" s="1"/>
  <c r="AG84" i="15"/>
  <c r="AF84" i="15" s="1"/>
  <c r="AD84" i="15" s="1"/>
  <c r="AG34" i="15"/>
  <c r="AF34" i="15" s="1"/>
  <c r="AD34" i="15" s="1"/>
  <c r="AG278" i="15"/>
  <c r="AF278" i="15" s="1"/>
  <c r="AD278" i="15" s="1"/>
  <c r="AA278" i="15" s="1"/>
  <c r="Z278" i="15" s="1"/>
  <c r="Y278" i="15" s="1"/>
  <c r="AG61" i="15"/>
  <c r="AF61" i="15" s="1"/>
  <c r="AD61" i="15" s="1"/>
  <c r="AG100" i="15"/>
  <c r="AF100" i="15" s="1"/>
  <c r="AD100" i="15" s="1"/>
  <c r="AG164" i="15"/>
  <c r="AF164" i="15" s="1"/>
  <c r="AD164" i="15" s="1"/>
  <c r="AA164" i="15" s="1"/>
  <c r="Z164" i="15" s="1"/>
  <c r="Y164" i="15" s="1"/>
  <c r="AG289" i="15"/>
  <c r="AF289" i="15" s="1"/>
  <c r="AD289" i="15" s="1"/>
  <c r="AA289" i="15" s="1"/>
  <c r="Z289" i="15" s="1"/>
  <c r="Y289" i="15" s="1"/>
  <c r="AG300" i="15"/>
  <c r="AF300" i="15" s="1"/>
  <c r="AD300" i="15" s="1"/>
  <c r="AA65" i="15"/>
  <c r="Z65" i="15" s="1"/>
  <c r="Y65" i="15" s="1"/>
  <c r="AG350" i="15"/>
  <c r="AF350" i="15" s="1"/>
  <c r="AD350" i="15" s="1"/>
  <c r="AG312" i="15"/>
  <c r="AF312" i="15" s="1"/>
  <c r="AD312" i="15" s="1"/>
  <c r="AA312" i="15" s="1"/>
  <c r="Z312" i="15" s="1"/>
  <c r="Y312" i="15" s="1"/>
  <c r="AA254" i="15"/>
  <c r="Z254" i="15" s="1"/>
  <c r="Y254" i="15" s="1"/>
  <c r="AG329" i="15"/>
  <c r="AF329" i="15" s="1"/>
  <c r="AD329" i="15" s="1"/>
  <c r="AI382" i="15"/>
  <c r="AI383" i="15"/>
  <c r="AH15" i="15"/>
  <c r="AI381" i="15"/>
  <c r="AG147" i="15"/>
  <c r="AF147" i="15" s="1"/>
  <c r="AD147" i="15" s="1"/>
  <c r="AG353" i="15"/>
  <c r="AF353" i="15" s="1"/>
  <c r="AD353" i="15" s="1"/>
  <c r="AG146" i="15"/>
  <c r="AF146" i="15" s="1"/>
  <c r="AD146" i="15" s="1"/>
  <c r="AG364" i="15"/>
  <c r="AF364" i="15" s="1"/>
  <c r="AD364" i="15" s="1"/>
  <c r="AA364" i="15" s="1"/>
  <c r="Z364" i="15" s="1"/>
  <c r="Y364" i="15" s="1"/>
  <c r="AG45" i="15"/>
  <c r="AF45" i="15" s="1"/>
  <c r="AD45" i="15" s="1"/>
  <c r="AA45" i="15" s="1"/>
  <c r="Z45" i="15" s="1"/>
  <c r="Y45" i="15" s="1"/>
  <c r="AG16" i="15"/>
  <c r="AF16" i="15" s="1"/>
  <c r="AD16" i="15" s="1"/>
  <c r="AG89" i="15"/>
  <c r="AF89" i="15" s="1"/>
  <c r="AD89" i="15" s="1"/>
  <c r="H204" i="15"/>
  <c r="H361" i="15"/>
  <c r="H299" i="15"/>
  <c r="H168" i="15"/>
  <c r="AA168" i="15"/>
  <c r="Z168" i="15" s="1"/>
  <c r="Y168" i="15" s="1"/>
  <c r="G168" i="15"/>
  <c r="BX168" i="6" s="1"/>
  <c r="I64" i="15"/>
  <c r="J64" i="15"/>
  <c r="V322" i="15"/>
  <c r="F322" i="15" s="1"/>
  <c r="V56" i="15"/>
  <c r="F56" i="15" s="1"/>
  <c r="V377" i="15"/>
  <c r="F377" i="15" s="1"/>
  <c r="G40" i="15"/>
  <c r="BX40" i="6" s="1"/>
  <c r="H40" i="15"/>
  <c r="V60" i="15"/>
  <c r="F60" i="15" s="1"/>
  <c r="D33" i="7"/>
  <c r="V52" i="15"/>
  <c r="F52" i="15" s="1"/>
  <c r="V350" i="15"/>
  <c r="F350" i="15" s="1"/>
  <c r="V57" i="15"/>
  <c r="F57" i="15" s="1"/>
  <c r="I124" i="15"/>
  <c r="J124" i="15"/>
  <c r="J132" i="15"/>
  <c r="I132" i="15"/>
  <c r="V298" i="15"/>
  <c r="F298" i="15" s="1"/>
  <c r="G289" i="15"/>
  <c r="BX289" i="6" s="1"/>
  <c r="G48" i="15"/>
  <c r="BX48" i="6" s="1"/>
  <c r="H48" i="15"/>
  <c r="J256" i="15"/>
  <c r="I256" i="15"/>
  <c r="AA67" i="15"/>
  <c r="Z67" i="15" s="1"/>
  <c r="Y67" i="15" s="1"/>
  <c r="G67" i="15"/>
  <c r="BX67" i="6" s="1"/>
  <c r="H67" i="15"/>
  <c r="G296" i="15"/>
  <c r="BX296" i="6" s="1"/>
  <c r="J131" i="15"/>
  <c r="I131" i="15"/>
  <c r="AD16" i="1"/>
  <c r="AF383" i="1"/>
  <c r="AF381" i="1"/>
  <c r="AF382" i="1"/>
  <c r="H249" i="15"/>
  <c r="H289" i="15"/>
  <c r="H368" i="15"/>
  <c r="H352" i="15"/>
  <c r="I352" i="15" s="1"/>
  <c r="H337" i="15"/>
  <c r="I337" i="15" s="1"/>
  <c r="H325" i="15"/>
  <c r="J325" i="15" s="1"/>
  <c r="H342" i="15"/>
  <c r="J342" i="15" s="1"/>
  <c r="H62" i="15"/>
  <c r="J62" i="15" s="1"/>
  <c r="H326" i="15"/>
  <c r="I326" i="15" s="1"/>
  <c r="F167" i="15"/>
  <c r="H167" i="15" s="1"/>
  <c r="AA221" i="15"/>
  <c r="Z221" i="15" s="1"/>
  <c r="Y221" i="15" s="1"/>
  <c r="H129" i="15"/>
  <c r="J129" i="15" s="1"/>
  <c r="I270" i="15"/>
  <c r="J196" i="15"/>
  <c r="J260" i="15"/>
  <c r="I277" i="15"/>
  <c r="J277" i="15"/>
  <c r="AA270" i="15"/>
  <c r="Z270" i="15" s="1"/>
  <c r="Y270" i="15" s="1"/>
  <c r="G270" i="15"/>
  <c r="BX270" i="6" s="1"/>
  <c r="S140" i="15"/>
  <c r="R140" i="15" s="1"/>
  <c r="P140" i="15" s="1"/>
  <c r="V140" i="15" s="1"/>
  <c r="F140" i="15" s="1"/>
  <c r="U381" i="15"/>
  <c r="U382" i="15"/>
  <c r="T15" i="15"/>
  <c r="U383" i="15"/>
  <c r="V227" i="15"/>
  <c r="AA182" i="15"/>
  <c r="Z182" i="15" s="1"/>
  <c r="Y182" i="15" s="1"/>
  <c r="G182" i="15"/>
  <c r="BX182" i="6" s="1"/>
  <c r="H182" i="15"/>
  <c r="G192" i="15"/>
  <c r="BX192" i="6" s="1"/>
  <c r="H192" i="15"/>
  <c r="G199" i="15"/>
  <c r="BX199" i="6" s="1"/>
  <c r="H199" i="15"/>
  <c r="S34" i="15"/>
  <c r="R34" i="15" s="1"/>
  <c r="P34" i="15" s="1"/>
  <c r="V34" i="15" s="1"/>
  <c r="F34" i="15" s="1"/>
  <c r="AA260" i="15"/>
  <c r="Z260" i="15" s="1"/>
  <c r="Y260" i="15" s="1"/>
  <c r="G260" i="15"/>
  <c r="BX260" i="6" s="1"/>
  <c r="G76" i="15"/>
  <c r="BX76" i="6" s="1"/>
  <c r="H76" i="15"/>
  <c r="AA284" i="15"/>
  <c r="Z284" i="15" s="1"/>
  <c r="Y284" i="15" s="1"/>
  <c r="G284" i="15"/>
  <c r="BX284" i="6" s="1"/>
  <c r="H284" i="15"/>
  <c r="G215" i="15"/>
  <c r="BX215" i="6" s="1"/>
  <c r="AA215" i="15"/>
  <c r="Z215" i="15" s="1"/>
  <c r="Y215" i="15" s="1"/>
  <c r="H197" i="15"/>
  <c r="G197" i="15"/>
  <c r="BX197" i="6" s="1"/>
  <c r="S139" i="15"/>
  <c r="R139" i="15" s="1"/>
  <c r="P139" i="15" s="1"/>
  <c r="V139" i="15" s="1"/>
  <c r="F139" i="15" s="1"/>
  <c r="H282" i="15"/>
  <c r="G282" i="15"/>
  <c r="BX282" i="6" s="1"/>
  <c r="S348" i="15"/>
  <c r="R348" i="15" s="1"/>
  <c r="P348" i="15" s="1"/>
  <c r="V348" i="15" s="1"/>
  <c r="F348" i="15" s="1"/>
  <c r="G183" i="15"/>
  <c r="BX183" i="6" s="1"/>
  <c r="H183" i="15"/>
  <c r="G175" i="15"/>
  <c r="BX175" i="6" s="1"/>
  <c r="AA175" i="15"/>
  <c r="Z175" i="15" s="1"/>
  <c r="Y175" i="15" s="1"/>
  <c r="H175" i="15"/>
  <c r="S147" i="15"/>
  <c r="R147" i="15" s="1"/>
  <c r="P147" i="15" s="1"/>
  <c r="V147" i="15" s="1"/>
  <c r="F147" i="15" s="1"/>
  <c r="S138" i="15"/>
  <c r="R138" i="15" s="1"/>
  <c r="P138" i="15" s="1"/>
  <c r="V138" i="15" s="1"/>
  <c r="F138" i="15" s="1"/>
  <c r="S151" i="15"/>
  <c r="R151" i="15" s="1"/>
  <c r="P151" i="15" s="1"/>
  <c r="V151" i="15" s="1"/>
  <c r="F151" i="15" s="1"/>
  <c r="S38" i="15"/>
  <c r="R38" i="15" s="1"/>
  <c r="P38" i="15" s="1"/>
  <c r="V38" i="15" s="1"/>
  <c r="F38" i="15" s="1"/>
  <c r="AA72" i="15"/>
  <c r="Z72" i="15" s="1"/>
  <c r="Y72" i="15" s="1"/>
  <c r="H72" i="15"/>
  <c r="G72" i="15"/>
  <c r="BX72" i="6" s="1"/>
  <c r="G224" i="15"/>
  <c r="BX224" i="6" s="1"/>
  <c r="H224" i="15"/>
  <c r="G194" i="15"/>
  <c r="BX194" i="6" s="1"/>
  <c r="AA194" i="15"/>
  <c r="Z194" i="15" s="1"/>
  <c r="Y194" i="15" s="1"/>
  <c r="H194" i="15"/>
  <c r="G362" i="15"/>
  <c r="BX362" i="6" s="1"/>
  <c r="AA362" i="15"/>
  <c r="Z362" i="15" s="1"/>
  <c r="Y362" i="15" s="1"/>
  <c r="H362" i="15"/>
  <c r="S334" i="15"/>
  <c r="R334" i="15" s="1"/>
  <c r="P334" i="15" s="1"/>
  <c r="G181" i="15"/>
  <c r="BX181" i="6" s="1"/>
  <c r="AA181" i="15"/>
  <c r="Z181" i="15" s="1"/>
  <c r="Y181" i="15" s="1"/>
  <c r="H181" i="15"/>
  <c r="G307" i="15"/>
  <c r="BX307" i="6" s="1"/>
  <c r="H307" i="15"/>
  <c r="G286" i="15"/>
  <c r="BX286" i="6" s="1"/>
  <c r="H286" i="15"/>
  <c r="V241" i="15"/>
  <c r="F241" i="15" s="1"/>
  <c r="D39" i="7"/>
  <c r="G261" i="15"/>
  <c r="BX261" i="6" s="1"/>
  <c r="H261" i="15"/>
  <c r="S357" i="15"/>
  <c r="R357" i="15" s="1"/>
  <c r="P357" i="15" s="1"/>
  <c r="V357" i="15" s="1"/>
  <c r="F357" i="15" s="1"/>
  <c r="AA378" i="15"/>
  <c r="Z378" i="15" s="1"/>
  <c r="Y378" i="15" s="1"/>
  <c r="G378" i="15"/>
  <c r="BX378" i="6" s="1"/>
  <c r="H378" i="15"/>
  <c r="S159" i="15"/>
  <c r="R159" i="15" s="1"/>
  <c r="P159" i="15" s="1"/>
  <c r="V159" i="15" s="1"/>
  <c r="F159" i="15" s="1"/>
  <c r="S137" i="15"/>
  <c r="R137" i="15" s="1"/>
  <c r="P137" i="15" s="1"/>
  <c r="V137" i="15" s="1"/>
  <c r="F137" i="15" s="1"/>
  <c r="AA185" i="15"/>
  <c r="Z185" i="15" s="1"/>
  <c r="Y185" i="15" s="1"/>
  <c r="G185" i="15"/>
  <c r="BX185" i="6" s="1"/>
  <c r="H185" i="15"/>
  <c r="G297" i="15"/>
  <c r="BX297" i="6" s="1"/>
  <c r="H297" i="15"/>
  <c r="G295" i="15"/>
  <c r="BX295" i="6" s="1"/>
  <c r="H295" i="15"/>
  <c r="S77" i="15"/>
  <c r="R77" i="15" s="1"/>
  <c r="P77" i="15" s="1"/>
  <c r="G177" i="15"/>
  <c r="BX177" i="6" s="1"/>
  <c r="AA177" i="15"/>
  <c r="Z177" i="15" s="1"/>
  <c r="Y177" i="15" s="1"/>
  <c r="H177" i="15"/>
  <c r="G276" i="15"/>
  <c r="BX276" i="6" s="1"/>
  <c r="H276" i="15"/>
  <c r="G370" i="15"/>
  <c r="BX370" i="6" s="1"/>
  <c r="S154" i="15"/>
  <c r="R154" i="15" s="1"/>
  <c r="P154" i="15" s="1"/>
  <c r="V154" i="15" s="1"/>
  <c r="F154" i="15" s="1"/>
  <c r="S36" i="15"/>
  <c r="R36" i="15" s="1"/>
  <c r="P36" i="15" s="1"/>
  <c r="V36" i="15" s="1"/>
  <c r="F36" i="15" s="1"/>
  <c r="G263" i="15"/>
  <c r="BX263" i="6" s="1"/>
  <c r="H263" i="15"/>
  <c r="S54" i="15"/>
  <c r="R54" i="15" s="1"/>
  <c r="P54" i="15" s="1"/>
  <c r="V54" i="15" s="1"/>
  <c r="F54" i="15" s="1"/>
  <c r="G218" i="15"/>
  <c r="BX218" i="6" s="1"/>
  <c r="H218" i="15"/>
  <c r="S338" i="15"/>
  <c r="R338" i="15" s="1"/>
  <c r="P338" i="15" s="1"/>
  <c r="V338" i="15" s="1"/>
  <c r="F338" i="15" s="1"/>
  <c r="G196" i="15"/>
  <c r="BX196" i="6" s="1"/>
  <c r="AA196" i="15"/>
  <c r="Z196" i="15" s="1"/>
  <c r="Y196" i="15" s="1"/>
  <c r="S320" i="15"/>
  <c r="R320" i="15" s="1"/>
  <c r="P320" i="15" s="1"/>
  <c r="S82" i="15"/>
  <c r="R82" i="15" s="1"/>
  <c r="P82" i="15" s="1"/>
  <c r="V82" i="15" s="1"/>
  <c r="F82" i="15" s="1"/>
  <c r="AA369" i="15"/>
  <c r="Z369" i="15" s="1"/>
  <c r="Y369" i="15" s="1"/>
  <c r="G369" i="15"/>
  <c r="BX369" i="6" s="1"/>
  <c r="H369" i="15"/>
  <c r="S37" i="15"/>
  <c r="R37" i="15" s="1"/>
  <c r="P37" i="15" s="1"/>
  <c r="V37" i="15" s="1"/>
  <c r="F37" i="15" s="1"/>
  <c r="AA248" i="15"/>
  <c r="Z248" i="15" s="1"/>
  <c r="Y248" i="15" s="1"/>
  <c r="G248" i="15"/>
  <c r="BX248" i="6" s="1"/>
  <c r="S333" i="15"/>
  <c r="R333" i="15" s="1"/>
  <c r="P333" i="15" s="1"/>
  <c r="S293" i="15"/>
  <c r="R293" i="15" s="1"/>
  <c r="P293" i="15" s="1"/>
  <c r="V293" i="15" s="1"/>
  <c r="S319" i="15"/>
  <c r="R319" i="15" s="1"/>
  <c r="P319" i="15" s="1"/>
  <c r="AA234" i="15"/>
  <c r="Z234" i="15" s="1"/>
  <c r="Y234" i="15" s="1"/>
  <c r="G234" i="15"/>
  <c r="BX234" i="6" s="1"/>
  <c r="H234" i="15"/>
  <c r="S121" i="15"/>
  <c r="R121" i="15" s="1"/>
  <c r="P121" i="15" s="1"/>
  <c r="V121" i="15" s="1"/>
  <c r="F121" i="15" s="1"/>
  <c r="AA110" i="15"/>
  <c r="Z110" i="15" s="1"/>
  <c r="Y110" i="15" s="1"/>
  <c r="G110" i="15"/>
  <c r="BX110" i="6" s="1"/>
  <c r="H110" i="15"/>
  <c r="AA232" i="15"/>
  <c r="Z232" i="15" s="1"/>
  <c r="Y232" i="15" s="1"/>
  <c r="G232" i="15"/>
  <c r="BX232" i="6" s="1"/>
  <c r="H232" i="15"/>
  <c r="H262" i="15"/>
  <c r="G262" i="15"/>
  <c r="BX262" i="6" s="1"/>
  <c r="AA262" i="15"/>
  <c r="Z262" i="15" s="1"/>
  <c r="Y262" i="15" s="1"/>
  <c r="S20" i="15"/>
  <c r="R20" i="15" s="1"/>
  <c r="P20" i="15" s="1"/>
  <c r="V20" i="15" s="1"/>
  <c r="F20" i="15" s="1"/>
  <c r="G313" i="15"/>
  <c r="BX313" i="6" s="1"/>
  <c r="AA313" i="15"/>
  <c r="Z313" i="15" s="1"/>
  <c r="Y313" i="15" s="1"/>
  <c r="G216" i="15"/>
  <c r="BX216" i="6" s="1"/>
  <c r="G290" i="15"/>
  <c r="BX290" i="6" s="1"/>
  <c r="H290" i="15"/>
  <c r="AA290" i="15"/>
  <c r="Z290" i="15" s="1"/>
  <c r="Y290" i="15" s="1"/>
  <c r="S343" i="15"/>
  <c r="R343" i="15" s="1"/>
  <c r="P343" i="15" s="1"/>
  <c r="V343" i="15" s="1"/>
  <c r="F343" i="15" s="1"/>
  <c r="S149" i="15"/>
  <c r="R149" i="15" s="1"/>
  <c r="P149" i="15" s="1"/>
  <c r="AA223" i="15"/>
  <c r="Z223" i="15" s="1"/>
  <c r="Y223" i="15" s="1"/>
  <c r="G223" i="15"/>
  <c r="BX223" i="6" s="1"/>
  <c r="S123" i="15"/>
  <c r="R123" i="15" s="1"/>
  <c r="P123" i="15" s="1"/>
  <c r="V123" i="15" s="1"/>
  <c r="F123" i="15" s="1"/>
  <c r="G166" i="15"/>
  <c r="BX166" i="6" s="1"/>
  <c r="H166" i="15"/>
  <c r="AA166" i="15"/>
  <c r="Z166" i="15" s="1"/>
  <c r="Y166" i="15" s="1"/>
  <c r="V210" i="15"/>
  <c r="F210" i="15" s="1"/>
  <c r="D38" i="7"/>
  <c r="G202" i="15"/>
  <c r="BX202" i="6" s="1"/>
  <c r="H202" i="15"/>
  <c r="S24" i="15"/>
  <c r="R24" i="15" s="1"/>
  <c r="P24" i="15" s="1"/>
  <c r="V24" i="15" s="1"/>
  <c r="F24" i="15" s="1"/>
  <c r="S146" i="15"/>
  <c r="R146" i="15" s="1"/>
  <c r="P146" i="15" s="1"/>
  <c r="V146" i="15" s="1"/>
  <c r="F146" i="15" s="1"/>
  <c r="H165" i="15"/>
  <c r="G165" i="15"/>
  <c r="BX165" i="6" s="1"/>
  <c r="AA165" i="15"/>
  <c r="Z165" i="15" s="1"/>
  <c r="Y165" i="15" s="1"/>
  <c r="S94" i="15"/>
  <c r="R94" i="15" s="1"/>
  <c r="P94" i="15" s="1"/>
  <c r="S347" i="15"/>
  <c r="R347" i="15" s="1"/>
  <c r="P347" i="15" s="1"/>
  <c r="V347" i="15" s="1"/>
  <c r="F347" i="15" s="1"/>
  <c r="G230" i="15"/>
  <c r="BX230" i="6" s="1"/>
  <c r="AA230" i="15"/>
  <c r="Z230" i="15" s="1"/>
  <c r="Y230" i="15" s="1"/>
  <c r="H230" i="15"/>
  <c r="S88" i="15"/>
  <c r="R88" i="15" s="1"/>
  <c r="P88" i="15" s="1"/>
  <c r="S16" i="15"/>
  <c r="R16" i="15" s="1"/>
  <c r="P16" i="15" s="1"/>
  <c r="V16" i="15" s="1"/>
  <c r="F16" i="15" s="1"/>
  <c r="J269" i="15"/>
  <c r="I269" i="15"/>
  <c r="AG88" i="15"/>
  <c r="AF88" i="15" s="1"/>
  <c r="AD88" i="15" s="1"/>
  <c r="AA190" i="15"/>
  <c r="Z190" i="15" s="1"/>
  <c r="Y190" i="15" s="1"/>
  <c r="AA225" i="15"/>
  <c r="Z225" i="15" s="1"/>
  <c r="Y225" i="15" s="1"/>
  <c r="AG339" i="15"/>
  <c r="AF339" i="15" s="1"/>
  <c r="AD339" i="15" s="1"/>
  <c r="AA339" i="15" s="1"/>
  <c r="Z339" i="15" s="1"/>
  <c r="Y339" i="15" s="1"/>
  <c r="AG36" i="15"/>
  <c r="AF36" i="15" s="1"/>
  <c r="AD36" i="15" s="1"/>
  <c r="AG86" i="15"/>
  <c r="AF86" i="15" s="1"/>
  <c r="AD86" i="15" s="1"/>
  <c r="AG77" i="15"/>
  <c r="AF77" i="15" s="1"/>
  <c r="AD77" i="15" s="1"/>
  <c r="AA183" i="15"/>
  <c r="Z183" i="15" s="1"/>
  <c r="Y183" i="15" s="1"/>
  <c r="AG360" i="15"/>
  <c r="AF360" i="15" s="1"/>
  <c r="AD360" i="15" s="1"/>
  <c r="AG343" i="15"/>
  <c r="AF343" i="15" s="1"/>
  <c r="AD343" i="15" s="1"/>
  <c r="AG23" i="15"/>
  <c r="AF23" i="15" s="1"/>
  <c r="AD23" i="15" s="1"/>
  <c r="AG35" i="15"/>
  <c r="AF35" i="15" s="1"/>
  <c r="AD35" i="15" s="1"/>
  <c r="AA71" i="15"/>
  <c r="Z71" i="15" s="1"/>
  <c r="Y71" i="15" s="1"/>
  <c r="AG53" i="15"/>
  <c r="AF53" i="15" s="1"/>
  <c r="AD53" i="15" s="1"/>
  <c r="AG93" i="15"/>
  <c r="AF93" i="15" s="1"/>
  <c r="AD93" i="15" s="1"/>
  <c r="AG336" i="15"/>
  <c r="AF336" i="15" s="1"/>
  <c r="AD336" i="15" s="1"/>
  <c r="AG30" i="15"/>
  <c r="AF30" i="15" s="1"/>
  <c r="AD30" i="15" s="1"/>
  <c r="AG314" i="15"/>
  <c r="AF314" i="15" s="1"/>
  <c r="AD314" i="15" s="1"/>
  <c r="AG137" i="15"/>
  <c r="AF137" i="15" s="1"/>
  <c r="AD137" i="15" s="1"/>
  <c r="AG20" i="15"/>
  <c r="AF20" i="15" s="1"/>
  <c r="AD20" i="15" s="1"/>
  <c r="AG28" i="15"/>
  <c r="AF28" i="15" s="1"/>
  <c r="AD28" i="15" s="1"/>
  <c r="AG376" i="15"/>
  <c r="AF376" i="15" s="1"/>
  <c r="AD376" i="15" s="1"/>
  <c r="AA376" i="15" s="1"/>
  <c r="Z376" i="15" s="1"/>
  <c r="Y376" i="15" s="1"/>
  <c r="AA286" i="15"/>
  <c r="Z286" i="15" s="1"/>
  <c r="Y286" i="15" s="1"/>
  <c r="AG368" i="15"/>
  <c r="AF368" i="15" s="1"/>
  <c r="AD368" i="15" s="1"/>
  <c r="AA368" i="15" s="1"/>
  <c r="Z368" i="15" s="1"/>
  <c r="Y368" i="15" s="1"/>
  <c r="AG39" i="15"/>
  <c r="AF39" i="15" s="1"/>
  <c r="AD39" i="15" s="1"/>
  <c r="AA39" i="15" s="1"/>
  <c r="Z39" i="15" s="1"/>
  <c r="Y39" i="15" s="1"/>
  <c r="AG351" i="15"/>
  <c r="AF351" i="15" s="1"/>
  <c r="AD351" i="15" s="1"/>
  <c r="AG352" i="15"/>
  <c r="AF352" i="15" s="1"/>
  <c r="AD352" i="15" s="1"/>
  <c r="AA352" i="15" s="1"/>
  <c r="Z352" i="15" s="1"/>
  <c r="Y352" i="15" s="1"/>
  <c r="AG21" i="15"/>
  <c r="AF21" i="15" s="1"/>
  <c r="AD21" i="15" s="1"/>
  <c r="AG341" i="15"/>
  <c r="AF341" i="15" s="1"/>
  <c r="AD341" i="15" s="1"/>
  <c r="AG145" i="15"/>
  <c r="AF145" i="15" s="1"/>
  <c r="AD145" i="15" s="1"/>
  <c r="AG354" i="15"/>
  <c r="AF354" i="15" s="1"/>
  <c r="AD354" i="15" s="1"/>
  <c r="AG76" i="15"/>
  <c r="AF76" i="15" s="1"/>
  <c r="AD76" i="15" s="1"/>
  <c r="AA76" i="15" s="1"/>
  <c r="Z76" i="15" s="1"/>
  <c r="Y76" i="15" s="1"/>
  <c r="AG138" i="15"/>
  <c r="AF138" i="15" s="1"/>
  <c r="AD138" i="15" s="1"/>
  <c r="AG330" i="15"/>
  <c r="AF330" i="15" s="1"/>
  <c r="AD330" i="15" s="1"/>
  <c r="AG85" i="15"/>
  <c r="AF85" i="15" s="1"/>
  <c r="AD85" i="15" s="1"/>
  <c r="AG114" i="15"/>
  <c r="AF114" i="15" s="1"/>
  <c r="AD114" i="15" s="1"/>
  <c r="AA114" i="15" s="1"/>
  <c r="Z114" i="15" s="1"/>
  <c r="Y114" i="15" s="1"/>
  <c r="AG342" i="15"/>
  <c r="AF342" i="15" s="1"/>
  <c r="AD342" i="15" s="1"/>
  <c r="AA342" i="15" s="1"/>
  <c r="Z342" i="15" s="1"/>
  <c r="Y342" i="15" s="1"/>
  <c r="AA192" i="15"/>
  <c r="Z192" i="15" s="1"/>
  <c r="Y192" i="15" s="1"/>
  <c r="AG69" i="15"/>
  <c r="AF69" i="15" s="1"/>
  <c r="AD69" i="15" s="1"/>
  <c r="AA69" i="15" s="1"/>
  <c r="Z69" i="15" s="1"/>
  <c r="Y69" i="15" s="1"/>
  <c r="AG80" i="15"/>
  <c r="AF80" i="15" s="1"/>
  <c r="AD80" i="15" s="1"/>
  <c r="AA224" i="15"/>
  <c r="Z224" i="15" s="1"/>
  <c r="Y224" i="15" s="1"/>
  <c r="AG325" i="15"/>
  <c r="AF325" i="15" s="1"/>
  <c r="AD325" i="15" s="1"/>
  <c r="AA325" i="15" s="1"/>
  <c r="Z325" i="15" s="1"/>
  <c r="Y325" i="15" s="1"/>
  <c r="AG297" i="15"/>
  <c r="AF297" i="15" s="1"/>
  <c r="AD297" i="15" s="1"/>
  <c r="AA297" i="15" s="1"/>
  <c r="Z297" i="15" s="1"/>
  <c r="Y297" i="15" s="1"/>
  <c r="AG22" i="15"/>
  <c r="AF22" i="15" s="1"/>
  <c r="AD22" i="15" s="1"/>
  <c r="AG327" i="15"/>
  <c r="AF327" i="15" s="1"/>
  <c r="AD327" i="15" s="1"/>
  <c r="AG60" i="15"/>
  <c r="AF60" i="15" s="1"/>
  <c r="AD60" i="15" s="1"/>
  <c r="AG143" i="15"/>
  <c r="AF143" i="15" s="1"/>
  <c r="AD143" i="15" s="1"/>
  <c r="AG134" i="15"/>
  <c r="AF134" i="15" s="1"/>
  <c r="AD134" i="15" s="1"/>
  <c r="AG347" i="15"/>
  <c r="AF347" i="15" s="1"/>
  <c r="AD347" i="15" s="1"/>
  <c r="AG103" i="15"/>
  <c r="AF103" i="15" s="1"/>
  <c r="AD103" i="15" s="1"/>
  <c r="AG101" i="15"/>
  <c r="AF101" i="15" s="1"/>
  <c r="AD101" i="15" s="1"/>
  <c r="AG51" i="15"/>
  <c r="AF51" i="15" s="1"/>
  <c r="AD51" i="15" s="1"/>
  <c r="AA51" i="15" s="1"/>
  <c r="Z51" i="15" s="1"/>
  <c r="Y51" i="15" s="1"/>
  <c r="AG316" i="15"/>
  <c r="AF316" i="15" s="1"/>
  <c r="AD316" i="15" s="1"/>
  <c r="AG367" i="15"/>
  <c r="AF367" i="15" s="1"/>
  <c r="AD367" i="15" s="1"/>
  <c r="AG55" i="15"/>
  <c r="AF55" i="15" s="1"/>
  <c r="AD55" i="15" s="1"/>
  <c r="AA55" i="15" s="1"/>
  <c r="Z55" i="15" s="1"/>
  <c r="Y55" i="15" s="1"/>
  <c r="AG87" i="15"/>
  <c r="AF87" i="15" s="1"/>
  <c r="AD87" i="15" s="1"/>
  <c r="AG344" i="15"/>
  <c r="AF344" i="15" s="1"/>
  <c r="AD344" i="15" s="1"/>
  <c r="AG58" i="15"/>
  <c r="AF58" i="15" s="1"/>
  <c r="AD58" i="15" s="1"/>
  <c r="AG149" i="15"/>
  <c r="AF149" i="15" s="1"/>
  <c r="AD149" i="15" s="1"/>
  <c r="AG337" i="15"/>
  <c r="AF337" i="15" s="1"/>
  <c r="AD337" i="15" s="1"/>
  <c r="AA337" i="15" s="1"/>
  <c r="Z337" i="15" s="1"/>
  <c r="Y337" i="15" s="1"/>
  <c r="AG75" i="15"/>
  <c r="AF75" i="15" s="1"/>
  <c r="AD75" i="15" s="1"/>
  <c r="AA75" i="15" s="1"/>
  <c r="Z75" i="15" s="1"/>
  <c r="Y75" i="15" s="1"/>
  <c r="AG31" i="15"/>
  <c r="AF31" i="15" s="1"/>
  <c r="AD31" i="15" s="1"/>
  <c r="AG345" i="15"/>
  <c r="AF345" i="15" s="1"/>
  <c r="AD345" i="15" s="1"/>
  <c r="AG281" i="15"/>
  <c r="AF281" i="15" s="1"/>
  <c r="AD281" i="15" s="1"/>
  <c r="AG287" i="15"/>
  <c r="AF287" i="15" s="1"/>
  <c r="AD287" i="15" s="1"/>
  <c r="AA287" i="15" s="1"/>
  <c r="Z287" i="15" s="1"/>
  <c r="Y287" i="15" s="1"/>
  <c r="AG363" i="15"/>
  <c r="AF363" i="15" s="1"/>
  <c r="AD363" i="15" s="1"/>
  <c r="AG29" i="15"/>
  <c r="AF29" i="15" s="1"/>
  <c r="AD29" i="15" s="1"/>
  <c r="AG338" i="15"/>
  <c r="AF338" i="15" s="1"/>
  <c r="AD338" i="15" s="1"/>
  <c r="AG326" i="15"/>
  <c r="AF326" i="15" s="1"/>
  <c r="AD326" i="15" s="1"/>
  <c r="AA326" i="15" s="1"/>
  <c r="Z326" i="15" s="1"/>
  <c r="Y326" i="15" s="1"/>
  <c r="AG348" i="15"/>
  <c r="AF348" i="15" s="1"/>
  <c r="AD348" i="15" s="1"/>
  <c r="AG57" i="15"/>
  <c r="AF57" i="15" s="1"/>
  <c r="AD57" i="15" s="1"/>
  <c r="AG59" i="15"/>
  <c r="AF59" i="15" s="1"/>
  <c r="AD59" i="15" s="1"/>
  <c r="AG40" i="15"/>
  <c r="AF40" i="15" s="1"/>
  <c r="AD40" i="15" s="1"/>
  <c r="AA40" i="15" s="1"/>
  <c r="Z40" i="15" s="1"/>
  <c r="Y40" i="15" s="1"/>
  <c r="AG49" i="15"/>
  <c r="AF49" i="15" s="1"/>
  <c r="AD49" i="15" s="1"/>
  <c r="AG47" i="15"/>
  <c r="AF47" i="15" s="1"/>
  <c r="AD47" i="15" s="1"/>
  <c r="AG92" i="15"/>
  <c r="AF92" i="15" s="1"/>
  <c r="AD92" i="15" s="1"/>
  <c r="AG293" i="15"/>
  <c r="AF293" i="15" s="1"/>
  <c r="AD293" i="15" s="1"/>
  <c r="AA263" i="15"/>
  <c r="Z263" i="15" s="1"/>
  <c r="Y263" i="15" s="1"/>
  <c r="AG240" i="15"/>
  <c r="AF240" i="15" s="1"/>
  <c r="AD240" i="15" s="1"/>
  <c r="AA240" i="15" s="1"/>
  <c r="Z240" i="15" s="1"/>
  <c r="Y240" i="15" s="1"/>
  <c r="AG41" i="15"/>
  <c r="AF41" i="15" s="1"/>
  <c r="AD41" i="15" s="1"/>
  <c r="AG218" i="15"/>
  <c r="AF218" i="15" s="1"/>
  <c r="AD218" i="15" s="1"/>
  <c r="AA218" i="15" s="1"/>
  <c r="Z218" i="15" s="1"/>
  <c r="Y218" i="15" s="1"/>
  <c r="AG160" i="15"/>
  <c r="AF160" i="15" s="1"/>
  <c r="AD160" i="15" s="1"/>
  <c r="AG68" i="15"/>
  <c r="AF68" i="15" s="1"/>
  <c r="AD68" i="15" s="1"/>
  <c r="AA68" i="15" s="1"/>
  <c r="Z68" i="15" s="1"/>
  <c r="Y68" i="15" s="1"/>
  <c r="AG167" i="15"/>
  <c r="AF167" i="15" s="1"/>
  <c r="AD167" i="15" s="1"/>
  <c r="AG104" i="15"/>
  <c r="AF104" i="15" s="1"/>
  <c r="AD104" i="15" s="1"/>
  <c r="AG156" i="15"/>
  <c r="AF156" i="15" s="1"/>
  <c r="AD156" i="15" s="1"/>
  <c r="AA156" i="15" s="1"/>
  <c r="Z156" i="15" s="1"/>
  <c r="Y156" i="15" s="1"/>
  <c r="AG322" i="15"/>
  <c r="AF322" i="15" s="1"/>
  <c r="AD322" i="15" s="1"/>
  <c r="AG135" i="15"/>
  <c r="AF135" i="15" s="1"/>
  <c r="AD135" i="15" s="1"/>
  <c r="AG150" i="15"/>
  <c r="AF150" i="15" s="1"/>
  <c r="AD150" i="15" s="1"/>
  <c r="AG197" i="15"/>
  <c r="AF197" i="15" s="1"/>
  <c r="AD197" i="15" s="1"/>
  <c r="AA197" i="15" s="1"/>
  <c r="Z197" i="15" s="1"/>
  <c r="Y197" i="15" s="1"/>
  <c r="AG54" i="15"/>
  <c r="AF54" i="15" s="1"/>
  <c r="AD54" i="15" s="1"/>
  <c r="AG62" i="15"/>
  <c r="AF62" i="15" s="1"/>
  <c r="AD62" i="15" s="1"/>
  <c r="AA62" i="15" s="1"/>
  <c r="Z62" i="15" s="1"/>
  <c r="Y62" i="15" s="1"/>
  <c r="AG357" i="15"/>
  <c r="AF357" i="15" s="1"/>
  <c r="AD357" i="15" s="1"/>
  <c r="AG244" i="15"/>
  <c r="AF244" i="15" s="1"/>
  <c r="AD244" i="15" s="1"/>
  <c r="AA244" i="15" s="1"/>
  <c r="Z244" i="15" s="1"/>
  <c r="Y244" i="15" s="1"/>
  <c r="AG231" i="15"/>
  <c r="AF231" i="15" s="1"/>
  <c r="AD231" i="15" s="1"/>
  <c r="AA231" i="15" s="1"/>
  <c r="Z231" i="15" s="1"/>
  <c r="Y231" i="15" s="1"/>
  <c r="AG27" i="15"/>
  <c r="AF27" i="15" s="1"/>
  <c r="AD27" i="15" s="1"/>
  <c r="AG335" i="15"/>
  <c r="AF335" i="15" s="1"/>
  <c r="AD335" i="15" s="1"/>
  <c r="AG79" i="15"/>
  <c r="AF79" i="15" s="1"/>
  <c r="AD79" i="15" s="1"/>
  <c r="AG154" i="15"/>
  <c r="AF154" i="15" s="1"/>
  <c r="AD154" i="15" s="1"/>
  <c r="AG361" i="15"/>
  <c r="AF361" i="15" s="1"/>
  <c r="AD361" i="15" s="1"/>
  <c r="AA361" i="15" s="1"/>
  <c r="Z361" i="15" s="1"/>
  <c r="Y361" i="15" s="1"/>
  <c r="AG374" i="15"/>
  <c r="AF374" i="15" s="1"/>
  <c r="AD374" i="15" s="1"/>
  <c r="AA162" i="15"/>
  <c r="Z162" i="15" s="1"/>
  <c r="Y162" i="15" s="1"/>
  <c r="AA257" i="15"/>
  <c r="Z257" i="15" s="1"/>
  <c r="Y257" i="15" s="1"/>
  <c r="AG96" i="15"/>
  <c r="AF96" i="15" s="1"/>
  <c r="AD96" i="15" s="1"/>
  <c r="AG18" i="15"/>
  <c r="AF18" i="15" s="1"/>
  <c r="AD18" i="15" s="1"/>
  <c r="AA261" i="15"/>
  <c r="Z261" i="15" s="1"/>
  <c r="Y261" i="15" s="1"/>
  <c r="AG151" i="15"/>
  <c r="AF151" i="15" s="1"/>
  <c r="AD151" i="15" s="1"/>
  <c r="AG82" i="15"/>
  <c r="AF82" i="15" s="1"/>
  <c r="AD82" i="15" s="1"/>
  <c r="AG333" i="15"/>
  <c r="AF333" i="15" s="1"/>
  <c r="AD333" i="15" s="1"/>
  <c r="AG73" i="15"/>
  <c r="AF73" i="15" s="1"/>
  <c r="AD73" i="15" s="1"/>
  <c r="AA73" i="15" s="1"/>
  <c r="Z73" i="15" s="1"/>
  <c r="Y73" i="15" s="1"/>
  <c r="AG275" i="15"/>
  <c r="AF275" i="15" s="1"/>
  <c r="AD275" i="15" s="1"/>
  <c r="AA275" i="15" s="1"/>
  <c r="Z275" i="15" s="1"/>
  <c r="Y275" i="15" s="1"/>
  <c r="AG19" i="15"/>
  <c r="AF19" i="15" s="1"/>
  <c r="AD19" i="15" s="1"/>
  <c r="AG97" i="15"/>
  <c r="AF97" i="15" s="1"/>
  <c r="AD97" i="15" s="1"/>
  <c r="AG90" i="15"/>
  <c r="AF90" i="15" s="1"/>
  <c r="AD90" i="15" s="1"/>
  <c r="AG38" i="15"/>
  <c r="AF38" i="15" s="1"/>
  <c r="AD38" i="15" s="1"/>
  <c r="AG159" i="15"/>
  <c r="AF159" i="15" s="1"/>
  <c r="AD159" i="15" s="1"/>
  <c r="AG340" i="15"/>
  <c r="AF340" i="15" s="1"/>
  <c r="AD340" i="15" s="1"/>
  <c r="AG331" i="15"/>
  <c r="AF331" i="15" s="1"/>
  <c r="AD331" i="15" s="1"/>
  <c r="H257" i="15"/>
  <c r="H223" i="15"/>
  <c r="H190" i="15"/>
  <c r="H246" i="15"/>
  <c r="H252" i="15"/>
  <c r="H216" i="15"/>
  <c r="H356" i="15"/>
  <c r="H312" i="15"/>
  <c r="F239" i="1"/>
  <c r="F383" i="1" s="1"/>
  <c r="I69" i="15"/>
  <c r="J69" i="15"/>
  <c r="I133" i="15"/>
  <c r="J133" i="15"/>
  <c r="J128" i="15"/>
  <c r="I128" i="15"/>
  <c r="I111" i="15"/>
  <c r="J111" i="15"/>
  <c r="I126" i="15"/>
  <c r="J126" i="15"/>
  <c r="I243" i="15"/>
  <c r="J243" i="15"/>
  <c r="J265" i="15"/>
  <c r="I265" i="15"/>
  <c r="I294" i="15"/>
  <c r="J294" i="15"/>
  <c r="I164" i="15"/>
  <c r="J164" i="15"/>
  <c r="I114" i="15"/>
  <c r="J114" i="15"/>
  <c r="J106" i="15"/>
  <c r="I106" i="15"/>
  <c r="J74" i="15"/>
  <c r="I74" i="15"/>
  <c r="H266" i="15"/>
  <c r="H207" i="15"/>
  <c r="H248" i="15"/>
  <c r="H264" i="15"/>
  <c r="H296" i="15"/>
  <c r="Q10" i="17"/>
  <c r="Q144" i="17" s="1"/>
  <c r="U15" i="7"/>
  <c r="AC218" i="18"/>
  <c r="AC339" i="18"/>
  <c r="AC160" i="18"/>
  <c r="AC352" i="18"/>
  <c r="AC238" i="18"/>
  <c r="AC241" i="18"/>
  <c r="AC299" i="18"/>
  <c r="AC179" i="18"/>
  <c r="AC279" i="18"/>
  <c r="AC297" i="18"/>
  <c r="AC254" i="18"/>
  <c r="AC197" i="18"/>
  <c r="AC264" i="18"/>
  <c r="AC162" i="18"/>
  <c r="AC371" i="18"/>
  <c r="AC209" i="18"/>
  <c r="AC335" i="18"/>
  <c r="AC266" i="18"/>
  <c r="AC262" i="18"/>
  <c r="AC166" i="18"/>
  <c r="AC300" i="18"/>
  <c r="AC214" i="18"/>
  <c r="AC207" i="18"/>
  <c r="AC276" i="18"/>
  <c r="AC376" i="18"/>
  <c r="AC328" i="18"/>
  <c r="AC143" i="18"/>
  <c r="AC164" i="18"/>
  <c r="AC215" i="18"/>
  <c r="AC157" i="18"/>
  <c r="AC282" i="18"/>
  <c r="AC347" i="18"/>
  <c r="AC271" i="18"/>
  <c r="AC249" i="18"/>
  <c r="AC305" i="18"/>
  <c r="AC343" i="18"/>
  <c r="AC360" i="18"/>
  <c r="AC146" i="18"/>
  <c r="AC267" i="18"/>
  <c r="AC134" i="18"/>
  <c r="AC222" i="18"/>
  <c r="AC320" i="18"/>
  <c r="AC270" i="18"/>
  <c r="AC174" i="18"/>
  <c r="AC168" i="18"/>
  <c r="AC228" i="18"/>
  <c r="AC253" i="18"/>
  <c r="AC293" i="18"/>
  <c r="AC235" i="18"/>
  <c r="AC190" i="18"/>
  <c r="AC199" i="18"/>
  <c r="AC324" i="18"/>
  <c r="AC313" i="18"/>
  <c r="AC180" i="18"/>
  <c r="AC159" i="18"/>
  <c r="AC173" i="18"/>
  <c r="AC272" i="18"/>
  <c r="AC225" i="18"/>
  <c r="AC375" i="18"/>
  <c r="AC330" i="18"/>
  <c r="AC332" i="18"/>
  <c r="AC186" i="18"/>
  <c r="AC286" i="18"/>
  <c r="AC338" i="18"/>
  <c r="AC336" i="18"/>
  <c r="AC226" i="18"/>
  <c r="AC201" i="18"/>
  <c r="AC240" i="18"/>
  <c r="AC139" i="18"/>
  <c r="AC256" i="18"/>
  <c r="AC368" i="18"/>
  <c r="AC258" i="18"/>
  <c r="AC319" i="18"/>
  <c r="AC306" i="18"/>
  <c r="AC354" i="18"/>
  <c r="AC237" i="18"/>
  <c r="AC350" i="18"/>
  <c r="AC285" i="18"/>
  <c r="AC361" i="18"/>
  <c r="AC188" i="18"/>
  <c r="AC255" i="18"/>
  <c r="AC307" i="18"/>
  <c r="AC284" i="18"/>
  <c r="AC265" i="18"/>
  <c r="AC329" i="18"/>
  <c r="AC187" i="18"/>
  <c r="AC138" i="18"/>
  <c r="AC357" i="18"/>
  <c r="AC304" i="18"/>
  <c r="AC147" i="18"/>
  <c r="AC365" i="18"/>
  <c r="AC252" i="18"/>
  <c r="AC260" i="18"/>
  <c r="AC331" i="18"/>
  <c r="AC172" i="18"/>
  <c r="AC314" i="18"/>
  <c r="AC181" i="18"/>
  <c r="AC200" i="18"/>
  <c r="AC269" i="18"/>
  <c r="AC208" i="18"/>
  <c r="AC294" i="18"/>
  <c r="AC316" i="18"/>
  <c r="AC323" i="18"/>
  <c r="AC301" i="18"/>
  <c r="AC309" i="18"/>
  <c r="AC161" i="18"/>
  <c r="AC292" i="18"/>
  <c r="AC178" i="18"/>
  <c r="AC340" i="18"/>
  <c r="AC221" i="18"/>
  <c r="AC355" i="18"/>
  <c r="AC247" i="18"/>
  <c r="AC185" i="18"/>
  <c r="AC175" i="18"/>
  <c r="AC362" i="18"/>
  <c r="AC318" i="18"/>
  <c r="AC295" i="18"/>
  <c r="AC317" i="18"/>
  <c r="AC263" i="18"/>
  <c r="AC370" i="18"/>
  <c r="AC210" i="18"/>
  <c r="AC283" i="18"/>
  <c r="AC333" i="18"/>
  <c r="AC163" i="18"/>
  <c r="AC310" i="18"/>
  <c r="AC358" i="18"/>
  <c r="AC184" i="18"/>
  <c r="AC278" i="18"/>
  <c r="AC359" i="18"/>
  <c r="AC177" i="18"/>
  <c r="AC244" i="18"/>
  <c r="AC195" i="18"/>
  <c r="AC373" i="18"/>
  <c r="AC261" i="18"/>
  <c r="AC203" i="18"/>
  <c r="AC239" i="18"/>
  <c r="AC379" i="18"/>
  <c r="AC216" i="18"/>
  <c r="AC342" i="18"/>
  <c r="AC326" i="18"/>
  <c r="AC348" i="18"/>
  <c r="AC231" i="18"/>
  <c r="AC205" i="18"/>
  <c r="AC212" i="18"/>
  <c r="AC183" i="18"/>
  <c r="AC268" i="18"/>
  <c r="AC259" i="18"/>
  <c r="AC346" i="18"/>
  <c r="AC192" i="18"/>
  <c r="AC213" i="18"/>
  <c r="AC176" i="18"/>
  <c r="AC171" i="18"/>
  <c r="AC275" i="18"/>
  <c r="AC245" i="18"/>
  <c r="AC356" i="18"/>
  <c r="AC287" i="18"/>
  <c r="AC198" i="18"/>
  <c r="AC246" i="18"/>
  <c r="AC374" i="18"/>
  <c r="AC156" i="18"/>
  <c r="AC345" i="18"/>
  <c r="AC251" i="18"/>
  <c r="AC158" i="18"/>
  <c r="AC152" i="18"/>
  <c r="AC227" i="18"/>
  <c r="AC250" i="18"/>
  <c r="AC363" i="18"/>
  <c r="AC344" i="18"/>
  <c r="AC136" i="18"/>
  <c r="AC296" i="18"/>
  <c r="AC144" i="18"/>
  <c r="AC145" i="18"/>
  <c r="AC303" i="18"/>
  <c r="AC196" i="18"/>
  <c r="AC150" i="18"/>
  <c r="AC230" i="18"/>
  <c r="AC322" i="18"/>
  <c r="AC277" i="18"/>
  <c r="AC315" i="18"/>
  <c r="AC229" i="18"/>
  <c r="AC280" i="18"/>
  <c r="AC155" i="18"/>
  <c r="AC377" i="18"/>
  <c r="AC281" i="18"/>
  <c r="AC189" i="18"/>
  <c r="AC204" i="18"/>
  <c r="AC290" i="18"/>
  <c r="AC369" i="18"/>
  <c r="AC298" i="18"/>
  <c r="AC153" i="18"/>
  <c r="AC151" i="18"/>
  <c r="AC217" i="18"/>
  <c r="AC148" i="18"/>
  <c r="AC337" i="18"/>
  <c r="AC170" i="18"/>
  <c r="AC202" i="18"/>
  <c r="AC223" i="18"/>
  <c r="AC308" i="18"/>
  <c r="AC364" i="18"/>
  <c r="AC220" i="18"/>
  <c r="AC182" i="18"/>
  <c r="AC169" i="18"/>
  <c r="AC149" i="18"/>
  <c r="AC142" i="18"/>
  <c r="AC288" i="18"/>
  <c r="AC243" i="18"/>
  <c r="AC341" i="18"/>
  <c r="AC378" i="18"/>
  <c r="AC206" i="18"/>
  <c r="AC135" i="18"/>
  <c r="AC141" i="18"/>
  <c r="AC353" i="18"/>
  <c r="AC140" i="18"/>
  <c r="AC349" i="18"/>
  <c r="AC234" i="18"/>
  <c r="AC257" i="18"/>
  <c r="AC327" i="18"/>
  <c r="AC167" i="18"/>
  <c r="AC312" i="18"/>
  <c r="AC224" i="18"/>
  <c r="AC372" i="18"/>
  <c r="AC321" i="18"/>
  <c r="AC367" i="18"/>
  <c r="AC273" i="18"/>
  <c r="AC325" i="18"/>
  <c r="AC193" i="18"/>
  <c r="AC219" i="18"/>
  <c r="AC274" i="18"/>
  <c r="AC191" i="18"/>
  <c r="AC291" i="18"/>
  <c r="AC194" i="18"/>
  <c r="AC302" i="18"/>
  <c r="AJ9" i="16"/>
  <c r="AJ11" i="16" s="1"/>
  <c r="AC383" i="17"/>
  <c r="E9" i="17"/>
  <c r="E11" i="17" s="1"/>
  <c r="E383" i="17"/>
  <c r="E381" i="17"/>
  <c r="AJ9" i="17"/>
  <c r="AJ11" i="17" s="1"/>
  <c r="AJ13" i="17" s="1"/>
  <c r="AK8" i="17"/>
  <c r="E382" i="17"/>
  <c r="AJ10" i="16"/>
  <c r="AJ12" i="16" s="1"/>
  <c r="AK8" i="16"/>
  <c r="E383" i="16"/>
  <c r="E382" i="16"/>
  <c r="E9" i="16"/>
  <c r="E11" i="16" s="1"/>
  <c r="E381" i="16"/>
  <c r="AC382" i="17"/>
  <c r="AC381" i="17"/>
  <c r="AZ13" i="7"/>
  <c r="O11" i="25"/>
  <c r="J274" i="15"/>
  <c r="AC10" i="20"/>
  <c r="AC277" i="20" s="1"/>
  <c r="O10" i="20"/>
  <c r="G116" i="15"/>
  <c r="BX116" i="6" s="1"/>
  <c r="AA116" i="15"/>
  <c r="Z116" i="15" s="1"/>
  <c r="Y116" i="15" s="1"/>
  <c r="H116" i="15"/>
  <c r="J304" i="15"/>
  <c r="I304" i="15"/>
  <c r="I219" i="15"/>
  <c r="J219" i="15"/>
  <c r="J203" i="15"/>
  <c r="I203" i="15"/>
  <c r="I320" i="1"/>
  <c r="G320" i="1"/>
  <c r="BW320" i="6" s="1"/>
  <c r="AA320" i="1"/>
  <c r="AZ12" i="6"/>
  <c r="AZ13" i="6"/>
  <c r="Y228" i="1"/>
  <c r="I42" i="15"/>
  <c r="J42" i="15"/>
  <c r="H21" i="15" l="1"/>
  <c r="J21" i="15" s="1"/>
  <c r="H81" i="15"/>
  <c r="J81" i="15" s="1"/>
  <c r="AA157" i="15"/>
  <c r="Z157" i="15" s="1"/>
  <c r="Y157" i="15" s="1"/>
  <c r="H157" i="15"/>
  <c r="I157" i="15" s="1"/>
  <c r="AA21" i="15"/>
  <c r="Z21" i="15" s="1"/>
  <c r="Y21" i="15" s="1"/>
  <c r="H379" i="15"/>
  <c r="I379" i="15" s="1"/>
  <c r="H141" i="15"/>
  <c r="J141" i="15" s="1"/>
  <c r="H98" i="15"/>
  <c r="J98" i="15" s="1"/>
  <c r="J152" i="15"/>
  <c r="AA81" i="15"/>
  <c r="Z81" i="15" s="1"/>
  <c r="Y81" i="15" s="1"/>
  <c r="G136" i="15"/>
  <c r="BX136" i="6" s="1"/>
  <c r="AC28" i="20"/>
  <c r="AC19" i="20"/>
  <c r="AC124" i="20"/>
  <c r="AC15" i="20"/>
  <c r="AC102" i="20"/>
  <c r="AC130" i="20"/>
  <c r="AC104" i="20"/>
  <c r="AC33" i="20"/>
  <c r="AC128" i="20"/>
  <c r="AC23" i="20"/>
  <c r="AC110" i="20"/>
  <c r="AC39" i="20"/>
  <c r="AC18" i="20"/>
  <c r="AC129" i="20"/>
  <c r="AC83" i="20"/>
  <c r="AC98" i="20"/>
  <c r="AC126" i="20"/>
  <c r="AC42" i="20"/>
  <c r="AC100" i="20"/>
  <c r="AC95" i="20"/>
  <c r="AC17" i="20"/>
  <c r="AC49" i="20"/>
  <c r="AC125" i="20"/>
  <c r="AC67" i="20"/>
  <c r="AC105" i="20"/>
  <c r="AC82" i="20"/>
  <c r="AC122" i="20"/>
  <c r="AC97" i="20"/>
  <c r="AC80" i="20"/>
  <c r="AC56" i="20"/>
  <c r="AC38" i="20"/>
  <c r="AC40" i="20"/>
  <c r="AC53" i="20"/>
  <c r="AC26" i="20"/>
  <c r="AC73" i="20"/>
  <c r="AC106" i="20"/>
  <c r="AC62" i="20"/>
  <c r="AC35" i="20"/>
  <c r="AC89" i="20"/>
  <c r="AC36" i="20"/>
  <c r="AC41" i="20"/>
  <c r="AC21" i="20"/>
  <c r="AC47" i="20"/>
  <c r="AC112" i="20"/>
  <c r="AC24" i="20"/>
  <c r="AC103" i="20"/>
  <c r="AC29" i="20"/>
  <c r="AC127" i="20"/>
  <c r="AC101" i="20"/>
  <c r="AC32" i="20"/>
  <c r="AC94" i="20"/>
  <c r="AC123" i="20"/>
  <c r="AC111" i="20"/>
  <c r="AC133" i="20"/>
  <c r="AC118" i="20"/>
  <c r="AC115" i="20"/>
  <c r="AC85" i="20"/>
  <c r="AC68" i="20"/>
  <c r="AC119" i="20"/>
  <c r="AC99" i="20"/>
  <c r="AC92" i="20"/>
  <c r="AC74" i="20"/>
  <c r="AC59" i="20"/>
  <c r="AC61" i="20"/>
  <c r="AC90" i="20"/>
  <c r="AC48" i="20"/>
  <c r="AC116" i="20"/>
  <c r="AC37" i="20"/>
  <c r="AC60" i="20"/>
  <c r="AC16" i="20"/>
  <c r="AC132" i="20"/>
  <c r="AC70" i="20"/>
  <c r="AC113" i="20"/>
  <c r="AC43" i="20"/>
  <c r="AC46" i="20"/>
  <c r="AC45" i="20"/>
  <c r="AC120" i="20"/>
  <c r="AC25" i="20"/>
  <c r="AC30" i="20"/>
  <c r="AC86" i="20"/>
  <c r="AC93" i="20"/>
  <c r="AC55" i="20"/>
  <c r="AC76" i="20"/>
  <c r="AC66" i="20"/>
  <c r="AC65" i="20"/>
  <c r="AC69" i="20"/>
  <c r="AC51" i="20"/>
  <c r="AC72" i="20"/>
  <c r="AC54" i="20"/>
  <c r="AC131" i="20"/>
  <c r="AC108" i="20"/>
  <c r="AC88" i="20"/>
  <c r="AC71" i="20"/>
  <c r="AC107" i="20"/>
  <c r="AC96" i="20"/>
  <c r="AC34" i="20"/>
  <c r="AC63" i="20"/>
  <c r="AC84" i="20"/>
  <c r="AC20" i="20"/>
  <c r="AC50" i="20"/>
  <c r="AC117" i="20"/>
  <c r="AC57" i="20"/>
  <c r="AC27" i="20"/>
  <c r="AC91" i="20"/>
  <c r="AC77" i="20"/>
  <c r="AC109" i="20"/>
  <c r="AC81" i="20"/>
  <c r="AC75" i="20"/>
  <c r="AC78" i="20"/>
  <c r="AC87" i="20"/>
  <c r="AC79" i="20"/>
  <c r="AC64" i="20"/>
  <c r="AC52" i="20"/>
  <c r="AC44" i="20"/>
  <c r="AC121" i="20"/>
  <c r="AC22" i="20"/>
  <c r="AC114" i="20"/>
  <c r="AC58" i="20"/>
  <c r="AC31" i="20"/>
  <c r="U10" i="16"/>
  <c r="U298" i="16" s="1"/>
  <c r="T298" i="16" s="1"/>
  <c r="S298" i="16" s="1"/>
  <c r="R298" i="16" s="1"/>
  <c r="P298" i="16" s="1"/>
  <c r="V298" i="16" s="1"/>
  <c r="F298" i="16" s="1"/>
  <c r="AA103" i="15"/>
  <c r="Z103" i="15" s="1"/>
  <c r="Y103" i="15" s="1"/>
  <c r="H103" i="15"/>
  <c r="W2" i="7"/>
  <c r="AA136" i="15"/>
  <c r="Z136" i="15" s="1"/>
  <c r="Y136" i="15" s="1"/>
  <c r="J288" i="15"/>
  <c r="H83" i="15"/>
  <c r="J83" i="15" s="1"/>
  <c r="AA379" i="15"/>
  <c r="Z379" i="15" s="1"/>
  <c r="Y379" i="15" s="1"/>
  <c r="AA141" i="15"/>
  <c r="Z141" i="15" s="1"/>
  <c r="Y141" i="15" s="1"/>
  <c r="AA83" i="15"/>
  <c r="Z83" i="15" s="1"/>
  <c r="Y83" i="15" s="1"/>
  <c r="J87" i="15"/>
  <c r="H100" i="15"/>
  <c r="J100" i="15" s="1"/>
  <c r="H33" i="15"/>
  <c r="I33" i="15" s="1"/>
  <c r="J26" i="15"/>
  <c r="I292" i="15"/>
  <c r="AA87" i="15"/>
  <c r="Z87" i="15" s="1"/>
  <c r="Y87" i="15" s="1"/>
  <c r="H150" i="15"/>
  <c r="J150" i="15" s="1"/>
  <c r="AA152" i="15"/>
  <c r="Z152" i="15" s="1"/>
  <c r="Y152" i="15" s="1"/>
  <c r="AA33" i="15"/>
  <c r="Z33" i="15" s="1"/>
  <c r="Y33" i="15" s="1"/>
  <c r="G152" i="15"/>
  <c r="BX152" i="6" s="1"/>
  <c r="Q357" i="17"/>
  <c r="Q328" i="17"/>
  <c r="Q327" i="17"/>
  <c r="Q97" i="17"/>
  <c r="AA100" i="15"/>
  <c r="Z100" i="15" s="1"/>
  <c r="Y100" i="15" s="1"/>
  <c r="G87" i="15"/>
  <c r="BX87" i="6" s="1"/>
  <c r="Q369" i="17"/>
  <c r="Q133" i="17"/>
  <c r="Q265" i="17"/>
  <c r="Q128" i="17"/>
  <c r="AA150" i="15"/>
  <c r="Z150" i="15" s="1"/>
  <c r="Y150" i="15" s="1"/>
  <c r="Q248" i="17"/>
  <c r="Q319" i="17"/>
  <c r="Q24" i="17"/>
  <c r="Q251" i="17"/>
  <c r="Q370" i="17"/>
  <c r="Q356" i="17"/>
  <c r="Q242" i="17"/>
  <c r="Q304" i="17"/>
  <c r="BF13" i="7"/>
  <c r="BG13" i="7"/>
  <c r="C13" i="19"/>
  <c r="F37" i="19"/>
  <c r="C14" i="19"/>
  <c r="F38" i="19"/>
  <c r="Q238" i="17"/>
  <c r="Q303" i="17"/>
  <c r="Q185" i="17"/>
  <c r="Q292" i="17"/>
  <c r="Q232" i="17"/>
  <c r="Q100" i="17"/>
  <c r="Q17" i="17"/>
  <c r="Q53" i="17"/>
  <c r="Q153" i="17"/>
  <c r="Q310" i="17"/>
  <c r="Q317" i="17"/>
  <c r="Q29" i="17"/>
  <c r="Q324" i="17"/>
  <c r="Q347" i="17"/>
  <c r="Q222" i="17"/>
  <c r="Q93" i="17"/>
  <c r="Q287" i="17"/>
  <c r="Q66" i="17"/>
  <c r="AA98" i="15"/>
  <c r="Z98" i="15" s="1"/>
  <c r="Y98" i="15" s="1"/>
  <c r="Q275" i="17"/>
  <c r="Q61" i="17"/>
  <c r="Q116" i="17"/>
  <c r="Q40" i="17"/>
  <c r="Q231" i="17"/>
  <c r="Q247" i="17"/>
  <c r="Q322" i="17"/>
  <c r="Q311" i="17"/>
  <c r="Q281" i="17"/>
  <c r="Q79" i="17"/>
  <c r="Q151" i="17"/>
  <c r="Q73" i="17"/>
  <c r="Q39" i="17"/>
  <c r="Q245" i="17"/>
  <c r="Q241" i="17"/>
  <c r="Q283" i="17"/>
  <c r="Q296" i="17"/>
  <c r="Q96" i="17"/>
  <c r="Q266" i="17"/>
  <c r="Q277" i="17"/>
  <c r="Q346" i="17"/>
  <c r="Q32" i="17"/>
  <c r="Q23" i="17"/>
  <c r="Q371" i="17"/>
  <c r="Q236" i="17"/>
  <c r="Q230" i="17"/>
  <c r="Q195" i="17"/>
  <c r="Q129" i="17"/>
  <c r="Q288" i="17"/>
  <c r="Q108" i="17"/>
  <c r="Q286" i="17"/>
  <c r="Q201" i="17"/>
  <c r="Q62" i="17"/>
  <c r="Q239" i="17"/>
  <c r="Q132" i="17"/>
  <c r="Q332" i="17"/>
  <c r="L18" i="19"/>
  <c r="P10" i="23"/>
  <c r="P11" i="25"/>
  <c r="BE11" i="7"/>
  <c r="Q11" i="25" s="1"/>
  <c r="BD15" i="7"/>
  <c r="F8" i="24"/>
  <c r="AK49" i="24"/>
  <c r="AK34" i="24"/>
  <c r="AK71" i="24"/>
  <c r="AK88" i="24"/>
  <c r="AK113" i="24"/>
  <c r="AK85" i="24"/>
  <c r="AK123" i="24"/>
  <c r="AK146" i="24"/>
  <c r="AK168" i="24"/>
  <c r="AK198" i="24"/>
  <c r="AK184" i="24"/>
  <c r="AK211" i="24"/>
  <c r="AK239" i="24"/>
  <c r="AK276" i="24"/>
  <c r="AK300" i="24"/>
  <c r="AK227" i="24"/>
  <c r="AK261" i="24"/>
  <c r="AK290" i="24"/>
  <c r="AK324" i="24"/>
  <c r="AK354" i="24"/>
  <c r="AK329" i="24"/>
  <c r="AK368" i="24"/>
  <c r="AK40" i="24"/>
  <c r="AK53" i="24"/>
  <c r="AK98" i="24"/>
  <c r="AK110" i="24"/>
  <c r="AK161" i="24"/>
  <c r="AK157" i="24"/>
  <c r="AK228" i="24"/>
  <c r="AK292" i="24"/>
  <c r="AK246" i="24"/>
  <c r="AK313" i="24"/>
  <c r="AK371" i="24"/>
  <c r="AK18" i="24"/>
  <c r="AK17" i="24"/>
  <c r="AK77" i="24"/>
  <c r="AK142" i="24"/>
  <c r="AK136" i="24"/>
  <c r="AK186" i="24"/>
  <c r="AK205" i="24"/>
  <c r="AK262" i="24"/>
  <c r="AK217" i="24"/>
  <c r="AK280" i="24"/>
  <c r="AK343" i="24"/>
  <c r="AK357" i="24"/>
  <c r="AK42" i="24"/>
  <c r="AK56" i="24"/>
  <c r="AK101" i="24"/>
  <c r="AK111" i="24"/>
  <c r="AK162" i="24"/>
  <c r="AK160" i="24"/>
  <c r="AK229" i="24"/>
  <c r="AK293" i="24"/>
  <c r="AK247" i="24"/>
  <c r="AK316" i="24"/>
  <c r="AK372" i="24"/>
  <c r="AK22" i="24"/>
  <c r="AK81" i="24"/>
  <c r="AK140" i="24"/>
  <c r="AK207" i="24"/>
  <c r="AK220" i="24"/>
  <c r="AK350" i="24"/>
  <c r="AK48" i="24"/>
  <c r="AK109" i="24"/>
  <c r="AK167" i="24"/>
  <c r="AK238" i="24"/>
  <c r="AK260" i="24"/>
  <c r="AK328" i="24"/>
  <c r="AK47" i="24"/>
  <c r="AK66" i="24"/>
  <c r="AK105" i="24"/>
  <c r="AK119" i="24"/>
  <c r="AK166" i="24"/>
  <c r="AK182" i="24"/>
  <c r="AK236" i="24"/>
  <c r="AK297" i="24"/>
  <c r="AK258" i="24"/>
  <c r="AK321" i="24"/>
  <c r="AK327" i="24"/>
  <c r="AK27" i="24"/>
  <c r="AK97" i="24"/>
  <c r="AK153" i="24"/>
  <c r="AK221" i="24"/>
  <c r="AK240" i="24"/>
  <c r="AK363" i="24"/>
  <c r="AK54" i="24"/>
  <c r="AK132" i="24"/>
  <c r="AK176" i="24"/>
  <c r="AK255" i="24"/>
  <c r="AK271" i="24"/>
  <c r="AK347" i="24"/>
  <c r="AK26" i="24"/>
  <c r="AK41" i="24"/>
  <c r="AK60" i="24"/>
  <c r="AK76" i="24"/>
  <c r="AK96" i="24"/>
  <c r="AK120" i="24"/>
  <c r="AK99" i="24"/>
  <c r="AK128" i="24"/>
  <c r="AK152" i="24"/>
  <c r="AK173" i="24"/>
  <c r="AK204" i="24"/>
  <c r="AK190" i="24"/>
  <c r="AK219" i="24"/>
  <c r="AK250" i="24"/>
  <c r="AK283" i="24"/>
  <c r="AK308" i="24"/>
  <c r="AK237" i="24"/>
  <c r="AK268" i="24"/>
  <c r="AK306" i="24"/>
  <c r="AK335" i="24"/>
  <c r="AK362" i="24"/>
  <c r="AK340" i="24"/>
  <c r="AK375" i="24"/>
  <c r="AK19" i="24"/>
  <c r="AK73" i="24"/>
  <c r="AK114" i="24"/>
  <c r="AK124" i="24"/>
  <c r="AK170" i="24"/>
  <c r="AK185" i="24"/>
  <c r="AK243" i="24"/>
  <c r="AK302" i="24"/>
  <c r="AK264" i="24"/>
  <c r="AK325" i="24"/>
  <c r="AK331" i="24"/>
  <c r="AK24" i="24"/>
  <c r="AK59" i="24"/>
  <c r="AK95" i="24"/>
  <c r="AK91" i="24"/>
  <c r="AK149" i="24"/>
  <c r="AK202" i="24"/>
  <c r="AK216" i="24"/>
  <c r="AK282" i="24"/>
  <c r="AK233" i="24"/>
  <c r="AK304" i="24"/>
  <c r="AK360" i="24"/>
  <c r="AK373" i="24"/>
  <c r="AK37" i="24"/>
  <c r="AK74" i="24"/>
  <c r="AK117" i="24"/>
  <c r="AK126" i="24"/>
  <c r="AK171" i="24"/>
  <c r="AK187" i="24"/>
  <c r="AK245" i="24"/>
  <c r="AK303" i="24"/>
  <c r="AK265" i="24"/>
  <c r="AK330" i="24"/>
  <c r="AK332" i="24"/>
  <c r="AK46" i="24"/>
  <c r="AK104" i="24"/>
  <c r="AK165" i="24"/>
  <c r="AK235" i="24"/>
  <c r="AK254" i="24"/>
  <c r="AK326" i="24"/>
  <c r="AK33" i="24"/>
  <c r="AK82" i="24"/>
  <c r="AK196" i="24"/>
  <c r="AK274" i="24"/>
  <c r="AK289" i="24"/>
  <c r="AK366" i="24"/>
  <c r="AK52" i="24"/>
  <c r="AK79" i="24"/>
  <c r="AK125" i="24"/>
  <c r="AK130" i="24"/>
  <c r="AK175" i="24"/>
  <c r="AK192" i="24"/>
  <c r="AK253" i="24"/>
  <c r="AK314" i="24"/>
  <c r="AK270" i="24"/>
  <c r="AK337" i="24"/>
  <c r="AK346" i="24"/>
  <c r="AK50" i="24"/>
  <c r="AK122" i="24"/>
  <c r="AK174" i="24"/>
  <c r="AK252" i="24"/>
  <c r="AK269" i="24"/>
  <c r="AK344" i="24"/>
  <c r="AK39" i="24"/>
  <c r="AK107" i="24"/>
  <c r="AK155" i="24"/>
  <c r="AK288" i="24"/>
  <c r="AK311" i="24"/>
  <c r="AK379" i="24"/>
  <c r="P12" i="24"/>
  <c r="AK35" i="24"/>
  <c r="AK57" i="24"/>
  <c r="AK51" i="24"/>
  <c r="AK69" i="24"/>
  <c r="AK94" i="24"/>
  <c r="AK137" i="24"/>
  <c r="AK108" i="24"/>
  <c r="AK133" i="24"/>
  <c r="AK159" i="24"/>
  <c r="AK178" i="24"/>
  <c r="AK156" i="24"/>
  <c r="AK197" i="24"/>
  <c r="AK224" i="24"/>
  <c r="AK256" i="24"/>
  <c r="AK291" i="24"/>
  <c r="AK319" i="24"/>
  <c r="AK244" i="24"/>
  <c r="AK273" i="24"/>
  <c r="AK312" i="24"/>
  <c r="AK339" i="24"/>
  <c r="AK367" i="24"/>
  <c r="AK348" i="24"/>
  <c r="AK380" i="24"/>
  <c r="AK58" i="24"/>
  <c r="AK70" i="24"/>
  <c r="AK139" i="24"/>
  <c r="AK134" i="24"/>
  <c r="AK179" i="24"/>
  <c r="AK199" i="24"/>
  <c r="AK257" i="24"/>
  <c r="AK322" i="24"/>
  <c r="AK275" i="24"/>
  <c r="AK341" i="24"/>
  <c r="AK349" i="24"/>
  <c r="AK43" i="24"/>
  <c r="AK63" i="24"/>
  <c r="AK102" i="24"/>
  <c r="AK112" i="24"/>
  <c r="AK163" i="24"/>
  <c r="AK169" i="24"/>
  <c r="AK230" i="24"/>
  <c r="AK294" i="24"/>
  <c r="AK249" i="24"/>
  <c r="AK317" i="24"/>
  <c r="AK374" i="24"/>
  <c r="AK16" i="24"/>
  <c r="AK61" i="24"/>
  <c r="AK72" i="24"/>
  <c r="AK141" i="24"/>
  <c r="AK135" i="24"/>
  <c r="AK181" i="24"/>
  <c r="AK203" i="24"/>
  <c r="AK259" i="24"/>
  <c r="AK215" i="24"/>
  <c r="AK277" i="24"/>
  <c r="AK342" i="24"/>
  <c r="AK353" i="24"/>
  <c r="AK30" i="24"/>
  <c r="AK150" i="24"/>
  <c r="AK193" i="24"/>
  <c r="AK267" i="24"/>
  <c r="AK284" i="24"/>
  <c r="AK359" i="24"/>
  <c r="AK67" i="24"/>
  <c r="AK121" i="24"/>
  <c r="AK183" i="24"/>
  <c r="AK298" i="24"/>
  <c r="AK323" i="24"/>
  <c r="AK28" i="24"/>
  <c r="AK31" i="24"/>
  <c r="AK84" i="24"/>
  <c r="AK151" i="24"/>
  <c r="AK144" i="24"/>
  <c r="AK194" i="24"/>
  <c r="AK209" i="24"/>
  <c r="AK272" i="24"/>
  <c r="AK225" i="24"/>
  <c r="AK287" i="24"/>
  <c r="AK351" i="24"/>
  <c r="AK361" i="24"/>
  <c r="AK62" i="24"/>
  <c r="AK100" i="24"/>
  <c r="AK208" i="24"/>
  <c r="AK285" i="24"/>
  <c r="AK307" i="24"/>
  <c r="AK376" i="24"/>
  <c r="AK68" i="24"/>
  <c r="AK131" i="24"/>
  <c r="AK195" i="24"/>
  <c r="AK315" i="24"/>
  <c r="AK338" i="24"/>
  <c r="AK20" i="24"/>
  <c r="AK45" i="24"/>
  <c r="AK23" i="24"/>
  <c r="AK64" i="24"/>
  <c r="AK80" i="24"/>
  <c r="AK103" i="24"/>
  <c r="AK143" i="24"/>
  <c r="AK115" i="24"/>
  <c r="AK138" i="24"/>
  <c r="AK164" i="24"/>
  <c r="AK188" i="24"/>
  <c r="AK177" i="24"/>
  <c r="AK206" i="24"/>
  <c r="AK234" i="24"/>
  <c r="AK263" i="24"/>
  <c r="AK295" i="24"/>
  <c r="AK218" i="24"/>
  <c r="AK251" i="24"/>
  <c r="AK281" i="24"/>
  <c r="AK318" i="24"/>
  <c r="AK345" i="24"/>
  <c r="AK378" i="24"/>
  <c r="AK358" i="24"/>
  <c r="AK21" i="24"/>
  <c r="AK44" i="24"/>
  <c r="AK89" i="24"/>
  <c r="AK87" i="24"/>
  <c r="AK147" i="24"/>
  <c r="AK200" i="24"/>
  <c r="AK213" i="24"/>
  <c r="AK278" i="24"/>
  <c r="AK231" i="24"/>
  <c r="AK299" i="24"/>
  <c r="AK355" i="24"/>
  <c r="AK369" i="24"/>
  <c r="AK38" i="24"/>
  <c r="AK75" i="24"/>
  <c r="AK118" i="24"/>
  <c r="AK127" i="24"/>
  <c r="AK172" i="24"/>
  <c r="AK189" i="24"/>
  <c r="AK248" i="24"/>
  <c r="AK305" i="24"/>
  <c r="AK266" i="24"/>
  <c r="AK333" i="24"/>
  <c r="AK334" i="24"/>
  <c r="AK25" i="24"/>
  <c r="AK55" i="24"/>
  <c r="AK92" i="24"/>
  <c r="AK90" i="24"/>
  <c r="AK148" i="24"/>
  <c r="AK201" i="24"/>
  <c r="AK214" i="24"/>
  <c r="AK279" i="24"/>
  <c r="AK232" i="24"/>
  <c r="AK301" i="24"/>
  <c r="AK356" i="24"/>
  <c r="AK370" i="24"/>
  <c r="AK65" i="24"/>
  <c r="AK116" i="24"/>
  <c r="AK180" i="24"/>
  <c r="AK296" i="24"/>
  <c r="AK320" i="24"/>
  <c r="AK15" i="24"/>
  <c r="AK86" i="24"/>
  <c r="AK145" i="24"/>
  <c r="AK210" i="24"/>
  <c r="AK226" i="24"/>
  <c r="AK352" i="24"/>
  <c r="AK29" i="24"/>
  <c r="AK36" i="24"/>
  <c r="AK83" i="24"/>
  <c r="AK106" i="24"/>
  <c r="AK154" i="24"/>
  <c r="AK212" i="24"/>
  <c r="AK222" i="24"/>
  <c r="AK286" i="24"/>
  <c r="AK241" i="24"/>
  <c r="AK309" i="24"/>
  <c r="AK364" i="24"/>
  <c r="AK377" i="24"/>
  <c r="AK78" i="24"/>
  <c r="AK129" i="24"/>
  <c r="AK191" i="24"/>
  <c r="AK310" i="24"/>
  <c r="AK336" i="24"/>
  <c r="AK32" i="24"/>
  <c r="AK93" i="24"/>
  <c r="AK158" i="24"/>
  <c r="AK223" i="24"/>
  <c r="AK242" i="24"/>
  <c r="AK365" i="24"/>
  <c r="F382" i="1"/>
  <c r="I45" i="15"/>
  <c r="J157" i="15"/>
  <c r="H44" i="15"/>
  <c r="J44" i="15" s="1"/>
  <c r="AA119" i="15"/>
  <c r="Z119" i="15" s="1"/>
  <c r="Y119" i="15" s="1"/>
  <c r="J118" i="15"/>
  <c r="I275" i="15"/>
  <c r="I213" i="15"/>
  <c r="I68" i="15"/>
  <c r="AA50" i="15"/>
  <c r="Z50" i="15" s="1"/>
  <c r="Y50" i="15" s="1"/>
  <c r="J176" i="15"/>
  <c r="H96" i="15"/>
  <c r="I96" i="15" s="1"/>
  <c r="J222" i="15"/>
  <c r="H50" i="15"/>
  <c r="I50" i="15" s="1"/>
  <c r="J73" i="15"/>
  <c r="I85" i="15"/>
  <c r="J359" i="15"/>
  <c r="J238" i="15"/>
  <c r="F92" i="15"/>
  <c r="H92" i="15" s="1"/>
  <c r="J92" i="15" s="1"/>
  <c r="D41" i="7"/>
  <c r="I193" i="15"/>
  <c r="I23" i="15"/>
  <c r="I214" i="15"/>
  <c r="I107" i="15"/>
  <c r="AA85" i="15"/>
  <c r="Z85" i="15" s="1"/>
  <c r="Y85" i="15" s="1"/>
  <c r="G26" i="15"/>
  <c r="BX26" i="6" s="1"/>
  <c r="H127" i="15"/>
  <c r="J127" i="15" s="1"/>
  <c r="G329" i="15"/>
  <c r="BX329" i="6" s="1"/>
  <c r="AA329" i="15"/>
  <c r="Z329" i="15" s="1"/>
  <c r="Y329" i="15" s="1"/>
  <c r="AA26" i="15"/>
  <c r="Z26" i="15" s="1"/>
  <c r="Y26" i="15" s="1"/>
  <c r="AA44" i="15"/>
  <c r="Z44" i="15" s="1"/>
  <c r="Y44" i="15" s="1"/>
  <c r="I191" i="15"/>
  <c r="I62" i="15"/>
  <c r="D43" i="7"/>
  <c r="J220" i="15"/>
  <c r="J273" i="15"/>
  <c r="I245" i="15"/>
  <c r="I179" i="15"/>
  <c r="AK10" i="1"/>
  <c r="AK12" i="1" s="1"/>
  <c r="AK13" i="1" s="1"/>
  <c r="J337" i="15"/>
  <c r="J153" i="15"/>
  <c r="AA90" i="15"/>
  <c r="Z90" i="15" s="1"/>
  <c r="Y90" i="15" s="1"/>
  <c r="AA35" i="15"/>
  <c r="Z35" i="15" s="1"/>
  <c r="Y35" i="15" s="1"/>
  <c r="D32" i="7"/>
  <c r="F363" i="15"/>
  <c r="G363" i="15" s="1"/>
  <c r="BX363" i="6" s="1"/>
  <c r="I318" i="15"/>
  <c r="J329" i="15"/>
  <c r="I328" i="15"/>
  <c r="J117" i="15"/>
  <c r="H300" i="15"/>
  <c r="I300" i="15" s="1"/>
  <c r="J112" i="15"/>
  <c r="AA335" i="15"/>
  <c r="Z335" i="15" s="1"/>
  <c r="Y335" i="15" s="1"/>
  <c r="AA341" i="15"/>
  <c r="Z341" i="15" s="1"/>
  <c r="Y341" i="15" s="1"/>
  <c r="AA23" i="15"/>
  <c r="Z23" i="15" s="1"/>
  <c r="Y23" i="15" s="1"/>
  <c r="J225" i="15"/>
  <c r="H341" i="15"/>
  <c r="I341" i="15" s="1"/>
  <c r="AA300" i="15"/>
  <c r="Z300" i="15" s="1"/>
  <c r="Y300" i="15" s="1"/>
  <c r="AA142" i="15"/>
  <c r="Z142" i="15" s="1"/>
  <c r="Y142" i="15" s="1"/>
  <c r="AA105" i="15"/>
  <c r="Z105" i="15" s="1"/>
  <c r="Y105" i="15" s="1"/>
  <c r="I250" i="15"/>
  <c r="I315" i="15"/>
  <c r="G23" i="15"/>
  <c r="BX23" i="6" s="1"/>
  <c r="H335" i="15"/>
  <c r="I285" i="15"/>
  <c r="AA97" i="15"/>
  <c r="Z97" i="15" s="1"/>
  <c r="Y97" i="15" s="1"/>
  <c r="AA29" i="15"/>
  <c r="Z29" i="15" s="1"/>
  <c r="Y29" i="15" s="1"/>
  <c r="G272" i="15"/>
  <c r="BX272" i="6" s="1"/>
  <c r="J373" i="15"/>
  <c r="AC383" i="18"/>
  <c r="J326" i="15"/>
  <c r="J122" i="15"/>
  <c r="I255" i="15"/>
  <c r="AA96" i="15"/>
  <c r="Z96" i="15" s="1"/>
  <c r="Y96" i="15" s="1"/>
  <c r="G85" i="15"/>
  <c r="BX85" i="6" s="1"/>
  <c r="AA154" i="15"/>
  <c r="Z154" i="15" s="1"/>
  <c r="Y154" i="15" s="1"/>
  <c r="H105" i="15"/>
  <c r="G105" i="15"/>
  <c r="BX105" i="6" s="1"/>
  <c r="H142" i="15"/>
  <c r="G142" i="15"/>
  <c r="BX142" i="6" s="1"/>
  <c r="G29" i="15"/>
  <c r="BX29" i="6" s="1"/>
  <c r="H29" i="15"/>
  <c r="I339" i="15"/>
  <c r="H235" i="15"/>
  <c r="I235" i="15" s="1"/>
  <c r="H272" i="15"/>
  <c r="J272" i="15" s="1"/>
  <c r="J163" i="15"/>
  <c r="I342" i="15"/>
  <c r="I332" i="15"/>
  <c r="G148" i="15"/>
  <c r="BX148" i="6" s="1"/>
  <c r="I303" i="15"/>
  <c r="I206" i="15"/>
  <c r="AA180" i="15"/>
  <c r="Z180" i="15" s="1"/>
  <c r="Y180" i="15" s="1"/>
  <c r="J63" i="15"/>
  <c r="J323" i="15"/>
  <c r="I325" i="15"/>
  <c r="H119" i="15"/>
  <c r="I119" i="15" s="1"/>
  <c r="J173" i="15"/>
  <c r="AA127" i="15"/>
  <c r="Z127" i="15" s="1"/>
  <c r="Y127" i="15" s="1"/>
  <c r="AA89" i="15"/>
  <c r="Z89" i="15" s="1"/>
  <c r="Y89" i="15" s="1"/>
  <c r="J200" i="15"/>
  <c r="I200" i="15"/>
  <c r="F381" i="1"/>
  <c r="F9" i="1"/>
  <c r="F11" i="1" s="1"/>
  <c r="AM10" i="1"/>
  <c r="I129" i="15"/>
  <c r="G167" i="15"/>
  <c r="BX167" i="6" s="1"/>
  <c r="G235" i="15"/>
  <c r="BX235" i="6" s="1"/>
  <c r="I259" i="15"/>
  <c r="I237" i="15"/>
  <c r="AA148" i="15"/>
  <c r="Z148" i="15" s="1"/>
  <c r="Y148" i="15" s="1"/>
  <c r="I205" i="15"/>
  <c r="J205" i="15"/>
  <c r="I55" i="15"/>
  <c r="J352" i="15"/>
  <c r="AA167" i="15"/>
  <c r="Z167" i="15" s="1"/>
  <c r="Y167" i="15" s="1"/>
  <c r="J62" i="19"/>
  <c r="AA84" i="15"/>
  <c r="Z84" i="15" s="1"/>
  <c r="Y84" i="15" s="1"/>
  <c r="J365" i="15"/>
  <c r="I365" i="15"/>
  <c r="H145" i="15"/>
  <c r="G145" i="15"/>
  <c r="BX145" i="6" s="1"/>
  <c r="H158" i="15"/>
  <c r="G158" i="15"/>
  <c r="BX158" i="6" s="1"/>
  <c r="G28" i="15"/>
  <c r="BX28" i="6" s="1"/>
  <c r="H28" i="15"/>
  <c r="G229" i="15"/>
  <c r="BX229" i="6" s="1"/>
  <c r="AA229" i="15"/>
  <c r="Z229" i="15" s="1"/>
  <c r="Y229" i="15" s="1"/>
  <c r="H229" i="15"/>
  <c r="V32" i="15"/>
  <c r="F32" i="15" s="1"/>
  <c r="H22" i="15"/>
  <c r="G22" i="15"/>
  <c r="BX22" i="6" s="1"/>
  <c r="H161" i="15"/>
  <c r="G161" i="15"/>
  <c r="BX161" i="6" s="1"/>
  <c r="G160" i="15"/>
  <c r="BX160" i="6" s="1"/>
  <c r="H160" i="15"/>
  <c r="G79" i="15"/>
  <c r="BX79" i="6" s="1"/>
  <c r="H79" i="15"/>
  <c r="G30" i="15"/>
  <c r="BX30" i="6" s="1"/>
  <c r="H30" i="15"/>
  <c r="H97" i="15"/>
  <c r="G97" i="15"/>
  <c r="BX97" i="6" s="1"/>
  <c r="H35" i="15"/>
  <c r="G35" i="15"/>
  <c r="BX35" i="6" s="1"/>
  <c r="H101" i="15"/>
  <c r="G101" i="15"/>
  <c r="BX101" i="6" s="1"/>
  <c r="G281" i="15"/>
  <c r="BX281" i="6" s="1"/>
  <c r="H281" i="15"/>
  <c r="G134" i="15"/>
  <c r="BX134" i="6" s="1"/>
  <c r="H134" i="15"/>
  <c r="G89" i="15"/>
  <c r="BX89" i="6" s="1"/>
  <c r="H89" i="15"/>
  <c r="G90" i="15"/>
  <c r="BX90" i="6" s="1"/>
  <c r="H90" i="15"/>
  <c r="G84" i="15"/>
  <c r="BX84" i="6" s="1"/>
  <c r="H84" i="15"/>
  <c r="H93" i="15"/>
  <c r="G93" i="15"/>
  <c r="BX93" i="6" s="1"/>
  <c r="H17" i="15"/>
  <c r="G17" i="15"/>
  <c r="BX17" i="6" s="1"/>
  <c r="G80" i="15"/>
  <c r="BX80" i="6" s="1"/>
  <c r="H80" i="15"/>
  <c r="AC382" i="18"/>
  <c r="AA104" i="15"/>
  <c r="Z104" i="15" s="1"/>
  <c r="Y104" i="15" s="1"/>
  <c r="AA281" i="15"/>
  <c r="Z281" i="15" s="1"/>
  <c r="Y281" i="15" s="1"/>
  <c r="AA101" i="15"/>
  <c r="Z101" i="15" s="1"/>
  <c r="Y101" i="15" s="1"/>
  <c r="AA134" i="15"/>
  <c r="Z134" i="15" s="1"/>
  <c r="Y134" i="15" s="1"/>
  <c r="AA22" i="15"/>
  <c r="Z22" i="15" s="1"/>
  <c r="Y22" i="15" s="1"/>
  <c r="AA145" i="15"/>
  <c r="Z145" i="15" s="1"/>
  <c r="Y145" i="15" s="1"/>
  <c r="AA28" i="15"/>
  <c r="Z28" i="15" s="1"/>
  <c r="Y28" i="15" s="1"/>
  <c r="AA30" i="15"/>
  <c r="Z30" i="15" s="1"/>
  <c r="Y30" i="15" s="1"/>
  <c r="AA93" i="15"/>
  <c r="Z93" i="15" s="1"/>
  <c r="Y93" i="15" s="1"/>
  <c r="AA161" i="15"/>
  <c r="Z161" i="15" s="1"/>
  <c r="Y161" i="15" s="1"/>
  <c r="AA158" i="15"/>
  <c r="Z158" i="15" s="1"/>
  <c r="Y158" i="15" s="1"/>
  <c r="AA17" i="15"/>
  <c r="Z17" i="15" s="1"/>
  <c r="Y17" i="15" s="1"/>
  <c r="J308" i="15"/>
  <c r="I308" i="15"/>
  <c r="I66" i="15"/>
  <c r="J66" i="15"/>
  <c r="I208" i="15"/>
  <c r="J208" i="15"/>
  <c r="Q78" i="17"/>
  <c r="Q216" i="17"/>
  <c r="Q74" i="17"/>
  <c r="Q139" i="17"/>
  <c r="Q31" i="17"/>
  <c r="Q69" i="17"/>
  <c r="Q174" i="17"/>
  <c r="Q19" i="17"/>
  <c r="Q361" i="17"/>
  <c r="Q228" i="17"/>
  <c r="Q353" i="17"/>
  <c r="Q173" i="17"/>
  <c r="Q160" i="17"/>
  <c r="Q224" i="17"/>
  <c r="Q342" i="17"/>
  <c r="Q71" i="17"/>
  <c r="Q193" i="17"/>
  <c r="Q197" i="17"/>
  <c r="Q30" i="17"/>
  <c r="Q43" i="17"/>
  <c r="Q161" i="17"/>
  <c r="Q121" i="17"/>
  <c r="Q146" i="17"/>
  <c r="Q191" i="17"/>
  <c r="Q65" i="17"/>
  <c r="Q334" i="17"/>
  <c r="Q141" i="17"/>
  <c r="Q68" i="17"/>
  <c r="Q165" i="17"/>
  <c r="Q99" i="17"/>
  <c r="Q172" i="17"/>
  <c r="Q262" i="17"/>
  <c r="Q325" i="17"/>
  <c r="Q72" i="17"/>
  <c r="Q272" i="17"/>
  <c r="Q77" i="17"/>
  <c r="Q203" i="17"/>
  <c r="Q75" i="17"/>
  <c r="Q80" i="17"/>
  <c r="Q205" i="17"/>
  <c r="Q358" i="17"/>
  <c r="Q345" i="17"/>
  <c r="Q290" i="17"/>
  <c r="Q267" i="17"/>
  <c r="Q207" i="17"/>
  <c r="Q257" i="17"/>
  <c r="Q15" i="17"/>
  <c r="Q94" i="17"/>
  <c r="Q103" i="17"/>
  <c r="Q177" i="17"/>
  <c r="Q120" i="17"/>
  <c r="Q299" i="17"/>
  <c r="Q83" i="17"/>
  <c r="Q305" i="17"/>
  <c r="Q20" i="17"/>
  <c r="Q326" i="17"/>
  <c r="Q37" i="17"/>
  <c r="Q84" i="17"/>
  <c r="Q64" i="17"/>
  <c r="Q59" i="17"/>
  <c r="Q110" i="17"/>
  <c r="Q126" i="17"/>
  <c r="Q169" i="17"/>
  <c r="Q189" i="17"/>
  <c r="Q113" i="17"/>
  <c r="Q81" i="17"/>
  <c r="Q21" i="17"/>
  <c r="Q250" i="17"/>
  <c r="Q124" i="17"/>
  <c r="AA79" i="15"/>
  <c r="Z79" i="15" s="1"/>
  <c r="Y79" i="15" s="1"/>
  <c r="AA160" i="15"/>
  <c r="Z160" i="15" s="1"/>
  <c r="Y160" i="15" s="1"/>
  <c r="AA80" i="15"/>
  <c r="Z80" i="15" s="1"/>
  <c r="Y80" i="15" s="1"/>
  <c r="H180" i="15"/>
  <c r="G180" i="15"/>
  <c r="BX180" i="6" s="1"/>
  <c r="J212" i="15"/>
  <c r="I212" i="15"/>
  <c r="I70" i="15"/>
  <c r="J70" i="15"/>
  <c r="I156" i="15"/>
  <c r="J156" i="15"/>
  <c r="I253" i="15"/>
  <c r="J253" i="15"/>
  <c r="J280" i="15"/>
  <c r="I280" i="15"/>
  <c r="I195" i="15"/>
  <c r="J195" i="15"/>
  <c r="H349" i="15"/>
  <c r="J349" i="15" s="1"/>
  <c r="G349" i="15"/>
  <c r="BX349" i="6" s="1"/>
  <c r="I62" i="19"/>
  <c r="I228" i="15"/>
  <c r="J228" i="15"/>
  <c r="AC381" i="18"/>
  <c r="AA16" i="15"/>
  <c r="Z16" i="15" s="1"/>
  <c r="Y16" i="15" s="1"/>
  <c r="H16" i="15"/>
  <c r="G16" i="15"/>
  <c r="BX16" i="6" s="1"/>
  <c r="G146" i="15"/>
  <c r="BX146" i="6" s="1"/>
  <c r="H146" i="15"/>
  <c r="AA146" i="15"/>
  <c r="Z146" i="15" s="1"/>
  <c r="Y146" i="15" s="1"/>
  <c r="V319" i="15"/>
  <c r="F319" i="15" s="1"/>
  <c r="V333" i="15"/>
  <c r="D42" i="7"/>
  <c r="F333" i="15"/>
  <c r="V77" i="15"/>
  <c r="V334" i="15"/>
  <c r="F334" i="15" s="1"/>
  <c r="AA139" i="15"/>
  <c r="Z139" i="15" s="1"/>
  <c r="Y139" i="15" s="1"/>
  <c r="H139" i="15"/>
  <c r="G139" i="15"/>
  <c r="BX139" i="6" s="1"/>
  <c r="H140" i="15"/>
  <c r="AA140" i="15"/>
  <c r="Z140" i="15" s="1"/>
  <c r="Y140" i="15" s="1"/>
  <c r="G140" i="15"/>
  <c r="BX140" i="6" s="1"/>
  <c r="AA60" i="15"/>
  <c r="Z60" i="15" s="1"/>
  <c r="Y60" i="15" s="1"/>
  <c r="H60" i="15"/>
  <c r="G60" i="15"/>
  <c r="BX60" i="6" s="1"/>
  <c r="G56" i="15"/>
  <c r="BX56" i="6" s="1"/>
  <c r="H56" i="15"/>
  <c r="AA56" i="15"/>
  <c r="Z56" i="15" s="1"/>
  <c r="Y56" i="15" s="1"/>
  <c r="H143" i="15"/>
  <c r="G143" i="15"/>
  <c r="BX143" i="6" s="1"/>
  <c r="AA143" i="15"/>
  <c r="Z143" i="15" s="1"/>
  <c r="Y143" i="15" s="1"/>
  <c r="AA345" i="15"/>
  <c r="Z345" i="15" s="1"/>
  <c r="Y345" i="15" s="1"/>
  <c r="G345" i="15"/>
  <c r="BX345" i="6" s="1"/>
  <c r="H345" i="15"/>
  <c r="AA340" i="15"/>
  <c r="Z340" i="15" s="1"/>
  <c r="Y340" i="15" s="1"/>
  <c r="G340" i="15"/>
  <c r="BX340" i="6" s="1"/>
  <c r="H340" i="15"/>
  <c r="H53" i="15"/>
  <c r="G53" i="15"/>
  <c r="BX53" i="6" s="1"/>
  <c r="AA53" i="15"/>
  <c r="Z53" i="15" s="1"/>
  <c r="Y53" i="15" s="1"/>
  <c r="G144" i="15"/>
  <c r="BX144" i="6" s="1"/>
  <c r="H144" i="15"/>
  <c r="AA144" i="15"/>
  <c r="Z144" i="15" s="1"/>
  <c r="Y144" i="15" s="1"/>
  <c r="AA327" i="15"/>
  <c r="Z327" i="15" s="1"/>
  <c r="Y327" i="15" s="1"/>
  <c r="G327" i="15"/>
  <c r="BX327" i="6" s="1"/>
  <c r="H327" i="15"/>
  <c r="AA317" i="15"/>
  <c r="Z317" i="15" s="1"/>
  <c r="Y317" i="15" s="1"/>
  <c r="G317" i="15"/>
  <c r="BX317" i="6" s="1"/>
  <c r="H317" i="15"/>
  <c r="V88" i="15"/>
  <c r="F88" i="15" s="1"/>
  <c r="D34" i="7"/>
  <c r="AA24" i="15"/>
  <c r="Z24" i="15" s="1"/>
  <c r="Y24" i="15" s="1"/>
  <c r="G24" i="15"/>
  <c r="BX24" i="6" s="1"/>
  <c r="H24" i="15"/>
  <c r="J24" i="15" s="1"/>
  <c r="AA20" i="15"/>
  <c r="Z20" i="15" s="1"/>
  <c r="Y20" i="15" s="1"/>
  <c r="H20" i="15"/>
  <c r="I20" i="15" s="1"/>
  <c r="G20" i="15"/>
  <c r="BX20" i="6" s="1"/>
  <c r="F293" i="15"/>
  <c r="K62" i="19"/>
  <c r="H37" i="15"/>
  <c r="G37" i="15"/>
  <c r="BX37" i="6" s="1"/>
  <c r="AA37" i="15"/>
  <c r="Z37" i="15" s="1"/>
  <c r="Y37" i="15" s="1"/>
  <c r="G357" i="15"/>
  <c r="BX357" i="6" s="1"/>
  <c r="AA357" i="15"/>
  <c r="Z357" i="15" s="1"/>
  <c r="Y357" i="15" s="1"/>
  <c r="H357" i="15"/>
  <c r="G348" i="15"/>
  <c r="BX348" i="6" s="1"/>
  <c r="AA348" i="15"/>
  <c r="Z348" i="15" s="1"/>
  <c r="Y348" i="15" s="1"/>
  <c r="H348" i="15"/>
  <c r="AA350" i="15"/>
  <c r="Z350" i="15" s="1"/>
  <c r="Y350" i="15" s="1"/>
  <c r="G350" i="15"/>
  <c r="BX350" i="6" s="1"/>
  <c r="H350" i="15"/>
  <c r="G375" i="15"/>
  <c r="BX375" i="6" s="1"/>
  <c r="AA375" i="15"/>
  <c r="Z375" i="15" s="1"/>
  <c r="Y375" i="15" s="1"/>
  <c r="H375" i="15"/>
  <c r="G377" i="15"/>
  <c r="BX377" i="6" s="1"/>
  <c r="AA377" i="15"/>
  <c r="Z377" i="15" s="1"/>
  <c r="Y377" i="15" s="1"/>
  <c r="H377" i="15"/>
  <c r="G322" i="15"/>
  <c r="BX322" i="6" s="1"/>
  <c r="AA322" i="15"/>
  <c r="Z322" i="15" s="1"/>
  <c r="Y322" i="15" s="1"/>
  <c r="H322" i="15"/>
  <c r="AA353" i="15"/>
  <c r="Z353" i="15" s="1"/>
  <c r="Y353" i="15" s="1"/>
  <c r="G353" i="15"/>
  <c r="BX353" i="6" s="1"/>
  <c r="H353" i="15"/>
  <c r="H25" i="15"/>
  <c r="AA25" i="15"/>
  <c r="Z25" i="15" s="1"/>
  <c r="Y25" i="15" s="1"/>
  <c r="G25" i="15"/>
  <c r="BX25" i="6" s="1"/>
  <c r="G78" i="15"/>
  <c r="BX78" i="6" s="1"/>
  <c r="H78" i="15"/>
  <c r="AA78" i="15"/>
  <c r="Z78" i="15" s="1"/>
  <c r="Y78" i="15" s="1"/>
  <c r="H47" i="15"/>
  <c r="G47" i="15"/>
  <c r="BX47" i="6" s="1"/>
  <c r="AA47" i="15"/>
  <c r="Z47" i="15" s="1"/>
  <c r="Y47" i="15" s="1"/>
  <c r="AA311" i="15"/>
  <c r="Z311" i="15" s="1"/>
  <c r="Y311" i="15" s="1"/>
  <c r="G311" i="15"/>
  <c r="BX311" i="6" s="1"/>
  <c r="H311" i="15"/>
  <c r="V58" i="15"/>
  <c r="F58" i="15" s="1"/>
  <c r="F189" i="15"/>
  <c r="G62" i="19"/>
  <c r="G360" i="15"/>
  <c r="BX360" i="6" s="1"/>
  <c r="AA360" i="15"/>
  <c r="Z360" i="15" s="1"/>
  <c r="Y360" i="15" s="1"/>
  <c r="H360" i="15"/>
  <c r="G31" i="15"/>
  <c r="BX31" i="6" s="1"/>
  <c r="H31" i="15"/>
  <c r="AA31" i="15"/>
  <c r="Z31" i="15" s="1"/>
  <c r="Y31" i="15" s="1"/>
  <c r="AA291" i="15"/>
  <c r="Z291" i="15" s="1"/>
  <c r="Y291" i="15" s="1"/>
  <c r="G291" i="15"/>
  <c r="BX291" i="6" s="1"/>
  <c r="H291" i="15"/>
  <c r="G374" i="15"/>
  <c r="BX374" i="6" s="1"/>
  <c r="AA374" i="15"/>
  <c r="Z374" i="15" s="1"/>
  <c r="Y374" i="15" s="1"/>
  <c r="H374" i="15"/>
  <c r="J296" i="15"/>
  <c r="I296" i="15"/>
  <c r="I264" i="15"/>
  <c r="J264" i="15"/>
  <c r="J248" i="15"/>
  <c r="I248" i="15"/>
  <c r="I266" i="15"/>
  <c r="J266" i="15"/>
  <c r="I312" i="15"/>
  <c r="J312" i="15"/>
  <c r="I216" i="15"/>
  <c r="J216" i="15"/>
  <c r="I246" i="15"/>
  <c r="J246" i="15"/>
  <c r="J223" i="15"/>
  <c r="I223" i="15"/>
  <c r="AA347" i="15"/>
  <c r="Z347" i="15" s="1"/>
  <c r="Y347" i="15" s="1"/>
  <c r="G347" i="15"/>
  <c r="BX347" i="6" s="1"/>
  <c r="H347" i="15"/>
  <c r="V94" i="15"/>
  <c r="F94" i="15" s="1"/>
  <c r="I165" i="15"/>
  <c r="J165" i="15"/>
  <c r="G210" i="15"/>
  <c r="BX210" i="6" s="1"/>
  <c r="AA210" i="15"/>
  <c r="Z210" i="15" s="1"/>
  <c r="Y210" i="15" s="1"/>
  <c r="H210" i="15"/>
  <c r="I166" i="15"/>
  <c r="J166" i="15"/>
  <c r="H123" i="15"/>
  <c r="AA123" i="15"/>
  <c r="Z123" i="15" s="1"/>
  <c r="Y123" i="15" s="1"/>
  <c r="G123" i="15"/>
  <c r="BX123" i="6" s="1"/>
  <c r="D36" i="7"/>
  <c r="V149" i="15"/>
  <c r="F149" i="15" s="1"/>
  <c r="AA343" i="15"/>
  <c r="Z343" i="15" s="1"/>
  <c r="Y343" i="15" s="1"/>
  <c r="G343" i="15"/>
  <c r="BX343" i="6" s="1"/>
  <c r="J232" i="15"/>
  <c r="I232" i="15"/>
  <c r="H121" i="15"/>
  <c r="AA121" i="15"/>
  <c r="Z121" i="15" s="1"/>
  <c r="Y121" i="15" s="1"/>
  <c r="G121" i="15"/>
  <c r="BX121" i="6" s="1"/>
  <c r="I234" i="15"/>
  <c r="J234" i="15"/>
  <c r="H82" i="15"/>
  <c r="G82" i="15"/>
  <c r="BX82" i="6" s="1"/>
  <c r="AA82" i="15"/>
  <c r="Z82" i="15" s="1"/>
  <c r="Y82" i="15" s="1"/>
  <c r="V320" i="15"/>
  <c r="F320" i="15" s="1"/>
  <c r="AA338" i="15"/>
  <c r="Z338" i="15" s="1"/>
  <c r="Y338" i="15" s="1"/>
  <c r="G338" i="15"/>
  <c r="BX338" i="6" s="1"/>
  <c r="J218" i="15"/>
  <c r="I218" i="15"/>
  <c r="AA54" i="15"/>
  <c r="Z54" i="15" s="1"/>
  <c r="Y54" i="15" s="1"/>
  <c r="H54" i="15"/>
  <c r="G54" i="15"/>
  <c r="BX54" i="6" s="1"/>
  <c r="I263" i="15"/>
  <c r="J263" i="15"/>
  <c r="H36" i="15"/>
  <c r="G36" i="15"/>
  <c r="BX36" i="6" s="1"/>
  <c r="AA36" i="15"/>
  <c r="Z36" i="15" s="1"/>
  <c r="Y36" i="15" s="1"/>
  <c r="G154" i="15"/>
  <c r="BX154" i="6" s="1"/>
  <c r="H154" i="15"/>
  <c r="J276" i="15"/>
  <c r="I276" i="15"/>
  <c r="I177" i="15"/>
  <c r="J177" i="15"/>
  <c r="AA137" i="15"/>
  <c r="Z137" i="15" s="1"/>
  <c r="Y137" i="15" s="1"/>
  <c r="G137" i="15"/>
  <c r="BX137" i="6" s="1"/>
  <c r="H137" i="15"/>
  <c r="H159" i="15"/>
  <c r="AA159" i="15"/>
  <c r="Z159" i="15" s="1"/>
  <c r="Y159" i="15" s="1"/>
  <c r="G159" i="15"/>
  <c r="BX159" i="6" s="1"/>
  <c r="J378" i="15"/>
  <c r="I378" i="15"/>
  <c r="I286" i="15"/>
  <c r="J286" i="15"/>
  <c r="I307" i="15"/>
  <c r="J307" i="15"/>
  <c r="J181" i="15"/>
  <c r="I181" i="15"/>
  <c r="J194" i="15"/>
  <c r="I194" i="15"/>
  <c r="I72" i="15"/>
  <c r="J72" i="15"/>
  <c r="G38" i="15"/>
  <c r="BX38" i="6" s="1"/>
  <c r="AA38" i="15"/>
  <c r="Z38" i="15" s="1"/>
  <c r="Y38" i="15" s="1"/>
  <c r="H38" i="15"/>
  <c r="H151" i="15"/>
  <c r="G151" i="15"/>
  <c r="BX151" i="6" s="1"/>
  <c r="AA151" i="15"/>
  <c r="Z151" i="15" s="1"/>
  <c r="Y151" i="15" s="1"/>
  <c r="G138" i="15"/>
  <c r="BX138" i="6" s="1"/>
  <c r="H138" i="15"/>
  <c r="AA138" i="15"/>
  <c r="Z138" i="15" s="1"/>
  <c r="Y138" i="15" s="1"/>
  <c r="G147" i="15"/>
  <c r="BX147" i="6" s="1"/>
  <c r="H147" i="15"/>
  <c r="AA147" i="15"/>
  <c r="Z147" i="15" s="1"/>
  <c r="Y147" i="15" s="1"/>
  <c r="I175" i="15"/>
  <c r="J175" i="15"/>
  <c r="J282" i="15"/>
  <c r="I282" i="15"/>
  <c r="J197" i="15"/>
  <c r="I197" i="15"/>
  <c r="I284" i="15"/>
  <c r="J284" i="15"/>
  <c r="H34" i="15"/>
  <c r="G34" i="15"/>
  <c r="BX34" i="6" s="1"/>
  <c r="AA34" i="15"/>
  <c r="Z34" i="15" s="1"/>
  <c r="Y34" i="15" s="1"/>
  <c r="J199" i="15"/>
  <c r="I199" i="15"/>
  <c r="J192" i="15"/>
  <c r="I192" i="15"/>
  <c r="J182" i="15"/>
  <c r="I182" i="15"/>
  <c r="T382" i="15"/>
  <c r="T381" i="15"/>
  <c r="S15" i="15"/>
  <c r="T383" i="15"/>
  <c r="H338" i="15"/>
  <c r="H343" i="15"/>
  <c r="J368" i="15"/>
  <c r="I368" i="15"/>
  <c r="J249" i="15"/>
  <c r="I249" i="15"/>
  <c r="AD383" i="1"/>
  <c r="AD381" i="1"/>
  <c r="AD382" i="1"/>
  <c r="I67" i="15"/>
  <c r="J67" i="15"/>
  <c r="J48" i="15"/>
  <c r="I48" i="15"/>
  <c r="G298" i="15"/>
  <c r="BX298" i="6" s="1"/>
  <c r="AA298" i="15"/>
  <c r="Z298" i="15" s="1"/>
  <c r="Y298" i="15" s="1"/>
  <c r="H298" i="15"/>
  <c r="G57" i="15"/>
  <c r="BX57" i="6" s="1"/>
  <c r="AA57" i="15"/>
  <c r="Z57" i="15" s="1"/>
  <c r="Y57" i="15" s="1"/>
  <c r="H57" i="15"/>
  <c r="U251" i="16"/>
  <c r="T251" i="16" s="1"/>
  <c r="S251" i="16" s="1"/>
  <c r="R251" i="16" s="1"/>
  <c r="P251" i="16" s="1"/>
  <c r="V251" i="16" s="1"/>
  <c r="F251" i="16" s="1"/>
  <c r="U46" i="16"/>
  <c r="T46" i="16" s="1"/>
  <c r="S46" i="16" s="1"/>
  <c r="R46" i="16" s="1"/>
  <c r="P46" i="16" s="1"/>
  <c r="V46" i="16" s="1"/>
  <c r="U144" i="16"/>
  <c r="T144" i="16" s="1"/>
  <c r="S144" i="16" s="1"/>
  <c r="R144" i="16" s="1"/>
  <c r="P144" i="16" s="1"/>
  <c r="V144" i="16" s="1"/>
  <c r="F144" i="16" s="1"/>
  <c r="U220" i="16"/>
  <c r="T220" i="16" s="1"/>
  <c r="S220" i="16" s="1"/>
  <c r="R220" i="16" s="1"/>
  <c r="P220" i="16" s="1"/>
  <c r="V220" i="16" s="1"/>
  <c r="F220" i="16" s="1"/>
  <c r="U92" i="16"/>
  <c r="T92" i="16" s="1"/>
  <c r="S92" i="16" s="1"/>
  <c r="R92" i="16" s="1"/>
  <c r="P92" i="16" s="1"/>
  <c r="V92" i="16" s="1"/>
  <c r="F92" i="16" s="1"/>
  <c r="U338" i="16"/>
  <c r="T338" i="16" s="1"/>
  <c r="S338" i="16" s="1"/>
  <c r="R338" i="16" s="1"/>
  <c r="P338" i="16" s="1"/>
  <c r="V338" i="16" s="1"/>
  <c r="F338" i="16" s="1"/>
  <c r="U239" i="16"/>
  <c r="T239" i="16" s="1"/>
  <c r="S239" i="16" s="1"/>
  <c r="R239" i="16" s="1"/>
  <c r="P239" i="16" s="1"/>
  <c r="V239" i="16" s="1"/>
  <c r="F239" i="16" s="1"/>
  <c r="H52" i="15"/>
  <c r="AA52" i="15"/>
  <c r="Z52" i="15" s="1"/>
  <c r="Y52" i="15" s="1"/>
  <c r="G52" i="15"/>
  <c r="BX52" i="6" s="1"/>
  <c r="AA302" i="15"/>
  <c r="Z302" i="15" s="1"/>
  <c r="Y302" i="15" s="1"/>
  <c r="G302" i="15"/>
  <c r="BX302" i="6" s="1"/>
  <c r="H302" i="15"/>
  <c r="J40" i="15"/>
  <c r="I40" i="15"/>
  <c r="J136" i="15"/>
  <c r="I136" i="15"/>
  <c r="I361" i="15"/>
  <c r="J361" i="15"/>
  <c r="AI309" i="16"/>
  <c r="AH309" i="16" s="1"/>
  <c r="AG309" i="16" s="1"/>
  <c r="AF309" i="16" s="1"/>
  <c r="AD309" i="16" s="1"/>
  <c r="AI279" i="16"/>
  <c r="AH279" i="16" s="1"/>
  <c r="AG279" i="16" s="1"/>
  <c r="AF279" i="16" s="1"/>
  <c r="AD279" i="16" s="1"/>
  <c r="AI373" i="16"/>
  <c r="AH373" i="16" s="1"/>
  <c r="AG373" i="16" s="1"/>
  <c r="AF373" i="16" s="1"/>
  <c r="AD373" i="16" s="1"/>
  <c r="AI171" i="16"/>
  <c r="AH171" i="16" s="1"/>
  <c r="AG171" i="16" s="1"/>
  <c r="AF171" i="16" s="1"/>
  <c r="AD171" i="16" s="1"/>
  <c r="AI330" i="16"/>
  <c r="AH330" i="16" s="1"/>
  <c r="AG330" i="16" s="1"/>
  <c r="AF330" i="16" s="1"/>
  <c r="AD330" i="16" s="1"/>
  <c r="AI54" i="16"/>
  <c r="AH54" i="16" s="1"/>
  <c r="AG54" i="16" s="1"/>
  <c r="AF54" i="16" s="1"/>
  <c r="AD54" i="16" s="1"/>
  <c r="AI106" i="16"/>
  <c r="AH106" i="16" s="1"/>
  <c r="AG106" i="16" s="1"/>
  <c r="AF106" i="16" s="1"/>
  <c r="AD106" i="16" s="1"/>
  <c r="AI273" i="16"/>
  <c r="AH273" i="16" s="1"/>
  <c r="AG273" i="16" s="1"/>
  <c r="AF273" i="16" s="1"/>
  <c r="AD273" i="16" s="1"/>
  <c r="AI345" i="16"/>
  <c r="AH345" i="16" s="1"/>
  <c r="AG345" i="16" s="1"/>
  <c r="AF345" i="16" s="1"/>
  <c r="AD345" i="16" s="1"/>
  <c r="AI151" i="16"/>
  <c r="AH151" i="16" s="1"/>
  <c r="AG151" i="16" s="1"/>
  <c r="AF151" i="16" s="1"/>
  <c r="AD151" i="16" s="1"/>
  <c r="AI53" i="16"/>
  <c r="AH53" i="16" s="1"/>
  <c r="AG53" i="16" s="1"/>
  <c r="AF53" i="16" s="1"/>
  <c r="AD53" i="16" s="1"/>
  <c r="AI173" i="16"/>
  <c r="AH173" i="16" s="1"/>
  <c r="AG173" i="16" s="1"/>
  <c r="AF173" i="16" s="1"/>
  <c r="AD173" i="16" s="1"/>
  <c r="AI128" i="16"/>
  <c r="AH128" i="16" s="1"/>
  <c r="AG128" i="16" s="1"/>
  <c r="AF128" i="16" s="1"/>
  <c r="AD128" i="16" s="1"/>
  <c r="AI149" i="16"/>
  <c r="AH149" i="16" s="1"/>
  <c r="AG149" i="16" s="1"/>
  <c r="AF149" i="16" s="1"/>
  <c r="AD149" i="16" s="1"/>
  <c r="AI63" i="16"/>
  <c r="AH63" i="16" s="1"/>
  <c r="AG63" i="16" s="1"/>
  <c r="AF63" i="16" s="1"/>
  <c r="AD63" i="16" s="1"/>
  <c r="AI266" i="16"/>
  <c r="AH266" i="16" s="1"/>
  <c r="AG266" i="16" s="1"/>
  <c r="AF266" i="16" s="1"/>
  <c r="AD266" i="16" s="1"/>
  <c r="AI314" i="16"/>
  <c r="AH314" i="16" s="1"/>
  <c r="AG314" i="16" s="1"/>
  <c r="AF314" i="16" s="1"/>
  <c r="AD314" i="16" s="1"/>
  <c r="AI353" i="16"/>
  <c r="AH353" i="16" s="1"/>
  <c r="AG353" i="16" s="1"/>
  <c r="AF353" i="16" s="1"/>
  <c r="AD353" i="16" s="1"/>
  <c r="AI359" i="16"/>
  <c r="AH359" i="16" s="1"/>
  <c r="AG359" i="16" s="1"/>
  <c r="AF359" i="16" s="1"/>
  <c r="AD359" i="16" s="1"/>
  <c r="AI253" i="16"/>
  <c r="AH253" i="16" s="1"/>
  <c r="AG253" i="16" s="1"/>
  <c r="AF253" i="16" s="1"/>
  <c r="AD253" i="16" s="1"/>
  <c r="AI79" i="16"/>
  <c r="AH79" i="16" s="1"/>
  <c r="AG79" i="16" s="1"/>
  <c r="AF79" i="16" s="1"/>
  <c r="AD79" i="16" s="1"/>
  <c r="AI22" i="16"/>
  <c r="AH22" i="16" s="1"/>
  <c r="AG22" i="16" s="1"/>
  <c r="AF22" i="16" s="1"/>
  <c r="AD22" i="16" s="1"/>
  <c r="AI290" i="16"/>
  <c r="AH290" i="16" s="1"/>
  <c r="AG290" i="16" s="1"/>
  <c r="AF290" i="16" s="1"/>
  <c r="AD290" i="16" s="1"/>
  <c r="AI20" i="16"/>
  <c r="AH20" i="16" s="1"/>
  <c r="AG20" i="16" s="1"/>
  <c r="AF20" i="16" s="1"/>
  <c r="AD20" i="16" s="1"/>
  <c r="AI131" i="16"/>
  <c r="AH131" i="16" s="1"/>
  <c r="AG131" i="16" s="1"/>
  <c r="AF131" i="16" s="1"/>
  <c r="AD131" i="16" s="1"/>
  <c r="AI17" i="16"/>
  <c r="AH17" i="16" s="1"/>
  <c r="AG17" i="16" s="1"/>
  <c r="AF17" i="16" s="1"/>
  <c r="AD17" i="16" s="1"/>
  <c r="AI170" i="16"/>
  <c r="AH170" i="16" s="1"/>
  <c r="AG170" i="16" s="1"/>
  <c r="AF170" i="16" s="1"/>
  <c r="AD170" i="16" s="1"/>
  <c r="AI142" i="16"/>
  <c r="AH142" i="16" s="1"/>
  <c r="AG142" i="16" s="1"/>
  <c r="AF142" i="16" s="1"/>
  <c r="AD142" i="16" s="1"/>
  <c r="AI249" i="16"/>
  <c r="AH249" i="16" s="1"/>
  <c r="AG249" i="16" s="1"/>
  <c r="AF249" i="16" s="1"/>
  <c r="AD249" i="16" s="1"/>
  <c r="AI88" i="16"/>
  <c r="AH88" i="16" s="1"/>
  <c r="AG88" i="16" s="1"/>
  <c r="AF88" i="16" s="1"/>
  <c r="AD88" i="16" s="1"/>
  <c r="AI61" i="16"/>
  <c r="AH61" i="16" s="1"/>
  <c r="AG61" i="16" s="1"/>
  <c r="AF61" i="16" s="1"/>
  <c r="AD61" i="16" s="1"/>
  <c r="V16" i="1"/>
  <c r="P382" i="1"/>
  <c r="P381" i="1"/>
  <c r="P383" i="1"/>
  <c r="G324" i="15"/>
  <c r="BX324" i="6" s="1"/>
  <c r="AA324" i="15"/>
  <c r="Z324" i="15" s="1"/>
  <c r="Y324" i="15" s="1"/>
  <c r="V336" i="15"/>
  <c r="F336" i="15" s="1"/>
  <c r="J278" i="15"/>
  <c r="I278" i="15"/>
  <c r="V354" i="15"/>
  <c r="F354" i="15" s="1"/>
  <c r="G95" i="15"/>
  <c r="BX95" i="6" s="1"/>
  <c r="H95" i="15"/>
  <c r="AA95" i="15"/>
  <c r="Z95" i="15" s="1"/>
  <c r="Y95" i="15" s="1"/>
  <c r="H155" i="15"/>
  <c r="G155" i="15"/>
  <c r="BX155" i="6" s="1"/>
  <c r="AA155" i="15"/>
  <c r="Z155" i="15" s="1"/>
  <c r="Y155" i="15" s="1"/>
  <c r="V331" i="15"/>
  <c r="F331" i="15" s="1"/>
  <c r="H27" i="15"/>
  <c r="G27" i="15"/>
  <c r="BX27" i="6" s="1"/>
  <c r="AA27" i="15"/>
  <c r="Z27" i="15" s="1"/>
  <c r="Y27" i="15" s="1"/>
  <c r="G43" i="15"/>
  <c r="BX43" i="6" s="1"/>
  <c r="H43" i="15"/>
  <c r="AA43" i="15"/>
  <c r="Z43" i="15" s="1"/>
  <c r="Y43" i="15" s="1"/>
  <c r="J174" i="15"/>
  <c r="I174" i="15"/>
  <c r="J162" i="15"/>
  <c r="I162" i="15"/>
  <c r="J244" i="15"/>
  <c r="I244" i="15"/>
  <c r="G86" i="15"/>
  <c r="BX86" i="6" s="1"/>
  <c r="AA86" i="15"/>
  <c r="Z86" i="15" s="1"/>
  <c r="Y86" i="15" s="1"/>
  <c r="H86" i="15"/>
  <c r="AA344" i="15"/>
  <c r="Z344" i="15" s="1"/>
  <c r="Y344" i="15" s="1"/>
  <c r="G344" i="15"/>
  <c r="BX344" i="6" s="1"/>
  <c r="H344" i="15"/>
  <c r="G104" i="15"/>
  <c r="BX104" i="6" s="1"/>
  <c r="H104" i="15"/>
  <c r="G102" i="15"/>
  <c r="BX102" i="6" s="1"/>
  <c r="AA102" i="15"/>
  <c r="Z102" i="15" s="1"/>
  <c r="Y102" i="15" s="1"/>
  <c r="H102" i="15"/>
  <c r="AA41" i="15"/>
  <c r="Z41" i="15" s="1"/>
  <c r="Y41" i="15" s="1"/>
  <c r="H41" i="15"/>
  <c r="G41" i="15"/>
  <c r="BX41" i="6" s="1"/>
  <c r="H18" i="15"/>
  <c r="G18" i="15"/>
  <c r="BX18" i="6" s="1"/>
  <c r="AA18" i="15"/>
  <c r="Z18" i="15" s="1"/>
  <c r="Y18" i="15" s="1"/>
  <c r="G316" i="15"/>
  <c r="BX316" i="6" s="1"/>
  <c r="AA316" i="15"/>
  <c r="Z316" i="15" s="1"/>
  <c r="Y316" i="15" s="1"/>
  <c r="G314" i="15"/>
  <c r="BX314" i="6" s="1"/>
  <c r="AA314" i="15"/>
  <c r="Z314" i="15" s="1"/>
  <c r="Y314" i="15" s="1"/>
  <c r="H314" i="15"/>
  <c r="AA321" i="15"/>
  <c r="Z321" i="15" s="1"/>
  <c r="Y321" i="15" s="1"/>
  <c r="G321" i="15"/>
  <c r="BX321" i="6" s="1"/>
  <c r="I188" i="15"/>
  <c r="J188" i="15"/>
  <c r="J226" i="15"/>
  <c r="I226" i="15"/>
  <c r="G306" i="15"/>
  <c r="BX306" i="6" s="1"/>
  <c r="AA306" i="15"/>
  <c r="Z306" i="15" s="1"/>
  <c r="Y306" i="15" s="1"/>
  <c r="H306" i="15"/>
  <c r="J201" i="15"/>
  <c r="I201" i="15"/>
  <c r="I120" i="15"/>
  <c r="J120" i="15"/>
  <c r="G367" i="15"/>
  <c r="BX367" i="6" s="1"/>
  <c r="AA367" i="15"/>
  <c r="Z367" i="15" s="1"/>
  <c r="Y367" i="15" s="1"/>
  <c r="H367" i="15"/>
  <c r="AA198" i="15"/>
  <c r="Z198" i="15" s="1"/>
  <c r="Y198" i="15" s="1"/>
  <c r="G198" i="15"/>
  <c r="BX198" i="6" s="1"/>
  <c r="H198" i="15"/>
  <c r="I209" i="15"/>
  <c r="J209" i="15"/>
  <c r="G371" i="15"/>
  <c r="BX371" i="6" s="1"/>
  <c r="AA371" i="15"/>
  <c r="Z371" i="15" s="1"/>
  <c r="Y371" i="15" s="1"/>
  <c r="H371" i="15"/>
  <c r="G351" i="15"/>
  <c r="BX351" i="6" s="1"/>
  <c r="AA351" i="15"/>
  <c r="Z351" i="15" s="1"/>
  <c r="Y351" i="15" s="1"/>
  <c r="AA49" i="15"/>
  <c r="Z49" i="15" s="1"/>
  <c r="Y49" i="15" s="1"/>
  <c r="H49" i="15"/>
  <c r="G49" i="15"/>
  <c r="BX49" i="6" s="1"/>
  <c r="V330" i="15"/>
  <c r="F330" i="15" s="1"/>
  <c r="F46" i="15"/>
  <c r="F135" i="15"/>
  <c r="AA19" i="15"/>
  <c r="Z19" i="15" s="1"/>
  <c r="Y19" i="15" s="1"/>
  <c r="G19" i="15"/>
  <c r="BX19" i="6" s="1"/>
  <c r="H19" i="15"/>
  <c r="I240" i="15"/>
  <c r="J240" i="15"/>
  <c r="G91" i="15"/>
  <c r="BX91" i="6" s="1"/>
  <c r="H91" i="15"/>
  <c r="AA91" i="15"/>
  <c r="Z91" i="15" s="1"/>
  <c r="Y91" i="15" s="1"/>
  <c r="I184" i="15"/>
  <c r="J184" i="15"/>
  <c r="H99" i="15"/>
  <c r="AA99" i="15"/>
  <c r="Z99" i="15" s="1"/>
  <c r="Y99" i="15" s="1"/>
  <c r="G99" i="15"/>
  <c r="BX99" i="6" s="1"/>
  <c r="AA59" i="15"/>
  <c r="Z59" i="15" s="1"/>
  <c r="Y59" i="15" s="1"/>
  <c r="H59" i="15"/>
  <c r="G59" i="15"/>
  <c r="BX59" i="6" s="1"/>
  <c r="I211" i="15"/>
  <c r="J211" i="15"/>
  <c r="H316" i="15"/>
  <c r="G305" i="15"/>
  <c r="BX305" i="6" s="1"/>
  <c r="AA305" i="15"/>
  <c r="Z305" i="15" s="1"/>
  <c r="Y305" i="15" s="1"/>
  <c r="H305" i="15"/>
  <c r="I376" i="15"/>
  <c r="J376" i="15"/>
  <c r="J51" i="15"/>
  <c r="I51" i="15"/>
  <c r="I346" i="15"/>
  <c r="J346" i="15"/>
  <c r="G61" i="15"/>
  <c r="BX61" i="6" s="1"/>
  <c r="AA61" i="15"/>
  <c r="Z61" i="15" s="1"/>
  <c r="Y61" i="15" s="1"/>
  <c r="H61" i="15"/>
  <c r="J75" i="15"/>
  <c r="I75" i="15"/>
  <c r="AA349" i="15"/>
  <c r="Z349" i="15" s="1"/>
  <c r="Y349" i="15" s="1"/>
  <c r="J207" i="15"/>
  <c r="I207" i="15"/>
  <c r="AA239" i="1"/>
  <c r="Z239" i="1" s="1"/>
  <c r="Y239" i="1" s="1"/>
  <c r="G239" i="1"/>
  <c r="I239" i="1"/>
  <c r="H239" i="15" s="1"/>
  <c r="J356" i="15"/>
  <c r="I356" i="15"/>
  <c r="J252" i="15"/>
  <c r="I252" i="15"/>
  <c r="J190" i="15"/>
  <c r="I190" i="15"/>
  <c r="J257" i="15"/>
  <c r="I257" i="15"/>
  <c r="I230" i="15"/>
  <c r="J230" i="15"/>
  <c r="J202" i="15"/>
  <c r="I202" i="15"/>
  <c r="I290" i="15"/>
  <c r="J290" i="15"/>
  <c r="I262" i="15"/>
  <c r="J262" i="15"/>
  <c r="J110" i="15"/>
  <c r="I110" i="15"/>
  <c r="I369" i="15"/>
  <c r="J369" i="15"/>
  <c r="I295" i="15"/>
  <c r="J295" i="15"/>
  <c r="I297" i="15"/>
  <c r="J297" i="15"/>
  <c r="J185" i="15"/>
  <c r="I185" i="15"/>
  <c r="J261" i="15"/>
  <c r="I261" i="15"/>
  <c r="AA241" i="15"/>
  <c r="Z241" i="15" s="1"/>
  <c r="Y241" i="15" s="1"/>
  <c r="G241" i="15"/>
  <c r="BX241" i="6" s="1"/>
  <c r="H241" i="15"/>
  <c r="J362" i="15"/>
  <c r="I362" i="15"/>
  <c r="J224" i="15"/>
  <c r="I224" i="15"/>
  <c r="I183" i="15"/>
  <c r="J183" i="15"/>
  <c r="I76" i="15"/>
  <c r="J76" i="15"/>
  <c r="F227" i="15"/>
  <c r="E62" i="19"/>
  <c r="H321" i="15"/>
  <c r="H351" i="15"/>
  <c r="I289" i="15"/>
  <c r="J289" i="15"/>
  <c r="U107" i="16"/>
  <c r="T107" i="16" s="1"/>
  <c r="S107" i="16" s="1"/>
  <c r="R107" i="16" s="1"/>
  <c r="P107" i="16" s="1"/>
  <c r="V107" i="16" s="1"/>
  <c r="F107" i="16" s="1"/>
  <c r="U99" i="16"/>
  <c r="T99" i="16" s="1"/>
  <c r="S99" i="16" s="1"/>
  <c r="R99" i="16" s="1"/>
  <c r="P99" i="16" s="1"/>
  <c r="V99" i="16" s="1"/>
  <c r="F99" i="16" s="1"/>
  <c r="U182" i="16"/>
  <c r="T182" i="16" s="1"/>
  <c r="S182" i="16" s="1"/>
  <c r="R182" i="16" s="1"/>
  <c r="P182" i="16" s="1"/>
  <c r="V182" i="16" s="1"/>
  <c r="F182" i="16" s="1"/>
  <c r="U193" i="16"/>
  <c r="T193" i="16" s="1"/>
  <c r="S193" i="16" s="1"/>
  <c r="R193" i="16" s="1"/>
  <c r="P193" i="16" s="1"/>
  <c r="V193" i="16" s="1"/>
  <c r="F193" i="16" s="1"/>
  <c r="U285" i="16"/>
  <c r="T285" i="16" s="1"/>
  <c r="S285" i="16" s="1"/>
  <c r="R285" i="16" s="1"/>
  <c r="P285" i="16" s="1"/>
  <c r="V285" i="16" s="1"/>
  <c r="F285" i="16" s="1"/>
  <c r="U379" i="16"/>
  <c r="U308" i="16"/>
  <c r="T308" i="16" s="1"/>
  <c r="S308" i="16" s="1"/>
  <c r="R308" i="16" s="1"/>
  <c r="P308" i="16" s="1"/>
  <c r="V308" i="16" s="1"/>
  <c r="F308" i="16" s="1"/>
  <c r="U278" i="16"/>
  <c r="T278" i="16" s="1"/>
  <c r="S278" i="16" s="1"/>
  <c r="R278" i="16" s="1"/>
  <c r="P278" i="16" s="1"/>
  <c r="V278" i="16" s="1"/>
  <c r="F278" i="16" s="1"/>
  <c r="U310" i="16"/>
  <c r="T310" i="16" s="1"/>
  <c r="S310" i="16" s="1"/>
  <c r="R310" i="16" s="1"/>
  <c r="P310" i="16" s="1"/>
  <c r="V310" i="16" s="1"/>
  <c r="F310" i="16" s="1"/>
  <c r="U128" i="16"/>
  <c r="T128" i="16" s="1"/>
  <c r="S128" i="16" s="1"/>
  <c r="R128" i="16" s="1"/>
  <c r="P128" i="16" s="1"/>
  <c r="V128" i="16" s="1"/>
  <c r="F128" i="16" s="1"/>
  <c r="U315" i="16"/>
  <c r="T315" i="16" s="1"/>
  <c r="S315" i="16" s="1"/>
  <c r="R315" i="16" s="1"/>
  <c r="P315" i="16" s="1"/>
  <c r="V315" i="16" s="1"/>
  <c r="F315" i="16" s="1"/>
  <c r="U344" i="16"/>
  <c r="T344" i="16" s="1"/>
  <c r="S344" i="16" s="1"/>
  <c r="R344" i="16" s="1"/>
  <c r="P344" i="16" s="1"/>
  <c r="V344" i="16" s="1"/>
  <c r="F344" i="16" s="1"/>
  <c r="U321" i="16"/>
  <c r="T321" i="16" s="1"/>
  <c r="S321" i="16" s="1"/>
  <c r="R321" i="16" s="1"/>
  <c r="P321" i="16" s="1"/>
  <c r="V321" i="16" s="1"/>
  <c r="F321" i="16" s="1"/>
  <c r="U77" i="16"/>
  <c r="T77" i="16" s="1"/>
  <c r="S77" i="16" s="1"/>
  <c r="R77" i="16" s="1"/>
  <c r="P77" i="16" s="1"/>
  <c r="V77" i="16" s="1"/>
  <c r="F77" i="16" s="1"/>
  <c r="U169" i="16"/>
  <c r="T169" i="16" s="1"/>
  <c r="S169" i="16" s="1"/>
  <c r="R169" i="16" s="1"/>
  <c r="P169" i="16" s="1"/>
  <c r="V169" i="16" s="1"/>
  <c r="F169" i="16" s="1"/>
  <c r="U217" i="16"/>
  <c r="T217" i="16" s="1"/>
  <c r="S217" i="16" s="1"/>
  <c r="R217" i="16" s="1"/>
  <c r="P217" i="16" s="1"/>
  <c r="V217" i="16" s="1"/>
  <c r="F217" i="16" s="1"/>
  <c r="U22" i="16"/>
  <c r="T22" i="16" s="1"/>
  <c r="S22" i="16" s="1"/>
  <c r="R22" i="16" s="1"/>
  <c r="P22" i="16" s="1"/>
  <c r="V22" i="16" s="1"/>
  <c r="F22" i="16" s="1"/>
  <c r="U263" i="16"/>
  <c r="T263" i="16" s="1"/>
  <c r="S263" i="16" s="1"/>
  <c r="R263" i="16" s="1"/>
  <c r="P263" i="16" s="1"/>
  <c r="V263" i="16" s="1"/>
  <c r="F263" i="16" s="1"/>
  <c r="U176" i="16"/>
  <c r="T176" i="16" s="1"/>
  <c r="S176" i="16" s="1"/>
  <c r="R176" i="16" s="1"/>
  <c r="P176" i="16" s="1"/>
  <c r="V176" i="16" s="1"/>
  <c r="F176" i="16" s="1"/>
  <c r="U101" i="16"/>
  <c r="T101" i="16" s="1"/>
  <c r="S101" i="16" s="1"/>
  <c r="R101" i="16" s="1"/>
  <c r="P101" i="16" s="1"/>
  <c r="V101" i="16" s="1"/>
  <c r="F101" i="16" s="1"/>
  <c r="U351" i="16"/>
  <c r="T351" i="16" s="1"/>
  <c r="S351" i="16" s="1"/>
  <c r="R351" i="16" s="1"/>
  <c r="P351" i="16" s="1"/>
  <c r="V351" i="16" s="1"/>
  <c r="F351" i="16" s="1"/>
  <c r="U102" i="16"/>
  <c r="T102" i="16" s="1"/>
  <c r="S102" i="16" s="1"/>
  <c r="R102" i="16" s="1"/>
  <c r="P102" i="16" s="1"/>
  <c r="V102" i="16" s="1"/>
  <c r="F102" i="16" s="1"/>
  <c r="U52" i="16"/>
  <c r="T52" i="16" s="1"/>
  <c r="S52" i="16" s="1"/>
  <c r="R52" i="16" s="1"/>
  <c r="P52" i="16" s="1"/>
  <c r="V52" i="16" s="1"/>
  <c r="F52" i="16" s="1"/>
  <c r="J168" i="15"/>
  <c r="I168" i="15"/>
  <c r="I299" i="15"/>
  <c r="J299" i="15"/>
  <c r="J204" i="15"/>
  <c r="I204" i="15"/>
  <c r="AH381" i="15"/>
  <c r="AH383" i="15"/>
  <c r="AG15" i="15"/>
  <c r="AH382" i="15"/>
  <c r="I169" i="15"/>
  <c r="J169" i="15"/>
  <c r="I236" i="15"/>
  <c r="J236" i="15"/>
  <c r="J217" i="15"/>
  <c r="I217" i="15"/>
  <c r="J287" i="15"/>
  <c r="I287" i="15"/>
  <c r="J254" i="15"/>
  <c r="I254" i="15"/>
  <c r="I109" i="15"/>
  <c r="J109" i="15"/>
  <c r="I65" i="15"/>
  <c r="J65" i="15"/>
  <c r="I283" i="15"/>
  <c r="J283" i="15"/>
  <c r="J130" i="15"/>
  <c r="I130" i="15"/>
  <c r="J258" i="15"/>
  <c r="I258" i="15"/>
  <c r="J108" i="15"/>
  <c r="I108" i="15"/>
  <c r="J310" i="15"/>
  <c r="I310" i="15"/>
  <c r="H62" i="19"/>
  <c r="I242" i="15"/>
  <c r="J242" i="15"/>
  <c r="I279" i="15"/>
  <c r="J279" i="15"/>
  <c r="J71" i="15"/>
  <c r="I71" i="15"/>
  <c r="J372" i="15"/>
  <c r="I372" i="15"/>
  <c r="I113" i="15"/>
  <c r="J113" i="15"/>
  <c r="H324" i="15"/>
  <c r="I366" i="15"/>
  <c r="J366" i="15"/>
  <c r="J309" i="15"/>
  <c r="I309" i="15"/>
  <c r="I301" i="15"/>
  <c r="J301" i="15"/>
  <c r="J39" i="15"/>
  <c r="I39" i="15"/>
  <c r="J355" i="15"/>
  <c r="I355" i="15"/>
  <c r="Q200" i="17"/>
  <c r="Q350" i="17"/>
  <c r="Q366" i="17"/>
  <c r="Q318" i="17"/>
  <c r="Q182" i="17"/>
  <c r="Q190" i="17"/>
  <c r="Q46" i="17"/>
  <c r="Q378" i="17"/>
  <c r="Q348" i="17"/>
  <c r="Q48" i="17"/>
  <c r="Q41" i="17"/>
  <c r="Q376" i="17"/>
  <c r="Q148" i="17"/>
  <c r="Q194" i="17"/>
  <c r="Q372" i="17"/>
  <c r="Q27" i="17"/>
  <c r="Q28" i="17"/>
  <c r="Q162" i="17"/>
  <c r="Q349" i="17"/>
  <c r="Q339" i="17"/>
  <c r="Q187" i="17"/>
  <c r="Q227" i="17"/>
  <c r="Q229" i="17"/>
  <c r="Q368" i="17"/>
  <c r="Q244" i="17"/>
  <c r="Q90" i="17"/>
  <c r="Q105" i="17"/>
  <c r="Q176" i="17"/>
  <c r="Q134" i="17"/>
  <c r="Q360" i="17"/>
  <c r="Q354" i="17"/>
  <c r="Q329" i="17"/>
  <c r="Q170" i="17"/>
  <c r="Q54" i="17"/>
  <c r="Q25" i="17"/>
  <c r="Q85" i="17"/>
  <c r="Q111" i="17"/>
  <c r="Q365" i="17"/>
  <c r="Q294" i="17"/>
  <c r="Q351" i="17"/>
  <c r="Q293" i="17"/>
  <c r="Q344" i="17"/>
  <c r="Q130" i="17"/>
  <c r="Q140" i="17"/>
  <c r="Q335" i="17"/>
  <c r="Q355" i="17"/>
  <c r="Q186" i="17"/>
  <c r="Q274" i="17"/>
  <c r="Q312" i="17"/>
  <c r="Q196" i="17"/>
  <c r="Q91" i="17"/>
  <c r="Q106" i="17"/>
  <c r="Q60" i="17"/>
  <c r="Q180" i="17"/>
  <c r="Q127" i="17"/>
  <c r="Q45" i="17"/>
  <c r="Q118" i="17"/>
  <c r="Q268" i="17"/>
  <c r="Q221" i="17"/>
  <c r="Q363" i="17"/>
  <c r="Q333" i="17"/>
  <c r="Q362" i="17"/>
  <c r="Q150" i="17"/>
  <c r="Q38" i="17"/>
  <c r="Q138" i="17"/>
  <c r="Q198" i="17"/>
  <c r="Q102" i="17"/>
  <c r="Q89" i="17"/>
  <c r="Q114" i="17"/>
  <c r="Q280" i="17"/>
  <c r="Q246" i="17"/>
  <c r="Q301" i="17"/>
  <c r="Q171" i="17"/>
  <c r="Q249" i="17"/>
  <c r="Q352" i="17"/>
  <c r="Q183" i="17"/>
  <c r="Q237" i="17"/>
  <c r="Q252" i="17"/>
  <c r="Q285" i="17"/>
  <c r="Q331" i="17"/>
  <c r="Q18" i="17"/>
  <c r="Q178" i="17"/>
  <c r="Q291" i="17"/>
  <c r="Q225" i="17"/>
  <c r="Q364" i="17"/>
  <c r="Q264" i="17"/>
  <c r="Q57" i="17"/>
  <c r="Q164" i="17"/>
  <c r="Q297" i="17"/>
  <c r="Q209" i="17"/>
  <c r="Q343" i="17"/>
  <c r="Q226" i="17"/>
  <c r="Q253" i="17"/>
  <c r="Q167" i="17"/>
  <c r="Q259" i="17"/>
  <c r="Q271" i="17"/>
  <c r="Q306" i="17"/>
  <c r="Q302" i="17"/>
  <c r="Q330" i="17"/>
  <c r="Q233" i="17"/>
  <c r="Q320" i="17"/>
  <c r="Q313" i="17"/>
  <c r="Q147" i="17"/>
  <c r="Q145" i="17"/>
  <c r="Q289" i="17"/>
  <c r="Q374" i="17"/>
  <c r="Q26" i="17"/>
  <c r="Q152" i="17"/>
  <c r="Q309" i="17"/>
  <c r="Q192" i="17"/>
  <c r="Q340" i="17"/>
  <c r="Q240" i="17"/>
  <c r="Q284" i="17"/>
  <c r="AE141" i="17"/>
  <c r="AE349" i="17"/>
  <c r="AE358" i="17"/>
  <c r="AE185" i="17"/>
  <c r="AE125" i="17"/>
  <c r="AE276" i="17"/>
  <c r="AE77" i="17"/>
  <c r="AE331" i="17"/>
  <c r="AE162" i="17"/>
  <c r="AE45" i="17"/>
  <c r="AE196" i="17"/>
  <c r="AE329" i="17"/>
  <c r="AE158" i="17"/>
  <c r="AE55" i="17"/>
  <c r="AE308" i="17"/>
  <c r="AE339" i="17"/>
  <c r="AE170" i="17"/>
  <c r="AE251" i="17"/>
  <c r="AE318" i="17"/>
  <c r="AE258" i="17"/>
  <c r="AE46" i="17"/>
  <c r="AE275" i="17"/>
  <c r="AE137" i="17"/>
  <c r="AE135" i="17"/>
  <c r="AE281" i="17"/>
  <c r="AE29" i="17"/>
  <c r="AE136" i="17"/>
  <c r="AE140" i="17"/>
  <c r="AE18" i="17"/>
  <c r="AE32" i="17"/>
  <c r="AE100" i="17"/>
  <c r="AE282" i="17"/>
  <c r="AE114" i="17"/>
  <c r="AE47" i="17"/>
  <c r="AE278" i="17"/>
  <c r="AE165" i="17"/>
  <c r="AE335" i="17"/>
  <c r="AE214" i="17"/>
  <c r="AE126" i="17"/>
  <c r="AE213" i="17"/>
  <c r="AE30" i="17"/>
  <c r="AE139" i="17"/>
  <c r="AE72" i="17"/>
  <c r="AE313" i="17"/>
  <c r="AE374" i="17"/>
  <c r="AE168" i="17"/>
  <c r="AE172" i="17"/>
  <c r="AE60" i="17"/>
  <c r="AE132" i="17"/>
  <c r="AE325" i="17"/>
  <c r="AE227" i="17"/>
  <c r="AE33" i="17"/>
  <c r="AE190" i="17"/>
  <c r="AE48" i="17"/>
  <c r="AE321" i="17"/>
  <c r="AE83" i="17"/>
  <c r="AE74" i="17"/>
  <c r="AE340" i="17"/>
  <c r="AE333" i="17"/>
  <c r="AE221" i="17"/>
  <c r="AE346" i="17"/>
  <c r="AE50" i="17"/>
  <c r="AE355" i="17"/>
  <c r="AE106" i="17"/>
  <c r="AE56" i="17"/>
  <c r="AE296" i="17"/>
  <c r="AE122" i="17"/>
  <c r="AE351" i="17"/>
  <c r="AE239" i="17"/>
  <c r="AE240" i="17"/>
  <c r="AE357" i="17"/>
  <c r="AE360" i="17"/>
  <c r="AE65" i="17"/>
  <c r="AE43" i="17"/>
  <c r="AE353" i="17"/>
  <c r="AE70" i="17"/>
  <c r="AE86" i="17"/>
  <c r="AE39" i="17"/>
  <c r="AE299" i="17"/>
  <c r="AE378" i="17"/>
  <c r="AE89" i="17"/>
  <c r="AE272" i="17"/>
  <c r="AE257" i="17"/>
  <c r="AE15" i="17"/>
  <c r="AE252" i="17"/>
  <c r="AE78" i="17"/>
  <c r="AE269" i="17"/>
  <c r="AE285" i="17"/>
  <c r="AE167" i="17"/>
  <c r="AE69" i="17"/>
  <c r="AE354" i="17"/>
  <c r="AE17" i="17"/>
  <c r="AE330" i="17"/>
  <c r="AE19" i="17"/>
  <c r="AE147" i="17"/>
  <c r="AE164" i="17"/>
  <c r="AE238" i="17"/>
  <c r="AE68" i="17"/>
  <c r="AE293" i="17"/>
  <c r="AE233" i="17"/>
  <c r="AE369" i="17"/>
  <c r="AE376" i="17"/>
  <c r="AE182" i="17"/>
  <c r="AE224" i="17"/>
  <c r="AE229" i="17"/>
  <c r="AE297" i="17"/>
  <c r="AE236" i="17"/>
  <c r="AE171" i="17"/>
  <c r="AE66" i="17"/>
  <c r="AE345" i="17"/>
  <c r="AE183" i="17"/>
  <c r="AE372" i="17"/>
  <c r="AE173" i="17"/>
  <c r="AE61" i="17"/>
  <c r="AE352" i="17"/>
  <c r="AE134" i="17"/>
  <c r="AE337" i="17"/>
  <c r="AE181" i="17"/>
  <c r="AE102" i="17"/>
  <c r="AE200" i="17"/>
  <c r="AE113" i="17"/>
  <c r="AE184" i="17"/>
  <c r="AE244" i="17"/>
  <c r="AE76" i="17"/>
  <c r="AE253" i="17"/>
  <c r="AE327" i="17"/>
  <c r="AE191" i="17"/>
  <c r="AE150" i="17"/>
  <c r="AE94" i="17"/>
  <c r="AE350" i="17"/>
  <c r="AE328" i="17"/>
  <c r="AE198" i="17"/>
  <c r="AE280" i="17"/>
  <c r="AE34" i="17"/>
  <c r="AE128" i="17"/>
  <c r="AE81" i="17"/>
  <c r="AE130" i="17"/>
  <c r="AE96" i="17"/>
  <c r="AE67" i="17"/>
  <c r="AE58" i="17"/>
  <c r="AE178" i="17"/>
  <c r="AE189" i="17"/>
  <c r="AE314" i="17"/>
  <c r="AE217" i="17"/>
  <c r="AE93" i="17"/>
  <c r="AE309" i="17"/>
  <c r="AE300" i="17"/>
  <c r="AE261" i="17"/>
  <c r="AE302" i="17"/>
  <c r="AE186" i="17"/>
  <c r="AE375" i="17"/>
  <c r="AE373" i="17"/>
  <c r="AE312" i="17"/>
  <c r="AE35" i="17"/>
  <c r="AE161" i="17"/>
  <c r="AE20" i="17"/>
  <c r="AE323" i="17"/>
  <c r="AE129" i="17"/>
  <c r="AE166" i="17"/>
  <c r="AE92" i="17"/>
  <c r="AE199" i="17"/>
  <c r="AE319" i="17"/>
  <c r="AE23" i="17"/>
  <c r="AE218" i="17"/>
  <c r="AE222" i="17"/>
  <c r="AE341" i="17"/>
  <c r="AE115" i="17"/>
  <c r="AE247" i="17"/>
  <c r="AE174" i="17"/>
  <c r="AE152" i="17"/>
  <c r="AE367" i="17"/>
  <c r="AE306" i="17"/>
  <c r="AE120" i="17"/>
  <c r="AE53" i="17"/>
  <c r="AE154" i="17"/>
  <c r="AE273" i="17"/>
  <c r="AE104" i="17"/>
  <c r="AE368" i="17"/>
  <c r="AE203" i="17"/>
  <c r="AE155" i="17"/>
  <c r="AE31" i="17"/>
  <c r="AE316" i="17"/>
  <c r="AE250" i="17"/>
  <c r="Q367" i="17"/>
  <c r="Q47" i="17"/>
  <c r="Q117" i="17"/>
  <c r="Q314" i="17"/>
  <c r="Q323" i="17"/>
  <c r="Q135" i="17"/>
  <c r="Q115" i="17"/>
  <c r="Q234" i="17"/>
  <c r="Q82" i="17"/>
  <c r="Q76" i="17"/>
  <c r="Q67" i="17"/>
  <c r="Q278" i="17"/>
  <c r="Q58" i="17"/>
  <c r="Q55" i="17"/>
  <c r="Q204" i="17"/>
  <c r="Q243" i="17"/>
  <c r="Q33" i="17"/>
  <c r="Q101" i="17"/>
  <c r="Q95" i="17"/>
  <c r="Q220" i="17"/>
  <c r="Q49" i="17"/>
  <c r="Q379" i="17"/>
  <c r="Q261" i="17"/>
  <c r="Q86" i="17"/>
  <c r="Q35" i="17"/>
  <c r="Q16" i="17"/>
  <c r="Q168" i="17"/>
  <c r="Q98" i="17"/>
  <c r="Q208" i="17"/>
  <c r="Q179" i="17"/>
  <c r="Q22" i="17"/>
  <c r="Q166" i="17"/>
  <c r="Q341" i="17"/>
  <c r="Q36" i="17"/>
  <c r="Q215" i="17"/>
  <c r="Q300" i="17"/>
  <c r="Q44" i="17"/>
  <c r="Q157" i="17"/>
  <c r="Q298" i="17"/>
  <c r="Q295" i="17"/>
  <c r="Q163" i="17"/>
  <c r="Q263" i="17"/>
  <c r="Q218" i="17"/>
  <c r="Q156" i="17"/>
  <c r="Q223" i="17"/>
  <c r="Q112" i="17"/>
  <c r="Q279" i="17"/>
  <c r="Q131" i="17"/>
  <c r="Q337" i="17"/>
  <c r="Q158" i="17"/>
  <c r="Q104" i="17"/>
  <c r="Q137" i="17"/>
  <c r="Q316" i="17"/>
  <c r="Q122" i="17"/>
  <c r="Q92" i="17"/>
  <c r="Q256" i="17"/>
  <c r="Q315" i="17"/>
  <c r="Q70" i="17"/>
  <c r="Q199" i="17"/>
  <c r="Q142" i="17"/>
  <c r="Q359" i="17"/>
  <c r="Q321" i="17"/>
  <c r="Q175" i="17"/>
  <c r="Q52" i="17"/>
  <c r="Q125" i="17"/>
  <c r="Q149" i="17"/>
  <c r="Q88" i="17"/>
  <c r="Q34" i="17"/>
  <c r="Q235" i="17"/>
  <c r="Q107" i="17"/>
  <c r="Q373" i="17"/>
  <c r="Q269" i="17"/>
  <c r="Q282" i="17"/>
  <c r="Q56" i="17"/>
  <c r="Q270" i="17"/>
  <c r="Q212" i="17"/>
  <c r="Q375" i="17"/>
  <c r="Q181" i="17"/>
  <c r="Q213" i="17"/>
  <c r="Q276" i="17"/>
  <c r="Q51" i="17"/>
  <c r="Q42" i="17"/>
  <c r="Q50" i="17"/>
  <c r="Q63" i="17"/>
  <c r="Q154" i="17"/>
  <c r="Q307" i="17"/>
  <c r="Q260" i="17"/>
  <c r="Q188" i="17"/>
  <c r="Q211" i="17"/>
  <c r="Q123" i="17"/>
  <c r="Q202" i="17"/>
  <c r="Q254" i="17"/>
  <c r="Q258" i="17"/>
  <c r="Q119" i="17"/>
  <c r="Q308" i="17"/>
  <c r="Q377" i="17"/>
  <c r="Q155" i="17"/>
  <c r="Q217" i="17"/>
  <c r="Q159" i="17"/>
  <c r="Q184" i="17"/>
  <c r="Q338" i="17"/>
  <c r="Q210" i="17"/>
  <c r="Q255" i="17"/>
  <c r="Q219" i="17"/>
  <c r="Q273" i="17"/>
  <c r="Q214" i="17"/>
  <c r="Q136" i="17"/>
  <c r="Q109" i="17"/>
  <c r="Q87" i="17"/>
  <c r="Q336" i="17"/>
  <c r="Q143" i="17"/>
  <c r="Q206" i="17"/>
  <c r="W15" i="7"/>
  <c r="AE254" i="17"/>
  <c r="AE98" i="17"/>
  <c r="AE279" i="17"/>
  <c r="AE298" i="17"/>
  <c r="AE118" i="17"/>
  <c r="AE288" i="17"/>
  <c r="AE255" i="17"/>
  <c r="AE195" i="17"/>
  <c r="AE294" i="17"/>
  <c r="AE338" i="17"/>
  <c r="AE144" i="17"/>
  <c r="AE40" i="17"/>
  <c r="AE51" i="17"/>
  <c r="AE194" i="17"/>
  <c r="AE192" i="17"/>
  <c r="AE133" i="17"/>
  <c r="AE27" i="17"/>
  <c r="AE160" i="17"/>
  <c r="AE62" i="17"/>
  <c r="AE79" i="17"/>
  <c r="AE304" i="17"/>
  <c r="AE324" i="17"/>
  <c r="AE277" i="17"/>
  <c r="AE205" i="17"/>
  <c r="AE75" i="17"/>
  <c r="AE143" i="17"/>
  <c r="AE364" i="17"/>
  <c r="AE208" i="17"/>
  <c r="AE71" i="17"/>
  <c r="AE153" i="17"/>
  <c r="AE124" i="17"/>
  <c r="AE49" i="17"/>
  <c r="AE119" i="17"/>
  <c r="AE180" i="17"/>
  <c r="AE344" i="17"/>
  <c r="AE112" i="17"/>
  <c r="AE148" i="17"/>
  <c r="AE57" i="17"/>
  <c r="AE317" i="17"/>
  <c r="AE225" i="17"/>
  <c r="AE307" i="17"/>
  <c r="AE176" i="17"/>
  <c r="AE231" i="17"/>
  <c r="AE28" i="17"/>
  <c r="AE54" i="17"/>
  <c r="AE343" i="17"/>
  <c r="AE284" i="17"/>
  <c r="AE103" i="17"/>
  <c r="AE211" i="17"/>
  <c r="AE311" i="17"/>
  <c r="AE303" i="17"/>
  <c r="AE215" i="17"/>
  <c r="AE266" i="17"/>
  <c r="AE271" i="17"/>
  <c r="AE342" i="17"/>
  <c r="AE159" i="17"/>
  <c r="AE264" i="17"/>
  <c r="AE289" i="17"/>
  <c r="AE202" i="17"/>
  <c r="AE270" i="17"/>
  <c r="AE274" i="17"/>
  <c r="AE235" i="17"/>
  <c r="AE149" i="17"/>
  <c r="AE63" i="17"/>
  <c r="AE220" i="17"/>
  <c r="AE219" i="17"/>
  <c r="AE237" i="17"/>
  <c r="AE21" i="17"/>
  <c r="AE52" i="17"/>
  <c r="AE216" i="17"/>
  <c r="AE310" i="17"/>
  <c r="AE245" i="17"/>
  <c r="AE249" i="17"/>
  <c r="AE156" i="17"/>
  <c r="AE332" i="17"/>
  <c r="AE145" i="17"/>
  <c r="AE26" i="17"/>
  <c r="AE223" i="17"/>
  <c r="AE226" i="17"/>
  <c r="AE305" i="17"/>
  <c r="AE82" i="17"/>
  <c r="AE16" i="17"/>
  <c r="AE241" i="17"/>
  <c r="AE88" i="17"/>
  <c r="AE366" i="17"/>
  <c r="AE263" i="17"/>
  <c r="AE101" i="17"/>
  <c r="AE117" i="17"/>
  <c r="AE210" i="17"/>
  <c r="AE36" i="17"/>
  <c r="AE212" i="17"/>
  <c r="AE243" i="17"/>
  <c r="AE322" i="17"/>
  <c r="AE177" i="17"/>
  <c r="AE260" i="17"/>
  <c r="AE80" i="17"/>
  <c r="AE379" i="17"/>
  <c r="AE12" i="18" s="1"/>
  <c r="AE108" i="17"/>
  <c r="AE348" i="17"/>
  <c r="AE347" i="17"/>
  <c r="AE365" i="17"/>
  <c r="AE336" i="17"/>
  <c r="AE85" i="17"/>
  <c r="AE268" i="17"/>
  <c r="AE157" i="17"/>
  <c r="AE91" i="17"/>
  <c r="AE95" i="17"/>
  <c r="AE290" i="17"/>
  <c r="AE151" i="17"/>
  <c r="AE356" i="17"/>
  <c r="AE41" i="17"/>
  <c r="AE84" i="17"/>
  <c r="AE248" i="17"/>
  <c r="AE175" i="17"/>
  <c r="AE90" i="17"/>
  <c r="AE37" i="17"/>
  <c r="AE105" i="17"/>
  <c r="AE283" i="17"/>
  <c r="AE287" i="17"/>
  <c r="AE59" i="17"/>
  <c r="AE370" i="17"/>
  <c r="AE131" i="17"/>
  <c r="AE256" i="17"/>
  <c r="AE234" i="17"/>
  <c r="AE123" i="17"/>
  <c r="AE371" i="17"/>
  <c r="AE267" i="17"/>
  <c r="AE110" i="17"/>
  <c r="AE301" i="17"/>
  <c r="AE246" i="17"/>
  <c r="AE187" i="17"/>
  <c r="AE204" i="17"/>
  <c r="AE138" i="17"/>
  <c r="AE193" i="17"/>
  <c r="AE286" i="17"/>
  <c r="AE99" i="17"/>
  <c r="AE97" i="17"/>
  <c r="AE292" i="17"/>
  <c r="AE320" i="17"/>
  <c r="AE109" i="17"/>
  <c r="AE363" i="17"/>
  <c r="AE265" i="17"/>
  <c r="AE24" i="17"/>
  <c r="AE228" i="17"/>
  <c r="AE169" i="17"/>
  <c r="AE359" i="17"/>
  <c r="AE121" i="17"/>
  <c r="AE291" i="17"/>
  <c r="AE142" i="17"/>
  <c r="AE127" i="17"/>
  <c r="AE232" i="17"/>
  <c r="AE230" i="17"/>
  <c r="AE197" i="17"/>
  <c r="AE111" i="17"/>
  <c r="AE242" i="17"/>
  <c r="AE209" i="17"/>
  <c r="AE334" i="17"/>
  <c r="AE42" i="17"/>
  <c r="AE362" i="17"/>
  <c r="AE315" i="17"/>
  <c r="AE179" i="17"/>
  <c r="AE22" i="17"/>
  <c r="AE207" i="17"/>
  <c r="AE64" i="17"/>
  <c r="AE163" i="17"/>
  <c r="AE326" i="17"/>
  <c r="AE146" i="17"/>
  <c r="AE206" i="17"/>
  <c r="AE38" i="17"/>
  <c r="AE188" i="17"/>
  <c r="AE262" i="17"/>
  <c r="AE44" i="17"/>
  <c r="AE259" i="17"/>
  <c r="AE295" i="17"/>
  <c r="AE377" i="17"/>
  <c r="AE73" i="17"/>
  <c r="AE116" i="17"/>
  <c r="AE25" i="17"/>
  <c r="AE361" i="17"/>
  <c r="AE87" i="17"/>
  <c r="AE107" i="17"/>
  <c r="AE201" i="17"/>
  <c r="AC306" i="20"/>
  <c r="AC189" i="20"/>
  <c r="AC178" i="20"/>
  <c r="AC252" i="20"/>
  <c r="AC330" i="20"/>
  <c r="AC154" i="20"/>
  <c r="AC173" i="20"/>
  <c r="AC200" i="20"/>
  <c r="AC233" i="20"/>
  <c r="AC294" i="20"/>
  <c r="AC363" i="20"/>
  <c r="AC198" i="20"/>
  <c r="AC235" i="20"/>
  <c r="AC309" i="20"/>
  <c r="AC194" i="20"/>
  <c r="AC234" i="20"/>
  <c r="AC324" i="20"/>
  <c r="AC212" i="20"/>
  <c r="AC373" i="20"/>
  <c r="AC273" i="20"/>
  <c r="AC165" i="20"/>
  <c r="AC350" i="20"/>
  <c r="AC270" i="20"/>
  <c r="AC272" i="20"/>
  <c r="AC290" i="20"/>
  <c r="AC155" i="20"/>
  <c r="AC261" i="20"/>
  <c r="AC340" i="20"/>
  <c r="AC298" i="20"/>
  <c r="AC302" i="20"/>
  <c r="AC334" i="20"/>
  <c r="AC346" i="20"/>
  <c r="AC289" i="20"/>
  <c r="AC357" i="20"/>
  <c r="AC328" i="20"/>
  <c r="AC307" i="20"/>
  <c r="AC355" i="20"/>
  <c r="AC266" i="20"/>
  <c r="AC301" i="20"/>
  <c r="AC300" i="20"/>
  <c r="AC249" i="20"/>
  <c r="AC336" i="20"/>
  <c r="AC319" i="20"/>
  <c r="AC343" i="20"/>
  <c r="AC164" i="20"/>
  <c r="AC207" i="20"/>
  <c r="AC218" i="20"/>
  <c r="AC375" i="20"/>
  <c r="AC275" i="20"/>
  <c r="AC295" i="20"/>
  <c r="AC370" i="20"/>
  <c r="AC148" i="20"/>
  <c r="AC172" i="20"/>
  <c r="AC257" i="20"/>
  <c r="AC230" i="20"/>
  <c r="AC366" i="20"/>
  <c r="AC243" i="20"/>
  <c r="AC237" i="20"/>
  <c r="AC263" i="20"/>
  <c r="AC354" i="20"/>
  <c r="AC228" i="20"/>
  <c r="AC186" i="20"/>
  <c r="AC353" i="20"/>
  <c r="AC214" i="20"/>
  <c r="AC166" i="20"/>
  <c r="AC296" i="20"/>
  <c r="AC138" i="20"/>
  <c r="AC337" i="20"/>
  <c r="AC359" i="20"/>
  <c r="AC246" i="20"/>
  <c r="AC310" i="20"/>
  <c r="AC379" i="20"/>
  <c r="AC283" i="20"/>
  <c r="AC176" i="20"/>
  <c r="AC179" i="20"/>
  <c r="AC262" i="20"/>
  <c r="AC315" i="20"/>
  <c r="AC331" i="20"/>
  <c r="AC316" i="20"/>
  <c r="AC287" i="20"/>
  <c r="AC190" i="20"/>
  <c r="AC199" i="20"/>
  <c r="AC279" i="20"/>
  <c r="AC322" i="20"/>
  <c r="AC323" i="20"/>
  <c r="AC274" i="20"/>
  <c r="AC150" i="20"/>
  <c r="AC308" i="20"/>
  <c r="AC149" i="20"/>
  <c r="AC213" i="20"/>
  <c r="AC136" i="20"/>
  <c r="AC312" i="20"/>
  <c r="AC152" i="20"/>
  <c r="AC180" i="20"/>
  <c r="AC362" i="20"/>
  <c r="AC329" i="20"/>
  <c r="AC170" i="20"/>
  <c r="AC374" i="20"/>
  <c r="AC140" i="20"/>
  <c r="AC254" i="20"/>
  <c r="AC242" i="20"/>
  <c r="AC197" i="20"/>
  <c r="AC267" i="20"/>
  <c r="AC220" i="20"/>
  <c r="AC341" i="20"/>
  <c r="AC291" i="20"/>
  <c r="AC193" i="20"/>
  <c r="AC332" i="20"/>
  <c r="AC145" i="20"/>
  <c r="AC251" i="20"/>
  <c r="AC349" i="20"/>
  <c r="AC141" i="20"/>
  <c r="AC338" i="20"/>
  <c r="AC209" i="20"/>
  <c r="AC202" i="20"/>
  <c r="AC327" i="20"/>
  <c r="AC161" i="20"/>
  <c r="AC244" i="20"/>
  <c r="AC347" i="20"/>
  <c r="AC225" i="20"/>
  <c r="AC217" i="20"/>
  <c r="AC333" i="20"/>
  <c r="AC215" i="20"/>
  <c r="AC171" i="20"/>
  <c r="AC285" i="20"/>
  <c r="AC158" i="20"/>
  <c r="AC151" i="20"/>
  <c r="AC201" i="20"/>
  <c r="AC320" i="20"/>
  <c r="AC253" i="20"/>
  <c r="AC223" i="20"/>
  <c r="AC264" i="20"/>
  <c r="AC369" i="20"/>
  <c r="AC255" i="20"/>
  <c r="AC360" i="20"/>
  <c r="AC134" i="20"/>
  <c r="AC372" i="20"/>
  <c r="AC204" i="20"/>
  <c r="AC196" i="20"/>
  <c r="AC284" i="20"/>
  <c r="AC222" i="20"/>
  <c r="AC195" i="20"/>
  <c r="AC281" i="20"/>
  <c r="AC192" i="20"/>
  <c r="AC174" i="20"/>
  <c r="AC259" i="20"/>
  <c r="AC364" i="20"/>
  <c r="AC236" i="20"/>
  <c r="AC303" i="20"/>
  <c r="AC224" i="20"/>
  <c r="AC183" i="20"/>
  <c r="AC216" i="20"/>
  <c r="AC292" i="20"/>
  <c r="AC185" i="20"/>
  <c r="AC293" i="20"/>
  <c r="AC156" i="20"/>
  <c r="AC245" i="20"/>
  <c r="AC187" i="20"/>
  <c r="AC191" i="20"/>
  <c r="AC304" i="20"/>
  <c r="AC241" i="20"/>
  <c r="AC146" i="20"/>
  <c r="AC367" i="20"/>
  <c r="AC153" i="20"/>
  <c r="AC352" i="20"/>
  <c r="AC325" i="20"/>
  <c r="AC208" i="20"/>
  <c r="AC268" i="20"/>
  <c r="AC378" i="20"/>
  <c r="AC169" i="20"/>
  <c r="AC276" i="20"/>
  <c r="AC377" i="20"/>
  <c r="AC271" i="20"/>
  <c r="AC227" i="20"/>
  <c r="AC205" i="20"/>
  <c r="AC371" i="20"/>
  <c r="AC313" i="20"/>
  <c r="AC238" i="20"/>
  <c r="AC335" i="20"/>
  <c r="AC142" i="20"/>
  <c r="AC365" i="20"/>
  <c r="AC135" i="20"/>
  <c r="AC147" i="20"/>
  <c r="AC219" i="20"/>
  <c r="AC344" i="20"/>
  <c r="AC280" i="20"/>
  <c r="AC231" i="20"/>
  <c r="AC376" i="20"/>
  <c r="AC317" i="20"/>
  <c r="AC182" i="20"/>
  <c r="AC206" i="20"/>
  <c r="AC137" i="20"/>
  <c r="AC203" i="20"/>
  <c r="AC368" i="20"/>
  <c r="AC239" i="20"/>
  <c r="AC305" i="20"/>
  <c r="AC265" i="20"/>
  <c r="AC256" i="20"/>
  <c r="AC159" i="20"/>
  <c r="AC160" i="20"/>
  <c r="AC163" i="20"/>
  <c r="AC139" i="20"/>
  <c r="AC226" i="20"/>
  <c r="AC177" i="20"/>
  <c r="AC351" i="20"/>
  <c r="AC260" i="20"/>
  <c r="AC288" i="20"/>
  <c r="AC345" i="20"/>
  <c r="AC211" i="20"/>
  <c r="AC232" i="20"/>
  <c r="AC278" i="20"/>
  <c r="AC311" i="20"/>
  <c r="AC286" i="20"/>
  <c r="AC175" i="20"/>
  <c r="AC299" i="20"/>
  <c r="AC248" i="20"/>
  <c r="AC250" i="20"/>
  <c r="AC181" i="20"/>
  <c r="AC258" i="20"/>
  <c r="AC229" i="20"/>
  <c r="AC221" i="20"/>
  <c r="AC358" i="20"/>
  <c r="AC240" i="20"/>
  <c r="AC361" i="20"/>
  <c r="AC143" i="20"/>
  <c r="AC184" i="20"/>
  <c r="AC210" i="20"/>
  <c r="AC321" i="20"/>
  <c r="AC282" i="20"/>
  <c r="AC269" i="20"/>
  <c r="AC144" i="20"/>
  <c r="AC342" i="20"/>
  <c r="AC326" i="20"/>
  <c r="AC356" i="20"/>
  <c r="AC168" i="20"/>
  <c r="AC339" i="20"/>
  <c r="AC188" i="20"/>
  <c r="AC157" i="20"/>
  <c r="AC318" i="20"/>
  <c r="AC314" i="20"/>
  <c r="AC167" i="20"/>
  <c r="AC162" i="20"/>
  <c r="AC348" i="20"/>
  <c r="AC297" i="20"/>
  <c r="AC247" i="20"/>
  <c r="AJ13" i="16"/>
  <c r="AC72" i="22"/>
  <c r="AC53" i="22"/>
  <c r="AC102" i="22"/>
  <c r="AC41" i="22"/>
  <c r="AC75" i="22"/>
  <c r="AC131" i="22"/>
  <c r="AC27" i="22"/>
  <c r="AC133" i="22"/>
  <c r="AC23" i="22"/>
  <c r="AC38" i="22"/>
  <c r="AC24" i="22"/>
  <c r="AC61" i="22"/>
  <c r="AC99" i="22"/>
  <c r="AC105" i="22"/>
  <c r="AC60" i="22"/>
  <c r="AC47" i="22"/>
  <c r="AC67" i="22"/>
  <c r="AC107" i="22"/>
  <c r="AC66" i="22"/>
  <c r="AC82" i="22"/>
  <c r="AC56" i="22"/>
  <c r="AC49" i="22"/>
  <c r="AC52" i="22"/>
  <c r="AC51" i="22"/>
  <c r="AC101" i="22"/>
  <c r="AC32" i="22"/>
  <c r="AC123" i="22"/>
  <c r="AC39" i="22"/>
  <c r="AC44" i="22"/>
  <c r="AC92" i="22"/>
  <c r="AC18" i="22"/>
  <c r="AC17" i="22"/>
  <c r="AC109" i="22"/>
  <c r="AC50" i="22"/>
  <c r="AC118" i="22"/>
  <c r="AC83" i="22"/>
  <c r="AC58" i="22"/>
  <c r="AC79" i="22"/>
  <c r="AC128" i="22"/>
  <c r="AC95" i="22"/>
  <c r="AC74" i="22"/>
  <c r="AC98" i="22"/>
  <c r="AC91" i="22"/>
  <c r="AC64" i="22"/>
  <c r="AC96" i="22"/>
  <c r="AC124" i="22"/>
  <c r="AC69" i="22"/>
  <c r="AC31" i="22"/>
  <c r="AC34" i="22"/>
  <c r="AC57" i="22"/>
  <c r="AC33" i="22"/>
  <c r="AC89" i="22"/>
  <c r="AC106" i="22"/>
  <c r="AC100" i="22"/>
  <c r="AC117" i="22"/>
  <c r="AC28" i="22"/>
  <c r="AC121" i="22"/>
  <c r="AC16" i="22"/>
  <c r="AC87" i="22"/>
  <c r="AC111" i="22"/>
  <c r="AC94" i="22"/>
  <c r="AC78" i="22"/>
  <c r="AC116" i="22"/>
  <c r="AC55" i="22"/>
  <c r="AC126" i="22"/>
  <c r="AC114" i="22"/>
  <c r="AC29" i="22"/>
  <c r="AC86" i="22"/>
  <c r="AC40" i="22"/>
  <c r="AC25" i="22"/>
  <c r="AC63" i="22"/>
  <c r="AC97" i="22"/>
  <c r="AC36" i="22"/>
  <c r="AC42" i="22"/>
  <c r="AC22" i="22"/>
  <c r="AC48" i="22"/>
  <c r="AC26" i="22"/>
  <c r="AC80" i="22"/>
  <c r="AC88" i="22"/>
  <c r="AC35" i="22"/>
  <c r="AC37" i="22"/>
  <c r="AC120" i="22"/>
  <c r="AC113" i="22"/>
  <c r="AC20" i="22"/>
  <c r="AC73" i="22"/>
  <c r="AC129" i="22"/>
  <c r="AC77" i="22"/>
  <c r="AC84" i="22"/>
  <c r="AC59" i="22"/>
  <c r="AC119" i="22"/>
  <c r="AC132" i="22"/>
  <c r="AC104" i="22"/>
  <c r="AC68" i="22"/>
  <c r="AC122" i="22"/>
  <c r="AC85" i="22"/>
  <c r="AC43" i="22"/>
  <c r="AC130" i="22"/>
  <c r="AC125" i="22"/>
  <c r="AC62" i="22"/>
  <c r="AC81" i="22"/>
  <c r="AC19" i="22"/>
  <c r="AC30" i="22"/>
  <c r="AC112" i="22"/>
  <c r="AC90" i="22"/>
  <c r="AC21" i="22"/>
  <c r="AC71" i="22"/>
  <c r="AC127" i="22"/>
  <c r="AC45" i="22"/>
  <c r="AC54" i="22"/>
  <c r="AC115" i="22"/>
  <c r="AC46" i="22"/>
  <c r="AC93" i="22"/>
  <c r="AC134" i="22"/>
  <c r="AC15" i="22"/>
  <c r="AC76" i="22"/>
  <c r="AC103" i="22"/>
  <c r="AC70" i="22"/>
  <c r="AC108" i="22"/>
  <c r="AC65" i="22"/>
  <c r="AC110" i="22"/>
  <c r="O31" i="20"/>
  <c r="O89" i="20"/>
  <c r="O174" i="20"/>
  <c r="O293" i="20"/>
  <c r="O275" i="20"/>
  <c r="O339" i="20"/>
  <c r="O40" i="20"/>
  <c r="O20" i="20"/>
  <c r="O154" i="20"/>
  <c r="O218" i="20"/>
  <c r="O370" i="20"/>
  <c r="O143" i="20"/>
  <c r="O163" i="20"/>
  <c r="O288" i="20"/>
  <c r="O331" i="20"/>
  <c r="O64" i="20"/>
  <c r="O171" i="20"/>
  <c r="O249" i="20"/>
  <c r="O367" i="20"/>
  <c r="O141" i="20"/>
  <c r="O192" i="20"/>
  <c r="O276" i="20"/>
  <c r="O330" i="20"/>
  <c r="O23" i="20"/>
  <c r="O123" i="20"/>
  <c r="O205" i="20"/>
  <c r="O256" i="20"/>
  <c r="O242" i="20"/>
  <c r="O352" i="20"/>
  <c r="O32" i="20"/>
  <c r="O26" i="20"/>
  <c r="O137" i="20"/>
  <c r="O317" i="20"/>
  <c r="O364" i="20"/>
  <c r="O140" i="20"/>
  <c r="O209" i="20"/>
  <c r="O306" i="20"/>
  <c r="O357" i="20"/>
  <c r="O92" i="20"/>
  <c r="O215" i="20"/>
  <c r="O289" i="20"/>
  <c r="O51" i="20"/>
  <c r="O98" i="20"/>
  <c r="O180" i="20"/>
  <c r="AG25" i="7" s="1"/>
  <c r="O221" i="20"/>
  <c r="O355" i="20"/>
  <c r="O63" i="20"/>
  <c r="O144" i="20"/>
  <c r="O164" i="20"/>
  <c r="O271" i="20"/>
  <c r="O259" i="20"/>
  <c r="O375" i="20"/>
  <c r="O49" i="20"/>
  <c r="O102" i="20"/>
  <c r="O117" i="20"/>
  <c r="O311" i="20"/>
  <c r="O348" i="20"/>
  <c r="O151" i="20"/>
  <c r="O177" i="20"/>
  <c r="O237" i="20"/>
  <c r="O337" i="20"/>
  <c r="O131" i="20"/>
  <c r="O261" i="20"/>
  <c r="O344" i="20"/>
  <c r="O122" i="20"/>
  <c r="O148" i="20"/>
  <c r="O244" i="20"/>
  <c r="O303" i="20"/>
  <c r="O28" i="20"/>
  <c r="O113" i="20"/>
  <c r="O182" i="20"/>
  <c r="O243" i="20"/>
  <c r="O232" i="20"/>
  <c r="O325" i="20"/>
  <c r="O15" i="20"/>
  <c r="O74" i="20"/>
  <c r="O41" i="20"/>
  <c r="O178" i="20"/>
  <c r="O291" i="20"/>
  <c r="O24" i="20"/>
  <c r="O109" i="20"/>
  <c r="O196" i="20"/>
  <c r="O222" i="20"/>
  <c r="O328" i="20"/>
  <c r="O118" i="20"/>
  <c r="O245" i="20"/>
  <c r="O363" i="20"/>
  <c r="AG31" i="7" s="1"/>
  <c r="O83" i="20"/>
  <c r="O119" i="20"/>
  <c r="AG23" i="7" s="1"/>
  <c r="O189" i="20"/>
  <c r="O240" i="20"/>
  <c r="O327" i="20"/>
  <c r="O120" i="20"/>
  <c r="O315" i="20"/>
  <c r="O359" i="20"/>
  <c r="O55" i="20"/>
  <c r="O283" i="20"/>
  <c r="O103" i="20"/>
  <c r="O220" i="20"/>
  <c r="O110" i="20"/>
  <c r="O297" i="20"/>
  <c r="O90" i="20"/>
  <c r="O321" i="20"/>
  <c r="O53" i="20"/>
  <c r="O167" i="20"/>
  <c r="O268" i="20"/>
  <c r="O58" i="20"/>
  <c r="O208" i="20"/>
  <c r="O33" i="20"/>
  <c r="O188" i="20"/>
  <c r="O347" i="20"/>
  <c r="O270" i="20"/>
  <c r="O72" i="20"/>
  <c r="O198" i="20"/>
  <c r="O341" i="20"/>
  <c r="O107" i="20"/>
  <c r="O308" i="20"/>
  <c r="O345" i="20"/>
  <c r="O44" i="20"/>
  <c r="O253" i="20"/>
  <c r="O129" i="20"/>
  <c r="O277" i="20"/>
  <c r="O77" i="20"/>
  <c r="O318" i="20"/>
  <c r="O135" i="20"/>
  <c r="O266" i="20"/>
  <c r="O94" i="20"/>
  <c r="O213" i="20"/>
  <c r="O304" i="20"/>
  <c r="O56" i="20"/>
  <c r="O173" i="20"/>
  <c r="O22" i="20"/>
  <c r="O175" i="20"/>
  <c r="O336" i="20"/>
  <c r="O184" i="20"/>
  <c r="O45" i="20"/>
  <c r="O294" i="20"/>
  <c r="O43" i="20"/>
  <c r="O207" i="20"/>
  <c r="O251" i="20"/>
  <c r="O37" i="20"/>
  <c r="O155" i="20"/>
  <c r="O377" i="20"/>
  <c r="O172" i="20"/>
  <c r="O280" i="20"/>
  <c r="O168" i="20"/>
  <c r="O374" i="20"/>
  <c r="O166" i="20"/>
  <c r="O295" i="20"/>
  <c r="O97" i="20"/>
  <c r="O228" i="20"/>
  <c r="O313" i="20"/>
  <c r="O85" i="20"/>
  <c r="O264" i="20"/>
  <c r="O91" i="20"/>
  <c r="O267" i="20"/>
  <c r="O42" i="20"/>
  <c r="O258" i="20"/>
  <c r="O145" i="20"/>
  <c r="O279" i="20"/>
  <c r="O115" i="20"/>
  <c r="O246" i="20"/>
  <c r="O346" i="20"/>
  <c r="O80" i="20"/>
  <c r="O247" i="20"/>
  <c r="O59" i="20"/>
  <c r="O202" i="20"/>
  <c r="O314" i="20"/>
  <c r="O150" i="20"/>
  <c r="O286" i="20"/>
  <c r="O50" i="20"/>
  <c r="O156" i="20"/>
  <c r="O255" i="20"/>
  <c r="O46" i="20"/>
  <c r="O114" i="20"/>
  <c r="O335" i="20"/>
  <c r="O146" i="20"/>
  <c r="O265" i="20"/>
  <c r="O112" i="20"/>
  <c r="O354" i="20"/>
  <c r="O142" i="20"/>
  <c r="O278" i="20"/>
  <c r="AG13" i="7"/>
  <c r="AM10" i="7" s="1"/>
  <c r="O87" i="20"/>
  <c r="O170" i="20"/>
  <c r="O236" i="20"/>
  <c r="O229" i="20"/>
  <c r="O320" i="20"/>
  <c r="O379" i="20"/>
  <c r="C40" i="19" s="1"/>
  <c r="O79" i="20"/>
  <c r="O99" i="20"/>
  <c r="O226" i="20"/>
  <c r="O324" i="20"/>
  <c r="O67" i="20"/>
  <c r="O136" i="20"/>
  <c r="O211" i="20"/>
  <c r="O257" i="20"/>
  <c r="O356" i="20"/>
  <c r="O96" i="20"/>
  <c r="O287" i="20"/>
  <c r="O349" i="20"/>
  <c r="O61" i="20"/>
  <c r="O124" i="20"/>
  <c r="O195" i="20"/>
  <c r="O252" i="20"/>
  <c r="O351" i="20"/>
  <c r="O75" i="20"/>
  <c r="O116" i="20"/>
  <c r="O194" i="20"/>
  <c r="O312" i="20"/>
  <c r="O292" i="20"/>
  <c r="O353" i="20"/>
  <c r="O66" i="20"/>
  <c r="O84" i="20"/>
  <c r="O212" i="20"/>
  <c r="O310" i="20"/>
  <c r="O68" i="20"/>
  <c r="O133" i="20"/>
  <c r="O216" i="20"/>
  <c r="O274" i="20"/>
  <c r="O19" i="20"/>
  <c r="O149" i="20"/>
  <c r="AG24" i="7" s="1"/>
  <c r="O326" i="20"/>
  <c r="O338" i="20"/>
  <c r="O108" i="20"/>
  <c r="O159" i="20"/>
  <c r="O231" i="20"/>
  <c r="O302" i="20"/>
  <c r="AG29" i="7" s="1"/>
  <c r="O25" i="20"/>
  <c r="O105" i="20"/>
  <c r="O138" i="20"/>
  <c r="O224" i="20"/>
  <c r="O217" i="20"/>
  <c r="O309" i="20"/>
  <c r="O368" i="20"/>
  <c r="O70" i="20"/>
  <c r="O76" i="20"/>
  <c r="O193" i="20"/>
  <c r="O300" i="20"/>
  <c r="O73" i="20"/>
  <c r="O157" i="20"/>
  <c r="O225" i="20"/>
  <c r="O316" i="20"/>
  <c r="O60" i="20"/>
  <c r="AG21" i="7" s="1"/>
  <c r="O206" i="20"/>
  <c r="O273" i="20"/>
  <c r="O57" i="20"/>
  <c r="O104" i="20"/>
  <c r="O185" i="20"/>
  <c r="O234" i="20"/>
  <c r="O329" i="20"/>
  <c r="O36" i="20"/>
  <c r="O100" i="20"/>
  <c r="O179" i="20"/>
  <c r="O301" i="20"/>
  <c r="O285" i="20"/>
  <c r="O343" i="20"/>
  <c r="O52" i="20"/>
  <c r="O93" i="20"/>
  <c r="O106" i="20"/>
  <c r="O296" i="20"/>
  <c r="O340" i="20"/>
  <c r="O111" i="20"/>
  <c r="O190" i="20"/>
  <c r="O235" i="20"/>
  <c r="O299" i="20"/>
  <c r="O35" i="20"/>
  <c r="O183" i="20"/>
  <c r="O239" i="20"/>
  <c r="O16" i="20"/>
  <c r="O88" i="20"/>
  <c r="AG22" i="7" s="1"/>
  <c r="O181" i="20"/>
  <c r="O254" i="20"/>
  <c r="O319" i="20"/>
  <c r="O62" i="20"/>
  <c r="O203" i="20"/>
  <c r="O298" i="20"/>
  <c r="O54" i="20"/>
  <c r="O165" i="20"/>
  <c r="O47" i="20"/>
  <c r="O191" i="20"/>
  <c r="O376" i="20"/>
  <c r="O233" i="20"/>
  <c r="O38" i="20"/>
  <c r="O176" i="20"/>
  <c r="O358" i="20"/>
  <c r="O153" i="20"/>
  <c r="O284" i="20"/>
  <c r="O332" i="20"/>
  <c r="O17" i="20"/>
  <c r="O262" i="20"/>
  <c r="O95" i="20"/>
  <c r="O248" i="20"/>
  <c r="O152" i="20"/>
  <c r="O333" i="20"/>
  <c r="AG30" i="7" s="1"/>
  <c r="O126" i="20"/>
  <c r="O260" i="20"/>
  <c r="O69" i="20"/>
  <c r="O187" i="20"/>
  <c r="O290" i="20"/>
  <c r="O30" i="20"/>
  <c r="O197" i="20"/>
  <c r="O29" i="20"/>
  <c r="AG20" i="7" s="1"/>
  <c r="O200" i="20"/>
  <c r="O350" i="20"/>
  <c r="O199" i="20"/>
  <c r="O81" i="20"/>
  <c r="O204" i="20"/>
  <c r="O371" i="20"/>
  <c r="O132" i="20"/>
  <c r="O322" i="20"/>
  <c r="O365" i="20"/>
  <c r="O48" i="20"/>
  <c r="O230" i="20"/>
  <c r="O147" i="20"/>
  <c r="O282" i="20"/>
  <c r="O65" i="20"/>
  <c r="O305" i="20"/>
  <c r="O169" i="20"/>
  <c r="O334" i="20"/>
  <c r="O128" i="20"/>
  <c r="O263" i="20"/>
  <c r="O362" i="20"/>
  <c r="O82" i="20"/>
  <c r="O281" i="20"/>
  <c r="O101" i="20"/>
  <c r="O250" i="20"/>
  <c r="O34" i="20"/>
  <c r="O227" i="20"/>
  <c r="O86" i="20"/>
  <c r="O223" i="20"/>
  <c r="O18" i="20"/>
  <c r="O160" i="20"/>
  <c r="O219" i="20"/>
  <c r="O373" i="20"/>
  <c r="O139" i="20"/>
  <c r="O366" i="20"/>
  <c r="O162" i="20"/>
  <c r="O323" i="20"/>
  <c r="O158" i="20"/>
  <c r="O378" i="20"/>
  <c r="O201" i="20"/>
  <c r="O39" i="20"/>
  <c r="O186" i="20"/>
  <c r="O241" i="20"/>
  <c r="AG27" i="7" s="1"/>
  <c r="O27" i="20"/>
  <c r="O127" i="20"/>
  <c r="O361" i="20"/>
  <c r="O125" i="20"/>
  <c r="O272" i="20"/>
  <c r="AG28" i="7" s="1"/>
  <c r="O121" i="20"/>
  <c r="O21" i="20"/>
  <c r="O161" i="20"/>
  <c r="O342" i="20"/>
  <c r="O134" i="20"/>
  <c r="O269" i="20"/>
  <c r="O372" i="20"/>
  <c r="O71" i="20"/>
  <c r="O238" i="20"/>
  <c r="O78" i="20"/>
  <c r="O210" i="20"/>
  <c r="AG26" i="7" s="1"/>
  <c r="O369" i="20"/>
  <c r="O307" i="20"/>
  <c r="O130" i="20"/>
  <c r="O214" i="20"/>
  <c r="O360" i="20"/>
  <c r="J148" i="15"/>
  <c r="I148" i="15"/>
  <c r="I116" i="15"/>
  <c r="J116" i="15"/>
  <c r="I167" i="15"/>
  <c r="J167" i="15"/>
  <c r="Z320" i="1"/>
  <c r="I81" i="15" l="1"/>
  <c r="I21" i="15"/>
  <c r="U56" i="16"/>
  <c r="T56" i="16" s="1"/>
  <c r="S56" i="16" s="1"/>
  <c r="R56" i="16" s="1"/>
  <c r="P56" i="16" s="1"/>
  <c r="V56" i="16" s="1"/>
  <c r="F56" i="16" s="1"/>
  <c r="G56" i="16" s="1"/>
  <c r="BY56" i="6" s="1"/>
  <c r="U28" i="16"/>
  <c r="T28" i="16" s="1"/>
  <c r="S28" i="16" s="1"/>
  <c r="R28" i="16" s="1"/>
  <c r="P28" i="16" s="1"/>
  <c r="V28" i="16" s="1"/>
  <c r="F28" i="16" s="1"/>
  <c r="G28" i="16" s="1"/>
  <c r="BY28" i="6" s="1"/>
  <c r="U262" i="16"/>
  <c r="T262" i="16" s="1"/>
  <c r="S262" i="16" s="1"/>
  <c r="R262" i="16" s="1"/>
  <c r="P262" i="16" s="1"/>
  <c r="V262" i="16" s="1"/>
  <c r="F262" i="16" s="1"/>
  <c r="H262" i="16" s="1"/>
  <c r="U100" i="16"/>
  <c r="T100" i="16" s="1"/>
  <c r="S100" i="16" s="1"/>
  <c r="R100" i="16" s="1"/>
  <c r="P100" i="16" s="1"/>
  <c r="V100" i="16" s="1"/>
  <c r="F100" i="16" s="1"/>
  <c r="G100" i="16" s="1"/>
  <c r="BY100" i="6" s="1"/>
  <c r="U302" i="16"/>
  <c r="T302" i="16" s="1"/>
  <c r="S302" i="16" s="1"/>
  <c r="R302" i="16" s="1"/>
  <c r="P302" i="16" s="1"/>
  <c r="V302" i="16" s="1"/>
  <c r="F302" i="16" s="1"/>
  <c r="U74" i="16"/>
  <c r="T74" i="16" s="1"/>
  <c r="S74" i="16" s="1"/>
  <c r="R74" i="16" s="1"/>
  <c r="P74" i="16" s="1"/>
  <c r="V74" i="16" s="1"/>
  <c r="F74" i="16" s="1"/>
  <c r="G74" i="16" s="1"/>
  <c r="BY74" i="6" s="1"/>
  <c r="U209" i="16"/>
  <c r="T209" i="16" s="1"/>
  <c r="S209" i="16" s="1"/>
  <c r="R209" i="16" s="1"/>
  <c r="P209" i="16" s="1"/>
  <c r="V209" i="16" s="1"/>
  <c r="F209" i="16" s="1"/>
  <c r="H209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41" i="16"/>
  <c r="T41" i="16" s="1"/>
  <c r="S41" i="16" s="1"/>
  <c r="R41" i="16" s="1"/>
  <c r="P41" i="16" s="1"/>
  <c r="V41" i="16" s="1"/>
  <c r="F41" i="16" s="1"/>
  <c r="G41" i="16" s="1"/>
  <c r="BY41" i="6" s="1"/>
  <c r="U55" i="16"/>
  <c r="T55" i="16" s="1"/>
  <c r="S55" i="16" s="1"/>
  <c r="R55" i="16" s="1"/>
  <c r="P55" i="16" s="1"/>
  <c r="V55" i="16" s="1"/>
  <c r="F55" i="16" s="1"/>
  <c r="U341" i="16"/>
  <c r="T341" i="16" s="1"/>
  <c r="S341" i="16" s="1"/>
  <c r="R341" i="16" s="1"/>
  <c r="P341" i="16" s="1"/>
  <c r="V341" i="16" s="1"/>
  <c r="F341" i="16" s="1"/>
  <c r="G341" i="16" s="1"/>
  <c r="BY341" i="6" s="1"/>
  <c r="U201" i="16"/>
  <c r="T201" i="16" s="1"/>
  <c r="S201" i="16" s="1"/>
  <c r="R201" i="16" s="1"/>
  <c r="P201" i="16" s="1"/>
  <c r="V201" i="16" s="1"/>
  <c r="F201" i="16" s="1"/>
  <c r="G201" i="16" s="1"/>
  <c r="BY201" i="6" s="1"/>
  <c r="U242" i="16"/>
  <c r="T242" i="16" s="1"/>
  <c r="S242" i="16" s="1"/>
  <c r="R242" i="16" s="1"/>
  <c r="P242" i="16" s="1"/>
  <c r="V242" i="16" s="1"/>
  <c r="F242" i="16" s="1"/>
  <c r="G242" i="16" s="1"/>
  <c r="BY242" i="6" s="1"/>
  <c r="U75" i="16"/>
  <c r="T75" i="16" s="1"/>
  <c r="S75" i="16" s="1"/>
  <c r="R75" i="16" s="1"/>
  <c r="P75" i="16" s="1"/>
  <c r="V75" i="16" s="1"/>
  <c r="U131" i="16"/>
  <c r="T131" i="16" s="1"/>
  <c r="S131" i="16" s="1"/>
  <c r="R131" i="16" s="1"/>
  <c r="P131" i="16" s="1"/>
  <c r="V131" i="16" s="1"/>
  <c r="F131" i="16" s="1"/>
  <c r="G131" i="16" s="1"/>
  <c r="BY131" i="6" s="1"/>
  <c r="U20" i="16"/>
  <c r="T20" i="16" s="1"/>
  <c r="S20" i="16" s="1"/>
  <c r="R20" i="16" s="1"/>
  <c r="P20" i="16" s="1"/>
  <c r="V20" i="16" s="1"/>
  <c r="F20" i="16" s="1"/>
  <c r="AA20" i="16" s="1"/>
  <c r="Z20" i="16" s="1"/>
  <c r="Y20" i="16" s="1"/>
  <c r="U291" i="16"/>
  <c r="T291" i="16" s="1"/>
  <c r="S291" i="16" s="1"/>
  <c r="R291" i="16" s="1"/>
  <c r="P291" i="16" s="1"/>
  <c r="V291" i="16" s="1"/>
  <c r="F291" i="16" s="1"/>
  <c r="G291" i="16" s="1"/>
  <c r="BY291" i="6" s="1"/>
  <c r="U147" i="16"/>
  <c r="T147" i="16" s="1"/>
  <c r="S147" i="16" s="1"/>
  <c r="R147" i="16" s="1"/>
  <c r="P147" i="16" s="1"/>
  <c r="V147" i="16" s="1"/>
  <c r="F147" i="16" s="1"/>
  <c r="G147" i="16" s="1"/>
  <c r="BY147" i="6" s="1"/>
  <c r="U32" i="16"/>
  <c r="T32" i="16" s="1"/>
  <c r="S32" i="16" s="1"/>
  <c r="R32" i="16" s="1"/>
  <c r="P32" i="16" s="1"/>
  <c r="V32" i="16" s="1"/>
  <c r="F32" i="16" s="1"/>
  <c r="U283" i="16"/>
  <c r="T283" i="16" s="1"/>
  <c r="S283" i="16" s="1"/>
  <c r="R283" i="16" s="1"/>
  <c r="P283" i="16" s="1"/>
  <c r="V283" i="16" s="1"/>
  <c r="F283" i="16" s="1"/>
  <c r="H283" i="16" s="1"/>
  <c r="U349" i="16"/>
  <c r="T349" i="16" s="1"/>
  <c r="S349" i="16" s="1"/>
  <c r="R349" i="16" s="1"/>
  <c r="P349" i="16" s="1"/>
  <c r="V349" i="16" s="1"/>
  <c r="F349" i="16" s="1"/>
  <c r="G349" i="16" s="1"/>
  <c r="BY349" i="6" s="1"/>
  <c r="U361" i="16"/>
  <c r="T361" i="16" s="1"/>
  <c r="S361" i="16" s="1"/>
  <c r="R361" i="16" s="1"/>
  <c r="P361" i="16" s="1"/>
  <c r="V361" i="16" s="1"/>
  <c r="F361" i="16" s="1"/>
  <c r="G361" i="16" s="1"/>
  <c r="BY361" i="6" s="1"/>
  <c r="U91" i="16"/>
  <c r="T91" i="16" s="1"/>
  <c r="S91" i="16" s="1"/>
  <c r="R91" i="16" s="1"/>
  <c r="P91" i="16" s="1"/>
  <c r="V91" i="16" s="1"/>
  <c r="F91" i="16" s="1"/>
  <c r="G91" i="16" s="1"/>
  <c r="BY91" i="6" s="1"/>
  <c r="AI99" i="16"/>
  <c r="AH99" i="16" s="1"/>
  <c r="AG99" i="16" s="1"/>
  <c r="AF99" i="16" s="1"/>
  <c r="AD99" i="16" s="1"/>
  <c r="AA99" i="16" s="1"/>
  <c r="Z99" i="16" s="1"/>
  <c r="Y99" i="16" s="1"/>
  <c r="AI238" i="16"/>
  <c r="AH238" i="16" s="1"/>
  <c r="AG238" i="16" s="1"/>
  <c r="AF238" i="16" s="1"/>
  <c r="AD238" i="16" s="1"/>
  <c r="AI219" i="16"/>
  <c r="AH219" i="16" s="1"/>
  <c r="AG219" i="16" s="1"/>
  <c r="AF219" i="16" s="1"/>
  <c r="AD219" i="16" s="1"/>
  <c r="AI42" i="16"/>
  <c r="AH42" i="16" s="1"/>
  <c r="AG42" i="16" s="1"/>
  <c r="AF42" i="16" s="1"/>
  <c r="AD42" i="16" s="1"/>
  <c r="AI94" i="16"/>
  <c r="AH94" i="16" s="1"/>
  <c r="AG94" i="16" s="1"/>
  <c r="AF94" i="16" s="1"/>
  <c r="AD94" i="16" s="1"/>
  <c r="AI193" i="16"/>
  <c r="AH193" i="16" s="1"/>
  <c r="AG193" i="16" s="1"/>
  <c r="AF193" i="16" s="1"/>
  <c r="AD193" i="16" s="1"/>
  <c r="AI252" i="16"/>
  <c r="AH252" i="16" s="1"/>
  <c r="AG252" i="16" s="1"/>
  <c r="AF252" i="16" s="1"/>
  <c r="AD252" i="16" s="1"/>
  <c r="AI185" i="16"/>
  <c r="AH185" i="16" s="1"/>
  <c r="AG185" i="16" s="1"/>
  <c r="AF185" i="16" s="1"/>
  <c r="AD185" i="16" s="1"/>
  <c r="AI78" i="16"/>
  <c r="AH78" i="16" s="1"/>
  <c r="AG78" i="16" s="1"/>
  <c r="AF78" i="16" s="1"/>
  <c r="AD78" i="16" s="1"/>
  <c r="AI145" i="16"/>
  <c r="AH145" i="16" s="1"/>
  <c r="AG145" i="16" s="1"/>
  <c r="AF145" i="16" s="1"/>
  <c r="AD145" i="16" s="1"/>
  <c r="AI371" i="16"/>
  <c r="AH371" i="16" s="1"/>
  <c r="AG371" i="16" s="1"/>
  <c r="AF371" i="16" s="1"/>
  <c r="AD371" i="16" s="1"/>
  <c r="AI282" i="16"/>
  <c r="AH282" i="16" s="1"/>
  <c r="AG282" i="16" s="1"/>
  <c r="AF282" i="16" s="1"/>
  <c r="AD282" i="16" s="1"/>
  <c r="AI102" i="16"/>
  <c r="AH102" i="16" s="1"/>
  <c r="AG102" i="16" s="1"/>
  <c r="AF102" i="16" s="1"/>
  <c r="AD102" i="16" s="1"/>
  <c r="AA102" i="16" s="1"/>
  <c r="Z102" i="16" s="1"/>
  <c r="Y102" i="16" s="1"/>
  <c r="AI123" i="16"/>
  <c r="AH123" i="16" s="1"/>
  <c r="AG123" i="16" s="1"/>
  <c r="AF123" i="16" s="1"/>
  <c r="AD123" i="16" s="1"/>
  <c r="AI328" i="16"/>
  <c r="AH328" i="16" s="1"/>
  <c r="AG328" i="16" s="1"/>
  <c r="AF328" i="16" s="1"/>
  <c r="AD328" i="16" s="1"/>
  <c r="AI122" i="16"/>
  <c r="AH122" i="16" s="1"/>
  <c r="AG122" i="16" s="1"/>
  <c r="AF122" i="16" s="1"/>
  <c r="AD122" i="16" s="1"/>
  <c r="AI209" i="16"/>
  <c r="AH209" i="16" s="1"/>
  <c r="AG209" i="16" s="1"/>
  <c r="AF209" i="16" s="1"/>
  <c r="AD209" i="16" s="1"/>
  <c r="AI198" i="16"/>
  <c r="AH198" i="16" s="1"/>
  <c r="AG198" i="16" s="1"/>
  <c r="AF198" i="16" s="1"/>
  <c r="AD198" i="16" s="1"/>
  <c r="AI246" i="16"/>
  <c r="AH246" i="16" s="1"/>
  <c r="AG246" i="16" s="1"/>
  <c r="AF246" i="16" s="1"/>
  <c r="AD246" i="16" s="1"/>
  <c r="AI153" i="16"/>
  <c r="AH153" i="16" s="1"/>
  <c r="AG153" i="16" s="1"/>
  <c r="AF153" i="16" s="1"/>
  <c r="AD153" i="16" s="1"/>
  <c r="AI204" i="16"/>
  <c r="AH204" i="16" s="1"/>
  <c r="AG204" i="16" s="1"/>
  <c r="AF204" i="16" s="1"/>
  <c r="AD204" i="16" s="1"/>
  <c r="AI69" i="16"/>
  <c r="AH69" i="16" s="1"/>
  <c r="AG69" i="16" s="1"/>
  <c r="AF69" i="16" s="1"/>
  <c r="AD69" i="16" s="1"/>
  <c r="AI55" i="16"/>
  <c r="AH55" i="16" s="1"/>
  <c r="AG55" i="16" s="1"/>
  <c r="AF55" i="16" s="1"/>
  <c r="AD55" i="16" s="1"/>
  <c r="AI100" i="16"/>
  <c r="AH100" i="16" s="1"/>
  <c r="AG100" i="16" s="1"/>
  <c r="AF100" i="16" s="1"/>
  <c r="AD100" i="16" s="1"/>
  <c r="AI308" i="16"/>
  <c r="AH308" i="16" s="1"/>
  <c r="AG308" i="16" s="1"/>
  <c r="AF308" i="16" s="1"/>
  <c r="AD308" i="16" s="1"/>
  <c r="AA308" i="16" s="1"/>
  <c r="Z308" i="16" s="1"/>
  <c r="Y308" i="16" s="1"/>
  <c r="AI46" i="16"/>
  <c r="AH46" i="16" s="1"/>
  <c r="AG46" i="16" s="1"/>
  <c r="AF46" i="16" s="1"/>
  <c r="AD46" i="16" s="1"/>
  <c r="AI255" i="16"/>
  <c r="AH255" i="16" s="1"/>
  <c r="AG255" i="16" s="1"/>
  <c r="AF255" i="16" s="1"/>
  <c r="AD255" i="16" s="1"/>
  <c r="AI48" i="16"/>
  <c r="AH48" i="16" s="1"/>
  <c r="AG48" i="16" s="1"/>
  <c r="AF48" i="16" s="1"/>
  <c r="AD48" i="16" s="1"/>
  <c r="AI139" i="16"/>
  <c r="AH139" i="16" s="1"/>
  <c r="AG139" i="16" s="1"/>
  <c r="AF139" i="16" s="1"/>
  <c r="AD139" i="16" s="1"/>
  <c r="AI159" i="16"/>
  <c r="AH159" i="16" s="1"/>
  <c r="AG159" i="16" s="1"/>
  <c r="AF159" i="16" s="1"/>
  <c r="AD159" i="16" s="1"/>
  <c r="AI217" i="16"/>
  <c r="AH217" i="16" s="1"/>
  <c r="AG217" i="16" s="1"/>
  <c r="AF217" i="16" s="1"/>
  <c r="AD217" i="16" s="1"/>
  <c r="AA217" i="16" s="1"/>
  <c r="Z217" i="16" s="1"/>
  <c r="Y217" i="16" s="1"/>
  <c r="U303" i="16"/>
  <c r="T303" i="16" s="1"/>
  <c r="S303" i="16" s="1"/>
  <c r="R303" i="16" s="1"/>
  <c r="P303" i="16" s="1"/>
  <c r="V303" i="16" s="1"/>
  <c r="F303" i="16" s="1"/>
  <c r="H303" i="16" s="1"/>
  <c r="U305" i="16"/>
  <c r="T305" i="16" s="1"/>
  <c r="S305" i="16" s="1"/>
  <c r="R305" i="16" s="1"/>
  <c r="P305" i="16" s="1"/>
  <c r="V305" i="16" s="1"/>
  <c r="F305" i="16" s="1"/>
  <c r="G305" i="16" s="1"/>
  <c r="BY305" i="6" s="1"/>
  <c r="U243" i="16"/>
  <c r="T243" i="16" s="1"/>
  <c r="S243" i="16" s="1"/>
  <c r="R243" i="16" s="1"/>
  <c r="P243" i="16" s="1"/>
  <c r="V243" i="16" s="1"/>
  <c r="F243" i="16" s="1"/>
  <c r="G243" i="16" s="1"/>
  <c r="BY243" i="6" s="1"/>
  <c r="U21" i="16"/>
  <c r="T21" i="16" s="1"/>
  <c r="S21" i="16" s="1"/>
  <c r="R21" i="16" s="1"/>
  <c r="P21" i="16" s="1"/>
  <c r="V21" i="16" s="1"/>
  <c r="F21" i="16" s="1"/>
  <c r="G21" i="16" s="1"/>
  <c r="BY21" i="6" s="1"/>
  <c r="U233" i="16"/>
  <c r="T233" i="16" s="1"/>
  <c r="S233" i="16" s="1"/>
  <c r="R233" i="16" s="1"/>
  <c r="P233" i="16" s="1"/>
  <c r="V233" i="16" s="1"/>
  <c r="F233" i="16" s="1"/>
  <c r="G233" i="16" s="1"/>
  <c r="BY233" i="6" s="1"/>
  <c r="U319" i="16"/>
  <c r="T319" i="16" s="1"/>
  <c r="S319" i="16" s="1"/>
  <c r="R319" i="16" s="1"/>
  <c r="P319" i="16" s="1"/>
  <c r="V319" i="16" s="1"/>
  <c r="F319" i="16" s="1"/>
  <c r="G319" i="16" s="1"/>
  <c r="BY319" i="6" s="1"/>
  <c r="U113" i="16"/>
  <c r="T113" i="16" s="1"/>
  <c r="S113" i="16" s="1"/>
  <c r="R113" i="16" s="1"/>
  <c r="P113" i="16" s="1"/>
  <c r="V113" i="16" s="1"/>
  <c r="F113" i="16" s="1"/>
  <c r="H113" i="16" s="1"/>
  <c r="U367" i="16"/>
  <c r="T367" i="16" s="1"/>
  <c r="S367" i="16" s="1"/>
  <c r="R367" i="16" s="1"/>
  <c r="P367" i="16" s="1"/>
  <c r="V367" i="16" s="1"/>
  <c r="F367" i="16" s="1"/>
  <c r="G367" i="16" s="1"/>
  <c r="BY367" i="6" s="1"/>
  <c r="U191" i="16"/>
  <c r="T191" i="16" s="1"/>
  <c r="S191" i="16" s="1"/>
  <c r="R191" i="16" s="1"/>
  <c r="P191" i="16" s="1"/>
  <c r="V191" i="16" s="1"/>
  <c r="F191" i="16" s="1"/>
  <c r="G191" i="16" s="1"/>
  <c r="BY191" i="6" s="1"/>
  <c r="U237" i="16"/>
  <c r="T237" i="16" s="1"/>
  <c r="S237" i="16" s="1"/>
  <c r="R237" i="16" s="1"/>
  <c r="P237" i="16" s="1"/>
  <c r="V237" i="16" s="1"/>
  <c r="F237" i="16" s="1"/>
  <c r="H237" i="16" s="1"/>
  <c r="U347" i="16"/>
  <c r="T347" i="16" s="1"/>
  <c r="S347" i="16" s="1"/>
  <c r="R347" i="16" s="1"/>
  <c r="P347" i="16" s="1"/>
  <c r="V347" i="16" s="1"/>
  <c r="F347" i="16" s="1"/>
  <c r="U270" i="16"/>
  <c r="T270" i="16" s="1"/>
  <c r="S270" i="16" s="1"/>
  <c r="R270" i="16" s="1"/>
  <c r="P270" i="16" s="1"/>
  <c r="V270" i="16" s="1"/>
  <c r="F270" i="16" s="1"/>
  <c r="H270" i="16" s="1"/>
  <c r="U140" i="16"/>
  <c r="T140" i="16" s="1"/>
  <c r="S140" i="16" s="1"/>
  <c r="R140" i="16" s="1"/>
  <c r="P140" i="16" s="1"/>
  <c r="V140" i="16" s="1"/>
  <c r="F140" i="16" s="1"/>
  <c r="G140" i="16" s="1"/>
  <c r="BY140" i="6" s="1"/>
  <c r="U258" i="16"/>
  <c r="T258" i="16" s="1"/>
  <c r="S258" i="16" s="1"/>
  <c r="R258" i="16" s="1"/>
  <c r="P258" i="16" s="1"/>
  <c r="V258" i="16" s="1"/>
  <c r="F258" i="16" s="1"/>
  <c r="G258" i="16" s="1"/>
  <c r="BY258" i="6" s="1"/>
  <c r="U69" i="16"/>
  <c r="T69" i="16" s="1"/>
  <c r="S69" i="16" s="1"/>
  <c r="R69" i="16" s="1"/>
  <c r="P69" i="16" s="1"/>
  <c r="V69" i="16" s="1"/>
  <c r="F69" i="16" s="1"/>
  <c r="H69" i="16" s="1"/>
  <c r="U211" i="16"/>
  <c r="T211" i="16" s="1"/>
  <c r="S211" i="16" s="1"/>
  <c r="R211" i="16" s="1"/>
  <c r="P211" i="16" s="1"/>
  <c r="V211" i="16" s="1"/>
  <c r="F211" i="16" s="1"/>
  <c r="H211" i="16" s="1"/>
  <c r="U374" i="16"/>
  <c r="T374" i="16" s="1"/>
  <c r="S374" i="16" s="1"/>
  <c r="R374" i="16" s="1"/>
  <c r="P374" i="16" s="1"/>
  <c r="V374" i="16" s="1"/>
  <c r="F374" i="16" s="1"/>
  <c r="U246" i="16"/>
  <c r="T246" i="16" s="1"/>
  <c r="S246" i="16" s="1"/>
  <c r="R246" i="16" s="1"/>
  <c r="P246" i="16" s="1"/>
  <c r="V246" i="16" s="1"/>
  <c r="F246" i="16" s="1"/>
  <c r="G246" i="16" s="1"/>
  <c r="BY246" i="6" s="1"/>
  <c r="U362" i="16"/>
  <c r="T362" i="16" s="1"/>
  <c r="S362" i="16" s="1"/>
  <c r="R362" i="16" s="1"/>
  <c r="P362" i="16" s="1"/>
  <c r="V362" i="16" s="1"/>
  <c r="F362" i="16" s="1"/>
  <c r="G362" i="16" s="1"/>
  <c r="BY362" i="6" s="1"/>
  <c r="U292" i="16"/>
  <c r="T292" i="16" s="1"/>
  <c r="S292" i="16" s="1"/>
  <c r="R292" i="16" s="1"/>
  <c r="P292" i="16" s="1"/>
  <c r="V292" i="16" s="1"/>
  <c r="F292" i="16" s="1"/>
  <c r="H292" i="16" s="1"/>
  <c r="U57" i="16"/>
  <c r="T57" i="16" s="1"/>
  <c r="S57" i="16" s="1"/>
  <c r="R57" i="16" s="1"/>
  <c r="P57" i="16" s="1"/>
  <c r="V57" i="16" s="1"/>
  <c r="F57" i="16" s="1"/>
  <c r="G57" i="16" s="1"/>
  <c r="BY57" i="6" s="1"/>
  <c r="U168" i="16"/>
  <c r="T168" i="16" s="1"/>
  <c r="S168" i="16" s="1"/>
  <c r="R168" i="16" s="1"/>
  <c r="P168" i="16" s="1"/>
  <c r="V168" i="16" s="1"/>
  <c r="F168" i="16" s="1"/>
  <c r="H168" i="16" s="1"/>
  <c r="U155" i="16"/>
  <c r="T155" i="16" s="1"/>
  <c r="S155" i="16" s="1"/>
  <c r="R155" i="16" s="1"/>
  <c r="P155" i="16" s="1"/>
  <c r="V155" i="16" s="1"/>
  <c r="F155" i="16" s="1"/>
  <c r="G155" i="16" s="1"/>
  <c r="BY155" i="6" s="1"/>
  <c r="U73" i="16"/>
  <c r="T73" i="16" s="1"/>
  <c r="S73" i="16" s="1"/>
  <c r="R73" i="16" s="1"/>
  <c r="P73" i="16" s="1"/>
  <c r="V73" i="16" s="1"/>
  <c r="F73" i="16" s="1"/>
  <c r="G73" i="16" s="1"/>
  <c r="BY73" i="6" s="1"/>
  <c r="U42" i="16"/>
  <c r="T42" i="16" s="1"/>
  <c r="S42" i="16" s="1"/>
  <c r="R42" i="16" s="1"/>
  <c r="P42" i="16" s="1"/>
  <c r="V42" i="16" s="1"/>
  <c r="F42" i="16" s="1"/>
  <c r="AA42" i="16" s="1"/>
  <c r="Z42" i="16" s="1"/>
  <c r="Y42" i="16" s="1"/>
  <c r="U30" i="16"/>
  <c r="T30" i="16" s="1"/>
  <c r="S30" i="16" s="1"/>
  <c r="R30" i="16" s="1"/>
  <c r="P30" i="16" s="1"/>
  <c r="V30" i="16" s="1"/>
  <c r="F30" i="16" s="1"/>
  <c r="G30" i="16" s="1"/>
  <c r="BY30" i="6" s="1"/>
  <c r="U195" i="16"/>
  <c r="T195" i="16" s="1"/>
  <c r="S195" i="16" s="1"/>
  <c r="R195" i="16" s="1"/>
  <c r="P195" i="16" s="1"/>
  <c r="V195" i="16" s="1"/>
  <c r="F195" i="16" s="1"/>
  <c r="H195" i="16" s="1"/>
  <c r="U87" i="16"/>
  <c r="T87" i="16" s="1"/>
  <c r="S87" i="16" s="1"/>
  <c r="R87" i="16" s="1"/>
  <c r="P87" i="16" s="1"/>
  <c r="V87" i="16" s="1"/>
  <c r="F87" i="16" s="1"/>
  <c r="G87" i="16" s="1"/>
  <c r="BY87" i="6" s="1"/>
  <c r="U47" i="16"/>
  <c r="T47" i="16" s="1"/>
  <c r="S47" i="16" s="1"/>
  <c r="R47" i="16" s="1"/>
  <c r="P47" i="16" s="1"/>
  <c r="V47" i="16" s="1"/>
  <c r="F47" i="16" s="1"/>
  <c r="U314" i="16"/>
  <c r="T314" i="16" s="1"/>
  <c r="S314" i="16" s="1"/>
  <c r="R314" i="16" s="1"/>
  <c r="P314" i="16" s="1"/>
  <c r="V314" i="16" s="1"/>
  <c r="F314" i="16" s="1"/>
  <c r="AA314" i="16" s="1"/>
  <c r="Z314" i="16" s="1"/>
  <c r="Y314" i="16" s="1"/>
  <c r="U299" i="16"/>
  <c r="T299" i="16" s="1"/>
  <c r="S299" i="16" s="1"/>
  <c r="R299" i="16" s="1"/>
  <c r="P299" i="16" s="1"/>
  <c r="V299" i="16" s="1"/>
  <c r="F299" i="16" s="1"/>
  <c r="G299" i="16" s="1"/>
  <c r="BY299" i="6" s="1"/>
  <c r="U268" i="16"/>
  <c r="T268" i="16" s="1"/>
  <c r="S268" i="16" s="1"/>
  <c r="R268" i="16" s="1"/>
  <c r="P268" i="16" s="1"/>
  <c r="V268" i="16" s="1"/>
  <c r="F268" i="16" s="1"/>
  <c r="G268" i="16" s="1"/>
  <c r="BY268" i="6" s="1"/>
  <c r="U31" i="16"/>
  <c r="T31" i="16" s="1"/>
  <c r="S31" i="16" s="1"/>
  <c r="R31" i="16" s="1"/>
  <c r="P31" i="16" s="1"/>
  <c r="V31" i="16" s="1"/>
  <c r="F31" i="16" s="1"/>
  <c r="G31" i="16" s="1"/>
  <c r="BY31" i="6" s="1"/>
  <c r="U146" i="16"/>
  <c r="T146" i="16" s="1"/>
  <c r="S146" i="16" s="1"/>
  <c r="R146" i="16" s="1"/>
  <c r="P146" i="16" s="1"/>
  <c r="V146" i="16" s="1"/>
  <c r="F146" i="16" s="1"/>
  <c r="G146" i="16" s="1"/>
  <c r="BY146" i="6" s="1"/>
  <c r="U172" i="16"/>
  <c r="T172" i="16" s="1"/>
  <c r="S172" i="16" s="1"/>
  <c r="R172" i="16" s="1"/>
  <c r="P172" i="16" s="1"/>
  <c r="V172" i="16" s="1"/>
  <c r="F172" i="16" s="1"/>
  <c r="H172" i="16" s="1"/>
  <c r="U44" i="16"/>
  <c r="T44" i="16" s="1"/>
  <c r="S44" i="16" s="1"/>
  <c r="R44" i="16" s="1"/>
  <c r="P44" i="16" s="1"/>
  <c r="V44" i="16" s="1"/>
  <c r="F44" i="16" s="1"/>
  <c r="G44" i="16" s="1"/>
  <c r="BY44" i="6" s="1"/>
  <c r="U294" i="16"/>
  <c r="T294" i="16" s="1"/>
  <c r="S294" i="16" s="1"/>
  <c r="R294" i="16" s="1"/>
  <c r="P294" i="16" s="1"/>
  <c r="V294" i="16" s="1"/>
  <c r="F294" i="16" s="1"/>
  <c r="H294" i="16" s="1"/>
  <c r="U230" i="16"/>
  <c r="T230" i="16" s="1"/>
  <c r="S230" i="16" s="1"/>
  <c r="R230" i="16" s="1"/>
  <c r="P230" i="16" s="1"/>
  <c r="V230" i="16" s="1"/>
  <c r="F230" i="16" s="1"/>
  <c r="H230" i="16" s="1"/>
  <c r="U104" i="16"/>
  <c r="T104" i="16" s="1"/>
  <c r="S104" i="16" s="1"/>
  <c r="R104" i="16" s="1"/>
  <c r="P104" i="16" s="1"/>
  <c r="V104" i="16" s="1"/>
  <c r="F104" i="16" s="1"/>
  <c r="G104" i="16" s="1"/>
  <c r="BY104" i="6" s="1"/>
  <c r="U345" i="16"/>
  <c r="T345" i="16" s="1"/>
  <c r="S345" i="16" s="1"/>
  <c r="R345" i="16" s="1"/>
  <c r="P345" i="16" s="1"/>
  <c r="V345" i="16" s="1"/>
  <c r="F345" i="16" s="1"/>
  <c r="AA345" i="16" s="1"/>
  <c r="Z345" i="16" s="1"/>
  <c r="Y345" i="16" s="1"/>
  <c r="U26" i="16"/>
  <c r="T26" i="16" s="1"/>
  <c r="S26" i="16" s="1"/>
  <c r="R26" i="16" s="1"/>
  <c r="P26" i="16" s="1"/>
  <c r="V26" i="16" s="1"/>
  <c r="F26" i="16" s="1"/>
  <c r="G26" i="16" s="1"/>
  <c r="BY26" i="6" s="1"/>
  <c r="U17" i="16"/>
  <c r="T17" i="16" s="1"/>
  <c r="S17" i="16" s="1"/>
  <c r="R17" i="16" s="1"/>
  <c r="P17" i="16" s="1"/>
  <c r="V17" i="16" s="1"/>
  <c r="F17" i="16" s="1"/>
  <c r="G17" i="16" s="1"/>
  <c r="BY17" i="6" s="1"/>
  <c r="U170" i="16"/>
  <c r="T170" i="16" s="1"/>
  <c r="S170" i="16" s="1"/>
  <c r="R170" i="16" s="1"/>
  <c r="P170" i="16" s="1"/>
  <c r="V170" i="16" s="1"/>
  <c r="F170" i="16" s="1"/>
  <c r="G170" i="16" s="1"/>
  <c r="BY170" i="6" s="1"/>
  <c r="U372" i="16"/>
  <c r="T372" i="16" s="1"/>
  <c r="S372" i="16" s="1"/>
  <c r="R372" i="16" s="1"/>
  <c r="P372" i="16" s="1"/>
  <c r="V372" i="16" s="1"/>
  <c r="F372" i="16" s="1"/>
  <c r="G372" i="16" s="1"/>
  <c r="BY372" i="6" s="1"/>
  <c r="U370" i="16"/>
  <c r="T370" i="16" s="1"/>
  <c r="S370" i="16" s="1"/>
  <c r="R370" i="16" s="1"/>
  <c r="P370" i="16" s="1"/>
  <c r="V370" i="16" s="1"/>
  <c r="F370" i="16" s="1"/>
  <c r="G370" i="16" s="1"/>
  <c r="BY370" i="6" s="1"/>
  <c r="U266" i="16"/>
  <c r="T266" i="16" s="1"/>
  <c r="S266" i="16" s="1"/>
  <c r="R266" i="16" s="1"/>
  <c r="P266" i="16" s="1"/>
  <c r="V266" i="16" s="1"/>
  <c r="F266" i="16" s="1"/>
  <c r="G266" i="16" s="1"/>
  <c r="BY266" i="6" s="1"/>
  <c r="U364" i="16"/>
  <c r="T364" i="16" s="1"/>
  <c r="S364" i="16" s="1"/>
  <c r="R364" i="16" s="1"/>
  <c r="P364" i="16" s="1"/>
  <c r="V364" i="16" s="1"/>
  <c r="F364" i="16" s="1"/>
  <c r="H364" i="16" s="1"/>
  <c r="U43" i="16"/>
  <c r="T43" i="16" s="1"/>
  <c r="S43" i="16" s="1"/>
  <c r="R43" i="16" s="1"/>
  <c r="P43" i="16" s="1"/>
  <c r="V43" i="16" s="1"/>
  <c r="F43" i="16" s="1"/>
  <c r="U200" i="16"/>
  <c r="T200" i="16" s="1"/>
  <c r="S200" i="16" s="1"/>
  <c r="R200" i="16" s="1"/>
  <c r="P200" i="16" s="1"/>
  <c r="V200" i="16" s="1"/>
  <c r="F200" i="16" s="1"/>
  <c r="G200" i="16" s="1"/>
  <c r="BY200" i="6" s="1"/>
  <c r="U25" i="16"/>
  <c r="T25" i="16" s="1"/>
  <c r="S25" i="16" s="1"/>
  <c r="R25" i="16" s="1"/>
  <c r="P25" i="16" s="1"/>
  <c r="V25" i="16" s="1"/>
  <c r="F25" i="16" s="1"/>
  <c r="G25" i="16" s="1"/>
  <c r="BY25" i="6" s="1"/>
  <c r="U80" i="16"/>
  <c r="T80" i="16" s="1"/>
  <c r="S80" i="16" s="1"/>
  <c r="R80" i="16" s="1"/>
  <c r="P80" i="16" s="1"/>
  <c r="V80" i="16" s="1"/>
  <c r="F80" i="16" s="1"/>
  <c r="G80" i="16" s="1"/>
  <c r="BY80" i="6" s="1"/>
  <c r="AI286" i="16"/>
  <c r="AH286" i="16" s="1"/>
  <c r="AG286" i="16" s="1"/>
  <c r="AF286" i="16" s="1"/>
  <c r="AD286" i="16" s="1"/>
  <c r="AI212" i="16"/>
  <c r="AH212" i="16" s="1"/>
  <c r="AG212" i="16" s="1"/>
  <c r="AF212" i="16" s="1"/>
  <c r="AD212" i="16" s="1"/>
  <c r="AI52" i="16"/>
  <c r="AH52" i="16" s="1"/>
  <c r="AG52" i="16" s="1"/>
  <c r="AF52" i="16" s="1"/>
  <c r="AD52" i="16" s="1"/>
  <c r="AA52" i="16" s="1"/>
  <c r="Z52" i="16" s="1"/>
  <c r="Y52" i="16" s="1"/>
  <c r="AI179" i="16"/>
  <c r="AH179" i="16" s="1"/>
  <c r="AG179" i="16" s="1"/>
  <c r="AF179" i="16" s="1"/>
  <c r="AD179" i="16" s="1"/>
  <c r="AI351" i="16"/>
  <c r="AH351" i="16" s="1"/>
  <c r="AG351" i="16" s="1"/>
  <c r="AF351" i="16" s="1"/>
  <c r="AD351" i="16" s="1"/>
  <c r="AA351" i="16" s="1"/>
  <c r="Z351" i="16" s="1"/>
  <c r="Y351" i="16" s="1"/>
  <c r="AI165" i="16"/>
  <c r="AH165" i="16" s="1"/>
  <c r="AG165" i="16" s="1"/>
  <c r="AF165" i="16" s="1"/>
  <c r="AD165" i="16" s="1"/>
  <c r="AI93" i="16"/>
  <c r="AH93" i="16" s="1"/>
  <c r="AG93" i="16" s="1"/>
  <c r="AF93" i="16" s="1"/>
  <c r="AD93" i="16" s="1"/>
  <c r="AI137" i="16"/>
  <c r="AH137" i="16" s="1"/>
  <c r="AG137" i="16" s="1"/>
  <c r="AF137" i="16" s="1"/>
  <c r="AD137" i="16" s="1"/>
  <c r="AI57" i="16"/>
  <c r="AH57" i="16" s="1"/>
  <c r="AG57" i="16" s="1"/>
  <c r="AF57" i="16" s="1"/>
  <c r="AD57" i="16" s="1"/>
  <c r="AI380" i="16"/>
  <c r="AH380" i="16" s="1"/>
  <c r="AG380" i="16" s="1"/>
  <c r="AF380" i="16" s="1"/>
  <c r="AD380" i="16" s="1"/>
  <c r="AI35" i="16"/>
  <c r="AH35" i="16" s="1"/>
  <c r="AG35" i="16" s="1"/>
  <c r="AF35" i="16" s="1"/>
  <c r="AD35" i="16" s="1"/>
  <c r="AI161" i="16"/>
  <c r="AH161" i="16" s="1"/>
  <c r="AG161" i="16" s="1"/>
  <c r="AF161" i="16" s="1"/>
  <c r="AD161" i="16" s="1"/>
  <c r="AI312" i="16"/>
  <c r="AH312" i="16" s="1"/>
  <c r="AG312" i="16" s="1"/>
  <c r="AF312" i="16" s="1"/>
  <c r="AD312" i="16" s="1"/>
  <c r="AI318" i="16"/>
  <c r="AH318" i="16" s="1"/>
  <c r="AG318" i="16" s="1"/>
  <c r="AF318" i="16" s="1"/>
  <c r="AD318" i="16" s="1"/>
  <c r="AI19" i="16"/>
  <c r="AH19" i="16" s="1"/>
  <c r="AG19" i="16" s="1"/>
  <c r="AF19" i="16" s="1"/>
  <c r="AD19" i="16" s="1"/>
  <c r="AI154" i="16"/>
  <c r="AH154" i="16" s="1"/>
  <c r="AG154" i="16" s="1"/>
  <c r="AF154" i="16" s="1"/>
  <c r="AD154" i="16" s="1"/>
  <c r="AI115" i="16"/>
  <c r="AH115" i="16" s="1"/>
  <c r="AG115" i="16" s="1"/>
  <c r="AF115" i="16" s="1"/>
  <c r="AD115" i="16" s="1"/>
  <c r="AI236" i="16"/>
  <c r="AH236" i="16" s="1"/>
  <c r="AG236" i="16" s="1"/>
  <c r="AF236" i="16" s="1"/>
  <c r="AD236" i="16" s="1"/>
  <c r="AI28" i="16"/>
  <c r="AH28" i="16" s="1"/>
  <c r="AG28" i="16" s="1"/>
  <c r="AF28" i="16" s="1"/>
  <c r="AD28" i="16" s="1"/>
  <c r="AA28" i="16" s="1"/>
  <c r="Z28" i="16" s="1"/>
  <c r="Y28" i="16" s="1"/>
  <c r="AI160" i="16"/>
  <c r="AH160" i="16" s="1"/>
  <c r="AG160" i="16" s="1"/>
  <c r="AF160" i="16" s="1"/>
  <c r="AD160" i="16" s="1"/>
  <c r="AI369" i="16"/>
  <c r="AH369" i="16" s="1"/>
  <c r="AG369" i="16" s="1"/>
  <c r="AF369" i="16" s="1"/>
  <c r="AD369" i="16" s="1"/>
  <c r="AI164" i="16"/>
  <c r="AH164" i="16" s="1"/>
  <c r="AG164" i="16" s="1"/>
  <c r="AF164" i="16" s="1"/>
  <c r="AD164" i="16" s="1"/>
  <c r="AI306" i="16"/>
  <c r="AH306" i="16" s="1"/>
  <c r="AG306" i="16" s="1"/>
  <c r="AF306" i="16" s="1"/>
  <c r="AD306" i="16" s="1"/>
  <c r="AI127" i="16"/>
  <c r="AH127" i="16" s="1"/>
  <c r="AG127" i="16" s="1"/>
  <c r="AF127" i="16" s="1"/>
  <c r="AD127" i="16" s="1"/>
  <c r="AI215" i="16"/>
  <c r="AH215" i="16" s="1"/>
  <c r="AG215" i="16" s="1"/>
  <c r="AF215" i="16" s="1"/>
  <c r="AD215" i="16" s="1"/>
  <c r="AI201" i="16"/>
  <c r="AH201" i="16" s="1"/>
  <c r="AG201" i="16" s="1"/>
  <c r="AF201" i="16" s="1"/>
  <c r="AD201" i="16" s="1"/>
  <c r="AI195" i="16"/>
  <c r="AH195" i="16" s="1"/>
  <c r="AG195" i="16" s="1"/>
  <c r="AF195" i="16" s="1"/>
  <c r="AD195" i="16" s="1"/>
  <c r="AI270" i="16"/>
  <c r="AH270" i="16" s="1"/>
  <c r="AG270" i="16" s="1"/>
  <c r="AF270" i="16" s="1"/>
  <c r="AD270" i="16" s="1"/>
  <c r="AI121" i="16"/>
  <c r="AH121" i="16" s="1"/>
  <c r="AG121" i="16" s="1"/>
  <c r="AF121" i="16" s="1"/>
  <c r="AD121" i="16" s="1"/>
  <c r="AI18" i="16"/>
  <c r="AH18" i="16" s="1"/>
  <c r="AG18" i="16" s="1"/>
  <c r="AF18" i="16" s="1"/>
  <c r="AD18" i="16" s="1"/>
  <c r="AI322" i="16"/>
  <c r="AH322" i="16" s="1"/>
  <c r="AG322" i="16" s="1"/>
  <c r="AF322" i="16" s="1"/>
  <c r="AD322" i="16" s="1"/>
  <c r="AI47" i="16"/>
  <c r="AH47" i="16" s="1"/>
  <c r="AG47" i="16" s="1"/>
  <c r="AF47" i="16" s="1"/>
  <c r="AD47" i="16" s="1"/>
  <c r="AI339" i="16"/>
  <c r="AH339" i="16" s="1"/>
  <c r="AG339" i="16" s="1"/>
  <c r="AF339" i="16" s="1"/>
  <c r="AD339" i="16" s="1"/>
  <c r="AI101" i="16"/>
  <c r="AH101" i="16" s="1"/>
  <c r="AG101" i="16" s="1"/>
  <c r="AF101" i="16" s="1"/>
  <c r="AD101" i="16" s="1"/>
  <c r="AA101" i="16" s="1"/>
  <c r="Z101" i="16" s="1"/>
  <c r="Y101" i="16" s="1"/>
  <c r="AI329" i="16"/>
  <c r="AH329" i="16" s="1"/>
  <c r="AG329" i="16" s="1"/>
  <c r="AF329" i="16" s="1"/>
  <c r="AD329" i="16" s="1"/>
  <c r="AI269" i="16"/>
  <c r="AH269" i="16" s="1"/>
  <c r="AG269" i="16" s="1"/>
  <c r="AF269" i="16" s="1"/>
  <c r="AD269" i="16" s="1"/>
  <c r="AI119" i="16"/>
  <c r="AH119" i="16" s="1"/>
  <c r="AG119" i="16" s="1"/>
  <c r="AF119" i="16" s="1"/>
  <c r="AD119" i="16" s="1"/>
  <c r="AI244" i="16"/>
  <c r="AH244" i="16" s="1"/>
  <c r="AG244" i="16" s="1"/>
  <c r="AF244" i="16" s="1"/>
  <c r="AD244" i="16" s="1"/>
  <c r="AI156" i="16"/>
  <c r="AH156" i="16" s="1"/>
  <c r="AG156" i="16" s="1"/>
  <c r="AF156" i="16" s="1"/>
  <c r="AD156" i="16" s="1"/>
  <c r="AI162" i="16"/>
  <c r="AH162" i="16" s="1"/>
  <c r="AG162" i="16" s="1"/>
  <c r="AF162" i="16" s="1"/>
  <c r="AD162" i="16" s="1"/>
  <c r="AI27" i="16"/>
  <c r="AH27" i="16" s="1"/>
  <c r="AG27" i="16" s="1"/>
  <c r="AF27" i="16" s="1"/>
  <c r="AD27" i="16" s="1"/>
  <c r="AI114" i="16"/>
  <c r="AH114" i="16" s="1"/>
  <c r="AG114" i="16" s="1"/>
  <c r="AF114" i="16" s="1"/>
  <c r="AD114" i="16" s="1"/>
  <c r="AI352" i="16"/>
  <c r="AH352" i="16" s="1"/>
  <c r="AG352" i="16" s="1"/>
  <c r="AF352" i="16" s="1"/>
  <c r="AD352" i="16" s="1"/>
  <c r="AI346" i="16"/>
  <c r="AH346" i="16" s="1"/>
  <c r="AG346" i="16" s="1"/>
  <c r="AF346" i="16" s="1"/>
  <c r="AD346" i="16" s="1"/>
  <c r="AI287" i="16"/>
  <c r="AH287" i="16" s="1"/>
  <c r="AG287" i="16" s="1"/>
  <c r="AF287" i="16" s="1"/>
  <c r="AD287" i="16" s="1"/>
  <c r="AI326" i="16"/>
  <c r="AH326" i="16" s="1"/>
  <c r="AG326" i="16" s="1"/>
  <c r="AF326" i="16" s="1"/>
  <c r="AD326" i="16" s="1"/>
  <c r="AI254" i="16"/>
  <c r="AH254" i="16" s="1"/>
  <c r="AG254" i="16" s="1"/>
  <c r="AF254" i="16" s="1"/>
  <c r="AD254" i="16" s="1"/>
  <c r="AI230" i="16"/>
  <c r="AH230" i="16" s="1"/>
  <c r="AG230" i="16" s="1"/>
  <c r="AF230" i="16" s="1"/>
  <c r="AD230" i="16" s="1"/>
  <c r="AI344" i="16"/>
  <c r="AH344" i="16" s="1"/>
  <c r="AG344" i="16" s="1"/>
  <c r="AF344" i="16" s="1"/>
  <c r="AD344" i="16" s="1"/>
  <c r="AA344" i="16" s="1"/>
  <c r="Z344" i="16" s="1"/>
  <c r="Y344" i="16" s="1"/>
  <c r="AI361" i="16"/>
  <c r="AH361" i="16" s="1"/>
  <c r="AG361" i="16" s="1"/>
  <c r="AF361" i="16" s="1"/>
  <c r="AD361" i="16" s="1"/>
  <c r="AI203" i="16"/>
  <c r="AH203" i="16" s="1"/>
  <c r="AG203" i="16" s="1"/>
  <c r="AF203" i="16" s="1"/>
  <c r="AD203" i="16" s="1"/>
  <c r="AI32" i="16"/>
  <c r="AH32" i="16" s="1"/>
  <c r="AG32" i="16" s="1"/>
  <c r="AF32" i="16" s="1"/>
  <c r="AD32" i="16" s="1"/>
  <c r="AI367" i="16"/>
  <c r="AH367" i="16" s="1"/>
  <c r="AG367" i="16" s="1"/>
  <c r="AF367" i="16" s="1"/>
  <c r="AD367" i="16" s="1"/>
  <c r="AI167" i="16"/>
  <c r="AH167" i="16" s="1"/>
  <c r="AG167" i="16" s="1"/>
  <c r="AF167" i="16" s="1"/>
  <c r="AD167" i="16" s="1"/>
  <c r="AI163" i="16"/>
  <c r="AH163" i="16" s="1"/>
  <c r="AG163" i="16" s="1"/>
  <c r="AF163" i="16" s="1"/>
  <c r="AD163" i="16" s="1"/>
  <c r="AI143" i="16"/>
  <c r="AH143" i="16" s="1"/>
  <c r="AG143" i="16" s="1"/>
  <c r="AF143" i="16" s="1"/>
  <c r="AD143" i="16" s="1"/>
  <c r="AI315" i="16"/>
  <c r="AH315" i="16" s="1"/>
  <c r="AG315" i="16" s="1"/>
  <c r="AF315" i="16" s="1"/>
  <c r="AD315" i="16" s="1"/>
  <c r="AA315" i="16" s="1"/>
  <c r="Z315" i="16" s="1"/>
  <c r="Y315" i="16" s="1"/>
  <c r="AI169" i="16"/>
  <c r="AH169" i="16" s="1"/>
  <c r="AG169" i="16" s="1"/>
  <c r="AF169" i="16" s="1"/>
  <c r="AD169" i="16" s="1"/>
  <c r="AA169" i="16" s="1"/>
  <c r="Z169" i="16" s="1"/>
  <c r="Y169" i="16" s="1"/>
  <c r="AI89" i="16"/>
  <c r="AH89" i="16" s="1"/>
  <c r="AG89" i="16" s="1"/>
  <c r="AF89" i="16" s="1"/>
  <c r="AD89" i="16" s="1"/>
  <c r="AI158" i="16"/>
  <c r="AH158" i="16" s="1"/>
  <c r="AG158" i="16" s="1"/>
  <c r="AF158" i="16" s="1"/>
  <c r="AD158" i="16" s="1"/>
  <c r="AI256" i="16"/>
  <c r="AH256" i="16" s="1"/>
  <c r="AG256" i="16" s="1"/>
  <c r="AF256" i="16" s="1"/>
  <c r="AD256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229" i="16"/>
  <c r="T229" i="16" s="1"/>
  <c r="S229" i="16" s="1"/>
  <c r="R229" i="16" s="1"/>
  <c r="P229" i="16" s="1"/>
  <c r="V229" i="16" s="1"/>
  <c r="F229" i="16" s="1"/>
  <c r="G229" i="16" s="1"/>
  <c r="BY229" i="6" s="1"/>
  <c r="U267" i="16"/>
  <c r="T267" i="16" s="1"/>
  <c r="S267" i="16" s="1"/>
  <c r="R267" i="16" s="1"/>
  <c r="P267" i="16" s="1"/>
  <c r="V267" i="16" s="1"/>
  <c r="F267" i="16" s="1"/>
  <c r="H267" i="16" s="1"/>
  <c r="U139" i="16"/>
  <c r="T139" i="16" s="1"/>
  <c r="S139" i="16" s="1"/>
  <c r="R139" i="16" s="1"/>
  <c r="P139" i="16" s="1"/>
  <c r="V139" i="16" s="1"/>
  <c r="F139" i="16" s="1"/>
  <c r="G139" i="16" s="1"/>
  <c r="BY139" i="6" s="1"/>
  <c r="U137" i="16"/>
  <c r="T137" i="16" s="1"/>
  <c r="S137" i="16" s="1"/>
  <c r="R137" i="16" s="1"/>
  <c r="P137" i="16" s="1"/>
  <c r="V137" i="16" s="1"/>
  <c r="F137" i="16" s="1"/>
  <c r="AA137" i="16" s="1"/>
  <c r="Z137" i="16" s="1"/>
  <c r="Y137" i="16" s="1"/>
  <c r="U161" i="16"/>
  <c r="T161" i="16" s="1"/>
  <c r="S161" i="16" s="1"/>
  <c r="R161" i="16" s="1"/>
  <c r="P161" i="16" s="1"/>
  <c r="V161" i="16" s="1"/>
  <c r="F161" i="16" s="1"/>
  <c r="G161" i="16" s="1"/>
  <c r="BY161" i="6" s="1"/>
  <c r="U226" i="16"/>
  <c r="T226" i="16" s="1"/>
  <c r="S226" i="16" s="1"/>
  <c r="R226" i="16" s="1"/>
  <c r="P226" i="16" s="1"/>
  <c r="V226" i="16" s="1"/>
  <c r="F226" i="16" s="1"/>
  <c r="H226" i="16" s="1"/>
  <c r="U280" i="16"/>
  <c r="T280" i="16" s="1"/>
  <c r="S280" i="16" s="1"/>
  <c r="R280" i="16" s="1"/>
  <c r="P280" i="16" s="1"/>
  <c r="V280" i="16" s="1"/>
  <c r="F280" i="16" s="1"/>
  <c r="H280" i="16" s="1"/>
  <c r="U353" i="16"/>
  <c r="T353" i="16" s="1"/>
  <c r="S353" i="16" s="1"/>
  <c r="R353" i="16" s="1"/>
  <c r="P353" i="16" s="1"/>
  <c r="V353" i="16" s="1"/>
  <c r="F353" i="16" s="1"/>
  <c r="AA353" i="16" s="1"/>
  <c r="Z353" i="16" s="1"/>
  <c r="Y353" i="16" s="1"/>
  <c r="U194" i="16"/>
  <c r="T194" i="16" s="1"/>
  <c r="S194" i="16" s="1"/>
  <c r="R194" i="16" s="1"/>
  <c r="P194" i="16" s="1"/>
  <c r="V194" i="16" s="1"/>
  <c r="F194" i="16" s="1"/>
  <c r="G194" i="16" s="1"/>
  <c r="BY194" i="6" s="1"/>
  <c r="U241" i="16"/>
  <c r="T241" i="16" s="1"/>
  <c r="S241" i="16" s="1"/>
  <c r="R241" i="16" s="1"/>
  <c r="P241" i="16" s="1"/>
  <c r="V241" i="16" s="1"/>
  <c r="F241" i="16" s="1"/>
  <c r="U141" i="16"/>
  <c r="T141" i="16" s="1"/>
  <c r="S141" i="16" s="1"/>
  <c r="R141" i="16" s="1"/>
  <c r="P141" i="16" s="1"/>
  <c r="V141" i="16" s="1"/>
  <c r="F141" i="16" s="1"/>
  <c r="I141" i="15"/>
  <c r="I98" i="15"/>
  <c r="I83" i="15"/>
  <c r="J379" i="15"/>
  <c r="J103" i="15"/>
  <c r="I103" i="15"/>
  <c r="Q16" i="7"/>
  <c r="U257" i="16"/>
  <c r="T257" i="16" s="1"/>
  <c r="S257" i="16" s="1"/>
  <c r="R257" i="16" s="1"/>
  <c r="P257" i="16" s="1"/>
  <c r="V257" i="16" s="1"/>
  <c r="F257" i="16" s="1"/>
  <c r="G257" i="16" s="1"/>
  <c r="BY257" i="6" s="1"/>
  <c r="U93" i="16"/>
  <c r="T93" i="16" s="1"/>
  <c r="S93" i="16" s="1"/>
  <c r="R93" i="16" s="1"/>
  <c r="P93" i="16" s="1"/>
  <c r="V93" i="16" s="1"/>
  <c r="F93" i="16" s="1"/>
  <c r="U79" i="16"/>
  <c r="T79" i="16" s="1"/>
  <c r="S79" i="16" s="1"/>
  <c r="R79" i="16" s="1"/>
  <c r="P79" i="16" s="1"/>
  <c r="V79" i="16" s="1"/>
  <c r="F79" i="16" s="1"/>
  <c r="G79" i="16" s="1"/>
  <c r="BY79" i="6" s="1"/>
  <c r="U354" i="16"/>
  <c r="T354" i="16" s="1"/>
  <c r="S354" i="16" s="1"/>
  <c r="R354" i="16" s="1"/>
  <c r="P354" i="16" s="1"/>
  <c r="V354" i="16" s="1"/>
  <c r="F354" i="16" s="1"/>
  <c r="G354" i="16" s="1"/>
  <c r="BY354" i="6" s="1"/>
  <c r="U300" i="16"/>
  <c r="T300" i="16" s="1"/>
  <c r="S300" i="16" s="1"/>
  <c r="R300" i="16" s="1"/>
  <c r="P300" i="16" s="1"/>
  <c r="V300" i="16" s="1"/>
  <c r="F300" i="16" s="1"/>
  <c r="H300" i="16" s="1"/>
  <c r="U320" i="16"/>
  <c r="T320" i="16" s="1"/>
  <c r="S320" i="16" s="1"/>
  <c r="R320" i="16" s="1"/>
  <c r="P320" i="16" s="1"/>
  <c r="V320" i="16" s="1"/>
  <c r="U255" i="16"/>
  <c r="T255" i="16" s="1"/>
  <c r="S255" i="16" s="1"/>
  <c r="R255" i="16" s="1"/>
  <c r="P255" i="16" s="1"/>
  <c r="V255" i="16" s="1"/>
  <c r="F255" i="16" s="1"/>
  <c r="G255" i="16" s="1"/>
  <c r="BY255" i="6" s="1"/>
  <c r="U358" i="16"/>
  <c r="T358" i="16" s="1"/>
  <c r="S358" i="16" s="1"/>
  <c r="R358" i="16" s="1"/>
  <c r="P358" i="16" s="1"/>
  <c r="V358" i="16" s="1"/>
  <c r="F358" i="16" s="1"/>
  <c r="H358" i="16" s="1"/>
  <c r="U105" i="16"/>
  <c r="T105" i="16" s="1"/>
  <c r="S105" i="16" s="1"/>
  <c r="R105" i="16" s="1"/>
  <c r="P105" i="16" s="1"/>
  <c r="V105" i="16" s="1"/>
  <c r="F105" i="16" s="1"/>
  <c r="G105" i="16" s="1"/>
  <c r="BY105" i="6" s="1"/>
  <c r="U151" i="16"/>
  <c r="T151" i="16" s="1"/>
  <c r="S151" i="16" s="1"/>
  <c r="R151" i="16" s="1"/>
  <c r="P151" i="16" s="1"/>
  <c r="V151" i="16" s="1"/>
  <c r="F151" i="16" s="1"/>
  <c r="G151" i="16" s="1"/>
  <c r="BY151" i="6" s="1"/>
  <c r="U261" i="16"/>
  <c r="T261" i="16" s="1"/>
  <c r="S261" i="16" s="1"/>
  <c r="R261" i="16" s="1"/>
  <c r="P261" i="16" s="1"/>
  <c r="V261" i="16" s="1"/>
  <c r="F261" i="16" s="1"/>
  <c r="H261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152" i="16"/>
  <c r="T152" i="16" s="1"/>
  <c r="S152" i="16" s="1"/>
  <c r="R152" i="16" s="1"/>
  <c r="P152" i="16" s="1"/>
  <c r="V152" i="16" s="1"/>
  <c r="F152" i="16" s="1"/>
  <c r="G152" i="16" s="1"/>
  <c r="BY152" i="6" s="1"/>
  <c r="U158" i="16"/>
  <c r="T158" i="16" s="1"/>
  <c r="S158" i="16" s="1"/>
  <c r="R158" i="16" s="1"/>
  <c r="P158" i="16" s="1"/>
  <c r="V158" i="16" s="1"/>
  <c r="F158" i="16" s="1"/>
  <c r="AA158" i="16" s="1"/>
  <c r="Z158" i="16" s="1"/>
  <c r="Y158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360" i="16"/>
  <c r="T360" i="16" s="1"/>
  <c r="S360" i="16" s="1"/>
  <c r="R360" i="16" s="1"/>
  <c r="P360" i="16" s="1"/>
  <c r="V360" i="16" s="1"/>
  <c r="F360" i="16" s="1"/>
  <c r="G360" i="16" s="1"/>
  <c r="BY360" i="6" s="1"/>
  <c r="U350" i="16"/>
  <c r="T350" i="16" s="1"/>
  <c r="S350" i="16" s="1"/>
  <c r="R350" i="16" s="1"/>
  <c r="P350" i="16" s="1"/>
  <c r="V350" i="16" s="1"/>
  <c r="U331" i="16"/>
  <c r="T331" i="16" s="1"/>
  <c r="S331" i="16" s="1"/>
  <c r="R331" i="16" s="1"/>
  <c r="P331" i="16" s="1"/>
  <c r="V331" i="16" s="1"/>
  <c r="F331" i="16" s="1"/>
  <c r="G331" i="16" s="1"/>
  <c r="BY331" i="6" s="1"/>
  <c r="U59" i="16"/>
  <c r="T59" i="16" s="1"/>
  <c r="S59" i="16" s="1"/>
  <c r="R59" i="16" s="1"/>
  <c r="P59" i="16" s="1"/>
  <c r="V59" i="16" s="1"/>
  <c r="F59" i="16" s="1"/>
  <c r="G59" i="16" s="1"/>
  <c r="BY59" i="6" s="1"/>
  <c r="U159" i="16"/>
  <c r="T159" i="16" s="1"/>
  <c r="S159" i="16" s="1"/>
  <c r="R159" i="16" s="1"/>
  <c r="P159" i="16" s="1"/>
  <c r="V159" i="16" s="1"/>
  <c r="F159" i="16" s="1"/>
  <c r="AA159" i="16" s="1"/>
  <c r="Z159" i="16" s="1"/>
  <c r="Y159" i="16" s="1"/>
  <c r="U164" i="16"/>
  <c r="T164" i="16" s="1"/>
  <c r="S164" i="16" s="1"/>
  <c r="R164" i="16" s="1"/>
  <c r="P164" i="16" s="1"/>
  <c r="V164" i="16" s="1"/>
  <c r="F164" i="16" s="1"/>
  <c r="G164" i="16" s="1"/>
  <c r="BY164" i="6" s="1"/>
  <c r="U89" i="16"/>
  <c r="T89" i="16" s="1"/>
  <c r="S89" i="16" s="1"/>
  <c r="R89" i="16" s="1"/>
  <c r="P89" i="16" s="1"/>
  <c r="V89" i="16" s="1"/>
  <c r="F89" i="16" s="1"/>
  <c r="G89" i="16" s="1"/>
  <c r="BY89" i="6" s="1"/>
  <c r="U18" i="16"/>
  <c r="T18" i="16" s="1"/>
  <c r="S18" i="16" s="1"/>
  <c r="R18" i="16" s="1"/>
  <c r="P18" i="16" s="1"/>
  <c r="V18" i="16" s="1"/>
  <c r="F18" i="16" s="1"/>
  <c r="U339" i="16"/>
  <c r="T339" i="16" s="1"/>
  <c r="S339" i="16" s="1"/>
  <c r="R339" i="16" s="1"/>
  <c r="P339" i="16" s="1"/>
  <c r="V339" i="16" s="1"/>
  <c r="F339" i="16" s="1"/>
  <c r="G339" i="16" s="1"/>
  <c r="BY339" i="6" s="1"/>
  <c r="U166" i="16"/>
  <c r="T166" i="16" s="1"/>
  <c r="S166" i="16" s="1"/>
  <c r="R166" i="16" s="1"/>
  <c r="P166" i="16" s="1"/>
  <c r="V166" i="16" s="1"/>
  <c r="F166" i="16" s="1"/>
  <c r="G166" i="16" s="1"/>
  <c r="BY166" i="6" s="1"/>
  <c r="U66" i="16"/>
  <c r="T66" i="16" s="1"/>
  <c r="S66" i="16" s="1"/>
  <c r="R66" i="16" s="1"/>
  <c r="P66" i="16" s="1"/>
  <c r="V66" i="16" s="1"/>
  <c r="F66" i="16" s="1"/>
  <c r="G66" i="16" s="1"/>
  <c r="BY66" i="6" s="1"/>
  <c r="U23" i="16"/>
  <c r="T23" i="16" s="1"/>
  <c r="S23" i="16" s="1"/>
  <c r="R23" i="16" s="1"/>
  <c r="P23" i="16" s="1"/>
  <c r="V23" i="16" s="1"/>
  <c r="F23" i="16" s="1"/>
  <c r="G23" i="16" s="1"/>
  <c r="BY23" i="6" s="1"/>
  <c r="U24" i="16"/>
  <c r="T24" i="16" s="1"/>
  <c r="S24" i="16" s="1"/>
  <c r="R24" i="16" s="1"/>
  <c r="P24" i="16" s="1"/>
  <c r="V24" i="16" s="1"/>
  <c r="F24" i="16" s="1"/>
  <c r="G24" i="16" s="1"/>
  <c r="BY24" i="6" s="1"/>
  <c r="U180" i="16"/>
  <c r="T180" i="16" s="1"/>
  <c r="S180" i="16" s="1"/>
  <c r="R180" i="16" s="1"/>
  <c r="P180" i="16" s="1"/>
  <c r="V180" i="16" s="1"/>
  <c r="U34" i="16"/>
  <c r="T34" i="16" s="1"/>
  <c r="S34" i="16" s="1"/>
  <c r="R34" i="16" s="1"/>
  <c r="P34" i="16" s="1"/>
  <c r="V34" i="16" s="1"/>
  <c r="F34" i="16" s="1"/>
  <c r="G34" i="16" s="1"/>
  <c r="BY34" i="6" s="1"/>
  <c r="U108" i="16"/>
  <c r="T108" i="16" s="1"/>
  <c r="S108" i="16" s="1"/>
  <c r="R108" i="16" s="1"/>
  <c r="P108" i="16" s="1"/>
  <c r="V108" i="16" s="1"/>
  <c r="F108" i="16" s="1"/>
  <c r="H108" i="16" s="1"/>
  <c r="U171" i="16"/>
  <c r="T171" i="16" s="1"/>
  <c r="S171" i="16" s="1"/>
  <c r="R171" i="16" s="1"/>
  <c r="P171" i="16" s="1"/>
  <c r="V171" i="16" s="1"/>
  <c r="F171" i="16" s="1"/>
  <c r="H171" i="16" s="1"/>
  <c r="U184" i="16"/>
  <c r="T184" i="16" s="1"/>
  <c r="S184" i="16" s="1"/>
  <c r="R184" i="16" s="1"/>
  <c r="P184" i="16" s="1"/>
  <c r="V184" i="16" s="1"/>
  <c r="F184" i="16" s="1"/>
  <c r="G184" i="16" s="1"/>
  <c r="BY184" i="6" s="1"/>
  <c r="U371" i="16"/>
  <c r="T371" i="16" s="1"/>
  <c r="S371" i="16" s="1"/>
  <c r="R371" i="16" s="1"/>
  <c r="P371" i="16" s="1"/>
  <c r="V371" i="16" s="1"/>
  <c r="F371" i="16" s="1"/>
  <c r="G371" i="16" s="1"/>
  <c r="BY371" i="6" s="1"/>
  <c r="U126" i="16"/>
  <c r="T126" i="16" s="1"/>
  <c r="S126" i="16" s="1"/>
  <c r="R126" i="16" s="1"/>
  <c r="P126" i="16" s="1"/>
  <c r="V126" i="16" s="1"/>
  <c r="F126" i="16" s="1"/>
  <c r="H126" i="16" s="1"/>
  <c r="U135" i="16"/>
  <c r="T135" i="16" s="1"/>
  <c r="S135" i="16" s="1"/>
  <c r="R135" i="16" s="1"/>
  <c r="P135" i="16" s="1"/>
  <c r="V135" i="16" s="1"/>
  <c r="F135" i="16" s="1"/>
  <c r="G135" i="16" s="1"/>
  <c r="BY135" i="6" s="1"/>
  <c r="U123" i="16"/>
  <c r="T123" i="16" s="1"/>
  <c r="S123" i="16" s="1"/>
  <c r="R123" i="16" s="1"/>
  <c r="P123" i="16" s="1"/>
  <c r="V123" i="16" s="1"/>
  <c r="F123" i="16" s="1"/>
  <c r="G123" i="16" s="1"/>
  <c r="BY123" i="6" s="1"/>
  <c r="U88" i="16"/>
  <c r="T88" i="16" s="1"/>
  <c r="S88" i="16" s="1"/>
  <c r="R88" i="16" s="1"/>
  <c r="P88" i="16" s="1"/>
  <c r="V88" i="16" s="1"/>
  <c r="U214" i="16"/>
  <c r="T214" i="16" s="1"/>
  <c r="S214" i="16" s="1"/>
  <c r="R214" i="16" s="1"/>
  <c r="P214" i="16" s="1"/>
  <c r="V214" i="16" s="1"/>
  <c r="F214" i="16" s="1"/>
  <c r="H214" i="16" s="1"/>
  <c r="I214" i="16" s="1"/>
  <c r="U156" i="16"/>
  <c r="T156" i="16" s="1"/>
  <c r="S156" i="16" s="1"/>
  <c r="R156" i="16" s="1"/>
  <c r="P156" i="16" s="1"/>
  <c r="V156" i="16" s="1"/>
  <c r="F156" i="16" s="1"/>
  <c r="U204" i="16"/>
  <c r="T204" i="16" s="1"/>
  <c r="S204" i="16" s="1"/>
  <c r="R204" i="16" s="1"/>
  <c r="P204" i="16" s="1"/>
  <c r="V204" i="16" s="1"/>
  <c r="F204" i="16" s="1"/>
  <c r="H204" i="16" s="1"/>
  <c r="I204" i="16" s="1"/>
  <c r="U327" i="16"/>
  <c r="T327" i="16" s="1"/>
  <c r="S327" i="16" s="1"/>
  <c r="R327" i="16" s="1"/>
  <c r="P327" i="16" s="1"/>
  <c r="V327" i="16" s="1"/>
  <c r="F327" i="16" s="1"/>
  <c r="G327" i="16" s="1"/>
  <c r="BY327" i="6" s="1"/>
  <c r="U115" i="16"/>
  <c r="T115" i="16" s="1"/>
  <c r="S115" i="16" s="1"/>
  <c r="R115" i="16" s="1"/>
  <c r="P115" i="16" s="1"/>
  <c r="V115" i="16" s="1"/>
  <c r="F115" i="16" s="1"/>
  <c r="G115" i="16" s="1"/>
  <c r="BY115" i="6" s="1"/>
  <c r="U297" i="16"/>
  <c r="T297" i="16" s="1"/>
  <c r="S297" i="16" s="1"/>
  <c r="R297" i="16" s="1"/>
  <c r="P297" i="16" s="1"/>
  <c r="V297" i="16" s="1"/>
  <c r="F297" i="16" s="1"/>
  <c r="G297" i="16" s="1"/>
  <c r="BY297" i="6" s="1"/>
  <c r="U333" i="16"/>
  <c r="T333" i="16" s="1"/>
  <c r="S333" i="16" s="1"/>
  <c r="R333" i="16" s="1"/>
  <c r="P333" i="16" s="1"/>
  <c r="D54" i="7" s="1"/>
  <c r="U284" i="16"/>
  <c r="T284" i="16" s="1"/>
  <c r="S284" i="16" s="1"/>
  <c r="R284" i="16" s="1"/>
  <c r="P284" i="16" s="1"/>
  <c r="V284" i="16" s="1"/>
  <c r="F284" i="16" s="1"/>
  <c r="G284" i="16" s="1"/>
  <c r="BY284" i="6" s="1"/>
  <c r="U256" i="16"/>
  <c r="T256" i="16" s="1"/>
  <c r="S256" i="16" s="1"/>
  <c r="R256" i="16" s="1"/>
  <c r="P256" i="16" s="1"/>
  <c r="V256" i="16" s="1"/>
  <c r="F256" i="16" s="1"/>
  <c r="G256" i="16" s="1"/>
  <c r="BY256" i="6" s="1"/>
  <c r="U98" i="16"/>
  <c r="T98" i="16" s="1"/>
  <c r="S98" i="16" s="1"/>
  <c r="R98" i="16" s="1"/>
  <c r="P98" i="16" s="1"/>
  <c r="V98" i="16" s="1"/>
  <c r="F98" i="16" s="1"/>
  <c r="G98" i="16" s="1"/>
  <c r="BY98" i="6" s="1"/>
  <c r="U323" i="16"/>
  <c r="T323" i="16" s="1"/>
  <c r="S323" i="16" s="1"/>
  <c r="R323" i="16" s="1"/>
  <c r="P323" i="16" s="1"/>
  <c r="V323" i="16" s="1"/>
  <c r="F323" i="16" s="1"/>
  <c r="H323" i="16" s="1"/>
  <c r="I323" i="16" s="1"/>
  <c r="U282" i="16"/>
  <c r="T282" i="16" s="1"/>
  <c r="S282" i="16" s="1"/>
  <c r="R282" i="16" s="1"/>
  <c r="P282" i="16" s="1"/>
  <c r="V282" i="16" s="1"/>
  <c r="F282" i="16" s="1"/>
  <c r="G282" i="16" s="1"/>
  <c r="BY282" i="6" s="1"/>
  <c r="U202" i="16"/>
  <c r="T202" i="16" s="1"/>
  <c r="S202" i="16" s="1"/>
  <c r="R202" i="16" s="1"/>
  <c r="P202" i="16" s="1"/>
  <c r="V202" i="16" s="1"/>
  <c r="F202" i="16" s="1"/>
  <c r="G202" i="16" s="1"/>
  <c r="BY202" i="6" s="1"/>
  <c r="U72" i="16"/>
  <c r="T72" i="16" s="1"/>
  <c r="S72" i="16" s="1"/>
  <c r="R72" i="16" s="1"/>
  <c r="P72" i="16" s="1"/>
  <c r="V72" i="16" s="1"/>
  <c r="F72" i="16" s="1"/>
  <c r="H72" i="16" s="1"/>
  <c r="U309" i="16"/>
  <c r="T309" i="16" s="1"/>
  <c r="S309" i="16" s="1"/>
  <c r="R309" i="16" s="1"/>
  <c r="P309" i="16" s="1"/>
  <c r="V309" i="16" s="1"/>
  <c r="F309" i="16" s="1"/>
  <c r="G309" i="16" s="1"/>
  <c r="BY309" i="6" s="1"/>
  <c r="U149" i="16"/>
  <c r="T149" i="16" s="1"/>
  <c r="S149" i="16" s="1"/>
  <c r="R149" i="16" s="1"/>
  <c r="P149" i="16" s="1"/>
  <c r="V149" i="16" s="1"/>
  <c r="F149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60" i="16"/>
  <c r="T60" i="16" s="1"/>
  <c r="S60" i="16" s="1"/>
  <c r="R60" i="16" s="1"/>
  <c r="P60" i="16" s="1"/>
  <c r="V60" i="16" s="1"/>
  <c r="U335" i="16"/>
  <c r="T335" i="16" s="1"/>
  <c r="S335" i="16" s="1"/>
  <c r="R335" i="16" s="1"/>
  <c r="P335" i="16" s="1"/>
  <c r="V335" i="16" s="1"/>
  <c r="F335" i="16" s="1"/>
  <c r="G335" i="16" s="1"/>
  <c r="BY335" i="6" s="1"/>
  <c r="U183" i="16"/>
  <c r="T183" i="16" s="1"/>
  <c r="S183" i="16" s="1"/>
  <c r="R183" i="16" s="1"/>
  <c r="P183" i="16" s="1"/>
  <c r="V183" i="16" s="1"/>
  <c r="F183" i="16" s="1"/>
  <c r="G183" i="16" s="1"/>
  <c r="BY183" i="6" s="1"/>
  <c r="U307" i="16"/>
  <c r="T307" i="16" s="1"/>
  <c r="S307" i="16" s="1"/>
  <c r="R307" i="16" s="1"/>
  <c r="P307" i="16" s="1"/>
  <c r="V307" i="16" s="1"/>
  <c r="F307" i="16" s="1"/>
  <c r="G307" i="16" s="1"/>
  <c r="BY307" i="6" s="1"/>
  <c r="U376" i="16"/>
  <c r="T376" i="16" s="1"/>
  <c r="S376" i="16" s="1"/>
  <c r="R376" i="16" s="1"/>
  <c r="P376" i="16" s="1"/>
  <c r="V376" i="16" s="1"/>
  <c r="F376" i="16" s="1"/>
  <c r="H376" i="16" s="1"/>
  <c r="J376" i="16" s="1"/>
  <c r="U49" i="16"/>
  <c r="T49" i="16" s="1"/>
  <c r="S49" i="16" s="1"/>
  <c r="R49" i="16" s="1"/>
  <c r="P49" i="16" s="1"/>
  <c r="V49" i="16" s="1"/>
  <c r="F49" i="16" s="1"/>
  <c r="G49" i="16" s="1"/>
  <c r="BY49" i="6" s="1"/>
  <c r="U129" i="16"/>
  <c r="T129" i="16" s="1"/>
  <c r="S129" i="16" s="1"/>
  <c r="R129" i="16" s="1"/>
  <c r="P129" i="16" s="1"/>
  <c r="V129" i="16" s="1"/>
  <c r="F129" i="16" s="1"/>
  <c r="H129" i="16" s="1"/>
  <c r="U37" i="16"/>
  <c r="T37" i="16" s="1"/>
  <c r="S37" i="16" s="1"/>
  <c r="R37" i="16" s="1"/>
  <c r="P37" i="16" s="1"/>
  <c r="V37" i="16" s="1"/>
  <c r="F37" i="16" s="1"/>
  <c r="G37" i="16" s="1"/>
  <c r="BY37" i="6" s="1"/>
  <c r="U81" i="16"/>
  <c r="T81" i="16" s="1"/>
  <c r="S81" i="16" s="1"/>
  <c r="R81" i="16" s="1"/>
  <c r="P81" i="16" s="1"/>
  <c r="V81" i="16" s="1"/>
  <c r="F81" i="16" s="1"/>
  <c r="G81" i="16" s="1"/>
  <c r="BY81" i="6" s="1"/>
  <c r="U240" i="16"/>
  <c r="T240" i="16" s="1"/>
  <c r="S240" i="16" s="1"/>
  <c r="R240" i="16" s="1"/>
  <c r="P240" i="16" s="1"/>
  <c r="V240" i="16" s="1"/>
  <c r="F240" i="16" s="1"/>
  <c r="H240" i="16" s="1"/>
  <c r="U306" i="16"/>
  <c r="T306" i="16" s="1"/>
  <c r="S306" i="16" s="1"/>
  <c r="R306" i="16" s="1"/>
  <c r="P306" i="16" s="1"/>
  <c r="V306" i="16" s="1"/>
  <c r="F306" i="16" s="1"/>
  <c r="G306" i="16" s="1"/>
  <c r="BY306" i="6" s="1"/>
  <c r="U189" i="16"/>
  <c r="T189" i="16" s="1"/>
  <c r="S189" i="16" s="1"/>
  <c r="R189" i="16" s="1"/>
  <c r="P189" i="16" s="1"/>
  <c r="V189" i="16" s="1"/>
  <c r="F189" i="16" s="1"/>
  <c r="G189" i="16" s="1"/>
  <c r="BY189" i="6" s="1"/>
  <c r="U50" i="16"/>
  <c r="T50" i="16" s="1"/>
  <c r="S50" i="16" s="1"/>
  <c r="R50" i="16" s="1"/>
  <c r="P50" i="16" s="1"/>
  <c r="V50" i="16" s="1"/>
  <c r="F50" i="16" s="1"/>
  <c r="H50" i="16" s="1"/>
  <c r="J50" i="16" s="1"/>
  <c r="U272" i="16"/>
  <c r="T272" i="16" s="1"/>
  <c r="S272" i="16" s="1"/>
  <c r="R272" i="16" s="1"/>
  <c r="P272" i="16" s="1"/>
  <c r="D52" i="7" s="1"/>
  <c r="U110" i="16"/>
  <c r="T110" i="16" s="1"/>
  <c r="S110" i="16" s="1"/>
  <c r="R110" i="16" s="1"/>
  <c r="P110" i="16" s="1"/>
  <c r="V110" i="16" s="1"/>
  <c r="F110" i="16" s="1"/>
  <c r="H110" i="16" s="1"/>
  <c r="U35" i="16"/>
  <c r="T35" i="16" s="1"/>
  <c r="S35" i="16" s="1"/>
  <c r="R35" i="16" s="1"/>
  <c r="P35" i="16" s="1"/>
  <c r="V35" i="16" s="1"/>
  <c r="F35" i="16" s="1"/>
  <c r="G35" i="16" s="1"/>
  <c r="BY35" i="6" s="1"/>
  <c r="U51" i="16"/>
  <c r="T51" i="16" s="1"/>
  <c r="S51" i="16" s="1"/>
  <c r="R51" i="16" s="1"/>
  <c r="P51" i="16" s="1"/>
  <c r="V51" i="16" s="1"/>
  <c r="F51" i="16" s="1"/>
  <c r="H51" i="16" s="1"/>
  <c r="J51" i="16" s="1"/>
  <c r="U82" i="16"/>
  <c r="T82" i="16" s="1"/>
  <c r="S82" i="16" s="1"/>
  <c r="R82" i="16" s="1"/>
  <c r="P82" i="16" s="1"/>
  <c r="V82" i="16" s="1"/>
  <c r="F82" i="16" s="1"/>
  <c r="G82" i="16" s="1"/>
  <c r="BY82" i="6" s="1"/>
  <c r="U85" i="16"/>
  <c r="T85" i="16" s="1"/>
  <c r="S85" i="16" s="1"/>
  <c r="R85" i="16" s="1"/>
  <c r="P85" i="16" s="1"/>
  <c r="V85" i="16" s="1"/>
  <c r="F85" i="16" s="1"/>
  <c r="H85" i="16" s="1"/>
  <c r="I85" i="16" s="1"/>
  <c r="U27" i="16"/>
  <c r="T27" i="16" s="1"/>
  <c r="S27" i="16" s="1"/>
  <c r="R27" i="16" s="1"/>
  <c r="P27" i="16" s="1"/>
  <c r="V27" i="16" s="1"/>
  <c r="F27" i="16" s="1"/>
  <c r="G27" i="16" s="1"/>
  <c r="BY27" i="6" s="1"/>
  <c r="U167" i="16"/>
  <c r="T167" i="16" s="1"/>
  <c r="S167" i="16" s="1"/>
  <c r="R167" i="16" s="1"/>
  <c r="P167" i="16" s="1"/>
  <c r="V167" i="16" s="1"/>
  <c r="U153" i="16"/>
  <c r="T153" i="16" s="1"/>
  <c r="S153" i="16" s="1"/>
  <c r="R153" i="16" s="1"/>
  <c r="P153" i="16" s="1"/>
  <c r="V153" i="16" s="1"/>
  <c r="F153" i="16" s="1"/>
  <c r="H153" i="16" s="1"/>
  <c r="I153" i="16" s="1"/>
  <c r="U304" i="16"/>
  <c r="T304" i="16" s="1"/>
  <c r="S304" i="16" s="1"/>
  <c r="R304" i="16" s="1"/>
  <c r="P304" i="16" s="1"/>
  <c r="V304" i="16" s="1"/>
  <c r="F304" i="16" s="1"/>
  <c r="H304" i="16" s="1"/>
  <c r="I304" i="16" s="1"/>
  <c r="U33" i="16"/>
  <c r="T33" i="16" s="1"/>
  <c r="S33" i="16" s="1"/>
  <c r="R33" i="16" s="1"/>
  <c r="P33" i="16" s="1"/>
  <c r="V33" i="16" s="1"/>
  <c r="F33" i="16" s="1"/>
  <c r="H33" i="16" s="1"/>
  <c r="J33" i="16" s="1"/>
  <c r="U173" i="16"/>
  <c r="T173" i="16" s="1"/>
  <c r="S173" i="16" s="1"/>
  <c r="R173" i="16" s="1"/>
  <c r="P173" i="16" s="1"/>
  <c r="V173" i="16" s="1"/>
  <c r="F173" i="16" s="1"/>
  <c r="AA173" i="16" s="1"/>
  <c r="Z173" i="16" s="1"/>
  <c r="Y173" i="16" s="1"/>
  <c r="U65" i="16"/>
  <c r="T65" i="16" s="1"/>
  <c r="S65" i="16" s="1"/>
  <c r="R65" i="16" s="1"/>
  <c r="P65" i="16" s="1"/>
  <c r="V65" i="16" s="1"/>
  <c r="F65" i="16" s="1"/>
  <c r="H65" i="16" s="1"/>
  <c r="U53" i="16"/>
  <c r="T53" i="16" s="1"/>
  <c r="S53" i="16" s="1"/>
  <c r="R53" i="16" s="1"/>
  <c r="P53" i="16" s="1"/>
  <c r="V53" i="16" s="1"/>
  <c r="F53" i="16" s="1"/>
  <c r="G53" i="16" s="1"/>
  <c r="BY53" i="6" s="1"/>
  <c r="U61" i="16"/>
  <c r="T61" i="16" s="1"/>
  <c r="S61" i="16" s="1"/>
  <c r="R61" i="16" s="1"/>
  <c r="P61" i="16" s="1"/>
  <c r="V61" i="16" s="1"/>
  <c r="F61" i="16" s="1"/>
  <c r="AA61" i="16" s="1"/>
  <c r="Z61" i="16" s="1"/>
  <c r="Y61" i="16" s="1"/>
  <c r="U215" i="16"/>
  <c r="T215" i="16" s="1"/>
  <c r="S215" i="16" s="1"/>
  <c r="R215" i="16" s="1"/>
  <c r="P215" i="16" s="1"/>
  <c r="V215" i="16" s="1"/>
  <c r="F215" i="16" s="1"/>
  <c r="U136" i="16"/>
  <c r="T136" i="16" s="1"/>
  <c r="S136" i="16" s="1"/>
  <c r="R136" i="16" s="1"/>
  <c r="P136" i="16" s="1"/>
  <c r="V136" i="16" s="1"/>
  <c r="U277" i="16"/>
  <c r="T277" i="16" s="1"/>
  <c r="S277" i="16" s="1"/>
  <c r="R277" i="16" s="1"/>
  <c r="P277" i="16" s="1"/>
  <c r="V277" i="16" s="1"/>
  <c r="F277" i="16" s="1"/>
  <c r="U318" i="16"/>
  <c r="T318" i="16" s="1"/>
  <c r="S318" i="16" s="1"/>
  <c r="R318" i="16" s="1"/>
  <c r="P318" i="16" s="1"/>
  <c r="V318" i="16" s="1"/>
  <c r="F318" i="16" s="1"/>
  <c r="U117" i="16"/>
  <c r="T117" i="16" s="1"/>
  <c r="S117" i="16" s="1"/>
  <c r="R117" i="16" s="1"/>
  <c r="P117" i="16" s="1"/>
  <c r="V117" i="16" s="1"/>
  <c r="F117" i="16" s="1"/>
  <c r="G117" i="16" s="1"/>
  <c r="BY117" i="6" s="1"/>
  <c r="U312" i="16"/>
  <c r="T312" i="16" s="1"/>
  <c r="S312" i="16" s="1"/>
  <c r="R312" i="16" s="1"/>
  <c r="P312" i="16" s="1"/>
  <c r="V312" i="16" s="1"/>
  <c r="F312" i="16" s="1"/>
  <c r="AA312" i="16" s="1"/>
  <c r="Z312" i="16" s="1"/>
  <c r="Y312" i="16" s="1"/>
  <c r="U138" i="16"/>
  <c r="T138" i="16" s="1"/>
  <c r="S138" i="16" s="1"/>
  <c r="R138" i="16" s="1"/>
  <c r="P138" i="16" s="1"/>
  <c r="V138" i="16" s="1"/>
  <c r="F138" i="16" s="1"/>
  <c r="G138" i="16" s="1"/>
  <c r="BY138" i="6" s="1"/>
  <c r="U330" i="16"/>
  <c r="T330" i="16" s="1"/>
  <c r="S330" i="16" s="1"/>
  <c r="R330" i="16" s="1"/>
  <c r="P330" i="16" s="1"/>
  <c r="V330" i="16" s="1"/>
  <c r="F330" i="16" s="1"/>
  <c r="U190" i="16"/>
  <c r="T190" i="16" s="1"/>
  <c r="S190" i="16" s="1"/>
  <c r="R190" i="16" s="1"/>
  <c r="P190" i="16" s="1"/>
  <c r="V190" i="16" s="1"/>
  <c r="F190" i="16" s="1"/>
  <c r="G190" i="16" s="1"/>
  <c r="BY190" i="6" s="1"/>
  <c r="U218" i="16"/>
  <c r="T218" i="16" s="1"/>
  <c r="S218" i="16" s="1"/>
  <c r="R218" i="16" s="1"/>
  <c r="P218" i="16" s="1"/>
  <c r="V218" i="16" s="1"/>
  <c r="F218" i="16" s="1"/>
  <c r="G218" i="16" s="1"/>
  <c r="BY218" i="6" s="1"/>
  <c r="U95" i="16"/>
  <c r="T95" i="16" s="1"/>
  <c r="S95" i="16" s="1"/>
  <c r="R95" i="16" s="1"/>
  <c r="P95" i="16" s="1"/>
  <c r="V95" i="16" s="1"/>
  <c r="F95" i="16" s="1"/>
  <c r="G95" i="16" s="1"/>
  <c r="BY95" i="6" s="1"/>
  <c r="U357" i="16"/>
  <c r="T357" i="16" s="1"/>
  <c r="S357" i="16" s="1"/>
  <c r="R357" i="16" s="1"/>
  <c r="P357" i="16" s="1"/>
  <c r="V357" i="16" s="1"/>
  <c r="F357" i="16" s="1"/>
  <c r="G357" i="16" s="1"/>
  <c r="BY357" i="6" s="1"/>
  <c r="U64" i="16"/>
  <c r="T64" i="16" s="1"/>
  <c r="S64" i="16" s="1"/>
  <c r="R64" i="16" s="1"/>
  <c r="P64" i="16" s="1"/>
  <c r="V64" i="16" s="1"/>
  <c r="F64" i="16" s="1"/>
  <c r="G64" i="16" s="1"/>
  <c r="BY64" i="6" s="1"/>
  <c r="U254" i="16"/>
  <c r="T254" i="16" s="1"/>
  <c r="S254" i="16" s="1"/>
  <c r="R254" i="16" s="1"/>
  <c r="P254" i="16" s="1"/>
  <c r="V254" i="16" s="1"/>
  <c r="F254" i="16" s="1"/>
  <c r="G254" i="16" s="1"/>
  <c r="BY254" i="6" s="1"/>
  <c r="U76" i="16"/>
  <c r="T76" i="16" s="1"/>
  <c r="S76" i="16" s="1"/>
  <c r="R76" i="16" s="1"/>
  <c r="P76" i="16" s="1"/>
  <c r="V76" i="16" s="1"/>
  <c r="F76" i="16" s="1"/>
  <c r="G76" i="16" s="1"/>
  <c r="BY76" i="6" s="1"/>
  <c r="U199" i="16"/>
  <c r="T199" i="16" s="1"/>
  <c r="S199" i="16" s="1"/>
  <c r="R199" i="16" s="1"/>
  <c r="P199" i="16" s="1"/>
  <c r="V199" i="16" s="1"/>
  <c r="F199" i="16" s="1"/>
  <c r="H199" i="16" s="1"/>
  <c r="U203" i="16"/>
  <c r="T203" i="16" s="1"/>
  <c r="S203" i="16" s="1"/>
  <c r="R203" i="16" s="1"/>
  <c r="P203" i="16" s="1"/>
  <c r="V203" i="16" s="1"/>
  <c r="F203" i="16" s="1"/>
  <c r="G203" i="16" s="1"/>
  <c r="BY203" i="6" s="1"/>
  <c r="U148" i="16"/>
  <c r="T148" i="16" s="1"/>
  <c r="S148" i="16" s="1"/>
  <c r="R148" i="16" s="1"/>
  <c r="P148" i="16" s="1"/>
  <c r="V148" i="16" s="1"/>
  <c r="F148" i="16" s="1"/>
  <c r="G148" i="16" s="1"/>
  <c r="BY148" i="6" s="1"/>
  <c r="U63" i="16"/>
  <c r="T63" i="16" s="1"/>
  <c r="S63" i="16" s="1"/>
  <c r="R63" i="16" s="1"/>
  <c r="P63" i="16" s="1"/>
  <c r="V63" i="16" s="1"/>
  <c r="F63" i="16" s="1"/>
  <c r="G63" i="16" s="1"/>
  <c r="BY63" i="6" s="1"/>
  <c r="U365" i="16"/>
  <c r="T365" i="16" s="1"/>
  <c r="S365" i="16" s="1"/>
  <c r="R365" i="16" s="1"/>
  <c r="P365" i="16" s="1"/>
  <c r="V365" i="16" s="1"/>
  <c r="F365" i="16" s="1"/>
  <c r="G365" i="16" s="1"/>
  <c r="BY365" i="6" s="1"/>
  <c r="U132" i="16"/>
  <c r="T132" i="16" s="1"/>
  <c r="S132" i="16" s="1"/>
  <c r="R132" i="16" s="1"/>
  <c r="P132" i="16" s="1"/>
  <c r="V132" i="16" s="1"/>
  <c r="F132" i="16" s="1"/>
  <c r="G132" i="16" s="1"/>
  <c r="BY132" i="6" s="1"/>
  <c r="U122" i="16"/>
  <c r="T122" i="16" s="1"/>
  <c r="S122" i="16" s="1"/>
  <c r="R122" i="16" s="1"/>
  <c r="P122" i="16" s="1"/>
  <c r="V122" i="16" s="1"/>
  <c r="F122" i="16" s="1"/>
  <c r="U134" i="16"/>
  <c r="T134" i="16" s="1"/>
  <c r="S134" i="16" s="1"/>
  <c r="R134" i="16" s="1"/>
  <c r="P134" i="16" s="1"/>
  <c r="V134" i="16" s="1"/>
  <c r="F134" i="16" s="1"/>
  <c r="G134" i="16" s="1"/>
  <c r="BY134" i="6" s="1"/>
  <c r="U290" i="16"/>
  <c r="T290" i="16" s="1"/>
  <c r="S290" i="16" s="1"/>
  <c r="R290" i="16" s="1"/>
  <c r="P290" i="16" s="1"/>
  <c r="V290" i="16" s="1"/>
  <c r="F290" i="16" s="1"/>
  <c r="AA290" i="16" s="1"/>
  <c r="Z290" i="16" s="1"/>
  <c r="Y290" i="16" s="1"/>
  <c r="U114" i="16"/>
  <c r="T114" i="16" s="1"/>
  <c r="S114" i="16" s="1"/>
  <c r="R114" i="16" s="1"/>
  <c r="P114" i="16" s="1"/>
  <c r="V114" i="16" s="1"/>
  <c r="F114" i="16" s="1"/>
  <c r="H114" i="16" s="1"/>
  <c r="U223" i="16"/>
  <c r="T223" i="16" s="1"/>
  <c r="S223" i="16" s="1"/>
  <c r="R223" i="16" s="1"/>
  <c r="P223" i="16" s="1"/>
  <c r="V223" i="16" s="1"/>
  <c r="F223" i="16" s="1"/>
  <c r="G223" i="16" s="1"/>
  <c r="BY223" i="6" s="1"/>
  <c r="U295" i="16"/>
  <c r="T295" i="16" s="1"/>
  <c r="S295" i="16" s="1"/>
  <c r="R295" i="16" s="1"/>
  <c r="P295" i="16" s="1"/>
  <c r="V295" i="16" s="1"/>
  <c r="F295" i="16" s="1"/>
  <c r="H295" i="16" s="1"/>
  <c r="U121" i="16"/>
  <c r="T121" i="16" s="1"/>
  <c r="S121" i="16" s="1"/>
  <c r="R121" i="16" s="1"/>
  <c r="P121" i="16" s="1"/>
  <c r="V121" i="16" s="1"/>
  <c r="F121" i="16" s="1"/>
  <c r="AA121" i="16" s="1"/>
  <c r="Z121" i="16" s="1"/>
  <c r="Y121" i="16" s="1"/>
  <c r="U86" i="16"/>
  <c r="T86" i="16" s="1"/>
  <c r="S86" i="16" s="1"/>
  <c r="R86" i="16" s="1"/>
  <c r="P86" i="16" s="1"/>
  <c r="V86" i="16" s="1"/>
  <c r="F86" i="16" s="1"/>
  <c r="G86" i="16" s="1"/>
  <c r="BY86" i="6" s="1"/>
  <c r="U192" i="16"/>
  <c r="T192" i="16" s="1"/>
  <c r="S192" i="16" s="1"/>
  <c r="R192" i="16" s="1"/>
  <c r="P192" i="16" s="1"/>
  <c r="V192" i="16" s="1"/>
  <c r="F192" i="16" s="1"/>
  <c r="G192" i="16" s="1"/>
  <c r="BY192" i="6" s="1"/>
  <c r="U162" i="16"/>
  <c r="T162" i="16" s="1"/>
  <c r="S162" i="16" s="1"/>
  <c r="R162" i="16" s="1"/>
  <c r="P162" i="16" s="1"/>
  <c r="V162" i="16" s="1"/>
  <c r="F162" i="16" s="1"/>
  <c r="H162" i="16" s="1"/>
  <c r="U205" i="16"/>
  <c r="T205" i="16" s="1"/>
  <c r="S205" i="16" s="1"/>
  <c r="R205" i="16" s="1"/>
  <c r="P205" i="16" s="1"/>
  <c r="V205" i="16" s="1"/>
  <c r="F205" i="16" s="1"/>
  <c r="G205" i="16" s="1"/>
  <c r="BY205" i="6" s="1"/>
  <c r="U247" i="16"/>
  <c r="T247" i="16" s="1"/>
  <c r="S247" i="16" s="1"/>
  <c r="R247" i="16" s="1"/>
  <c r="P247" i="16" s="1"/>
  <c r="V247" i="16" s="1"/>
  <c r="F247" i="16" s="1"/>
  <c r="U234" i="16"/>
  <c r="T234" i="16" s="1"/>
  <c r="S234" i="16" s="1"/>
  <c r="R234" i="16" s="1"/>
  <c r="P234" i="16" s="1"/>
  <c r="V234" i="16" s="1"/>
  <c r="F234" i="16" s="1"/>
  <c r="G234" i="16" s="1"/>
  <c r="BY234" i="6" s="1"/>
  <c r="U301" i="16"/>
  <c r="T301" i="16" s="1"/>
  <c r="S301" i="16" s="1"/>
  <c r="R301" i="16" s="1"/>
  <c r="P301" i="16" s="1"/>
  <c r="V301" i="16" s="1"/>
  <c r="F301" i="16" s="1"/>
  <c r="G301" i="16" s="1"/>
  <c r="BY301" i="6" s="1"/>
  <c r="U142" i="16"/>
  <c r="T142" i="16" s="1"/>
  <c r="S142" i="16" s="1"/>
  <c r="R142" i="16" s="1"/>
  <c r="P142" i="16" s="1"/>
  <c r="V142" i="16" s="1"/>
  <c r="F142" i="16" s="1"/>
  <c r="G142" i="16" s="1"/>
  <c r="BY142" i="6" s="1"/>
  <c r="U83" i="16"/>
  <c r="T83" i="16" s="1"/>
  <c r="S83" i="16" s="1"/>
  <c r="R83" i="16" s="1"/>
  <c r="P83" i="16" s="1"/>
  <c r="V83" i="16" s="1"/>
  <c r="F83" i="16" s="1"/>
  <c r="G83" i="16" s="1"/>
  <c r="BY83" i="6" s="1"/>
  <c r="U355" i="16"/>
  <c r="T355" i="16" s="1"/>
  <c r="S355" i="16" s="1"/>
  <c r="R355" i="16" s="1"/>
  <c r="P355" i="16" s="1"/>
  <c r="V355" i="16" s="1"/>
  <c r="F355" i="16" s="1"/>
  <c r="G355" i="16" s="1"/>
  <c r="BY355" i="6" s="1"/>
  <c r="U322" i="16"/>
  <c r="T322" i="16" s="1"/>
  <c r="S322" i="16" s="1"/>
  <c r="R322" i="16" s="1"/>
  <c r="P322" i="16" s="1"/>
  <c r="V322" i="16" s="1"/>
  <c r="F322" i="16" s="1"/>
  <c r="U206" i="16"/>
  <c r="T206" i="16" s="1"/>
  <c r="S206" i="16" s="1"/>
  <c r="R206" i="16" s="1"/>
  <c r="P206" i="16" s="1"/>
  <c r="V206" i="16" s="1"/>
  <c r="F206" i="16" s="1"/>
  <c r="G206" i="16" s="1"/>
  <c r="BY206" i="6" s="1"/>
  <c r="U133" i="16"/>
  <c r="T133" i="16" s="1"/>
  <c r="S133" i="16" s="1"/>
  <c r="R133" i="16" s="1"/>
  <c r="P133" i="16" s="1"/>
  <c r="V133" i="16" s="1"/>
  <c r="F133" i="16" s="1"/>
  <c r="G133" i="16" s="1"/>
  <c r="BY133" i="6" s="1"/>
  <c r="U363" i="16"/>
  <c r="T363" i="16" s="1"/>
  <c r="S363" i="16" s="1"/>
  <c r="R363" i="16" s="1"/>
  <c r="P363" i="16" s="1"/>
  <c r="V363" i="16" s="1"/>
  <c r="F363" i="16" s="1"/>
  <c r="U130" i="16"/>
  <c r="T130" i="16" s="1"/>
  <c r="S130" i="16" s="1"/>
  <c r="R130" i="16" s="1"/>
  <c r="P130" i="16" s="1"/>
  <c r="V130" i="16" s="1"/>
  <c r="F130" i="16" s="1"/>
  <c r="G130" i="16" s="1"/>
  <c r="BY130" i="6" s="1"/>
  <c r="U62" i="16"/>
  <c r="T62" i="16" s="1"/>
  <c r="S62" i="16" s="1"/>
  <c r="R62" i="16" s="1"/>
  <c r="P62" i="16" s="1"/>
  <c r="V62" i="16" s="1"/>
  <c r="F62" i="16" s="1"/>
  <c r="H62" i="16" s="1"/>
  <c r="U45" i="16"/>
  <c r="T45" i="16" s="1"/>
  <c r="S45" i="16" s="1"/>
  <c r="R45" i="16" s="1"/>
  <c r="P45" i="16" s="1"/>
  <c r="V45" i="16" s="1"/>
  <c r="F45" i="16" s="1"/>
  <c r="G45" i="16" s="1"/>
  <c r="BY45" i="6" s="1"/>
  <c r="U185" i="16"/>
  <c r="T185" i="16" s="1"/>
  <c r="S185" i="16" s="1"/>
  <c r="R185" i="16" s="1"/>
  <c r="P185" i="16" s="1"/>
  <c r="V185" i="16" s="1"/>
  <c r="F185" i="16" s="1"/>
  <c r="H185" i="16" s="1"/>
  <c r="U187" i="16"/>
  <c r="T187" i="16" s="1"/>
  <c r="S187" i="16" s="1"/>
  <c r="R187" i="16" s="1"/>
  <c r="P187" i="16" s="1"/>
  <c r="V187" i="16" s="1"/>
  <c r="F187" i="16" s="1"/>
  <c r="G187" i="16" s="1"/>
  <c r="BY187" i="6" s="1"/>
  <c r="U177" i="16"/>
  <c r="T177" i="16" s="1"/>
  <c r="S177" i="16" s="1"/>
  <c r="R177" i="16" s="1"/>
  <c r="P177" i="16" s="1"/>
  <c r="V177" i="16" s="1"/>
  <c r="F177" i="16" s="1"/>
  <c r="H177" i="16" s="1"/>
  <c r="U329" i="16"/>
  <c r="T329" i="16" s="1"/>
  <c r="S329" i="16" s="1"/>
  <c r="R329" i="16" s="1"/>
  <c r="P329" i="16" s="1"/>
  <c r="V329" i="16" s="1"/>
  <c r="F329" i="16" s="1"/>
  <c r="U213" i="16"/>
  <c r="T213" i="16" s="1"/>
  <c r="S213" i="16" s="1"/>
  <c r="R213" i="16" s="1"/>
  <c r="P213" i="16" s="1"/>
  <c r="V213" i="16" s="1"/>
  <c r="F213" i="16" s="1"/>
  <c r="G213" i="16" s="1"/>
  <c r="BY213" i="6" s="1"/>
  <c r="AI302" i="16"/>
  <c r="AH302" i="16" s="1"/>
  <c r="AG302" i="16" s="1"/>
  <c r="AF302" i="16" s="1"/>
  <c r="AD302" i="16" s="1"/>
  <c r="AI295" i="16"/>
  <c r="AH295" i="16" s="1"/>
  <c r="AG295" i="16" s="1"/>
  <c r="AF295" i="16" s="1"/>
  <c r="AD295" i="16" s="1"/>
  <c r="AI130" i="16"/>
  <c r="AH130" i="16" s="1"/>
  <c r="AG130" i="16" s="1"/>
  <c r="AF130" i="16" s="1"/>
  <c r="AD130" i="16" s="1"/>
  <c r="AI333" i="16"/>
  <c r="AH333" i="16" s="1"/>
  <c r="AG333" i="16" s="1"/>
  <c r="AF333" i="16" s="1"/>
  <c r="AD333" i="16" s="1"/>
  <c r="AI37" i="16"/>
  <c r="AH37" i="16" s="1"/>
  <c r="AG37" i="16" s="1"/>
  <c r="AF37" i="16" s="1"/>
  <c r="AD37" i="16" s="1"/>
  <c r="AI288" i="16"/>
  <c r="AH288" i="16" s="1"/>
  <c r="AG288" i="16" s="1"/>
  <c r="AF288" i="16" s="1"/>
  <c r="AD288" i="16" s="1"/>
  <c r="AI265" i="16"/>
  <c r="AH265" i="16" s="1"/>
  <c r="AG265" i="16" s="1"/>
  <c r="AF265" i="16" s="1"/>
  <c r="AD265" i="16" s="1"/>
  <c r="AI334" i="16"/>
  <c r="AH334" i="16" s="1"/>
  <c r="AG334" i="16" s="1"/>
  <c r="AF334" i="16" s="1"/>
  <c r="AD334" i="16" s="1"/>
  <c r="AI85" i="16"/>
  <c r="AH85" i="16" s="1"/>
  <c r="AG85" i="16" s="1"/>
  <c r="AF85" i="16" s="1"/>
  <c r="AD85" i="16" s="1"/>
  <c r="AI313" i="16"/>
  <c r="AH313" i="16" s="1"/>
  <c r="AG313" i="16" s="1"/>
  <c r="AF313" i="16" s="1"/>
  <c r="AD313" i="16" s="1"/>
  <c r="AI49" i="16"/>
  <c r="AH49" i="16" s="1"/>
  <c r="AG49" i="16" s="1"/>
  <c r="AF49" i="16" s="1"/>
  <c r="AD49" i="16" s="1"/>
  <c r="AI379" i="16"/>
  <c r="AH379" i="16" s="1"/>
  <c r="AG379" i="16" s="1"/>
  <c r="AF379" i="16" s="1"/>
  <c r="AD379" i="16" s="1"/>
  <c r="AI45" i="16"/>
  <c r="AH45" i="16" s="1"/>
  <c r="AG45" i="16" s="1"/>
  <c r="AF45" i="16" s="1"/>
  <c r="AD45" i="16" s="1"/>
  <c r="AI65" i="16"/>
  <c r="AH65" i="16" s="1"/>
  <c r="AG65" i="16" s="1"/>
  <c r="AF65" i="16" s="1"/>
  <c r="AD65" i="16" s="1"/>
  <c r="AI248" i="16"/>
  <c r="AH248" i="16" s="1"/>
  <c r="AG248" i="16" s="1"/>
  <c r="AF248" i="16" s="1"/>
  <c r="AD248" i="16" s="1"/>
  <c r="AI84" i="16"/>
  <c r="AH84" i="16" s="1"/>
  <c r="AG84" i="16" s="1"/>
  <c r="AF84" i="16" s="1"/>
  <c r="AD84" i="16" s="1"/>
  <c r="AI86" i="16"/>
  <c r="AH86" i="16" s="1"/>
  <c r="AG86" i="16" s="1"/>
  <c r="AF86" i="16" s="1"/>
  <c r="AD86" i="16" s="1"/>
  <c r="AI319" i="16"/>
  <c r="AH319" i="16" s="1"/>
  <c r="AG319" i="16" s="1"/>
  <c r="AF319" i="16" s="1"/>
  <c r="AD319" i="16" s="1"/>
  <c r="AA319" i="16" s="1"/>
  <c r="Z319" i="16" s="1"/>
  <c r="Y319" i="16" s="1"/>
  <c r="AI178" i="16"/>
  <c r="AH178" i="16" s="1"/>
  <c r="AG178" i="16" s="1"/>
  <c r="AF178" i="16" s="1"/>
  <c r="AD178" i="16" s="1"/>
  <c r="AI336" i="16"/>
  <c r="AH336" i="16" s="1"/>
  <c r="AG336" i="16" s="1"/>
  <c r="AF336" i="16" s="1"/>
  <c r="AD336" i="16" s="1"/>
  <c r="AI232" i="16"/>
  <c r="AH232" i="16" s="1"/>
  <c r="AG232" i="16" s="1"/>
  <c r="AF232" i="16" s="1"/>
  <c r="AD232" i="16" s="1"/>
  <c r="AI347" i="16"/>
  <c r="AH347" i="16" s="1"/>
  <c r="AG347" i="16" s="1"/>
  <c r="AF347" i="16" s="1"/>
  <c r="AD347" i="16" s="1"/>
  <c r="AI98" i="16"/>
  <c r="AH98" i="16" s="1"/>
  <c r="AG98" i="16" s="1"/>
  <c r="AF98" i="16" s="1"/>
  <c r="AD98" i="16" s="1"/>
  <c r="AI155" i="16"/>
  <c r="AH155" i="16" s="1"/>
  <c r="AG155" i="16" s="1"/>
  <c r="AF155" i="16" s="1"/>
  <c r="AD155" i="16" s="1"/>
  <c r="AI168" i="16"/>
  <c r="AH168" i="16" s="1"/>
  <c r="AG168" i="16" s="1"/>
  <c r="AF168" i="16" s="1"/>
  <c r="AD168" i="16" s="1"/>
  <c r="AI81" i="16"/>
  <c r="AH81" i="16" s="1"/>
  <c r="AG81" i="16" s="1"/>
  <c r="AF81" i="16" s="1"/>
  <c r="AD81" i="16" s="1"/>
  <c r="AI341" i="16"/>
  <c r="AH341" i="16" s="1"/>
  <c r="AG341" i="16" s="1"/>
  <c r="AF341" i="16" s="1"/>
  <c r="AD341" i="16" s="1"/>
  <c r="AA341" i="16" s="1"/>
  <c r="Z341" i="16" s="1"/>
  <c r="Y341" i="16" s="1"/>
  <c r="AI305" i="16"/>
  <c r="AH305" i="16" s="1"/>
  <c r="AG305" i="16" s="1"/>
  <c r="AF305" i="16" s="1"/>
  <c r="AD305" i="16" s="1"/>
  <c r="AA305" i="16" s="1"/>
  <c r="Z305" i="16" s="1"/>
  <c r="Y305" i="16" s="1"/>
  <c r="AI107" i="16"/>
  <c r="AH107" i="16" s="1"/>
  <c r="AG107" i="16" s="1"/>
  <c r="AF107" i="16" s="1"/>
  <c r="AD107" i="16" s="1"/>
  <c r="AA107" i="16" s="1"/>
  <c r="Z107" i="16" s="1"/>
  <c r="Y107" i="16" s="1"/>
  <c r="AI51" i="16"/>
  <c r="AH51" i="16" s="1"/>
  <c r="AG51" i="16" s="1"/>
  <c r="AF51" i="16" s="1"/>
  <c r="AD51" i="16" s="1"/>
  <c r="AI317" i="16"/>
  <c r="AH317" i="16" s="1"/>
  <c r="AG317" i="16" s="1"/>
  <c r="AF317" i="16" s="1"/>
  <c r="AD317" i="16" s="1"/>
  <c r="AI226" i="16"/>
  <c r="AH226" i="16" s="1"/>
  <c r="AG226" i="16" s="1"/>
  <c r="AF226" i="16" s="1"/>
  <c r="AD226" i="16" s="1"/>
  <c r="AI264" i="16"/>
  <c r="AH264" i="16" s="1"/>
  <c r="AG264" i="16" s="1"/>
  <c r="AF264" i="16" s="1"/>
  <c r="AD264" i="16" s="1"/>
  <c r="AI210" i="16"/>
  <c r="AH210" i="16" s="1"/>
  <c r="AG210" i="16" s="1"/>
  <c r="AF210" i="16" s="1"/>
  <c r="AD210" i="16" s="1"/>
  <c r="AI97" i="16"/>
  <c r="AH97" i="16" s="1"/>
  <c r="AG97" i="16" s="1"/>
  <c r="AF97" i="16" s="1"/>
  <c r="AD97" i="16" s="1"/>
  <c r="AI152" i="16"/>
  <c r="AH152" i="16" s="1"/>
  <c r="AG152" i="16" s="1"/>
  <c r="AF152" i="16" s="1"/>
  <c r="AD152" i="16" s="1"/>
  <c r="AI368" i="16"/>
  <c r="AH368" i="16" s="1"/>
  <c r="AG368" i="16" s="1"/>
  <c r="AF368" i="16" s="1"/>
  <c r="AD368" i="16" s="1"/>
  <c r="AI116" i="16"/>
  <c r="AH116" i="16" s="1"/>
  <c r="AG116" i="16" s="1"/>
  <c r="AF116" i="16" s="1"/>
  <c r="AD116" i="16" s="1"/>
  <c r="AI227" i="16"/>
  <c r="AH227" i="16" s="1"/>
  <c r="AG227" i="16" s="1"/>
  <c r="AF227" i="16" s="1"/>
  <c r="AD227" i="16" s="1"/>
  <c r="AI363" i="16"/>
  <c r="AH363" i="16" s="1"/>
  <c r="AG363" i="16" s="1"/>
  <c r="AF363" i="16" s="1"/>
  <c r="AD363" i="16" s="1"/>
  <c r="AI260" i="16"/>
  <c r="AH260" i="16" s="1"/>
  <c r="AG260" i="16" s="1"/>
  <c r="AF260" i="16" s="1"/>
  <c r="AD260" i="16" s="1"/>
  <c r="AI118" i="16"/>
  <c r="AH118" i="16" s="1"/>
  <c r="AG118" i="16" s="1"/>
  <c r="AF118" i="16" s="1"/>
  <c r="AD118" i="16" s="1"/>
  <c r="AI103" i="16"/>
  <c r="AH103" i="16" s="1"/>
  <c r="AG103" i="16" s="1"/>
  <c r="AF103" i="16" s="1"/>
  <c r="AD103" i="16" s="1"/>
  <c r="AI284" i="16"/>
  <c r="AH284" i="16" s="1"/>
  <c r="AG284" i="16" s="1"/>
  <c r="AF284" i="16" s="1"/>
  <c r="AD284" i="16" s="1"/>
  <c r="AI297" i="16"/>
  <c r="AH297" i="16" s="1"/>
  <c r="AG297" i="16" s="1"/>
  <c r="AF297" i="16" s="1"/>
  <c r="AD297" i="16" s="1"/>
  <c r="AI292" i="16"/>
  <c r="AH292" i="16" s="1"/>
  <c r="AG292" i="16" s="1"/>
  <c r="AF292" i="16" s="1"/>
  <c r="AD292" i="16" s="1"/>
  <c r="AI245" i="16"/>
  <c r="AH245" i="16" s="1"/>
  <c r="AG245" i="16" s="1"/>
  <c r="AF245" i="16" s="1"/>
  <c r="AD245" i="16" s="1"/>
  <c r="AI91" i="16"/>
  <c r="AH91" i="16" s="1"/>
  <c r="AG91" i="16" s="1"/>
  <c r="AF91" i="16" s="1"/>
  <c r="AD91" i="16" s="1"/>
  <c r="AI331" i="16"/>
  <c r="AH331" i="16" s="1"/>
  <c r="AG331" i="16" s="1"/>
  <c r="AF331" i="16" s="1"/>
  <c r="AD331" i="16" s="1"/>
  <c r="AI104" i="16"/>
  <c r="AH104" i="16" s="1"/>
  <c r="AG104" i="16" s="1"/>
  <c r="AF104" i="16" s="1"/>
  <c r="AD104" i="16" s="1"/>
  <c r="AI59" i="16"/>
  <c r="AH59" i="16" s="1"/>
  <c r="AG59" i="16" s="1"/>
  <c r="AF59" i="16" s="1"/>
  <c r="AD59" i="16" s="1"/>
  <c r="AI77" i="16"/>
  <c r="AH77" i="16" s="1"/>
  <c r="AG77" i="16" s="1"/>
  <c r="AF77" i="16" s="1"/>
  <c r="AD77" i="16" s="1"/>
  <c r="AA77" i="16" s="1"/>
  <c r="Z77" i="16" s="1"/>
  <c r="Y77" i="16" s="1"/>
  <c r="AI375" i="16"/>
  <c r="AH375" i="16" s="1"/>
  <c r="AG375" i="16" s="1"/>
  <c r="AF375" i="16" s="1"/>
  <c r="AD375" i="16" s="1"/>
  <c r="AI92" i="16"/>
  <c r="AH92" i="16" s="1"/>
  <c r="AG92" i="16" s="1"/>
  <c r="AF92" i="16" s="1"/>
  <c r="AD92" i="16" s="1"/>
  <c r="AA92" i="16" s="1"/>
  <c r="Z92" i="16" s="1"/>
  <c r="Y92" i="16" s="1"/>
  <c r="AI242" i="16"/>
  <c r="AH242" i="16" s="1"/>
  <c r="AG242" i="16" s="1"/>
  <c r="AF242" i="16" s="1"/>
  <c r="AD242" i="16" s="1"/>
  <c r="AA242" i="16" s="1"/>
  <c r="Z242" i="16" s="1"/>
  <c r="Y242" i="16" s="1"/>
  <c r="AI364" i="16"/>
  <c r="AH364" i="16" s="1"/>
  <c r="AG364" i="16" s="1"/>
  <c r="AF364" i="16" s="1"/>
  <c r="AD364" i="16" s="1"/>
  <c r="AI71" i="16"/>
  <c r="AH71" i="16" s="1"/>
  <c r="AG71" i="16" s="1"/>
  <c r="AF71" i="16" s="1"/>
  <c r="AD71" i="16" s="1"/>
  <c r="AI211" i="16"/>
  <c r="AH211" i="16" s="1"/>
  <c r="AG211" i="16" s="1"/>
  <c r="AF211" i="16" s="1"/>
  <c r="AD211" i="16" s="1"/>
  <c r="AA211" i="16" s="1"/>
  <c r="Z211" i="16" s="1"/>
  <c r="Y211" i="16" s="1"/>
  <c r="AI235" i="16"/>
  <c r="AH235" i="16" s="1"/>
  <c r="AG235" i="16" s="1"/>
  <c r="AF235" i="16" s="1"/>
  <c r="AD235" i="16" s="1"/>
  <c r="AI251" i="16"/>
  <c r="AH251" i="16" s="1"/>
  <c r="AG251" i="16" s="1"/>
  <c r="AF251" i="16" s="1"/>
  <c r="AD251" i="16" s="1"/>
  <c r="AA251" i="16" s="1"/>
  <c r="Z251" i="16" s="1"/>
  <c r="Y251" i="16" s="1"/>
  <c r="AI205" i="16"/>
  <c r="AH205" i="16" s="1"/>
  <c r="AG205" i="16" s="1"/>
  <c r="AF205" i="16" s="1"/>
  <c r="AD205" i="16" s="1"/>
  <c r="AI354" i="16"/>
  <c r="AH354" i="16" s="1"/>
  <c r="AG354" i="16" s="1"/>
  <c r="AF354" i="16" s="1"/>
  <c r="AD354" i="16" s="1"/>
  <c r="AI140" i="16"/>
  <c r="AH140" i="16" s="1"/>
  <c r="AG140" i="16" s="1"/>
  <c r="AF140" i="16" s="1"/>
  <c r="AD140" i="16" s="1"/>
  <c r="AA140" i="16" s="1"/>
  <c r="Z140" i="16" s="1"/>
  <c r="Y140" i="16" s="1"/>
  <c r="AI261" i="16"/>
  <c r="AH261" i="16" s="1"/>
  <c r="AG261" i="16" s="1"/>
  <c r="AF261" i="16" s="1"/>
  <c r="AD261" i="16" s="1"/>
  <c r="AI124" i="16"/>
  <c r="AH124" i="16" s="1"/>
  <c r="AG124" i="16" s="1"/>
  <c r="AF124" i="16" s="1"/>
  <c r="AD124" i="16" s="1"/>
  <c r="AI30" i="16"/>
  <c r="AH30" i="16" s="1"/>
  <c r="AG30" i="16" s="1"/>
  <c r="AF30" i="16" s="1"/>
  <c r="AD30" i="16" s="1"/>
  <c r="AA30" i="16" s="1"/>
  <c r="Z30" i="16" s="1"/>
  <c r="Y30" i="16" s="1"/>
  <c r="AI277" i="16"/>
  <c r="AH277" i="16" s="1"/>
  <c r="AG277" i="16" s="1"/>
  <c r="AF277" i="16" s="1"/>
  <c r="AD277" i="16" s="1"/>
  <c r="AI274" i="16"/>
  <c r="AH274" i="16" s="1"/>
  <c r="AG274" i="16" s="1"/>
  <c r="AF274" i="16" s="1"/>
  <c r="AD274" i="16" s="1"/>
  <c r="AI241" i="16"/>
  <c r="AH241" i="16" s="1"/>
  <c r="AG241" i="16" s="1"/>
  <c r="AF241" i="16" s="1"/>
  <c r="AD241" i="16" s="1"/>
  <c r="AI296" i="16"/>
  <c r="AH296" i="16" s="1"/>
  <c r="AG296" i="16" s="1"/>
  <c r="AF296" i="16" s="1"/>
  <c r="AD296" i="16" s="1"/>
  <c r="AI338" i="16"/>
  <c r="AH338" i="16" s="1"/>
  <c r="AG338" i="16" s="1"/>
  <c r="AF338" i="16" s="1"/>
  <c r="AD338" i="16" s="1"/>
  <c r="AA338" i="16" s="1"/>
  <c r="Z338" i="16" s="1"/>
  <c r="Y338" i="16" s="1"/>
  <c r="AI257" i="16"/>
  <c r="AH257" i="16" s="1"/>
  <c r="AG257" i="16" s="1"/>
  <c r="AF257" i="16" s="1"/>
  <c r="AD257" i="16" s="1"/>
  <c r="AI243" i="16"/>
  <c r="AH243" i="16" s="1"/>
  <c r="AG243" i="16" s="1"/>
  <c r="AF243" i="16" s="1"/>
  <c r="AD243" i="16" s="1"/>
  <c r="AA243" i="16" s="1"/>
  <c r="Z243" i="16" s="1"/>
  <c r="Y243" i="16" s="1"/>
  <c r="AI337" i="16"/>
  <c r="AH337" i="16" s="1"/>
  <c r="AG337" i="16" s="1"/>
  <c r="AF337" i="16" s="1"/>
  <c r="AD337" i="16" s="1"/>
  <c r="AI134" i="16"/>
  <c r="AH134" i="16" s="1"/>
  <c r="AG134" i="16" s="1"/>
  <c r="AF134" i="16" s="1"/>
  <c r="AD134" i="16" s="1"/>
  <c r="AI110" i="16"/>
  <c r="AH110" i="16" s="1"/>
  <c r="AG110" i="16" s="1"/>
  <c r="AF110" i="16" s="1"/>
  <c r="AD110" i="16" s="1"/>
  <c r="AI36" i="16"/>
  <c r="AH36" i="16" s="1"/>
  <c r="AG36" i="16" s="1"/>
  <c r="AF36" i="16" s="1"/>
  <c r="AD36" i="16" s="1"/>
  <c r="AI120" i="16"/>
  <c r="AH120" i="16" s="1"/>
  <c r="AG120" i="16" s="1"/>
  <c r="AF120" i="16" s="1"/>
  <c r="AD120" i="16" s="1"/>
  <c r="AI222" i="16"/>
  <c r="AH222" i="16" s="1"/>
  <c r="AG222" i="16" s="1"/>
  <c r="AF222" i="16" s="1"/>
  <c r="AD222" i="16" s="1"/>
  <c r="AI82" i="16"/>
  <c r="AH82" i="16" s="1"/>
  <c r="AG82" i="16" s="1"/>
  <c r="AF82" i="16" s="1"/>
  <c r="AD82" i="16" s="1"/>
  <c r="AI360" i="16"/>
  <c r="AH360" i="16" s="1"/>
  <c r="AG360" i="16" s="1"/>
  <c r="AF360" i="16" s="1"/>
  <c r="AD360" i="16" s="1"/>
  <c r="AI190" i="16"/>
  <c r="AH190" i="16" s="1"/>
  <c r="AG190" i="16" s="1"/>
  <c r="AF190" i="16" s="1"/>
  <c r="AD190" i="16" s="1"/>
  <c r="AI267" i="16"/>
  <c r="AH267" i="16" s="1"/>
  <c r="AG267" i="16" s="1"/>
  <c r="AF267" i="16" s="1"/>
  <c r="AD267" i="16" s="1"/>
  <c r="AA267" i="16" s="1"/>
  <c r="Z267" i="16" s="1"/>
  <c r="Y267" i="16" s="1"/>
  <c r="AI378" i="16"/>
  <c r="AH378" i="16" s="1"/>
  <c r="AG378" i="16" s="1"/>
  <c r="AF378" i="16" s="1"/>
  <c r="AD378" i="16" s="1"/>
  <c r="AI272" i="16"/>
  <c r="AH272" i="16" s="1"/>
  <c r="AG272" i="16" s="1"/>
  <c r="AF272" i="16" s="1"/>
  <c r="AD272" i="16" s="1"/>
  <c r="AI271" i="16"/>
  <c r="AH271" i="16" s="1"/>
  <c r="AG271" i="16" s="1"/>
  <c r="AF271" i="16" s="1"/>
  <c r="AD271" i="16" s="1"/>
  <c r="AI157" i="16"/>
  <c r="AH157" i="16" s="1"/>
  <c r="AG157" i="16" s="1"/>
  <c r="AF157" i="16" s="1"/>
  <c r="AD157" i="16" s="1"/>
  <c r="AI202" i="16"/>
  <c r="AH202" i="16" s="1"/>
  <c r="AG202" i="16" s="1"/>
  <c r="AF202" i="16" s="1"/>
  <c r="AD202" i="16" s="1"/>
  <c r="AI342" i="16"/>
  <c r="AH342" i="16" s="1"/>
  <c r="AG342" i="16" s="1"/>
  <c r="AF342" i="16" s="1"/>
  <c r="AD342" i="16" s="1"/>
  <c r="AI300" i="16"/>
  <c r="AH300" i="16" s="1"/>
  <c r="AG300" i="16" s="1"/>
  <c r="AF300" i="16" s="1"/>
  <c r="AD300" i="16" s="1"/>
  <c r="AI39" i="16"/>
  <c r="AH39" i="16" s="1"/>
  <c r="AG39" i="16" s="1"/>
  <c r="AF39" i="16" s="1"/>
  <c r="AD39" i="16" s="1"/>
  <c r="AI240" i="16"/>
  <c r="AH240" i="16" s="1"/>
  <c r="AG240" i="16" s="1"/>
  <c r="AF240" i="16" s="1"/>
  <c r="AD240" i="16" s="1"/>
  <c r="AI192" i="16"/>
  <c r="AH192" i="16" s="1"/>
  <c r="AG192" i="16" s="1"/>
  <c r="AF192" i="16" s="1"/>
  <c r="AD192" i="16" s="1"/>
  <c r="AI67" i="16"/>
  <c r="AH67" i="16" s="1"/>
  <c r="AG67" i="16" s="1"/>
  <c r="AF67" i="16" s="1"/>
  <c r="AD67" i="16" s="1"/>
  <c r="AI225" i="16"/>
  <c r="AH225" i="16" s="1"/>
  <c r="AG225" i="16" s="1"/>
  <c r="AF225" i="16" s="1"/>
  <c r="AD225" i="16" s="1"/>
  <c r="AI299" i="16"/>
  <c r="AH299" i="16" s="1"/>
  <c r="AG299" i="16" s="1"/>
  <c r="AF299" i="16" s="1"/>
  <c r="AD299" i="16" s="1"/>
  <c r="AI355" i="16"/>
  <c r="AH355" i="16" s="1"/>
  <c r="AG355" i="16" s="1"/>
  <c r="AF355" i="16" s="1"/>
  <c r="AD355" i="16" s="1"/>
  <c r="AI87" i="16"/>
  <c r="AH87" i="16" s="1"/>
  <c r="AG87" i="16" s="1"/>
  <c r="AF87" i="16" s="1"/>
  <c r="AD87" i="16" s="1"/>
  <c r="AA87" i="16" s="1"/>
  <c r="Z87" i="16" s="1"/>
  <c r="Y87" i="16" s="1"/>
  <c r="AI231" i="16"/>
  <c r="AH231" i="16" s="1"/>
  <c r="AG231" i="16" s="1"/>
  <c r="AF231" i="16" s="1"/>
  <c r="AD231" i="16" s="1"/>
  <c r="AI172" i="16"/>
  <c r="AH172" i="16" s="1"/>
  <c r="AG172" i="16" s="1"/>
  <c r="AF172" i="16" s="1"/>
  <c r="AD172" i="16" s="1"/>
  <c r="AI216" i="16"/>
  <c r="AH216" i="16" s="1"/>
  <c r="AG216" i="16" s="1"/>
  <c r="AF216" i="16" s="1"/>
  <c r="AD216" i="16" s="1"/>
  <c r="AI174" i="16"/>
  <c r="AH174" i="16" s="1"/>
  <c r="AG174" i="16" s="1"/>
  <c r="AF174" i="16" s="1"/>
  <c r="AD174" i="16" s="1"/>
  <c r="AI180" i="16"/>
  <c r="AH180" i="16" s="1"/>
  <c r="AG180" i="16" s="1"/>
  <c r="AF180" i="16" s="1"/>
  <c r="AD180" i="16" s="1"/>
  <c r="AI38" i="16"/>
  <c r="AH38" i="16" s="1"/>
  <c r="AG38" i="16" s="1"/>
  <c r="AF38" i="16" s="1"/>
  <c r="AD38" i="16" s="1"/>
  <c r="AI105" i="16"/>
  <c r="AH105" i="16" s="1"/>
  <c r="AG105" i="16" s="1"/>
  <c r="AF105" i="16" s="1"/>
  <c r="AD105" i="16" s="1"/>
  <c r="AI307" i="16"/>
  <c r="AH307" i="16" s="1"/>
  <c r="AG307" i="16" s="1"/>
  <c r="AF307" i="16" s="1"/>
  <c r="AD307" i="16" s="1"/>
  <c r="AI31" i="16"/>
  <c r="AH31" i="16" s="1"/>
  <c r="AG31" i="16" s="1"/>
  <c r="AF31" i="16" s="1"/>
  <c r="AD31" i="16" s="1"/>
  <c r="AA31" i="16" s="1"/>
  <c r="Z31" i="16" s="1"/>
  <c r="Y31" i="16" s="1"/>
  <c r="AI96" i="16"/>
  <c r="AH96" i="16" s="1"/>
  <c r="AG96" i="16" s="1"/>
  <c r="AF96" i="16" s="1"/>
  <c r="AD96" i="16" s="1"/>
  <c r="AI294" i="16"/>
  <c r="AH294" i="16" s="1"/>
  <c r="AG294" i="16" s="1"/>
  <c r="AF294" i="16" s="1"/>
  <c r="AD294" i="16" s="1"/>
  <c r="AA294" i="16" s="1"/>
  <c r="Z294" i="16" s="1"/>
  <c r="Y294" i="16" s="1"/>
  <c r="AI365" i="16"/>
  <c r="AH365" i="16" s="1"/>
  <c r="AG365" i="16" s="1"/>
  <c r="AF365" i="16" s="1"/>
  <c r="AD365" i="16" s="1"/>
  <c r="AI207" i="16"/>
  <c r="AH207" i="16" s="1"/>
  <c r="AG207" i="16" s="1"/>
  <c r="AF207" i="16" s="1"/>
  <c r="AD207" i="16" s="1"/>
  <c r="AI150" i="16"/>
  <c r="AH150" i="16" s="1"/>
  <c r="AG150" i="16" s="1"/>
  <c r="AF150" i="16" s="1"/>
  <c r="AD150" i="16" s="1"/>
  <c r="AI29" i="16"/>
  <c r="AH29" i="16" s="1"/>
  <c r="AG29" i="16" s="1"/>
  <c r="AF29" i="16" s="1"/>
  <c r="AD29" i="16" s="1"/>
  <c r="AI15" i="16"/>
  <c r="AI70" i="16"/>
  <c r="AH70" i="16" s="1"/>
  <c r="AG70" i="16" s="1"/>
  <c r="AF70" i="16" s="1"/>
  <c r="AD70" i="16" s="1"/>
  <c r="AI228" i="16"/>
  <c r="AH228" i="16" s="1"/>
  <c r="AG228" i="16" s="1"/>
  <c r="AF228" i="16" s="1"/>
  <c r="AD228" i="16" s="1"/>
  <c r="AI332" i="16"/>
  <c r="AH332" i="16" s="1"/>
  <c r="AG332" i="16" s="1"/>
  <c r="AF332" i="16" s="1"/>
  <c r="AD332" i="16" s="1"/>
  <c r="AI358" i="16"/>
  <c r="AH358" i="16" s="1"/>
  <c r="AG358" i="16" s="1"/>
  <c r="AF358" i="16" s="1"/>
  <c r="AD358" i="16" s="1"/>
  <c r="AI90" i="16"/>
  <c r="AH90" i="16" s="1"/>
  <c r="AG90" i="16" s="1"/>
  <c r="AF90" i="16" s="1"/>
  <c r="AD90" i="16" s="1"/>
  <c r="AI234" i="16"/>
  <c r="AH234" i="16" s="1"/>
  <c r="AG234" i="16" s="1"/>
  <c r="AF234" i="16" s="1"/>
  <c r="AD234" i="16" s="1"/>
  <c r="U337" i="16"/>
  <c r="T337" i="16" s="1"/>
  <c r="S337" i="16" s="1"/>
  <c r="R337" i="16" s="1"/>
  <c r="P337" i="16" s="1"/>
  <c r="V337" i="16" s="1"/>
  <c r="F337" i="16" s="1"/>
  <c r="G337" i="16" s="1"/>
  <c r="BY337" i="6" s="1"/>
  <c r="U19" i="16"/>
  <c r="T19" i="16" s="1"/>
  <c r="S19" i="16" s="1"/>
  <c r="R19" i="16" s="1"/>
  <c r="P19" i="16" s="1"/>
  <c r="V19" i="16" s="1"/>
  <c r="F19" i="16" s="1"/>
  <c r="G19" i="16" s="1"/>
  <c r="BY19" i="6" s="1"/>
  <c r="U175" i="16"/>
  <c r="T175" i="16" s="1"/>
  <c r="S175" i="16" s="1"/>
  <c r="R175" i="16" s="1"/>
  <c r="P175" i="16" s="1"/>
  <c r="V175" i="16" s="1"/>
  <c r="F175" i="16" s="1"/>
  <c r="H175" i="16" s="1"/>
  <c r="U165" i="16"/>
  <c r="T165" i="16" s="1"/>
  <c r="S165" i="16" s="1"/>
  <c r="R165" i="16" s="1"/>
  <c r="P165" i="16" s="1"/>
  <c r="V165" i="16" s="1"/>
  <c r="F165" i="16" s="1"/>
  <c r="U221" i="16"/>
  <c r="T221" i="16" s="1"/>
  <c r="S221" i="16" s="1"/>
  <c r="R221" i="16" s="1"/>
  <c r="P221" i="16" s="1"/>
  <c r="V221" i="16" s="1"/>
  <c r="F221" i="16" s="1"/>
  <c r="G221" i="16" s="1"/>
  <c r="BY221" i="6" s="1"/>
  <c r="U127" i="16"/>
  <c r="T127" i="16" s="1"/>
  <c r="S127" i="16" s="1"/>
  <c r="R127" i="16" s="1"/>
  <c r="P127" i="16" s="1"/>
  <c r="V127" i="16" s="1"/>
  <c r="F127" i="16" s="1"/>
  <c r="G127" i="16" s="1"/>
  <c r="BY127" i="6" s="1"/>
  <c r="U40" i="16"/>
  <c r="T40" i="16" s="1"/>
  <c r="S40" i="16" s="1"/>
  <c r="R40" i="16" s="1"/>
  <c r="P40" i="16" s="1"/>
  <c r="V40" i="16" s="1"/>
  <c r="F40" i="16" s="1"/>
  <c r="H40" i="16" s="1"/>
  <c r="U313" i="16"/>
  <c r="T313" i="16" s="1"/>
  <c r="S313" i="16" s="1"/>
  <c r="R313" i="16" s="1"/>
  <c r="P313" i="16" s="1"/>
  <c r="V313" i="16" s="1"/>
  <c r="F313" i="16" s="1"/>
  <c r="G313" i="16" s="1"/>
  <c r="BY313" i="6" s="1"/>
  <c r="U293" i="16"/>
  <c r="T293" i="16" s="1"/>
  <c r="S293" i="16" s="1"/>
  <c r="R293" i="16" s="1"/>
  <c r="P293" i="16" s="1"/>
  <c r="V293" i="16" s="1"/>
  <c r="F293" i="16" s="1"/>
  <c r="G293" i="16" s="1"/>
  <c r="BY293" i="6" s="1"/>
  <c r="U326" i="16"/>
  <c r="T326" i="16" s="1"/>
  <c r="S326" i="16" s="1"/>
  <c r="R326" i="16" s="1"/>
  <c r="P326" i="16" s="1"/>
  <c r="V326" i="16" s="1"/>
  <c r="F326" i="16" s="1"/>
  <c r="U109" i="16"/>
  <c r="T109" i="16" s="1"/>
  <c r="S109" i="16" s="1"/>
  <c r="R109" i="16" s="1"/>
  <c r="P109" i="16" s="1"/>
  <c r="V109" i="16" s="1"/>
  <c r="F109" i="16" s="1"/>
  <c r="H109" i="16" s="1"/>
  <c r="U227" i="16"/>
  <c r="T227" i="16" s="1"/>
  <c r="S227" i="16" s="1"/>
  <c r="R227" i="16" s="1"/>
  <c r="P227" i="16" s="1"/>
  <c r="V227" i="16" s="1"/>
  <c r="F227" i="16" s="1"/>
  <c r="G227" i="16" s="1"/>
  <c r="BY227" i="6" s="1"/>
  <c r="U224" i="16"/>
  <c r="T224" i="16" s="1"/>
  <c r="S224" i="16" s="1"/>
  <c r="R224" i="16" s="1"/>
  <c r="P224" i="16" s="1"/>
  <c r="V224" i="16" s="1"/>
  <c r="F224" i="16" s="1"/>
  <c r="H224" i="16" s="1"/>
  <c r="U84" i="16"/>
  <c r="T84" i="16" s="1"/>
  <c r="S84" i="16" s="1"/>
  <c r="R84" i="16" s="1"/>
  <c r="P84" i="16" s="1"/>
  <c r="V84" i="16" s="1"/>
  <c r="F84" i="16" s="1"/>
  <c r="AA84" i="16" s="1"/>
  <c r="Z84" i="16" s="1"/>
  <c r="Y84" i="16" s="1"/>
  <c r="U15" i="16"/>
  <c r="T15" i="16" s="1"/>
  <c r="U248" i="16"/>
  <c r="T248" i="16" s="1"/>
  <c r="S248" i="16" s="1"/>
  <c r="R248" i="16" s="1"/>
  <c r="P248" i="16" s="1"/>
  <c r="V248" i="16" s="1"/>
  <c r="F248" i="16" s="1"/>
  <c r="H248" i="16" s="1"/>
  <c r="I248" i="16" s="1"/>
  <c r="U366" i="16"/>
  <c r="T366" i="16" s="1"/>
  <c r="S366" i="16" s="1"/>
  <c r="R366" i="16" s="1"/>
  <c r="P366" i="16" s="1"/>
  <c r="V366" i="16" s="1"/>
  <c r="F366" i="16" s="1"/>
  <c r="H366" i="16" s="1"/>
  <c r="I366" i="16" s="1"/>
  <c r="U198" i="16"/>
  <c r="T198" i="16" s="1"/>
  <c r="S198" i="16" s="1"/>
  <c r="R198" i="16" s="1"/>
  <c r="P198" i="16" s="1"/>
  <c r="V198" i="16" s="1"/>
  <c r="F198" i="16" s="1"/>
  <c r="U352" i="16"/>
  <c r="T352" i="16" s="1"/>
  <c r="S352" i="16" s="1"/>
  <c r="R352" i="16" s="1"/>
  <c r="P352" i="16" s="1"/>
  <c r="V352" i="16" s="1"/>
  <c r="F352" i="16" s="1"/>
  <c r="H352" i="16" s="1"/>
  <c r="J352" i="16" s="1"/>
  <c r="U163" i="16"/>
  <c r="T163" i="16" s="1"/>
  <c r="S163" i="16" s="1"/>
  <c r="R163" i="16" s="1"/>
  <c r="P163" i="16" s="1"/>
  <c r="V163" i="16" s="1"/>
  <c r="F163" i="16" s="1"/>
  <c r="H163" i="16" s="1"/>
  <c r="U216" i="16"/>
  <c r="T216" i="16" s="1"/>
  <c r="S216" i="16" s="1"/>
  <c r="R216" i="16" s="1"/>
  <c r="P216" i="16" s="1"/>
  <c r="V216" i="16" s="1"/>
  <c r="F216" i="16" s="1"/>
  <c r="G216" i="16" s="1"/>
  <c r="BY216" i="6" s="1"/>
  <c r="U235" i="16"/>
  <c r="T235" i="16" s="1"/>
  <c r="S235" i="16" s="1"/>
  <c r="R235" i="16" s="1"/>
  <c r="P235" i="16" s="1"/>
  <c r="V235" i="16" s="1"/>
  <c r="F235" i="16" s="1"/>
  <c r="G235" i="16" s="1"/>
  <c r="BY235" i="6" s="1"/>
  <c r="U71" i="16"/>
  <c r="T71" i="16" s="1"/>
  <c r="S71" i="16" s="1"/>
  <c r="R71" i="16" s="1"/>
  <c r="P71" i="16" s="1"/>
  <c r="V71" i="16" s="1"/>
  <c r="F71" i="16" s="1"/>
  <c r="AA71" i="16" s="1"/>
  <c r="Z71" i="16" s="1"/>
  <c r="Y71" i="16" s="1"/>
  <c r="U260" i="16"/>
  <c r="T260" i="16" s="1"/>
  <c r="S260" i="16" s="1"/>
  <c r="R260" i="16" s="1"/>
  <c r="P260" i="16" s="1"/>
  <c r="V260" i="16" s="1"/>
  <c r="F260" i="16" s="1"/>
  <c r="G260" i="16" s="1"/>
  <c r="BY260" i="6" s="1"/>
  <c r="U259" i="16"/>
  <c r="T259" i="16" s="1"/>
  <c r="S259" i="16" s="1"/>
  <c r="R259" i="16" s="1"/>
  <c r="P259" i="16" s="1"/>
  <c r="U125" i="16"/>
  <c r="T125" i="16" s="1"/>
  <c r="S125" i="16" s="1"/>
  <c r="R125" i="16" s="1"/>
  <c r="P125" i="16" s="1"/>
  <c r="V125" i="16" s="1"/>
  <c r="F125" i="16" s="1"/>
  <c r="G125" i="16" s="1"/>
  <c r="BY125" i="6" s="1"/>
  <c r="U253" i="16"/>
  <c r="T253" i="16" s="1"/>
  <c r="S253" i="16" s="1"/>
  <c r="R253" i="16" s="1"/>
  <c r="P253" i="16" s="1"/>
  <c r="V253" i="16" s="1"/>
  <c r="F253" i="16" s="1"/>
  <c r="AA253" i="16" s="1"/>
  <c r="Z253" i="16" s="1"/>
  <c r="Y253" i="16" s="1"/>
  <c r="U78" i="16"/>
  <c r="T78" i="16" s="1"/>
  <c r="S78" i="16" s="1"/>
  <c r="R78" i="16" s="1"/>
  <c r="P78" i="16" s="1"/>
  <c r="V78" i="16" s="1"/>
  <c r="F78" i="16" s="1"/>
  <c r="AA78" i="16" s="1"/>
  <c r="Z78" i="16" s="1"/>
  <c r="Y78" i="16" s="1"/>
  <c r="U378" i="16"/>
  <c r="T378" i="16" s="1"/>
  <c r="S378" i="16" s="1"/>
  <c r="R378" i="16" s="1"/>
  <c r="P378" i="16" s="1"/>
  <c r="V378" i="16" s="1"/>
  <c r="F378" i="16" s="1"/>
  <c r="H378" i="16" s="1"/>
  <c r="U373" i="16"/>
  <c r="T373" i="16" s="1"/>
  <c r="S373" i="16" s="1"/>
  <c r="R373" i="16" s="1"/>
  <c r="P373" i="16" s="1"/>
  <c r="V373" i="16" s="1"/>
  <c r="F373" i="16" s="1"/>
  <c r="G373" i="16" s="1"/>
  <c r="BY373" i="6" s="1"/>
  <c r="U154" i="16"/>
  <c r="T154" i="16" s="1"/>
  <c r="S154" i="16" s="1"/>
  <c r="R154" i="16" s="1"/>
  <c r="P154" i="16" s="1"/>
  <c r="V154" i="16" s="1"/>
  <c r="F154" i="16" s="1"/>
  <c r="AA154" i="16" s="1"/>
  <c r="Z154" i="16" s="1"/>
  <c r="Y154" i="16" s="1"/>
  <c r="U219" i="16"/>
  <c r="T219" i="16" s="1"/>
  <c r="S219" i="16" s="1"/>
  <c r="R219" i="16" s="1"/>
  <c r="P219" i="16" s="1"/>
  <c r="V219" i="16" s="1"/>
  <c r="F219" i="16" s="1"/>
  <c r="H219" i="16" s="1"/>
  <c r="J219" i="16" s="1"/>
  <c r="U346" i="16"/>
  <c r="T346" i="16" s="1"/>
  <c r="S346" i="16" s="1"/>
  <c r="R346" i="16" s="1"/>
  <c r="P346" i="16" s="1"/>
  <c r="V346" i="16" s="1"/>
  <c r="F346" i="16" s="1"/>
  <c r="AA346" i="16" s="1"/>
  <c r="Z346" i="16" s="1"/>
  <c r="Y346" i="16" s="1"/>
  <c r="U369" i="16"/>
  <c r="T369" i="16" s="1"/>
  <c r="S369" i="16" s="1"/>
  <c r="R369" i="16" s="1"/>
  <c r="P369" i="16" s="1"/>
  <c r="V369" i="16" s="1"/>
  <c r="F369" i="16" s="1"/>
  <c r="AA369" i="16" s="1"/>
  <c r="Z369" i="16" s="1"/>
  <c r="Y369" i="16" s="1"/>
  <c r="U273" i="16"/>
  <c r="T273" i="16" s="1"/>
  <c r="S273" i="16" s="1"/>
  <c r="R273" i="16" s="1"/>
  <c r="P273" i="16" s="1"/>
  <c r="V273" i="16" s="1"/>
  <c r="F273" i="16" s="1"/>
  <c r="G273" i="16" s="1"/>
  <c r="BY273" i="6" s="1"/>
  <c r="U316" i="16"/>
  <c r="T316" i="16" s="1"/>
  <c r="S316" i="16" s="1"/>
  <c r="R316" i="16" s="1"/>
  <c r="P316" i="16" s="1"/>
  <c r="V316" i="16" s="1"/>
  <c r="F316" i="16" s="1"/>
  <c r="G316" i="16" s="1"/>
  <c r="BY316" i="6" s="1"/>
  <c r="U112" i="16"/>
  <c r="T112" i="16" s="1"/>
  <c r="S112" i="16" s="1"/>
  <c r="R112" i="16" s="1"/>
  <c r="P112" i="16" s="1"/>
  <c r="V112" i="16" s="1"/>
  <c r="F112" i="16" s="1"/>
  <c r="G112" i="16" s="1"/>
  <c r="BY112" i="6" s="1"/>
  <c r="U375" i="16"/>
  <c r="T375" i="16" s="1"/>
  <c r="S375" i="16" s="1"/>
  <c r="R375" i="16" s="1"/>
  <c r="P375" i="16" s="1"/>
  <c r="V375" i="16" s="1"/>
  <c r="F375" i="16" s="1"/>
  <c r="G375" i="16" s="1"/>
  <c r="BY375" i="6" s="1"/>
  <c r="U281" i="16"/>
  <c r="T281" i="16" s="1"/>
  <c r="S281" i="16" s="1"/>
  <c r="R281" i="16" s="1"/>
  <c r="P281" i="16" s="1"/>
  <c r="V281" i="16" s="1"/>
  <c r="F281" i="16" s="1"/>
  <c r="G281" i="16" s="1"/>
  <c r="BY281" i="6" s="1"/>
  <c r="U58" i="16"/>
  <c r="T58" i="16" s="1"/>
  <c r="S58" i="16" s="1"/>
  <c r="R58" i="16" s="1"/>
  <c r="P58" i="16" s="1"/>
  <c r="V58" i="16" s="1"/>
  <c r="F58" i="16" s="1"/>
  <c r="G58" i="16" s="1"/>
  <c r="BY58" i="6" s="1"/>
  <c r="U328" i="16"/>
  <c r="T328" i="16" s="1"/>
  <c r="S328" i="16" s="1"/>
  <c r="R328" i="16" s="1"/>
  <c r="P328" i="16" s="1"/>
  <c r="V328" i="16" s="1"/>
  <c r="F328" i="16" s="1"/>
  <c r="H328" i="16" s="1"/>
  <c r="J328" i="16" s="1"/>
  <c r="U39" i="16"/>
  <c r="T39" i="16" s="1"/>
  <c r="S39" i="16" s="1"/>
  <c r="R39" i="16" s="1"/>
  <c r="P39" i="16" s="1"/>
  <c r="V39" i="16" s="1"/>
  <c r="F39" i="16" s="1"/>
  <c r="H39" i="16" s="1"/>
  <c r="U287" i="16"/>
  <c r="T287" i="16" s="1"/>
  <c r="S287" i="16" s="1"/>
  <c r="R287" i="16" s="1"/>
  <c r="P287" i="16" s="1"/>
  <c r="V287" i="16" s="1"/>
  <c r="F287" i="16" s="1"/>
  <c r="H287" i="16" s="1"/>
  <c r="U212" i="16"/>
  <c r="T212" i="16" s="1"/>
  <c r="S212" i="16" s="1"/>
  <c r="R212" i="16" s="1"/>
  <c r="P212" i="16" s="1"/>
  <c r="V212" i="16" s="1"/>
  <c r="F212" i="16" s="1"/>
  <c r="H212" i="16" s="1"/>
  <c r="U289" i="16"/>
  <c r="T289" i="16" s="1"/>
  <c r="S289" i="16" s="1"/>
  <c r="R289" i="16" s="1"/>
  <c r="P289" i="16" s="1"/>
  <c r="V289" i="16" s="1"/>
  <c r="F289" i="16" s="1"/>
  <c r="H289" i="16" s="1"/>
  <c r="U288" i="16"/>
  <c r="T288" i="16" s="1"/>
  <c r="S288" i="16" s="1"/>
  <c r="R288" i="16" s="1"/>
  <c r="P288" i="16" s="1"/>
  <c r="V288" i="16" s="1"/>
  <c r="F288" i="16" s="1"/>
  <c r="AA288" i="16" s="1"/>
  <c r="Z288" i="16" s="1"/>
  <c r="Y288" i="16" s="1"/>
  <c r="U118" i="16"/>
  <c r="T118" i="16" s="1"/>
  <c r="S118" i="16" s="1"/>
  <c r="R118" i="16" s="1"/>
  <c r="P118" i="16" s="1"/>
  <c r="V118" i="16" s="1"/>
  <c r="F118" i="16" s="1"/>
  <c r="G118" i="16" s="1"/>
  <c r="BY118" i="6" s="1"/>
  <c r="U94" i="16"/>
  <c r="T94" i="16" s="1"/>
  <c r="S94" i="16" s="1"/>
  <c r="R94" i="16" s="1"/>
  <c r="P94" i="16" s="1"/>
  <c r="V94" i="16" s="1"/>
  <c r="F94" i="16" s="1"/>
  <c r="AA94" i="16" s="1"/>
  <c r="Z94" i="16" s="1"/>
  <c r="Y94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64" i="16"/>
  <c r="T264" i="16" s="1"/>
  <c r="S264" i="16" s="1"/>
  <c r="R264" i="16" s="1"/>
  <c r="P264" i="16" s="1"/>
  <c r="V264" i="16" s="1"/>
  <c r="F264" i="16" s="1"/>
  <c r="U334" i="16"/>
  <c r="T334" i="16" s="1"/>
  <c r="S334" i="16" s="1"/>
  <c r="R334" i="16" s="1"/>
  <c r="P334" i="16" s="1"/>
  <c r="V334" i="16" s="1"/>
  <c r="F334" i="16" s="1"/>
  <c r="G334" i="16" s="1"/>
  <c r="BY334" i="6" s="1"/>
  <c r="U271" i="16"/>
  <c r="T271" i="16" s="1"/>
  <c r="S271" i="16" s="1"/>
  <c r="R271" i="16" s="1"/>
  <c r="P271" i="16" s="1"/>
  <c r="V271" i="16" s="1"/>
  <c r="F271" i="16" s="1"/>
  <c r="G271" i="16" s="1"/>
  <c r="BY271" i="6" s="1"/>
  <c r="U70" i="16"/>
  <c r="T70" i="16" s="1"/>
  <c r="S70" i="16" s="1"/>
  <c r="R70" i="16" s="1"/>
  <c r="P70" i="16" s="1"/>
  <c r="V70" i="16" s="1"/>
  <c r="F70" i="16" s="1"/>
  <c r="G70" i="16" s="1"/>
  <c r="BY70" i="6" s="1"/>
  <c r="U181" i="16"/>
  <c r="T181" i="16" s="1"/>
  <c r="S181" i="16" s="1"/>
  <c r="R181" i="16" s="1"/>
  <c r="P181" i="16" s="1"/>
  <c r="V181" i="16" s="1"/>
  <c r="F181" i="16" s="1"/>
  <c r="G181" i="16" s="1"/>
  <c r="BY181" i="6" s="1"/>
  <c r="U265" i="16"/>
  <c r="T265" i="16" s="1"/>
  <c r="S265" i="16" s="1"/>
  <c r="R265" i="16" s="1"/>
  <c r="P265" i="16" s="1"/>
  <c r="V265" i="16" s="1"/>
  <c r="F265" i="16" s="1"/>
  <c r="G265" i="16" s="1"/>
  <c r="BY265" i="6" s="1"/>
  <c r="U29" i="16"/>
  <c r="T29" i="16" s="1"/>
  <c r="S29" i="16" s="1"/>
  <c r="R29" i="16" s="1"/>
  <c r="P29" i="16" s="1"/>
  <c r="V29" i="16" s="1"/>
  <c r="U150" i="16"/>
  <c r="T150" i="16" s="1"/>
  <c r="S150" i="16" s="1"/>
  <c r="R150" i="16" s="1"/>
  <c r="P150" i="16" s="1"/>
  <c r="V150" i="16" s="1"/>
  <c r="F150" i="16" s="1"/>
  <c r="G150" i="16" s="1"/>
  <c r="BY150" i="6" s="1"/>
  <c r="U279" i="16"/>
  <c r="T279" i="16" s="1"/>
  <c r="S279" i="16" s="1"/>
  <c r="R279" i="16" s="1"/>
  <c r="P279" i="16" s="1"/>
  <c r="V279" i="16" s="1"/>
  <c r="F279" i="16" s="1"/>
  <c r="H279" i="16" s="1"/>
  <c r="U145" i="16"/>
  <c r="T145" i="16" s="1"/>
  <c r="S145" i="16" s="1"/>
  <c r="R145" i="16" s="1"/>
  <c r="P145" i="16" s="1"/>
  <c r="V145" i="16" s="1"/>
  <c r="F145" i="16" s="1"/>
  <c r="AA145" i="16" s="1"/>
  <c r="Z145" i="16" s="1"/>
  <c r="Y145" i="16" s="1"/>
  <c r="U274" i="16"/>
  <c r="T274" i="16" s="1"/>
  <c r="S274" i="16" s="1"/>
  <c r="R274" i="16" s="1"/>
  <c r="P274" i="16" s="1"/>
  <c r="V274" i="16" s="1"/>
  <c r="F274" i="16" s="1"/>
  <c r="G274" i="16" s="1"/>
  <c r="BY274" i="6" s="1"/>
  <c r="U232" i="16"/>
  <c r="T232" i="16" s="1"/>
  <c r="S232" i="16" s="1"/>
  <c r="R232" i="16" s="1"/>
  <c r="P232" i="16" s="1"/>
  <c r="V232" i="16" s="1"/>
  <c r="F232" i="16" s="1"/>
  <c r="G232" i="16" s="1"/>
  <c r="BY232" i="6" s="1"/>
  <c r="U188" i="16"/>
  <c r="T188" i="16" s="1"/>
  <c r="S188" i="16" s="1"/>
  <c r="R188" i="16" s="1"/>
  <c r="P188" i="16" s="1"/>
  <c r="V188" i="16" s="1"/>
  <c r="F188" i="16" s="1"/>
  <c r="H188" i="16" s="1"/>
  <c r="U157" i="16"/>
  <c r="T157" i="16" s="1"/>
  <c r="S157" i="16" s="1"/>
  <c r="R157" i="16" s="1"/>
  <c r="P157" i="16" s="1"/>
  <c r="V157" i="16" s="1"/>
  <c r="F157" i="16" s="1"/>
  <c r="G157" i="16" s="1"/>
  <c r="BY157" i="6" s="1"/>
  <c r="U222" i="16"/>
  <c r="T222" i="16" s="1"/>
  <c r="S222" i="16" s="1"/>
  <c r="R222" i="16" s="1"/>
  <c r="P222" i="16" s="1"/>
  <c r="V222" i="16" s="1"/>
  <c r="F222" i="16" s="1"/>
  <c r="G222" i="16" s="1"/>
  <c r="BY222" i="6" s="1"/>
  <c r="U90" i="16"/>
  <c r="T90" i="16" s="1"/>
  <c r="S90" i="16" s="1"/>
  <c r="R90" i="16" s="1"/>
  <c r="P90" i="16" s="1"/>
  <c r="V90" i="16" s="1"/>
  <c r="F90" i="16" s="1"/>
  <c r="G90" i="16" s="1"/>
  <c r="BY90" i="6" s="1"/>
  <c r="U197" i="16"/>
  <c r="T197" i="16" s="1"/>
  <c r="S197" i="16" s="1"/>
  <c r="R197" i="16" s="1"/>
  <c r="P197" i="16" s="1"/>
  <c r="V197" i="16" s="1"/>
  <c r="U296" i="16"/>
  <c r="T296" i="16" s="1"/>
  <c r="S296" i="16" s="1"/>
  <c r="R296" i="16" s="1"/>
  <c r="P296" i="16" s="1"/>
  <c r="V296" i="16" s="1"/>
  <c r="F296" i="16" s="1"/>
  <c r="H296" i="16" s="1"/>
  <c r="I296" i="16" s="1"/>
  <c r="U116" i="16"/>
  <c r="T116" i="16" s="1"/>
  <c r="S116" i="16" s="1"/>
  <c r="R116" i="16" s="1"/>
  <c r="P116" i="16" s="1"/>
  <c r="V116" i="16" s="1"/>
  <c r="F116" i="16" s="1"/>
  <c r="G116" i="16" s="1"/>
  <c r="BY116" i="6" s="1"/>
  <c r="U48" i="16"/>
  <c r="T48" i="16" s="1"/>
  <c r="S48" i="16" s="1"/>
  <c r="R48" i="16" s="1"/>
  <c r="P48" i="16" s="1"/>
  <c r="V48" i="16" s="1"/>
  <c r="F48" i="16" s="1"/>
  <c r="AA48" i="16" s="1"/>
  <c r="Z48" i="16" s="1"/>
  <c r="Y48" i="16" s="1"/>
  <c r="U143" i="16"/>
  <c r="T143" i="16" s="1"/>
  <c r="S143" i="16" s="1"/>
  <c r="R143" i="16" s="1"/>
  <c r="P143" i="16" s="1"/>
  <c r="V143" i="16" s="1"/>
  <c r="F143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196" i="16"/>
  <c r="T196" i="16" s="1"/>
  <c r="S196" i="16" s="1"/>
  <c r="R196" i="16" s="1"/>
  <c r="P196" i="16" s="1"/>
  <c r="V196" i="16" s="1"/>
  <c r="F196" i="16" s="1"/>
  <c r="G196" i="16" s="1"/>
  <c r="BY196" i="6" s="1"/>
  <c r="U250" i="16"/>
  <c r="T250" i="16" s="1"/>
  <c r="S250" i="16" s="1"/>
  <c r="R250" i="16" s="1"/>
  <c r="P250" i="16" s="1"/>
  <c r="V250" i="16" s="1"/>
  <c r="F250" i="16" s="1"/>
  <c r="H250" i="16" s="1"/>
  <c r="U208" i="16"/>
  <c r="T208" i="16" s="1"/>
  <c r="S208" i="16" s="1"/>
  <c r="R208" i="16" s="1"/>
  <c r="P208" i="16" s="1"/>
  <c r="V208" i="16" s="1"/>
  <c r="F208" i="16" s="1"/>
  <c r="G208" i="16" s="1"/>
  <c r="BY208" i="6" s="1"/>
  <c r="U106" i="16"/>
  <c r="T106" i="16" s="1"/>
  <c r="S106" i="16" s="1"/>
  <c r="R106" i="16" s="1"/>
  <c r="P106" i="16" s="1"/>
  <c r="V106" i="16" s="1"/>
  <c r="F106" i="16" s="1"/>
  <c r="U231" i="16"/>
  <c r="T231" i="16" s="1"/>
  <c r="S231" i="16" s="1"/>
  <c r="R231" i="16" s="1"/>
  <c r="P231" i="16" s="1"/>
  <c r="V231" i="16" s="1"/>
  <c r="F231" i="16" s="1"/>
  <c r="G231" i="16" s="1"/>
  <c r="BY231" i="6" s="1"/>
  <c r="U348" i="16"/>
  <c r="T348" i="16" s="1"/>
  <c r="S348" i="16" s="1"/>
  <c r="R348" i="16" s="1"/>
  <c r="P348" i="16" s="1"/>
  <c r="V348" i="16" s="1"/>
  <c r="F348" i="16" s="1"/>
  <c r="G348" i="16" s="1"/>
  <c r="BY348" i="6" s="1"/>
  <c r="U317" i="16"/>
  <c r="T317" i="16" s="1"/>
  <c r="S317" i="16" s="1"/>
  <c r="R317" i="16" s="1"/>
  <c r="P317" i="16" s="1"/>
  <c r="V317" i="16" s="1"/>
  <c r="F317" i="16" s="1"/>
  <c r="G317" i="16" s="1"/>
  <c r="BY317" i="6" s="1"/>
  <c r="U325" i="16"/>
  <c r="T325" i="16" s="1"/>
  <c r="S325" i="16" s="1"/>
  <c r="R325" i="16" s="1"/>
  <c r="P325" i="16" s="1"/>
  <c r="V325" i="16" s="1"/>
  <c r="F325" i="16" s="1"/>
  <c r="G325" i="16" s="1"/>
  <c r="BY325" i="6" s="1"/>
  <c r="U207" i="16"/>
  <c r="T207" i="16" s="1"/>
  <c r="S207" i="16" s="1"/>
  <c r="R207" i="16" s="1"/>
  <c r="P207" i="16" s="1"/>
  <c r="V207" i="16" s="1"/>
  <c r="F207" i="16" s="1"/>
  <c r="G207" i="16" s="1"/>
  <c r="BY207" i="6" s="1"/>
  <c r="U343" i="16"/>
  <c r="T343" i="16" s="1"/>
  <c r="S343" i="16" s="1"/>
  <c r="R343" i="16" s="1"/>
  <c r="P343" i="16" s="1"/>
  <c r="V343" i="16" s="1"/>
  <c r="F343" i="16" s="1"/>
  <c r="G343" i="16" s="1"/>
  <c r="BY343" i="6" s="1"/>
  <c r="U174" i="16"/>
  <c r="T174" i="16" s="1"/>
  <c r="S174" i="16" s="1"/>
  <c r="R174" i="16" s="1"/>
  <c r="P174" i="16" s="1"/>
  <c r="V174" i="16" s="1"/>
  <c r="F174" i="16" s="1"/>
  <c r="AA174" i="16" s="1"/>
  <c r="Z174" i="16" s="1"/>
  <c r="Y174" i="16" s="1"/>
  <c r="U342" i="16"/>
  <c r="T342" i="16" s="1"/>
  <c r="S342" i="16" s="1"/>
  <c r="R342" i="16" s="1"/>
  <c r="P342" i="16" s="1"/>
  <c r="V342" i="16" s="1"/>
  <c r="F342" i="16" s="1"/>
  <c r="H342" i="16" s="1"/>
  <c r="I342" i="16" s="1"/>
  <c r="U179" i="16"/>
  <c r="T179" i="16" s="1"/>
  <c r="S179" i="16" s="1"/>
  <c r="R179" i="16" s="1"/>
  <c r="P179" i="16" s="1"/>
  <c r="V179" i="16" s="1"/>
  <c r="F179" i="16" s="1"/>
  <c r="U186" i="16"/>
  <c r="T186" i="16" s="1"/>
  <c r="S186" i="16" s="1"/>
  <c r="R186" i="16" s="1"/>
  <c r="P186" i="16" s="1"/>
  <c r="V186" i="16" s="1"/>
  <c r="F186" i="16" s="1"/>
  <c r="H186" i="16" s="1"/>
  <c r="U228" i="16"/>
  <c r="T228" i="16" s="1"/>
  <c r="S228" i="16" s="1"/>
  <c r="R228" i="16" s="1"/>
  <c r="P228" i="16" s="1"/>
  <c r="V2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6" i="16"/>
  <c r="T36" i="16" s="1"/>
  <c r="S36" i="16" s="1"/>
  <c r="R36" i="16" s="1"/>
  <c r="P36" i="16" s="1"/>
  <c r="V36" i="16" s="1"/>
  <c r="F36" i="16" s="1"/>
  <c r="U67" i="16"/>
  <c r="T67" i="16" s="1"/>
  <c r="S67" i="16" s="1"/>
  <c r="R67" i="16" s="1"/>
  <c r="P67" i="16" s="1"/>
  <c r="V67" i="16" s="1"/>
  <c r="F67" i="16" s="1"/>
  <c r="H67" i="16" s="1"/>
  <c r="J67" i="16" s="1"/>
  <c r="U311" i="16"/>
  <c r="T311" i="16" s="1"/>
  <c r="S311" i="16" s="1"/>
  <c r="R311" i="16" s="1"/>
  <c r="P311" i="16" s="1"/>
  <c r="V311" i="16" s="1"/>
  <c r="F311" i="16" s="1"/>
  <c r="G311" i="16" s="1"/>
  <c r="BY311" i="6" s="1"/>
  <c r="U16" i="16"/>
  <c r="T16" i="16" s="1"/>
  <c r="S16" i="16" s="1"/>
  <c r="R16" i="16" s="1"/>
  <c r="P16" i="16" s="1"/>
  <c r="V16" i="16" s="1"/>
  <c r="F16" i="16" s="1"/>
  <c r="G16" i="16" s="1"/>
  <c r="BY16" i="6" s="1"/>
  <c r="AI136" i="16"/>
  <c r="AH136" i="16" s="1"/>
  <c r="AG136" i="16" s="1"/>
  <c r="AF136" i="16" s="1"/>
  <c r="AD136" i="16" s="1"/>
  <c r="AI237" i="16"/>
  <c r="AH237" i="16" s="1"/>
  <c r="AG237" i="16" s="1"/>
  <c r="AF237" i="16" s="1"/>
  <c r="AD237" i="16" s="1"/>
  <c r="AI132" i="16"/>
  <c r="AH132" i="16" s="1"/>
  <c r="AG132" i="16" s="1"/>
  <c r="AF132" i="16" s="1"/>
  <c r="AD132" i="16" s="1"/>
  <c r="AI41" i="16"/>
  <c r="AH41" i="16" s="1"/>
  <c r="AG41" i="16" s="1"/>
  <c r="AF41" i="16" s="1"/>
  <c r="AD41" i="16" s="1"/>
  <c r="AA41" i="16" s="1"/>
  <c r="Z41" i="16" s="1"/>
  <c r="Y41" i="16" s="1"/>
  <c r="AI43" i="16"/>
  <c r="AH43" i="16" s="1"/>
  <c r="AG43" i="16" s="1"/>
  <c r="AF43" i="16" s="1"/>
  <c r="AD43" i="16" s="1"/>
  <c r="AA43" i="16" s="1"/>
  <c r="Z43" i="16" s="1"/>
  <c r="Y43" i="16" s="1"/>
  <c r="AI291" i="16"/>
  <c r="AH291" i="16" s="1"/>
  <c r="AG291" i="16" s="1"/>
  <c r="AF291" i="16" s="1"/>
  <c r="AD291" i="16" s="1"/>
  <c r="AA291" i="16" s="1"/>
  <c r="Z291" i="16" s="1"/>
  <c r="Y291" i="16" s="1"/>
  <c r="AI68" i="16"/>
  <c r="AH68" i="16" s="1"/>
  <c r="AG68" i="16" s="1"/>
  <c r="AF68" i="16" s="1"/>
  <c r="AD68" i="16" s="1"/>
  <c r="AI21" i="16"/>
  <c r="AH21" i="16" s="1"/>
  <c r="AG21" i="16" s="1"/>
  <c r="AF21" i="16" s="1"/>
  <c r="AD21" i="16" s="1"/>
  <c r="AI200" i="16"/>
  <c r="AH200" i="16" s="1"/>
  <c r="AG200" i="16" s="1"/>
  <c r="AF200" i="16" s="1"/>
  <c r="AD200" i="16" s="1"/>
  <c r="AI56" i="16"/>
  <c r="AH56" i="16" s="1"/>
  <c r="AG56" i="16" s="1"/>
  <c r="AF56" i="16" s="1"/>
  <c r="AD56" i="16" s="1"/>
  <c r="AA56" i="16" s="1"/>
  <c r="Z56" i="16" s="1"/>
  <c r="Y56" i="16" s="1"/>
  <c r="AI206" i="16"/>
  <c r="AH206" i="16" s="1"/>
  <c r="AG206" i="16" s="1"/>
  <c r="AF206" i="16" s="1"/>
  <c r="AD206" i="16" s="1"/>
  <c r="AI187" i="16"/>
  <c r="AH187" i="16" s="1"/>
  <c r="AG187" i="16" s="1"/>
  <c r="AF187" i="16" s="1"/>
  <c r="AD187" i="16" s="1"/>
  <c r="AA187" i="16" s="1"/>
  <c r="Z187" i="16" s="1"/>
  <c r="Y187" i="16" s="1"/>
  <c r="AI186" i="16"/>
  <c r="AH186" i="16" s="1"/>
  <c r="AG186" i="16" s="1"/>
  <c r="AF186" i="16" s="1"/>
  <c r="AD186" i="16" s="1"/>
  <c r="AI348" i="16"/>
  <c r="AH348" i="16" s="1"/>
  <c r="AG348" i="16" s="1"/>
  <c r="AF348" i="16" s="1"/>
  <c r="AD348" i="16" s="1"/>
  <c r="AI374" i="16"/>
  <c r="AH374" i="16" s="1"/>
  <c r="AG374" i="16" s="1"/>
  <c r="AF374" i="16" s="1"/>
  <c r="AD374" i="16" s="1"/>
  <c r="AI268" i="16"/>
  <c r="AH268" i="16" s="1"/>
  <c r="AG268" i="16" s="1"/>
  <c r="AF268" i="16" s="1"/>
  <c r="AD268" i="16" s="1"/>
  <c r="AI349" i="16"/>
  <c r="AH349" i="16" s="1"/>
  <c r="AG349" i="16" s="1"/>
  <c r="AF349" i="16" s="1"/>
  <c r="AD349" i="16" s="1"/>
  <c r="AI293" i="16"/>
  <c r="AH293" i="16" s="1"/>
  <c r="AG293" i="16" s="1"/>
  <c r="AF293" i="16" s="1"/>
  <c r="AD293" i="16" s="1"/>
  <c r="AI64" i="16"/>
  <c r="AH64" i="16" s="1"/>
  <c r="AG64" i="16" s="1"/>
  <c r="AF64" i="16" s="1"/>
  <c r="AD64" i="16" s="1"/>
  <c r="AI213" i="16"/>
  <c r="AH213" i="16" s="1"/>
  <c r="AG213" i="16" s="1"/>
  <c r="AF213" i="16" s="1"/>
  <c r="AD213" i="16" s="1"/>
  <c r="AI177" i="16"/>
  <c r="AH177" i="16" s="1"/>
  <c r="AG177" i="16" s="1"/>
  <c r="AF177" i="16" s="1"/>
  <c r="AD177" i="16" s="1"/>
  <c r="AI176" i="16"/>
  <c r="AH176" i="16" s="1"/>
  <c r="AG176" i="16" s="1"/>
  <c r="AF176" i="16" s="1"/>
  <c r="AD176" i="16" s="1"/>
  <c r="AA176" i="16" s="1"/>
  <c r="Z176" i="16" s="1"/>
  <c r="Y176" i="16" s="1"/>
  <c r="AI376" i="16"/>
  <c r="AH376" i="16" s="1"/>
  <c r="AG376" i="16" s="1"/>
  <c r="AF376" i="16" s="1"/>
  <c r="AD376" i="16" s="1"/>
  <c r="AI335" i="16"/>
  <c r="AH335" i="16" s="1"/>
  <c r="AG335" i="16" s="1"/>
  <c r="AF335" i="16" s="1"/>
  <c r="AD335" i="16" s="1"/>
  <c r="AI126" i="16"/>
  <c r="AH126" i="16" s="1"/>
  <c r="AG126" i="16" s="1"/>
  <c r="AF126" i="16" s="1"/>
  <c r="AD126" i="16" s="1"/>
  <c r="AI350" i="16"/>
  <c r="AH350" i="16" s="1"/>
  <c r="AG350" i="16" s="1"/>
  <c r="AF350" i="16" s="1"/>
  <c r="AD350" i="16" s="1"/>
  <c r="AI40" i="16"/>
  <c r="AH40" i="16" s="1"/>
  <c r="AG40" i="16" s="1"/>
  <c r="AF40" i="16" s="1"/>
  <c r="AD40" i="16" s="1"/>
  <c r="AI188" i="16"/>
  <c r="AH188" i="16" s="1"/>
  <c r="AG188" i="16" s="1"/>
  <c r="AF188" i="16" s="1"/>
  <c r="AD188" i="16" s="1"/>
  <c r="AI224" i="16"/>
  <c r="AH224" i="16" s="1"/>
  <c r="AG224" i="16" s="1"/>
  <c r="AF224" i="16" s="1"/>
  <c r="AD224" i="16" s="1"/>
  <c r="AI298" i="16"/>
  <c r="AH298" i="16" s="1"/>
  <c r="AG298" i="16" s="1"/>
  <c r="AF298" i="16" s="1"/>
  <c r="AD298" i="16" s="1"/>
  <c r="AA298" i="16" s="1"/>
  <c r="Z298" i="16" s="1"/>
  <c r="Y298" i="16" s="1"/>
  <c r="AI223" i="16"/>
  <c r="AH223" i="16" s="1"/>
  <c r="AG223" i="16" s="1"/>
  <c r="AF223" i="16" s="1"/>
  <c r="AD223" i="16" s="1"/>
  <c r="AI175" i="16"/>
  <c r="AH175" i="16" s="1"/>
  <c r="AG175" i="16" s="1"/>
  <c r="AF175" i="16" s="1"/>
  <c r="AD175" i="16" s="1"/>
  <c r="AI289" i="16"/>
  <c r="AH289" i="16" s="1"/>
  <c r="AG289" i="16" s="1"/>
  <c r="AF289" i="16" s="1"/>
  <c r="AD289" i="16" s="1"/>
  <c r="AI113" i="16"/>
  <c r="AH113" i="16" s="1"/>
  <c r="AG113" i="16" s="1"/>
  <c r="AF113" i="16" s="1"/>
  <c r="AD113" i="16" s="1"/>
  <c r="AA113" i="16" s="1"/>
  <c r="Z113" i="16" s="1"/>
  <c r="Y113" i="16" s="1"/>
  <c r="AI182" i="16"/>
  <c r="AH182" i="16" s="1"/>
  <c r="AG182" i="16" s="1"/>
  <c r="AF182" i="16" s="1"/>
  <c r="AD182" i="16" s="1"/>
  <c r="AA182" i="16" s="1"/>
  <c r="Z182" i="16" s="1"/>
  <c r="Y182" i="16" s="1"/>
  <c r="AI135" i="16"/>
  <c r="AH135" i="16" s="1"/>
  <c r="AG135" i="16" s="1"/>
  <c r="AF135" i="16" s="1"/>
  <c r="AD135" i="16" s="1"/>
  <c r="AI362" i="16"/>
  <c r="AH362" i="16" s="1"/>
  <c r="AG362" i="16" s="1"/>
  <c r="AF362" i="16" s="1"/>
  <c r="AD362" i="16" s="1"/>
  <c r="AI356" i="16"/>
  <c r="AH356" i="16" s="1"/>
  <c r="AG356" i="16" s="1"/>
  <c r="AF356" i="16" s="1"/>
  <c r="AD356" i="16" s="1"/>
  <c r="AI117" i="16"/>
  <c r="AH117" i="16" s="1"/>
  <c r="AG117" i="16" s="1"/>
  <c r="AF117" i="16" s="1"/>
  <c r="AD117" i="16" s="1"/>
  <c r="AI95" i="16"/>
  <c r="AH95" i="16" s="1"/>
  <c r="AG95" i="16" s="1"/>
  <c r="AF95" i="16" s="1"/>
  <c r="AD95" i="16" s="1"/>
  <c r="AI24" i="16"/>
  <c r="AH24" i="16" s="1"/>
  <c r="AG24" i="16" s="1"/>
  <c r="AF24" i="16" s="1"/>
  <c r="AD24" i="16" s="1"/>
  <c r="AI301" i="16"/>
  <c r="AH301" i="16" s="1"/>
  <c r="AG301" i="16" s="1"/>
  <c r="AF301" i="16" s="1"/>
  <c r="AD301" i="16" s="1"/>
  <c r="AI262" i="16"/>
  <c r="AH262" i="16" s="1"/>
  <c r="AG262" i="16" s="1"/>
  <c r="AF262" i="16" s="1"/>
  <c r="AD262" i="16" s="1"/>
  <c r="AI278" i="16"/>
  <c r="AH278" i="16" s="1"/>
  <c r="AG278" i="16" s="1"/>
  <c r="AF278" i="16" s="1"/>
  <c r="AD278" i="16" s="1"/>
  <c r="AA278" i="16" s="1"/>
  <c r="Z278" i="16" s="1"/>
  <c r="Y278" i="16" s="1"/>
  <c r="AI229" i="16"/>
  <c r="AH229" i="16" s="1"/>
  <c r="AG229" i="16" s="1"/>
  <c r="AF229" i="16" s="1"/>
  <c r="AD229" i="16" s="1"/>
  <c r="AA229" i="16" s="1"/>
  <c r="Z229" i="16" s="1"/>
  <c r="Y229" i="16" s="1"/>
  <c r="AI285" i="16"/>
  <c r="AH285" i="16" s="1"/>
  <c r="AG285" i="16" s="1"/>
  <c r="AF285" i="16" s="1"/>
  <c r="AD285" i="16" s="1"/>
  <c r="AA285" i="16" s="1"/>
  <c r="Z285" i="16" s="1"/>
  <c r="Y285" i="16" s="1"/>
  <c r="AI247" i="16"/>
  <c r="AH247" i="16" s="1"/>
  <c r="AG247" i="16" s="1"/>
  <c r="AF247" i="16" s="1"/>
  <c r="AD247" i="16" s="1"/>
  <c r="AI208" i="16"/>
  <c r="AH208" i="16" s="1"/>
  <c r="AG208" i="16" s="1"/>
  <c r="AF208" i="16" s="1"/>
  <c r="AD208" i="16" s="1"/>
  <c r="AI25" i="16"/>
  <c r="AH25" i="16" s="1"/>
  <c r="AG25" i="16" s="1"/>
  <c r="AF25" i="16" s="1"/>
  <c r="AD25" i="16" s="1"/>
  <c r="AA25" i="16" s="1"/>
  <c r="Z25" i="16" s="1"/>
  <c r="Y25" i="16" s="1"/>
  <c r="AI108" i="16"/>
  <c r="AH108" i="16" s="1"/>
  <c r="AG108" i="16" s="1"/>
  <c r="AF108" i="16" s="1"/>
  <c r="AD108" i="16" s="1"/>
  <c r="AI372" i="16"/>
  <c r="AH372" i="16" s="1"/>
  <c r="AG372" i="16" s="1"/>
  <c r="AF372" i="16" s="1"/>
  <c r="AD372" i="16" s="1"/>
  <c r="AA372" i="16" s="1"/>
  <c r="Z372" i="16" s="1"/>
  <c r="Y372" i="16" s="1"/>
  <c r="AI83" i="16"/>
  <c r="AH83" i="16" s="1"/>
  <c r="AG83" i="16" s="1"/>
  <c r="AF83" i="16" s="1"/>
  <c r="AD83" i="16" s="1"/>
  <c r="AI304" i="16"/>
  <c r="AH304" i="16" s="1"/>
  <c r="AG304" i="16" s="1"/>
  <c r="AF304" i="16" s="1"/>
  <c r="AD304" i="16" s="1"/>
  <c r="AI320" i="16"/>
  <c r="AH320" i="16" s="1"/>
  <c r="AG320" i="16" s="1"/>
  <c r="AF320" i="16" s="1"/>
  <c r="AD320" i="16" s="1"/>
  <c r="AI111" i="16"/>
  <c r="AH111" i="16" s="1"/>
  <c r="AG111" i="16" s="1"/>
  <c r="AF111" i="16" s="1"/>
  <c r="AD111" i="16" s="1"/>
  <c r="AI303" i="16"/>
  <c r="AH303" i="16" s="1"/>
  <c r="AG303" i="16" s="1"/>
  <c r="AF303" i="16" s="1"/>
  <c r="AD303" i="16" s="1"/>
  <c r="AA303" i="16" s="1"/>
  <c r="Z303" i="16" s="1"/>
  <c r="Y303" i="16" s="1"/>
  <c r="AI62" i="16"/>
  <c r="AH62" i="16" s="1"/>
  <c r="AG62" i="16" s="1"/>
  <c r="AF62" i="16" s="1"/>
  <c r="AD62" i="16" s="1"/>
  <c r="AI184" i="16"/>
  <c r="AH184" i="16" s="1"/>
  <c r="AG184" i="16" s="1"/>
  <c r="AF184" i="16" s="1"/>
  <c r="AD184" i="16" s="1"/>
  <c r="AI33" i="16"/>
  <c r="AH33" i="16" s="1"/>
  <c r="AG33" i="16" s="1"/>
  <c r="AF33" i="16" s="1"/>
  <c r="AD33" i="16" s="1"/>
  <c r="AI34" i="16"/>
  <c r="AH34" i="16" s="1"/>
  <c r="AG34" i="16" s="1"/>
  <c r="AF34" i="16" s="1"/>
  <c r="AD34" i="16" s="1"/>
  <c r="AI220" i="16"/>
  <c r="AH220" i="16" s="1"/>
  <c r="AG220" i="16" s="1"/>
  <c r="AF220" i="16" s="1"/>
  <c r="AD220" i="16" s="1"/>
  <c r="AA220" i="16" s="1"/>
  <c r="Z220" i="16" s="1"/>
  <c r="Y220" i="16" s="1"/>
  <c r="AI26" i="16"/>
  <c r="AH26" i="16" s="1"/>
  <c r="AG26" i="16" s="1"/>
  <c r="AF26" i="16" s="1"/>
  <c r="AD26" i="16" s="1"/>
  <c r="AA26" i="16" s="1"/>
  <c r="Z26" i="16" s="1"/>
  <c r="Y26" i="16" s="1"/>
  <c r="AI221" i="16"/>
  <c r="AH221" i="16" s="1"/>
  <c r="AG221" i="16" s="1"/>
  <c r="AF221" i="16" s="1"/>
  <c r="AD221" i="16" s="1"/>
  <c r="AI80" i="16"/>
  <c r="AH80" i="16" s="1"/>
  <c r="AG80" i="16" s="1"/>
  <c r="AF80" i="16" s="1"/>
  <c r="AD80" i="16" s="1"/>
  <c r="AA80" i="16" s="1"/>
  <c r="Z80" i="16" s="1"/>
  <c r="Y80" i="16" s="1"/>
  <c r="AI199" i="16"/>
  <c r="AH199" i="16" s="1"/>
  <c r="AG199" i="16" s="1"/>
  <c r="AF199" i="16" s="1"/>
  <c r="AD199" i="16" s="1"/>
  <c r="AA199" i="16" s="1"/>
  <c r="Z199" i="16" s="1"/>
  <c r="Y199" i="16" s="1"/>
  <c r="AI366" i="16"/>
  <c r="AH366" i="16" s="1"/>
  <c r="AG366" i="16" s="1"/>
  <c r="AF366" i="16" s="1"/>
  <c r="AD366" i="16" s="1"/>
  <c r="AI60" i="16"/>
  <c r="AH60" i="16" s="1"/>
  <c r="AG60" i="16" s="1"/>
  <c r="AF60" i="16" s="1"/>
  <c r="AD60" i="16" s="1"/>
  <c r="AI259" i="16"/>
  <c r="AH259" i="16" s="1"/>
  <c r="AG259" i="16" s="1"/>
  <c r="AF259" i="16" s="1"/>
  <c r="AD259" i="16" s="1"/>
  <c r="AI23" i="16"/>
  <c r="AH23" i="16" s="1"/>
  <c r="AG23" i="16" s="1"/>
  <c r="AF23" i="16" s="1"/>
  <c r="AD23" i="16" s="1"/>
  <c r="AA23" i="16" s="1"/>
  <c r="Z23" i="16" s="1"/>
  <c r="Y23" i="16" s="1"/>
  <c r="AI218" i="16"/>
  <c r="AH218" i="16" s="1"/>
  <c r="AG218" i="16" s="1"/>
  <c r="AF218" i="16" s="1"/>
  <c r="AD218" i="16" s="1"/>
  <c r="AI196" i="16"/>
  <c r="AH196" i="16" s="1"/>
  <c r="AG196" i="16" s="1"/>
  <c r="AF196" i="16" s="1"/>
  <c r="AD196" i="16" s="1"/>
  <c r="AI357" i="16"/>
  <c r="AH357" i="16" s="1"/>
  <c r="AG357" i="16" s="1"/>
  <c r="AF357" i="16" s="1"/>
  <c r="AD357" i="16" s="1"/>
  <c r="AI281" i="16"/>
  <c r="AH281" i="16" s="1"/>
  <c r="AG281" i="16" s="1"/>
  <c r="AF281" i="16" s="1"/>
  <c r="AD281" i="16" s="1"/>
  <c r="AI239" i="16"/>
  <c r="AH239" i="16" s="1"/>
  <c r="AG239" i="16" s="1"/>
  <c r="AF239" i="16" s="1"/>
  <c r="AD239" i="16" s="1"/>
  <c r="AA239" i="16" s="1"/>
  <c r="Z239" i="16" s="1"/>
  <c r="Y239" i="16" s="1"/>
  <c r="AI233" i="16"/>
  <c r="AH233" i="16" s="1"/>
  <c r="AG233" i="16" s="1"/>
  <c r="AF233" i="16" s="1"/>
  <c r="AD233" i="16" s="1"/>
  <c r="AI280" i="16"/>
  <c r="AH280" i="16" s="1"/>
  <c r="AG280" i="16" s="1"/>
  <c r="AF280" i="16" s="1"/>
  <c r="AD280" i="16" s="1"/>
  <c r="AI189" i="16"/>
  <c r="AH189" i="16" s="1"/>
  <c r="AG189" i="16" s="1"/>
  <c r="AF189" i="16" s="1"/>
  <c r="AD189" i="16" s="1"/>
  <c r="AI16" i="16"/>
  <c r="AH16" i="16" s="1"/>
  <c r="AG16" i="16" s="1"/>
  <c r="AF16" i="16" s="1"/>
  <c r="AD16" i="16" s="1"/>
  <c r="AI183" i="16"/>
  <c r="AH183" i="16" s="1"/>
  <c r="AG183" i="16" s="1"/>
  <c r="AF183" i="16" s="1"/>
  <c r="AD183" i="16" s="1"/>
  <c r="AI50" i="16"/>
  <c r="AH50" i="16" s="1"/>
  <c r="AG50" i="16" s="1"/>
  <c r="AF50" i="16" s="1"/>
  <c r="AD50" i="16" s="1"/>
  <c r="AI197" i="16"/>
  <c r="AH197" i="16" s="1"/>
  <c r="AG197" i="16" s="1"/>
  <c r="AF197" i="16" s="1"/>
  <c r="AD197" i="16" s="1"/>
  <c r="AI147" i="16"/>
  <c r="AH147" i="16" s="1"/>
  <c r="AG147" i="16" s="1"/>
  <c r="AF147" i="16" s="1"/>
  <c r="AD147" i="16" s="1"/>
  <c r="AI263" i="16"/>
  <c r="AH263" i="16" s="1"/>
  <c r="AG263" i="16" s="1"/>
  <c r="AF263" i="16" s="1"/>
  <c r="AD263" i="16" s="1"/>
  <c r="AA263" i="16" s="1"/>
  <c r="Z263" i="16" s="1"/>
  <c r="Y263" i="16" s="1"/>
  <c r="AI191" i="16"/>
  <c r="AH191" i="16" s="1"/>
  <c r="AG191" i="16" s="1"/>
  <c r="AF191" i="16" s="1"/>
  <c r="AD191" i="16" s="1"/>
  <c r="AA191" i="16" s="1"/>
  <c r="Z191" i="16" s="1"/>
  <c r="Y191" i="16" s="1"/>
  <c r="AI310" i="16"/>
  <c r="AH310" i="16" s="1"/>
  <c r="AG310" i="16" s="1"/>
  <c r="AF310" i="16" s="1"/>
  <c r="AD310" i="16" s="1"/>
  <c r="AA310" i="16" s="1"/>
  <c r="Z310" i="16" s="1"/>
  <c r="Y310" i="16" s="1"/>
  <c r="AI141" i="16"/>
  <c r="AH141" i="16" s="1"/>
  <c r="AG141" i="16" s="1"/>
  <c r="AF141" i="16" s="1"/>
  <c r="AD141" i="16" s="1"/>
  <c r="AI316" i="16"/>
  <c r="AH316" i="16" s="1"/>
  <c r="AG316" i="16" s="1"/>
  <c r="AF316" i="16" s="1"/>
  <c r="AD316" i="16" s="1"/>
  <c r="AI194" i="16"/>
  <c r="AH194" i="16" s="1"/>
  <c r="AG194" i="16" s="1"/>
  <c r="AF194" i="16" s="1"/>
  <c r="AD194" i="16" s="1"/>
  <c r="AI74" i="16"/>
  <c r="AH74" i="16" s="1"/>
  <c r="AG74" i="16" s="1"/>
  <c r="AF74" i="16" s="1"/>
  <c r="AD74" i="16" s="1"/>
  <c r="AA74" i="16" s="1"/>
  <c r="Z74" i="16" s="1"/>
  <c r="Y74" i="16" s="1"/>
  <c r="AI214" i="16"/>
  <c r="AH214" i="16" s="1"/>
  <c r="AG214" i="16" s="1"/>
  <c r="AF214" i="16" s="1"/>
  <c r="AD214" i="16" s="1"/>
  <c r="AI44" i="16"/>
  <c r="AH44" i="16" s="1"/>
  <c r="AG44" i="16" s="1"/>
  <c r="AF44" i="16" s="1"/>
  <c r="AD44" i="16" s="1"/>
  <c r="AA44" i="16" s="1"/>
  <c r="Z44" i="16" s="1"/>
  <c r="Y44" i="16" s="1"/>
  <c r="AI340" i="16"/>
  <c r="AH340" i="16" s="1"/>
  <c r="AG340" i="16" s="1"/>
  <c r="AF340" i="16" s="1"/>
  <c r="AD340" i="16" s="1"/>
  <c r="AI109" i="16"/>
  <c r="AH109" i="16" s="1"/>
  <c r="AG109" i="16" s="1"/>
  <c r="AF109" i="16" s="1"/>
  <c r="AD109" i="16" s="1"/>
  <c r="AI323" i="16"/>
  <c r="AH323" i="16" s="1"/>
  <c r="AG323" i="16" s="1"/>
  <c r="AF323" i="16" s="1"/>
  <c r="AD323" i="16" s="1"/>
  <c r="AI76" i="16"/>
  <c r="AH76" i="16" s="1"/>
  <c r="AG76" i="16" s="1"/>
  <c r="AF76" i="16" s="1"/>
  <c r="AD76" i="16" s="1"/>
  <c r="AI343" i="16"/>
  <c r="AH343" i="16" s="1"/>
  <c r="AG343" i="16" s="1"/>
  <c r="AF343" i="16" s="1"/>
  <c r="AD343" i="16" s="1"/>
  <c r="AI258" i="16"/>
  <c r="AH258" i="16" s="1"/>
  <c r="AG258" i="16" s="1"/>
  <c r="AF258" i="16" s="1"/>
  <c r="AD258" i="16" s="1"/>
  <c r="AA258" i="16" s="1"/>
  <c r="Z258" i="16" s="1"/>
  <c r="Y258" i="16" s="1"/>
  <c r="AI73" i="16"/>
  <c r="AH73" i="16" s="1"/>
  <c r="AG73" i="16" s="1"/>
  <c r="AF73" i="16" s="1"/>
  <c r="AD73" i="16" s="1"/>
  <c r="AI166" i="16"/>
  <c r="AH166" i="16" s="1"/>
  <c r="AG166" i="16" s="1"/>
  <c r="AF166" i="16" s="1"/>
  <c r="AD166" i="16" s="1"/>
  <c r="AI324" i="16"/>
  <c r="AH324" i="16" s="1"/>
  <c r="AG324" i="16" s="1"/>
  <c r="AF324" i="16" s="1"/>
  <c r="AD324" i="16" s="1"/>
  <c r="AA324" i="16" s="1"/>
  <c r="Z324" i="16" s="1"/>
  <c r="Y324" i="16" s="1"/>
  <c r="AI283" i="16"/>
  <c r="AH283" i="16" s="1"/>
  <c r="AG283" i="16" s="1"/>
  <c r="AF283" i="16" s="1"/>
  <c r="AD283" i="16" s="1"/>
  <c r="AA283" i="16" s="1"/>
  <c r="Z283" i="16" s="1"/>
  <c r="Y283" i="16" s="1"/>
  <c r="AI325" i="16"/>
  <c r="AH325" i="16" s="1"/>
  <c r="AG325" i="16" s="1"/>
  <c r="AF325" i="16" s="1"/>
  <c r="AD325" i="16" s="1"/>
  <c r="AI181" i="16"/>
  <c r="AH181" i="16" s="1"/>
  <c r="AG181" i="16" s="1"/>
  <c r="AF181" i="16" s="1"/>
  <c r="AD181" i="16" s="1"/>
  <c r="AI144" i="16"/>
  <c r="AH144" i="16" s="1"/>
  <c r="AG144" i="16" s="1"/>
  <c r="AF144" i="16" s="1"/>
  <c r="AD144" i="16" s="1"/>
  <c r="AA144" i="16" s="1"/>
  <c r="Z144" i="16" s="1"/>
  <c r="Y144" i="16" s="1"/>
  <c r="AI125" i="16"/>
  <c r="AH125" i="16" s="1"/>
  <c r="AG125" i="16" s="1"/>
  <c r="AF125" i="16" s="1"/>
  <c r="AD125" i="16" s="1"/>
  <c r="AI311" i="16"/>
  <c r="AH311" i="16" s="1"/>
  <c r="AG311" i="16" s="1"/>
  <c r="AF311" i="16" s="1"/>
  <c r="AD311" i="16" s="1"/>
  <c r="AI370" i="16"/>
  <c r="AH370" i="16" s="1"/>
  <c r="AG370" i="16" s="1"/>
  <c r="AF370" i="16" s="1"/>
  <c r="AD370" i="16" s="1"/>
  <c r="AI148" i="16"/>
  <c r="AH148" i="16" s="1"/>
  <c r="AG148" i="16" s="1"/>
  <c r="AF148" i="16" s="1"/>
  <c r="AD148" i="16" s="1"/>
  <c r="AI321" i="16"/>
  <c r="AH321" i="16" s="1"/>
  <c r="AG321" i="16" s="1"/>
  <c r="AF321" i="16" s="1"/>
  <c r="AD321" i="16" s="1"/>
  <c r="AA321" i="16" s="1"/>
  <c r="Z321" i="16" s="1"/>
  <c r="Y321" i="16" s="1"/>
  <c r="AI112" i="16"/>
  <c r="AH112" i="16" s="1"/>
  <c r="AG112" i="16" s="1"/>
  <c r="AF112" i="16" s="1"/>
  <c r="AD112" i="16" s="1"/>
  <c r="AI129" i="16"/>
  <c r="AH129" i="16" s="1"/>
  <c r="AG129" i="16" s="1"/>
  <c r="AF129" i="16" s="1"/>
  <c r="AD129" i="16" s="1"/>
  <c r="AI133" i="16"/>
  <c r="AH133" i="16" s="1"/>
  <c r="AG133" i="16" s="1"/>
  <c r="AF133" i="16" s="1"/>
  <c r="AD133" i="16" s="1"/>
  <c r="AI377" i="16"/>
  <c r="AH377" i="16" s="1"/>
  <c r="AG377" i="16" s="1"/>
  <c r="AF377" i="16" s="1"/>
  <c r="AD377" i="16" s="1"/>
  <c r="AI250" i="16"/>
  <c r="AH250" i="16" s="1"/>
  <c r="AG250" i="16" s="1"/>
  <c r="AF250" i="16" s="1"/>
  <c r="AD250" i="16" s="1"/>
  <c r="AA250" i="16" s="1"/>
  <c r="Z250" i="16" s="1"/>
  <c r="Y250" i="16" s="1"/>
  <c r="AI327" i="16"/>
  <c r="AH327" i="16" s="1"/>
  <c r="AG327" i="16" s="1"/>
  <c r="AF327" i="16" s="1"/>
  <c r="AD327" i="16" s="1"/>
  <c r="AI146" i="16"/>
  <c r="AH146" i="16" s="1"/>
  <c r="AG146" i="16" s="1"/>
  <c r="AF146" i="16" s="1"/>
  <c r="AD146" i="16" s="1"/>
  <c r="AI66" i="16"/>
  <c r="AH66" i="16" s="1"/>
  <c r="AG66" i="16" s="1"/>
  <c r="AF66" i="16" s="1"/>
  <c r="AD66" i="16" s="1"/>
  <c r="AI138" i="16"/>
  <c r="AH138" i="16" s="1"/>
  <c r="AG138" i="16" s="1"/>
  <c r="AF138" i="16" s="1"/>
  <c r="AD138" i="16" s="1"/>
  <c r="AI275" i="16"/>
  <c r="AH275" i="16" s="1"/>
  <c r="AG275" i="16" s="1"/>
  <c r="AF275" i="16" s="1"/>
  <c r="AD275" i="16" s="1"/>
  <c r="AI72" i="16"/>
  <c r="AH72" i="16" s="1"/>
  <c r="AG72" i="16" s="1"/>
  <c r="AF72" i="16" s="1"/>
  <c r="AD72" i="16" s="1"/>
  <c r="AI75" i="16"/>
  <c r="AH75" i="16" s="1"/>
  <c r="AG75" i="16" s="1"/>
  <c r="AF75" i="16" s="1"/>
  <c r="AD75" i="16" s="1"/>
  <c r="AI58" i="16"/>
  <c r="AH58" i="16" s="1"/>
  <c r="AG58" i="16" s="1"/>
  <c r="AF58" i="16" s="1"/>
  <c r="AD58" i="16" s="1"/>
  <c r="AI276" i="16"/>
  <c r="AH276" i="16" s="1"/>
  <c r="AG276" i="16" s="1"/>
  <c r="AF276" i="16" s="1"/>
  <c r="AD276" i="16" s="1"/>
  <c r="U210" i="16"/>
  <c r="T210" i="16" s="1"/>
  <c r="S210" i="16" s="1"/>
  <c r="R210" i="16" s="1"/>
  <c r="P210" i="16" s="1"/>
  <c r="D50" i="7" s="1"/>
  <c r="U38" i="16"/>
  <c r="T38" i="16" s="1"/>
  <c r="S38" i="16" s="1"/>
  <c r="R38" i="16" s="1"/>
  <c r="P38" i="16" s="1"/>
  <c r="V38" i="16" s="1"/>
  <c r="F38" i="16" s="1"/>
  <c r="G38" i="16" s="1"/>
  <c r="BY38" i="6" s="1"/>
  <c r="U380" i="16"/>
  <c r="T380" i="16" s="1"/>
  <c r="S380" i="16" s="1"/>
  <c r="R380" i="16" s="1"/>
  <c r="P380" i="16" s="1"/>
  <c r="V380" i="16" s="1"/>
  <c r="F380" i="16" s="1"/>
  <c r="H380" i="16" s="1"/>
  <c r="U160" i="16"/>
  <c r="T160" i="16" s="1"/>
  <c r="S160" i="16" s="1"/>
  <c r="R160" i="16" s="1"/>
  <c r="P160" i="16" s="1"/>
  <c r="V160" i="16" s="1"/>
  <c r="F160" i="16" s="1"/>
  <c r="G160" i="16" s="1"/>
  <c r="BY160" i="6" s="1"/>
  <c r="U178" i="16"/>
  <c r="T178" i="16" s="1"/>
  <c r="S178" i="16" s="1"/>
  <c r="R178" i="16" s="1"/>
  <c r="P178" i="16" s="1"/>
  <c r="V178" i="16" s="1"/>
  <c r="F178" i="16" s="1"/>
  <c r="G178" i="16" s="1"/>
  <c r="BY178" i="6" s="1"/>
  <c r="U119" i="16"/>
  <c r="T119" i="16" s="1"/>
  <c r="S119" i="16" s="1"/>
  <c r="R119" i="16" s="1"/>
  <c r="P119" i="16" s="1"/>
  <c r="D47" i="7" s="1"/>
  <c r="U111" i="16"/>
  <c r="T111" i="16" s="1"/>
  <c r="S111" i="16" s="1"/>
  <c r="R111" i="16" s="1"/>
  <c r="P111" i="16" s="1"/>
  <c r="V111" i="16" s="1"/>
  <c r="F111" i="16" s="1"/>
  <c r="G111" i="16" s="1"/>
  <c r="BY111" i="6" s="1"/>
  <c r="U236" i="16"/>
  <c r="T236" i="16" s="1"/>
  <c r="S236" i="16" s="1"/>
  <c r="R236" i="16" s="1"/>
  <c r="P236" i="16" s="1"/>
  <c r="V236" i="16" s="1"/>
  <c r="F236" i="16" s="1"/>
  <c r="U275" i="16"/>
  <c r="T275" i="16" s="1"/>
  <c r="S275" i="16" s="1"/>
  <c r="R275" i="16" s="1"/>
  <c r="P275" i="16" s="1"/>
  <c r="V275" i="16" s="1"/>
  <c r="F275" i="16" s="1"/>
  <c r="G275" i="16" s="1"/>
  <c r="BY275" i="6" s="1"/>
  <c r="U124" i="16"/>
  <c r="T124" i="16" s="1"/>
  <c r="S124" i="16" s="1"/>
  <c r="R124" i="16" s="1"/>
  <c r="P124" i="16" s="1"/>
  <c r="V124" i="16" s="1"/>
  <c r="F124" i="16" s="1"/>
  <c r="G124" i="16" s="1"/>
  <c r="BY124" i="6" s="1"/>
  <c r="U249" i="16"/>
  <c r="T249" i="16" s="1"/>
  <c r="S249" i="16" s="1"/>
  <c r="R249" i="16" s="1"/>
  <c r="P249" i="16" s="1"/>
  <c r="V249" i="16" s="1"/>
  <c r="F249" i="16" s="1"/>
  <c r="AA249" i="16" s="1"/>
  <c r="Z249" i="16" s="1"/>
  <c r="Y249" i="16" s="1"/>
  <c r="U245" i="16"/>
  <c r="T245" i="16" s="1"/>
  <c r="S245" i="16" s="1"/>
  <c r="R245" i="16" s="1"/>
  <c r="P245" i="16" s="1"/>
  <c r="V245" i="16" s="1"/>
  <c r="F245" i="16" s="1"/>
  <c r="G245" i="16" s="1"/>
  <c r="BY245" i="6" s="1"/>
  <c r="U54" i="16"/>
  <c r="T54" i="16" s="1"/>
  <c r="S54" i="16" s="1"/>
  <c r="R54" i="16" s="1"/>
  <c r="P54" i="16" s="1"/>
  <c r="V54" i="16" s="1"/>
  <c r="F54" i="16" s="1"/>
  <c r="AA54" i="16" s="1"/>
  <c r="Z54" i="16" s="1"/>
  <c r="Y54" i="16" s="1"/>
  <c r="U377" i="16"/>
  <c r="T377" i="16" s="1"/>
  <c r="S377" i="16" s="1"/>
  <c r="R377" i="16" s="1"/>
  <c r="P377" i="16" s="1"/>
  <c r="V377" i="16" s="1"/>
  <c r="F377" i="16" s="1"/>
  <c r="G377" i="16" s="1"/>
  <c r="BY377" i="6" s="1"/>
  <c r="U286" i="16"/>
  <c r="T286" i="16" s="1"/>
  <c r="S286" i="16" s="1"/>
  <c r="R286" i="16" s="1"/>
  <c r="P286" i="16" s="1"/>
  <c r="V286" i="16" s="1"/>
  <c r="F286" i="16" s="1"/>
  <c r="U96" i="16"/>
  <c r="T96" i="16" s="1"/>
  <c r="S96" i="16" s="1"/>
  <c r="R96" i="16" s="1"/>
  <c r="P96" i="16" s="1"/>
  <c r="V96" i="16" s="1"/>
  <c r="F96" i="16" s="1"/>
  <c r="H96" i="16" s="1"/>
  <c r="I96" i="16" s="1"/>
  <c r="U238" i="16"/>
  <c r="T238" i="16" s="1"/>
  <c r="S238" i="16" s="1"/>
  <c r="R238" i="16" s="1"/>
  <c r="P238" i="16" s="1"/>
  <c r="V238" i="16" s="1"/>
  <c r="F238" i="16" s="1"/>
  <c r="H238" i="16" s="1"/>
  <c r="U68" i="16"/>
  <c r="T68" i="16" s="1"/>
  <c r="S68" i="16" s="1"/>
  <c r="R68" i="16" s="1"/>
  <c r="P68" i="16" s="1"/>
  <c r="V68" i="16" s="1"/>
  <c r="F68" i="16" s="1"/>
  <c r="H68" i="16" s="1"/>
  <c r="U359" i="16"/>
  <c r="T359" i="16" s="1"/>
  <c r="S359" i="16" s="1"/>
  <c r="R359" i="16" s="1"/>
  <c r="P359" i="16" s="1"/>
  <c r="V359" i="16" s="1"/>
  <c r="F359" i="16" s="1"/>
  <c r="H359" i="16" s="1"/>
  <c r="U269" i="16"/>
  <c r="T269" i="16" s="1"/>
  <c r="S269" i="16" s="1"/>
  <c r="R269" i="16" s="1"/>
  <c r="P269" i="16" s="1"/>
  <c r="V269" i="16" s="1"/>
  <c r="F269" i="16" s="1"/>
  <c r="U225" i="16"/>
  <c r="T225" i="16" s="1"/>
  <c r="S225" i="16" s="1"/>
  <c r="R225" i="16" s="1"/>
  <c r="P225" i="16" s="1"/>
  <c r="V225" i="16" s="1"/>
  <c r="F225" i="16" s="1"/>
  <c r="G225" i="16" s="1"/>
  <c r="BY225" i="6" s="1"/>
  <c r="U336" i="16"/>
  <c r="T336" i="16" s="1"/>
  <c r="S336" i="16" s="1"/>
  <c r="R336" i="16" s="1"/>
  <c r="P336" i="16" s="1"/>
  <c r="V336" i="16" s="1"/>
  <c r="F336" i="16" s="1"/>
  <c r="G336" i="16" s="1"/>
  <c r="BY336" i="6" s="1"/>
  <c r="U120" i="16"/>
  <c r="T120" i="16" s="1"/>
  <c r="S120" i="16" s="1"/>
  <c r="R120" i="16" s="1"/>
  <c r="P120" i="16" s="1"/>
  <c r="V120" i="16" s="1"/>
  <c r="F120" i="16" s="1"/>
  <c r="H120" i="16" s="1"/>
  <c r="U97" i="16"/>
  <c r="T97" i="16" s="1"/>
  <c r="S97" i="16" s="1"/>
  <c r="R97" i="16" s="1"/>
  <c r="P97" i="16" s="1"/>
  <c r="V97" i="16" s="1"/>
  <c r="F97" i="16" s="1"/>
  <c r="G97" i="16" s="1"/>
  <c r="BY97" i="6" s="1"/>
  <c r="U103" i="16"/>
  <c r="T103" i="16" s="1"/>
  <c r="S103" i="16" s="1"/>
  <c r="R103" i="16" s="1"/>
  <c r="P103" i="16" s="1"/>
  <c r="V103" i="16" s="1"/>
  <c r="F103" i="16" s="1"/>
  <c r="G103" i="16" s="1"/>
  <c r="BY103" i="6" s="1"/>
  <c r="E8" i="22"/>
  <c r="K17" i="19" s="1"/>
  <c r="E7" i="22"/>
  <c r="G382" i="1"/>
  <c r="BW239" i="6"/>
  <c r="J33" i="15"/>
  <c r="AA92" i="15"/>
  <c r="Z92" i="15" s="1"/>
  <c r="Y92" i="15" s="1"/>
  <c r="I150" i="15"/>
  <c r="I44" i="15"/>
  <c r="I100" i="15"/>
  <c r="H100" i="16" s="1"/>
  <c r="D11" i="19"/>
  <c r="G35" i="19"/>
  <c r="H363" i="15"/>
  <c r="J363" i="15" s="1"/>
  <c r="BJ15" i="7"/>
  <c r="BL11" i="7"/>
  <c r="BK11" i="7"/>
  <c r="P10" i="24"/>
  <c r="L19" i="19"/>
  <c r="AK47" i="25"/>
  <c r="AK81" i="25"/>
  <c r="AK151" i="25"/>
  <c r="AK143" i="25"/>
  <c r="AK200" i="25"/>
  <c r="AK206" i="25"/>
  <c r="AK263" i="25"/>
  <c r="AK219" i="25"/>
  <c r="AK282" i="25"/>
  <c r="AK353" i="25"/>
  <c r="AK361" i="25"/>
  <c r="AK44" i="25"/>
  <c r="AK54" i="25"/>
  <c r="AK113" i="25"/>
  <c r="AK110" i="25"/>
  <c r="AK140" i="25"/>
  <c r="AK199" i="25"/>
  <c r="AK236" i="25"/>
  <c r="AK298" i="25"/>
  <c r="AK250" i="25"/>
  <c r="AK317" i="25"/>
  <c r="AK324" i="25"/>
  <c r="AK66" i="25"/>
  <c r="AK157" i="25"/>
  <c r="AK228" i="25"/>
  <c r="AK290" i="25"/>
  <c r="AK303" i="25"/>
  <c r="AK46" i="25"/>
  <c r="AK135" i="25"/>
  <c r="AK186" i="25"/>
  <c r="AK254" i="25"/>
  <c r="AK272" i="25"/>
  <c r="AK341" i="25"/>
  <c r="AK32" i="25"/>
  <c r="AK99" i="25"/>
  <c r="AK210" i="25"/>
  <c r="AK285" i="25"/>
  <c r="AK295" i="25"/>
  <c r="AK30" i="25"/>
  <c r="AK77" i="25"/>
  <c r="AK118" i="25"/>
  <c r="AK182" i="25"/>
  <c r="AK267" i="25"/>
  <c r="AK334" i="25"/>
  <c r="AK16" i="25"/>
  <c r="AK52" i="25"/>
  <c r="AK73" i="25"/>
  <c r="AK139" i="25"/>
  <c r="AK131" i="25"/>
  <c r="AK193" i="25"/>
  <c r="AK195" i="25"/>
  <c r="AK231" i="25"/>
  <c r="AK294" i="25"/>
  <c r="AK243" i="25"/>
  <c r="AK345" i="25"/>
  <c r="AK349" i="25"/>
  <c r="AK37" i="25"/>
  <c r="AK35" i="25"/>
  <c r="AK92" i="25"/>
  <c r="AK106" i="25"/>
  <c r="AK158" i="25"/>
  <c r="AK164" i="25"/>
  <c r="AK194" i="25"/>
  <c r="AK256" i="25"/>
  <c r="AK321" i="25"/>
  <c r="AK275" i="25"/>
  <c r="AK370" i="25"/>
  <c r="AK348" i="25"/>
  <c r="AK60" i="25"/>
  <c r="AK145" i="25"/>
  <c r="AK202" i="25"/>
  <c r="AK222" i="25"/>
  <c r="AK355" i="25"/>
  <c r="AK48" i="25"/>
  <c r="AK121" i="25"/>
  <c r="AK170" i="25"/>
  <c r="AK240" i="25"/>
  <c r="AK305" i="25"/>
  <c r="AK320" i="25"/>
  <c r="AK15" i="25"/>
  <c r="AK142" i="25"/>
  <c r="AK198" i="25"/>
  <c r="AK261" i="25"/>
  <c r="AK280" i="25"/>
  <c r="AK351" i="25"/>
  <c r="AK41" i="25"/>
  <c r="AK101" i="25"/>
  <c r="AK166" i="25"/>
  <c r="AK296" i="25"/>
  <c r="AK311" i="25"/>
  <c r="AK33" i="25"/>
  <c r="AK45" i="25"/>
  <c r="AK64" i="25"/>
  <c r="AK68" i="25"/>
  <c r="AK97" i="25"/>
  <c r="AK134" i="25"/>
  <c r="AK103" i="25"/>
  <c r="AK122" i="25"/>
  <c r="AK154" i="25"/>
  <c r="AK185" i="25"/>
  <c r="AK156" i="25"/>
  <c r="AK189" i="25"/>
  <c r="AK226" i="25"/>
  <c r="AK252" i="25"/>
  <c r="AK288" i="25"/>
  <c r="AK315" i="25"/>
  <c r="AK234" i="25"/>
  <c r="AK271" i="25"/>
  <c r="AK300" i="25"/>
  <c r="AK338" i="25"/>
  <c r="AK364" i="25"/>
  <c r="AK340" i="25"/>
  <c r="AK376" i="25"/>
  <c r="AK28" i="25"/>
  <c r="AK42" i="25"/>
  <c r="AK62" i="25"/>
  <c r="AK67" i="25"/>
  <c r="AK96" i="25"/>
  <c r="AK133" i="25"/>
  <c r="AK100" i="25"/>
  <c r="AK120" i="25"/>
  <c r="AK152" i="25"/>
  <c r="AK184" i="25"/>
  <c r="AK153" i="25"/>
  <c r="AK187" i="25"/>
  <c r="AK220" i="25"/>
  <c r="AK251" i="25"/>
  <c r="AK286" i="25"/>
  <c r="AK314" i="25"/>
  <c r="AK233" i="25"/>
  <c r="AK270" i="25"/>
  <c r="AK299" i="25"/>
  <c r="AK335" i="25"/>
  <c r="AK362" i="25"/>
  <c r="AK337" i="25"/>
  <c r="AK374" i="25"/>
  <c r="AK50" i="25"/>
  <c r="AK70" i="25"/>
  <c r="AK137" i="25"/>
  <c r="AK125" i="25"/>
  <c r="AK188" i="25"/>
  <c r="AK191" i="25"/>
  <c r="AK255" i="25"/>
  <c r="AK318" i="25"/>
  <c r="AK273" i="25"/>
  <c r="AK342" i="25"/>
  <c r="AK343" i="25"/>
  <c r="AK34" i="25"/>
  <c r="AK65" i="25"/>
  <c r="AK88" i="25"/>
  <c r="AK104" i="25"/>
  <c r="AK155" i="25"/>
  <c r="AK160" i="25"/>
  <c r="AK227" i="25"/>
  <c r="AK289" i="25"/>
  <c r="AK237" i="25"/>
  <c r="AK301" i="25"/>
  <c r="AK367" i="25"/>
  <c r="AK378" i="25"/>
  <c r="AK31" i="25"/>
  <c r="AK80" i="25"/>
  <c r="AK129" i="25"/>
  <c r="AK119" i="25"/>
  <c r="AK181" i="25"/>
  <c r="AK183" i="25"/>
  <c r="AK249" i="25"/>
  <c r="AK312" i="25"/>
  <c r="AK269" i="25"/>
  <c r="AK332" i="25"/>
  <c r="AK336" i="25"/>
  <c r="AK17" i="25"/>
  <c r="AK29" i="25"/>
  <c r="AK89" i="25"/>
  <c r="AK95" i="25"/>
  <c r="AK149" i="25"/>
  <c r="AK209" i="25"/>
  <c r="AK216" i="25"/>
  <c r="AK277" i="25"/>
  <c r="AK225" i="25"/>
  <c r="AK293" i="25"/>
  <c r="AK359" i="25"/>
  <c r="AK371" i="25"/>
  <c r="AK380" i="25"/>
  <c r="AK27" i="25"/>
  <c r="AK19" i="25"/>
  <c r="AK76" i="25"/>
  <c r="AK87" i="25"/>
  <c r="AK127" i="25"/>
  <c r="AK94" i="25"/>
  <c r="AK117" i="25"/>
  <c r="AK148" i="25"/>
  <c r="AK174" i="25"/>
  <c r="AK208" i="25"/>
  <c r="AK180" i="25"/>
  <c r="AK214" i="25"/>
  <c r="AK245" i="25"/>
  <c r="AK276" i="25"/>
  <c r="AK308" i="25"/>
  <c r="AK224" i="25"/>
  <c r="AK266" i="25"/>
  <c r="AK291" i="25"/>
  <c r="AK329" i="25"/>
  <c r="AK357" i="25"/>
  <c r="AK333" i="25"/>
  <c r="AK368" i="25"/>
  <c r="AK26" i="25"/>
  <c r="AK23" i="25"/>
  <c r="AK61" i="25"/>
  <c r="AK75" i="25"/>
  <c r="AK86" i="25"/>
  <c r="AK126" i="25"/>
  <c r="AK93" i="25"/>
  <c r="AK116" i="25"/>
  <c r="AK146" i="25"/>
  <c r="AK173" i="25"/>
  <c r="AK205" i="25"/>
  <c r="AK179" i="25"/>
  <c r="AK212" i="25"/>
  <c r="AK244" i="25"/>
  <c r="AK274" i="25"/>
  <c r="AK307" i="25"/>
  <c r="AK223" i="25"/>
  <c r="AK264" i="25"/>
  <c r="AK287" i="25"/>
  <c r="AK327" i="25"/>
  <c r="AK356" i="25"/>
  <c r="AK330" i="25"/>
  <c r="AK366" i="25"/>
  <c r="P12" i="25"/>
  <c r="AK72" i="25"/>
  <c r="AK123" i="25"/>
  <c r="AK114" i="25"/>
  <c r="AK172" i="25"/>
  <c r="AK178" i="25"/>
  <c r="AK241" i="25"/>
  <c r="AK306" i="25"/>
  <c r="AK259" i="25"/>
  <c r="AK322" i="25"/>
  <c r="AK328" i="25"/>
  <c r="AK22" i="25"/>
  <c r="AK59" i="25"/>
  <c r="AK82" i="25"/>
  <c r="AK84" i="25"/>
  <c r="AK144" i="25"/>
  <c r="AK201" i="25"/>
  <c r="AK207" i="25"/>
  <c r="AK265" i="25"/>
  <c r="AK221" i="25"/>
  <c r="AK283" i="25"/>
  <c r="AK354" i="25"/>
  <c r="AK363" i="25"/>
  <c r="AK43" i="25"/>
  <c r="AK49" i="25"/>
  <c r="AK102" i="25"/>
  <c r="AK109" i="25"/>
  <c r="AK163" i="25"/>
  <c r="AK169" i="25"/>
  <c r="AK235" i="25"/>
  <c r="AK297" i="25"/>
  <c r="AK248" i="25"/>
  <c r="AK313" i="25"/>
  <c r="AK377" i="25"/>
  <c r="F8" i="25"/>
  <c r="AK53" i="25"/>
  <c r="AK74" i="25"/>
  <c r="AK141" i="25"/>
  <c r="AK132" i="25"/>
  <c r="AK197" i="25"/>
  <c r="AK196" i="25"/>
  <c r="AK260" i="25"/>
  <c r="AK213" i="25"/>
  <c r="AK279" i="25"/>
  <c r="AK346" i="25"/>
  <c r="AK350" i="25"/>
  <c r="AK20" i="25"/>
  <c r="AK58" i="25"/>
  <c r="AK56" i="25"/>
  <c r="AK115" i="25"/>
  <c r="AK111" i="25"/>
  <c r="AK168" i="25"/>
  <c r="AK175" i="25"/>
  <c r="AK239" i="25"/>
  <c r="AK302" i="25"/>
  <c r="AK253" i="25"/>
  <c r="AK319" i="25"/>
  <c r="AK325" i="25"/>
  <c r="AK18" i="25"/>
  <c r="AK57" i="25"/>
  <c r="AK79" i="25"/>
  <c r="AK147" i="25"/>
  <c r="AK167" i="25"/>
  <c r="AK171" i="25"/>
  <c r="AK204" i="25"/>
  <c r="AK262" i="25"/>
  <c r="AK217" i="25"/>
  <c r="AK281" i="25"/>
  <c r="AK352" i="25"/>
  <c r="AK358" i="25"/>
  <c r="AK36" i="25"/>
  <c r="AK91" i="25"/>
  <c r="AK105" i="25"/>
  <c r="AK162" i="25"/>
  <c r="AK238" i="25"/>
  <c r="AK369" i="25"/>
  <c r="AK379" i="25"/>
  <c r="AK69" i="25"/>
  <c r="AK124" i="25"/>
  <c r="AK190" i="25"/>
  <c r="AK316" i="25"/>
  <c r="AK339" i="25"/>
  <c r="AK21" i="25"/>
  <c r="AK90" i="25"/>
  <c r="AK150" i="25"/>
  <c r="AK218" i="25"/>
  <c r="AK229" i="25"/>
  <c r="AK360" i="25"/>
  <c r="AK373" i="25"/>
  <c r="AK128" i="25"/>
  <c r="AK177" i="25"/>
  <c r="AK247" i="25"/>
  <c r="AK309" i="25"/>
  <c r="AK331" i="25"/>
  <c r="AK39" i="25"/>
  <c r="AK38" i="25"/>
  <c r="AK98" i="25"/>
  <c r="AK107" i="25"/>
  <c r="AK159" i="25"/>
  <c r="AK165" i="25"/>
  <c r="AK258" i="25"/>
  <c r="AK323" i="25"/>
  <c r="AK278" i="25"/>
  <c r="AK310" i="25"/>
  <c r="AK372" i="25"/>
  <c r="AK25" i="25"/>
  <c r="AK51" i="25"/>
  <c r="AK71" i="25"/>
  <c r="AK138" i="25"/>
  <c r="AK130" i="25"/>
  <c r="AK192" i="25"/>
  <c r="AK230" i="25"/>
  <c r="AK292" i="25"/>
  <c r="AK242" i="25"/>
  <c r="AK304" i="25"/>
  <c r="AK344" i="25"/>
  <c r="AK24" i="25"/>
  <c r="AK83" i="25"/>
  <c r="AK85" i="25"/>
  <c r="AK211" i="25"/>
  <c r="AK268" i="25"/>
  <c r="AK284" i="25"/>
  <c r="AK365" i="25"/>
  <c r="AK63" i="25"/>
  <c r="AK112" i="25"/>
  <c r="AK176" i="25"/>
  <c r="AK257" i="25"/>
  <c r="AK326" i="25"/>
  <c r="AK55" i="25"/>
  <c r="AK78" i="25"/>
  <c r="AK136" i="25"/>
  <c r="AK203" i="25"/>
  <c r="AK215" i="25"/>
  <c r="AK347" i="25"/>
  <c r="AK40" i="25"/>
  <c r="AK108" i="25"/>
  <c r="AK161" i="25"/>
  <c r="AK232" i="25"/>
  <c r="AK246" i="25"/>
  <c r="AK375" i="25"/>
  <c r="J300" i="15"/>
  <c r="I349" i="15"/>
  <c r="J96" i="15"/>
  <c r="I127" i="15"/>
  <c r="AA363" i="15"/>
  <c r="Z363" i="15" s="1"/>
  <c r="Y363" i="15" s="1"/>
  <c r="G92" i="15"/>
  <c r="BX92" i="6" s="1"/>
  <c r="I92" i="15"/>
  <c r="H92" i="16" s="1"/>
  <c r="J341" i="15"/>
  <c r="J50" i="15"/>
  <c r="F62" i="19"/>
  <c r="C62" i="19"/>
  <c r="H169" i="16"/>
  <c r="I169" i="16" s="1"/>
  <c r="J119" i="15"/>
  <c r="G381" i="1"/>
  <c r="I335" i="15"/>
  <c r="J335" i="15"/>
  <c r="G11" i="19"/>
  <c r="I272" i="15"/>
  <c r="J142" i="15"/>
  <c r="I142" i="15"/>
  <c r="I105" i="15"/>
  <c r="J105" i="15"/>
  <c r="I29" i="15"/>
  <c r="J29" i="15"/>
  <c r="G383" i="1"/>
  <c r="G12" i="1" s="1"/>
  <c r="E7" i="7" s="1"/>
  <c r="J235" i="15"/>
  <c r="J20" i="15"/>
  <c r="H332" i="16"/>
  <c r="I332" i="16" s="1"/>
  <c r="AB9" i="1"/>
  <c r="I24" i="15"/>
  <c r="I381" i="1"/>
  <c r="M62" i="19"/>
  <c r="H32" i="15"/>
  <c r="G32" i="15"/>
  <c r="BX32" i="6" s="1"/>
  <c r="AA32" i="15"/>
  <c r="Z32" i="15" s="1"/>
  <c r="Y32" i="15" s="1"/>
  <c r="I180" i="15"/>
  <c r="J180" i="15"/>
  <c r="I17" i="15"/>
  <c r="J17" i="15"/>
  <c r="I93" i="15"/>
  <c r="J93" i="15"/>
  <c r="J101" i="15"/>
  <c r="I101" i="15"/>
  <c r="H101" i="16" s="1"/>
  <c r="J35" i="15"/>
  <c r="I35" i="15"/>
  <c r="I97" i="15"/>
  <c r="J97" i="15"/>
  <c r="J161" i="15"/>
  <c r="I161" i="15"/>
  <c r="I22" i="15"/>
  <c r="H22" i="16" s="1"/>
  <c r="J22" i="15"/>
  <c r="J28" i="15"/>
  <c r="I28" i="15"/>
  <c r="J80" i="15"/>
  <c r="I80" i="15"/>
  <c r="I84" i="15"/>
  <c r="J84" i="15"/>
  <c r="J90" i="15"/>
  <c r="I90" i="15"/>
  <c r="J89" i="15"/>
  <c r="I89" i="15"/>
  <c r="I134" i="15"/>
  <c r="J134" i="15"/>
  <c r="I281" i="15"/>
  <c r="J281" i="15"/>
  <c r="I30" i="15"/>
  <c r="J30" i="15"/>
  <c r="J79" i="15"/>
  <c r="I79" i="15"/>
  <c r="J160" i="15"/>
  <c r="I160" i="15"/>
  <c r="I229" i="15"/>
  <c r="J229" i="15"/>
  <c r="I158" i="15"/>
  <c r="J158" i="15"/>
  <c r="J145" i="15"/>
  <c r="I145" i="15"/>
  <c r="H20" i="16"/>
  <c r="I20" i="16" s="1"/>
  <c r="AC383" i="20"/>
  <c r="AA354" i="15"/>
  <c r="Z354" i="15" s="1"/>
  <c r="Y354" i="15" s="1"/>
  <c r="G354" i="15"/>
  <c r="BX354" i="6" s="1"/>
  <c r="H354" i="15"/>
  <c r="AA320" i="15"/>
  <c r="Z320" i="15" s="1"/>
  <c r="Y320" i="15" s="1"/>
  <c r="G320" i="15"/>
  <c r="BX320" i="6" s="1"/>
  <c r="H320" i="15"/>
  <c r="AA331" i="15"/>
  <c r="Z331" i="15" s="1"/>
  <c r="Y331" i="15" s="1"/>
  <c r="G331" i="15"/>
  <c r="BX331" i="6" s="1"/>
  <c r="H331" i="15"/>
  <c r="AA336" i="15"/>
  <c r="Z336" i="15" s="1"/>
  <c r="Y336" i="15" s="1"/>
  <c r="G336" i="15"/>
  <c r="BX336" i="6" s="1"/>
  <c r="H336" i="15"/>
  <c r="H94" i="15"/>
  <c r="AA94" i="15"/>
  <c r="Z94" i="15" s="1"/>
  <c r="Y94" i="15" s="1"/>
  <c r="G94" i="15"/>
  <c r="BX94" i="6" s="1"/>
  <c r="AA58" i="15"/>
  <c r="Z58" i="15" s="1"/>
  <c r="Y58" i="15" s="1"/>
  <c r="G58" i="15"/>
  <c r="BX58" i="6" s="1"/>
  <c r="H58" i="15"/>
  <c r="AA334" i="15"/>
  <c r="Z334" i="15" s="1"/>
  <c r="Y334" i="15" s="1"/>
  <c r="G334" i="15"/>
  <c r="BX334" i="6" s="1"/>
  <c r="H334" i="15"/>
  <c r="G113" i="16"/>
  <c r="BY113" i="6" s="1"/>
  <c r="AA367" i="16"/>
  <c r="Z367" i="16" s="1"/>
  <c r="Y367" i="16" s="1"/>
  <c r="H191" i="16"/>
  <c r="G237" i="16"/>
  <c r="BY237" i="6" s="1"/>
  <c r="G347" i="16"/>
  <c r="BY347" i="6" s="1"/>
  <c r="G270" i="16"/>
  <c r="BY270" i="6" s="1"/>
  <c r="G69" i="16"/>
  <c r="BY69" i="6" s="1"/>
  <c r="G211" i="16"/>
  <c r="BY211" i="6" s="1"/>
  <c r="G374" i="16"/>
  <c r="BY374" i="6" s="1"/>
  <c r="AA246" i="16"/>
  <c r="Z246" i="16" s="1"/>
  <c r="Y246" i="16" s="1"/>
  <c r="G195" i="16"/>
  <c r="BY195" i="6" s="1"/>
  <c r="H128" i="16"/>
  <c r="G128" i="16"/>
  <c r="BY128" i="6" s="1"/>
  <c r="AA128" i="16"/>
  <c r="Z128" i="16" s="1"/>
  <c r="Y128" i="16" s="1"/>
  <c r="G310" i="16"/>
  <c r="BY310" i="6" s="1"/>
  <c r="G278" i="16"/>
  <c r="BY278" i="6" s="1"/>
  <c r="H278" i="16"/>
  <c r="G308" i="16"/>
  <c r="BY308" i="6" s="1"/>
  <c r="H308" i="16"/>
  <c r="P16" i="7"/>
  <c r="U12" i="17"/>
  <c r="T379" i="16"/>
  <c r="S379" i="16" s="1"/>
  <c r="R379" i="16" s="1"/>
  <c r="P379" i="16" s="1"/>
  <c r="G32" i="16"/>
  <c r="BY32" i="6" s="1"/>
  <c r="G285" i="16"/>
  <c r="BY285" i="6" s="1"/>
  <c r="H285" i="16"/>
  <c r="G283" i="16"/>
  <c r="BY283" i="6" s="1"/>
  <c r="AA193" i="16"/>
  <c r="Z193" i="16" s="1"/>
  <c r="Y193" i="16" s="1"/>
  <c r="H193" i="16"/>
  <c r="G193" i="16"/>
  <c r="BY193" i="6" s="1"/>
  <c r="H182" i="16"/>
  <c r="G182" i="16"/>
  <c r="BY182" i="6" s="1"/>
  <c r="G43" i="16"/>
  <c r="BY43" i="6" s="1"/>
  <c r="G99" i="16"/>
  <c r="BY99" i="6" s="1"/>
  <c r="G107" i="16"/>
  <c r="BY107" i="6" s="1"/>
  <c r="H107" i="16"/>
  <c r="I351" i="15"/>
  <c r="H351" i="16" s="1"/>
  <c r="J351" i="15"/>
  <c r="G227" i="15"/>
  <c r="BX227" i="6" s="1"/>
  <c r="H227" i="15"/>
  <c r="AA227" i="15"/>
  <c r="Z227" i="15" s="1"/>
  <c r="Y227" i="15" s="1"/>
  <c r="J239" i="15"/>
  <c r="I239" i="15"/>
  <c r="H239" i="16" s="1"/>
  <c r="J305" i="15"/>
  <c r="I305" i="15"/>
  <c r="H305" i="16" s="1"/>
  <c r="AA330" i="15"/>
  <c r="Z330" i="15" s="1"/>
  <c r="Y330" i="15" s="1"/>
  <c r="G330" i="15"/>
  <c r="BX330" i="6" s="1"/>
  <c r="H330" i="15"/>
  <c r="J198" i="15"/>
  <c r="I198" i="15"/>
  <c r="I306" i="15"/>
  <c r="J306" i="15"/>
  <c r="J18" i="15"/>
  <c r="I18" i="15"/>
  <c r="I41" i="15"/>
  <c r="J41" i="15"/>
  <c r="J102" i="15"/>
  <c r="I102" i="15"/>
  <c r="H102" i="16" s="1"/>
  <c r="J86" i="15"/>
  <c r="I86" i="15"/>
  <c r="J43" i="15"/>
  <c r="I43" i="15"/>
  <c r="I27" i="15"/>
  <c r="J27" i="15"/>
  <c r="AC381" i="20"/>
  <c r="AG382" i="15"/>
  <c r="AG383" i="15"/>
  <c r="AG381" i="15"/>
  <c r="AF15" i="15"/>
  <c r="G52" i="16"/>
  <c r="BY52" i="6" s="1"/>
  <c r="G102" i="16"/>
  <c r="BY102" i="6" s="1"/>
  <c r="G262" i="16"/>
  <c r="BY262" i="6" s="1"/>
  <c r="G351" i="16"/>
  <c r="BY351" i="6" s="1"/>
  <c r="AA100" i="16"/>
  <c r="Z100" i="16" s="1"/>
  <c r="Y100" i="16" s="1"/>
  <c r="G101" i="16"/>
  <c r="BY101" i="6" s="1"/>
  <c r="D53" i="7"/>
  <c r="G176" i="16"/>
  <c r="BY176" i="6" s="1"/>
  <c r="H176" i="16"/>
  <c r="G263" i="16"/>
  <c r="BY263" i="6" s="1"/>
  <c r="H263" i="16"/>
  <c r="AA22" i="16"/>
  <c r="Z22" i="16" s="1"/>
  <c r="Y22" i="16" s="1"/>
  <c r="G22" i="16"/>
  <c r="BY22" i="6" s="1"/>
  <c r="G217" i="16"/>
  <c r="BY217" i="6" s="1"/>
  <c r="H217" i="16"/>
  <c r="G169" i="16"/>
  <c r="BY169" i="6" s="1"/>
  <c r="G55" i="16"/>
  <c r="BY55" i="6" s="1"/>
  <c r="G77" i="16"/>
  <c r="BY77" i="6" s="1"/>
  <c r="G321" i="16"/>
  <c r="BY321" i="6" s="1"/>
  <c r="H201" i="16"/>
  <c r="G344" i="16"/>
  <c r="BY344" i="6" s="1"/>
  <c r="H242" i="16"/>
  <c r="H315" i="16"/>
  <c r="G315" i="16"/>
  <c r="BY315" i="6" s="1"/>
  <c r="AA16" i="1"/>
  <c r="V383" i="1"/>
  <c r="V381" i="1"/>
  <c r="V382" i="1"/>
  <c r="I52" i="15"/>
  <c r="H52" i="16" s="1"/>
  <c r="J52" i="15"/>
  <c r="G338" i="16"/>
  <c r="BY338" i="6" s="1"/>
  <c r="G92" i="16"/>
  <c r="BY92" i="6" s="1"/>
  <c r="H243" i="16"/>
  <c r="H220" i="16"/>
  <c r="G220" i="16"/>
  <c r="BY220" i="6" s="1"/>
  <c r="G144" i="16"/>
  <c r="BY144" i="6" s="1"/>
  <c r="H233" i="16"/>
  <c r="F46" i="16"/>
  <c r="G298" i="16"/>
  <c r="BY298" i="6" s="1"/>
  <c r="G251" i="16"/>
  <c r="BY251" i="6" s="1"/>
  <c r="H251" i="16"/>
  <c r="I298" i="15"/>
  <c r="H298" i="16" s="1"/>
  <c r="J298" i="15"/>
  <c r="J343" i="15"/>
  <c r="I343" i="15"/>
  <c r="I34" i="15"/>
  <c r="J34" i="15"/>
  <c r="J147" i="15"/>
  <c r="I147" i="15"/>
  <c r="J38" i="15"/>
  <c r="I38" i="15"/>
  <c r="I137" i="15"/>
  <c r="J137" i="15"/>
  <c r="I121" i="15"/>
  <c r="J121" i="15"/>
  <c r="I210" i="15"/>
  <c r="J210" i="15"/>
  <c r="H341" i="16"/>
  <c r="I291" i="15"/>
  <c r="J291" i="15"/>
  <c r="I31" i="15"/>
  <c r="J31" i="15"/>
  <c r="J360" i="15"/>
  <c r="I360" i="15"/>
  <c r="G189" i="15"/>
  <c r="BX189" i="6" s="1"/>
  <c r="AA189" i="15"/>
  <c r="Z189" i="15" s="1"/>
  <c r="Y189" i="15" s="1"/>
  <c r="H189" i="15"/>
  <c r="J47" i="15"/>
  <c r="I47" i="15"/>
  <c r="I78" i="15"/>
  <c r="J78" i="15"/>
  <c r="I25" i="15"/>
  <c r="J25" i="15"/>
  <c r="J322" i="15"/>
  <c r="I322" i="15"/>
  <c r="J375" i="15"/>
  <c r="I375" i="15"/>
  <c r="I348" i="15"/>
  <c r="J348" i="15"/>
  <c r="I37" i="15"/>
  <c r="J37" i="15"/>
  <c r="G293" i="15"/>
  <c r="BX293" i="6" s="1"/>
  <c r="AA293" i="15"/>
  <c r="Z293" i="15" s="1"/>
  <c r="Y293" i="15" s="1"/>
  <c r="H293" i="15"/>
  <c r="AA88" i="15"/>
  <c r="Z88" i="15" s="1"/>
  <c r="Y88" i="15" s="1"/>
  <c r="H88" i="15"/>
  <c r="G88" i="15"/>
  <c r="BX88" i="6" s="1"/>
  <c r="J327" i="15"/>
  <c r="I327" i="15"/>
  <c r="I144" i="15"/>
  <c r="H144" i="16" s="1"/>
  <c r="J144" i="15"/>
  <c r="J53" i="15"/>
  <c r="I53" i="15"/>
  <c r="J345" i="15"/>
  <c r="I345" i="15"/>
  <c r="I60" i="15"/>
  <c r="J60" i="15"/>
  <c r="D62" i="19"/>
  <c r="G319" i="15"/>
  <c r="BX319" i="6" s="1"/>
  <c r="H319" i="15"/>
  <c r="AA319" i="15"/>
  <c r="Z319" i="15" s="1"/>
  <c r="Y319" i="15" s="1"/>
  <c r="J16" i="15"/>
  <c r="I16" i="15"/>
  <c r="I383" i="1"/>
  <c r="AL10" i="1"/>
  <c r="I382" i="1"/>
  <c r="J324" i="15"/>
  <c r="I324" i="15"/>
  <c r="H310" i="16"/>
  <c r="V259" i="16"/>
  <c r="I321" i="15"/>
  <c r="H321" i="16" s="1"/>
  <c r="J321" i="15"/>
  <c r="J241" i="15"/>
  <c r="I241" i="15"/>
  <c r="I61" i="15"/>
  <c r="J61" i="15"/>
  <c r="J316" i="15"/>
  <c r="I316" i="15"/>
  <c r="I59" i="15"/>
  <c r="J59" i="15"/>
  <c r="J99" i="15"/>
  <c r="I99" i="15"/>
  <c r="H99" i="16" s="1"/>
  <c r="I91" i="15"/>
  <c r="J91" i="15"/>
  <c r="J19" i="15"/>
  <c r="I19" i="15"/>
  <c r="G135" i="15"/>
  <c r="BX135" i="6" s="1"/>
  <c r="AA135" i="15"/>
  <c r="Z135" i="15" s="1"/>
  <c r="Y135" i="15" s="1"/>
  <c r="H135" i="15"/>
  <c r="H46" i="15"/>
  <c r="G46" i="15"/>
  <c r="BX46" i="6" s="1"/>
  <c r="AA46" i="15"/>
  <c r="Z46" i="15" s="1"/>
  <c r="Y46" i="15" s="1"/>
  <c r="I49" i="15"/>
  <c r="J49" i="15"/>
  <c r="J371" i="15"/>
  <c r="I371" i="15"/>
  <c r="I367" i="15"/>
  <c r="J367" i="15"/>
  <c r="I314" i="15"/>
  <c r="J314" i="15"/>
  <c r="J104" i="15"/>
  <c r="I104" i="15"/>
  <c r="I344" i="15"/>
  <c r="H344" i="16" s="1"/>
  <c r="J344" i="15"/>
  <c r="I155" i="15"/>
  <c r="J155" i="15"/>
  <c r="I95" i="15"/>
  <c r="J95" i="15"/>
  <c r="I302" i="15"/>
  <c r="J302" i="15"/>
  <c r="G239" i="16"/>
  <c r="BY239" i="6" s="1"/>
  <c r="G267" i="16"/>
  <c r="BY267" i="6" s="1"/>
  <c r="I57" i="15"/>
  <c r="J57" i="15"/>
  <c r="J338" i="15"/>
  <c r="I338" i="15"/>
  <c r="H338" i="16" s="1"/>
  <c r="R15" i="15"/>
  <c r="S383" i="15"/>
  <c r="S382" i="15"/>
  <c r="S381" i="15"/>
  <c r="I138" i="15"/>
  <c r="J138" i="15"/>
  <c r="I151" i="15"/>
  <c r="J151" i="15"/>
  <c r="J159" i="15"/>
  <c r="I159" i="15"/>
  <c r="I154" i="15"/>
  <c r="J154" i="15"/>
  <c r="I36" i="15"/>
  <c r="J36" i="15"/>
  <c r="J54" i="15"/>
  <c r="I54" i="15"/>
  <c r="I82" i="15"/>
  <c r="J82" i="15"/>
  <c r="AA149" i="15"/>
  <c r="Z149" i="15" s="1"/>
  <c r="Y149" i="15" s="1"/>
  <c r="H149" i="15"/>
  <c r="G149" i="15"/>
  <c r="BX149" i="6" s="1"/>
  <c r="I123" i="15"/>
  <c r="J123" i="15"/>
  <c r="J347" i="15"/>
  <c r="I347" i="15"/>
  <c r="H73" i="16"/>
  <c r="J374" i="15"/>
  <c r="I374" i="15"/>
  <c r="H374" i="16" s="1"/>
  <c r="I311" i="15"/>
  <c r="J311" i="15"/>
  <c r="I353" i="15"/>
  <c r="J353" i="15"/>
  <c r="J377" i="15"/>
  <c r="I377" i="15"/>
  <c r="J350" i="15"/>
  <c r="I350" i="15"/>
  <c r="J357" i="15"/>
  <c r="I357" i="15"/>
  <c r="I317" i="15"/>
  <c r="J317" i="15"/>
  <c r="I340" i="15"/>
  <c r="J340" i="15"/>
  <c r="I143" i="15"/>
  <c r="J143" i="15"/>
  <c r="I56" i="15"/>
  <c r="J56" i="15"/>
  <c r="I140" i="15"/>
  <c r="J140" i="15"/>
  <c r="J139" i="15"/>
  <c r="I139" i="15"/>
  <c r="F77" i="15"/>
  <c r="G333" i="15"/>
  <c r="BX333" i="6" s="1"/>
  <c r="AA333" i="15"/>
  <c r="Z333" i="15" s="1"/>
  <c r="Y333" i="15" s="1"/>
  <c r="H333" i="15"/>
  <c r="L62" i="19"/>
  <c r="I146" i="15"/>
  <c r="J146" i="15"/>
  <c r="Q381" i="17"/>
  <c r="Q382" i="17"/>
  <c r="Q383" i="17"/>
  <c r="V15" i="7"/>
  <c r="Q12" i="18"/>
  <c r="AC382" i="20"/>
  <c r="AE383" i="17"/>
  <c r="AE381" i="17"/>
  <c r="AE382" i="17"/>
  <c r="O383" i="20"/>
  <c r="O382" i="20"/>
  <c r="O381" i="20"/>
  <c r="Y320" i="1"/>
  <c r="AL8" i="1"/>
  <c r="G303" i="16" l="1"/>
  <c r="BY303" i="6" s="1"/>
  <c r="V210" i="16"/>
  <c r="H63" i="19" s="1"/>
  <c r="D51" i="7"/>
  <c r="G294" i="16"/>
  <c r="BY294" i="6" s="1"/>
  <c r="G209" i="16"/>
  <c r="BY209" i="6" s="1"/>
  <c r="H41" i="16"/>
  <c r="J41" i="16" s="1"/>
  <c r="H131" i="16"/>
  <c r="K41" i="19"/>
  <c r="AA198" i="16"/>
  <c r="Z198" i="16" s="1"/>
  <c r="Y198" i="16" s="1"/>
  <c r="AA122" i="16"/>
  <c r="Z122" i="16" s="1"/>
  <c r="Y122" i="16" s="1"/>
  <c r="AA32" i="16"/>
  <c r="Z32" i="16" s="1"/>
  <c r="Y32" i="16" s="1"/>
  <c r="H56" i="16"/>
  <c r="I56" i="16" s="1"/>
  <c r="H347" i="16"/>
  <c r="I347" i="16" s="1"/>
  <c r="H91" i="16"/>
  <c r="J91" i="16" s="1"/>
  <c r="H291" i="16"/>
  <c r="I291" i="16" s="1"/>
  <c r="H200" i="16"/>
  <c r="J200" i="16" s="1"/>
  <c r="H370" i="16"/>
  <c r="I370" i="16" s="1"/>
  <c r="H170" i="16"/>
  <c r="I170" i="16" s="1"/>
  <c r="AA131" i="16"/>
  <c r="Z131" i="16" s="1"/>
  <c r="Y131" i="16" s="1"/>
  <c r="H349" i="16"/>
  <c r="I349" i="16" s="1"/>
  <c r="AA233" i="16"/>
  <c r="Z233" i="16" s="1"/>
  <c r="Y233" i="16" s="1"/>
  <c r="AA262" i="16"/>
  <c r="Z262" i="16" s="1"/>
  <c r="Y262" i="16" s="1"/>
  <c r="AA349" i="16"/>
  <c r="Z349" i="16" s="1"/>
  <c r="Y349" i="16" s="1"/>
  <c r="AA91" i="16"/>
  <c r="Z91" i="16" s="1"/>
  <c r="Y91" i="16" s="1"/>
  <c r="AA209" i="16"/>
  <c r="Z209" i="16" s="1"/>
  <c r="Y209" i="16" s="1"/>
  <c r="H246" i="16"/>
  <c r="I246" i="16" s="1"/>
  <c r="H194" i="16"/>
  <c r="J194" i="16" s="1"/>
  <c r="H147" i="16"/>
  <c r="I147" i="16" s="1"/>
  <c r="G345" i="16"/>
  <c r="BY345" i="6" s="1"/>
  <c r="AA230" i="16"/>
  <c r="Z230" i="16" s="1"/>
  <c r="Y230" i="16" s="1"/>
  <c r="H74" i="16"/>
  <c r="I74" i="16" s="1"/>
  <c r="H372" i="16"/>
  <c r="I372" i="16" s="1"/>
  <c r="G20" i="16"/>
  <c r="BY20" i="6" s="1"/>
  <c r="G168" i="16"/>
  <c r="BY168" i="6" s="1"/>
  <c r="AA201" i="16"/>
  <c r="Z201" i="16" s="1"/>
  <c r="Y201" i="16" s="1"/>
  <c r="AA55" i="16"/>
  <c r="Z55" i="16" s="1"/>
  <c r="Y55" i="16" s="1"/>
  <c r="H55" i="16"/>
  <c r="J55" i="16" s="1"/>
  <c r="H21" i="16"/>
  <c r="J21" i="16" s="1"/>
  <c r="H361" i="16"/>
  <c r="J361" i="16" s="1"/>
  <c r="G292" i="16"/>
  <c r="BY292" i="6" s="1"/>
  <c r="H28" i="16"/>
  <c r="J28" i="16" s="1"/>
  <c r="AA147" i="16"/>
  <c r="Z147" i="16" s="1"/>
  <c r="Y147" i="16" s="1"/>
  <c r="AA21" i="16"/>
  <c r="Z21" i="16" s="1"/>
  <c r="Y21" i="16" s="1"/>
  <c r="AA332" i="16"/>
  <c r="Z332" i="16" s="1"/>
  <c r="Y332" i="16" s="1"/>
  <c r="AA361" i="16"/>
  <c r="Z361" i="16" s="1"/>
  <c r="Y361" i="16" s="1"/>
  <c r="AA340" i="16"/>
  <c r="Z340" i="16" s="1"/>
  <c r="Y340" i="16" s="1"/>
  <c r="H155" i="16"/>
  <c r="J155" i="16" s="1"/>
  <c r="H362" i="16"/>
  <c r="I362" i="16" s="1"/>
  <c r="H31" i="16"/>
  <c r="I31" i="16" s="1"/>
  <c r="H26" i="16"/>
  <c r="I26" i="16" s="1"/>
  <c r="H137" i="16"/>
  <c r="I137" i="16" s="1"/>
  <c r="G353" i="16"/>
  <c r="BY353" i="6" s="1"/>
  <c r="G226" i="16"/>
  <c r="BY226" i="6" s="1"/>
  <c r="G137" i="16"/>
  <c r="BY137" i="6" s="1"/>
  <c r="G172" i="16"/>
  <c r="BY172" i="6" s="1"/>
  <c r="G364" i="16"/>
  <c r="BY364" i="6" s="1"/>
  <c r="AA170" i="16"/>
  <c r="Z170" i="16" s="1"/>
  <c r="Y170" i="16" s="1"/>
  <c r="H299" i="16"/>
  <c r="J299" i="16" s="1"/>
  <c r="G42" i="16"/>
  <c r="BY42" i="6" s="1"/>
  <c r="H141" i="16"/>
  <c r="J141" i="16" s="1"/>
  <c r="H314" i="16"/>
  <c r="J314" i="16" s="1"/>
  <c r="H367" i="16"/>
  <c r="J367" i="16" s="1"/>
  <c r="H345" i="16"/>
  <c r="J345" i="16" s="1"/>
  <c r="H87" i="16"/>
  <c r="J87" i="16" s="1"/>
  <c r="G141" i="16"/>
  <c r="BY141" i="6" s="1"/>
  <c r="G280" i="16"/>
  <c r="BY280" i="6" s="1"/>
  <c r="AA139" i="16"/>
  <c r="Z139" i="16" s="1"/>
  <c r="Y139" i="16" s="1"/>
  <c r="H43" i="16"/>
  <c r="J43" i="16" s="1"/>
  <c r="AA266" i="16"/>
  <c r="Z266" i="16" s="1"/>
  <c r="Y266" i="16" s="1"/>
  <c r="AA17" i="16"/>
  <c r="Z17" i="16" s="1"/>
  <c r="Y17" i="16" s="1"/>
  <c r="H268" i="16"/>
  <c r="J268" i="16" s="1"/>
  <c r="G314" i="16"/>
  <c r="BY314" i="6" s="1"/>
  <c r="AA292" i="16"/>
  <c r="Z292" i="16" s="1"/>
  <c r="Y292" i="16" s="1"/>
  <c r="H161" i="16"/>
  <c r="I161" i="16" s="1"/>
  <c r="H146" i="16"/>
  <c r="I146" i="16" s="1"/>
  <c r="H139" i="16"/>
  <c r="I139" i="16" s="1"/>
  <c r="V333" i="16"/>
  <c r="F333" i="16" s="1"/>
  <c r="G333" i="16" s="1"/>
  <c r="BY333" i="6" s="1"/>
  <c r="H258" i="16"/>
  <c r="J258" i="16" s="1"/>
  <c r="H25" i="16"/>
  <c r="I25" i="16" s="1"/>
  <c r="G230" i="16"/>
  <c r="BY230" i="6" s="1"/>
  <c r="H266" i="16"/>
  <c r="I266" i="16" s="1"/>
  <c r="H229" i="16"/>
  <c r="I229" i="16" s="1"/>
  <c r="H30" i="16"/>
  <c r="I30" i="16" s="1"/>
  <c r="H17" i="16"/>
  <c r="I17" i="16" s="1"/>
  <c r="H44" i="16"/>
  <c r="I44" i="16" s="1"/>
  <c r="AA286" i="16"/>
  <c r="Z286" i="16" s="1"/>
  <c r="Y286" i="16" s="1"/>
  <c r="AA146" i="16"/>
  <c r="Z146" i="16" s="1"/>
  <c r="Y146" i="16" s="1"/>
  <c r="AA73" i="16"/>
  <c r="Z73" i="16" s="1"/>
  <c r="Y73" i="16" s="1"/>
  <c r="AA194" i="16"/>
  <c r="Z194" i="16" s="1"/>
  <c r="Y194" i="16" s="1"/>
  <c r="AA141" i="16"/>
  <c r="Z141" i="16" s="1"/>
  <c r="Y141" i="16" s="1"/>
  <c r="AA280" i="16"/>
  <c r="Z280" i="16" s="1"/>
  <c r="Y280" i="16" s="1"/>
  <c r="AA268" i="16"/>
  <c r="Z268" i="16" s="1"/>
  <c r="Y268" i="16" s="1"/>
  <c r="AA237" i="16"/>
  <c r="Z237" i="16" s="1"/>
  <c r="Y237" i="16" s="1"/>
  <c r="AA168" i="16"/>
  <c r="Z168" i="16" s="1"/>
  <c r="Y168" i="16" s="1"/>
  <c r="AA329" i="16"/>
  <c r="Z329" i="16" s="1"/>
  <c r="Y329" i="16" s="1"/>
  <c r="AA322" i="16"/>
  <c r="Z322" i="16" s="1"/>
  <c r="Y322" i="16" s="1"/>
  <c r="AA215" i="16"/>
  <c r="Z215" i="16" s="1"/>
  <c r="Y215" i="16" s="1"/>
  <c r="AA156" i="16"/>
  <c r="Z156" i="16" s="1"/>
  <c r="Y156" i="16" s="1"/>
  <c r="AA93" i="16"/>
  <c r="Z93" i="16" s="1"/>
  <c r="Y93" i="16" s="1"/>
  <c r="AA270" i="16"/>
  <c r="Z270" i="16" s="1"/>
  <c r="Y270" i="16" s="1"/>
  <c r="AA161" i="16"/>
  <c r="Z161" i="16" s="1"/>
  <c r="Y161" i="16" s="1"/>
  <c r="AA195" i="16"/>
  <c r="Z195" i="16" s="1"/>
  <c r="Y195" i="16" s="1"/>
  <c r="AA57" i="16"/>
  <c r="Z57" i="16" s="1"/>
  <c r="Y57" i="16" s="1"/>
  <c r="H140" i="16"/>
  <c r="I140" i="16" s="1"/>
  <c r="H340" i="16"/>
  <c r="I340" i="16" s="1"/>
  <c r="H353" i="16"/>
  <c r="J353" i="16" s="1"/>
  <c r="H57" i="16"/>
  <c r="J57" i="16" s="1"/>
  <c r="D46" i="7"/>
  <c r="D48" i="7"/>
  <c r="H104" i="16"/>
  <c r="J104" i="16" s="1"/>
  <c r="H42" i="16"/>
  <c r="J42" i="16" s="1"/>
  <c r="AA69" i="16"/>
  <c r="Z69" i="16" s="1"/>
  <c r="Y69" i="16" s="1"/>
  <c r="H80" i="16"/>
  <c r="I80" i="16" s="1"/>
  <c r="AA269" i="16"/>
  <c r="Z269" i="16" s="1"/>
  <c r="Y269" i="16" s="1"/>
  <c r="AA236" i="16"/>
  <c r="Z236" i="16" s="1"/>
  <c r="Y236" i="16" s="1"/>
  <c r="AA370" i="16"/>
  <c r="Z370" i="16" s="1"/>
  <c r="Y370" i="16" s="1"/>
  <c r="AA362" i="16"/>
  <c r="Z362" i="16" s="1"/>
  <c r="Y362" i="16" s="1"/>
  <c r="AA374" i="16"/>
  <c r="Z374" i="16" s="1"/>
  <c r="Y374" i="16" s="1"/>
  <c r="AA200" i="16"/>
  <c r="Z200" i="16" s="1"/>
  <c r="Y200" i="16" s="1"/>
  <c r="AA179" i="16"/>
  <c r="Z179" i="16" s="1"/>
  <c r="Y179" i="16" s="1"/>
  <c r="AA143" i="16"/>
  <c r="Z143" i="16" s="1"/>
  <c r="Y143" i="16" s="1"/>
  <c r="AA326" i="16"/>
  <c r="Z326" i="16" s="1"/>
  <c r="Y326" i="16" s="1"/>
  <c r="AA165" i="16"/>
  <c r="Z165" i="16" s="1"/>
  <c r="Y165" i="16" s="1"/>
  <c r="AA172" i="16"/>
  <c r="Z172" i="16" s="1"/>
  <c r="Y172" i="16" s="1"/>
  <c r="AA299" i="16"/>
  <c r="Z299" i="16" s="1"/>
  <c r="Y299" i="16" s="1"/>
  <c r="AA364" i="16"/>
  <c r="Z364" i="16" s="1"/>
  <c r="Y364" i="16" s="1"/>
  <c r="AA104" i="16"/>
  <c r="Z104" i="16" s="1"/>
  <c r="Y104" i="16" s="1"/>
  <c r="AA226" i="16"/>
  <c r="Z226" i="16" s="1"/>
  <c r="Y226" i="16" s="1"/>
  <c r="AA155" i="16"/>
  <c r="Z155" i="16" s="1"/>
  <c r="Y155" i="16" s="1"/>
  <c r="AA347" i="16"/>
  <c r="Z347" i="16" s="1"/>
  <c r="Y347" i="16" s="1"/>
  <c r="AA318" i="16"/>
  <c r="Z318" i="16" s="1"/>
  <c r="Y318" i="16" s="1"/>
  <c r="AA18" i="16"/>
  <c r="Z18" i="16" s="1"/>
  <c r="Y18" i="16" s="1"/>
  <c r="AI12" i="17"/>
  <c r="D45" i="7"/>
  <c r="AA51" i="16"/>
  <c r="Z51" i="16" s="1"/>
  <c r="Y51" i="16" s="1"/>
  <c r="H213" i="16"/>
  <c r="J213" i="16" s="1"/>
  <c r="H18" i="16"/>
  <c r="I18" i="16" s="1"/>
  <c r="G158" i="16"/>
  <c r="BY158" i="6" s="1"/>
  <c r="AA70" i="16"/>
  <c r="Z70" i="16" s="1"/>
  <c r="Y70" i="16" s="1"/>
  <c r="H130" i="16"/>
  <c r="J130" i="16" s="1"/>
  <c r="H368" i="16"/>
  <c r="J368" i="16" s="1"/>
  <c r="AA135" i="16"/>
  <c r="Z135" i="16" s="1"/>
  <c r="Y135" i="16" s="1"/>
  <c r="H156" i="16"/>
  <c r="I156" i="16" s="1"/>
  <c r="H284" i="16"/>
  <c r="I284" i="16" s="1"/>
  <c r="AA325" i="16"/>
  <c r="Z325" i="16" s="1"/>
  <c r="Y325" i="16" s="1"/>
  <c r="H183" i="16"/>
  <c r="I183" i="16" s="1"/>
  <c r="H203" i="16"/>
  <c r="I203" i="16" s="1"/>
  <c r="AA90" i="16"/>
  <c r="Z90" i="16" s="1"/>
  <c r="Y90" i="16" s="1"/>
  <c r="H112" i="16"/>
  <c r="I112" i="16" s="1"/>
  <c r="AA109" i="16"/>
  <c r="Z109" i="16" s="1"/>
  <c r="Y109" i="16" s="1"/>
  <c r="H325" i="16"/>
  <c r="J325" i="16" s="1"/>
  <c r="AA89" i="16"/>
  <c r="Z89" i="16" s="1"/>
  <c r="Y89" i="16" s="1"/>
  <c r="G171" i="16"/>
  <c r="BY171" i="6" s="1"/>
  <c r="G72" i="16"/>
  <c r="BY72" i="6" s="1"/>
  <c r="AA306" i="16"/>
  <c r="Z306" i="16" s="1"/>
  <c r="Y306" i="16" s="1"/>
  <c r="G173" i="16"/>
  <c r="BY173" i="6" s="1"/>
  <c r="G186" i="16"/>
  <c r="BY186" i="6" s="1"/>
  <c r="AA244" i="16"/>
  <c r="Z244" i="16" s="1"/>
  <c r="Y244" i="16" s="1"/>
  <c r="G145" i="16"/>
  <c r="BY145" i="6" s="1"/>
  <c r="AA118" i="16"/>
  <c r="Z118" i="16" s="1"/>
  <c r="Y118" i="16" s="1"/>
  <c r="G154" i="16"/>
  <c r="BY154" i="6" s="1"/>
  <c r="AA352" i="16"/>
  <c r="Z352" i="16" s="1"/>
  <c r="Y352" i="16" s="1"/>
  <c r="AA238" i="16"/>
  <c r="Z238" i="16" s="1"/>
  <c r="Y238" i="16" s="1"/>
  <c r="H54" i="16"/>
  <c r="I54" i="16" s="1"/>
  <c r="H159" i="16"/>
  <c r="I159" i="16" s="1"/>
  <c r="H151" i="16"/>
  <c r="J151" i="16" s="1"/>
  <c r="H138" i="16"/>
  <c r="I138" i="16" s="1"/>
  <c r="G93" i="16"/>
  <c r="BY93" i="6" s="1"/>
  <c r="G358" i="16"/>
  <c r="BY358" i="6" s="1"/>
  <c r="AA151" i="16"/>
  <c r="Z151" i="16" s="1"/>
  <c r="Y151" i="16" s="1"/>
  <c r="H66" i="16"/>
  <c r="I66" i="16" s="1"/>
  <c r="AA371" i="16"/>
  <c r="Z371" i="16" s="1"/>
  <c r="Y371" i="16" s="1"/>
  <c r="F88" i="16"/>
  <c r="G88" i="16" s="1"/>
  <c r="BY88" i="6" s="1"/>
  <c r="H282" i="16"/>
  <c r="I282" i="16" s="1"/>
  <c r="F60" i="16"/>
  <c r="AA60" i="16" s="1"/>
  <c r="Z60" i="16" s="1"/>
  <c r="Y60" i="16" s="1"/>
  <c r="G129" i="16"/>
  <c r="BY129" i="6" s="1"/>
  <c r="AA110" i="16"/>
  <c r="Z110" i="16" s="1"/>
  <c r="Y110" i="16" s="1"/>
  <c r="F167" i="16"/>
  <c r="AA167" i="16" s="1"/>
  <c r="Z167" i="16" s="1"/>
  <c r="Y167" i="16" s="1"/>
  <c r="AA16" i="16"/>
  <c r="Z16" i="16" s="1"/>
  <c r="Y16" i="16" s="1"/>
  <c r="AA342" i="16"/>
  <c r="Z342" i="16" s="1"/>
  <c r="Y342" i="16" s="1"/>
  <c r="G48" i="16"/>
  <c r="BY48" i="6" s="1"/>
  <c r="H232" i="16"/>
  <c r="I232" i="16" s="1"/>
  <c r="H265" i="16"/>
  <c r="I265" i="16" s="1"/>
  <c r="H276" i="16"/>
  <c r="I276" i="16" s="1"/>
  <c r="G287" i="16"/>
  <c r="BY287" i="6" s="1"/>
  <c r="H273" i="16"/>
  <c r="I273" i="16" s="1"/>
  <c r="H253" i="16"/>
  <c r="I253" i="16" s="1"/>
  <c r="H71" i="16"/>
  <c r="J71" i="16" s="1"/>
  <c r="G175" i="16"/>
  <c r="BY175" i="6" s="1"/>
  <c r="AA134" i="16"/>
  <c r="Z134" i="16" s="1"/>
  <c r="Y134" i="16" s="1"/>
  <c r="V11" i="7"/>
  <c r="U11" i="17" s="1"/>
  <c r="U10" i="17" s="1"/>
  <c r="H356" i="16"/>
  <c r="J356" i="16" s="1"/>
  <c r="AI383" i="16"/>
  <c r="G318" i="16"/>
  <c r="BY318" i="6" s="1"/>
  <c r="AA184" i="16"/>
  <c r="Z184" i="16" s="1"/>
  <c r="Y184" i="16" s="1"/>
  <c r="G126" i="16"/>
  <c r="BY126" i="6" s="1"/>
  <c r="AA309" i="16"/>
  <c r="Z309" i="16" s="1"/>
  <c r="Y309" i="16" s="1"/>
  <c r="AA357" i="16"/>
  <c r="Z357" i="16" s="1"/>
  <c r="Y357" i="16" s="1"/>
  <c r="H45" i="16"/>
  <c r="J45" i="16" s="1"/>
  <c r="H98" i="16"/>
  <c r="I98" i="16" s="1"/>
  <c r="AA356" i="16"/>
  <c r="Z356" i="16" s="1"/>
  <c r="Y356" i="16" s="1"/>
  <c r="AA360" i="16"/>
  <c r="Z360" i="16" s="1"/>
  <c r="Y360" i="16" s="1"/>
  <c r="G159" i="16"/>
  <c r="BY159" i="6" s="1"/>
  <c r="AA339" i="16"/>
  <c r="Z339" i="16" s="1"/>
  <c r="Y339" i="16" s="1"/>
  <c r="AA171" i="16"/>
  <c r="Z171" i="16" s="1"/>
  <c r="Y171" i="16" s="1"/>
  <c r="G156" i="16"/>
  <c r="BY156" i="6" s="1"/>
  <c r="AA282" i="16"/>
  <c r="Z282" i="16" s="1"/>
  <c r="Y282" i="16" s="1"/>
  <c r="G376" i="16"/>
  <c r="BY376" i="6" s="1"/>
  <c r="H81" i="16"/>
  <c r="J81" i="16" s="1"/>
  <c r="G50" i="16"/>
  <c r="BY50" i="6" s="1"/>
  <c r="G110" i="16"/>
  <c r="BY110" i="6" s="1"/>
  <c r="G85" i="16"/>
  <c r="BY85" i="6" s="1"/>
  <c r="H173" i="16"/>
  <c r="J173" i="16" s="1"/>
  <c r="AA53" i="16"/>
  <c r="Z53" i="16" s="1"/>
  <c r="Y53" i="16" s="1"/>
  <c r="H95" i="16"/>
  <c r="J95" i="16" s="1"/>
  <c r="H371" i="16"/>
  <c r="J371" i="16" s="1"/>
  <c r="I376" i="16"/>
  <c r="H103" i="16"/>
  <c r="I103" i="16" s="1"/>
  <c r="AA67" i="16"/>
  <c r="Z67" i="16" s="1"/>
  <c r="Y67" i="16" s="1"/>
  <c r="AA186" i="16"/>
  <c r="Z186" i="16" s="1"/>
  <c r="Y186" i="16" s="1"/>
  <c r="AA343" i="16"/>
  <c r="Z343" i="16" s="1"/>
  <c r="Y343" i="16" s="1"/>
  <c r="G250" i="16"/>
  <c r="BY250" i="6" s="1"/>
  <c r="H244" i="16"/>
  <c r="J244" i="16" s="1"/>
  <c r="G296" i="16"/>
  <c r="BY296" i="6" s="1"/>
  <c r="AA157" i="16"/>
  <c r="Z157" i="16" s="1"/>
  <c r="Y157" i="16" s="1"/>
  <c r="AA232" i="16"/>
  <c r="Z232" i="16" s="1"/>
  <c r="Y232" i="16" s="1"/>
  <c r="AA265" i="16"/>
  <c r="Z265" i="16" s="1"/>
  <c r="Y265" i="16" s="1"/>
  <c r="H118" i="16"/>
  <c r="I118" i="16" s="1"/>
  <c r="AA287" i="16"/>
  <c r="Z287" i="16" s="1"/>
  <c r="Y287" i="16" s="1"/>
  <c r="AA328" i="16"/>
  <c r="Z328" i="16" s="1"/>
  <c r="Y328" i="16" s="1"/>
  <c r="AA112" i="16"/>
  <c r="Z112" i="16" s="1"/>
  <c r="Y112" i="16" s="1"/>
  <c r="G346" i="16"/>
  <c r="BY346" i="6" s="1"/>
  <c r="G378" i="16"/>
  <c r="BY378" i="6" s="1"/>
  <c r="G253" i="16"/>
  <c r="BY253" i="6" s="1"/>
  <c r="G71" i="16"/>
  <c r="BY71" i="6" s="1"/>
  <c r="AA216" i="16"/>
  <c r="Z216" i="16" s="1"/>
  <c r="Y216" i="16" s="1"/>
  <c r="G366" i="16"/>
  <c r="BY366" i="6" s="1"/>
  <c r="G224" i="16"/>
  <c r="BY224" i="6" s="1"/>
  <c r="H221" i="16"/>
  <c r="I221" i="16" s="1"/>
  <c r="H324" i="16"/>
  <c r="J324" i="16" s="1"/>
  <c r="H360" i="16"/>
  <c r="J360" i="16" s="1"/>
  <c r="G215" i="16"/>
  <c r="BY215" i="6" s="1"/>
  <c r="G120" i="16"/>
  <c r="BY120" i="6" s="1"/>
  <c r="AA225" i="16"/>
  <c r="Z225" i="16" s="1"/>
  <c r="Y225" i="16" s="1"/>
  <c r="AA359" i="16"/>
  <c r="Z359" i="16" s="1"/>
  <c r="Y359" i="16" s="1"/>
  <c r="H76" i="16"/>
  <c r="I76" i="16" s="1"/>
  <c r="H132" i="16"/>
  <c r="J132" i="16" s="1"/>
  <c r="G54" i="16"/>
  <c r="BY54" i="6" s="1"/>
  <c r="G249" i="16"/>
  <c r="BY249" i="6" s="1"/>
  <c r="H275" i="16"/>
  <c r="I275" i="16" s="1"/>
  <c r="H83" i="16"/>
  <c r="I83" i="16" s="1"/>
  <c r="H86" i="16"/>
  <c r="J86" i="16" s="1"/>
  <c r="H158" i="16"/>
  <c r="I158" i="16" s="1"/>
  <c r="H134" i="16"/>
  <c r="I134" i="16" s="1"/>
  <c r="H93" i="16"/>
  <c r="I93" i="16" s="1"/>
  <c r="H301" i="16"/>
  <c r="I301" i="16" s="1"/>
  <c r="H190" i="16"/>
  <c r="J190" i="16" s="1"/>
  <c r="H152" i="16"/>
  <c r="I152" i="16" s="1"/>
  <c r="AA252" i="16"/>
  <c r="Z252" i="16" s="1"/>
  <c r="Y252" i="16" s="1"/>
  <c r="AA164" i="16"/>
  <c r="Z164" i="16" s="1"/>
  <c r="Y164" i="16" s="1"/>
  <c r="G18" i="16"/>
  <c r="BY18" i="6" s="1"/>
  <c r="D49" i="7"/>
  <c r="G108" i="16"/>
  <c r="BY108" i="6" s="1"/>
  <c r="G323" i="16"/>
  <c r="BY323" i="6" s="1"/>
  <c r="V272" i="16"/>
  <c r="F272" i="16" s="1"/>
  <c r="G272" i="16" s="1"/>
  <c r="BY272" i="6" s="1"/>
  <c r="G61" i="16"/>
  <c r="BY61" i="6" s="1"/>
  <c r="AA207" i="16"/>
  <c r="Z207" i="16" s="1"/>
  <c r="Y207" i="16" s="1"/>
  <c r="G198" i="16"/>
  <c r="BY198" i="6" s="1"/>
  <c r="G326" i="16"/>
  <c r="BY326" i="6" s="1"/>
  <c r="D55" i="7"/>
  <c r="G185" i="16"/>
  <c r="BY185" i="6" s="1"/>
  <c r="AA150" i="16"/>
  <c r="Z150" i="16" s="1"/>
  <c r="Y150" i="16" s="1"/>
  <c r="AA334" i="16"/>
  <c r="Z334" i="16" s="1"/>
  <c r="Y334" i="16" s="1"/>
  <c r="AA348" i="16"/>
  <c r="Z348" i="16" s="1"/>
  <c r="Y348" i="16" s="1"/>
  <c r="AA277" i="16"/>
  <c r="Z277" i="16" s="1"/>
  <c r="Y277" i="16" s="1"/>
  <c r="AA72" i="16"/>
  <c r="Z72" i="16" s="1"/>
  <c r="Y72" i="16" s="1"/>
  <c r="AA98" i="16"/>
  <c r="Z98" i="16" s="1"/>
  <c r="Y98" i="16" s="1"/>
  <c r="AA297" i="16"/>
  <c r="Z297" i="16" s="1"/>
  <c r="Y297" i="16" s="1"/>
  <c r="AA34" i="16"/>
  <c r="Z34" i="16" s="1"/>
  <c r="Y34" i="16" s="1"/>
  <c r="AA331" i="16"/>
  <c r="Z331" i="16" s="1"/>
  <c r="Y331" i="16" s="1"/>
  <c r="AA115" i="16"/>
  <c r="Z115" i="16" s="1"/>
  <c r="Y115" i="16" s="1"/>
  <c r="H202" i="16"/>
  <c r="J202" i="16" s="1"/>
  <c r="H307" i="16"/>
  <c r="I307" i="16" s="1"/>
  <c r="H61" i="16"/>
  <c r="I61" i="16" s="1"/>
  <c r="G143" i="16"/>
  <c r="BY143" i="6" s="1"/>
  <c r="H313" i="16"/>
  <c r="I313" i="16" s="1"/>
  <c r="AA142" i="16"/>
  <c r="Z142" i="16" s="1"/>
  <c r="Y142" i="16" s="1"/>
  <c r="G177" i="16"/>
  <c r="BY177" i="6" s="1"/>
  <c r="AA160" i="16"/>
  <c r="Z160" i="16" s="1"/>
  <c r="Y160" i="16" s="1"/>
  <c r="AA196" i="16"/>
  <c r="Z196" i="16" s="1"/>
  <c r="Y196" i="16" s="1"/>
  <c r="AA279" i="16"/>
  <c r="Z279" i="16" s="1"/>
  <c r="Y279" i="16" s="1"/>
  <c r="H339" i="16"/>
  <c r="J339" i="16" s="1"/>
  <c r="H157" i="16"/>
  <c r="J157" i="16" s="1"/>
  <c r="H154" i="16"/>
  <c r="I154" i="16" s="1"/>
  <c r="H48" i="16"/>
  <c r="J48" i="16" s="1"/>
  <c r="H297" i="16"/>
  <c r="J297" i="16" s="1"/>
  <c r="AA50" i="16"/>
  <c r="Z50" i="16" s="1"/>
  <c r="Y50" i="16" s="1"/>
  <c r="G51" i="16"/>
  <c r="BY51" i="6" s="1"/>
  <c r="AA85" i="16"/>
  <c r="Z85" i="16" s="1"/>
  <c r="Y85" i="16" s="1"/>
  <c r="G304" i="16"/>
  <c r="BY304" i="6" s="1"/>
  <c r="AA380" i="16"/>
  <c r="Z380" i="16" s="1"/>
  <c r="Y380" i="16" s="1"/>
  <c r="H346" i="16"/>
  <c r="J346" i="16" s="1"/>
  <c r="H117" i="16"/>
  <c r="I117" i="16" s="1"/>
  <c r="G67" i="16"/>
  <c r="BY67" i="6" s="1"/>
  <c r="G342" i="16"/>
  <c r="BY342" i="6" s="1"/>
  <c r="H70" i="16"/>
  <c r="J70" i="16" s="1"/>
  <c r="G328" i="16"/>
  <c r="BY328" i="6" s="1"/>
  <c r="AA273" i="16"/>
  <c r="Z273" i="16" s="1"/>
  <c r="Y273" i="16" s="1"/>
  <c r="H216" i="16"/>
  <c r="I216" i="16" s="1"/>
  <c r="G352" i="16"/>
  <c r="BY352" i="6" s="1"/>
  <c r="AA366" i="16"/>
  <c r="Z366" i="16" s="1"/>
  <c r="Y366" i="16" s="1"/>
  <c r="G109" i="16"/>
  <c r="BY109" i="6" s="1"/>
  <c r="G40" i="16"/>
  <c r="BY40" i="6" s="1"/>
  <c r="AA175" i="16"/>
  <c r="Z175" i="16" s="1"/>
  <c r="Y175" i="16" s="1"/>
  <c r="H322" i="16"/>
  <c r="J322" i="16" s="1"/>
  <c r="H34" i="16"/>
  <c r="J34" i="16" s="1"/>
  <c r="H343" i="16"/>
  <c r="I343" i="16" s="1"/>
  <c r="H215" i="16"/>
  <c r="J215" i="16" s="1"/>
  <c r="AA95" i="16"/>
  <c r="Z95" i="16" s="1"/>
  <c r="Y95" i="16" s="1"/>
  <c r="AA203" i="16"/>
  <c r="Z203" i="16" s="1"/>
  <c r="Y203" i="16" s="1"/>
  <c r="G286" i="16"/>
  <c r="BY286" i="6" s="1"/>
  <c r="G295" i="16"/>
  <c r="BY295" i="6" s="1"/>
  <c r="AA86" i="16"/>
  <c r="Z86" i="16" s="1"/>
  <c r="Y86" i="16" s="1"/>
  <c r="G322" i="16"/>
  <c r="BY322" i="6" s="1"/>
  <c r="H178" i="16"/>
  <c r="J178" i="16" s="1"/>
  <c r="AA45" i="16"/>
  <c r="Z45" i="16" s="1"/>
  <c r="Y45" i="16" s="1"/>
  <c r="H187" i="16"/>
  <c r="J187" i="16" s="1"/>
  <c r="H89" i="16"/>
  <c r="J89" i="16" s="1"/>
  <c r="J304" i="16"/>
  <c r="AA66" i="16"/>
  <c r="Z66" i="16" s="1"/>
  <c r="Y66" i="16" s="1"/>
  <c r="AA327" i="16"/>
  <c r="Z327" i="16" s="1"/>
  <c r="Y327" i="16" s="1"/>
  <c r="AA304" i="16"/>
  <c r="Z304" i="16" s="1"/>
  <c r="Y304" i="16" s="1"/>
  <c r="AA247" i="16"/>
  <c r="Z247" i="16" s="1"/>
  <c r="Y247" i="16" s="1"/>
  <c r="AA24" i="16"/>
  <c r="Z24" i="16" s="1"/>
  <c r="Y24" i="16" s="1"/>
  <c r="AA117" i="16"/>
  <c r="Z117" i="16" s="1"/>
  <c r="Y117" i="16" s="1"/>
  <c r="AA376" i="16"/>
  <c r="Z376" i="16" s="1"/>
  <c r="Y376" i="16" s="1"/>
  <c r="H105" i="16"/>
  <c r="I105" i="16" s="1"/>
  <c r="H312" i="16"/>
  <c r="J312" i="16" s="1"/>
  <c r="H82" i="16"/>
  <c r="J82" i="16" s="1"/>
  <c r="AA79" i="16"/>
  <c r="Z79" i="16" s="1"/>
  <c r="Y79" i="16" s="1"/>
  <c r="G300" i="16"/>
  <c r="BY300" i="6" s="1"/>
  <c r="H255" i="16"/>
  <c r="J255" i="16" s="1"/>
  <c r="G261" i="16"/>
  <c r="BY261" i="6" s="1"/>
  <c r="AA152" i="16"/>
  <c r="Z152" i="16" s="1"/>
  <c r="Y152" i="16" s="1"/>
  <c r="H164" i="16"/>
  <c r="J164" i="16" s="1"/>
  <c r="H184" i="16"/>
  <c r="J184" i="16" s="1"/>
  <c r="AA123" i="16"/>
  <c r="Z123" i="16" s="1"/>
  <c r="Y123" i="16" s="1"/>
  <c r="G214" i="16"/>
  <c r="BY214" i="6" s="1"/>
  <c r="AA204" i="16"/>
  <c r="Z204" i="16" s="1"/>
  <c r="Y204" i="16" s="1"/>
  <c r="H115" i="16"/>
  <c r="J115" i="16" s="1"/>
  <c r="H256" i="16"/>
  <c r="J256" i="16" s="1"/>
  <c r="AA368" i="16"/>
  <c r="Z368" i="16" s="1"/>
  <c r="Y368" i="16" s="1"/>
  <c r="AA35" i="16"/>
  <c r="Z35" i="16" s="1"/>
  <c r="Y35" i="16" s="1"/>
  <c r="AA27" i="16"/>
  <c r="Z27" i="16" s="1"/>
  <c r="Y27" i="16" s="1"/>
  <c r="AA153" i="16"/>
  <c r="Z153" i="16" s="1"/>
  <c r="Y153" i="16" s="1"/>
  <c r="G33" i="16"/>
  <c r="BY33" i="6" s="1"/>
  <c r="H122" i="16"/>
  <c r="I122" i="16" s="1"/>
  <c r="AA311" i="16"/>
  <c r="Z311" i="16" s="1"/>
  <c r="Y311" i="16" s="1"/>
  <c r="G94" i="16"/>
  <c r="BY94" i="6" s="1"/>
  <c r="H288" i="16"/>
  <c r="I288" i="16" s="1"/>
  <c r="AA212" i="16"/>
  <c r="Z212" i="16" s="1"/>
  <c r="Y212" i="16" s="1"/>
  <c r="G39" i="16"/>
  <c r="BY39" i="6" s="1"/>
  <c r="G369" i="16"/>
  <c r="BY369" i="6" s="1"/>
  <c r="H375" i="16"/>
  <c r="J375" i="16" s="1"/>
  <c r="H223" i="16"/>
  <c r="I223" i="16" s="1"/>
  <c r="H121" i="16"/>
  <c r="J121" i="16" s="1"/>
  <c r="H254" i="16"/>
  <c r="J254" i="16" s="1"/>
  <c r="G122" i="16"/>
  <c r="BY122" i="6" s="1"/>
  <c r="G290" i="16"/>
  <c r="BY290" i="6" s="1"/>
  <c r="H205" i="16"/>
  <c r="I205" i="16" s="1"/>
  <c r="H309" i="16"/>
  <c r="J309" i="16" s="1"/>
  <c r="H143" i="16"/>
  <c r="I143" i="16" s="1"/>
  <c r="H317" i="16"/>
  <c r="I317" i="16" s="1"/>
  <c r="H311" i="16"/>
  <c r="J311" i="16" s="1"/>
  <c r="H36" i="16"/>
  <c r="J36" i="16" s="1"/>
  <c r="H290" i="16"/>
  <c r="J290" i="16" s="1"/>
  <c r="G174" i="16"/>
  <c r="BY174" i="6" s="1"/>
  <c r="H231" i="16"/>
  <c r="I231" i="16" s="1"/>
  <c r="AA274" i="16"/>
  <c r="Z274" i="16" s="1"/>
  <c r="Y274" i="16" s="1"/>
  <c r="AA271" i="16"/>
  <c r="Z271" i="16" s="1"/>
  <c r="Y271" i="16" s="1"/>
  <c r="AA373" i="16"/>
  <c r="Z373" i="16" s="1"/>
  <c r="Y373" i="16" s="1"/>
  <c r="H260" i="16"/>
  <c r="I260" i="16" s="1"/>
  <c r="G165" i="16"/>
  <c r="BY165" i="6" s="1"/>
  <c r="G312" i="16"/>
  <c r="BY312" i="6" s="1"/>
  <c r="H269" i="16"/>
  <c r="I269" i="16" s="1"/>
  <c r="AA254" i="16"/>
  <c r="Z254" i="16" s="1"/>
  <c r="Y254" i="16" s="1"/>
  <c r="G68" i="16"/>
  <c r="BY68" i="6" s="1"/>
  <c r="AA365" i="16"/>
  <c r="Z365" i="16" s="1"/>
  <c r="Y365" i="16" s="1"/>
  <c r="G121" i="16"/>
  <c r="BY121" i="6" s="1"/>
  <c r="AA192" i="16"/>
  <c r="Z192" i="16" s="1"/>
  <c r="Y192" i="16" s="1"/>
  <c r="AA234" i="16"/>
  <c r="Z234" i="16" s="1"/>
  <c r="Y234" i="16" s="1"/>
  <c r="H236" i="16"/>
  <c r="J236" i="16" s="1"/>
  <c r="J323" i="16"/>
  <c r="H84" i="16"/>
  <c r="I84" i="16" s="1"/>
  <c r="H97" i="16"/>
  <c r="I97" i="16" s="1"/>
  <c r="H252" i="16"/>
  <c r="I252" i="16" s="1"/>
  <c r="AA148" i="16"/>
  <c r="Z148" i="16" s="1"/>
  <c r="Y148" i="16" s="1"/>
  <c r="AA218" i="16"/>
  <c r="Z218" i="16" s="1"/>
  <c r="Y218" i="16" s="1"/>
  <c r="G380" i="16"/>
  <c r="BY380" i="6" s="1"/>
  <c r="U381" i="16"/>
  <c r="H249" i="16"/>
  <c r="I249" i="16" s="1"/>
  <c r="AA103" i="16"/>
  <c r="Z103" i="16" s="1"/>
  <c r="Y103" i="16" s="1"/>
  <c r="H225" i="16"/>
  <c r="J225" i="16" s="1"/>
  <c r="G359" i="16"/>
  <c r="BY359" i="6" s="1"/>
  <c r="G238" i="16"/>
  <c r="BY238" i="6" s="1"/>
  <c r="H286" i="16"/>
  <c r="J286" i="16" s="1"/>
  <c r="AA178" i="16"/>
  <c r="Z178" i="16" s="1"/>
  <c r="Y178" i="16" s="1"/>
  <c r="I352" i="16"/>
  <c r="H281" i="16"/>
  <c r="I281" i="16" s="1"/>
  <c r="AA97" i="16"/>
  <c r="Z97" i="16" s="1"/>
  <c r="Y97" i="16" s="1"/>
  <c r="AA124" i="16"/>
  <c r="Z124" i="16" s="1"/>
  <c r="Y124" i="16" s="1"/>
  <c r="AA275" i="16"/>
  <c r="Z275" i="16" s="1"/>
  <c r="Y275" i="16" s="1"/>
  <c r="AA221" i="16"/>
  <c r="Z221" i="16" s="1"/>
  <c r="Y221" i="16" s="1"/>
  <c r="AA36" i="16"/>
  <c r="Z36" i="16" s="1"/>
  <c r="Y36" i="16" s="1"/>
  <c r="AA222" i="16"/>
  <c r="Z222" i="16" s="1"/>
  <c r="Y222" i="16" s="1"/>
  <c r="AA264" i="16"/>
  <c r="Z264" i="16" s="1"/>
  <c r="Y264" i="16" s="1"/>
  <c r="AA227" i="16"/>
  <c r="Z227" i="16" s="1"/>
  <c r="Y227" i="16" s="1"/>
  <c r="AA208" i="16"/>
  <c r="Z208" i="16" s="1"/>
  <c r="Y208" i="16" s="1"/>
  <c r="AA188" i="16"/>
  <c r="Z188" i="16" s="1"/>
  <c r="Y188" i="16" s="1"/>
  <c r="AA296" i="16"/>
  <c r="Z296" i="16" s="1"/>
  <c r="Y296" i="16" s="1"/>
  <c r="AA355" i="16"/>
  <c r="Z355" i="16" s="1"/>
  <c r="Y355" i="16" s="1"/>
  <c r="AA205" i="16"/>
  <c r="Z205" i="16" s="1"/>
  <c r="Y205" i="16" s="1"/>
  <c r="AA37" i="16"/>
  <c r="Z37" i="16" s="1"/>
  <c r="Y37" i="16" s="1"/>
  <c r="AA49" i="16"/>
  <c r="Z49" i="16" s="1"/>
  <c r="Y49" i="16" s="1"/>
  <c r="AA335" i="16"/>
  <c r="Z335" i="16" s="1"/>
  <c r="Y335" i="16" s="1"/>
  <c r="AA108" i="16"/>
  <c r="Z108" i="16" s="1"/>
  <c r="Y108" i="16" s="1"/>
  <c r="AA125" i="16"/>
  <c r="Z125" i="16" s="1"/>
  <c r="Y125" i="16" s="1"/>
  <c r="AI381" i="16"/>
  <c r="AA62" i="16"/>
  <c r="Z62" i="16" s="1"/>
  <c r="Y62" i="16" s="1"/>
  <c r="AA206" i="16"/>
  <c r="Z206" i="16" s="1"/>
  <c r="Y206" i="16" s="1"/>
  <c r="AA223" i="16"/>
  <c r="Z223" i="16" s="1"/>
  <c r="Y223" i="16" s="1"/>
  <c r="AA65" i="16"/>
  <c r="Z65" i="16" s="1"/>
  <c r="Y65" i="16" s="1"/>
  <c r="AA82" i="16"/>
  <c r="Z82" i="16" s="1"/>
  <c r="Y82" i="16" s="1"/>
  <c r="AA189" i="16"/>
  <c r="Z189" i="16" s="1"/>
  <c r="Y189" i="16" s="1"/>
  <c r="AA240" i="16"/>
  <c r="Z240" i="16" s="1"/>
  <c r="Y240" i="16" s="1"/>
  <c r="AA166" i="16"/>
  <c r="Z166" i="16" s="1"/>
  <c r="Y166" i="16" s="1"/>
  <c r="AA59" i="16"/>
  <c r="Z59" i="16" s="1"/>
  <c r="Y59" i="16" s="1"/>
  <c r="AA105" i="16"/>
  <c r="Z105" i="16" s="1"/>
  <c r="Y105" i="16" s="1"/>
  <c r="AA300" i="16"/>
  <c r="Z300" i="16" s="1"/>
  <c r="Y300" i="16" s="1"/>
  <c r="AA257" i="16"/>
  <c r="Z257" i="16" s="1"/>
  <c r="Y257" i="16" s="1"/>
  <c r="AA38" i="16"/>
  <c r="Z38" i="16" s="1"/>
  <c r="Y38" i="16" s="1"/>
  <c r="H19" i="16"/>
  <c r="J19" i="16" s="1"/>
  <c r="H316" i="16"/>
  <c r="J316" i="16" s="1"/>
  <c r="G36" i="16"/>
  <c r="BY36" i="6" s="1"/>
  <c r="G179" i="16"/>
  <c r="BY179" i="6" s="1"/>
  <c r="H174" i="16"/>
  <c r="I174" i="16" s="1"/>
  <c r="AA317" i="16"/>
  <c r="Z317" i="16" s="1"/>
  <c r="Y317" i="16" s="1"/>
  <c r="AA116" i="16"/>
  <c r="Z116" i="16" s="1"/>
  <c r="Y116" i="16" s="1"/>
  <c r="H222" i="16"/>
  <c r="I222" i="16" s="1"/>
  <c r="G279" i="16"/>
  <c r="BY279" i="6" s="1"/>
  <c r="D44" i="7"/>
  <c r="AA181" i="16"/>
  <c r="Z181" i="16" s="1"/>
  <c r="Y181" i="16" s="1"/>
  <c r="H271" i="16"/>
  <c r="I271" i="16" s="1"/>
  <c r="G264" i="16"/>
  <c r="BY264" i="6" s="1"/>
  <c r="AA58" i="16"/>
  <c r="Z58" i="16" s="1"/>
  <c r="Y58" i="16" s="1"/>
  <c r="AA375" i="16"/>
  <c r="Z375" i="16" s="1"/>
  <c r="Y375" i="16" s="1"/>
  <c r="AA316" i="16"/>
  <c r="Z316" i="16" s="1"/>
  <c r="Y316" i="16" s="1"/>
  <c r="H369" i="16"/>
  <c r="I369" i="16" s="1"/>
  <c r="G219" i="16"/>
  <c r="BY219" i="6" s="1"/>
  <c r="G78" i="16"/>
  <c r="BY78" i="6" s="1"/>
  <c r="H125" i="16"/>
  <c r="I125" i="16" s="1"/>
  <c r="AA260" i="16"/>
  <c r="Z260" i="16" s="1"/>
  <c r="Y260" i="16" s="1"/>
  <c r="AA235" i="16"/>
  <c r="Z235" i="16" s="1"/>
  <c r="Y235" i="16" s="1"/>
  <c r="AA163" i="16"/>
  <c r="Z163" i="16" s="1"/>
  <c r="Y163" i="16" s="1"/>
  <c r="AA248" i="16"/>
  <c r="Z248" i="16" s="1"/>
  <c r="Y248" i="16" s="1"/>
  <c r="U382" i="16"/>
  <c r="G84" i="16"/>
  <c r="BY84" i="6" s="1"/>
  <c r="AA313" i="16"/>
  <c r="Z313" i="16" s="1"/>
  <c r="Y313" i="16" s="1"/>
  <c r="AA127" i="16"/>
  <c r="Z127" i="16" s="1"/>
  <c r="Y127" i="16" s="1"/>
  <c r="AA19" i="16"/>
  <c r="Z19" i="16" s="1"/>
  <c r="Y19" i="16" s="1"/>
  <c r="AA336" i="16"/>
  <c r="Z336" i="16" s="1"/>
  <c r="Y336" i="16" s="1"/>
  <c r="G269" i="16"/>
  <c r="BY269" i="6" s="1"/>
  <c r="AA68" i="16"/>
  <c r="Z68" i="16" s="1"/>
  <c r="Y68" i="16" s="1"/>
  <c r="AA96" i="16"/>
  <c r="Z96" i="16" s="1"/>
  <c r="Y96" i="16" s="1"/>
  <c r="AA377" i="16"/>
  <c r="Z377" i="16" s="1"/>
  <c r="Y377" i="16" s="1"/>
  <c r="AA245" i="16"/>
  <c r="Z245" i="16" s="1"/>
  <c r="Y245" i="16" s="1"/>
  <c r="G236" i="16"/>
  <c r="BY236" i="6" s="1"/>
  <c r="V119" i="16"/>
  <c r="F119" i="16" s="1"/>
  <c r="H119" i="16" s="1"/>
  <c r="G62" i="16"/>
  <c r="BY62" i="6" s="1"/>
  <c r="AA185" i="16"/>
  <c r="Z185" i="16" s="1"/>
  <c r="Y185" i="16" s="1"/>
  <c r="AA177" i="16"/>
  <c r="Z177" i="16" s="1"/>
  <c r="Y177" i="16" s="1"/>
  <c r="AH15" i="16"/>
  <c r="AG15" i="16" s="1"/>
  <c r="H198" i="16"/>
  <c r="J198" i="16" s="1"/>
  <c r="I219" i="16"/>
  <c r="H148" i="16"/>
  <c r="I148" i="16" s="1"/>
  <c r="H116" i="16"/>
  <c r="I116" i="16" s="1"/>
  <c r="H127" i="16"/>
  <c r="J127" i="16" s="1"/>
  <c r="AA293" i="16"/>
  <c r="Z293" i="16" s="1"/>
  <c r="Y293" i="16" s="1"/>
  <c r="AA130" i="16"/>
  <c r="Z130" i="16" s="1"/>
  <c r="Y130" i="16" s="1"/>
  <c r="AA83" i="16"/>
  <c r="Z83" i="16" s="1"/>
  <c r="Y83" i="16" s="1"/>
  <c r="AA301" i="16"/>
  <c r="Z301" i="16" s="1"/>
  <c r="Y301" i="16" s="1"/>
  <c r="AA138" i="16"/>
  <c r="Z138" i="16" s="1"/>
  <c r="Y138" i="16" s="1"/>
  <c r="H24" i="16"/>
  <c r="J24" i="16" s="1"/>
  <c r="H111" i="16"/>
  <c r="I111" i="16" s="1"/>
  <c r="AA111" i="16"/>
  <c r="Z111" i="16" s="1"/>
  <c r="Y111" i="16" s="1"/>
  <c r="H337" i="16"/>
  <c r="AA337" i="16"/>
  <c r="Z337" i="16" s="1"/>
  <c r="Y337" i="16" s="1"/>
  <c r="H329" i="16"/>
  <c r="G329" i="16"/>
  <c r="BY329" i="6" s="1"/>
  <c r="H133" i="16"/>
  <c r="I133" i="16" s="1"/>
  <c r="AA133" i="16"/>
  <c r="Z133" i="16" s="1"/>
  <c r="Y133" i="16" s="1"/>
  <c r="H247" i="16"/>
  <c r="I247" i="16" s="1"/>
  <c r="G247" i="16"/>
  <c r="BY247" i="6" s="1"/>
  <c r="AA162" i="16"/>
  <c r="Z162" i="16" s="1"/>
  <c r="Y162" i="16" s="1"/>
  <c r="G162" i="16"/>
  <c r="BY162" i="6" s="1"/>
  <c r="G114" i="16"/>
  <c r="BY114" i="6" s="1"/>
  <c r="AA114" i="16"/>
  <c r="Z114" i="16" s="1"/>
  <c r="Y114" i="16" s="1"/>
  <c r="AA63" i="16"/>
  <c r="Z63" i="16" s="1"/>
  <c r="Y63" i="16" s="1"/>
  <c r="H63" i="16"/>
  <c r="J63" i="16" s="1"/>
  <c r="AA64" i="16"/>
  <c r="Z64" i="16" s="1"/>
  <c r="Y64" i="16" s="1"/>
  <c r="H64" i="16"/>
  <c r="I64" i="16" s="1"/>
  <c r="H277" i="16"/>
  <c r="I277" i="16" s="1"/>
  <c r="G277" i="16"/>
  <c r="BY277" i="6" s="1"/>
  <c r="H16" i="16"/>
  <c r="I16" i="16" s="1"/>
  <c r="H53" i="16"/>
  <c r="I53" i="16" s="1"/>
  <c r="H327" i="16"/>
  <c r="I327" i="16" s="1"/>
  <c r="H348" i="16"/>
  <c r="I348" i="16" s="1"/>
  <c r="H306" i="16"/>
  <c r="J306" i="16" s="1"/>
  <c r="H145" i="16"/>
  <c r="I145" i="16" s="1"/>
  <c r="H90" i="16"/>
  <c r="J90" i="16" s="1"/>
  <c r="H150" i="16"/>
  <c r="I150" i="16" s="1"/>
  <c r="AA276" i="16"/>
  <c r="Z276" i="16" s="1"/>
  <c r="Y276" i="16" s="1"/>
  <c r="AA129" i="16"/>
  <c r="Z129" i="16" s="1"/>
  <c r="Y129" i="16" s="1"/>
  <c r="AA76" i="16"/>
  <c r="Z76" i="16" s="1"/>
  <c r="Y76" i="16" s="1"/>
  <c r="AA183" i="16"/>
  <c r="Z183" i="16" s="1"/>
  <c r="Y183" i="16" s="1"/>
  <c r="AA281" i="16"/>
  <c r="Z281" i="16" s="1"/>
  <c r="Y281" i="16" s="1"/>
  <c r="AA224" i="16"/>
  <c r="Z224" i="16" s="1"/>
  <c r="Y224" i="16" s="1"/>
  <c r="AA40" i="16"/>
  <c r="Z40" i="16" s="1"/>
  <c r="Y40" i="16" s="1"/>
  <c r="AA132" i="16"/>
  <c r="Z132" i="16" s="1"/>
  <c r="Y132" i="16" s="1"/>
  <c r="AA358" i="16"/>
  <c r="Z358" i="16" s="1"/>
  <c r="Y358" i="16" s="1"/>
  <c r="AA378" i="16"/>
  <c r="Z378" i="16" s="1"/>
  <c r="Y378" i="16" s="1"/>
  <c r="AA190" i="16"/>
  <c r="Z190" i="16" s="1"/>
  <c r="Y190" i="16" s="1"/>
  <c r="AA120" i="16"/>
  <c r="Z120" i="16" s="1"/>
  <c r="Y120" i="16" s="1"/>
  <c r="AA354" i="16"/>
  <c r="Z354" i="16" s="1"/>
  <c r="Y354" i="16" s="1"/>
  <c r="AA284" i="16"/>
  <c r="Z284" i="16" s="1"/>
  <c r="Y284" i="16" s="1"/>
  <c r="AA81" i="16"/>
  <c r="Z81" i="16" s="1"/>
  <c r="Y81" i="16" s="1"/>
  <c r="AA295" i="16"/>
  <c r="Z295" i="16" s="1"/>
  <c r="Y295" i="16" s="1"/>
  <c r="G63" i="19"/>
  <c r="H357" i="16"/>
  <c r="I357" i="16" s="1"/>
  <c r="H377" i="16"/>
  <c r="J377" i="16" s="1"/>
  <c r="H318" i="16"/>
  <c r="I318" i="16" s="1"/>
  <c r="H264" i="16"/>
  <c r="I264" i="16" s="1"/>
  <c r="H123" i="16"/>
  <c r="I123" i="16" s="1"/>
  <c r="H181" i="16"/>
  <c r="J181" i="16" s="1"/>
  <c r="H206" i="16"/>
  <c r="J206" i="16" s="1"/>
  <c r="H257" i="16"/>
  <c r="I257" i="16" s="1"/>
  <c r="AA255" i="16"/>
  <c r="Z255" i="16" s="1"/>
  <c r="Y255" i="16" s="1"/>
  <c r="AA261" i="16"/>
  <c r="Z261" i="16" s="1"/>
  <c r="Y261" i="16" s="1"/>
  <c r="F350" i="16"/>
  <c r="H350" i="16" s="1"/>
  <c r="I350" i="16" s="1"/>
  <c r="H166" i="16"/>
  <c r="I166" i="16" s="1"/>
  <c r="H23" i="16"/>
  <c r="I23" i="16" s="1"/>
  <c r="AA126" i="16"/>
  <c r="Z126" i="16" s="1"/>
  <c r="Y126" i="16" s="1"/>
  <c r="AA214" i="16"/>
  <c r="Z214" i="16" s="1"/>
  <c r="Y214" i="16" s="1"/>
  <c r="G204" i="16"/>
  <c r="BY204" i="6" s="1"/>
  <c r="AA256" i="16"/>
  <c r="Z256" i="16" s="1"/>
  <c r="Y256" i="16" s="1"/>
  <c r="AA323" i="16"/>
  <c r="Z323" i="16" s="1"/>
  <c r="Y323" i="16" s="1"/>
  <c r="AA202" i="16"/>
  <c r="Z202" i="16" s="1"/>
  <c r="Y202" i="16" s="1"/>
  <c r="AA307" i="16"/>
  <c r="Z307" i="16" s="1"/>
  <c r="Y307" i="16" s="1"/>
  <c r="G240" i="16"/>
  <c r="BY240" i="6" s="1"/>
  <c r="G153" i="16"/>
  <c r="BY153" i="6" s="1"/>
  <c r="AA33" i="16"/>
  <c r="Z33" i="16" s="1"/>
  <c r="Y33" i="16" s="1"/>
  <c r="G65" i="16"/>
  <c r="BY65" i="6" s="1"/>
  <c r="H49" i="16"/>
  <c r="J49" i="16" s="1"/>
  <c r="H59" i="16"/>
  <c r="I59" i="16" s="1"/>
  <c r="H326" i="16"/>
  <c r="J326" i="16" s="1"/>
  <c r="H235" i="16"/>
  <c r="I235" i="16" s="1"/>
  <c r="H207" i="16"/>
  <c r="J207" i="16" s="1"/>
  <c r="F228" i="16"/>
  <c r="G228" i="16" s="1"/>
  <c r="BY228" i="6" s="1"/>
  <c r="H179" i="16"/>
  <c r="J179" i="16" s="1"/>
  <c r="AA231" i="16"/>
  <c r="Z231" i="16" s="1"/>
  <c r="Y231" i="16" s="1"/>
  <c r="H208" i="16"/>
  <c r="J208" i="16" s="1"/>
  <c r="H196" i="16"/>
  <c r="J196" i="16" s="1"/>
  <c r="F197" i="16"/>
  <c r="H197" i="16" s="1"/>
  <c r="J197" i="16" s="1"/>
  <c r="G188" i="16"/>
  <c r="BY188" i="6" s="1"/>
  <c r="H274" i="16"/>
  <c r="I274" i="16" s="1"/>
  <c r="F29" i="16"/>
  <c r="G29" i="16" s="1"/>
  <c r="BY29" i="6" s="1"/>
  <c r="G288" i="16"/>
  <c r="BY288" i="6" s="1"/>
  <c r="G212" i="16"/>
  <c r="BY212" i="6" s="1"/>
  <c r="AA39" i="16"/>
  <c r="Z39" i="16" s="1"/>
  <c r="Y39" i="16" s="1"/>
  <c r="AA219" i="16"/>
  <c r="Z219" i="16" s="1"/>
  <c r="Y219" i="16" s="1"/>
  <c r="H373" i="16"/>
  <c r="J373" i="16" s="1"/>
  <c r="G163" i="16"/>
  <c r="BY163" i="6" s="1"/>
  <c r="G248" i="16"/>
  <c r="BY248" i="6" s="1"/>
  <c r="U383" i="16"/>
  <c r="H165" i="16"/>
  <c r="I165" i="16" s="1"/>
  <c r="H355" i="16"/>
  <c r="I355" i="16" s="1"/>
  <c r="H37" i="16"/>
  <c r="I37" i="16" s="1"/>
  <c r="H78" i="16"/>
  <c r="I78" i="16" s="1"/>
  <c r="H38" i="16"/>
  <c r="I38" i="16" s="1"/>
  <c r="H218" i="16"/>
  <c r="I218" i="16" s="1"/>
  <c r="G199" i="16"/>
  <c r="BY199" i="6" s="1"/>
  <c r="G96" i="16"/>
  <c r="BY96" i="6" s="1"/>
  <c r="H365" i="16"/>
  <c r="J365" i="16" s="1"/>
  <c r="H245" i="16"/>
  <c r="I245" i="16" s="1"/>
  <c r="H192" i="16"/>
  <c r="J192" i="16" s="1"/>
  <c r="H124" i="16"/>
  <c r="J124" i="16" s="1"/>
  <c r="H234" i="16"/>
  <c r="J234" i="16" s="1"/>
  <c r="AA213" i="16"/>
  <c r="Z213" i="16" s="1"/>
  <c r="Y213" i="16" s="1"/>
  <c r="K63" i="19"/>
  <c r="AI382" i="16"/>
  <c r="H27" i="16"/>
  <c r="I27" i="16" s="1"/>
  <c r="H160" i="16"/>
  <c r="I160" i="16" s="1"/>
  <c r="H79" i="16"/>
  <c r="J79" i="16" s="1"/>
  <c r="H35" i="16"/>
  <c r="I35" i="16" s="1"/>
  <c r="J153" i="16"/>
  <c r="H142" i="16"/>
  <c r="J142" i="16" s="1"/>
  <c r="H335" i="16"/>
  <c r="I335" i="16" s="1"/>
  <c r="J85" i="16"/>
  <c r="J35" i="19"/>
  <c r="E11" i="19"/>
  <c r="AC10" i="22"/>
  <c r="O10" i="22"/>
  <c r="I363" i="15"/>
  <c r="H363" i="16" s="1"/>
  <c r="J342" i="16"/>
  <c r="J300" i="16"/>
  <c r="L40" i="19"/>
  <c r="V379" i="16"/>
  <c r="F379" i="16" s="1"/>
  <c r="AA379" i="16" s="1"/>
  <c r="Z379" i="16" s="1"/>
  <c r="Y379" i="16" s="1"/>
  <c r="D37" i="19"/>
  <c r="P10" i="25"/>
  <c r="L20" i="19"/>
  <c r="BR11" i="7"/>
  <c r="BP15" i="7"/>
  <c r="BQ11" i="7"/>
  <c r="A7" i="6"/>
  <c r="J214" i="16"/>
  <c r="J169" i="16"/>
  <c r="I50" i="16"/>
  <c r="I33" i="16"/>
  <c r="I300" i="16"/>
  <c r="I328" i="16"/>
  <c r="I51" i="16"/>
  <c r="I190" i="16"/>
  <c r="J296" i="16"/>
  <c r="J332" i="16"/>
  <c r="I67" i="16"/>
  <c r="J366" i="16"/>
  <c r="J349" i="16"/>
  <c r="J96" i="16"/>
  <c r="J204" i="16"/>
  <c r="J248" i="16"/>
  <c r="J20" i="16"/>
  <c r="I63" i="19"/>
  <c r="C63" i="19"/>
  <c r="J32" i="15"/>
  <c r="I32" i="15"/>
  <c r="H32" i="16" s="1"/>
  <c r="I32" i="16" s="1"/>
  <c r="F63" i="19"/>
  <c r="I36" i="16"/>
  <c r="J146" i="16"/>
  <c r="J374" i="16"/>
  <c r="I374" i="16"/>
  <c r="AA333" i="16"/>
  <c r="Z333" i="16" s="1"/>
  <c r="Y333" i="16" s="1"/>
  <c r="AA149" i="16"/>
  <c r="Z149" i="16" s="1"/>
  <c r="Y149" i="16" s="1"/>
  <c r="G149" i="16"/>
  <c r="BY149" i="6" s="1"/>
  <c r="J46" i="15"/>
  <c r="I46" i="15"/>
  <c r="H46" i="16" s="1"/>
  <c r="J270" i="16"/>
  <c r="I270" i="16"/>
  <c r="J186" i="16"/>
  <c r="I186" i="16"/>
  <c r="J188" i="16"/>
  <c r="I188" i="16"/>
  <c r="I212" i="16"/>
  <c r="J212" i="16"/>
  <c r="I287" i="16"/>
  <c r="J287" i="16"/>
  <c r="T382" i="16"/>
  <c r="T383" i="16"/>
  <c r="S15" i="16"/>
  <c r="T381" i="16"/>
  <c r="J333" i="15"/>
  <c r="I333" i="15"/>
  <c r="I55" i="16"/>
  <c r="I92" i="16"/>
  <c r="J92" i="16"/>
  <c r="J347" i="16"/>
  <c r="I358" i="16"/>
  <c r="J358" i="16"/>
  <c r="F180" i="16"/>
  <c r="I126" i="16"/>
  <c r="J126" i="16"/>
  <c r="J240" i="16"/>
  <c r="I240" i="16"/>
  <c r="J110" i="16"/>
  <c r="I110" i="16"/>
  <c r="I303" i="16"/>
  <c r="J303" i="16"/>
  <c r="J344" i="16"/>
  <c r="I344" i="16"/>
  <c r="I99" i="16"/>
  <c r="J99" i="16"/>
  <c r="J321" i="16"/>
  <c r="I321" i="16"/>
  <c r="AA106" i="16"/>
  <c r="Z106" i="16" s="1"/>
  <c r="Y106" i="16" s="1"/>
  <c r="G106" i="16"/>
  <c r="BY106" i="6" s="1"/>
  <c r="H106" i="16"/>
  <c r="I250" i="16"/>
  <c r="J250" i="16"/>
  <c r="J39" i="16"/>
  <c r="I39" i="16"/>
  <c r="J378" i="16"/>
  <c r="I378" i="16"/>
  <c r="I163" i="16"/>
  <c r="J163" i="16"/>
  <c r="I109" i="16"/>
  <c r="J109" i="16"/>
  <c r="J40" i="16"/>
  <c r="I40" i="16"/>
  <c r="I310" i="16"/>
  <c r="J310" i="16"/>
  <c r="J319" i="15"/>
  <c r="I319" i="15"/>
  <c r="H319" i="16" s="1"/>
  <c r="I144" i="16"/>
  <c r="J144" i="16"/>
  <c r="J189" i="15"/>
  <c r="I189" i="15"/>
  <c r="H189" i="16" s="1"/>
  <c r="J31" i="16"/>
  <c r="J291" i="16"/>
  <c r="I62" i="16"/>
  <c r="J62" i="16"/>
  <c r="J137" i="16"/>
  <c r="I298" i="16"/>
  <c r="J298" i="16"/>
  <c r="J120" i="16"/>
  <c r="I120" i="16"/>
  <c r="G330" i="16"/>
  <c r="BY330" i="6" s="1"/>
  <c r="AA330" i="16"/>
  <c r="Z330" i="16" s="1"/>
  <c r="Y330" i="16" s="1"/>
  <c r="G241" i="16"/>
  <c r="BY241" i="6" s="1"/>
  <c r="H241" i="16"/>
  <c r="AA241" i="16"/>
  <c r="Z241" i="16" s="1"/>
  <c r="Y241" i="16" s="1"/>
  <c r="J233" i="16"/>
  <c r="I233" i="16"/>
  <c r="I68" i="16"/>
  <c r="J68" i="16"/>
  <c r="I199" i="16"/>
  <c r="J199" i="16"/>
  <c r="J238" i="16"/>
  <c r="I238" i="16"/>
  <c r="J280" i="16"/>
  <c r="I280" i="16"/>
  <c r="I295" i="16"/>
  <c r="J295" i="16"/>
  <c r="J243" i="16"/>
  <c r="I243" i="16"/>
  <c r="G363" i="16"/>
  <c r="BY363" i="6" s="1"/>
  <c r="AA363" i="16"/>
  <c r="Z363" i="16" s="1"/>
  <c r="Y363" i="16" s="1"/>
  <c r="I361" i="16"/>
  <c r="AL9" i="1"/>
  <c r="Z16" i="1"/>
  <c r="AA382" i="1"/>
  <c r="AA9" i="1"/>
  <c r="AM8" i="1"/>
  <c r="AA381" i="1"/>
  <c r="AA383" i="1"/>
  <c r="J294" i="16"/>
  <c r="I294" i="16"/>
  <c r="I172" i="16"/>
  <c r="J172" i="16"/>
  <c r="I315" i="16"/>
  <c r="J315" i="16"/>
  <c r="I201" i="16"/>
  <c r="J201" i="16"/>
  <c r="J217" i="16"/>
  <c r="I217" i="16"/>
  <c r="J263" i="16"/>
  <c r="I263" i="16"/>
  <c r="J176" i="16"/>
  <c r="I176" i="16"/>
  <c r="J262" i="16"/>
  <c r="I262" i="16"/>
  <c r="I102" i="16"/>
  <c r="J102" i="16"/>
  <c r="I330" i="15"/>
  <c r="H330" i="16" s="1"/>
  <c r="J330" i="15"/>
  <c r="J80" i="16"/>
  <c r="I227" i="15"/>
  <c r="H227" i="16" s="1"/>
  <c r="J227" i="15"/>
  <c r="I182" i="16"/>
  <c r="J182" i="16"/>
  <c r="J193" i="16"/>
  <c r="I193" i="16"/>
  <c r="J370" i="16"/>
  <c r="J283" i="16"/>
  <c r="I283" i="16"/>
  <c r="J170" i="16"/>
  <c r="I278" i="16"/>
  <c r="J278" i="16"/>
  <c r="J131" i="16"/>
  <c r="I131" i="16"/>
  <c r="I128" i="16"/>
  <c r="J128" i="16"/>
  <c r="D63" i="19"/>
  <c r="G47" i="16"/>
  <c r="BY47" i="6" s="1"/>
  <c r="AA47" i="16"/>
  <c r="Z47" i="16" s="1"/>
  <c r="Y47" i="16" s="1"/>
  <c r="H47" i="16"/>
  <c r="J195" i="16"/>
  <c r="I195" i="16"/>
  <c r="J69" i="16"/>
  <c r="I69" i="16"/>
  <c r="J191" i="16"/>
  <c r="I191" i="16"/>
  <c r="J334" i="15"/>
  <c r="I334" i="15"/>
  <c r="H334" i="16" s="1"/>
  <c r="J94" i="15"/>
  <c r="I94" i="15"/>
  <c r="H94" i="16" s="1"/>
  <c r="I331" i="15"/>
  <c r="H331" i="16" s="1"/>
  <c r="J331" i="15"/>
  <c r="I354" i="15"/>
  <c r="H354" i="16" s="1"/>
  <c r="J354" i="15"/>
  <c r="Q10" i="18"/>
  <c r="Q205" i="18" s="1"/>
  <c r="AA77" i="15"/>
  <c r="Z77" i="15" s="1"/>
  <c r="Y77" i="15" s="1"/>
  <c r="H77" i="15"/>
  <c r="G77" i="15"/>
  <c r="BX77" i="6" s="1"/>
  <c r="J56" i="16"/>
  <c r="J44" i="16"/>
  <c r="I129" i="16"/>
  <c r="J129" i="16"/>
  <c r="I73" i="16"/>
  <c r="J73" i="16"/>
  <c r="I100" i="16"/>
  <c r="J100" i="16"/>
  <c r="I101" i="16"/>
  <c r="J101" i="16"/>
  <c r="J246" i="16"/>
  <c r="I149" i="15"/>
  <c r="H149" i="16" s="1"/>
  <c r="J149" i="15"/>
  <c r="R381" i="15"/>
  <c r="R383" i="15"/>
  <c r="R382" i="15"/>
  <c r="P15" i="15"/>
  <c r="I338" i="16"/>
  <c r="J338" i="16"/>
  <c r="F320" i="16"/>
  <c r="I261" i="16"/>
  <c r="J261" i="16"/>
  <c r="J108" i="16"/>
  <c r="I108" i="16"/>
  <c r="J171" i="16"/>
  <c r="I171" i="16"/>
  <c r="I72" i="16"/>
  <c r="J72" i="16"/>
  <c r="J65" i="16"/>
  <c r="I65" i="16"/>
  <c r="J267" i="16"/>
  <c r="I267" i="16"/>
  <c r="J380" i="16"/>
  <c r="I380" i="16"/>
  <c r="H380" i="17" s="1"/>
  <c r="I209" i="16"/>
  <c r="J209" i="16"/>
  <c r="I135" i="15"/>
  <c r="H135" i="16" s="1"/>
  <c r="J135" i="15"/>
  <c r="I91" i="16"/>
  <c r="J22" i="16"/>
  <c r="I22" i="16"/>
  <c r="J362" i="16"/>
  <c r="I289" i="16"/>
  <c r="J289" i="16"/>
  <c r="J279" i="16"/>
  <c r="I279" i="16"/>
  <c r="AA289" i="16"/>
  <c r="Z289" i="16" s="1"/>
  <c r="Y289" i="16" s="1"/>
  <c r="G289" i="16"/>
  <c r="BY289" i="6" s="1"/>
  <c r="F259" i="16"/>
  <c r="J224" i="16"/>
  <c r="I224" i="16"/>
  <c r="I175" i="16"/>
  <c r="J175" i="16"/>
  <c r="I345" i="16"/>
  <c r="I88" i="15"/>
  <c r="J88" i="15"/>
  <c r="J293" i="15"/>
  <c r="I293" i="15"/>
  <c r="H293" i="16" s="1"/>
  <c r="I42" i="16"/>
  <c r="I341" i="16"/>
  <c r="J341" i="16"/>
  <c r="J147" i="16"/>
  <c r="J237" i="16"/>
  <c r="I237" i="16"/>
  <c r="I251" i="16"/>
  <c r="J251" i="16"/>
  <c r="F136" i="16"/>
  <c r="AA46" i="16"/>
  <c r="Z46" i="16" s="1"/>
  <c r="Y46" i="16" s="1"/>
  <c r="G46" i="16"/>
  <c r="BY46" i="6" s="1"/>
  <c r="J359" i="16"/>
  <c r="I359" i="16"/>
  <c r="J220" i="16"/>
  <c r="I220" i="16"/>
  <c r="I114" i="16"/>
  <c r="J114" i="16"/>
  <c r="J226" i="16"/>
  <c r="I226" i="16"/>
  <c r="J162" i="16"/>
  <c r="I162" i="16"/>
  <c r="I185" i="16"/>
  <c r="J185" i="16"/>
  <c r="J177" i="16"/>
  <c r="I177" i="16"/>
  <c r="I52" i="16"/>
  <c r="J52" i="16"/>
  <c r="I230" i="16"/>
  <c r="J230" i="16"/>
  <c r="I242" i="16"/>
  <c r="J242" i="16"/>
  <c r="AA302" i="16"/>
  <c r="Z302" i="16" s="1"/>
  <c r="Y302" i="16" s="1"/>
  <c r="H302" i="16"/>
  <c r="G302" i="16"/>
  <c r="BY302" i="6" s="1"/>
  <c r="AF381" i="15"/>
  <c r="AD15" i="15"/>
  <c r="AF383" i="15"/>
  <c r="AF382" i="15"/>
  <c r="I41" i="16"/>
  <c r="I305" i="16"/>
  <c r="J305" i="16"/>
  <c r="I239" i="16"/>
  <c r="J239" i="16"/>
  <c r="J351" i="16"/>
  <c r="I351" i="16"/>
  <c r="J107" i="16"/>
  <c r="I107" i="16"/>
  <c r="I200" i="16"/>
  <c r="J364" i="16"/>
  <c r="I364" i="16"/>
  <c r="J372" i="16"/>
  <c r="J285" i="16"/>
  <c r="I285" i="16"/>
  <c r="U16" i="7"/>
  <c r="J308" i="16"/>
  <c r="I308" i="16"/>
  <c r="F75" i="16"/>
  <c r="J168" i="16"/>
  <c r="I168" i="16"/>
  <c r="I292" i="16"/>
  <c r="J292" i="16"/>
  <c r="J211" i="16"/>
  <c r="I211" i="16"/>
  <c r="J113" i="16"/>
  <c r="I113" i="16"/>
  <c r="J58" i="15"/>
  <c r="I58" i="15"/>
  <c r="H58" i="16" s="1"/>
  <c r="I336" i="15"/>
  <c r="H336" i="16" s="1"/>
  <c r="J336" i="15"/>
  <c r="J320" i="15"/>
  <c r="I320" i="15"/>
  <c r="AA15" i="7"/>
  <c r="AE11" i="18"/>
  <c r="AI11" i="18"/>
  <c r="F11" i="19"/>
  <c r="AL6" i="1"/>
  <c r="AL12" i="1" s="1"/>
  <c r="I87" i="16" l="1"/>
  <c r="I21" i="16"/>
  <c r="F210" i="16"/>
  <c r="G210" i="16" s="1"/>
  <c r="BY210" i="6" s="1"/>
  <c r="J74" i="16"/>
  <c r="I28" i="16"/>
  <c r="J25" i="16"/>
  <c r="J30" i="16"/>
  <c r="I57" i="16"/>
  <c r="J340" i="16"/>
  <c r="I268" i="16"/>
  <c r="J266" i="16"/>
  <c r="H333" i="16"/>
  <c r="I155" i="16"/>
  <c r="I194" i="16"/>
  <c r="I314" i="16"/>
  <c r="L63" i="19"/>
  <c r="I24" i="16"/>
  <c r="I299" i="16"/>
  <c r="I43" i="16"/>
  <c r="I353" i="16"/>
  <c r="J26" i="16"/>
  <c r="J229" i="16"/>
  <c r="J161" i="16"/>
  <c r="I258" i="16"/>
  <c r="J282" i="16"/>
  <c r="J140" i="16"/>
  <c r="I367" i="16"/>
  <c r="I141" i="16"/>
  <c r="J17" i="16"/>
  <c r="J139" i="16"/>
  <c r="I104" i="16"/>
  <c r="I130" i="16"/>
  <c r="I213" i="16"/>
  <c r="J103" i="16"/>
  <c r="AI348" i="17"/>
  <c r="AH348" i="17" s="1"/>
  <c r="AG348" i="17" s="1"/>
  <c r="AF348" i="17" s="1"/>
  <c r="AD348" i="17" s="1"/>
  <c r="AI176" i="17"/>
  <c r="AH176" i="17" s="1"/>
  <c r="AG176" i="17" s="1"/>
  <c r="AF176" i="17" s="1"/>
  <c r="AD176" i="17" s="1"/>
  <c r="AI52" i="17"/>
  <c r="AH52" i="17" s="1"/>
  <c r="AG52" i="17" s="1"/>
  <c r="AF52" i="17" s="1"/>
  <c r="AD52" i="17" s="1"/>
  <c r="AI25" i="17"/>
  <c r="AH25" i="17" s="1"/>
  <c r="AG25" i="17" s="1"/>
  <c r="AF25" i="17" s="1"/>
  <c r="AD25" i="17" s="1"/>
  <c r="AI56" i="17"/>
  <c r="AH56" i="17" s="1"/>
  <c r="AI291" i="17"/>
  <c r="AH291" i="17" s="1"/>
  <c r="AG291" i="17" s="1"/>
  <c r="AF291" i="17" s="1"/>
  <c r="AD291" i="17" s="1"/>
  <c r="U323" i="17"/>
  <c r="T323" i="17" s="1"/>
  <c r="S323" i="17" s="1"/>
  <c r="R323" i="17" s="1"/>
  <c r="P323" i="17" s="1"/>
  <c r="V323" i="17" s="1"/>
  <c r="F323" i="17" s="1"/>
  <c r="G323" i="17" s="1"/>
  <c r="BZ323" i="6" s="1"/>
  <c r="U275" i="17"/>
  <c r="T275" i="17" s="1"/>
  <c r="S275" i="17" s="1"/>
  <c r="R275" i="17" s="1"/>
  <c r="P275" i="17" s="1"/>
  <c r="V275" i="17" s="1"/>
  <c r="F275" i="17" s="1"/>
  <c r="H275" i="17" s="1"/>
  <c r="U102" i="17"/>
  <c r="T102" i="17" s="1"/>
  <c r="S102" i="17" s="1"/>
  <c r="R102" i="17" s="1"/>
  <c r="P102" i="17" s="1"/>
  <c r="V102" i="17" s="1"/>
  <c r="F102" i="17" s="1"/>
  <c r="G102" i="17" s="1"/>
  <c r="BZ102" i="6" s="1"/>
  <c r="U78" i="17"/>
  <c r="T78" i="17" s="1"/>
  <c r="S78" i="17" s="1"/>
  <c r="R78" i="17" s="1"/>
  <c r="P78" i="17" s="1"/>
  <c r="V78" i="17" s="1"/>
  <c r="F78" i="17" s="1"/>
  <c r="H78" i="17" s="1"/>
  <c r="U145" i="17"/>
  <c r="T145" i="17" s="1"/>
  <c r="S145" i="17" s="1"/>
  <c r="R145" i="17" s="1"/>
  <c r="P145" i="17" s="1"/>
  <c r="V145" i="17" s="1"/>
  <c r="F145" i="17" s="1"/>
  <c r="G145" i="17" s="1"/>
  <c r="BZ145" i="6" s="1"/>
  <c r="U33" i="17"/>
  <c r="T33" i="17" s="1"/>
  <c r="S33" i="17" s="1"/>
  <c r="R33" i="17" s="1"/>
  <c r="P33" i="17" s="1"/>
  <c r="V33" i="17" s="1"/>
  <c r="F33" i="17" s="1"/>
  <c r="H33" i="17" s="1"/>
  <c r="I33" i="17" s="1"/>
  <c r="U366" i="17"/>
  <c r="T366" i="17" s="1"/>
  <c r="S366" i="17" s="1"/>
  <c r="R366" i="17" s="1"/>
  <c r="P366" i="17" s="1"/>
  <c r="V366" i="17" s="1"/>
  <c r="F366" i="17" s="1"/>
  <c r="G366" i="17" s="1"/>
  <c r="BZ366" i="6" s="1"/>
  <c r="AI371" i="17"/>
  <c r="AH371" i="17" s="1"/>
  <c r="AG371" i="17" s="1"/>
  <c r="AF371" i="17" s="1"/>
  <c r="AD371" i="17" s="1"/>
  <c r="AI326" i="17"/>
  <c r="AH326" i="17" s="1"/>
  <c r="AG326" i="17" s="1"/>
  <c r="AF326" i="17" s="1"/>
  <c r="AD326" i="17" s="1"/>
  <c r="AI57" i="17"/>
  <c r="AH57" i="17" s="1"/>
  <c r="AG57" i="17" s="1"/>
  <c r="AF57" i="17" s="1"/>
  <c r="AD57" i="17" s="1"/>
  <c r="AI26" i="17"/>
  <c r="AH26" i="17" s="1"/>
  <c r="AG26" i="17" s="1"/>
  <c r="AF26" i="17" s="1"/>
  <c r="AD26" i="17" s="1"/>
  <c r="AI123" i="17"/>
  <c r="AH123" i="17" s="1"/>
  <c r="AG123" i="17" s="1"/>
  <c r="AF123" i="17" s="1"/>
  <c r="AD123" i="17" s="1"/>
  <c r="AI293" i="17"/>
  <c r="AH293" i="17" s="1"/>
  <c r="AG293" i="17" s="1"/>
  <c r="AF293" i="17" s="1"/>
  <c r="AD293" i="17" s="1"/>
  <c r="U196" i="17"/>
  <c r="T196" i="17" s="1"/>
  <c r="S196" i="17" s="1"/>
  <c r="R196" i="17" s="1"/>
  <c r="P196" i="17" s="1"/>
  <c r="V196" i="17" s="1"/>
  <c r="F196" i="17" s="1"/>
  <c r="G196" i="17" s="1"/>
  <c r="BZ196" i="6" s="1"/>
  <c r="U300" i="17"/>
  <c r="T300" i="17" s="1"/>
  <c r="S300" i="17" s="1"/>
  <c r="R300" i="17" s="1"/>
  <c r="P300" i="17" s="1"/>
  <c r="V300" i="17" s="1"/>
  <c r="F300" i="17" s="1"/>
  <c r="G300" i="17" s="1"/>
  <c r="BZ300" i="6" s="1"/>
  <c r="U168" i="17"/>
  <c r="T168" i="17" s="1"/>
  <c r="S168" i="17" s="1"/>
  <c r="R168" i="17" s="1"/>
  <c r="P168" i="17" s="1"/>
  <c r="V168" i="17" s="1"/>
  <c r="F168" i="17" s="1"/>
  <c r="G168" i="17" s="1"/>
  <c r="BZ168" i="6" s="1"/>
  <c r="U213" i="17"/>
  <c r="T213" i="17" s="1"/>
  <c r="S213" i="17" s="1"/>
  <c r="R213" i="17" s="1"/>
  <c r="P213" i="17" s="1"/>
  <c r="V213" i="17" s="1"/>
  <c r="F213" i="17" s="1"/>
  <c r="H213" i="17" s="1"/>
  <c r="U152" i="17"/>
  <c r="T152" i="17" s="1"/>
  <c r="S152" i="17" s="1"/>
  <c r="R152" i="17" s="1"/>
  <c r="P152" i="17" s="1"/>
  <c r="V152" i="17" s="1"/>
  <c r="F152" i="17" s="1"/>
  <c r="H152" i="17" s="1"/>
  <c r="U26" i="17"/>
  <c r="T26" i="17" s="1"/>
  <c r="S26" i="17" s="1"/>
  <c r="R26" i="17" s="1"/>
  <c r="P26" i="17" s="1"/>
  <c r="V26" i="17" s="1"/>
  <c r="F26" i="17" s="1"/>
  <c r="H26" i="17" s="1"/>
  <c r="Q93" i="18"/>
  <c r="U311" i="17"/>
  <c r="T311" i="17" s="1"/>
  <c r="S311" i="17" s="1"/>
  <c r="R311" i="17" s="1"/>
  <c r="P311" i="17" s="1"/>
  <c r="V311" i="17" s="1"/>
  <c r="F311" i="17" s="1"/>
  <c r="G311" i="17" s="1"/>
  <c r="BZ311" i="6" s="1"/>
  <c r="U208" i="17"/>
  <c r="T208" i="17" s="1"/>
  <c r="S208" i="17" s="1"/>
  <c r="R208" i="17" s="1"/>
  <c r="P208" i="17" s="1"/>
  <c r="V208" i="17" s="1"/>
  <c r="F208" i="17" s="1"/>
  <c r="G208" i="17" s="1"/>
  <c r="BZ208" i="6" s="1"/>
  <c r="U133" i="17"/>
  <c r="T133" i="17" s="1"/>
  <c r="S133" i="17" s="1"/>
  <c r="R133" i="17" s="1"/>
  <c r="P133" i="17" s="1"/>
  <c r="V133" i="17" s="1"/>
  <c r="F133" i="17" s="1"/>
  <c r="H133" i="17" s="1"/>
  <c r="U23" i="17"/>
  <c r="T23" i="17" s="1"/>
  <c r="S23" i="17" s="1"/>
  <c r="R23" i="17" s="1"/>
  <c r="P23" i="17" s="1"/>
  <c r="V23" i="17" s="1"/>
  <c r="F23" i="17" s="1"/>
  <c r="G23" i="17" s="1"/>
  <c r="BZ23" i="6" s="1"/>
  <c r="U292" i="17"/>
  <c r="T292" i="17" s="1"/>
  <c r="S292" i="17" s="1"/>
  <c r="R292" i="17" s="1"/>
  <c r="P292" i="17" s="1"/>
  <c r="V292" i="17" s="1"/>
  <c r="F292" i="17" s="1"/>
  <c r="H292" i="17" s="1"/>
  <c r="U195" i="17"/>
  <c r="T195" i="17" s="1"/>
  <c r="S195" i="17" s="1"/>
  <c r="R195" i="17" s="1"/>
  <c r="P195" i="17" s="1"/>
  <c r="V195" i="17" s="1"/>
  <c r="F195" i="17" s="1"/>
  <c r="G195" i="17" s="1"/>
  <c r="BZ195" i="6" s="1"/>
  <c r="U222" i="17"/>
  <c r="T222" i="17" s="1"/>
  <c r="S222" i="17" s="1"/>
  <c r="R222" i="17" s="1"/>
  <c r="P222" i="17" s="1"/>
  <c r="V222" i="17" s="1"/>
  <c r="F222" i="17" s="1"/>
  <c r="H222" i="17" s="1"/>
  <c r="U119" i="17"/>
  <c r="T119" i="17" s="1"/>
  <c r="S119" i="17" s="1"/>
  <c r="R119" i="17" s="1"/>
  <c r="P119" i="17" s="1"/>
  <c r="V119" i="17" s="1"/>
  <c r="F119" i="17" s="1"/>
  <c r="U82" i="17"/>
  <c r="T82" i="17" s="1"/>
  <c r="S82" i="17" s="1"/>
  <c r="R82" i="17" s="1"/>
  <c r="P82" i="17" s="1"/>
  <c r="V82" i="17" s="1"/>
  <c r="F82" i="17" s="1"/>
  <c r="G82" i="17" s="1"/>
  <c r="BZ82" i="6" s="1"/>
  <c r="U200" i="17"/>
  <c r="T200" i="17" s="1"/>
  <c r="S200" i="17" s="1"/>
  <c r="R200" i="17" s="1"/>
  <c r="P200" i="17" s="1"/>
  <c r="V200" i="17" s="1"/>
  <c r="F200" i="17" s="1"/>
  <c r="G200" i="17" s="1"/>
  <c r="BZ200" i="6" s="1"/>
  <c r="U302" i="17"/>
  <c r="T302" i="17" s="1"/>
  <c r="S302" i="17" s="1"/>
  <c r="R302" i="17" s="1"/>
  <c r="P302" i="17" s="1"/>
  <c r="D65" i="7" s="1"/>
  <c r="U312" i="17"/>
  <c r="T312" i="17" s="1"/>
  <c r="S312" i="17" s="1"/>
  <c r="R312" i="17" s="1"/>
  <c r="P312" i="17" s="1"/>
  <c r="V312" i="17" s="1"/>
  <c r="F312" i="17" s="1"/>
  <c r="G312" i="17" s="1"/>
  <c r="BZ312" i="6" s="1"/>
  <c r="U251" i="17"/>
  <c r="T251" i="17" s="1"/>
  <c r="S251" i="17" s="1"/>
  <c r="R251" i="17" s="1"/>
  <c r="P251" i="17" s="1"/>
  <c r="V251" i="17" s="1"/>
  <c r="F251" i="17" s="1"/>
  <c r="G251" i="17" s="1"/>
  <c r="BZ251" i="6" s="1"/>
  <c r="J313" i="16"/>
  <c r="J273" i="16"/>
  <c r="J284" i="16"/>
  <c r="AH383" i="16"/>
  <c r="AI53" i="17"/>
  <c r="AH53" i="17" s="1"/>
  <c r="AI329" i="17"/>
  <c r="AH329" i="17" s="1"/>
  <c r="AG329" i="17" s="1"/>
  <c r="AF329" i="17" s="1"/>
  <c r="AD329" i="17" s="1"/>
  <c r="AI189" i="17"/>
  <c r="AH189" i="17" s="1"/>
  <c r="AG189" i="17" s="1"/>
  <c r="AF189" i="17" s="1"/>
  <c r="AD189" i="17" s="1"/>
  <c r="AI150" i="17"/>
  <c r="AH150" i="17" s="1"/>
  <c r="AG150" i="17" s="1"/>
  <c r="AF150" i="17" s="1"/>
  <c r="AD150" i="17" s="1"/>
  <c r="AI148" i="17"/>
  <c r="AH148" i="17" s="1"/>
  <c r="AG148" i="17" s="1"/>
  <c r="AF148" i="17" s="1"/>
  <c r="AD148" i="17" s="1"/>
  <c r="AI89" i="17"/>
  <c r="AH89" i="17" s="1"/>
  <c r="AG89" i="17" s="1"/>
  <c r="AF89" i="17" s="1"/>
  <c r="AD89" i="17" s="1"/>
  <c r="AI265" i="17"/>
  <c r="AH265" i="17" s="1"/>
  <c r="AG265" i="17" s="1"/>
  <c r="AF265" i="17" s="1"/>
  <c r="AD265" i="17" s="1"/>
  <c r="AI255" i="17"/>
  <c r="AH255" i="17" s="1"/>
  <c r="AG255" i="17" s="1"/>
  <c r="AF255" i="17" s="1"/>
  <c r="AD255" i="17" s="1"/>
  <c r="AI306" i="17"/>
  <c r="AH306" i="17" s="1"/>
  <c r="AG306" i="17" s="1"/>
  <c r="AF306" i="17" s="1"/>
  <c r="AD306" i="17" s="1"/>
  <c r="AI113" i="17"/>
  <c r="AH113" i="17" s="1"/>
  <c r="AG113" i="17" s="1"/>
  <c r="AF113" i="17" s="1"/>
  <c r="AD113" i="17" s="1"/>
  <c r="AI128" i="17"/>
  <c r="AH128" i="17" s="1"/>
  <c r="AG128" i="17" s="1"/>
  <c r="AF128" i="17" s="1"/>
  <c r="AD128" i="17" s="1"/>
  <c r="J275" i="16"/>
  <c r="I215" i="16"/>
  <c r="J203" i="16"/>
  <c r="J18" i="16"/>
  <c r="J66" i="16"/>
  <c r="I45" i="16"/>
  <c r="J221" i="16"/>
  <c r="J138" i="16"/>
  <c r="I365" i="16"/>
  <c r="I324" i="16"/>
  <c r="J183" i="16"/>
  <c r="J154" i="16"/>
  <c r="J134" i="16"/>
  <c r="I178" i="16"/>
  <c r="J218" i="16"/>
  <c r="I142" i="16"/>
  <c r="H88" i="16"/>
  <c r="I88" i="16" s="1"/>
  <c r="I127" i="16"/>
  <c r="J216" i="16"/>
  <c r="J253" i="16"/>
  <c r="J112" i="16"/>
  <c r="G60" i="16"/>
  <c r="BY60" i="6" s="1"/>
  <c r="J156" i="16"/>
  <c r="J158" i="16"/>
  <c r="I48" i="16"/>
  <c r="AA88" i="16"/>
  <c r="Z88" i="16" s="1"/>
  <c r="Y88" i="16" s="1"/>
  <c r="I368" i="16"/>
  <c r="J122" i="16"/>
  <c r="H272" i="16"/>
  <c r="I272" i="16" s="1"/>
  <c r="I164" i="16"/>
  <c r="J159" i="16"/>
  <c r="J265" i="16"/>
  <c r="I95" i="16"/>
  <c r="I82" i="16"/>
  <c r="I325" i="16"/>
  <c r="Q92" i="18"/>
  <c r="H167" i="16"/>
  <c r="I167" i="16" s="1"/>
  <c r="U268" i="17"/>
  <c r="T268" i="17" s="1"/>
  <c r="S268" i="17" s="1"/>
  <c r="R268" i="17" s="1"/>
  <c r="P268" i="17" s="1"/>
  <c r="V268" i="17" s="1"/>
  <c r="F268" i="17" s="1"/>
  <c r="G268" i="17" s="1"/>
  <c r="BZ268" i="6" s="1"/>
  <c r="U243" i="17"/>
  <c r="T243" i="17" s="1"/>
  <c r="S243" i="17" s="1"/>
  <c r="R243" i="17" s="1"/>
  <c r="P243" i="17" s="1"/>
  <c r="V243" i="17" s="1"/>
  <c r="F243" i="17" s="1"/>
  <c r="G243" i="17" s="1"/>
  <c r="BZ243" i="6" s="1"/>
  <c r="U185" i="17"/>
  <c r="T185" i="17" s="1"/>
  <c r="S185" i="17" s="1"/>
  <c r="R185" i="17" s="1"/>
  <c r="P185" i="17" s="1"/>
  <c r="V185" i="17" s="1"/>
  <c r="F185" i="17" s="1"/>
  <c r="G185" i="17" s="1"/>
  <c r="BZ185" i="6" s="1"/>
  <c r="U91" i="17"/>
  <c r="T91" i="17" s="1"/>
  <c r="S91" i="17" s="1"/>
  <c r="R91" i="17" s="1"/>
  <c r="P91" i="17" s="1"/>
  <c r="V91" i="17" s="1"/>
  <c r="F91" i="17" s="1"/>
  <c r="G91" i="17" s="1"/>
  <c r="BZ91" i="6" s="1"/>
  <c r="U17" i="17"/>
  <c r="T17" i="17" s="1"/>
  <c r="S17" i="17" s="1"/>
  <c r="R17" i="17" s="1"/>
  <c r="P17" i="17" s="1"/>
  <c r="V17" i="17" s="1"/>
  <c r="F17" i="17" s="1"/>
  <c r="G17" i="17" s="1"/>
  <c r="BZ17" i="6" s="1"/>
  <c r="U137" i="17"/>
  <c r="T137" i="17" s="1"/>
  <c r="S137" i="17" s="1"/>
  <c r="R137" i="17" s="1"/>
  <c r="P137" i="17" s="1"/>
  <c r="V137" i="17" s="1"/>
  <c r="F137" i="17" s="1"/>
  <c r="H137" i="17" s="1"/>
  <c r="U65" i="17"/>
  <c r="T65" i="17" s="1"/>
  <c r="S65" i="17" s="1"/>
  <c r="R65" i="17" s="1"/>
  <c r="P65" i="17" s="1"/>
  <c r="V65" i="17" s="1"/>
  <c r="F65" i="17" s="1"/>
  <c r="G65" i="17" s="1"/>
  <c r="BZ65" i="6" s="1"/>
  <c r="U42" i="17"/>
  <c r="T42" i="17" s="1"/>
  <c r="S42" i="17" s="1"/>
  <c r="R42" i="17" s="1"/>
  <c r="P42" i="17" s="1"/>
  <c r="V42" i="17" s="1"/>
  <c r="F42" i="17" s="1"/>
  <c r="G42" i="17" s="1"/>
  <c r="BZ42" i="6" s="1"/>
  <c r="U355" i="17"/>
  <c r="T355" i="17" s="1"/>
  <c r="S355" i="17" s="1"/>
  <c r="R355" i="17" s="1"/>
  <c r="P355" i="17" s="1"/>
  <c r="V355" i="17" s="1"/>
  <c r="F355" i="17" s="1"/>
  <c r="G355" i="17" s="1"/>
  <c r="BZ355" i="6" s="1"/>
  <c r="U374" i="17"/>
  <c r="T374" i="17" s="1"/>
  <c r="S374" i="17" s="1"/>
  <c r="R374" i="17" s="1"/>
  <c r="P374" i="17" s="1"/>
  <c r="V374" i="17" s="1"/>
  <c r="F374" i="17" s="1"/>
  <c r="H374" i="17" s="1"/>
  <c r="U317" i="17"/>
  <c r="T317" i="17" s="1"/>
  <c r="S317" i="17" s="1"/>
  <c r="R317" i="17" s="1"/>
  <c r="P317" i="17" s="1"/>
  <c r="V317" i="17" s="1"/>
  <c r="F317" i="17" s="1"/>
  <c r="G317" i="17" s="1"/>
  <c r="BZ317" i="6" s="1"/>
  <c r="U67" i="17"/>
  <c r="T67" i="17" s="1"/>
  <c r="S67" i="17" s="1"/>
  <c r="R67" i="17" s="1"/>
  <c r="P67" i="17" s="1"/>
  <c r="V67" i="17" s="1"/>
  <c r="F67" i="17" s="1"/>
  <c r="H67" i="17" s="1"/>
  <c r="I67" i="17" s="1"/>
  <c r="U101" i="17"/>
  <c r="T101" i="17" s="1"/>
  <c r="S101" i="17" s="1"/>
  <c r="R101" i="17" s="1"/>
  <c r="P101" i="17" s="1"/>
  <c r="V101" i="17" s="1"/>
  <c r="F101" i="17" s="1"/>
  <c r="G101" i="17" s="1"/>
  <c r="BZ101" i="6" s="1"/>
  <c r="U364" i="17"/>
  <c r="T364" i="17" s="1"/>
  <c r="S364" i="17" s="1"/>
  <c r="R364" i="17" s="1"/>
  <c r="P364" i="17" s="1"/>
  <c r="V364" i="17" s="1"/>
  <c r="F364" i="17" s="1"/>
  <c r="U245" i="17"/>
  <c r="T245" i="17" s="1"/>
  <c r="S245" i="17" s="1"/>
  <c r="R245" i="17" s="1"/>
  <c r="P245" i="17" s="1"/>
  <c r="V245" i="17" s="1"/>
  <c r="F245" i="17" s="1"/>
  <c r="H245" i="17" s="1"/>
  <c r="U181" i="17"/>
  <c r="T181" i="17" s="1"/>
  <c r="S181" i="17" s="1"/>
  <c r="R181" i="17" s="1"/>
  <c r="P181" i="17" s="1"/>
  <c r="V181" i="17" s="1"/>
  <c r="F181" i="17" s="1"/>
  <c r="G181" i="17" s="1"/>
  <c r="BZ181" i="6" s="1"/>
  <c r="U87" i="17"/>
  <c r="T87" i="17" s="1"/>
  <c r="S87" i="17" s="1"/>
  <c r="R87" i="17" s="1"/>
  <c r="P87" i="17" s="1"/>
  <c r="V87" i="17" s="1"/>
  <c r="F87" i="17" s="1"/>
  <c r="G87" i="17" s="1"/>
  <c r="BZ87" i="6" s="1"/>
  <c r="U191" i="17"/>
  <c r="T191" i="17" s="1"/>
  <c r="S191" i="17" s="1"/>
  <c r="R191" i="17" s="1"/>
  <c r="P191" i="17" s="1"/>
  <c r="V191" i="17" s="1"/>
  <c r="F191" i="17" s="1"/>
  <c r="G191" i="17" s="1"/>
  <c r="BZ191" i="6" s="1"/>
  <c r="U147" i="17"/>
  <c r="T147" i="17" s="1"/>
  <c r="S147" i="17" s="1"/>
  <c r="R147" i="17" s="1"/>
  <c r="P147" i="17" s="1"/>
  <c r="V147" i="17" s="1"/>
  <c r="F147" i="17" s="1"/>
  <c r="G147" i="17" s="1"/>
  <c r="BZ147" i="6" s="1"/>
  <c r="U76" i="17"/>
  <c r="T76" i="17" s="1"/>
  <c r="S76" i="17" s="1"/>
  <c r="R76" i="17" s="1"/>
  <c r="P76" i="17" s="1"/>
  <c r="V76" i="17" s="1"/>
  <c r="F76" i="17" s="1"/>
  <c r="G76" i="17" s="1"/>
  <c r="BZ76" i="6" s="1"/>
  <c r="U158" i="17"/>
  <c r="T158" i="17" s="1"/>
  <c r="S158" i="17" s="1"/>
  <c r="R158" i="17" s="1"/>
  <c r="P158" i="17" s="1"/>
  <c r="V158" i="17" s="1"/>
  <c r="F158" i="17" s="1"/>
  <c r="H158" i="17" s="1"/>
  <c r="U334" i="17"/>
  <c r="T334" i="17" s="1"/>
  <c r="S334" i="17" s="1"/>
  <c r="R334" i="17" s="1"/>
  <c r="P334" i="17" s="1"/>
  <c r="V334" i="17" s="1"/>
  <c r="F334" i="17" s="1"/>
  <c r="G334" i="17" s="1"/>
  <c r="BZ334" i="6" s="1"/>
  <c r="U235" i="17"/>
  <c r="T235" i="17" s="1"/>
  <c r="S235" i="17" s="1"/>
  <c r="R235" i="17" s="1"/>
  <c r="P235" i="17" s="1"/>
  <c r="V235" i="17" s="1"/>
  <c r="F235" i="17" s="1"/>
  <c r="G235" i="17" s="1"/>
  <c r="BZ235" i="6" s="1"/>
  <c r="U228" i="17"/>
  <c r="T228" i="17" s="1"/>
  <c r="S228" i="17" s="1"/>
  <c r="R228" i="17" s="1"/>
  <c r="P228" i="17" s="1"/>
  <c r="V228" i="17" s="1"/>
  <c r="F228" i="17" s="1"/>
  <c r="G228" i="17" s="1"/>
  <c r="BZ228" i="6" s="1"/>
  <c r="U303" i="17"/>
  <c r="T303" i="17" s="1"/>
  <c r="S303" i="17" s="1"/>
  <c r="R303" i="17" s="1"/>
  <c r="P303" i="17" s="1"/>
  <c r="V303" i="17" s="1"/>
  <c r="F303" i="17" s="1"/>
  <c r="G303" i="17" s="1"/>
  <c r="BZ303" i="6" s="1"/>
  <c r="U34" i="17"/>
  <c r="T34" i="17" s="1"/>
  <c r="S34" i="17" s="1"/>
  <c r="R34" i="17" s="1"/>
  <c r="P34" i="17" s="1"/>
  <c r="V34" i="17" s="1"/>
  <c r="F34" i="17" s="1"/>
  <c r="J54" i="16"/>
  <c r="AH381" i="16"/>
  <c r="AI351" i="17"/>
  <c r="AH351" i="17" s="1"/>
  <c r="AG351" i="17" s="1"/>
  <c r="AF351" i="17" s="1"/>
  <c r="AD351" i="17" s="1"/>
  <c r="AI280" i="17"/>
  <c r="AH280" i="17" s="1"/>
  <c r="AI288" i="17"/>
  <c r="AH288" i="17" s="1"/>
  <c r="AG288" i="17" s="1"/>
  <c r="AF288" i="17" s="1"/>
  <c r="AD288" i="17" s="1"/>
  <c r="AI94" i="17"/>
  <c r="AH94" i="17" s="1"/>
  <c r="AG94" i="17" s="1"/>
  <c r="AF94" i="17" s="1"/>
  <c r="AD94" i="17" s="1"/>
  <c r="AI343" i="17"/>
  <c r="AH343" i="17" s="1"/>
  <c r="AG343" i="17" s="1"/>
  <c r="AF343" i="17" s="1"/>
  <c r="AD343" i="17" s="1"/>
  <c r="AI49" i="17"/>
  <c r="AH49" i="17" s="1"/>
  <c r="AG49" i="17" s="1"/>
  <c r="AF49" i="17" s="1"/>
  <c r="AD49" i="17" s="1"/>
  <c r="AI244" i="17"/>
  <c r="AH244" i="17" s="1"/>
  <c r="AG244" i="17" s="1"/>
  <c r="AF244" i="17" s="1"/>
  <c r="AD244" i="17" s="1"/>
  <c r="AI203" i="17"/>
  <c r="AH203" i="17" s="1"/>
  <c r="AG203" i="17" s="1"/>
  <c r="AF203" i="17" s="1"/>
  <c r="AD203" i="17" s="1"/>
  <c r="AI167" i="17"/>
  <c r="AH167" i="17" s="1"/>
  <c r="AG167" i="17" s="1"/>
  <c r="AF167" i="17" s="1"/>
  <c r="AD167" i="17" s="1"/>
  <c r="AI35" i="17"/>
  <c r="AH35" i="17" s="1"/>
  <c r="AI126" i="17"/>
  <c r="AH126" i="17" s="1"/>
  <c r="AG126" i="17" s="1"/>
  <c r="AF126" i="17" s="1"/>
  <c r="AD126" i="17" s="1"/>
  <c r="AI339" i="17"/>
  <c r="AH339" i="17" s="1"/>
  <c r="AG339" i="17" s="1"/>
  <c r="AF339" i="17" s="1"/>
  <c r="AD339" i="17" s="1"/>
  <c r="AI251" i="17"/>
  <c r="AH251" i="17" s="1"/>
  <c r="AG251" i="17" s="1"/>
  <c r="AF251" i="17" s="1"/>
  <c r="AD251" i="17" s="1"/>
  <c r="AI302" i="17"/>
  <c r="AH302" i="17" s="1"/>
  <c r="AI249" i="17"/>
  <c r="AH249" i="17" s="1"/>
  <c r="AG249" i="17" s="1"/>
  <c r="AF249" i="17" s="1"/>
  <c r="AD249" i="17" s="1"/>
  <c r="AI214" i="17"/>
  <c r="AH214" i="17" s="1"/>
  <c r="AI34" i="17"/>
  <c r="AH34" i="17" s="1"/>
  <c r="AG34" i="17" s="1"/>
  <c r="AF34" i="17" s="1"/>
  <c r="AD34" i="17" s="1"/>
  <c r="AI114" i="17"/>
  <c r="AH114" i="17" s="1"/>
  <c r="AG114" i="17" s="1"/>
  <c r="AF114" i="17" s="1"/>
  <c r="AD114" i="17" s="1"/>
  <c r="AI269" i="17"/>
  <c r="AH269" i="17" s="1"/>
  <c r="AG269" i="17" s="1"/>
  <c r="AF269" i="17" s="1"/>
  <c r="AD269" i="17" s="1"/>
  <c r="AI98" i="17"/>
  <c r="AH98" i="17" s="1"/>
  <c r="AG98" i="17" s="1"/>
  <c r="AF98" i="17" s="1"/>
  <c r="AD98" i="17" s="1"/>
  <c r="AI68" i="17"/>
  <c r="AH68" i="17" s="1"/>
  <c r="AG68" i="17" s="1"/>
  <c r="AF68" i="17" s="1"/>
  <c r="AD68" i="17" s="1"/>
  <c r="I34" i="16"/>
  <c r="J84" i="16"/>
  <c r="J232" i="16"/>
  <c r="I346" i="16"/>
  <c r="J152" i="16"/>
  <c r="J83" i="16"/>
  <c r="J269" i="16"/>
  <c r="I244" i="16"/>
  <c r="I173" i="16"/>
  <c r="H60" i="16"/>
  <c r="I60" i="16" s="1"/>
  <c r="I256" i="16"/>
  <c r="I360" i="16"/>
  <c r="I132" i="16"/>
  <c r="I225" i="16"/>
  <c r="J249" i="16"/>
  <c r="J223" i="16"/>
  <c r="J222" i="16"/>
  <c r="J117" i="16"/>
  <c r="I81" i="16"/>
  <c r="J281" i="16"/>
  <c r="J93" i="16"/>
  <c r="AA119" i="16"/>
  <c r="Z119" i="16" s="1"/>
  <c r="Y119" i="16" s="1"/>
  <c r="I192" i="16"/>
  <c r="J327" i="16"/>
  <c r="I70" i="16"/>
  <c r="I202" i="16"/>
  <c r="I297" i="16"/>
  <c r="I79" i="16"/>
  <c r="J143" i="16"/>
  <c r="J111" i="16"/>
  <c r="I71" i="16"/>
  <c r="I371" i="16"/>
  <c r="G167" i="16"/>
  <c r="BY167" i="6" s="1"/>
  <c r="I151" i="16"/>
  <c r="J276" i="16"/>
  <c r="J231" i="16"/>
  <c r="I312" i="16"/>
  <c r="Q21" i="18"/>
  <c r="Q41" i="18"/>
  <c r="Q54" i="18"/>
  <c r="I306" i="16"/>
  <c r="G119" i="16"/>
  <c r="BY119" i="6" s="1"/>
  <c r="J247" i="16"/>
  <c r="I286" i="16"/>
  <c r="J277" i="16"/>
  <c r="J260" i="16"/>
  <c r="J369" i="16"/>
  <c r="J274" i="16"/>
  <c r="J174" i="16"/>
  <c r="I184" i="16"/>
  <c r="I181" i="16"/>
  <c r="I339" i="16"/>
  <c r="I311" i="16"/>
  <c r="H311" i="17" s="1"/>
  <c r="I86" i="16"/>
  <c r="AH382" i="16"/>
  <c r="J133" i="16"/>
  <c r="I236" i="16"/>
  <c r="J205" i="16"/>
  <c r="J76" i="16"/>
  <c r="I121" i="16"/>
  <c r="I375" i="16"/>
  <c r="J288" i="16"/>
  <c r="J61" i="16"/>
  <c r="I89" i="16"/>
  <c r="J118" i="16"/>
  <c r="I290" i="16"/>
  <c r="I19" i="16"/>
  <c r="I115" i="16"/>
  <c r="I255" i="16"/>
  <c r="J98" i="16"/>
  <c r="J116" i="16"/>
  <c r="I356" i="16"/>
  <c r="J252" i="16"/>
  <c r="J301" i="16"/>
  <c r="J27" i="16"/>
  <c r="I187" i="16"/>
  <c r="I234" i="16"/>
  <c r="I254" i="16"/>
  <c r="J38" i="16"/>
  <c r="J37" i="16"/>
  <c r="J16" i="16"/>
  <c r="J165" i="16"/>
  <c r="I373" i="16"/>
  <c r="G197" i="16"/>
  <c r="BY197" i="6" s="1"/>
  <c r="I207" i="16"/>
  <c r="I49" i="16"/>
  <c r="AA272" i="16"/>
  <c r="Z272" i="16" s="1"/>
  <c r="Y272" i="16" s="1"/>
  <c r="J166" i="16"/>
  <c r="I197" i="16"/>
  <c r="J264" i="16"/>
  <c r="J317" i="16"/>
  <c r="I198" i="16"/>
  <c r="J343" i="16"/>
  <c r="I322" i="16"/>
  <c r="J125" i="16"/>
  <c r="J271" i="16"/>
  <c r="I208" i="16"/>
  <c r="I316" i="16"/>
  <c r="J257" i="16"/>
  <c r="I157" i="16"/>
  <c r="J307" i="16"/>
  <c r="J63" i="19"/>
  <c r="J105" i="16"/>
  <c r="J235" i="16"/>
  <c r="AA197" i="16"/>
  <c r="Z197" i="16" s="1"/>
  <c r="Y197" i="16" s="1"/>
  <c r="I90" i="16"/>
  <c r="J245" i="16"/>
  <c r="J53" i="16"/>
  <c r="J150" i="16"/>
  <c r="J23" i="16"/>
  <c r="J348" i="16"/>
  <c r="E63" i="19"/>
  <c r="J335" i="16"/>
  <c r="I179" i="16"/>
  <c r="I326" i="16"/>
  <c r="I377" i="16"/>
  <c r="J64" i="16"/>
  <c r="I63" i="16"/>
  <c r="J355" i="16"/>
  <c r="AA29" i="16"/>
  <c r="Z29" i="16" s="1"/>
  <c r="Y29" i="16" s="1"/>
  <c r="J59" i="16"/>
  <c r="I206" i="16"/>
  <c r="J123" i="16"/>
  <c r="J97" i="16"/>
  <c r="I309" i="16"/>
  <c r="J148" i="16"/>
  <c r="J35" i="16"/>
  <c r="J318" i="16"/>
  <c r="J357" i="16"/>
  <c r="J145" i="16"/>
  <c r="AI50" i="17"/>
  <c r="AH50" i="17" s="1"/>
  <c r="AG50" i="17" s="1"/>
  <c r="AF50" i="17" s="1"/>
  <c r="AD50" i="17" s="1"/>
  <c r="Q359" i="18"/>
  <c r="Q89" i="18"/>
  <c r="Q99" i="18"/>
  <c r="Q24" i="18"/>
  <c r="Q23" i="18"/>
  <c r="Q79" i="18"/>
  <c r="Q97" i="18"/>
  <c r="Q36" i="18"/>
  <c r="Q193" i="18"/>
  <c r="Q314" i="18"/>
  <c r="Q47" i="18"/>
  <c r="Q100" i="18"/>
  <c r="Q95" i="18"/>
  <c r="Q34" i="18"/>
  <c r="Q73" i="18"/>
  <c r="Q68" i="18"/>
  <c r="Q44" i="18"/>
  <c r="Q22" i="18"/>
  <c r="Q96" i="18"/>
  <c r="Q98" i="18"/>
  <c r="Q40" i="18"/>
  <c r="U74" i="17"/>
  <c r="T74" i="17" s="1"/>
  <c r="S74" i="17" s="1"/>
  <c r="R74" i="17" s="1"/>
  <c r="P74" i="17" s="1"/>
  <c r="V74" i="17" s="1"/>
  <c r="F74" i="17" s="1"/>
  <c r="H74" i="17" s="1"/>
  <c r="U314" i="17"/>
  <c r="T314" i="17" s="1"/>
  <c r="S314" i="17" s="1"/>
  <c r="R314" i="17" s="1"/>
  <c r="P314" i="17" s="1"/>
  <c r="V314" i="17" s="1"/>
  <c r="F314" i="17" s="1"/>
  <c r="G314" i="17" s="1"/>
  <c r="BZ314" i="6" s="1"/>
  <c r="U295" i="17"/>
  <c r="T295" i="17" s="1"/>
  <c r="S295" i="17" s="1"/>
  <c r="R295" i="17" s="1"/>
  <c r="P295" i="17" s="1"/>
  <c r="V295" i="17" s="1"/>
  <c r="F295" i="17" s="1"/>
  <c r="U216" i="17"/>
  <c r="T216" i="17" s="1"/>
  <c r="S216" i="17" s="1"/>
  <c r="R216" i="17" s="1"/>
  <c r="P216" i="17" s="1"/>
  <c r="V216" i="17" s="1"/>
  <c r="F216" i="17" s="1"/>
  <c r="G216" i="17" s="1"/>
  <c r="BZ216" i="6" s="1"/>
  <c r="U229" i="17"/>
  <c r="T229" i="17" s="1"/>
  <c r="S229" i="17" s="1"/>
  <c r="R229" i="17" s="1"/>
  <c r="P229" i="17" s="1"/>
  <c r="V229" i="17" s="1"/>
  <c r="F229" i="17" s="1"/>
  <c r="G229" i="17" s="1"/>
  <c r="BZ229" i="6" s="1"/>
  <c r="U32" i="17"/>
  <c r="T32" i="17" s="1"/>
  <c r="S32" i="17" s="1"/>
  <c r="R32" i="17" s="1"/>
  <c r="P32" i="17" s="1"/>
  <c r="V32" i="17" s="1"/>
  <c r="F32" i="17" s="1"/>
  <c r="H32" i="17" s="1"/>
  <c r="U118" i="17"/>
  <c r="T118" i="17" s="1"/>
  <c r="S118" i="17" s="1"/>
  <c r="R118" i="17" s="1"/>
  <c r="P118" i="17" s="1"/>
  <c r="V118" i="17" s="1"/>
  <c r="F118" i="17" s="1"/>
  <c r="G118" i="17" s="1"/>
  <c r="BZ118" i="6" s="1"/>
  <c r="U107" i="17"/>
  <c r="T107" i="17" s="1"/>
  <c r="S107" i="17" s="1"/>
  <c r="R107" i="17" s="1"/>
  <c r="P107" i="17" s="1"/>
  <c r="V107" i="17" s="1"/>
  <c r="F107" i="17" s="1"/>
  <c r="H107" i="17" s="1"/>
  <c r="U274" i="17"/>
  <c r="T274" i="17" s="1"/>
  <c r="S274" i="17" s="1"/>
  <c r="R274" i="17" s="1"/>
  <c r="P274" i="17" s="1"/>
  <c r="V274" i="17" s="1"/>
  <c r="F274" i="17" s="1"/>
  <c r="G274" i="17" s="1"/>
  <c r="BZ274" i="6" s="1"/>
  <c r="U353" i="17"/>
  <c r="T353" i="17" s="1"/>
  <c r="S353" i="17" s="1"/>
  <c r="R353" i="17" s="1"/>
  <c r="P353" i="17" s="1"/>
  <c r="V353" i="17" s="1"/>
  <c r="F353" i="17" s="1"/>
  <c r="H353" i="17" s="1"/>
  <c r="U57" i="17"/>
  <c r="T57" i="17" s="1"/>
  <c r="S57" i="17" s="1"/>
  <c r="R57" i="17" s="1"/>
  <c r="P57" i="17" s="1"/>
  <c r="V57" i="17" s="1"/>
  <c r="F57" i="17" s="1"/>
  <c r="U220" i="17"/>
  <c r="T220" i="17" s="1"/>
  <c r="S220" i="17" s="1"/>
  <c r="R220" i="17" s="1"/>
  <c r="P220" i="17" s="1"/>
  <c r="V220" i="17" s="1"/>
  <c r="F220" i="17" s="1"/>
  <c r="H220" i="17" s="1"/>
  <c r="U121" i="17"/>
  <c r="T121" i="17" s="1"/>
  <c r="S121" i="17" s="1"/>
  <c r="R121" i="17" s="1"/>
  <c r="P121" i="17" s="1"/>
  <c r="V121" i="17" s="1"/>
  <c r="F121" i="17" s="1"/>
  <c r="G121" i="17" s="1"/>
  <c r="BZ121" i="6" s="1"/>
  <c r="U304" i="17"/>
  <c r="T304" i="17" s="1"/>
  <c r="S304" i="17" s="1"/>
  <c r="R304" i="17" s="1"/>
  <c r="P304" i="17" s="1"/>
  <c r="V304" i="17" s="1"/>
  <c r="F304" i="17" s="1"/>
  <c r="H30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293" i="17"/>
  <c r="T293" i="17" s="1"/>
  <c r="S293" i="17" s="1"/>
  <c r="R293" i="17" s="1"/>
  <c r="P293" i="17" s="1"/>
  <c r="V293" i="17" s="1"/>
  <c r="F293" i="17" s="1"/>
  <c r="G293" i="17" s="1"/>
  <c r="BZ293" i="6" s="1"/>
  <c r="U262" i="17"/>
  <c r="T262" i="17" s="1"/>
  <c r="S262" i="17" s="1"/>
  <c r="R262" i="17" s="1"/>
  <c r="P262" i="17" s="1"/>
  <c r="V262" i="17" s="1"/>
  <c r="F262" i="17" s="1"/>
  <c r="H262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58" i="17"/>
  <c r="T58" i="17" s="1"/>
  <c r="S58" i="17" s="1"/>
  <c r="R58" i="17" s="1"/>
  <c r="P58" i="17" s="1"/>
  <c r="V58" i="17" s="1"/>
  <c r="F58" i="17" s="1"/>
  <c r="G58" i="17" s="1"/>
  <c r="BZ58" i="6" s="1"/>
  <c r="U370" i="17"/>
  <c r="T370" i="17" s="1"/>
  <c r="S370" i="17" s="1"/>
  <c r="R370" i="17" s="1"/>
  <c r="P370" i="17" s="1"/>
  <c r="V370" i="17" s="1"/>
  <c r="F370" i="17" s="1"/>
  <c r="G370" i="17" s="1"/>
  <c r="BZ370" i="6" s="1"/>
  <c r="U15" i="17"/>
  <c r="U115" i="17"/>
  <c r="T115" i="17" s="1"/>
  <c r="S115" i="17" s="1"/>
  <c r="R115" i="17" s="1"/>
  <c r="P115" i="17" s="1"/>
  <c r="V115" i="17" s="1"/>
  <c r="F115" i="17" s="1"/>
  <c r="G115" i="17" s="1"/>
  <c r="BZ115" i="6" s="1"/>
  <c r="U176" i="17"/>
  <c r="T176" i="17" s="1"/>
  <c r="S176" i="17" s="1"/>
  <c r="R176" i="17" s="1"/>
  <c r="P176" i="17" s="1"/>
  <c r="V176" i="17" s="1"/>
  <c r="F176" i="17" s="1"/>
  <c r="H176" i="17" s="1"/>
  <c r="J176" i="17" s="1"/>
  <c r="U140" i="17"/>
  <c r="T140" i="17" s="1"/>
  <c r="S140" i="17" s="1"/>
  <c r="R140" i="17" s="1"/>
  <c r="P140" i="17" s="1"/>
  <c r="V140" i="17" s="1"/>
  <c r="F140" i="17" s="1"/>
  <c r="H140" i="17" s="1"/>
  <c r="I140" i="17" s="1"/>
  <c r="U24" i="17"/>
  <c r="T24" i="17" s="1"/>
  <c r="S24" i="17" s="1"/>
  <c r="R24" i="17" s="1"/>
  <c r="P24" i="17" s="1"/>
  <c r="V24" i="17" s="1"/>
  <c r="F24" i="17" s="1"/>
  <c r="G24" i="17" s="1"/>
  <c r="BZ24" i="6" s="1"/>
  <c r="U93" i="17"/>
  <c r="T93" i="17" s="1"/>
  <c r="S93" i="17" s="1"/>
  <c r="R93" i="17" s="1"/>
  <c r="P93" i="17" s="1"/>
  <c r="V93" i="17" s="1"/>
  <c r="F93" i="17" s="1"/>
  <c r="H93" i="17" s="1"/>
  <c r="U315" i="17"/>
  <c r="T315" i="17" s="1"/>
  <c r="S315" i="17" s="1"/>
  <c r="R315" i="17" s="1"/>
  <c r="P315" i="17" s="1"/>
  <c r="V315" i="17" s="1"/>
  <c r="F315" i="17" s="1"/>
  <c r="G315" i="17" s="1"/>
  <c r="BZ315" i="6" s="1"/>
  <c r="U144" i="17"/>
  <c r="T144" i="17" s="1"/>
  <c r="S144" i="17" s="1"/>
  <c r="R144" i="17" s="1"/>
  <c r="P144" i="17" s="1"/>
  <c r="V144" i="17" s="1"/>
  <c r="F144" i="17" s="1"/>
  <c r="G144" i="17" s="1"/>
  <c r="BZ144" i="6" s="1"/>
  <c r="U234" i="17"/>
  <c r="T234" i="17" s="1"/>
  <c r="S234" i="17" s="1"/>
  <c r="R234" i="17" s="1"/>
  <c r="P234" i="17" s="1"/>
  <c r="V234" i="17" s="1"/>
  <c r="F234" i="17" s="1"/>
  <c r="G234" i="17" s="1"/>
  <c r="BZ234" i="6" s="1"/>
  <c r="U190" i="17"/>
  <c r="T190" i="17" s="1"/>
  <c r="S190" i="17" s="1"/>
  <c r="R190" i="17" s="1"/>
  <c r="P190" i="17" s="1"/>
  <c r="V190" i="17" s="1"/>
  <c r="F190" i="17" s="1"/>
  <c r="G190" i="17" s="1"/>
  <c r="BZ190" i="6" s="1"/>
  <c r="U169" i="17"/>
  <c r="T169" i="17" s="1"/>
  <c r="S169" i="17" s="1"/>
  <c r="R169" i="17" s="1"/>
  <c r="P169" i="17" s="1"/>
  <c r="V169" i="17" s="1"/>
  <c r="F169" i="17" s="1"/>
  <c r="G169" i="17" s="1"/>
  <c r="BZ169" i="6" s="1"/>
  <c r="U186" i="17"/>
  <c r="T186" i="17" s="1"/>
  <c r="S186" i="17" s="1"/>
  <c r="R186" i="17" s="1"/>
  <c r="P186" i="17" s="1"/>
  <c r="V186" i="17" s="1"/>
  <c r="F186" i="17" s="1"/>
  <c r="H186" i="17" s="1"/>
  <c r="U189" i="17"/>
  <c r="T189" i="17" s="1"/>
  <c r="S189" i="17" s="1"/>
  <c r="R189" i="17" s="1"/>
  <c r="P189" i="17" s="1"/>
  <c r="V189" i="17" s="1"/>
  <c r="F189" i="17" s="1"/>
  <c r="G189" i="17" s="1"/>
  <c r="BZ189" i="6" s="1"/>
  <c r="U313" i="17"/>
  <c r="T313" i="17" s="1"/>
  <c r="S313" i="17" s="1"/>
  <c r="R313" i="17" s="1"/>
  <c r="P313" i="17" s="1"/>
  <c r="V313" i="17" s="1"/>
  <c r="F313" i="17" s="1"/>
  <c r="H313" i="17" s="1"/>
  <c r="U116" i="17"/>
  <c r="T116" i="17" s="1"/>
  <c r="S116" i="17" s="1"/>
  <c r="R116" i="17" s="1"/>
  <c r="P116" i="17" s="1"/>
  <c r="V116" i="17" s="1"/>
  <c r="F116" i="17" s="1"/>
  <c r="G116" i="17" s="1"/>
  <c r="BZ116" i="6" s="1"/>
  <c r="U99" i="17"/>
  <c r="T99" i="17" s="1"/>
  <c r="S99" i="17" s="1"/>
  <c r="R99" i="17" s="1"/>
  <c r="P99" i="17" s="1"/>
  <c r="V99" i="17" s="1"/>
  <c r="F99" i="17" s="1"/>
  <c r="H99" i="17" s="1"/>
  <c r="U219" i="17"/>
  <c r="T219" i="17" s="1"/>
  <c r="S219" i="17" s="1"/>
  <c r="R219" i="17" s="1"/>
  <c r="P219" i="17" s="1"/>
  <c r="V219" i="17" s="1"/>
  <c r="F219" i="17" s="1"/>
  <c r="G219" i="17" s="1"/>
  <c r="BZ219" i="6" s="1"/>
  <c r="U134" i="17"/>
  <c r="T134" i="17" s="1"/>
  <c r="S134" i="17" s="1"/>
  <c r="R134" i="17" s="1"/>
  <c r="P134" i="17" s="1"/>
  <c r="V134" i="17" s="1"/>
  <c r="F134" i="17" s="1"/>
  <c r="H134" i="17" s="1"/>
  <c r="U47" i="17"/>
  <c r="T47" i="17" s="1"/>
  <c r="S47" i="17" s="1"/>
  <c r="R47" i="17" s="1"/>
  <c r="P47" i="17" s="1"/>
  <c r="V47" i="17" s="1"/>
  <c r="F47" i="17" s="1"/>
  <c r="G47" i="17" s="1"/>
  <c r="BZ47" i="6" s="1"/>
  <c r="U344" i="17"/>
  <c r="T344" i="17" s="1"/>
  <c r="S344" i="17" s="1"/>
  <c r="R344" i="17" s="1"/>
  <c r="P344" i="17" s="1"/>
  <c r="V344" i="17" s="1"/>
  <c r="F344" i="17" s="1"/>
  <c r="G344" i="17" s="1"/>
  <c r="BZ344" i="6" s="1"/>
  <c r="U20" i="17"/>
  <c r="T20" i="17" s="1"/>
  <c r="S20" i="17" s="1"/>
  <c r="R20" i="17" s="1"/>
  <c r="P20" i="17" s="1"/>
  <c r="V20" i="17" s="1"/>
  <c r="F20" i="17" s="1"/>
  <c r="U338" i="17"/>
  <c r="T338" i="17" s="1"/>
  <c r="S338" i="17" s="1"/>
  <c r="R338" i="17" s="1"/>
  <c r="P338" i="17" s="1"/>
  <c r="V338" i="17" s="1"/>
  <c r="F338" i="17" s="1"/>
  <c r="G338" i="17" s="1"/>
  <c r="BZ338" i="6" s="1"/>
  <c r="U337" i="17"/>
  <c r="T337" i="17" s="1"/>
  <c r="S337" i="17" s="1"/>
  <c r="R337" i="17" s="1"/>
  <c r="P337" i="17" s="1"/>
  <c r="V337" i="17" s="1"/>
  <c r="F337" i="17" s="1"/>
  <c r="G337" i="17" s="1"/>
  <c r="BZ337" i="6" s="1"/>
  <c r="U333" i="17"/>
  <c r="T333" i="17" s="1"/>
  <c r="S333" i="17" s="1"/>
  <c r="R333" i="17" s="1"/>
  <c r="P333" i="17" s="1"/>
  <c r="D66" i="7" s="1"/>
  <c r="U201" i="17"/>
  <c r="T201" i="17" s="1"/>
  <c r="S201" i="17" s="1"/>
  <c r="R201" i="17" s="1"/>
  <c r="P201" i="17" s="1"/>
  <c r="V201" i="17" s="1"/>
  <c r="F201" i="17" s="1"/>
  <c r="G201" i="17" s="1"/>
  <c r="BZ201" i="6" s="1"/>
  <c r="U282" i="17"/>
  <c r="T282" i="17" s="1"/>
  <c r="S282" i="17" s="1"/>
  <c r="R282" i="17" s="1"/>
  <c r="P282" i="17" s="1"/>
  <c r="V282" i="17" s="1"/>
  <c r="F282" i="17" s="1"/>
  <c r="H282" i="17" s="1"/>
  <c r="U359" i="17"/>
  <c r="T359" i="17" s="1"/>
  <c r="S359" i="17" s="1"/>
  <c r="R359" i="17" s="1"/>
  <c r="P359" i="17" s="1"/>
  <c r="V359" i="17" s="1"/>
  <c r="F359" i="17" s="1"/>
  <c r="H359" i="17" s="1"/>
  <c r="U269" i="17"/>
  <c r="T269" i="17" s="1"/>
  <c r="S269" i="17" s="1"/>
  <c r="R269" i="17" s="1"/>
  <c r="P269" i="17" s="1"/>
  <c r="V269" i="17" s="1"/>
  <c r="F269" i="17" s="1"/>
  <c r="G269" i="17" s="1"/>
  <c r="BZ269" i="6" s="1"/>
  <c r="U113" i="17"/>
  <c r="T113" i="17" s="1"/>
  <c r="S113" i="17" s="1"/>
  <c r="R113" i="17" s="1"/>
  <c r="P113" i="17" s="1"/>
  <c r="V113" i="17" s="1"/>
  <c r="F113" i="17" s="1"/>
  <c r="H113" i="17" s="1"/>
  <c r="U103" i="17"/>
  <c r="T103" i="17" s="1"/>
  <c r="S103" i="17" s="1"/>
  <c r="R103" i="17" s="1"/>
  <c r="P103" i="17" s="1"/>
  <c r="V103" i="17" s="1"/>
  <c r="F103" i="17" s="1"/>
  <c r="G103" i="17" s="1"/>
  <c r="BZ103" i="6" s="1"/>
  <c r="U369" i="17"/>
  <c r="T369" i="17" s="1"/>
  <c r="S369" i="17" s="1"/>
  <c r="R369" i="17" s="1"/>
  <c r="P369" i="17" s="1"/>
  <c r="V369" i="17" s="1"/>
  <c r="F369" i="17" s="1"/>
  <c r="H369" i="17" s="1"/>
  <c r="U252" i="17"/>
  <c r="T252" i="17" s="1"/>
  <c r="S252" i="17" s="1"/>
  <c r="R252" i="17" s="1"/>
  <c r="P252" i="17" s="1"/>
  <c r="V252" i="17" s="1"/>
  <c r="F252" i="17" s="1"/>
  <c r="G252" i="17" s="1"/>
  <c r="BZ252" i="6" s="1"/>
  <c r="U239" i="17"/>
  <c r="T239" i="17" s="1"/>
  <c r="S239" i="17" s="1"/>
  <c r="R239" i="17" s="1"/>
  <c r="P239" i="17" s="1"/>
  <c r="V239" i="17" s="1"/>
  <c r="F239" i="17" s="1"/>
  <c r="I124" i="16"/>
  <c r="J78" i="16"/>
  <c r="Q111" i="18"/>
  <c r="Q213" i="18"/>
  <c r="AI185" i="17"/>
  <c r="AH185" i="17" s="1"/>
  <c r="AG185" i="17" s="1"/>
  <c r="AF185" i="17" s="1"/>
  <c r="AD185" i="17" s="1"/>
  <c r="AI286" i="17"/>
  <c r="AH286" i="17" s="1"/>
  <c r="AG286" i="17" s="1"/>
  <c r="AF286" i="17" s="1"/>
  <c r="AD286" i="17" s="1"/>
  <c r="AI95" i="17"/>
  <c r="AH95" i="17" s="1"/>
  <c r="AG95" i="17" s="1"/>
  <c r="AF95" i="17" s="1"/>
  <c r="AD95" i="17" s="1"/>
  <c r="AI243" i="17"/>
  <c r="AH243" i="17" s="1"/>
  <c r="AG243" i="17" s="1"/>
  <c r="AF243" i="17" s="1"/>
  <c r="AD243" i="17" s="1"/>
  <c r="AI281" i="17"/>
  <c r="AH281" i="17" s="1"/>
  <c r="AG281" i="17" s="1"/>
  <c r="AF281" i="17" s="1"/>
  <c r="AD281" i="17" s="1"/>
  <c r="AI196" i="17"/>
  <c r="AH196" i="17" s="1"/>
  <c r="AG196" i="17" s="1"/>
  <c r="AF196" i="17" s="1"/>
  <c r="AD196" i="17" s="1"/>
  <c r="AI58" i="17"/>
  <c r="AH58" i="17" s="1"/>
  <c r="AG58" i="17" s="1"/>
  <c r="AF58" i="17" s="1"/>
  <c r="AD58" i="17" s="1"/>
  <c r="AI36" i="17"/>
  <c r="AH36" i="17" s="1"/>
  <c r="AI140" i="17"/>
  <c r="AH140" i="17" s="1"/>
  <c r="AG140" i="17" s="1"/>
  <c r="AF140" i="17" s="1"/>
  <c r="AD140" i="17" s="1"/>
  <c r="AI116" i="17"/>
  <c r="AH116" i="17" s="1"/>
  <c r="AG116" i="17" s="1"/>
  <c r="AF116" i="17" s="1"/>
  <c r="AD116" i="17" s="1"/>
  <c r="AA116" i="17" s="1"/>
  <c r="Z116" i="17" s="1"/>
  <c r="Y116" i="17" s="1"/>
  <c r="AI17" i="17"/>
  <c r="AH17" i="17" s="1"/>
  <c r="AG17" i="17" s="1"/>
  <c r="AF17" i="17" s="1"/>
  <c r="AD17" i="17" s="1"/>
  <c r="AI18" i="17"/>
  <c r="AH18" i="17" s="1"/>
  <c r="AG18" i="17" s="1"/>
  <c r="AF18" i="17" s="1"/>
  <c r="AD18" i="17" s="1"/>
  <c r="AI304" i="17"/>
  <c r="AH304" i="17" s="1"/>
  <c r="AG304" i="17" s="1"/>
  <c r="AF304" i="17" s="1"/>
  <c r="AD304" i="17" s="1"/>
  <c r="AI287" i="17"/>
  <c r="AH287" i="17" s="1"/>
  <c r="AG287" i="17" s="1"/>
  <c r="AF287" i="17" s="1"/>
  <c r="AD287" i="17" s="1"/>
  <c r="AI246" i="17"/>
  <c r="AH246" i="17" s="1"/>
  <c r="AG246" i="17" s="1"/>
  <c r="AF246" i="17" s="1"/>
  <c r="AD246" i="17" s="1"/>
  <c r="AI289" i="17"/>
  <c r="AH289" i="17" s="1"/>
  <c r="AG289" i="17" s="1"/>
  <c r="AF289" i="17" s="1"/>
  <c r="AD289" i="17" s="1"/>
  <c r="AI282" i="17"/>
  <c r="AH282" i="17" s="1"/>
  <c r="AG282" i="17" s="1"/>
  <c r="AF282" i="17" s="1"/>
  <c r="AD282" i="17" s="1"/>
  <c r="AI257" i="17"/>
  <c r="AH257" i="17" s="1"/>
  <c r="AG257" i="17" s="1"/>
  <c r="AF257" i="17" s="1"/>
  <c r="AD257" i="17" s="1"/>
  <c r="AI105" i="17"/>
  <c r="AH105" i="17" s="1"/>
  <c r="AG105" i="17" s="1"/>
  <c r="AF105" i="17" s="1"/>
  <c r="AD105" i="17" s="1"/>
  <c r="AI160" i="17"/>
  <c r="AH160" i="17" s="1"/>
  <c r="AG160" i="17" s="1"/>
  <c r="AF160" i="17" s="1"/>
  <c r="AD160" i="17" s="1"/>
  <c r="AI307" i="17"/>
  <c r="AH307" i="17" s="1"/>
  <c r="AI83" i="17"/>
  <c r="AH83" i="17" s="1"/>
  <c r="AG83" i="17" s="1"/>
  <c r="AF83" i="17" s="1"/>
  <c r="AD83" i="17" s="1"/>
  <c r="AI360" i="17"/>
  <c r="AH360" i="17" s="1"/>
  <c r="AG360" i="17" s="1"/>
  <c r="AF360" i="17" s="1"/>
  <c r="AD360" i="17" s="1"/>
  <c r="AI144" i="17"/>
  <c r="AH144" i="17" s="1"/>
  <c r="AG144" i="17" s="1"/>
  <c r="AF144" i="17" s="1"/>
  <c r="AD144" i="17" s="1"/>
  <c r="AI212" i="17"/>
  <c r="AH212" i="17" s="1"/>
  <c r="AG212" i="17" s="1"/>
  <c r="AF212" i="17" s="1"/>
  <c r="AD212" i="17" s="1"/>
  <c r="AI21" i="17"/>
  <c r="AH21" i="17" s="1"/>
  <c r="AG21" i="17" s="1"/>
  <c r="AF21" i="17" s="1"/>
  <c r="AD21" i="17" s="1"/>
  <c r="AI205" i="17"/>
  <c r="AH205" i="17" s="1"/>
  <c r="AG205" i="17" s="1"/>
  <c r="AF205" i="17" s="1"/>
  <c r="AD205" i="17" s="1"/>
  <c r="AI117" i="17"/>
  <c r="AH117" i="17" s="1"/>
  <c r="AG117" i="17" s="1"/>
  <c r="AF117" i="17" s="1"/>
  <c r="AD117" i="17" s="1"/>
  <c r="AI169" i="17"/>
  <c r="AH169" i="17" s="1"/>
  <c r="AG169" i="17" s="1"/>
  <c r="AF169" i="17" s="1"/>
  <c r="AD169" i="17" s="1"/>
  <c r="AI33" i="17"/>
  <c r="AH33" i="17" s="1"/>
  <c r="AG33" i="17" s="1"/>
  <c r="AF33" i="17" s="1"/>
  <c r="AD33" i="17" s="1"/>
  <c r="AI353" i="17"/>
  <c r="AH353" i="17" s="1"/>
  <c r="AG353" i="17" s="1"/>
  <c r="AF353" i="17" s="1"/>
  <c r="AD353" i="17" s="1"/>
  <c r="AI41" i="17"/>
  <c r="AH41" i="17" s="1"/>
  <c r="AG41" i="17" s="1"/>
  <c r="AF41" i="17" s="1"/>
  <c r="AD41" i="17" s="1"/>
  <c r="AI82" i="17"/>
  <c r="AH82" i="17" s="1"/>
  <c r="AG82" i="17" s="1"/>
  <c r="AF82" i="17" s="1"/>
  <c r="AD82" i="17" s="1"/>
  <c r="AI349" i="17"/>
  <c r="AH349" i="17" s="1"/>
  <c r="AG349" i="17" s="1"/>
  <c r="AF349" i="17" s="1"/>
  <c r="AD349" i="17" s="1"/>
  <c r="AI361" i="17"/>
  <c r="AH361" i="17" s="1"/>
  <c r="AG361" i="17" s="1"/>
  <c r="AF361" i="17" s="1"/>
  <c r="AD361" i="17" s="1"/>
  <c r="AI229" i="17"/>
  <c r="AH229" i="17" s="1"/>
  <c r="AG229" i="17" s="1"/>
  <c r="AF229" i="17" s="1"/>
  <c r="AD229" i="17" s="1"/>
  <c r="AA229" i="17" s="1"/>
  <c r="Z229" i="17" s="1"/>
  <c r="Y229" i="17" s="1"/>
  <c r="AI253" i="17"/>
  <c r="AH253" i="17" s="1"/>
  <c r="AG253" i="17" s="1"/>
  <c r="AF253" i="17" s="1"/>
  <c r="AD253" i="17" s="1"/>
  <c r="AI47" i="17"/>
  <c r="AH47" i="17" s="1"/>
  <c r="AI256" i="17"/>
  <c r="AH256" i="17" s="1"/>
  <c r="AG256" i="17" s="1"/>
  <c r="AF256" i="17" s="1"/>
  <c r="AD256" i="17" s="1"/>
  <c r="AI191" i="17"/>
  <c r="AH191" i="17" s="1"/>
  <c r="AG191" i="17" s="1"/>
  <c r="AF191" i="17" s="1"/>
  <c r="AD191" i="17" s="1"/>
  <c r="AA191" i="17" s="1"/>
  <c r="Z191" i="17" s="1"/>
  <c r="Y191" i="17" s="1"/>
  <c r="AI209" i="17"/>
  <c r="AH209" i="17" s="1"/>
  <c r="AG209" i="17" s="1"/>
  <c r="AF209" i="17" s="1"/>
  <c r="AD209" i="17" s="1"/>
  <c r="AI356" i="17"/>
  <c r="AH356" i="17" s="1"/>
  <c r="AG356" i="17" s="1"/>
  <c r="AF356" i="17" s="1"/>
  <c r="AD356" i="17" s="1"/>
  <c r="I196" i="16"/>
  <c r="H196" i="17" s="1"/>
  <c r="AA228" i="16"/>
  <c r="Z228" i="16" s="1"/>
  <c r="Y228" i="16" s="1"/>
  <c r="G350" i="16"/>
  <c r="BY350" i="6" s="1"/>
  <c r="J160" i="16"/>
  <c r="H29" i="16"/>
  <c r="I29" i="16" s="1"/>
  <c r="H228" i="16"/>
  <c r="I228" i="16" s="1"/>
  <c r="H228" i="17" s="1"/>
  <c r="AA350" i="16"/>
  <c r="Z350" i="16" s="1"/>
  <c r="Y350" i="16" s="1"/>
  <c r="J329" i="16"/>
  <c r="I329" i="16"/>
  <c r="J337" i="16"/>
  <c r="I337" i="16"/>
  <c r="G379" i="16"/>
  <c r="BY379" i="6" s="1"/>
  <c r="Q113" i="18"/>
  <c r="Q207" i="18"/>
  <c r="Q151" i="18"/>
  <c r="Q289" i="18"/>
  <c r="Q251" i="18"/>
  <c r="Q225" i="18"/>
  <c r="Q269" i="18"/>
  <c r="Q199" i="18"/>
  <c r="Q141" i="18"/>
  <c r="Q292" i="18"/>
  <c r="Q299" i="18"/>
  <c r="Q131" i="18"/>
  <c r="Q329" i="18"/>
  <c r="Q339" i="18"/>
  <c r="AI190" i="17"/>
  <c r="AH190" i="17" s="1"/>
  <c r="AG190" i="17" s="1"/>
  <c r="AF190" i="17" s="1"/>
  <c r="AD190" i="17" s="1"/>
  <c r="AA190" i="17" s="1"/>
  <c r="Z190" i="17" s="1"/>
  <c r="Y190" i="17" s="1"/>
  <c r="AI259" i="17"/>
  <c r="AH259" i="17" s="1"/>
  <c r="AG259" i="17" s="1"/>
  <c r="AF259" i="17" s="1"/>
  <c r="AD259" i="17" s="1"/>
  <c r="AI216" i="17"/>
  <c r="AH216" i="17" s="1"/>
  <c r="AG216" i="17" s="1"/>
  <c r="AF216" i="17" s="1"/>
  <c r="AD216" i="17" s="1"/>
  <c r="AA216" i="17" s="1"/>
  <c r="Z216" i="17" s="1"/>
  <c r="Y216" i="17" s="1"/>
  <c r="AI284" i="17"/>
  <c r="AH284" i="17" s="1"/>
  <c r="AG284" i="17" s="1"/>
  <c r="AF284" i="17" s="1"/>
  <c r="AD284" i="17" s="1"/>
  <c r="AI219" i="17"/>
  <c r="AH219" i="17" s="1"/>
  <c r="AG219" i="17" s="1"/>
  <c r="AF219" i="17" s="1"/>
  <c r="AD219" i="17" s="1"/>
  <c r="AI232" i="17"/>
  <c r="AH232" i="17" s="1"/>
  <c r="AG232" i="17" s="1"/>
  <c r="AF232" i="17" s="1"/>
  <c r="AD232" i="17" s="1"/>
  <c r="AI45" i="17"/>
  <c r="AH45" i="17" s="1"/>
  <c r="AG45" i="17" s="1"/>
  <c r="AF45" i="17" s="1"/>
  <c r="AD45" i="17" s="1"/>
  <c r="AI275" i="17"/>
  <c r="AH275" i="17" s="1"/>
  <c r="AG275" i="17" s="1"/>
  <c r="AF275" i="17" s="1"/>
  <c r="AD275" i="17" s="1"/>
  <c r="AI198" i="17"/>
  <c r="AH198" i="17" s="1"/>
  <c r="AG198" i="17" s="1"/>
  <c r="AF198" i="17" s="1"/>
  <c r="AD198" i="17" s="1"/>
  <c r="AI145" i="17"/>
  <c r="AH145" i="17" s="1"/>
  <c r="AG145" i="17" s="1"/>
  <c r="AF145" i="17" s="1"/>
  <c r="AD145" i="17" s="1"/>
  <c r="AA145" i="17" s="1"/>
  <c r="Z145" i="17" s="1"/>
  <c r="Y145" i="17" s="1"/>
  <c r="AI71" i="17"/>
  <c r="AH71" i="17" s="1"/>
  <c r="AG71" i="17" s="1"/>
  <c r="AF71" i="17" s="1"/>
  <c r="AD71" i="17" s="1"/>
  <c r="AI22" i="17"/>
  <c r="AH22" i="17" s="1"/>
  <c r="AG22" i="17" s="1"/>
  <c r="AF22" i="17" s="1"/>
  <c r="AD22" i="17" s="1"/>
  <c r="AI215" i="17"/>
  <c r="AH215" i="17" s="1"/>
  <c r="AG215" i="17" s="1"/>
  <c r="AF215" i="17" s="1"/>
  <c r="AD215" i="17" s="1"/>
  <c r="AI67" i="17"/>
  <c r="AH67" i="17" s="1"/>
  <c r="AG67" i="17" s="1"/>
  <c r="AF67" i="17" s="1"/>
  <c r="AD67" i="17" s="1"/>
  <c r="AA67" i="17" s="1"/>
  <c r="Z67" i="17" s="1"/>
  <c r="Y67" i="17" s="1"/>
  <c r="AI234" i="17"/>
  <c r="AH234" i="17" s="1"/>
  <c r="AG234" i="17" s="1"/>
  <c r="AF234" i="17" s="1"/>
  <c r="AD234" i="17" s="1"/>
  <c r="AI379" i="17"/>
  <c r="AH379" i="17" s="1"/>
  <c r="AG379" i="17" s="1"/>
  <c r="AF379" i="17" s="1"/>
  <c r="AD379" i="17" s="1"/>
  <c r="AI321" i="17"/>
  <c r="AH321" i="17" s="1"/>
  <c r="AG321" i="17" s="1"/>
  <c r="AF321" i="17" s="1"/>
  <c r="AD321" i="17" s="1"/>
  <c r="AI239" i="17"/>
  <c r="AH239" i="17" s="1"/>
  <c r="AG239" i="17" s="1"/>
  <c r="AF239" i="17" s="1"/>
  <c r="AD239" i="17" s="1"/>
  <c r="AA239" i="17" s="1"/>
  <c r="Z239" i="17" s="1"/>
  <c r="Y239" i="17" s="1"/>
  <c r="AI309" i="17"/>
  <c r="AH309" i="17" s="1"/>
  <c r="AG309" i="17" s="1"/>
  <c r="AF309" i="17" s="1"/>
  <c r="AD309" i="17" s="1"/>
  <c r="AI137" i="17"/>
  <c r="AH137" i="17" s="1"/>
  <c r="AG137" i="17" s="1"/>
  <c r="AF137" i="17" s="1"/>
  <c r="AD137" i="17" s="1"/>
  <c r="AA137" i="17" s="1"/>
  <c r="Z137" i="17" s="1"/>
  <c r="Y137" i="17" s="1"/>
  <c r="AI372" i="17"/>
  <c r="AH372" i="17" s="1"/>
  <c r="AG372" i="17" s="1"/>
  <c r="AF372" i="17" s="1"/>
  <c r="AD372" i="17" s="1"/>
  <c r="AI331" i="17"/>
  <c r="AH331" i="17" s="1"/>
  <c r="AG331" i="17" s="1"/>
  <c r="AF331" i="17" s="1"/>
  <c r="AD331" i="17" s="1"/>
  <c r="AI242" i="17"/>
  <c r="AH242" i="17" s="1"/>
  <c r="AG242" i="17" s="1"/>
  <c r="AF242" i="17" s="1"/>
  <c r="AD242" i="17" s="1"/>
  <c r="AI200" i="17"/>
  <c r="AH200" i="17" s="1"/>
  <c r="AG200" i="17" s="1"/>
  <c r="AF200" i="17" s="1"/>
  <c r="AD200" i="17" s="1"/>
  <c r="AI316" i="17"/>
  <c r="AH316" i="17" s="1"/>
  <c r="AG316" i="17" s="1"/>
  <c r="AF316" i="17" s="1"/>
  <c r="AD316" i="17" s="1"/>
  <c r="AI261" i="17"/>
  <c r="AH261" i="17" s="1"/>
  <c r="AG261" i="17" s="1"/>
  <c r="AF261" i="17" s="1"/>
  <c r="AD261" i="17" s="1"/>
  <c r="AI101" i="17"/>
  <c r="AH101" i="17" s="1"/>
  <c r="AG101" i="17" s="1"/>
  <c r="AF101" i="17" s="1"/>
  <c r="AD101" i="17" s="1"/>
  <c r="AI377" i="17"/>
  <c r="AH377" i="17" s="1"/>
  <c r="AG377" i="17" s="1"/>
  <c r="AF377" i="17" s="1"/>
  <c r="AD377" i="17" s="1"/>
  <c r="AI327" i="17"/>
  <c r="AH327" i="17" s="1"/>
  <c r="AG327" i="17" s="1"/>
  <c r="AF327" i="17" s="1"/>
  <c r="AD327" i="17" s="1"/>
  <c r="AI111" i="17"/>
  <c r="AH111" i="17" s="1"/>
  <c r="AG111" i="17" s="1"/>
  <c r="AF111" i="17" s="1"/>
  <c r="AD111" i="17" s="1"/>
  <c r="AI330" i="17"/>
  <c r="AH330" i="17" s="1"/>
  <c r="AG330" i="17" s="1"/>
  <c r="AF330" i="17" s="1"/>
  <c r="AD330" i="17" s="1"/>
  <c r="AI141" i="17"/>
  <c r="AH141" i="17" s="1"/>
  <c r="AG141" i="17" s="1"/>
  <c r="AF141" i="17" s="1"/>
  <c r="AD141" i="17" s="1"/>
  <c r="AI336" i="17"/>
  <c r="AH336" i="17" s="1"/>
  <c r="AG336" i="17" s="1"/>
  <c r="AF336" i="17" s="1"/>
  <c r="AD336" i="17" s="1"/>
  <c r="AI272" i="17"/>
  <c r="AH272" i="17" s="1"/>
  <c r="AG272" i="17" s="1"/>
  <c r="AF272" i="17" s="1"/>
  <c r="AD272" i="17" s="1"/>
  <c r="AI192" i="17"/>
  <c r="AH192" i="17" s="1"/>
  <c r="AG192" i="17" s="1"/>
  <c r="AF192" i="17" s="1"/>
  <c r="AD192" i="17" s="1"/>
  <c r="AI210" i="17"/>
  <c r="AH210" i="17" s="1"/>
  <c r="AG210" i="17" s="1"/>
  <c r="AF210" i="17" s="1"/>
  <c r="AD210" i="17" s="1"/>
  <c r="AI51" i="17"/>
  <c r="AH51" i="17" s="1"/>
  <c r="AG51" i="17" s="1"/>
  <c r="AF51" i="17" s="1"/>
  <c r="AD51" i="17" s="1"/>
  <c r="AI270" i="17"/>
  <c r="AH270" i="17" s="1"/>
  <c r="AG270" i="17" s="1"/>
  <c r="AF270" i="17" s="1"/>
  <c r="AD270" i="17" s="1"/>
  <c r="AI222" i="17"/>
  <c r="AH222" i="17" s="1"/>
  <c r="AI134" i="17"/>
  <c r="AH134" i="17" s="1"/>
  <c r="AG134" i="17" s="1"/>
  <c r="AF134" i="17" s="1"/>
  <c r="AD134" i="17" s="1"/>
  <c r="AI79" i="17"/>
  <c r="AH79" i="17" s="1"/>
  <c r="AG79" i="17" s="1"/>
  <c r="AF79" i="17" s="1"/>
  <c r="AD79" i="17" s="1"/>
  <c r="AI345" i="17"/>
  <c r="AH345" i="17" s="1"/>
  <c r="AG345" i="17" s="1"/>
  <c r="AF345" i="17" s="1"/>
  <c r="AD345" i="17" s="1"/>
  <c r="AI164" i="17"/>
  <c r="AH164" i="17" s="1"/>
  <c r="AG164" i="17" s="1"/>
  <c r="AF164" i="17" s="1"/>
  <c r="AD164" i="17" s="1"/>
  <c r="AI373" i="17"/>
  <c r="AH373" i="17" s="1"/>
  <c r="AG373" i="17" s="1"/>
  <c r="AF373" i="17" s="1"/>
  <c r="AD373" i="17" s="1"/>
  <c r="AI143" i="17"/>
  <c r="AH143" i="17" s="1"/>
  <c r="AG143" i="17" s="1"/>
  <c r="AF143" i="17" s="1"/>
  <c r="AD143" i="17" s="1"/>
  <c r="AI81" i="17"/>
  <c r="AH81" i="17" s="1"/>
  <c r="AG81" i="17" s="1"/>
  <c r="AF81" i="17" s="1"/>
  <c r="AD81" i="17" s="1"/>
  <c r="AI124" i="17"/>
  <c r="AH124" i="17" s="1"/>
  <c r="AG124" i="17" s="1"/>
  <c r="AF124" i="17" s="1"/>
  <c r="AD124" i="17" s="1"/>
  <c r="AI354" i="17"/>
  <c r="AH354" i="17" s="1"/>
  <c r="AG354" i="17" s="1"/>
  <c r="AF354" i="17" s="1"/>
  <c r="AD354" i="17" s="1"/>
  <c r="AI298" i="17"/>
  <c r="AH298" i="17" s="1"/>
  <c r="AG298" i="17" s="1"/>
  <c r="AF298" i="17" s="1"/>
  <c r="AD298" i="17" s="1"/>
  <c r="AI290" i="17"/>
  <c r="AH290" i="17" s="1"/>
  <c r="AG290" i="17" s="1"/>
  <c r="AF290" i="17" s="1"/>
  <c r="AD290" i="17" s="1"/>
  <c r="AI228" i="17"/>
  <c r="AH228" i="17" s="1"/>
  <c r="AG228" i="17" s="1"/>
  <c r="AF228" i="17" s="1"/>
  <c r="AD228" i="17" s="1"/>
  <c r="AI147" i="17"/>
  <c r="AH147" i="17" s="1"/>
  <c r="AG147" i="17" s="1"/>
  <c r="AF147" i="17" s="1"/>
  <c r="AD147" i="17" s="1"/>
  <c r="AI122" i="17"/>
  <c r="AH122" i="17" s="1"/>
  <c r="AG122" i="17" s="1"/>
  <c r="AF122" i="17" s="1"/>
  <c r="AD122" i="17" s="1"/>
  <c r="AI369" i="17"/>
  <c r="AH369" i="17" s="1"/>
  <c r="AG369" i="17" s="1"/>
  <c r="AF369" i="17" s="1"/>
  <c r="AD369" i="17" s="1"/>
  <c r="AA369" i="17" s="1"/>
  <c r="Z369" i="17" s="1"/>
  <c r="Y369" i="17" s="1"/>
  <c r="AI175" i="17"/>
  <c r="AH175" i="17" s="1"/>
  <c r="AG175" i="17" s="1"/>
  <c r="AF175" i="17" s="1"/>
  <c r="AD175" i="17" s="1"/>
  <c r="AI172" i="17"/>
  <c r="AH172" i="17" s="1"/>
  <c r="AG172" i="17" s="1"/>
  <c r="AF172" i="17" s="1"/>
  <c r="AD172" i="17" s="1"/>
  <c r="AI90" i="17"/>
  <c r="AH90" i="17" s="1"/>
  <c r="AG90" i="17" s="1"/>
  <c r="AF90" i="17" s="1"/>
  <c r="AD90" i="17" s="1"/>
  <c r="AI19" i="17"/>
  <c r="AI252" i="17"/>
  <c r="AH252" i="17" s="1"/>
  <c r="AG252" i="17" s="1"/>
  <c r="AF252" i="17" s="1"/>
  <c r="AD252" i="17" s="1"/>
  <c r="AI55" i="17"/>
  <c r="AH55" i="17" s="1"/>
  <c r="AG55" i="17" s="1"/>
  <c r="AF55" i="17" s="1"/>
  <c r="AD55" i="17" s="1"/>
  <c r="AI283" i="17"/>
  <c r="AH283" i="17" s="1"/>
  <c r="AG283" i="17" s="1"/>
  <c r="AF283" i="17" s="1"/>
  <c r="AD283" i="17" s="1"/>
  <c r="AI44" i="17"/>
  <c r="AH44" i="17" s="1"/>
  <c r="AG44" i="17" s="1"/>
  <c r="AF44" i="17" s="1"/>
  <c r="AD44" i="17" s="1"/>
  <c r="AI324" i="17"/>
  <c r="AH324" i="17" s="1"/>
  <c r="AG324" i="17" s="1"/>
  <c r="AF324" i="17" s="1"/>
  <c r="AD324" i="17" s="1"/>
  <c r="AI276" i="17"/>
  <c r="AH276" i="17" s="1"/>
  <c r="AG276" i="17" s="1"/>
  <c r="AF276" i="17" s="1"/>
  <c r="AD276" i="17" s="1"/>
  <c r="AI347" i="17"/>
  <c r="AH347" i="17" s="1"/>
  <c r="AG347" i="17" s="1"/>
  <c r="AF347" i="17" s="1"/>
  <c r="AD347" i="17" s="1"/>
  <c r="AI165" i="17"/>
  <c r="AH165" i="17" s="1"/>
  <c r="AG165" i="17" s="1"/>
  <c r="AF165" i="17" s="1"/>
  <c r="AD165" i="17" s="1"/>
  <c r="AI60" i="17"/>
  <c r="AH60" i="17" s="1"/>
  <c r="AG60" i="17" s="1"/>
  <c r="AF60" i="17" s="1"/>
  <c r="AD60" i="17" s="1"/>
  <c r="AI334" i="17"/>
  <c r="AH334" i="17" s="1"/>
  <c r="AG334" i="17" s="1"/>
  <c r="AF334" i="17" s="1"/>
  <c r="AD334" i="17" s="1"/>
  <c r="AA334" i="17" s="1"/>
  <c r="Z334" i="17" s="1"/>
  <c r="Y334" i="17" s="1"/>
  <c r="AI278" i="17"/>
  <c r="AH278" i="17" s="1"/>
  <c r="AG278" i="17" s="1"/>
  <c r="AF278" i="17" s="1"/>
  <c r="AD278" i="17" s="1"/>
  <c r="AI146" i="17"/>
  <c r="AH146" i="17" s="1"/>
  <c r="AG146" i="17" s="1"/>
  <c r="AF146" i="17" s="1"/>
  <c r="AD146" i="17" s="1"/>
  <c r="AI359" i="17"/>
  <c r="AH359" i="17" s="1"/>
  <c r="AG359" i="17" s="1"/>
  <c r="AF359" i="17" s="1"/>
  <c r="AD359" i="17" s="1"/>
  <c r="AI299" i="17"/>
  <c r="AH299" i="17" s="1"/>
  <c r="AG299" i="17" s="1"/>
  <c r="AF299" i="17" s="1"/>
  <c r="AD299" i="17" s="1"/>
  <c r="AI119" i="17"/>
  <c r="AH119" i="17" s="1"/>
  <c r="AG119" i="17" s="1"/>
  <c r="AF119" i="17" s="1"/>
  <c r="AD119" i="17" s="1"/>
  <c r="AI48" i="17"/>
  <c r="AH48" i="17" s="1"/>
  <c r="AG48" i="17" s="1"/>
  <c r="AF48" i="17" s="1"/>
  <c r="AD48" i="17" s="1"/>
  <c r="AI338" i="17"/>
  <c r="AH338" i="17" s="1"/>
  <c r="AG338" i="17" s="1"/>
  <c r="AF338" i="17" s="1"/>
  <c r="AD338" i="17" s="1"/>
  <c r="AI153" i="17"/>
  <c r="AH153" i="17" s="1"/>
  <c r="AG153" i="17" s="1"/>
  <c r="AF153" i="17" s="1"/>
  <c r="AD153" i="17" s="1"/>
  <c r="AI328" i="17"/>
  <c r="AH328" i="17" s="1"/>
  <c r="AG328" i="17" s="1"/>
  <c r="AF328" i="17" s="1"/>
  <c r="AD328" i="17" s="1"/>
  <c r="AI184" i="17"/>
  <c r="AH184" i="17" s="1"/>
  <c r="AG184" i="17" s="1"/>
  <c r="AF184" i="17" s="1"/>
  <c r="AD184" i="17" s="1"/>
  <c r="AI367" i="17"/>
  <c r="AH367" i="17" s="1"/>
  <c r="AG367" i="17" s="1"/>
  <c r="AF367" i="17" s="1"/>
  <c r="AD367" i="17" s="1"/>
  <c r="AI277" i="17"/>
  <c r="AH277" i="17" s="1"/>
  <c r="AG277" i="17" s="1"/>
  <c r="AF277" i="17" s="1"/>
  <c r="AD277" i="17" s="1"/>
  <c r="AI231" i="17"/>
  <c r="AH231" i="17" s="1"/>
  <c r="AI250" i="17"/>
  <c r="AH250" i="17" s="1"/>
  <c r="AG250" i="17" s="1"/>
  <c r="AF250" i="17" s="1"/>
  <c r="AD250" i="17" s="1"/>
  <c r="AI77" i="17"/>
  <c r="AH77" i="17" s="1"/>
  <c r="AG77" i="17" s="1"/>
  <c r="AF77" i="17" s="1"/>
  <c r="AD77" i="17" s="1"/>
  <c r="AI317" i="17"/>
  <c r="AH317" i="17" s="1"/>
  <c r="AG317" i="17" s="1"/>
  <c r="AF317" i="17" s="1"/>
  <c r="AD317" i="17" s="1"/>
  <c r="AI218" i="17"/>
  <c r="AH218" i="17" s="1"/>
  <c r="AG218" i="17" s="1"/>
  <c r="AF218" i="17" s="1"/>
  <c r="AD218" i="17" s="1"/>
  <c r="AI168" i="17"/>
  <c r="AH168" i="17" s="1"/>
  <c r="AG168" i="17" s="1"/>
  <c r="AF168" i="17" s="1"/>
  <c r="AD168" i="17" s="1"/>
  <c r="AI152" i="17"/>
  <c r="AH152" i="17" s="1"/>
  <c r="AG152" i="17" s="1"/>
  <c r="AF152" i="17" s="1"/>
  <c r="AD152" i="17" s="1"/>
  <c r="AA152" i="17" s="1"/>
  <c r="Z152" i="17" s="1"/>
  <c r="Y152" i="17" s="1"/>
  <c r="AI28" i="17"/>
  <c r="AH28" i="17" s="1"/>
  <c r="AG28" i="17" s="1"/>
  <c r="AF28" i="17" s="1"/>
  <c r="AD28" i="17" s="1"/>
  <c r="AI204" i="17"/>
  <c r="AH204" i="17" s="1"/>
  <c r="AG204" i="17" s="1"/>
  <c r="AF204" i="17" s="1"/>
  <c r="AD204" i="17" s="1"/>
  <c r="AI238" i="17"/>
  <c r="AH238" i="17" s="1"/>
  <c r="AG238" i="17" s="1"/>
  <c r="AF238" i="17" s="1"/>
  <c r="AD238" i="17" s="1"/>
  <c r="AI177" i="17"/>
  <c r="AH177" i="17" s="1"/>
  <c r="AG177" i="17" s="1"/>
  <c r="AF177" i="17" s="1"/>
  <c r="AD177" i="17" s="1"/>
  <c r="AI103" i="17"/>
  <c r="AH103" i="17" s="1"/>
  <c r="AG103" i="17" s="1"/>
  <c r="AF103" i="17" s="1"/>
  <c r="AD103" i="17" s="1"/>
  <c r="AI151" i="17"/>
  <c r="AH151" i="17" s="1"/>
  <c r="AG151" i="17" s="1"/>
  <c r="AF151" i="17" s="1"/>
  <c r="AD151" i="17" s="1"/>
  <c r="AI108" i="17"/>
  <c r="AH108" i="17" s="1"/>
  <c r="AG108" i="17" s="1"/>
  <c r="AF108" i="17" s="1"/>
  <c r="AD108" i="17" s="1"/>
  <c r="AI335" i="17"/>
  <c r="AH335" i="17" s="1"/>
  <c r="AG335" i="17" s="1"/>
  <c r="AF335" i="17" s="1"/>
  <c r="AD335" i="17" s="1"/>
  <c r="AI315" i="17"/>
  <c r="AH315" i="17" s="1"/>
  <c r="AG315" i="17" s="1"/>
  <c r="AF315" i="17" s="1"/>
  <c r="AD315" i="17" s="1"/>
  <c r="AA315" i="17" s="1"/>
  <c r="Z315" i="17" s="1"/>
  <c r="Y315" i="17" s="1"/>
  <c r="AI225" i="17"/>
  <c r="AH225" i="17" s="1"/>
  <c r="AG225" i="17" s="1"/>
  <c r="AF225" i="17" s="1"/>
  <c r="AD225" i="17" s="1"/>
  <c r="AI182" i="17"/>
  <c r="AH182" i="17" s="1"/>
  <c r="AG182" i="17" s="1"/>
  <c r="AF182" i="17" s="1"/>
  <c r="AD182" i="17" s="1"/>
  <c r="AI157" i="17"/>
  <c r="AH157" i="17" s="1"/>
  <c r="AG157" i="17" s="1"/>
  <c r="AF157" i="17" s="1"/>
  <c r="AD157" i="17" s="1"/>
  <c r="AI358" i="17"/>
  <c r="AH358" i="17" s="1"/>
  <c r="AG358" i="17" s="1"/>
  <c r="AF358" i="17" s="1"/>
  <c r="AD358" i="17" s="1"/>
  <c r="AI224" i="17"/>
  <c r="AH224" i="17" s="1"/>
  <c r="AG224" i="17" s="1"/>
  <c r="AF224" i="17" s="1"/>
  <c r="AD224" i="17" s="1"/>
  <c r="AI174" i="17"/>
  <c r="AH174" i="17" s="1"/>
  <c r="AG174" i="17" s="1"/>
  <c r="AF174" i="17" s="1"/>
  <c r="AD174" i="17" s="1"/>
  <c r="AI115" i="17"/>
  <c r="AH115" i="17" s="1"/>
  <c r="AG115" i="17" s="1"/>
  <c r="AF115" i="17" s="1"/>
  <c r="AD115" i="17" s="1"/>
  <c r="AI66" i="17"/>
  <c r="AH66" i="17" s="1"/>
  <c r="AG66" i="17" s="1"/>
  <c r="AF66" i="17" s="1"/>
  <c r="AD66" i="17" s="1"/>
  <c r="AI285" i="17"/>
  <c r="AH285" i="17" s="1"/>
  <c r="AG285" i="17" s="1"/>
  <c r="AF285" i="17" s="1"/>
  <c r="AD285" i="17" s="1"/>
  <c r="AI100" i="17"/>
  <c r="AH100" i="17" s="1"/>
  <c r="AG100" i="17" s="1"/>
  <c r="AF100" i="17" s="1"/>
  <c r="AD100" i="17" s="1"/>
  <c r="AI131" i="17"/>
  <c r="AH131" i="17" s="1"/>
  <c r="AG131" i="17" s="1"/>
  <c r="AF131" i="17" s="1"/>
  <c r="AD131" i="17" s="1"/>
  <c r="AI54" i="17"/>
  <c r="AH54" i="17" s="1"/>
  <c r="AG54" i="17" s="1"/>
  <c r="AF54" i="17" s="1"/>
  <c r="AD54" i="17" s="1"/>
  <c r="AI363" i="17"/>
  <c r="AH363" i="17" s="1"/>
  <c r="AG363" i="17" s="1"/>
  <c r="AF363" i="17" s="1"/>
  <c r="AD363" i="17" s="1"/>
  <c r="AI179" i="17"/>
  <c r="AH179" i="17" s="1"/>
  <c r="AG179" i="17" s="1"/>
  <c r="AF179" i="17" s="1"/>
  <c r="AD179" i="17" s="1"/>
  <c r="AI24" i="17"/>
  <c r="AH24" i="17" s="1"/>
  <c r="AG24" i="17" s="1"/>
  <c r="AF24" i="17" s="1"/>
  <c r="AD24" i="17" s="1"/>
  <c r="AI201" i="17"/>
  <c r="AH201" i="17" s="1"/>
  <c r="AG201" i="17" s="1"/>
  <c r="AF201" i="17" s="1"/>
  <c r="AD201" i="17" s="1"/>
  <c r="AA201" i="17" s="1"/>
  <c r="Z201" i="17" s="1"/>
  <c r="Y201" i="17" s="1"/>
  <c r="AI64" i="17"/>
  <c r="AH64" i="17" s="1"/>
  <c r="AI374" i="17"/>
  <c r="AH374" i="17" s="1"/>
  <c r="AG374" i="17" s="1"/>
  <c r="AF374" i="17" s="1"/>
  <c r="AD374" i="17" s="1"/>
  <c r="AA374" i="17" s="1"/>
  <c r="Z374" i="17" s="1"/>
  <c r="Y374" i="17" s="1"/>
  <c r="AI292" i="17"/>
  <c r="AH292" i="17" s="1"/>
  <c r="AG292" i="17" s="1"/>
  <c r="AF292" i="17" s="1"/>
  <c r="AD292" i="17" s="1"/>
  <c r="AI187" i="17"/>
  <c r="AH187" i="17" s="1"/>
  <c r="AG187" i="17" s="1"/>
  <c r="AF187" i="17" s="1"/>
  <c r="AD187" i="17" s="1"/>
  <c r="AI127" i="17"/>
  <c r="AH127" i="17" s="1"/>
  <c r="AG127" i="17" s="1"/>
  <c r="AF127" i="17" s="1"/>
  <c r="AD127" i="17" s="1"/>
  <c r="AI346" i="17"/>
  <c r="AH346" i="17" s="1"/>
  <c r="AG346" i="17" s="1"/>
  <c r="AF346" i="17" s="1"/>
  <c r="AD346" i="17" s="1"/>
  <c r="AI129" i="17"/>
  <c r="AH129" i="17" s="1"/>
  <c r="AG129" i="17" s="1"/>
  <c r="AF129" i="17" s="1"/>
  <c r="AD129" i="17" s="1"/>
  <c r="AI59" i="17"/>
  <c r="AH59" i="17" s="1"/>
  <c r="AG59" i="17" s="1"/>
  <c r="AF59" i="17" s="1"/>
  <c r="AD59" i="17" s="1"/>
  <c r="AI378" i="17"/>
  <c r="AH378" i="17" s="1"/>
  <c r="AG378" i="17" s="1"/>
  <c r="AF378" i="17" s="1"/>
  <c r="AD378" i="17" s="1"/>
  <c r="AI193" i="17"/>
  <c r="AH193" i="17" s="1"/>
  <c r="AG193" i="17" s="1"/>
  <c r="AF193" i="17" s="1"/>
  <c r="AD193" i="17" s="1"/>
  <c r="AI355" i="17"/>
  <c r="AH355" i="17" s="1"/>
  <c r="AG355" i="17" s="1"/>
  <c r="AF355" i="17" s="1"/>
  <c r="AD355" i="17" s="1"/>
  <c r="AI86" i="17"/>
  <c r="AH86" i="17" s="1"/>
  <c r="AG86" i="17" s="1"/>
  <c r="AF86" i="17" s="1"/>
  <c r="AD86" i="17" s="1"/>
  <c r="AI362" i="17"/>
  <c r="AH362" i="17" s="1"/>
  <c r="AG362" i="17" s="1"/>
  <c r="AF362" i="17" s="1"/>
  <c r="AD362" i="17" s="1"/>
  <c r="AI312" i="17"/>
  <c r="AH312" i="17" s="1"/>
  <c r="AG312" i="17" s="1"/>
  <c r="AF312" i="17" s="1"/>
  <c r="AD312" i="17" s="1"/>
  <c r="AI76" i="17"/>
  <c r="AH76" i="17" s="1"/>
  <c r="AG76" i="17" s="1"/>
  <c r="AF76" i="17" s="1"/>
  <c r="AD76" i="17" s="1"/>
  <c r="AI297" i="17"/>
  <c r="AH297" i="17" s="1"/>
  <c r="AG297" i="17" s="1"/>
  <c r="AF297" i="17" s="1"/>
  <c r="AD297" i="17" s="1"/>
  <c r="AI112" i="17"/>
  <c r="AH112" i="17" s="1"/>
  <c r="AG112" i="17" s="1"/>
  <c r="AF112" i="17" s="1"/>
  <c r="AD112" i="17" s="1"/>
  <c r="AI320" i="17"/>
  <c r="AH320" i="17" s="1"/>
  <c r="AG320" i="17" s="1"/>
  <c r="AF320" i="17" s="1"/>
  <c r="AD320" i="17" s="1"/>
  <c r="AI258" i="17"/>
  <c r="AH258" i="17" s="1"/>
  <c r="AG258" i="17" s="1"/>
  <c r="AF258" i="17" s="1"/>
  <c r="AD258" i="17" s="1"/>
  <c r="AI178" i="17"/>
  <c r="AH178" i="17" s="1"/>
  <c r="AG178" i="17" s="1"/>
  <c r="AF178" i="17" s="1"/>
  <c r="AD178" i="17" s="1"/>
  <c r="AI181" i="17"/>
  <c r="AH181" i="17" s="1"/>
  <c r="AG181" i="17" s="1"/>
  <c r="AF181" i="17" s="1"/>
  <c r="AD181" i="17" s="1"/>
  <c r="AI27" i="17"/>
  <c r="AH27" i="17" s="1"/>
  <c r="AG27" i="17" s="1"/>
  <c r="AF27" i="17" s="1"/>
  <c r="AD27" i="17" s="1"/>
  <c r="AI241" i="17"/>
  <c r="AH241" i="17" s="1"/>
  <c r="AG241" i="17" s="1"/>
  <c r="AF241" i="17" s="1"/>
  <c r="AD241" i="17" s="1"/>
  <c r="AI267" i="17"/>
  <c r="AH267" i="17" s="1"/>
  <c r="AG267" i="17" s="1"/>
  <c r="AF267" i="17" s="1"/>
  <c r="AD267" i="17" s="1"/>
  <c r="AI180" i="17"/>
  <c r="AH180" i="17" s="1"/>
  <c r="AG180" i="17" s="1"/>
  <c r="AF180" i="17" s="1"/>
  <c r="AD180" i="17" s="1"/>
  <c r="AI130" i="17"/>
  <c r="AH130" i="17" s="1"/>
  <c r="AG130" i="17" s="1"/>
  <c r="AF130" i="17" s="1"/>
  <c r="AD130" i="17" s="1"/>
  <c r="AI186" i="17"/>
  <c r="AH186" i="17" s="1"/>
  <c r="AG186" i="17" s="1"/>
  <c r="AF186" i="17" s="1"/>
  <c r="AD186" i="17" s="1"/>
  <c r="AI135" i="17"/>
  <c r="AH135" i="17" s="1"/>
  <c r="AG135" i="17" s="1"/>
  <c r="AF135" i="17" s="1"/>
  <c r="AD135" i="17" s="1"/>
  <c r="AI46" i="17"/>
  <c r="AH46" i="17" s="1"/>
  <c r="AG46" i="17" s="1"/>
  <c r="AF46" i="17" s="1"/>
  <c r="AD46" i="17" s="1"/>
  <c r="AI318" i="17"/>
  <c r="AH318" i="17" s="1"/>
  <c r="AG318" i="17" s="1"/>
  <c r="AF318" i="17" s="1"/>
  <c r="AD318" i="17" s="1"/>
  <c r="AI263" i="17"/>
  <c r="AH263" i="17" s="1"/>
  <c r="AG263" i="17" s="1"/>
  <c r="AF263" i="17" s="1"/>
  <c r="AD263" i="17" s="1"/>
  <c r="AI344" i="17"/>
  <c r="AH344" i="17" s="1"/>
  <c r="AG344" i="17" s="1"/>
  <c r="AF344" i="17" s="1"/>
  <c r="AD344" i="17" s="1"/>
  <c r="AI199" i="17"/>
  <c r="AH199" i="17" s="1"/>
  <c r="AG199" i="17" s="1"/>
  <c r="AF199" i="17" s="1"/>
  <c r="AD199" i="17" s="1"/>
  <c r="AI30" i="17"/>
  <c r="AH30" i="17" s="1"/>
  <c r="AG30" i="17" s="1"/>
  <c r="AF30" i="17" s="1"/>
  <c r="AD30" i="17" s="1"/>
  <c r="AI273" i="17"/>
  <c r="AH273" i="17" s="1"/>
  <c r="AG273" i="17" s="1"/>
  <c r="AF273" i="17" s="1"/>
  <c r="AD273" i="17" s="1"/>
  <c r="AA273" i="17" s="1"/>
  <c r="Z273" i="17" s="1"/>
  <c r="Y273" i="17" s="1"/>
  <c r="AI213" i="17"/>
  <c r="AH213" i="17" s="1"/>
  <c r="AG213" i="17" s="1"/>
  <c r="AF213" i="17" s="1"/>
  <c r="AD213" i="17" s="1"/>
  <c r="AA213" i="17" s="1"/>
  <c r="Z213" i="17" s="1"/>
  <c r="Y213" i="17" s="1"/>
  <c r="AI133" i="17"/>
  <c r="AH133" i="17" s="1"/>
  <c r="AG133" i="17" s="1"/>
  <c r="AF133" i="17" s="1"/>
  <c r="AD133" i="17" s="1"/>
  <c r="AI92" i="17"/>
  <c r="AH92" i="17" s="1"/>
  <c r="AG92" i="17" s="1"/>
  <c r="AF92" i="17" s="1"/>
  <c r="AD92" i="17" s="1"/>
  <c r="AI333" i="17"/>
  <c r="AH333" i="17" s="1"/>
  <c r="AG333" i="17" s="1"/>
  <c r="AF333" i="17" s="1"/>
  <c r="AD333" i="17" s="1"/>
  <c r="AI142" i="17"/>
  <c r="AH142" i="17" s="1"/>
  <c r="AG142" i="17" s="1"/>
  <c r="AF142" i="17" s="1"/>
  <c r="AD142" i="17" s="1"/>
  <c r="AI154" i="17"/>
  <c r="AH154" i="17" s="1"/>
  <c r="AG154" i="17" s="1"/>
  <c r="AF154" i="17" s="1"/>
  <c r="AD154" i="17" s="1"/>
  <c r="AI75" i="17"/>
  <c r="AH75" i="17" s="1"/>
  <c r="AG75" i="17" s="1"/>
  <c r="AF75" i="17" s="1"/>
  <c r="AD75" i="17" s="1"/>
  <c r="AI366" i="17"/>
  <c r="AH366" i="17" s="1"/>
  <c r="AG366" i="17" s="1"/>
  <c r="AF366" i="17" s="1"/>
  <c r="AD366" i="17" s="1"/>
  <c r="AI220" i="17"/>
  <c r="AH220" i="17" s="1"/>
  <c r="AG220" i="17" s="1"/>
  <c r="AF220" i="17" s="1"/>
  <c r="AD220" i="17" s="1"/>
  <c r="AI15" i="17"/>
  <c r="AH15" i="17" s="1"/>
  <c r="AI248" i="17"/>
  <c r="AH248" i="17" s="1"/>
  <c r="AG248" i="17" s="1"/>
  <c r="AF248" i="17" s="1"/>
  <c r="AD248" i="17" s="1"/>
  <c r="AI84" i="17"/>
  <c r="AH84" i="17" s="1"/>
  <c r="AG84" i="17" s="1"/>
  <c r="AF84" i="17" s="1"/>
  <c r="AD84" i="17" s="1"/>
  <c r="AI368" i="17"/>
  <c r="AH368" i="17" s="1"/>
  <c r="AG368" i="17" s="1"/>
  <c r="AF368" i="17" s="1"/>
  <c r="AD368" i="17" s="1"/>
  <c r="AI325" i="17"/>
  <c r="AH325" i="17" s="1"/>
  <c r="AG325" i="17" s="1"/>
  <c r="AF325" i="17" s="1"/>
  <c r="AD325" i="17" s="1"/>
  <c r="AI226" i="17"/>
  <c r="AH226" i="17" s="1"/>
  <c r="AG226" i="17" s="1"/>
  <c r="AF226" i="17" s="1"/>
  <c r="AD226" i="17" s="1"/>
  <c r="AI170" i="17"/>
  <c r="AH170" i="17" s="1"/>
  <c r="AG170" i="17" s="1"/>
  <c r="AF170" i="17" s="1"/>
  <c r="AD170" i="17" s="1"/>
  <c r="AI221" i="17"/>
  <c r="AH221" i="17" s="1"/>
  <c r="AG221" i="17" s="1"/>
  <c r="AF221" i="17" s="1"/>
  <c r="AD221" i="17" s="1"/>
  <c r="AI162" i="17"/>
  <c r="AH162" i="17" s="1"/>
  <c r="AG162" i="17" s="1"/>
  <c r="AF162" i="17" s="1"/>
  <c r="AD162" i="17" s="1"/>
  <c r="AI88" i="17"/>
  <c r="AH88" i="17" s="1"/>
  <c r="AG88" i="17" s="1"/>
  <c r="AF88" i="17" s="1"/>
  <c r="AD88" i="17" s="1"/>
  <c r="AI376" i="17"/>
  <c r="AH376" i="17" s="1"/>
  <c r="AG376" i="17" s="1"/>
  <c r="AF376" i="17" s="1"/>
  <c r="AD376" i="17" s="1"/>
  <c r="AI240" i="17"/>
  <c r="AH240" i="17" s="1"/>
  <c r="AG240" i="17" s="1"/>
  <c r="AF240" i="17" s="1"/>
  <c r="AD240" i="17" s="1"/>
  <c r="AI29" i="17"/>
  <c r="AH29" i="17" s="1"/>
  <c r="AG29" i="17" s="1"/>
  <c r="AF29" i="17" s="1"/>
  <c r="AD29" i="17" s="1"/>
  <c r="AI102" i="17"/>
  <c r="AH102" i="17" s="1"/>
  <c r="AG102" i="17" s="1"/>
  <c r="AF102" i="17" s="1"/>
  <c r="AD102" i="17" s="1"/>
  <c r="AA102" i="17" s="1"/>
  <c r="Z102" i="17" s="1"/>
  <c r="Y102" i="17" s="1"/>
  <c r="AI37" i="17"/>
  <c r="AH37" i="17" s="1"/>
  <c r="AG37" i="17" s="1"/>
  <c r="AF37" i="17" s="1"/>
  <c r="AD37" i="17" s="1"/>
  <c r="AI322" i="17"/>
  <c r="AH322" i="17" s="1"/>
  <c r="AG322" i="17" s="1"/>
  <c r="AF322" i="17" s="1"/>
  <c r="AD322" i="17" s="1"/>
  <c r="AI118" i="17"/>
  <c r="AH118" i="17" s="1"/>
  <c r="AG118" i="17" s="1"/>
  <c r="AF118" i="17" s="1"/>
  <c r="AD118" i="17" s="1"/>
  <c r="AI296" i="17"/>
  <c r="AH296" i="17" s="1"/>
  <c r="AG296" i="17" s="1"/>
  <c r="AF296" i="17" s="1"/>
  <c r="AD296" i="17" s="1"/>
  <c r="AI155" i="17"/>
  <c r="AH155" i="17" s="1"/>
  <c r="AG155" i="17" s="1"/>
  <c r="AF155" i="17" s="1"/>
  <c r="AD155" i="17" s="1"/>
  <c r="U55" i="17"/>
  <c r="T55" i="17" s="1"/>
  <c r="S55" i="17" s="1"/>
  <c r="R55" i="17" s="1"/>
  <c r="P55" i="17" s="1"/>
  <c r="V55" i="17" s="1"/>
  <c r="F55" i="17" s="1"/>
  <c r="U70" i="17"/>
  <c r="T70" i="17" s="1"/>
  <c r="S70" i="17" s="1"/>
  <c r="R70" i="17" s="1"/>
  <c r="P70" i="17" s="1"/>
  <c r="V70" i="17" s="1"/>
  <c r="F70" i="17" s="1"/>
  <c r="G70" i="17" s="1"/>
  <c r="BZ70" i="6" s="1"/>
  <c r="U324" i="17"/>
  <c r="T324" i="17" s="1"/>
  <c r="S324" i="17" s="1"/>
  <c r="R324" i="17" s="1"/>
  <c r="P324" i="17" s="1"/>
  <c r="V324" i="17" s="1"/>
  <c r="F324" i="17" s="1"/>
  <c r="U260" i="17"/>
  <c r="T260" i="17" s="1"/>
  <c r="S260" i="17" s="1"/>
  <c r="R260" i="17" s="1"/>
  <c r="P260" i="17" s="1"/>
  <c r="V260" i="17" s="1"/>
  <c r="F260" i="17" s="1"/>
  <c r="G260" i="17" s="1"/>
  <c r="BZ260" i="6" s="1"/>
  <c r="U259" i="17"/>
  <c r="T259" i="17" s="1"/>
  <c r="S259" i="17" s="1"/>
  <c r="R259" i="17" s="1"/>
  <c r="P259" i="17" s="1"/>
  <c r="V259" i="17" s="1"/>
  <c r="F259" i="17" s="1"/>
  <c r="G259" i="17" s="1"/>
  <c r="BZ259" i="6" s="1"/>
  <c r="U22" i="17"/>
  <c r="T22" i="17" s="1"/>
  <c r="S22" i="17" s="1"/>
  <c r="R22" i="17" s="1"/>
  <c r="P22" i="17" s="1"/>
  <c r="V22" i="17" s="1"/>
  <c r="F22" i="17" s="1"/>
  <c r="G22" i="17" s="1"/>
  <c r="BZ22" i="6" s="1"/>
  <c r="U204" i="17"/>
  <c r="T204" i="17" s="1"/>
  <c r="S204" i="17" s="1"/>
  <c r="R204" i="17" s="1"/>
  <c r="P204" i="17" s="1"/>
  <c r="V204" i="17" s="1"/>
  <c r="F204" i="17" s="1"/>
  <c r="G204" i="17" s="1"/>
  <c r="BZ204" i="6" s="1"/>
  <c r="U44" i="17"/>
  <c r="T44" i="17" s="1"/>
  <c r="S44" i="17" s="1"/>
  <c r="R44" i="17" s="1"/>
  <c r="P44" i="17" s="1"/>
  <c r="V44" i="17" s="1"/>
  <c r="F44" i="17" s="1"/>
  <c r="G44" i="17" s="1"/>
  <c r="BZ44" i="6" s="1"/>
  <c r="U167" i="17"/>
  <c r="T167" i="17" s="1"/>
  <c r="S167" i="17" s="1"/>
  <c r="R167" i="17" s="1"/>
  <c r="P167" i="17" s="1"/>
  <c r="V167" i="17" s="1"/>
  <c r="F167" i="17" s="1"/>
  <c r="G167" i="17" s="1"/>
  <c r="BZ167" i="6" s="1"/>
  <c r="U309" i="17"/>
  <c r="T309" i="17" s="1"/>
  <c r="S309" i="17" s="1"/>
  <c r="R309" i="17" s="1"/>
  <c r="P309" i="17" s="1"/>
  <c r="V309" i="17" s="1"/>
  <c r="F309" i="17" s="1"/>
  <c r="U108" i="17"/>
  <c r="T108" i="17" s="1"/>
  <c r="S108" i="17" s="1"/>
  <c r="R108" i="17" s="1"/>
  <c r="P108" i="17" s="1"/>
  <c r="V108" i="17" s="1"/>
  <c r="F108" i="17" s="1"/>
  <c r="G108" i="17" s="1"/>
  <c r="BZ108" i="6" s="1"/>
  <c r="U308" i="17"/>
  <c r="T308" i="17" s="1"/>
  <c r="S308" i="17" s="1"/>
  <c r="R308" i="17" s="1"/>
  <c r="P308" i="17" s="1"/>
  <c r="V308" i="17" s="1"/>
  <c r="F308" i="17" s="1"/>
  <c r="G308" i="17" s="1"/>
  <c r="BZ308" i="6" s="1"/>
  <c r="U128" i="17"/>
  <c r="T128" i="17" s="1"/>
  <c r="S128" i="17" s="1"/>
  <c r="R128" i="17" s="1"/>
  <c r="P128" i="17" s="1"/>
  <c r="V128" i="17" s="1"/>
  <c r="F128" i="17" s="1"/>
  <c r="U135" i="17"/>
  <c r="T135" i="17" s="1"/>
  <c r="S135" i="17" s="1"/>
  <c r="R135" i="17" s="1"/>
  <c r="P135" i="17" s="1"/>
  <c r="V135" i="17" s="1"/>
  <c r="F135" i="17" s="1"/>
  <c r="G135" i="17" s="1"/>
  <c r="BZ135" i="6" s="1"/>
  <c r="U94" i="17"/>
  <c r="T94" i="17" s="1"/>
  <c r="S94" i="17" s="1"/>
  <c r="R94" i="17" s="1"/>
  <c r="P94" i="17" s="1"/>
  <c r="V94" i="17" s="1"/>
  <c r="F94" i="17" s="1"/>
  <c r="G94" i="17" s="1"/>
  <c r="BZ94" i="6" s="1"/>
  <c r="U327" i="17"/>
  <c r="T327" i="17" s="1"/>
  <c r="S327" i="17" s="1"/>
  <c r="R327" i="17" s="1"/>
  <c r="P327" i="17" s="1"/>
  <c r="V327" i="17" s="1"/>
  <c r="F327" i="17" s="1"/>
  <c r="G327" i="17" s="1"/>
  <c r="BZ327" i="6" s="1"/>
  <c r="U265" i="17"/>
  <c r="T265" i="17" s="1"/>
  <c r="S265" i="17" s="1"/>
  <c r="R265" i="17" s="1"/>
  <c r="P265" i="17" s="1"/>
  <c r="V265" i="17" s="1"/>
  <c r="F265" i="17" s="1"/>
  <c r="G265" i="17" s="1"/>
  <c r="BZ265" i="6" s="1"/>
  <c r="U18" i="17"/>
  <c r="T18" i="17" s="1"/>
  <c r="S18" i="17" s="1"/>
  <c r="R18" i="17" s="1"/>
  <c r="P18" i="17" s="1"/>
  <c r="V18" i="17" s="1"/>
  <c r="F18" i="17" s="1"/>
  <c r="G18" i="17" s="1"/>
  <c r="BZ18" i="6" s="1"/>
  <c r="U284" i="17"/>
  <c r="T284" i="17" s="1"/>
  <c r="S284" i="17" s="1"/>
  <c r="R284" i="17" s="1"/>
  <c r="P284" i="17" s="1"/>
  <c r="V284" i="17" s="1"/>
  <c r="F284" i="17" s="1"/>
  <c r="U291" i="17"/>
  <c r="T291" i="17" s="1"/>
  <c r="S291" i="17" s="1"/>
  <c r="R291" i="17" s="1"/>
  <c r="P291" i="17" s="1"/>
  <c r="V291" i="17" s="1"/>
  <c r="F291" i="17" s="1"/>
  <c r="H291" i="17" s="1"/>
  <c r="U316" i="17"/>
  <c r="T316" i="17" s="1"/>
  <c r="S316" i="17" s="1"/>
  <c r="R316" i="17" s="1"/>
  <c r="P316" i="17" s="1"/>
  <c r="V316" i="17" s="1"/>
  <c r="F316" i="17" s="1"/>
  <c r="U120" i="17"/>
  <c r="T120" i="17" s="1"/>
  <c r="S120" i="17" s="1"/>
  <c r="R120" i="17" s="1"/>
  <c r="P120" i="17" s="1"/>
  <c r="V120" i="17" s="1"/>
  <c r="F120" i="17" s="1"/>
  <c r="H120" i="17" s="1"/>
  <c r="U375" i="17"/>
  <c r="T375" i="17" s="1"/>
  <c r="S375" i="17" s="1"/>
  <c r="R375" i="17" s="1"/>
  <c r="P375" i="17" s="1"/>
  <c r="V375" i="17" s="1"/>
  <c r="F375" i="17" s="1"/>
  <c r="H375" i="17" s="1"/>
  <c r="U199" i="17"/>
  <c r="T199" i="17" s="1"/>
  <c r="S199" i="17" s="1"/>
  <c r="R199" i="17" s="1"/>
  <c r="P199" i="17" s="1"/>
  <c r="V199" i="17" s="1"/>
  <c r="F199" i="17" s="1"/>
  <c r="H199" i="17" s="1"/>
  <c r="U223" i="17"/>
  <c r="T223" i="17" s="1"/>
  <c r="S223" i="17" s="1"/>
  <c r="R223" i="17" s="1"/>
  <c r="P223" i="17" s="1"/>
  <c r="V223" i="17" s="1"/>
  <c r="F223" i="17" s="1"/>
  <c r="H223" i="17" s="1"/>
  <c r="U138" i="17"/>
  <c r="T138" i="17" s="1"/>
  <c r="S138" i="17" s="1"/>
  <c r="R138" i="17" s="1"/>
  <c r="P138" i="17" s="1"/>
  <c r="V138" i="17" s="1"/>
  <c r="F138" i="17" s="1"/>
  <c r="H138" i="17" s="1"/>
  <c r="U202" i="17"/>
  <c r="T202" i="17" s="1"/>
  <c r="S202" i="17" s="1"/>
  <c r="R202" i="17" s="1"/>
  <c r="P202" i="17" s="1"/>
  <c r="V202" i="17" s="1"/>
  <c r="F202" i="17" s="1"/>
  <c r="U236" i="17"/>
  <c r="T236" i="17" s="1"/>
  <c r="S236" i="17" s="1"/>
  <c r="R236" i="17" s="1"/>
  <c r="P236" i="17" s="1"/>
  <c r="V236" i="17" s="1"/>
  <c r="F236" i="17" s="1"/>
  <c r="G236" i="17" s="1"/>
  <c r="BZ236" i="6" s="1"/>
  <c r="U182" i="17"/>
  <c r="T182" i="17" s="1"/>
  <c r="S182" i="17" s="1"/>
  <c r="R182" i="17" s="1"/>
  <c r="P182" i="17" s="1"/>
  <c r="V182" i="17" s="1"/>
  <c r="F182" i="17" s="1"/>
  <c r="U249" i="17"/>
  <c r="T249" i="17" s="1"/>
  <c r="S249" i="17" s="1"/>
  <c r="R249" i="17" s="1"/>
  <c r="P249" i="17" s="1"/>
  <c r="V249" i="17" s="1"/>
  <c r="F249" i="17" s="1"/>
  <c r="G249" i="17" s="1"/>
  <c r="BZ249" i="6" s="1"/>
  <c r="U96" i="17"/>
  <c r="T96" i="17" s="1"/>
  <c r="S96" i="17" s="1"/>
  <c r="R96" i="17" s="1"/>
  <c r="P96" i="17" s="1"/>
  <c r="V96" i="17" s="1"/>
  <c r="F96" i="17" s="1"/>
  <c r="H96" i="17" s="1"/>
  <c r="U28" i="17"/>
  <c r="T28" i="17" s="1"/>
  <c r="S28" i="17" s="1"/>
  <c r="R28" i="17" s="1"/>
  <c r="P28" i="17" s="1"/>
  <c r="V28" i="17" s="1"/>
  <c r="F28" i="17" s="1"/>
  <c r="U318" i="17"/>
  <c r="T318" i="17" s="1"/>
  <c r="S318" i="17" s="1"/>
  <c r="R318" i="17" s="1"/>
  <c r="P318" i="17" s="1"/>
  <c r="V318" i="17" s="1"/>
  <c r="F318" i="17" s="1"/>
  <c r="U277" i="17"/>
  <c r="T277" i="17" s="1"/>
  <c r="S277" i="17" s="1"/>
  <c r="R277" i="17" s="1"/>
  <c r="P277" i="17" s="1"/>
  <c r="V277" i="17" s="1"/>
  <c r="F277" i="17" s="1"/>
  <c r="G277" i="17" s="1"/>
  <c r="BZ277" i="6" s="1"/>
  <c r="U68" i="17"/>
  <c r="T68" i="17" s="1"/>
  <c r="S68" i="17" s="1"/>
  <c r="R68" i="17" s="1"/>
  <c r="P68" i="17" s="1"/>
  <c r="V68" i="17" s="1"/>
  <c r="F68" i="17" s="1"/>
  <c r="G68" i="17" s="1"/>
  <c r="BZ68" i="6" s="1"/>
  <c r="U254" i="17"/>
  <c r="T254" i="17" s="1"/>
  <c r="S254" i="17" s="1"/>
  <c r="R254" i="17" s="1"/>
  <c r="P254" i="17" s="1"/>
  <c r="V254" i="17" s="1"/>
  <c r="F254" i="17" s="1"/>
  <c r="G254" i="17" s="1"/>
  <c r="BZ254" i="6" s="1"/>
  <c r="U132" i="17"/>
  <c r="T132" i="17" s="1"/>
  <c r="S132" i="17" s="1"/>
  <c r="R132" i="17" s="1"/>
  <c r="P132" i="17" s="1"/>
  <c r="V132" i="17" s="1"/>
  <c r="F132" i="17" s="1"/>
  <c r="G132" i="17" s="1"/>
  <c r="BZ132" i="6" s="1"/>
  <c r="U232" i="17"/>
  <c r="T232" i="17" s="1"/>
  <c r="S232" i="17" s="1"/>
  <c r="R232" i="17" s="1"/>
  <c r="P232" i="17" s="1"/>
  <c r="V232" i="17" s="1"/>
  <c r="F232" i="17" s="1"/>
  <c r="G232" i="17" s="1"/>
  <c r="BZ232" i="6" s="1"/>
  <c r="U256" i="17"/>
  <c r="T256" i="17" s="1"/>
  <c r="S256" i="17" s="1"/>
  <c r="R256" i="17" s="1"/>
  <c r="P256" i="17" s="1"/>
  <c r="V256" i="17" s="1"/>
  <c r="F256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172" i="17"/>
  <c r="T172" i="17" s="1"/>
  <c r="S172" i="17" s="1"/>
  <c r="R172" i="17" s="1"/>
  <c r="P172" i="17" s="1"/>
  <c r="V172" i="17" s="1"/>
  <c r="F172" i="17" s="1"/>
  <c r="U112" i="17"/>
  <c r="T112" i="17" s="1"/>
  <c r="S112" i="17" s="1"/>
  <c r="R112" i="17" s="1"/>
  <c r="P112" i="17" s="1"/>
  <c r="V112" i="17" s="1"/>
  <c r="F112" i="17" s="1"/>
  <c r="G112" i="17" s="1"/>
  <c r="BZ112" i="6" s="1"/>
  <c r="U283" i="17"/>
  <c r="T283" i="17" s="1"/>
  <c r="S283" i="17" s="1"/>
  <c r="R283" i="17" s="1"/>
  <c r="P283" i="17" s="1"/>
  <c r="V283" i="17" s="1"/>
  <c r="F283" i="17" s="1"/>
  <c r="G283" i="17" s="1"/>
  <c r="BZ283" i="6" s="1"/>
  <c r="U325" i="17"/>
  <c r="T325" i="17" s="1"/>
  <c r="S325" i="17" s="1"/>
  <c r="R325" i="17" s="1"/>
  <c r="P325" i="17" s="1"/>
  <c r="V325" i="17" s="1"/>
  <c r="F325" i="17" s="1"/>
  <c r="G325" i="17" s="1"/>
  <c r="BZ325" i="6" s="1"/>
  <c r="U164" i="17"/>
  <c r="T164" i="17" s="1"/>
  <c r="S164" i="17" s="1"/>
  <c r="R164" i="17" s="1"/>
  <c r="P164" i="17" s="1"/>
  <c r="V164" i="17" s="1"/>
  <c r="F164" i="17" s="1"/>
  <c r="G164" i="17" s="1"/>
  <c r="BZ164" i="6" s="1"/>
  <c r="U329" i="17"/>
  <c r="T329" i="17" s="1"/>
  <c r="S329" i="17" s="1"/>
  <c r="R329" i="17" s="1"/>
  <c r="P329" i="17" s="1"/>
  <c r="V329" i="17" s="1"/>
  <c r="F329" i="17" s="1"/>
  <c r="G329" i="17" s="1"/>
  <c r="BZ329" i="6" s="1"/>
  <c r="U218" i="17"/>
  <c r="T218" i="17" s="1"/>
  <c r="S218" i="17" s="1"/>
  <c r="R218" i="17" s="1"/>
  <c r="P218" i="17" s="1"/>
  <c r="V218" i="17" s="1"/>
  <c r="F218" i="17" s="1"/>
  <c r="U331" i="17"/>
  <c r="T331" i="17" s="1"/>
  <c r="S331" i="17" s="1"/>
  <c r="R331" i="17" s="1"/>
  <c r="P331" i="17" s="1"/>
  <c r="V331" i="17" s="1"/>
  <c r="F331" i="17" s="1"/>
  <c r="G331" i="17" s="1"/>
  <c r="BZ331" i="6" s="1"/>
  <c r="U98" i="17"/>
  <c r="T98" i="17" s="1"/>
  <c r="S98" i="17" s="1"/>
  <c r="R98" i="17" s="1"/>
  <c r="P98" i="17" s="1"/>
  <c r="V98" i="17" s="1"/>
  <c r="F98" i="17" s="1"/>
  <c r="G98" i="17" s="1"/>
  <c r="BZ98" i="6" s="1"/>
  <c r="U41" i="17"/>
  <c r="T41" i="17" s="1"/>
  <c r="S41" i="17" s="1"/>
  <c r="R41" i="17" s="1"/>
  <c r="P41" i="17" s="1"/>
  <c r="V41" i="17" s="1"/>
  <c r="F41" i="17" s="1"/>
  <c r="G41" i="17" s="1"/>
  <c r="BZ41" i="6" s="1"/>
  <c r="U358" i="17"/>
  <c r="T358" i="17" s="1"/>
  <c r="S358" i="17" s="1"/>
  <c r="R358" i="17" s="1"/>
  <c r="P358" i="17" s="1"/>
  <c r="V358" i="17" s="1"/>
  <c r="F358" i="17" s="1"/>
  <c r="U64" i="17"/>
  <c r="T64" i="17" s="1"/>
  <c r="S64" i="17" s="1"/>
  <c r="R64" i="17" s="1"/>
  <c r="P64" i="17" s="1"/>
  <c r="V64" i="17" s="1"/>
  <c r="F64" i="17" s="1"/>
  <c r="G64" i="17" s="1"/>
  <c r="BZ64" i="6" s="1"/>
  <c r="U83" i="17"/>
  <c r="T83" i="17" s="1"/>
  <c r="S83" i="17" s="1"/>
  <c r="R83" i="17" s="1"/>
  <c r="P83" i="17" s="1"/>
  <c r="V83" i="17" s="1"/>
  <c r="F83" i="17" s="1"/>
  <c r="U278" i="17"/>
  <c r="T278" i="17" s="1"/>
  <c r="S278" i="17" s="1"/>
  <c r="R278" i="17" s="1"/>
  <c r="P278" i="17" s="1"/>
  <c r="V278" i="17" s="1"/>
  <c r="F278" i="17" s="1"/>
  <c r="G278" i="17" s="1"/>
  <c r="BZ278" i="6" s="1"/>
  <c r="U97" i="17"/>
  <c r="T97" i="17" s="1"/>
  <c r="S97" i="17" s="1"/>
  <c r="R97" i="17" s="1"/>
  <c r="P97" i="17" s="1"/>
  <c r="V97" i="17" s="1"/>
  <c r="F97" i="17" s="1"/>
  <c r="U51" i="17"/>
  <c r="T51" i="17" s="1"/>
  <c r="S51" i="17" s="1"/>
  <c r="R51" i="17" s="1"/>
  <c r="P51" i="17" s="1"/>
  <c r="V51" i="17" s="1"/>
  <c r="F51" i="17" s="1"/>
  <c r="G51" i="17" s="1"/>
  <c r="BZ51" i="6" s="1"/>
  <c r="U142" i="17"/>
  <c r="T142" i="17" s="1"/>
  <c r="S142" i="17" s="1"/>
  <c r="R142" i="17" s="1"/>
  <c r="P142" i="17" s="1"/>
  <c r="V142" i="17" s="1"/>
  <c r="F142" i="17" s="1"/>
  <c r="U61" i="17"/>
  <c r="T61" i="17" s="1"/>
  <c r="S61" i="17" s="1"/>
  <c r="R61" i="17" s="1"/>
  <c r="P61" i="17" s="1"/>
  <c r="V61" i="17" s="1"/>
  <c r="F61" i="17" s="1"/>
  <c r="G61" i="17" s="1"/>
  <c r="BZ61" i="6" s="1"/>
  <c r="U289" i="17"/>
  <c r="T289" i="17" s="1"/>
  <c r="S289" i="17" s="1"/>
  <c r="R289" i="17" s="1"/>
  <c r="P289" i="17" s="1"/>
  <c r="V289" i="17" s="1"/>
  <c r="F289" i="17" s="1"/>
  <c r="G289" i="17" s="1"/>
  <c r="BZ289" i="6" s="1"/>
  <c r="U238" i="17"/>
  <c r="T238" i="17" s="1"/>
  <c r="S238" i="17" s="1"/>
  <c r="R238" i="17" s="1"/>
  <c r="P238" i="17" s="1"/>
  <c r="V238" i="17" s="1"/>
  <c r="F238" i="17" s="1"/>
  <c r="G238" i="17" s="1"/>
  <c r="BZ238" i="6" s="1"/>
  <c r="U104" i="17"/>
  <c r="T104" i="17" s="1"/>
  <c r="S104" i="17" s="1"/>
  <c r="R104" i="17" s="1"/>
  <c r="P104" i="17" s="1"/>
  <c r="V104" i="17" s="1"/>
  <c r="F104" i="17" s="1"/>
  <c r="G104" i="17" s="1"/>
  <c r="BZ104" i="6" s="1"/>
  <c r="U123" i="17"/>
  <c r="T123" i="17" s="1"/>
  <c r="S123" i="17" s="1"/>
  <c r="R123" i="17" s="1"/>
  <c r="P123" i="17" s="1"/>
  <c r="V123" i="17" s="1"/>
  <c r="F123" i="17" s="1"/>
  <c r="H123" i="17" s="1"/>
  <c r="U225" i="17"/>
  <c r="T225" i="17" s="1"/>
  <c r="S225" i="17" s="1"/>
  <c r="R225" i="17" s="1"/>
  <c r="P225" i="17" s="1"/>
  <c r="V225" i="17" s="1"/>
  <c r="F225" i="17" s="1"/>
  <c r="U192" i="17"/>
  <c r="T192" i="17" s="1"/>
  <c r="S192" i="17" s="1"/>
  <c r="R192" i="17" s="1"/>
  <c r="P192" i="17" s="1"/>
  <c r="V192" i="17" s="1"/>
  <c r="F192" i="17" s="1"/>
  <c r="G192" i="17" s="1"/>
  <c r="BZ192" i="6" s="1"/>
  <c r="U162" i="17"/>
  <c r="T162" i="17" s="1"/>
  <c r="S162" i="17" s="1"/>
  <c r="R162" i="17" s="1"/>
  <c r="P162" i="17" s="1"/>
  <c r="V162" i="17" s="1"/>
  <c r="F162" i="17" s="1"/>
  <c r="U122" i="17"/>
  <c r="T122" i="17" s="1"/>
  <c r="S122" i="17" s="1"/>
  <c r="R122" i="17" s="1"/>
  <c r="P122" i="17" s="1"/>
  <c r="V122" i="17" s="1"/>
  <c r="F122" i="17" s="1"/>
  <c r="H122" i="17" s="1"/>
  <c r="U173" i="17"/>
  <c r="T173" i="17" s="1"/>
  <c r="S173" i="17" s="1"/>
  <c r="R173" i="17" s="1"/>
  <c r="P173" i="17" s="1"/>
  <c r="V173" i="17" s="1"/>
  <c r="F173" i="17" s="1"/>
  <c r="U301" i="17"/>
  <c r="T301" i="17" s="1"/>
  <c r="S301" i="17" s="1"/>
  <c r="R301" i="17" s="1"/>
  <c r="P301" i="17" s="1"/>
  <c r="V301" i="17" s="1"/>
  <c r="F301" i="17" s="1"/>
  <c r="H301" i="17" s="1"/>
  <c r="J30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342" i="17"/>
  <c r="T342" i="17" s="1"/>
  <c r="S342" i="17" s="1"/>
  <c r="R342" i="17" s="1"/>
  <c r="P342" i="17" s="1"/>
  <c r="V342" i="17" s="1"/>
  <c r="F342" i="17" s="1"/>
  <c r="G342" i="17" s="1"/>
  <c r="BZ342" i="6" s="1"/>
  <c r="U159" i="17"/>
  <c r="T159" i="17" s="1"/>
  <c r="S159" i="17" s="1"/>
  <c r="R159" i="17" s="1"/>
  <c r="P159" i="17" s="1"/>
  <c r="V159" i="17" s="1"/>
  <c r="F159" i="17" s="1"/>
  <c r="U339" i="17"/>
  <c r="T339" i="17" s="1"/>
  <c r="S339" i="17" s="1"/>
  <c r="R339" i="17" s="1"/>
  <c r="P339" i="17" s="1"/>
  <c r="V339" i="17" s="1"/>
  <c r="F339" i="17" s="1"/>
  <c r="G339" i="17" s="1"/>
  <c r="BZ339" i="6" s="1"/>
  <c r="U180" i="17"/>
  <c r="T180" i="17" s="1"/>
  <c r="S180" i="17" s="1"/>
  <c r="R180" i="17" s="1"/>
  <c r="P180" i="17" s="1"/>
  <c r="D61" i="7" s="1"/>
  <c r="U160" i="17"/>
  <c r="T160" i="17" s="1"/>
  <c r="S160" i="17" s="1"/>
  <c r="R160" i="17" s="1"/>
  <c r="P160" i="17" s="1"/>
  <c r="V160" i="17" s="1"/>
  <c r="F160" i="17" s="1"/>
  <c r="G160" i="17" s="1"/>
  <c r="BZ160" i="6" s="1"/>
  <c r="U203" i="17"/>
  <c r="T203" i="17" s="1"/>
  <c r="S203" i="17" s="1"/>
  <c r="R203" i="17" s="1"/>
  <c r="P203" i="17" s="1"/>
  <c r="V203" i="17" s="1"/>
  <c r="F203" i="17" s="1"/>
  <c r="U198" i="17"/>
  <c r="T198" i="17" s="1"/>
  <c r="S198" i="17" s="1"/>
  <c r="R198" i="17" s="1"/>
  <c r="P198" i="17" s="1"/>
  <c r="V198" i="17" s="1"/>
  <c r="F198" i="17" s="1"/>
  <c r="G198" i="17" s="1"/>
  <c r="BZ198" i="6" s="1"/>
  <c r="U224" i="17"/>
  <c r="T224" i="17" s="1"/>
  <c r="S224" i="17" s="1"/>
  <c r="R224" i="17" s="1"/>
  <c r="P224" i="17" s="1"/>
  <c r="V224" i="17" s="1"/>
  <c r="F224" i="17" s="1"/>
  <c r="U197" i="17"/>
  <c r="T197" i="17" s="1"/>
  <c r="S197" i="17" s="1"/>
  <c r="R197" i="17" s="1"/>
  <c r="P197" i="17" s="1"/>
  <c r="V197" i="17" s="1"/>
  <c r="F197" i="17" s="1"/>
  <c r="G197" i="17" s="1"/>
  <c r="BZ197" i="6" s="1"/>
  <c r="U170" i="17"/>
  <c r="T170" i="17" s="1"/>
  <c r="S170" i="17" s="1"/>
  <c r="R170" i="17" s="1"/>
  <c r="P170" i="17" s="1"/>
  <c r="V170" i="17" s="1"/>
  <c r="F170" i="17" s="1"/>
  <c r="H170" i="17" s="1"/>
  <c r="U305" i="17"/>
  <c r="T305" i="17" s="1"/>
  <c r="S305" i="17" s="1"/>
  <c r="R305" i="17" s="1"/>
  <c r="P305" i="17" s="1"/>
  <c r="V305" i="17" s="1"/>
  <c r="F305" i="17" s="1"/>
  <c r="H305" i="17" s="1"/>
  <c r="U257" i="17"/>
  <c r="T257" i="17" s="1"/>
  <c r="S257" i="17" s="1"/>
  <c r="R257" i="17" s="1"/>
  <c r="P257" i="17" s="1"/>
  <c r="V257" i="17" s="1"/>
  <c r="F257" i="17" s="1"/>
  <c r="G257" i="17" s="1"/>
  <c r="BZ257" i="6" s="1"/>
  <c r="U27" i="17"/>
  <c r="T27" i="17" s="1"/>
  <c r="S27" i="17" s="1"/>
  <c r="R27" i="17" s="1"/>
  <c r="P27" i="17" s="1"/>
  <c r="V27" i="17" s="1"/>
  <c r="F27" i="17" s="1"/>
  <c r="G27" i="17" s="1"/>
  <c r="BZ27" i="6" s="1"/>
  <c r="U343" i="17"/>
  <c r="T343" i="17" s="1"/>
  <c r="S343" i="17" s="1"/>
  <c r="R343" i="17" s="1"/>
  <c r="P343" i="17" s="1"/>
  <c r="V343" i="17" s="1"/>
  <c r="F343" i="17" s="1"/>
  <c r="U237" i="17"/>
  <c r="T237" i="17" s="1"/>
  <c r="S237" i="17" s="1"/>
  <c r="R237" i="17" s="1"/>
  <c r="P237" i="17" s="1"/>
  <c r="V237" i="17" s="1"/>
  <c r="F237" i="17" s="1"/>
  <c r="H237" i="17" s="1"/>
  <c r="U193" i="17"/>
  <c r="T193" i="17" s="1"/>
  <c r="S193" i="17" s="1"/>
  <c r="R193" i="17" s="1"/>
  <c r="P193" i="17" s="1"/>
  <c r="V193" i="17" s="1"/>
  <c r="F193" i="17" s="1"/>
  <c r="U188" i="17"/>
  <c r="T188" i="17" s="1"/>
  <c r="S188" i="17" s="1"/>
  <c r="R188" i="17" s="1"/>
  <c r="P188" i="17" s="1"/>
  <c r="V188" i="17" s="1"/>
  <c r="F188" i="17" s="1"/>
  <c r="G188" i="17" s="1"/>
  <c r="BZ188" i="6" s="1"/>
  <c r="U226" i="17"/>
  <c r="T226" i="17" s="1"/>
  <c r="S226" i="17" s="1"/>
  <c r="R226" i="17" s="1"/>
  <c r="P226" i="17" s="1"/>
  <c r="V226" i="17" s="1"/>
  <c r="F226" i="17" s="1"/>
  <c r="G226" i="17" s="1"/>
  <c r="BZ226" i="6" s="1"/>
  <c r="U279" i="17"/>
  <c r="T279" i="17" s="1"/>
  <c r="S279" i="17" s="1"/>
  <c r="R279" i="17" s="1"/>
  <c r="P279" i="17" s="1"/>
  <c r="V279" i="17" s="1"/>
  <c r="F279" i="17" s="1"/>
  <c r="G279" i="17" s="1"/>
  <c r="BZ279" i="6" s="1"/>
  <c r="U178" i="17"/>
  <c r="T178" i="17" s="1"/>
  <c r="S178" i="17" s="1"/>
  <c r="R178" i="17" s="1"/>
  <c r="P178" i="17" s="1"/>
  <c r="V178" i="17" s="1"/>
  <c r="F178" i="17" s="1"/>
  <c r="U40" i="17"/>
  <c r="T40" i="17" s="1"/>
  <c r="S40" i="17" s="1"/>
  <c r="R40" i="17" s="1"/>
  <c r="P40" i="17" s="1"/>
  <c r="V40" i="17" s="1"/>
  <c r="F40" i="17" s="1"/>
  <c r="G40" i="17" s="1"/>
  <c r="BZ40" i="6" s="1"/>
  <c r="U241" i="17"/>
  <c r="T241" i="17" s="1"/>
  <c r="S241" i="17" s="1"/>
  <c r="R241" i="17" s="1"/>
  <c r="P241" i="17" s="1"/>
  <c r="D63" i="7" s="1"/>
  <c r="U174" i="17"/>
  <c r="T174" i="17" s="1"/>
  <c r="S174" i="17" s="1"/>
  <c r="R174" i="17" s="1"/>
  <c r="P174" i="17" s="1"/>
  <c r="V174" i="17" s="1"/>
  <c r="U276" i="17"/>
  <c r="T276" i="17" s="1"/>
  <c r="S276" i="17" s="1"/>
  <c r="R276" i="17" s="1"/>
  <c r="P276" i="17" s="1"/>
  <c r="V276" i="17" s="1"/>
  <c r="F276" i="17" s="1"/>
  <c r="G276" i="17" s="1"/>
  <c r="BZ276" i="6" s="1"/>
  <c r="U177" i="17"/>
  <c r="T177" i="17" s="1"/>
  <c r="S177" i="17" s="1"/>
  <c r="R177" i="17" s="1"/>
  <c r="P177" i="17" s="1"/>
  <c r="V177" i="17" s="1"/>
  <c r="F177" i="17" s="1"/>
  <c r="G177" i="17" s="1"/>
  <c r="BZ177" i="6" s="1"/>
  <c r="U246" i="17"/>
  <c r="T246" i="17" s="1"/>
  <c r="S246" i="17" s="1"/>
  <c r="R246" i="17" s="1"/>
  <c r="P246" i="17" s="1"/>
  <c r="V246" i="17" s="1"/>
  <c r="F246" i="17" s="1"/>
  <c r="U264" i="17"/>
  <c r="T264" i="17" s="1"/>
  <c r="S264" i="17" s="1"/>
  <c r="R264" i="17" s="1"/>
  <c r="P264" i="17" s="1"/>
  <c r="V264" i="17" s="1"/>
  <c r="F264" i="17" s="1"/>
  <c r="G264" i="17" s="1"/>
  <c r="BZ264" i="6" s="1"/>
  <c r="U233" i="17"/>
  <c r="T233" i="17" s="1"/>
  <c r="S233" i="17" s="1"/>
  <c r="R233" i="17" s="1"/>
  <c r="P233" i="17" s="1"/>
  <c r="V233" i="17" s="1"/>
  <c r="F233" i="17" s="1"/>
  <c r="G233" i="17" s="1"/>
  <c r="BZ233" i="6" s="1"/>
  <c r="U146" i="17"/>
  <c r="T146" i="17" s="1"/>
  <c r="S146" i="17" s="1"/>
  <c r="R146" i="17" s="1"/>
  <c r="P146" i="17" s="1"/>
  <c r="V146" i="17" s="1"/>
  <c r="F146" i="17" s="1"/>
  <c r="G146" i="17" s="1"/>
  <c r="BZ146" i="6" s="1"/>
  <c r="U258" i="17"/>
  <c r="T258" i="17" s="1"/>
  <c r="S258" i="17" s="1"/>
  <c r="R258" i="17" s="1"/>
  <c r="P258" i="17" s="1"/>
  <c r="V258" i="17" s="1"/>
  <c r="F258" i="17" s="1"/>
  <c r="U307" i="17"/>
  <c r="T307" i="17" s="1"/>
  <c r="S307" i="17" s="1"/>
  <c r="R307" i="17" s="1"/>
  <c r="P307" i="17" s="1"/>
  <c r="V307" i="17" s="1"/>
  <c r="F307" i="17" s="1"/>
  <c r="H307" i="17" s="1"/>
  <c r="U165" i="17"/>
  <c r="T165" i="17" s="1"/>
  <c r="S165" i="17" s="1"/>
  <c r="R165" i="17" s="1"/>
  <c r="P165" i="17" s="1"/>
  <c r="V165" i="17" s="1"/>
  <c r="F165" i="17" s="1"/>
  <c r="G165" i="17" s="1"/>
  <c r="BZ165" i="6" s="1"/>
  <c r="U48" i="17"/>
  <c r="T48" i="17" s="1"/>
  <c r="S48" i="17" s="1"/>
  <c r="R48" i="17" s="1"/>
  <c r="P48" i="17" s="1"/>
  <c r="V48" i="17" s="1"/>
  <c r="F48" i="17" s="1"/>
  <c r="G48" i="17" s="1"/>
  <c r="BZ48" i="6" s="1"/>
  <c r="U63" i="17"/>
  <c r="T63" i="17" s="1"/>
  <c r="S63" i="17" s="1"/>
  <c r="R63" i="17" s="1"/>
  <c r="P63" i="17" s="1"/>
  <c r="V63" i="17" s="1"/>
  <c r="F63" i="17" s="1"/>
  <c r="U30" i="17"/>
  <c r="T30" i="17" s="1"/>
  <c r="S30" i="17" s="1"/>
  <c r="R30" i="17" s="1"/>
  <c r="P30" i="17" s="1"/>
  <c r="V30" i="17" s="1"/>
  <c r="F30" i="17" s="1"/>
  <c r="H30" i="17" s="1"/>
  <c r="U287" i="17"/>
  <c r="T287" i="17" s="1"/>
  <c r="S287" i="17" s="1"/>
  <c r="R287" i="17" s="1"/>
  <c r="P287" i="17" s="1"/>
  <c r="V287" i="17" s="1"/>
  <c r="F287" i="17" s="1"/>
  <c r="U72" i="17"/>
  <c r="T72" i="17" s="1"/>
  <c r="S72" i="17" s="1"/>
  <c r="R72" i="17" s="1"/>
  <c r="P72" i="17" s="1"/>
  <c r="V72" i="17" s="1"/>
  <c r="F72" i="17" s="1"/>
  <c r="H72" i="17" s="1"/>
  <c r="U46" i="17"/>
  <c r="T46" i="17" s="1"/>
  <c r="S46" i="17" s="1"/>
  <c r="R46" i="17" s="1"/>
  <c r="P46" i="17" s="1"/>
  <c r="V46" i="17" s="1"/>
  <c r="F46" i="17" s="1"/>
  <c r="G46" i="17" s="1"/>
  <c r="BZ46" i="6" s="1"/>
  <c r="U53" i="17"/>
  <c r="T53" i="17" s="1"/>
  <c r="S53" i="17" s="1"/>
  <c r="R53" i="17" s="1"/>
  <c r="P53" i="17" s="1"/>
  <c r="V53" i="17" s="1"/>
  <c r="F53" i="17" s="1"/>
  <c r="U183" i="17"/>
  <c r="T183" i="17" s="1"/>
  <c r="S183" i="17" s="1"/>
  <c r="R183" i="17" s="1"/>
  <c r="P183" i="17" s="1"/>
  <c r="V183" i="17" s="1"/>
  <c r="F183" i="17" s="1"/>
  <c r="U36" i="17"/>
  <c r="T36" i="17" s="1"/>
  <c r="S36" i="17" s="1"/>
  <c r="R36" i="17" s="1"/>
  <c r="P36" i="17" s="1"/>
  <c r="V36" i="17" s="1"/>
  <c r="F36" i="17" s="1"/>
  <c r="G36" i="17" s="1"/>
  <c r="BZ36" i="6" s="1"/>
  <c r="U80" i="17"/>
  <c r="T80" i="17" s="1"/>
  <c r="S80" i="17" s="1"/>
  <c r="R80" i="17" s="1"/>
  <c r="P80" i="17" s="1"/>
  <c r="V80" i="17" s="1"/>
  <c r="F80" i="17" s="1"/>
  <c r="H80" i="17" s="1"/>
  <c r="U16" i="17"/>
  <c r="T16" i="17" s="1"/>
  <c r="S16" i="17" s="1"/>
  <c r="R16" i="17" s="1"/>
  <c r="P16" i="17" s="1"/>
  <c r="V16" i="17" s="1"/>
  <c r="F16" i="17" s="1"/>
  <c r="H16" i="17" s="1"/>
  <c r="U75" i="17"/>
  <c r="T75" i="17" s="1"/>
  <c r="S75" i="17" s="1"/>
  <c r="R75" i="17" s="1"/>
  <c r="P75" i="17" s="1"/>
  <c r="V75" i="17" s="1"/>
  <c r="F75" i="17" s="1"/>
  <c r="G75" i="17" s="1"/>
  <c r="BZ75" i="6" s="1"/>
  <c r="U267" i="17"/>
  <c r="T267" i="17" s="1"/>
  <c r="S267" i="17" s="1"/>
  <c r="R267" i="17" s="1"/>
  <c r="P267" i="17" s="1"/>
  <c r="V267" i="17" s="1"/>
  <c r="F267" i="17" s="1"/>
  <c r="G267" i="17" s="1"/>
  <c r="BZ267" i="6" s="1"/>
  <c r="U184" i="17"/>
  <c r="T184" i="17" s="1"/>
  <c r="S184" i="17" s="1"/>
  <c r="R184" i="17" s="1"/>
  <c r="P184" i="17" s="1"/>
  <c r="V184" i="17" s="1"/>
  <c r="F184" i="17" s="1"/>
  <c r="G184" i="17" s="1"/>
  <c r="BZ184" i="6" s="1"/>
  <c r="U161" i="17"/>
  <c r="T161" i="17" s="1"/>
  <c r="S161" i="17" s="1"/>
  <c r="R161" i="17" s="1"/>
  <c r="P161" i="17" s="1"/>
  <c r="V161" i="17" s="1"/>
  <c r="F161" i="17" s="1"/>
  <c r="G161" i="17" s="1"/>
  <c r="BZ161" i="6" s="1"/>
  <c r="U356" i="17"/>
  <c r="T356" i="17" s="1"/>
  <c r="S356" i="17" s="1"/>
  <c r="R356" i="17" s="1"/>
  <c r="P356" i="17" s="1"/>
  <c r="V356" i="17" s="1"/>
  <c r="F356" i="17" s="1"/>
  <c r="U367" i="17"/>
  <c r="T367" i="17" s="1"/>
  <c r="S367" i="17" s="1"/>
  <c r="R367" i="17" s="1"/>
  <c r="P367" i="17" s="1"/>
  <c r="V367" i="17" s="1"/>
  <c r="F367" i="17" s="1"/>
  <c r="G367" i="17" s="1"/>
  <c r="BZ367" i="6" s="1"/>
  <c r="U376" i="17"/>
  <c r="T376" i="17" s="1"/>
  <c r="S376" i="17" s="1"/>
  <c r="R376" i="17" s="1"/>
  <c r="P376" i="17" s="1"/>
  <c r="V376" i="17" s="1"/>
  <c r="F376" i="17" s="1"/>
  <c r="G376" i="17" s="1"/>
  <c r="BZ376" i="6" s="1"/>
  <c r="U230" i="17"/>
  <c r="T230" i="17" s="1"/>
  <c r="S230" i="17" s="1"/>
  <c r="R230" i="17" s="1"/>
  <c r="P230" i="17" s="1"/>
  <c r="V230" i="17" s="1"/>
  <c r="F230" i="17" s="1"/>
  <c r="G230" i="17" s="1"/>
  <c r="BZ230" i="6" s="1"/>
  <c r="U310" i="17"/>
  <c r="T310" i="17" s="1"/>
  <c r="S310" i="17" s="1"/>
  <c r="R310" i="17" s="1"/>
  <c r="P310" i="17" s="1"/>
  <c r="V310" i="17" s="1"/>
  <c r="F310" i="17" s="1"/>
  <c r="U171" i="17"/>
  <c r="T171" i="17" s="1"/>
  <c r="S171" i="17" s="1"/>
  <c r="R171" i="17" s="1"/>
  <c r="P171" i="17" s="1"/>
  <c r="V171" i="17" s="1"/>
  <c r="F171" i="17" s="1"/>
  <c r="H171" i="17" s="1"/>
  <c r="U187" i="17"/>
  <c r="T187" i="17" s="1"/>
  <c r="S187" i="17" s="1"/>
  <c r="R187" i="17" s="1"/>
  <c r="P187" i="17" s="1"/>
  <c r="V187" i="17" s="1"/>
  <c r="F187" i="17" s="1"/>
  <c r="G187" i="17" s="1"/>
  <c r="BZ187" i="6" s="1"/>
  <c r="U360" i="17"/>
  <c r="T360" i="17" s="1"/>
  <c r="S360" i="17" s="1"/>
  <c r="R360" i="17" s="1"/>
  <c r="P360" i="17" s="1"/>
  <c r="V360" i="17" s="1"/>
  <c r="F360" i="17" s="1"/>
  <c r="G360" i="17" s="1"/>
  <c r="BZ360" i="6" s="1"/>
  <c r="U281" i="17"/>
  <c r="T281" i="17" s="1"/>
  <c r="S281" i="17" s="1"/>
  <c r="R281" i="17" s="1"/>
  <c r="P281" i="17" s="1"/>
  <c r="V281" i="17" s="1"/>
  <c r="F281" i="17" s="1"/>
  <c r="U261" i="17"/>
  <c r="T261" i="17" s="1"/>
  <c r="S261" i="17" s="1"/>
  <c r="R261" i="17" s="1"/>
  <c r="P261" i="17" s="1"/>
  <c r="V261" i="17" s="1"/>
  <c r="F261" i="17" s="1"/>
  <c r="G261" i="17" s="1"/>
  <c r="BZ261" i="6" s="1"/>
  <c r="U126" i="17"/>
  <c r="T126" i="17" s="1"/>
  <c r="S126" i="17" s="1"/>
  <c r="R126" i="17" s="1"/>
  <c r="P126" i="17" s="1"/>
  <c r="V126" i="17" s="1"/>
  <c r="F126" i="17" s="1"/>
  <c r="H126" i="17" s="1"/>
  <c r="U90" i="17"/>
  <c r="T90" i="17" s="1"/>
  <c r="S90" i="17" s="1"/>
  <c r="R90" i="17" s="1"/>
  <c r="P90" i="17" s="1"/>
  <c r="V90" i="17" s="1"/>
  <c r="F90" i="17" s="1"/>
  <c r="H90" i="17" s="1"/>
  <c r="U263" i="17"/>
  <c r="T263" i="17" s="1"/>
  <c r="S263" i="17" s="1"/>
  <c r="R263" i="17" s="1"/>
  <c r="P263" i="17" s="1"/>
  <c r="V263" i="17" s="1"/>
  <c r="F263" i="17" s="1"/>
  <c r="H263" i="17" s="1"/>
  <c r="U288" i="17"/>
  <c r="T288" i="17" s="1"/>
  <c r="S288" i="17" s="1"/>
  <c r="R288" i="17" s="1"/>
  <c r="P288" i="17" s="1"/>
  <c r="V288" i="17" s="1"/>
  <c r="F288" i="17" s="1"/>
  <c r="H288" i="17" s="1"/>
  <c r="U357" i="17"/>
  <c r="T357" i="17" s="1"/>
  <c r="S357" i="17" s="1"/>
  <c r="R357" i="17" s="1"/>
  <c r="P357" i="17" s="1"/>
  <c r="V357" i="17" s="1"/>
  <c r="F357" i="17" s="1"/>
  <c r="U136" i="17"/>
  <c r="T136" i="17" s="1"/>
  <c r="S136" i="17" s="1"/>
  <c r="R136" i="17" s="1"/>
  <c r="P136" i="17" s="1"/>
  <c r="V136" i="17" s="1"/>
  <c r="F136" i="17" s="1"/>
  <c r="G136" i="17" s="1"/>
  <c r="BZ136" i="6" s="1"/>
  <c r="U341" i="17"/>
  <c r="T341" i="17" s="1"/>
  <c r="S341" i="17" s="1"/>
  <c r="R341" i="17" s="1"/>
  <c r="P341" i="17" s="1"/>
  <c r="V341" i="17" s="1"/>
  <c r="F341" i="17" s="1"/>
  <c r="H341" i="17" s="1"/>
  <c r="U45" i="17"/>
  <c r="T45" i="17" s="1"/>
  <c r="S45" i="17" s="1"/>
  <c r="R45" i="17" s="1"/>
  <c r="P45" i="17" s="1"/>
  <c r="V45" i="17" s="1"/>
  <c r="F45" i="17" s="1"/>
  <c r="G45" i="17" s="1"/>
  <c r="BZ45" i="6" s="1"/>
  <c r="U346" i="17"/>
  <c r="T346" i="17" s="1"/>
  <c r="S346" i="17" s="1"/>
  <c r="R346" i="17" s="1"/>
  <c r="P346" i="17" s="1"/>
  <c r="V346" i="17" s="1"/>
  <c r="F346" i="17" s="1"/>
  <c r="G346" i="17" s="1"/>
  <c r="BZ346" i="6" s="1"/>
  <c r="U351" i="17"/>
  <c r="T351" i="17" s="1"/>
  <c r="S351" i="17" s="1"/>
  <c r="R351" i="17" s="1"/>
  <c r="P351" i="17" s="1"/>
  <c r="V351" i="17" s="1"/>
  <c r="F351" i="17" s="1"/>
  <c r="H351" i="17" s="1"/>
  <c r="U124" i="17"/>
  <c r="T124" i="17" s="1"/>
  <c r="S124" i="17" s="1"/>
  <c r="R124" i="17" s="1"/>
  <c r="P124" i="17" s="1"/>
  <c r="V124" i="17" s="1"/>
  <c r="F124" i="17" s="1"/>
  <c r="U217" i="17"/>
  <c r="T217" i="17" s="1"/>
  <c r="S217" i="17" s="1"/>
  <c r="R217" i="17" s="1"/>
  <c r="P217" i="17" s="1"/>
  <c r="V217" i="17" s="1"/>
  <c r="F217" i="17" s="1"/>
  <c r="G217" i="17" s="1"/>
  <c r="BZ217" i="6" s="1"/>
  <c r="U352" i="17"/>
  <c r="T352" i="17" s="1"/>
  <c r="S352" i="17" s="1"/>
  <c r="R352" i="17" s="1"/>
  <c r="P352" i="17" s="1"/>
  <c r="U166" i="17"/>
  <c r="T166" i="17" s="1"/>
  <c r="S166" i="17" s="1"/>
  <c r="R166" i="17" s="1"/>
  <c r="P166" i="17" s="1"/>
  <c r="V166" i="17" s="1"/>
  <c r="F166" i="17" s="1"/>
  <c r="G166" i="17" s="1"/>
  <c r="BZ166" i="6" s="1"/>
  <c r="U151" i="17"/>
  <c r="T151" i="17" s="1"/>
  <c r="S151" i="17" s="1"/>
  <c r="R151" i="17" s="1"/>
  <c r="P151" i="17" s="1"/>
  <c r="V151" i="17" s="1"/>
  <c r="F151" i="17" s="1"/>
  <c r="U211" i="17"/>
  <c r="T211" i="17" s="1"/>
  <c r="S211" i="17" s="1"/>
  <c r="R211" i="17" s="1"/>
  <c r="P211" i="17" s="1"/>
  <c r="V211" i="17" s="1"/>
  <c r="F211" i="17" s="1"/>
  <c r="G211" i="17" s="1"/>
  <c r="BZ211" i="6" s="1"/>
  <c r="U378" i="17"/>
  <c r="T378" i="17" s="1"/>
  <c r="S378" i="17" s="1"/>
  <c r="R378" i="17" s="1"/>
  <c r="P378" i="17" s="1"/>
  <c r="V378" i="17" s="1"/>
  <c r="F378" i="17" s="1"/>
  <c r="H378" i="17" s="1"/>
  <c r="U156" i="17"/>
  <c r="T156" i="17" s="1"/>
  <c r="S156" i="17" s="1"/>
  <c r="R156" i="17" s="1"/>
  <c r="P156" i="17" s="1"/>
  <c r="V156" i="17" s="1"/>
  <c r="F156" i="17" s="1"/>
  <c r="G156" i="17" s="1"/>
  <c r="BZ156" i="6" s="1"/>
  <c r="U285" i="17"/>
  <c r="T285" i="17" s="1"/>
  <c r="S285" i="17" s="1"/>
  <c r="R285" i="17" s="1"/>
  <c r="P285" i="17" s="1"/>
  <c r="V285" i="17" s="1"/>
  <c r="F285" i="17" s="1"/>
  <c r="U52" i="17"/>
  <c r="T52" i="17" s="1"/>
  <c r="S52" i="17" s="1"/>
  <c r="R52" i="17" s="1"/>
  <c r="P52" i="17" s="1"/>
  <c r="V52" i="17" s="1"/>
  <c r="F52" i="17" s="1"/>
  <c r="U212" i="17"/>
  <c r="T212" i="17" s="1"/>
  <c r="S212" i="17" s="1"/>
  <c r="R212" i="17" s="1"/>
  <c r="P212" i="17" s="1"/>
  <c r="V212" i="17" s="1"/>
  <c r="F212" i="17" s="1"/>
  <c r="U43" i="17"/>
  <c r="T43" i="17" s="1"/>
  <c r="S43" i="17" s="1"/>
  <c r="R43" i="17" s="1"/>
  <c r="P43" i="17" s="1"/>
  <c r="V43" i="17" s="1"/>
  <c r="F43" i="17" s="1"/>
  <c r="G43" i="17" s="1"/>
  <c r="BZ43" i="6" s="1"/>
  <c r="U62" i="17"/>
  <c r="T62" i="17" s="1"/>
  <c r="S62" i="17" s="1"/>
  <c r="R62" i="17" s="1"/>
  <c r="P62" i="17" s="1"/>
  <c r="V62" i="17" s="1"/>
  <c r="F62" i="17" s="1"/>
  <c r="H62" i="17" s="1"/>
  <c r="U37" i="17"/>
  <c r="T37" i="17" s="1"/>
  <c r="S37" i="17" s="1"/>
  <c r="R37" i="17" s="1"/>
  <c r="P37" i="17" s="1"/>
  <c r="V37" i="17" s="1"/>
  <c r="F37" i="17" s="1"/>
  <c r="G37" i="17" s="1"/>
  <c r="BZ37" i="6" s="1"/>
  <c r="U100" i="17"/>
  <c r="T100" i="17" s="1"/>
  <c r="S100" i="17" s="1"/>
  <c r="R100" i="17" s="1"/>
  <c r="P100" i="17" s="1"/>
  <c r="V100" i="17" s="1"/>
  <c r="F100" i="17" s="1"/>
  <c r="U340" i="17"/>
  <c r="T340" i="17" s="1"/>
  <c r="S340" i="17" s="1"/>
  <c r="R340" i="17" s="1"/>
  <c r="P340" i="17" s="1"/>
  <c r="V340" i="17" s="1"/>
  <c r="F340" i="17" s="1"/>
  <c r="G340" i="17" s="1"/>
  <c r="BZ340" i="6" s="1"/>
  <c r="U155" i="17"/>
  <c r="T155" i="17" s="1"/>
  <c r="S155" i="17" s="1"/>
  <c r="R155" i="17" s="1"/>
  <c r="P155" i="17" s="1"/>
  <c r="V155" i="17" s="1"/>
  <c r="F155" i="17" s="1"/>
  <c r="U81" i="17"/>
  <c r="T81" i="17" s="1"/>
  <c r="S81" i="17" s="1"/>
  <c r="R81" i="17" s="1"/>
  <c r="P81" i="17" s="1"/>
  <c r="V81" i="17" s="1"/>
  <c r="Q72" i="18"/>
  <c r="Q80" i="18"/>
  <c r="Q70" i="18"/>
  <c r="Q15" i="18"/>
  <c r="Q20" i="18"/>
  <c r="Q84" i="18"/>
  <c r="Q61" i="18"/>
  <c r="Q62" i="18"/>
  <c r="Q55" i="18"/>
  <c r="Q67" i="18"/>
  <c r="Q39" i="18"/>
  <c r="Q37" i="18"/>
  <c r="Q77" i="18"/>
  <c r="Q42" i="18"/>
  <c r="Q90" i="18"/>
  <c r="Q86" i="18"/>
  <c r="Q58" i="18"/>
  <c r="Q81" i="18"/>
  <c r="Q17" i="18"/>
  <c r="Q101" i="18"/>
  <c r="Q32" i="18"/>
  <c r="Q33" i="18"/>
  <c r="U330" i="17"/>
  <c r="T330" i="17" s="1"/>
  <c r="S330" i="17" s="1"/>
  <c r="R330" i="17" s="1"/>
  <c r="P330" i="17" s="1"/>
  <c r="V330" i="17" s="1"/>
  <c r="F330" i="17" s="1"/>
  <c r="G330" i="17" s="1"/>
  <c r="BZ330" i="6" s="1"/>
  <c r="U84" i="17"/>
  <c r="T84" i="17" s="1"/>
  <c r="S84" i="17" s="1"/>
  <c r="R84" i="17" s="1"/>
  <c r="P84" i="17" s="1"/>
  <c r="V84" i="17" s="1"/>
  <c r="F84" i="17" s="1"/>
  <c r="H84" i="17" s="1"/>
  <c r="U326" i="17"/>
  <c r="T326" i="17" s="1"/>
  <c r="S326" i="17" s="1"/>
  <c r="R326" i="17" s="1"/>
  <c r="P326" i="17" s="1"/>
  <c r="V326" i="17" s="1"/>
  <c r="F326" i="17" s="1"/>
  <c r="G326" i="17" s="1"/>
  <c r="BZ326" i="6" s="1"/>
  <c r="U306" i="17"/>
  <c r="T306" i="17" s="1"/>
  <c r="S306" i="17" s="1"/>
  <c r="R306" i="17" s="1"/>
  <c r="P306" i="17" s="1"/>
  <c r="V306" i="17" s="1"/>
  <c r="F306" i="17" s="1"/>
  <c r="U231" i="17"/>
  <c r="T231" i="17" s="1"/>
  <c r="S231" i="17" s="1"/>
  <c r="R231" i="17" s="1"/>
  <c r="P231" i="17" s="1"/>
  <c r="V231" i="17" s="1"/>
  <c r="F231" i="17" s="1"/>
  <c r="H231" i="17" s="1"/>
  <c r="U95" i="17"/>
  <c r="T95" i="17" s="1"/>
  <c r="S95" i="17" s="1"/>
  <c r="R95" i="17" s="1"/>
  <c r="P95" i="17" s="1"/>
  <c r="V95" i="17" s="1"/>
  <c r="F95" i="17" s="1"/>
  <c r="U361" i="17"/>
  <c r="T361" i="17" s="1"/>
  <c r="S361" i="17" s="1"/>
  <c r="R361" i="17" s="1"/>
  <c r="P361" i="17" s="1"/>
  <c r="V361" i="17" s="1"/>
  <c r="F361" i="17" s="1"/>
  <c r="U272" i="17"/>
  <c r="T272" i="17" s="1"/>
  <c r="S272" i="17" s="1"/>
  <c r="R272" i="17" s="1"/>
  <c r="P272" i="17" s="1"/>
  <c r="V272" i="17" s="1"/>
  <c r="U240" i="17"/>
  <c r="T240" i="17" s="1"/>
  <c r="S240" i="17" s="1"/>
  <c r="R240" i="17" s="1"/>
  <c r="P240" i="17" s="1"/>
  <c r="V240" i="17" s="1"/>
  <c r="F240" i="17" s="1"/>
  <c r="U368" i="17"/>
  <c r="T368" i="17" s="1"/>
  <c r="S368" i="17" s="1"/>
  <c r="R368" i="17" s="1"/>
  <c r="P368" i="17" s="1"/>
  <c r="V368" i="17" s="1"/>
  <c r="F368" i="17" s="1"/>
  <c r="U60" i="17"/>
  <c r="T60" i="17" s="1"/>
  <c r="S60" i="17" s="1"/>
  <c r="R60" i="17" s="1"/>
  <c r="P60" i="17" s="1"/>
  <c r="D57" i="7" s="1"/>
  <c r="U19" i="17"/>
  <c r="T19" i="17" s="1"/>
  <c r="S19" i="17" s="1"/>
  <c r="R19" i="17" s="1"/>
  <c r="P19" i="17" s="1"/>
  <c r="V19" i="17" s="1"/>
  <c r="F19" i="17" s="1"/>
  <c r="G19" i="17" s="1"/>
  <c r="BZ19" i="6" s="1"/>
  <c r="U221" i="17"/>
  <c r="T221" i="17" s="1"/>
  <c r="S221" i="17" s="1"/>
  <c r="R221" i="17" s="1"/>
  <c r="P221" i="17" s="1"/>
  <c r="V221" i="17" s="1"/>
  <c r="F221" i="17" s="1"/>
  <c r="U77" i="17"/>
  <c r="T77" i="17" s="1"/>
  <c r="S77" i="17" s="1"/>
  <c r="R77" i="17" s="1"/>
  <c r="P77" i="17" s="1"/>
  <c r="V77" i="17" s="1"/>
  <c r="F77" i="17" s="1"/>
  <c r="G77" i="17" s="1"/>
  <c r="BZ77" i="6" s="1"/>
  <c r="U354" i="17"/>
  <c r="T354" i="17" s="1"/>
  <c r="S354" i="17" s="1"/>
  <c r="R354" i="17" s="1"/>
  <c r="P354" i="17" s="1"/>
  <c r="V354" i="17" s="1"/>
  <c r="F354" i="17" s="1"/>
  <c r="G354" i="17" s="1"/>
  <c r="BZ354" i="6" s="1"/>
  <c r="U38" i="17"/>
  <c r="T38" i="17" s="1"/>
  <c r="S38" i="17" s="1"/>
  <c r="R38" i="17" s="1"/>
  <c r="P38" i="17" s="1"/>
  <c r="V38" i="17" s="1"/>
  <c r="F38" i="17" s="1"/>
  <c r="H38" i="17" s="1"/>
  <c r="U336" i="17"/>
  <c r="T336" i="17" s="1"/>
  <c r="S336" i="17" s="1"/>
  <c r="R336" i="17" s="1"/>
  <c r="P336" i="17" s="1"/>
  <c r="V336" i="17" s="1"/>
  <c r="F336" i="17" s="1"/>
  <c r="G336" i="17" s="1"/>
  <c r="BZ336" i="6" s="1"/>
  <c r="U117" i="17"/>
  <c r="T117" i="17" s="1"/>
  <c r="S117" i="17" s="1"/>
  <c r="R117" i="17" s="1"/>
  <c r="P117" i="17" s="1"/>
  <c r="V117" i="17" s="1"/>
  <c r="F117" i="17" s="1"/>
  <c r="U131" i="17"/>
  <c r="T131" i="17" s="1"/>
  <c r="S131" i="17" s="1"/>
  <c r="R131" i="17" s="1"/>
  <c r="P131" i="17" s="1"/>
  <c r="V131" i="17" s="1"/>
  <c r="F131" i="17" s="1"/>
  <c r="U321" i="17"/>
  <c r="T321" i="17" s="1"/>
  <c r="S321" i="17" s="1"/>
  <c r="R321" i="17" s="1"/>
  <c r="P321" i="17" s="1"/>
  <c r="V321" i="17" s="1"/>
  <c r="F321" i="17" s="1"/>
  <c r="G321" i="17" s="1"/>
  <c r="BZ321" i="6" s="1"/>
  <c r="U373" i="17"/>
  <c r="T373" i="17" s="1"/>
  <c r="S373" i="17" s="1"/>
  <c r="R373" i="17" s="1"/>
  <c r="P373" i="17" s="1"/>
  <c r="V373" i="17" s="1"/>
  <c r="F373" i="17" s="1"/>
  <c r="U25" i="17"/>
  <c r="T25" i="17" s="1"/>
  <c r="S25" i="17" s="1"/>
  <c r="R25" i="17" s="1"/>
  <c r="P25" i="17" s="1"/>
  <c r="V25" i="17" s="1"/>
  <c r="F25" i="17" s="1"/>
  <c r="G25" i="17" s="1"/>
  <c r="BZ25" i="6" s="1"/>
  <c r="U210" i="17"/>
  <c r="T210" i="17" s="1"/>
  <c r="S210" i="17" s="1"/>
  <c r="R210" i="17" s="1"/>
  <c r="P210" i="17" s="1"/>
  <c r="D62" i="7" s="1"/>
  <c r="U296" i="17"/>
  <c r="T296" i="17" s="1"/>
  <c r="S296" i="17" s="1"/>
  <c r="R296" i="17" s="1"/>
  <c r="P296" i="17" s="1"/>
  <c r="V296" i="17" s="1"/>
  <c r="F296" i="17" s="1"/>
  <c r="U49" i="17"/>
  <c r="T49" i="17" s="1"/>
  <c r="S49" i="17" s="1"/>
  <c r="R49" i="17" s="1"/>
  <c r="P49" i="17" s="1"/>
  <c r="V49" i="17" s="1"/>
  <c r="F49" i="17" s="1"/>
  <c r="U139" i="17"/>
  <c r="T139" i="17" s="1"/>
  <c r="S139" i="17" s="1"/>
  <c r="R139" i="17" s="1"/>
  <c r="P139" i="17" s="1"/>
  <c r="V139" i="17" s="1"/>
  <c r="F139" i="17" s="1"/>
  <c r="G139" i="17" s="1"/>
  <c r="BZ139" i="6" s="1"/>
  <c r="U129" i="17"/>
  <c r="T129" i="17" s="1"/>
  <c r="S129" i="17" s="1"/>
  <c r="R129" i="17" s="1"/>
  <c r="P129" i="17" s="1"/>
  <c r="V129" i="17" s="1"/>
  <c r="F129" i="17" s="1"/>
  <c r="H129" i="17" s="1"/>
  <c r="U35" i="17"/>
  <c r="T35" i="17" s="1"/>
  <c r="S35" i="17" s="1"/>
  <c r="R35" i="17" s="1"/>
  <c r="P35" i="17" s="1"/>
  <c r="V35" i="17" s="1"/>
  <c r="F35" i="17" s="1"/>
  <c r="G35" i="17" s="1"/>
  <c r="BZ35" i="6" s="1"/>
  <c r="U280" i="17"/>
  <c r="T280" i="17" s="1"/>
  <c r="S280" i="17" s="1"/>
  <c r="R280" i="17" s="1"/>
  <c r="P280" i="17" s="1"/>
  <c r="V280" i="17" s="1"/>
  <c r="F280" i="17" s="1"/>
  <c r="G280" i="17" s="1"/>
  <c r="BZ280" i="6" s="1"/>
  <c r="U111" i="17"/>
  <c r="T111" i="17" s="1"/>
  <c r="S111" i="17" s="1"/>
  <c r="R111" i="17" s="1"/>
  <c r="P111" i="17" s="1"/>
  <c r="V111" i="17" s="1"/>
  <c r="U250" i="17"/>
  <c r="T250" i="17" s="1"/>
  <c r="S250" i="17" s="1"/>
  <c r="R250" i="17" s="1"/>
  <c r="P250" i="17" s="1"/>
  <c r="V250" i="17" s="1"/>
  <c r="F250" i="17" s="1"/>
  <c r="H250" i="17" s="1"/>
  <c r="U153" i="17"/>
  <c r="T153" i="17" s="1"/>
  <c r="S153" i="17" s="1"/>
  <c r="R153" i="17" s="1"/>
  <c r="P153" i="17" s="1"/>
  <c r="V153" i="17" s="1"/>
  <c r="F153" i="17" s="1"/>
  <c r="U299" i="17"/>
  <c r="T299" i="17" s="1"/>
  <c r="S299" i="17" s="1"/>
  <c r="R299" i="17" s="1"/>
  <c r="P299" i="17" s="1"/>
  <c r="V299" i="17" s="1"/>
  <c r="F299" i="17" s="1"/>
  <c r="G299" i="17" s="1"/>
  <c r="BZ299" i="6" s="1"/>
  <c r="U29" i="17"/>
  <c r="T29" i="17" s="1"/>
  <c r="S29" i="17" s="1"/>
  <c r="R29" i="17" s="1"/>
  <c r="P29" i="17" s="1"/>
  <c r="V29" i="17" s="1"/>
  <c r="F29" i="17" s="1"/>
  <c r="U242" i="17"/>
  <c r="T242" i="17" s="1"/>
  <c r="S242" i="17" s="1"/>
  <c r="R242" i="17" s="1"/>
  <c r="P242" i="17" s="1"/>
  <c r="V242" i="17" s="1"/>
  <c r="F242" i="17" s="1"/>
  <c r="U332" i="17"/>
  <c r="T332" i="17" s="1"/>
  <c r="S332" i="17" s="1"/>
  <c r="R332" i="17" s="1"/>
  <c r="P332" i="17" s="1"/>
  <c r="V332" i="17" s="1"/>
  <c r="F332" i="17" s="1"/>
  <c r="H332" i="17" s="1"/>
  <c r="I332" i="17" s="1"/>
  <c r="U248" i="17"/>
  <c r="T248" i="17" s="1"/>
  <c r="S248" i="17" s="1"/>
  <c r="R248" i="17" s="1"/>
  <c r="P248" i="17" s="1"/>
  <c r="V248" i="17" s="1"/>
  <c r="F248" i="17" s="1"/>
  <c r="G248" i="17" s="1"/>
  <c r="BZ248" i="6" s="1"/>
  <c r="U350" i="17"/>
  <c r="T350" i="17" s="1"/>
  <c r="S350" i="17" s="1"/>
  <c r="R350" i="17" s="1"/>
  <c r="P350" i="17" s="1"/>
  <c r="V350" i="17" s="1"/>
  <c r="F350" i="17" s="1"/>
  <c r="H350" i="17" s="1"/>
  <c r="U377" i="17"/>
  <c r="T377" i="17" s="1"/>
  <c r="S377" i="17" s="1"/>
  <c r="R377" i="17" s="1"/>
  <c r="P377" i="17" s="1"/>
  <c r="V377" i="17" s="1"/>
  <c r="F377" i="17" s="1"/>
  <c r="U335" i="17"/>
  <c r="T335" i="17" s="1"/>
  <c r="S335" i="17" s="1"/>
  <c r="R335" i="17" s="1"/>
  <c r="P335" i="17" s="1"/>
  <c r="V335" i="17" s="1"/>
  <c r="F335" i="17" s="1"/>
  <c r="H335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73" i="17"/>
  <c r="T73" i="17" s="1"/>
  <c r="S73" i="17" s="1"/>
  <c r="R73" i="17" s="1"/>
  <c r="P73" i="17" s="1"/>
  <c r="V73" i="17" s="1"/>
  <c r="F73" i="17" s="1"/>
  <c r="G73" i="17" s="1"/>
  <c r="BZ73" i="6" s="1"/>
  <c r="U253" i="17"/>
  <c r="T253" i="17" s="1"/>
  <c r="S253" i="17" s="1"/>
  <c r="R253" i="17" s="1"/>
  <c r="P253" i="17" s="1"/>
  <c r="V253" i="17" s="1"/>
  <c r="F253" i="17" s="1"/>
  <c r="U109" i="17"/>
  <c r="T109" i="17" s="1"/>
  <c r="S109" i="17" s="1"/>
  <c r="R109" i="17" s="1"/>
  <c r="P109" i="17" s="1"/>
  <c r="V109" i="17" s="1"/>
  <c r="F109" i="17" s="1"/>
  <c r="G109" i="17" s="1"/>
  <c r="BZ109" i="6" s="1"/>
  <c r="U179" i="17"/>
  <c r="T179" i="17" s="1"/>
  <c r="S179" i="17" s="1"/>
  <c r="R179" i="17" s="1"/>
  <c r="P179" i="17" s="1"/>
  <c r="V179" i="17" s="1"/>
  <c r="F179" i="17" s="1"/>
  <c r="U215" i="17"/>
  <c r="T215" i="17" s="1"/>
  <c r="S215" i="17" s="1"/>
  <c r="R215" i="17" s="1"/>
  <c r="P215" i="17" s="1"/>
  <c r="V215" i="17" s="1"/>
  <c r="F215" i="17" s="1"/>
  <c r="H215" i="17" s="1"/>
  <c r="J215" i="17" s="1"/>
  <c r="U319" i="17"/>
  <c r="T319" i="17" s="1"/>
  <c r="S319" i="17" s="1"/>
  <c r="R319" i="17" s="1"/>
  <c r="P319" i="17" s="1"/>
  <c r="V319" i="17" s="1"/>
  <c r="U362" i="17"/>
  <c r="T362" i="17" s="1"/>
  <c r="S362" i="17" s="1"/>
  <c r="R362" i="17" s="1"/>
  <c r="P362" i="17" s="1"/>
  <c r="V362" i="17" s="1"/>
  <c r="F362" i="17" s="1"/>
  <c r="G362" i="17" s="1"/>
  <c r="BZ362" i="6" s="1"/>
  <c r="U105" i="17"/>
  <c r="T105" i="17" s="1"/>
  <c r="S105" i="17" s="1"/>
  <c r="R105" i="17" s="1"/>
  <c r="P105" i="17" s="1"/>
  <c r="V105" i="17" s="1"/>
  <c r="F105" i="17" s="1"/>
  <c r="G105" i="17" s="1"/>
  <c r="BZ105" i="6" s="1"/>
  <c r="U54" i="17"/>
  <c r="T54" i="17" s="1"/>
  <c r="S54" i="17" s="1"/>
  <c r="R54" i="17" s="1"/>
  <c r="P54" i="17" s="1"/>
  <c r="V54" i="17" s="1"/>
  <c r="F54" i="17" s="1"/>
  <c r="G54" i="17" s="1"/>
  <c r="BZ54" i="6" s="1"/>
  <c r="U50" i="17"/>
  <c r="T50" i="17" s="1"/>
  <c r="S50" i="17" s="1"/>
  <c r="R50" i="17" s="1"/>
  <c r="P50" i="17" s="1"/>
  <c r="V50" i="17" s="1"/>
  <c r="F50" i="17" s="1"/>
  <c r="U320" i="17"/>
  <c r="T320" i="17" s="1"/>
  <c r="S320" i="17" s="1"/>
  <c r="R320" i="17" s="1"/>
  <c r="P320" i="17" s="1"/>
  <c r="V320" i="17" s="1"/>
  <c r="F320" i="17" s="1"/>
  <c r="G320" i="17" s="1"/>
  <c r="BZ320" i="6" s="1"/>
  <c r="U59" i="17"/>
  <c r="T59" i="17" s="1"/>
  <c r="S59" i="17" s="1"/>
  <c r="R59" i="17" s="1"/>
  <c r="P59" i="17" s="1"/>
  <c r="V59" i="17" s="1"/>
  <c r="F59" i="17" s="1"/>
  <c r="U79" i="17"/>
  <c r="T79" i="17" s="1"/>
  <c r="S79" i="17" s="1"/>
  <c r="R79" i="17" s="1"/>
  <c r="P79" i="17" s="1"/>
  <c r="V79" i="17" s="1"/>
  <c r="F79" i="17" s="1"/>
  <c r="G79" i="17" s="1"/>
  <c r="BZ79" i="6" s="1"/>
  <c r="U365" i="17"/>
  <c r="T365" i="17" s="1"/>
  <c r="S365" i="17" s="1"/>
  <c r="R365" i="17" s="1"/>
  <c r="P365" i="17" s="1"/>
  <c r="V365" i="17" s="1"/>
  <c r="F365" i="17" s="1"/>
  <c r="U244" i="17"/>
  <c r="T244" i="17" s="1"/>
  <c r="S244" i="17" s="1"/>
  <c r="R244" i="17" s="1"/>
  <c r="P244" i="17" s="1"/>
  <c r="V244" i="17" s="1"/>
  <c r="F244" i="17" s="1"/>
  <c r="G244" i="17" s="1"/>
  <c r="BZ244" i="6" s="1"/>
  <c r="U372" i="17"/>
  <c r="T372" i="17" s="1"/>
  <c r="S372" i="17" s="1"/>
  <c r="R372" i="17" s="1"/>
  <c r="P372" i="17" s="1"/>
  <c r="V372" i="17" s="1"/>
  <c r="F372" i="17" s="1"/>
  <c r="U247" i="17"/>
  <c r="T247" i="17" s="1"/>
  <c r="S247" i="17" s="1"/>
  <c r="R247" i="17" s="1"/>
  <c r="P247" i="17" s="1"/>
  <c r="V247" i="17" s="1"/>
  <c r="F247" i="17" s="1"/>
  <c r="H247" i="17" s="1"/>
  <c r="U227" i="17"/>
  <c r="T227" i="17" s="1"/>
  <c r="S227" i="17" s="1"/>
  <c r="R227" i="17" s="1"/>
  <c r="P227" i="17" s="1"/>
  <c r="V227" i="17" s="1"/>
  <c r="F227" i="17" s="1"/>
  <c r="G227" i="17" s="1"/>
  <c r="BZ227" i="6" s="1"/>
  <c r="U148" i="17"/>
  <c r="T148" i="17" s="1"/>
  <c r="S148" i="17" s="1"/>
  <c r="R148" i="17" s="1"/>
  <c r="P148" i="17" s="1"/>
  <c r="V148" i="17" s="1"/>
  <c r="F148" i="17" s="1"/>
  <c r="G148" i="17" s="1"/>
  <c r="BZ148" i="6" s="1"/>
  <c r="U66" i="17"/>
  <c r="T66" i="17" s="1"/>
  <c r="S66" i="17" s="1"/>
  <c r="R66" i="17" s="1"/>
  <c r="P66" i="17" s="1"/>
  <c r="V66" i="17" s="1"/>
  <c r="F66" i="17" s="1"/>
  <c r="U194" i="17"/>
  <c r="T194" i="17" s="1"/>
  <c r="S194" i="17" s="1"/>
  <c r="R194" i="17" s="1"/>
  <c r="P194" i="17" s="1"/>
  <c r="V194" i="17" s="1"/>
  <c r="F194" i="17" s="1"/>
  <c r="G194" i="17" s="1"/>
  <c r="BZ194" i="6" s="1"/>
  <c r="U149" i="17"/>
  <c r="T149" i="17" s="1"/>
  <c r="S149" i="17" s="1"/>
  <c r="R149" i="17" s="1"/>
  <c r="P149" i="17" s="1"/>
  <c r="V149" i="17" s="1"/>
  <c r="U163" i="17"/>
  <c r="T163" i="17" s="1"/>
  <c r="S163" i="17" s="1"/>
  <c r="R163" i="17" s="1"/>
  <c r="P163" i="17" s="1"/>
  <c r="V163" i="17" s="1"/>
  <c r="F163" i="17" s="1"/>
  <c r="G163" i="17" s="1"/>
  <c r="BZ163" i="6" s="1"/>
  <c r="U85" i="17"/>
  <c r="T85" i="17" s="1"/>
  <c r="S85" i="17" s="1"/>
  <c r="R85" i="17" s="1"/>
  <c r="P85" i="17" s="1"/>
  <c r="V85" i="17" s="1"/>
  <c r="F85" i="17" s="1"/>
  <c r="U349" i="17"/>
  <c r="T349" i="17" s="1"/>
  <c r="S349" i="17" s="1"/>
  <c r="R349" i="17" s="1"/>
  <c r="P349" i="17" s="1"/>
  <c r="V349" i="17" s="1"/>
  <c r="F349" i="17" s="1"/>
  <c r="G349" i="17" s="1"/>
  <c r="BZ349" i="6" s="1"/>
  <c r="U110" i="17"/>
  <c r="T110" i="17" s="1"/>
  <c r="S110" i="17" s="1"/>
  <c r="R110" i="17" s="1"/>
  <c r="P110" i="17" s="1"/>
  <c r="V110" i="17" s="1"/>
  <c r="F110" i="17" s="1"/>
  <c r="G110" i="17" s="1"/>
  <c r="BZ110" i="6" s="1"/>
  <c r="U379" i="17"/>
  <c r="U12" i="18" s="1"/>
  <c r="U125" i="17"/>
  <c r="T125" i="17" s="1"/>
  <c r="S125" i="17" s="1"/>
  <c r="R125" i="17" s="1"/>
  <c r="P125" i="17" s="1"/>
  <c r="V125" i="17" s="1"/>
  <c r="F125" i="17" s="1"/>
  <c r="G125" i="17" s="1"/>
  <c r="BZ125" i="6" s="1"/>
  <c r="U88" i="17"/>
  <c r="T88" i="17" s="1"/>
  <c r="S88" i="17" s="1"/>
  <c r="R88" i="17" s="1"/>
  <c r="P88" i="17" s="1"/>
  <c r="V88" i="17" s="1"/>
  <c r="F88" i="17" s="1"/>
  <c r="U127" i="17"/>
  <c r="T127" i="17" s="1"/>
  <c r="S127" i="17" s="1"/>
  <c r="R127" i="17" s="1"/>
  <c r="P127" i="17" s="1"/>
  <c r="V127" i="17" s="1"/>
  <c r="F127" i="17" s="1"/>
  <c r="U175" i="17"/>
  <c r="T175" i="17" s="1"/>
  <c r="S175" i="17" s="1"/>
  <c r="R175" i="17" s="1"/>
  <c r="P175" i="17" s="1"/>
  <c r="V175" i="17" s="1"/>
  <c r="F175" i="17" s="1"/>
  <c r="G175" i="17" s="1"/>
  <c r="BZ175" i="6" s="1"/>
  <c r="U154" i="17"/>
  <c r="T154" i="17" s="1"/>
  <c r="S154" i="17" s="1"/>
  <c r="R154" i="17" s="1"/>
  <c r="P154" i="17" s="1"/>
  <c r="V154" i="17" s="1"/>
  <c r="F154" i="17" s="1"/>
  <c r="U130" i="17"/>
  <c r="T130" i="17" s="1"/>
  <c r="S130" i="17" s="1"/>
  <c r="R130" i="17" s="1"/>
  <c r="P130" i="17" s="1"/>
  <c r="V130" i="17" s="1"/>
  <c r="F130" i="17" s="1"/>
  <c r="G130" i="17" s="1"/>
  <c r="BZ130" i="6" s="1"/>
  <c r="U106" i="17"/>
  <c r="T106" i="17" s="1"/>
  <c r="S106" i="17" s="1"/>
  <c r="R106" i="17" s="1"/>
  <c r="P106" i="17" s="1"/>
  <c r="V106" i="17" s="1"/>
  <c r="F106" i="17" s="1"/>
  <c r="G106" i="17" s="1"/>
  <c r="BZ106" i="6" s="1"/>
  <c r="U141" i="17"/>
  <c r="T141" i="17" s="1"/>
  <c r="S141" i="17" s="1"/>
  <c r="R141" i="17" s="1"/>
  <c r="P141" i="17" s="1"/>
  <c r="V141" i="17" s="1"/>
  <c r="F141" i="17" s="1"/>
  <c r="G141" i="17" s="1"/>
  <c r="BZ141" i="6" s="1"/>
  <c r="U255" i="17"/>
  <c r="T255" i="17" s="1"/>
  <c r="S255" i="17" s="1"/>
  <c r="R255" i="17" s="1"/>
  <c r="P255" i="17" s="1"/>
  <c r="V255" i="17" s="1"/>
  <c r="F255" i="17" s="1"/>
  <c r="G255" i="17" s="1"/>
  <c r="BZ255" i="6" s="1"/>
  <c r="U214" i="17"/>
  <c r="T214" i="17" s="1"/>
  <c r="S214" i="17" s="1"/>
  <c r="R214" i="17" s="1"/>
  <c r="P214" i="17" s="1"/>
  <c r="V214" i="17" s="1"/>
  <c r="F214" i="17" s="1"/>
  <c r="H214" i="17" s="1"/>
  <c r="U69" i="17"/>
  <c r="T69" i="17" s="1"/>
  <c r="S69" i="17" s="1"/>
  <c r="R69" i="17" s="1"/>
  <c r="P69" i="17" s="1"/>
  <c r="V69" i="17" s="1"/>
  <c r="F69" i="17" s="1"/>
  <c r="U114" i="17"/>
  <c r="T114" i="17" s="1"/>
  <c r="S114" i="17" s="1"/>
  <c r="R114" i="17" s="1"/>
  <c r="P114" i="17" s="1"/>
  <c r="V114" i="17" s="1"/>
  <c r="F114" i="17" s="1"/>
  <c r="G114" i="17" s="1"/>
  <c r="BZ114" i="6" s="1"/>
  <c r="U86" i="17"/>
  <c r="T86" i="17" s="1"/>
  <c r="S86" i="17" s="1"/>
  <c r="R86" i="17" s="1"/>
  <c r="P86" i="17" s="1"/>
  <c r="V86" i="17" s="1"/>
  <c r="F86" i="17" s="1"/>
  <c r="U298" i="17"/>
  <c r="T298" i="17" s="1"/>
  <c r="S298" i="17" s="1"/>
  <c r="R298" i="17" s="1"/>
  <c r="P298" i="17" s="1"/>
  <c r="V298" i="17" s="1"/>
  <c r="F298" i="17" s="1"/>
  <c r="G298" i="17" s="1"/>
  <c r="BZ298" i="6" s="1"/>
  <c r="U286" i="17"/>
  <c r="T286" i="17" s="1"/>
  <c r="S286" i="17" s="1"/>
  <c r="R286" i="17" s="1"/>
  <c r="P286" i="17" s="1"/>
  <c r="V286" i="17" s="1"/>
  <c r="F286" i="17" s="1"/>
  <c r="U71" i="17"/>
  <c r="T71" i="17" s="1"/>
  <c r="S71" i="17" s="1"/>
  <c r="R71" i="17" s="1"/>
  <c r="P71" i="17" s="1"/>
  <c r="V71" i="17" s="1"/>
  <c r="F71" i="17" s="1"/>
  <c r="G71" i="17" s="1"/>
  <c r="BZ71" i="6" s="1"/>
  <c r="U322" i="17"/>
  <c r="T322" i="17" s="1"/>
  <c r="S322" i="17" s="1"/>
  <c r="R322" i="17" s="1"/>
  <c r="P322" i="17" s="1"/>
  <c r="V322" i="17" s="1"/>
  <c r="F322" i="17" s="1"/>
  <c r="G322" i="17" s="1"/>
  <c r="BZ322" i="6" s="1"/>
  <c r="U297" i="17"/>
  <c r="T297" i="17" s="1"/>
  <c r="S297" i="17" s="1"/>
  <c r="R297" i="17" s="1"/>
  <c r="P297" i="17" s="1"/>
  <c r="V297" i="17" s="1"/>
  <c r="F297" i="17" s="1"/>
  <c r="G297" i="17" s="1"/>
  <c r="BZ297" i="6" s="1"/>
  <c r="U363" i="17"/>
  <c r="T363" i="17" s="1"/>
  <c r="S363" i="17" s="1"/>
  <c r="R363" i="17" s="1"/>
  <c r="P363" i="17" s="1"/>
  <c r="V363" i="17" s="1"/>
  <c r="F363" i="17" s="1"/>
  <c r="U143" i="17"/>
  <c r="T143" i="17" s="1"/>
  <c r="S143" i="17" s="1"/>
  <c r="R143" i="17" s="1"/>
  <c r="P143" i="17" s="1"/>
  <c r="V143" i="17" s="1"/>
  <c r="F143" i="17" s="1"/>
  <c r="G143" i="17" s="1"/>
  <c r="BZ143" i="6" s="1"/>
  <c r="U21" i="17"/>
  <c r="U270" i="17"/>
  <c r="T270" i="17" s="1"/>
  <c r="S270" i="17" s="1"/>
  <c r="R270" i="17" s="1"/>
  <c r="P270" i="17" s="1"/>
  <c r="V270" i="17" s="1"/>
  <c r="F270" i="17" s="1"/>
  <c r="G270" i="17" s="1"/>
  <c r="BZ270" i="6" s="1"/>
  <c r="U207" i="17"/>
  <c r="T207" i="17" s="1"/>
  <c r="S207" i="17" s="1"/>
  <c r="R207" i="17" s="1"/>
  <c r="P207" i="17" s="1"/>
  <c r="V207" i="17" s="1"/>
  <c r="F207" i="17" s="1"/>
  <c r="H207" i="17" s="1"/>
  <c r="U31" i="17"/>
  <c r="T31" i="17" s="1"/>
  <c r="S31" i="17" s="1"/>
  <c r="R31" i="17" s="1"/>
  <c r="P31" i="17" s="1"/>
  <c r="V31" i="17" s="1"/>
  <c r="F31" i="17" s="1"/>
  <c r="G31" i="17" s="1"/>
  <c r="BZ31" i="6" s="1"/>
  <c r="U39" i="17"/>
  <c r="T39" i="17" s="1"/>
  <c r="S39" i="17" s="1"/>
  <c r="R39" i="17" s="1"/>
  <c r="P39" i="17" s="1"/>
  <c r="V39" i="17" s="1"/>
  <c r="F39" i="17" s="1"/>
  <c r="G39" i="17" s="1"/>
  <c r="BZ39" i="6" s="1"/>
  <c r="U371" i="17"/>
  <c r="T371" i="17" s="1"/>
  <c r="S371" i="17" s="1"/>
  <c r="R371" i="17" s="1"/>
  <c r="P371" i="17" s="1"/>
  <c r="V371" i="17" s="1"/>
  <c r="F371" i="17" s="1"/>
  <c r="G371" i="17" s="1"/>
  <c r="BZ371" i="6" s="1"/>
  <c r="U56" i="17"/>
  <c r="T56" i="17" s="1"/>
  <c r="S56" i="17" s="1"/>
  <c r="R56" i="17" s="1"/>
  <c r="P56" i="17" s="1"/>
  <c r="V56" i="17" s="1"/>
  <c r="F56" i="17" s="1"/>
  <c r="U290" i="17"/>
  <c r="T290" i="17" s="1"/>
  <c r="S290" i="17" s="1"/>
  <c r="R290" i="17" s="1"/>
  <c r="P290" i="17" s="1"/>
  <c r="V290" i="17" s="1"/>
  <c r="F290" i="17" s="1"/>
  <c r="G290" i="17" s="1"/>
  <c r="BZ290" i="6" s="1"/>
  <c r="U206" i="17"/>
  <c r="T206" i="17" s="1"/>
  <c r="S206" i="17" s="1"/>
  <c r="R206" i="17" s="1"/>
  <c r="P206" i="17" s="1"/>
  <c r="V206" i="17" s="1"/>
  <c r="F206" i="17" s="1"/>
  <c r="G206" i="17" s="1"/>
  <c r="BZ206" i="6" s="1"/>
  <c r="U348" i="17"/>
  <c r="T348" i="17" s="1"/>
  <c r="S348" i="17" s="1"/>
  <c r="R348" i="17" s="1"/>
  <c r="P348" i="17" s="1"/>
  <c r="V348" i="17" s="1"/>
  <c r="F348" i="17" s="1"/>
  <c r="H348" i="17" s="1"/>
  <c r="U89" i="17"/>
  <c r="T89" i="17" s="1"/>
  <c r="S89" i="17" s="1"/>
  <c r="R89" i="17" s="1"/>
  <c r="P89" i="17" s="1"/>
  <c r="V89" i="17" s="1"/>
  <c r="F89" i="17" s="1"/>
  <c r="G89" i="17" s="1"/>
  <c r="BZ89" i="6" s="1"/>
  <c r="U92" i="17"/>
  <c r="T92" i="17" s="1"/>
  <c r="S92" i="17" s="1"/>
  <c r="R92" i="17" s="1"/>
  <c r="P92" i="17" s="1"/>
  <c r="V92" i="17" s="1"/>
  <c r="F92" i="17" s="1"/>
  <c r="G92" i="17" s="1"/>
  <c r="BZ92" i="6" s="1"/>
  <c r="U266" i="17"/>
  <c r="T266" i="17" s="1"/>
  <c r="S266" i="17" s="1"/>
  <c r="R266" i="17" s="1"/>
  <c r="P266" i="17" s="1"/>
  <c r="V266" i="17" s="1"/>
  <c r="F266" i="17" s="1"/>
  <c r="U345" i="17"/>
  <c r="T345" i="17" s="1"/>
  <c r="S345" i="17" s="1"/>
  <c r="R345" i="17" s="1"/>
  <c r="P345" i="17" s="1"/>
  <c r="V345" i="17" s="1"/>
  <c r="F345" i="17" s="1"/>
  <c r="G345" i="17" s="1"/>
  <c r="BZ345" i="6" s="1"/>
  <c r="U347" i="17"/>
  <c r="T347" i="17" s="1"/>
  <c r="S347" i="17" s="1"/>
  <c r="R347" i="17" s="1"/>
  <c r="P347" i="17" s="1"/>
  <c r="V347" i="17" s="1"/>
  <c r="F347" i="17" s="1"/>
  <c r="U294" i="17"/>
  <c r="T294" i="17" s="1"/>
  <c r="S294" i="17" s="1"/>
  <c r="R294" i="17" s="1"/>
  <c r="P294" i="17" s="1"/>
  <c r="V294" i="17" s="1"/>
  <c r="F294" i="17" s="1"/>
  <c r="G294" i="17" s="1"/>
  <c r="BZ294" i="6" s="1"/>
  <c r="U205" i="17"/>
  <c r="T205" i="17" s="1"/>
  <c r="S205" i="17" s="1"/>
  <c r="R205" i="17" s="1"/>
  <c r="P205" i="17" s="1"/>
  <c r="V205" i="17" s="1"/>
  <c r="F205" i="17" s="1"/>
  <c r="G205" i="17" s="1"/>
  <c r="BZ205" i="6" s="1"/>
  <c r="U271" i="17"/>
  <c r="T271" i="17" s="1"/>
  <c r="S271" i="17" s="1"/>
  <c r="R271" i="17" s="1"/>
  <c r="P271" i="17" s="1"/>
  <c r="V271" i="17" s="1"/>
  <c r="F271" i="17" s="1"/>
  <c r="G271" i="17" s="1"/>
  <c r="BZ271" i="6" s="1"/>
  <c r="Q364" i="18"/>
  <c r="Q350" i="18"/>
  <c r="Q263" i="18"/>
  <c r="Q176" i="18"/>
  <c r="Q118" i="18"/>
  <c r="Q191" i="18"/>
  <c r="AI235" i="17"/>
  <c r="AH235" i="17" s="1"/>
  <c r="AG235" i="17" s="1"/>
  <c r="AF235" i="17" s="1"/>
  <c r="AD235" i="17" s="1"/>
  <c r="AI183" i="17"/>
  <c r="AH183" i="17" s="1"/>
  <c r="AG183" i="17" s="1"/>
  <c r="AF183" i="17" s="1"/>
  <c r="AD183" i="17" s="1"/>
  <c r="AI236" i="17"/>
  <c r="AH236" i="17" s="1"/>
  <c r="AG236" i="17" s="1"/>
  <c r="AF236" i="17" s="1"/>
  <c r="AD236" i="17" s="1"/>
  <c r="AI106" i="17"/>
  <c r="AH106" i="17" s="1"/>
  <c r="AG106" i="17" s="1"/>
  <c r="AF106" i="17" s="1"/>
  <c r="AD106" i="17" s="1"/>
  <c r="AI247" i="17"/>
  <c r="AH247" i="17" s="1"/>
  <c r="AG247" i="17" s="1"/>
  <c r="AF247" i="17" s="1"/>
  <c r="AD247" i="17" s="1"/>
  <c r="AI16" i="17"/>
  <c r="AH16" i="17" s="1"/>
  <c r="AG16" i="17" s="1"/>
  <c r="AF16" i="17" s="1"/>
  <c r="AD16" i="17" s="1"/>
  <c r="AA16" i="17" s="1"/>
  <c r="Z16" i="17" s="1"/>
  <c r="Y16" i="17" s="1"/>
  <c r="AI230" i="17"/>
  <c r="AH230" i="17" s="1"/>
  <c r="AG230" i="17" s="1"/>
  <c r="AF230" i="17" s="1"/>
  <c r="AD230" i="17" s="1"/>
  <c r="AI161" i="17"/>
  <c r="AH161" i="17" s="1"/>
  <c r="AG161" i="17" s="1"/>
  <c r="AF161" i="17" s="1"/>
  <c r="AD161" i="17" s="1"/>
  <c r="AI303" i="17"/>
  <c r="AH303" i="17" s="1"/>
  <c r="AG303" i="17" s="1"/>
  <c r="AF303" i="17" s="1"/>
  <c r="AD303" i="17" s="1"/>
  <c r="AI138" i="17"/>
  <c r="AH138" i="17" s="1"/>
  <c r="AG138" i="17" s="1"/>
  <c r="AF138" i="17" s="1"/>
  <c r="AD138" i="17" s="1"/>
  <c r="AA138" i="17" s="1"/>
  <c r="Z138" i="17" s="1"/>
  <c r="Y138" i="17" s="1"/>
  <c r="AI233" i="17"/>
  <c r="AH233" i="17" s="1"/>
  <c r="AG233" i="17" s="1"/>
  <c r="AF233" i="17" s="1"/>
  <c r="AD233" i="17" s="1"/>
  <c r="AI20" i="17"/>
  <c r="AH20" i="17" s="1"/>
  <c r="AG20" i="17" s="1"/>
  <c r="AF20" i="17" s="1"/>
  <c r="AD20" i="17" s="1"/>
  <c r="AI375" i="17"/>
  <c r="AH375" i="17" s="1"/>
  <c r="AG375" i="17" s="1"/>
  <c r="AF375" i="17" s="1"/>
  <c r="AD375" i="17" s="1"/>
  <c r="AI340" i="17"/>
  <c r="AH340" i="17" s="1"/>
  <c r="AG340" i="17" s="1"/>
  <c r="AF340" i="17" s="1"/>
  <c r="AD340" i="17" s="1"/>
  <c r="AA340" i="17" s="1"/>
  <c r="Z340" i="17" s="1"/>
  <c r="Y340" i="17" s="1"/>
  <c r="AI314" i="17"/>
  <c r="AH314" i="17" s="1"/>
  <c r="AG314" i="17" s="1"/>
  <c r="AF314" i="17" s="1"/>
  <c r="AD314" i="17" s="1"/>
  <c r="AI279" i="17"/>
  <c r="AH279" i="17" s="1"/>
  <c r="AG279" i="17" s="1"/>
  <c r="AF279" i="17" s="1"/>
  <c r="AD279" i="17" s="1"/>
  <c r="AI104" i="17"/>
  <c r="AH104" i="17" s="1"/>
  <c r="AG104" i="17" s="1"/>
  <c r="AF104" i="17" s="1"/>
  <c r="AD104" i="17" s="1"/>
  <c r="AI70" i="17"/>
  <c r="AH70" i="17" s="1"/>
  <c r="AG70" i="17" s="1"/>
  <c r="AF70" i="17" s="1"/>
  <c r="AD70" i="17" s="1"/>
  <c r="AA70" i="17" s="1"/>
  <c r="Z70" i="17" s="1"/>
  <c r="Y70" i="17" s="1"/>
  <c r="AI274" i="17"/>
  <c r="AH274" i="17" s="1"/>
  <c r="AG274" i="17" s="1"/>
  <c r="AF274" i="17" s="1"/>
  <c r="AD274" i="17" s="1"/>
  <c r="AA274" i="17" s="1"/>
  <c r="Z274" i="17" s="1"/>
  <c r="Y274" i="17" s="1"/>
  <c r="AI31" i="17"/>
  <c r="AH31" i="17" s="1"/>
  <c r="AG31" i="17" s="1"/>
  <c r="AF31" i="17" s="1"/>
  <c r="AD31" i="17" s="1"/>
  <c r="AI295" i="17"/>
  <c r="AH295" i="17" s="1"/>
  <c r="AG295" i="17" s="1"/>
  <c r="AF295" i="17" s="1"/>
  <c r="AD295" i="17" s="1"/>
  <c r="AI341" i="17"/>
  <c r="AH341" i="17" s="1"/>
  <c r="AG341" i="17" s="1"/>
  <c r="AF341" i="17" s="1"/>
  <c r="AD341" i="17" s="1"/>
  <c r="AI99" i="17"/>
  <c r="AH99" i="17" s="1"/>
  <c r="AG99" i="17" s="1"/>
  <c r="AF99" i="17" s="1"/>
  <c r="AD99" i="17" s="1"/>
  <c r="AI197" i="17"/>
  <c r="AH197" i="17" s="1"/>
  <c r="AG197" i="17" s="1"/>
  <c r="AF197" i="17" s="1"/>
  <c r="AD197" i="17" s="1"/>
  <c r="AI96" i="17"/>
  <c r="AH96" i="17" s="1"/>
  <c r="AG96" i="17" s="1"/>
  <c r="AF96" i="17" s="1"/>
  <c r="AD96" i="17" s="1"/>
  <c r="AI237" i="17"/>
  <c r="AH237" i="17" s="1"/>
  <c r="AG237" i="17" s="1"/>
  <c r="AF237" i="17" s="1"/>
  <c r="AD237" i="17" s="1"/>
  <c r="AA237" i="17" s="1"/>
  <c r="Z237" i="17" s="1"/>
  <c r="Y237" i="17" s="1"/>
  <c r="AI78" i="17"/>
  <c r="AH78" i="17" s="1"/>
  <c r="AG78" i="17" s="1"/>
  <c r="AF78" i="17" s="1"/>
  <c r="AD78" i="17" s="1"/>
  <c r="AI208" i="17"/>
  <c r="AH208" i="17" s="1"/>
  <c r="AG208" i="17" s="1"/>
  <c r="AF208" i="17" s="1"/>
  <c r="AD208" i="17" s="1"/>
  <c r="AA208" i="17" s="1"/>
  <c r="Z208" i="17" s="1"/>
  <c r="Y208" i="17" s="1"/>
  <c r="AI350" i="17"/>
  <c r="AH350" i="17" s="1"/>
  <c r="AG350" i="17" s="1"/>
  <c r="AF350" i="17" s="1"/>
  <c r="AD350" i="17" s="1"/>
  <c r="AI109" i="17"/>
  <c r="AH109" i="17" s="1"/>
  <c r="AG109" i="17" s="1"/>
  <c r="AF109" i="17" s="1"/>
  <c r="AD109" i="17" s="1"/>
  <c r="AA109" i="17" s="1"/>
  <c r="Z109" i="17" s="1"/>
  <c r="Y109" i="17" s="1"/>
  <c r="AI149" i="17"/>
  <c r="AH149" i="17" s="1"/>
  <c r="AG149" i="17" s="1"/>
  <c r="AF149" i="17" s="1"/>
  <c r="AD149" i="17" s="1"/>
  <c r="AI156" i="17"/>
  <c r="AH156" i="17" s="1"/>
  <c r="AG156" i="17" s="1"/>
  <c r="AF156" i="17" s="1"/>
  <c r="AD156" i="17" s="1"/>
  <c r="AI97" i="17"/>
  <c r="AH97" i="17" s="1"/>
  <c r="AG97" i="17" s="1"/>
  <c r="AF97" i="17" s="1"/>
  <c r="AD97" i="17" s="1"/>
  <c r="AI194" i="17"/>
  <c r="AH194" i="17" s="1"/>
  <c r="AG194" i="17" s="1"/>
  <c r="AF194" i="17" s="1"/>
  <c r="AD194" i="17" s="1"/>
  <c r="AA194" i="17" s="1"/>
  <c r="Z194" i="17" s="1"/>
  <c r="Y194" i="17" s="1"/>
  <c r="AI42" i="17"/>
  <c r="AH42" i="17" s="1"/>
  <c r="AG42" i="17" s="1"/>
  <c r="AF42" i="17" s="1"/>
  <c r="AD42" i="17" s="1"/>
  <c r="AA42" i="17" s="1"/>
  <c r="Z42" i="17" s="1"/>
  <c r="Y42" i="17" s="1"/>
  <c r="AI342" i="17"/>
  <c r="AH342" i="17" s="1"/>
  <c r="AG342" i="17" s="1"/>
  <c r="AF342" i="17" s="1"/>
  <c r="AD342" i="17" s="1"/>
  <c r="AI337" i="17"/>
  <c r="AH337" i="17" s="1"/>
  <c r="AG337" i="17" s="1"/>
  <c r="AF337" i="17" s="1"/>
  <c r="AD337" i="17" s="1"/>
  <c r="AA337" i="17" s="1"/>
  <c r="Z337" i="17" s="1"/>
  <c r="Y337" i="17" s="1"/>
  <c r="AI268" i="17"/>
  <c r="AH268" i="17" s="1"/>
  <c r="AG268" i="17" s="1"/>
  <c r="AF268" i="17" s="1"/>
  <c r="AD268" i="17" s="1"/>
  <c r="AA268" i="17" s="1"/>
  <c r="Z268" i="17" s="1"/>
  <c r="Y268" i="17" s="1"/>
  <c r="AI245" i="17"/>
  <c r="AH245" i="17" s="1"/>
  <c r="AG245" i="17" s="1"/>
  <c r="AF245" i="17" s="1"/>
  <c r="AD245" i="17" s="1"/>
  <c r="AI91" i="17"/>
  <c r="AH91" i="17" s="1"/>
  <c r="AG91" i="17" s="1"/>
  <c r="AF91" i="17" s="1"/>
  <c r="AD91" i="17" s="1"/>
  <c r="AI23" i="17"/>
  <c r="AH23" i="17" s="1"/>
  <c r="AG23" i="17" s="1"/>
  <c r="AF23" i="17" s="1"/>
  <c r="AD23" i="17" s="1"/>
  <c r="AI262" i="17"/>
  <c r="AH262" i="17" s="1"/>
  <c r="AG262" i="17" s="1"/>
  <c r="AF262" i="17" s="1"/>
  <c r="AD262" i="17" s="1"/>
  <c r="AI32" i="17"/>
  <c r="AH32" i="17" s="1"/>
  <c r="AG32" i="17" s="1"/>
  <c r="AF32" i="17" s="1"/>
  <c r="AD32" i="17" s="1"/>
  <c r="AI264" i="17"/>
  <c r="AH264" i="17" s="1"/>
  <c r="AG264" i="17" s="1"/>
  <c r="AF264" i="17" s="1"/>
  <c r="AD264" i="17" s="1"/>
  <c r="AI305" i="17"/>
  <c r="AH305" i="17" s="1"/>
  <c r="AG305" i="17" s="1"/>
  <c r="AF305" i="17" s="1"/>
  <c r="AD305" i="17" s="1"/>
  <c r="AI85" i="17"/>
  <c r="AH85" i="17" s="1"/>
  <c r="AG85" i="17" s="1"/>
  <c r="AF85" i="17" s="1"/>
  <c r="AD85" i="17" s="1"/>
  <c r="AI207" i="17"/>
  <c r="AH207" i="17" s="1"/>
  <c r="AG207" i="17" s="1"/>
  <c r="AF207" i="17" s="1"/>
  <c r="AD207" i="17" s="1"/>
  <c r="AI74" i="17"/>
  <c r="AH74" i="17" s="1"/>
  <c r="AG74" i="17" s="1"/>
  <c r="AF74" i="17" s="1"/>
  <c r="AD74" i="17" s="1"/>
  <c r="AI206" i="17"/>
  <c r="AH206" i="17" s="1"/>
  <c r="AG206" i="17" s="1"/>
  <c r="AF206" i="17" s="1"/>
  <c r="AD206" i="17" s="1"/>
  <c r="AI80" i="17"/>
  <c r="AH80" i="17" s="1"/>
  <c r="AG80" i="17" s="1"/>
  <c r="AF80" i="17" s="1"/>
  <c r="AD80" i="17" s="1"/>
  <c r="AI202" i="17"/>
  <c r="AH202" i="17" s="1"/>
  <c r="AG202" i="17" s="1"/>
  <c r="AF202" i="17" s="1"/>
  <c r="AD202" i="17" s="1"/>
  <c r="AI254" i="17"/>
  <c r="AH254" i="17" s="1"/>
  <c r="AG254" i="17" s="1"/>
  <c r="AF254" i="17" s="1"/>
  <c r="AD254" i="17" s="1"/>
  <c r="AI69" i="17"/>
  <c r="AH69" i="17" s="1"/>
  <c r="AG69" i="17" s="1"/>
  <c r="AF69" i="17" s="1"/>
  <c r="AD69" i="17" s="1"/>
  <c r="AI120" i="17"/>
  <c r="AH120" i="17" s="1"/>
  <c r="AG120" i="17" s="1"/>
  <c r="AF120" i="17" s="1"/>
  <c r="AD120" i="17" s="1"/>
  <c r="AA120" i="17" s="1"/>
  <c r="Z120" i="17" s="1"/>
  <c r="Y120" i="17" s="1"/>
  <c r="AI107" i="17"/>
  <c r="AH107" i="17" s="1"/>
  <c r="AG107" i="17" s="1"/>
  <c r="AF107" i="17" s="1"/>
  <c r="AD107" i="17" s="1"/>
  <c r="AI65" i="17"/>
  <c r="AH65" i="17" s="1"/>
  <c r="AG65" i="17" s="1"/>
  <c r="AF65" i="17" s="1"/>
  <c r="AD65" i="17" s="1"/>
  <c r="AI195" i="17"/>
  <c r="AH195" i="17" s="1"/>
  <c r="AG195" i="17" s="1"/>
  <c r="AF195" i="17" s="1"/>
  <c r="AD195" i="17" s="1"/>
  <c r="AI365" i="17"/>
  <c r="AH365" i="17" s="1"/>
  <c r="AG365" i="17" s="1"/>
  <c r="AF365" i="17" s="1"/>
  <c r="AD365" i="17" s="1"/>
  <c r="AI311" i="17"/>
  <c r="AH311" i="17" s="1"/>
  <c r="AG311" i="17" s="1"/>
  <c r="AF311" i="17" s="1"/>
  <c r="AD311" i="17" s="1"/>
  <c r="AA311" i="17" s="1"/>
  <c r="Z311" i="17" s="1"/>
  <c r="Y311" i="17" s="1"/>
  <c r="AI301" i="17"/>
  <c r="AH301" i="17" s="1"/>
  <c r="AG301" i="17" s="1"/>
  <c r="AF301" i="17" s="1"/>
  <c r="AD301" i="17" s="1"/>
  <c r="AI227" i="17"/>
  <c r="AH227" i="17" s="1"/>
  <c r="AG227" i="17" s="1"/>
  <c r="AF227" i="17" s="1"/>
  <c r="AD227" i="17" s="1"/>
  <c r="AI310" i="17"/>
  <c r="AH310" i="17" s="1"/>
  <c r="AG310" i="17" s="1"/>
  <c r="AF310" i="17" s="1"/>
  <c r="AD310" i="17" s="1"/>
  <c r="AI72" i="17"/>
  <c r="AH72" i="17" s="1"/>
  <c r="AG72" i="17" s="1"/>
  <c r="AF72" i="17" s="1"/>
  <c r="AD72" i="17" s="1"/>
  <c r="AI357" i="17"/>
  <c r="AH357" i="17" s="1"/>
  <c r="AG357" i="17" s="1"/>
  <c r="AF357" i="17" s="1"/>
  <c r="AD357" i="17" s="1"/>
  <c r="AI223" i="17"/>
  <c r="AH223" i="17" s="1"/>
  <c r="AG223" i="17" s="1"/>
  <c r="AF223" i="17" s="1"/>
  <c r="AD223" i="17" s="1"/>
  <c r="AI364" i="17"/>
  <c r="AH364" i="17" s="1"/>
  <c r="AG364" i="17" s="1"/>
  <c r="AF364" i="17" s="1"/>
  <c r="AD364" i="17" s="1"/>
  <c r="AI266" i="17"/>
  <c r="AH266" i="17" s="1"/>
  <c r="AG266" i="17" s="1"/>
  <c r="AF266" i="17" s="1"/>
  <c r="AD266" i="17" s="1"/>
  <c r="AI294" i="17"/>
  <c r="AH294" i="17" s="1"/>
  <c r="AG294" i="17" s="1"/>
  <c r="AF294" i="17" s="1"/>
  <c r="AD294" i="17" s="1"/>
  <c r="AI73" i="17"/>
  <c r="AH73" i="17" s="1"/>
  <c r="AG73" i="17" s="1"/>
  <c r="AF73" i="17" s="1"/>
  <c r="AD73" i="17" s="1"/>
  <c r="AI158" i="17"/>
  <c r="AH158" i="17" s="1"/>
  <c r="AG158" i="17" s="1"/>
  <c r="AF158" i="17" s="1"/>
  <c r="AD158" i="17" s="1"/>
  <c r="AA158" i="17" s="1"/>
  <c r="Z158" i="17" s="1"/>
  <c r="Y158" i="17" s="1"/>
  <c r="AI39" i="17"/>
  <c r="AH39" i="17" s="1"/>
  <c r="AG39" i="17" s="1"/>
  <c r="AF39" i="17" s="1"/>
  <c r="AD39" i="17" s="1"/>
  <c r="AI87" i="17"/>
  <c r="AH87" i="17" s="1"/>
  <c r="AG87" i="17" s="1"/>
  <c r="AF87" i="17" s="1"/>
  <c r="AD87" i="17" s="1"/>
  <c r="AA87" i="17" s="1"/>
  <c r="Z87" i="17" s="1"/>
  <c r="Y87" i="17" s="1"/>
  <c r="AI43" i="17"/>
  <c r="AH43" i="17" s="1"/>
  <c r="AG43" i="17" s="1"/>
  <c r="AF43" i="17" s="1"/>
  <c r="AD43" i="17" s="1"/>
  <c r="AI163" i="17"/>
  <c r="AH163" i="17" s="1"/>
  <c r="AG163" i="17" s="1"/>
  <c r="AF163" i="17" s="1"/>
  <c r="AD163" i="17" s="1"/>
  <c r="AA163" i="17" s="1"/>
  <c r="Z163" i="17" s="1"/>
  <c r="Y163" i="17" s="1"/>
  <c r="AI211" i="17"/>
  <c r="AH211" i="17" s="1"/>
  <c r="AG211" i="17" s="1"/>
  <c r="AF211" i="17" s="1"/>
  <c r="AD211" i="17" s="1"/>
  <c r="AI38" i="17"/>
  <c r="AH38" i="17" s="1"/>
  <c r="AG38" i="17" s="1"/>
  <c r="AF38" i="17" s="1"/>
  <c r="AD38" i="17" s="1"/>
  <c r="AA38" i="17" s="1"/>
  <c r="Z38" i="17" s="1"/>
  <c r="Y38" i="17" s="1"/>
  <c r="AI110" i="17"/>
  <c r="AH110" i="17" s="1"/>
  <c r="AG110" i="17" s="1"/>
  <c r="AF110" i="17" s="1"/>
  <c r="AD110" i="17" s="1"/>
  <c r="AA110" i="17" s="1"/>
  <c r="Z110" i="17" s="1"/>
  <c r="Y110" i="17" s="1"/>
  <c r="AI61" i="17"/>
  <c r="AH61" i="17" s="1"/>
  <c r="AG61" i="17" s="1"/>
  <c r="AF61" i="17" s="1"/>
  <c r="AD61" i="17" s="1"/>
  <c r="AA61" i="17" s="1"/>
  <c r="Z61" i="17" s="1"/>
  <c r="Y61" i="17" s="1"/>
  <c r="AI40" i="17"/>
  <c r="AH40" i="17" s="1"/>
  <c r="AG40" i="17" s="1"/>
  <c r="AF40" i="17" s="1"/>
  <c r="AD40" i="17" s="1"/>
  <c r="AI159" i="17"/>
  <c r="AH159" i="17" s="1"/>
  <c r="AG159" i="17" s="1"/>
  <c r="AF159" i="17" s="1"/>
  <c r="AD159" i="17" s="1"/>
  <c r="AI323" i="17"/>
  <c r="AH323" i="17" s="1"/>
  <c r="AG323" i="17" s="1"/>
  <c r="AF323" i="17" s="1"/>
  <c r="AD323" i="17" s="1"/>
  <c r="AA323" i="17" s="1"/>
  <c r="Z323" i="17" s="1"/>
  <c r="Y323" i="17" s="1"/>
  <c r="AI166" i="17"/>
  <c r="AH166" i="17" s="1"/>
  <c r="AG166" i="17" s="1"/>
  <c r="AF166" i="17" s="1"/>
  <c r="AD166" i="17" s="1"/>
  <c r="AA166" i="17" s="1"/>
  <c r="AI300" i="17"/>
  <c r="AH300" i="17" s="1"/>
  <c r="AG300" i="17" s="1"/>
  <c r="AF300" i="17" s="1"/>
  <c r="AD300" i="17" s="1"/>
  <c r="AA300" i="17" s="1"/>
  <c r="Z300" i="17" s="1"/>
  <c r="Y300" i="17" s="1"/>
  <c r="AI370" i="17"/>
  <c r="AH370" i="17" s="1"/>
  <c r="AG370" i="17" s="1"/>
  <c r="AF370" i="17" s="1"/>
  <c r="AD370" i="17" s="1"/>
  <c r="AI171" i="17"/>
  <c r="AH171" i="17" s="1"/>
  <c r="AG171" i="17" s="1"/>
  <c r="AF171" i="17" s="1"/>
  <c r="AD171" i="17" s="1"/>
  <c r="AI271" i="17"/>
  <c r="AH271" i="17" s="1"/>
  <c r="AG271" i="17" s="1"/>
  <c r="AF271" i="17" s="1"/>
  <c r="AD271" i="17" s="1"/>
  <c r="AA271" i="17" s="1"/>
  <c r="Z271" i="17" s="1"/>
  <c r="Y271" i="17" s="1"/>
  <c r="AI217" i="17"/>
  <c r="AH217" i="17" s="1"/>
  <c r="AG217" i="17" s="1"/>
  <c r="AF217" i="17" s="1"/>
  <c r="AD217" i="17" s="1"/>
  <c r="AC326" i="22"/>
  <c r="AC225" i="22"/>
  <c r="AC353" i="22"/>
  <c r="AC253" i="22"/>
  <c r="AC272" i="22"/>
  <c r="AC174" i="22"/>
  <c r="AC345" i="22"/>
  <c r="AC348" i="22"/>
  <c r="AC179" i="22"/>
  <c r="AC252" i="22"/>
  <c r="AC197" i="22"/>
  <c r="AC366" i="22"/>
  <c r="AC372" i="22"/>
  <c r="AC193" i="22"/>
  <c r="AC233" i="22"/>
  <c r="AC313" i="22"/>
  <c r="AC309" i="22"/>
  <c r="AC239" i="22"/>
  <c r="AC140" i="22"/>
  <c r="AC135" i="22"/>
  <c r="AC266" i="22"/>
  <c r="AC136" i="22"/>
  <c r="AC240" i="22"/>
  <c r="AC232" i="22"/>
  <c r="AC184" i="22"/>
  <c r="AC332" i="22"/>
  <c r="AC312" i="22"/>
  <c r="AC181" i="22"/>
  <c r="AC342" i="22"/>
  <c r="AC180" i="22"/>
  <c r="AC235" i="22"/>
  <c r="AC274" i="22"/>
  <c r="AC231" i="22"/>
  <c r="AC301" i="22"/>
  <c r="AC361" i="22"/>
  <c r="AC377" i="22"/>
  <c r="AC163" i="22"/>
  <c r="AC147" i="22"/>
  <c r="AC210" i="22"/>
  <c r="AC331" i="22"/>
  <c r="AC183" i="22"/>
  <c r="AC192" i="22"/>
  <c r="AC230" i="22"/>
  <c r="AC176" i="22"/>
  <c r="AC189" i="22"/>
  <c r="AC302" i="22"/>
  <c r="AC338" i="22"/>
  <c r="AC316" i="22"/>
  <c r="AC148" i="22"/>
  <c r="AC220" i="22"/>
  <c r="AC293" i="22"/>
  <c r="AC318" i="22"/>
  <c r="AC142" i="22"/>
  <c r="AC238" i="22"/>
  <c r="AC255" i="22"/>
  <c r="AC173" i="22"/>
  <c r="AC311" i="22"/>
  <c r="AC153" i="22"/>
  <c r="AC154" i="22"/>
  <c r="AC243" i="22"/>
  <c r="AC336" i="22"/>
  <c r="AC334" i="22"/>
  <c r="AC201" i="22"/>
  <c r="AC351" i="22"/>
  <c r="AC370" i="22"/>
  <c r="AC285" i="22"/>
  <c r="AC314" i="22"/>
  <c r="AC143" i="22"/>
  <c r="AC324" i="22"/>
  <c r="AC228" i="22"/>
  <c r="AC152" i="22"/>
  <c r="AC294" i="22"/>
  <c r="AC139" i="22"/>
  <c r="AC175" i="22"/>
  <c r="AC367" i="22"/>
  <c r="AC202" i="22"/>
  <c r="AC265" i="22"/>
  <c r="AC217" i="22"/>
  <c r="AC310" i="22"/>
  <c r="AC144" i="22"/>
  <c r="AC286" i="22"/>
  <c r="AC288" i="22"/>
  <c r="AC149" i="22"/>
  <c r="AC304" i="22"/>
  <c r="AC295" i="22"/>
  <c r="AC141" i="22"/>
  <c r="AC287" i="22"/>
  <c r="AC330" i="22"/>
  <c r="AC306" i="22"/>
  <c r="AC282" i="22"/>
  <c r="AC371" i="22"/>
  <c r="AC375" i="22"/>
  <c r="AC209" i="22"/>
  <c r="AC206" i="22"/>
  <c r="AC216" i="22"/>
  <c r="AC320" i="22"/>
  <c r="AC226" i="22"/>
  <c r="AC162" i="22"/>
  <c r="AC321" i="22"/>
  <c r="AC188" i="22"/>
  <c r="AC199" i="22"/>
  <c r="AC185" i="22"/>
  <c r="AC161" i="22"/>
  <c r="AC300" i="22"/>
  <c r="AC249" i="22"/>
  <c r="AC269" i="22"/>
  <c r="AC259" i="22"/>
  <c r="AC186" i="22"/>
  <c r="AC299" i="22"/>
  <c r="AC378" i="22"/>
  <c r="AC343" i="22"/>
  <c r="AC194" i="22"/>
  <c r="AC292" i="22"/>
  <c r="AC260" i="22"/>
  <c r="AC358" i="22"/>
  <c r="AC325" i="22"/>
  <c r="AC356" i="22"/>
  <c r="AC151" i="22"/>
  <c r="AC211" i="22"/>
  <c r="AC165" i="22"/>
  <c r="AC270" i="22"/>
  <c r="AC341" i="22"/>
  <c r="AC219" i="22"/>
  <c r="AC267" i="22"/>
  <c r="AC242" i="22"/>
  <c r="AC305" i="22"/>
  <c r="AC218" i="22"/>
  <c r="AC319" i="22"/>
  <c r="AC166" i="22"/>
  <c r="AC221" i="22"/>
  <c r="AC248" i="22"/>
  <c r="AC196" i="22"/>
  <c r="AC145" i="22"/>
  <c r="AC257" i="22"/>
  <c r="AC241" i="22"/>
  <c r="AC205" i="22"/>
  <c r="AC317" i="22"/>
  <c r="AC268" i="22"/>
  <c r="AC279" i="22"/>
  <c r="AC335" i="22"/>
  <c r="AC187" i="22"/>
  <c r="AC379" i="22"/>
  <c r="AC349" i="22"/>
  <c r="AC261" i="22"/>
  <c r="AC290" i="22"/>
  <c r="AC251" i="22"/>
  <c r="AC168" i="22"/>
  <c r="AC222" i="22"/>
  <c r="AC333" i="22"/>
  <c r="AC204" i="22"/>
  <c r="AC360" i="22"/>
  <c r="AC190" i="22"/>
  <c r="AC203" i="22"/>
  <c r="AC250" i="22"/>
  <c r="AC355" i="22"/>
  <c r="AC170" i="22"/>
  <c r="AC303" i="22"/>
  <c r="AC323" i="22"/>
  <c r="AC247" i="22"/>
  <c r="AC278" i="22"/>
  <c r="AC373" i="22"/>
  <c r="AC328" i="22"/>
  <c r="AC297" i="22"/>
  <c r="AC215" i="22"/>
  <c r="AC182" i="22"/>
  <c r="AC283" i="22"/>
  <c r="AC298" i="22"/>
  <c r="AC281" i="22"/>
  <c r="AC276" i="22"/>
  <c r="AC322" i="22"/>
  <c r="AC207" i="22"/>
  <c r="AC296" i="22"/>
  <c r="AC357" i="22"/>
  <c r="AC376" i="22"/>
  <c r="AC156" i="22"/>
  <c r="AC244" i="22"/>
  <c r="AC160" i="22"/>
  <c r="AC236" i="22"/>
  <c r="AC258" i="22"/>
  <c r="AC359" i="22"/>
  <c r="AC212" i="22"/>
  <c r="AC354" i="22"/>
  <c r="AC227" i="22"/>
  <c r="AC178" i="22"/>
  <c r="AC339" i="22"/>
  <c r="AC237" i="22"/>
  <c r="AC327" i="22"/>
  <c r="AC347" i="22"/>
  <c r="AC263" i="22"/>
  <c r="AC346" i="22"/>
  <c r="AC171" i="22"/>
  <c r="AC262" i="22"/>
  <c r="AC315" i="22"/>
  <c r="AC289" i="22"/>
  <c r="AC146" i="22"/>
  <c r="AC214" i="22"/>
  <c r="AC234" i="22"/>
  <c r="AC364" i="22"/>
  <c r="AC350" i="22"/>
  <c r="AC308" i="22"/>
  <c r="AC167" i="22"/>
  <c r="AC369" i="22"/>
  <c r="AC380" i="22"/>
  <c r="AC365" i="22"/>
  <c r="AC138" i="22"/>
  <c r="AC363" i="22"/>
  <c r="AC198" i="22"/>
  <c r="AC307" i="22"/>
  <c r="AC352" i="22"/>
  <c r="AC254" i="22"/>
  <c r="AC246" i="22"/>
  <c r="AC164" i="22"/>
  <c r="AC271" i="22"/>
  <c r="AC150" i="22"/>
  <c r="AC224" i="22"/>
  <c r="AC362" i="22"/>
  <c r="AC280" i="22"/>
  <c r="AC374" i="22"/>
  <c r="AC158" i="22"/>
  <c r="AC223" i="22"/>
  <c r="AC208" i="22"/>
  <c r="AC340" i="22"/>
  <c r="AC137" i="22"/>
  <c r="AC264" i="22"/>
  <c r="AC159" i="22"/>
  <c r="AC245" i="22"/>
  <c r="AC213" i="22"/>
  <c r="AC157" i="22"/>
  <c r="AC256" i="22"/>
  <c r="AC344" i="22"/>
  <c r="AC275" i="22"/>
  <c r="AC172" i="22"/>
  <c r="AC273" i="22"/>
  <c r="AC329" i="22"/>
  <c r="AC229" i="22"/>
  <c r="AC195" i="22"/>
  <c r="AC337" i="22"/>
  <c r="AC284" i="22"/>
  <c r="AC155" i="22"/>
  <c r="AC169" i="22"/>
  <c r="AC191" i="22"/>
  <c r="AC177" i="22"/>
  <c r="AC368" i="22"/>
  <c r="AC277" i="22"/>
  <c r="AC200" i="22"/>
  <c r="Q250" i="18"/>
  <c r="Q332" i="18"/>
  <c r="Q325" i="18"/>
  <c r="Q245" i="18"/>
  <c r="Q105" i="18"/>
  <c r="Q232" i="18"/>
  <c r="Q184" i="18"/>
  <c r="Q370" i="18"/>
  <c r="Q231" i="18"/>
  <c r="Q253" i="18"/>
  <c r="Q165" i="18"/>
  <c r="O52" i="22"/>
  <c r="O191" i="22"/>
  <c r="O358" i="22"/>
  <c r="O110" i="22"/>
  <c r="O220" i="22"/>
  <c r="O339" i="22"/>
  <c r="O90" i="22"/>
  <c r="O241" i="22"/>
  <c r="AG39" i="7" s="1"/>
  <c r="O350" i="22"/>
  <c r="O142" i="22"/>
  <c r="O252" i="22"/>
  <c r="O364" i="22"/>
  <c r="O86" i="22"/>
  <c r="O234" i="22"/>
  <c r="O348" i="22"/>
  <c r="O103" i="22"/>
  <c r="O268" i="22"/>
  <c r="O342" i="22"/>
  <c r="O116" i="22"/>
  <c r="O246" i="22"/>
  <c r="O356" i="22"/>
  <c r="O102" i="22"/>
  <c r="O283" i="22"/>
  <c r="O369" i="22"/>
  <c r="O117" i="22"/>
  <c r="O271" i="22"/>
  <c r="O32" i="22"/>
  <c r="O140" i="22"/>
  <c r="O294" i="22"/>
  <c r="AM13" i="7"/>
  <c r="AS10" i="7" s="1"/>
  <c r="O145" i="22"/>
  <c r="O324" i="22"/>
  <c r="O60" i="22"/>
  <c r="AG33" i="7" s="1"/>
  <c r="O203" i="22"/>
  <c r="O269" i="22"/>
  <c r="O66" i="22"/>
  <c r="O218" i="22"/>
  <c r="O331" i="22"/>
  <c r="O136" i="22"/>
  <c r="O254" i="22"/>
  <c r="O359" i="22"/>
  <c r="O131" i="22"/>
  <c r="O224" i="22"/>
  <c r="O55" i="22"/>
  <c r="O183" i="22"/>
  <c r="O244" i="22"/>
  <c r="O106" i="22"/>
  <c r="O18" i="22"/>
  <c r="O307" i="22"/>
  <c r="O121" i="22"/>
  <c r="O49" i="22"/>
  <c r="O217" i="22"/>
  <c r="O113" i="22"/>
  <c r="O64" i="22"/>
  <c r="O230" i="22"/>
  <c r="O166" i="22"/>
  <c r="O17" i="22"/>
  <c r="O259" i="22"/>
  <c r="O240" i="22"/>
  <c r="O108" i="22"/>
  <c r="O346" i="22"/>
  <c r="O284" i="22"/>
  <c r="O164" i="22"/>
  <c r="O59" i="22"/>
  <c r="O362" i="22"/>
  <c r="O231" i="22"/>
  <c r="O95" i="22"/>
  <c r="O347" i="22"/>
  <c r="O273" i="22"/>
  <c r="O146" i="22"/>
  <c r="O33" i="22"/>
  <c r="O257" i="22"/>
  <c r="O184" i="22"/>
  <c r="O71" i="22"/>
  <c r="O278" i="22"/>
  <c r="O179" i="22"/>
  <c r="O92" i="22"/>
  <c r="O292" i="22"/>
  <c r="O275" i="22"/>
  <c r="O127" i="22"/>
  <c r="O31" i="22"/>
  <c r="O310" i="22"/>
  <c r="O180" i="22"/>
  <c r="AG37" i="7" s="1"/>
  <c r="O35" i="22"/>
  <c r="O253" i="22"/>
  <c r="O133" i="22"/>
  <c r="O48" i="22"/>
  <c r="O222" i="22"/>
  <c r="O156" i="22"/>
  <c r="O56" i="22"/>
  <c r="O256" i="22"/>
  <c r="O155" i="22"/>
  <c r="O75" i="22"/>
  <c r="O267" i="22"/>
  <c r="O177" i="22"/>
  <c r="O69" i="22"/>
  <c r="O290" i="22"/>
  <c r="O192" i="22"/>
  <c r="O98" i="22"/>
  <c r="O323" i="22"/>
  <c r="O205" i="22"/>
  <c r="O132" i="22"/>
  <c r="O357" i="22"/>
  <c r="O250" i="22"/>
  <c r="O182" i="22"/>
  <c r="O40" i="22"/>
  <c r="O373" i="22"/>
  <c r="O243" i="22"/>
  <c r="O286" i="22"/>
  <c r="O378" i="22"/>
  <c r="O158" i="22"/>
  <c r="O225" i="22"/>
  <c r="O22" i="22"/>
  <c r="O199" i="22"/>
  <c r="O375" i="22"/>
  <c r="O94" i="22"/>
  <c r="O232" i="22"/>
  <c r="O101" i="22"/>
  <c r="O235" i="22"/>
  <c r="O345" i="22"/>
  <c r="O187" i="22"/>
  <c r="O313" i="22"/>
  <c r="O38" i="22"/>
  <c r="O178" i="22"/>
  <c r="O19" i="22"/>
  <c r="O82" i="22"/>
  <c r="O321" i="22"/>
  <c r="O62" i="22"/>
  <c r="O298" i="22"/>
  <c r="O249" i="22"/>
  <c r="O150" i="22"/>
  <c r="O333" i="22"/>
  <c r="AG42" i="7" s="1"/>
  <c r="O304" i="22"/>
  <c r="O141" i="22"/>
  <c r="O93" i="22"/>
  <c r="O255" i="22"/>
  <c r="O355" i="22"/>
  <c r="O89" i="22"/>
  <c r="O285" i="22"/>
  <c r="O334" i="22"/>
  <c r="O143" i="22"/>
  <c r="O306" i="22"/>
  <c r="O27" i="22"/>
  <c r="O135" i="22"/>
  <c r="O300" i="22"/>
  <c r="O380" i="22"/>
  <c r="O130" i="22"/>
  <c r="O305" i="22"/>
  <c r="O44" i="22"/>
  <c r="O163" i="22"/>
  <c r="O316" i="22"/>
  <c r="O30" i="22"/>
  <c r="O134" i="22"/>
  <c r="O314" i="22"/>
  <c r="O42" i="22"/>
  <c r="O162" i="22"/>
  <c r="O226" i="22"/>
  <c r="O29" i="22"/>
  <c r="AG32" i="7" s="1"/>
  <c r="O124" i="22"/>
  <c r="O239" i="22"/>
  <c r="O51" i="22"/>
  <c r="O201" i="22"/>
  <c r="O233" i="22"/>
  <c r="O47" i="22"/>
  <c r="O165" i="22"/>
  <c r="O299" i="22"/>
  <c r="O80" i="22"/>
  <c r="O211" i="22"/>
  <c r="O351" i="22"/>
  <c r="O112" i="22"/>
  <c r="O277" i="22"/>
  <c r="O24" i="22"/>
  <c r="O118" i="22"/>
  <c r="O302" i="22"/>
  <c r="AG41" i="7" s="1"/>
  <c r="O361" i="22"/>
  <c r="O195" i="22"/>
  <c r="O303" i="22"/>
  <c r="O72" i="22"/>
  <c r="O186" i="22"/>
  <c r="O309" i="22"/>
  <c r="O167" i="22"/>
  <c r="O87" i="22"/>
  <c r="O308" i="22"/>
  <c r="O214" i="22"/>
  <c r="O115" i="22"/>
  <c r="O338" i="22"/>
  <c r="O202" i="22"/>
  <c r="O147" i="22"/>
  <c r="O370" i="22"/>
  <c r="O223" i="22"/>
  <c r="O137" i="22"/>
  <c r="O329" i="22"/>
  <c r="O297" i="22"/>
  <c r="O171" i="22"/>
  <c r="O65" i="22"/>
  <c r="O336" i="22"/>
  <c r="O238" i="22"/>
  <c r="O144" i="22"/>
  <c r="O46" i="22"/>
  <c r="O216" i="22"/>
  <c r="O153" i="22"/>
  <c r="O34" i="22"/>
  <c r="O274" i="22"/>
  <c r="O209" i="22"/>
  <c r="O138" i="22"/>
  <c r="O365" i="22"/>
  <c r="O266" i="22"/>
  <c r="O107" i="22"/>
  <c r="O340" i="22"/>
  <c r="O265" i="22"/>
  <c r="O128" i="22"/>
  <c r="O67" i="22"/>
  <c r="O320" i="22"/>
  <c r="O207" i="22"/>
  <c r="O37" i="22"/>
  <c r="O371" i="22"/>
  <c r="O237" i="22"/>
  <c r="O99" i="22"/>
  <c r="O337" i="22"/>
  <c r="O287" i="22"/>
  <c r="O173" i="22"/>
  <c r="O68" i="22"/>
  <c r="O276" i="22"/>
  <c r="O188" i="22"/>
  <c r="O97" i="22"/>
  <c r="O344" i="22"/>
  <c r="O215" i="22"/>
  <c r="O20" i="22"/>
  <c r="O193" i="22"/>
  <c r="O272" i="22"/>
  <c r="AG40" i="7" s="1"/>
  <c r="O28" i="22"/>
  <c r="O169" i="22"/>
  <c r="O332" i="22"/>
  <c r="O77" i="22"/>
  <c r="O263" i="22"/>
  <c r="O57" i="22"/>
  <c r="O210" i="22"/>
  <c r="AG38" i="7" s="1"/>
  <c r="O367" i="22"/>
  <c r="O228" i="22"/>
  <c r="O196" i="22"/>
  <c r="O96" i="22"/>
  <c r="O45" i="22"/>
  <c r="O349" i="22"/>
  <c r="O258" i="22"/>
  <c r="O161" i="22"/>
  <c r="O152" i="22"/>
  <c r="O53" i="22"/>
  <c r="O172" i="22"/>
  <c r="O366" i="22"/>
  <c r="O119" i="22"/>
  <c r="AG35" i="7" s="1"/>
  <c r="O213" i="22"/>
  <c r="O23" i="22"/>
  <c r="O279" i="22"/>
  <c r="O160" i="22"/>
  <c r="O61" i="22"/>
  <c r="O360" i="22"/>
  <c r="O198" i="22"/>
  <c r="O58" i="22"/>
  <c r="O343" i="22"/>
  <c r="O212" i="22"/>
  <c r="O85" i="22"/>
  <c r="O363" i="22"/>
  <c r="AG43" i="7" s="1"/>
  <c r="O236" i="22"/>
  <c r="O79" i="22"/>
  <c r="O341" i="22"/>
  <c r="O248" i="22"/>
  <c r="O111" i="22"/>
  <c r="O15" i="22"/>
  <c r="O318" i="22"/>
  <c r="O200" i="22"/>
  <c r="O81" i="22"/>
  <c r="O315" i="22"/>
  <c r="O264" i="22"/>
  <c r="O114" i="22"/>
  <c r="O41" i="22"/>
  <c r="O197" i="22"/>
  <c r="O325" i="22"/>
  <c r="O74" i="22"/>
  <c r="O242" i="22"/>
  <c r="O330" i="22"/>
  <c r="O157" i="22"/>
  <c r="O270" i="22"/>
  <c r="O100" i="22"/>
  <c r="O322" i="22"/>
  <c r="O16" i="22"/>
  <c r="O154" i="22"/>
  <c r="O326" i="22"/>
  <c r="O120" i="22"/>
  <c r="O281" i="22"/>
  <c r="O379" i="22"/>
  <c r="C41" i="19" s="1"/>
  <c r="O170" i="22"/>
  <c r="O327" i="22"/>
  <c r="O129" i="22"/>
  <c r="O229" i="22"/>
  <c r="O26" i="22"/>
  <c r="O168" i="22"/>
  <c r="O353" i="22"/>
  <c r="O159" i="22"/>
  <c r="O291" i="22"/>
  <c r="O206" i="22"/>
  <c r="O296" i="22"/>
  <c r="O208" i="22"/>
  <c r="O139" i="22"/>
  <c r="O126" i="22"/>
  <c r="O21" i="22"/>
  <c r="O280" i="22"/>
  <c r="O43" i="22"/>
  <c r="O311" i="22"/>
  <c r="O174" i="22"/>
  <c r="O282" i="22"/>
  <c r="O176" i="22"/>
  <c r="O190" i="22"/>
  <c r="O319" i="22"/>
  <c r="O122" i="22"/>
  <c r="O194" i="22"/>
  <c r="O354" i="22"/>
  <c r="O149" i="22"/>
  <c r="AG36" i="7" s="1"/>
  <c r="O251" i="22"/>
  <c r="O50" i="22"/>
  <c r="O204" i="22"/>
  <c r="O377" i="22"/>
  <c r="O312" i="22"/>
  <c r="O221" i="22"/>
  <c r="O105" i="22"/>
  <c r="O73" i="22"/>
  <c r="O372" i="22"/>
  <c r="O260" i="22"/>
  <c r="O262" i="22"/>
  <c r="O104" i="22"/>
  <c r="O84" i="22"/>
  <c r="O352" i="22"/>
  <c r="O295" i="22"/>
  <c r="O219" i="22"/>
  <c r="O36" i="22"/>
  <c r="O25" i="22"/>
  <c r="O368" i="22"/>
  <c r="O247" i="22"/>
  <c r="O125" i="22"/>
  <c r="O245" i="22"/>
  <c r="O189" i="22"/>
  <c r="O148" i="22"/>
  <c r="O301" i="22"/>
  <c r="O88" i="22"/>
  <c r="AG34" i="7" s="1"/>
  <c r="O39" i="22"/>
  <c r="O70" i="22"/>
  <c r="O288" i="22"/>
  <c r="O91" i="22"/>
  <c r="O175" i="22"/>
  <c r="O335" i="22"/>
  <c r="O109" i="22"/>
  <c r="O227" i="22"/>
  <c r="O328" i="22"/>
  <c r="O123" i="22"/>
  <c r="O317" i="22"/>
  <c r="O63" i="22"/>
  <c r="O293" i="22"/>
  <c r="O76" i="22"/>
  <c r="O376" i="22"/>
  <c r="O261" i="22"/>
  <c r="O181" i="22"/>
  <c r="O151" i="22"/>
  <c r="O78" i="22"/>
  <c r="O374" i="22"/>
  <c r="O289" i="22"/>
  <c r="O185" i="22"/>
  <c r="O83" i="22"/>
  <c r="O54" i="22"/>
  <c r="AC291" i="22"/>
  <c r="AC37" i="23"/>
  <c r="AC60" i="23"/>
  <c r="AC47" i="23"/>
  <c r="AC68" i="23"/>
  <c r="AC71" i="23"/>
  <c r="AC124" i="23"/>
  <c r="AC77" i="23"/>
  <c r="AC118" i="23"/>
  <c r="AC19" i="23"/>
  <c r="AC72" i="23"/>
  <c r="AC92" i="23"/>
  <c r="AC78" i="23"/>
  <c r="AC20" i="23"/>
  <c r="AC26" i="23"/>
  <c r="AC16" i="23"/>
  <c r="AC28" i="23"/>
  <c r="AC80" i="23"/>
  <c r="AC62" i="23"/>
  <c r="AC132" i="23"/>
  <c r="AC91" i="23"/>
  <c r="AC108" i="23"/>
  <c r="AC98" i="23"/>
  <c r="AC90" i="23"/>
  <c r="AC103" i="23"/>
  <c r="AC17" i="23"/>
  <c r="AC87" i="23"/>
  <c r="AC85" i="23"/>
  <c r="AC120" i="23"/>
  <c r="AC18" i="23"/>
  <c r="AC123" i="23"/>
  <c r="AC97" i="23"/>
  <c r="AC29" i="23"/>
  <c r="AC76" i="23"/>
  <c r="AC64" i="23"/>
  <c r="AC109" i="23"/>
  <c r="AC40" i="23"/>
  <c r="AC133" i="23"/>
  <c r="AC36" i="23"/>
  <c r="AC63" i="23"/>
  <c r="AC57" i="23"/>
  <c r="AC82" i="23"/>
  <c r="AC45" i="23"/>
  <c r="AC44" i="23"/>
  <c r="AC32" i="23"/>
  <c r="AC104" i="23"/>
  <c r="AC58" i="23"/>
  <c r="AC52" i="23"/>
  <c r="AC112" i="23"/>
  <c r="AC43" i="23"/>
  <c r="AC84" i="23"/>
  <c r="AC100" i="23"/>
  <c r="AC126" i="23"/>
  <c r="AC106" i="23"/>
  <c r="AC53" i="23"/>
  <c r="AC30" i="23"/>
  <c r="AC48" i="23"/>
  <c r="AC49" i="23"/>
  <c r="AC51" i="23"/>
  <c r="AC101" i="23"/>
  <c r="AC79" i="23"/>
  <c r="AC107" i="23"/>
  <c r="AC42" i="23"/>
  <c r="AC23" i="23"/>
  <c r="AC125" i="23"/>
  <c r="AC119" i="23"/>
  <c r="AC129" i="23"/>
  <c r="AC81" i="23"/>
  <c r="AC130" i="23"/>
  <c r="AC94" i="23"/>
  <c r="AC70" i="23"/>
  <c r="AC61" i="23"/>
  <c r="AC41" i="23"/>
  <c r="AC27" i="23"/>
  <c r="AC127" i="23"/>
  <c r="AC117" i="23"/>
  <c r="AC34" i="23"/>
  <c r="AC56" i="23"/>
  <c r="AC38" i="23"/>
  <c r="AC54" i="23"/>
  <c r="AC75" i="23"/>
  <c r="AC65" i="23"/>
  <c r="AC96" i="23"/>
  <c r="AC35" i="23"/>
  <c r="AC33" i="23"/>
  <c r="AC59" i="23"/>
  <c r="AC89" i="23"/>
  <c r="AC102" i="23"/>
  <c r="AC67" i="23"/>
  <c r="AC21" i="23"/>
  <c r="AC24" i="23"/>
  <c r="AC116" i="23"/>
  <c r="AC122" i="23"/>
  <c r="AC31" i="23"/>
  <c r="AC55" i="23"/>
  <c r="AC131" i="23"/>
  <c r="AC121" i="23"/>
  <c r="AC46" i="23"/>
  <c r="AC114" i="23"/>
  <c r="AC115" i="23"/>
  <c r="AC110" i="23"/>
  <c r="AC66" i="23"/>
  <c r="AC113" i="23"/>
  <c r="AC74" i="23"/>
  <c r="AC15" i="23"/>
  <c r="AC22" i="23"/>
  <c r="AC88" i="23"/>
  <c r="AC93" i="23"/>
  <c r="AC83" i="23"/>
  <c r="AC95" i="23"/>
  <c r="AC69" i="23"/>
  <c r="AC128" i="23"/>
  <c r="AC111" i="23"/>
  <c r="AC25" i="23"/>
  <c r="AC86" i="23"/>
  <c r="AC105" i="23"/>
  <c r="AC39" i="23"/>
  <c r="AC50" i="23"/>
  <c r="AC73" i="23"/>
  <c r="AC99" i="23"/>
  <c r="Q235" i="18"/>
  <c r="Q132" i="18"/>
  <c r="Q159" i="18"/>
  <c r="Q374" i="18"/>
  <c r="Q288" i="18"/>
  <c r="Q208" i="18"/>
  <c r="Q115" i="18"/>
  <c r="Q327" i="18"/>
  <c r="Q238" i="18"/>
  <c r="Q182" i="18"/>
  <c r="Q257" i="18"/>
  <c r="Q321" i="18"/>
  <c r="Q270" i="18"/>
  <c r="Q203" i="18"/>
  <c r="Q233" i="18"/>
  <c r="Q254" i="18"/>
  <c r="Q180" i="18"/>
  <c r="Q328" i="18"/>
  <c r="Q140" i="18"/>
  <c r="Q190" i="18"/>
  <c r="Q181" i="18"/>
  <c r="Q348" i="18"/>
  <c r="Q243" i="18"/>
  <c r="Q276" i="18"/>
  <c r="Q104" i="18"/>
  <c r="Q185" i="18"/>
  <c r="Q307" i="18"/>
  <c r="Q373" i="18"/>
  <c r="Q209" i="18"/>
  <c r="Q308" i="18"/>
  <c r="Q249" i="18"/>
  <c r="Q279" i="18"/>
  <c r="Q286" i="18"/>
  <c r="Q217" i="18"/>
  <c r="Q197" i="18"/>
  <c r="Q340" i="18"/>
  <c r="Q239" i="18"/>
  <c r="Q352" i="18"/>
  <c r="M63" i="19"/>
  <c r="H379" i="16"/>
  <c r="I379" i="16" s="1"/>
  <c r="Q170" i="18"/>
  <c r="Q333" i="18"/>
  <c r="Q287" i="18"/>
  <c r="Q198" i="18"/>
  <c r="Q121" i="18"/>
  <c r="Q166" i="18"/>
  <c r="Q282" i="18"/>
  <c r="Q344" i="18"/>
  <c r="Q123" i="18"/>
  <c r="Q347" i="18"/>
  <c r="Q379" i="18"/>
  <c r="Q171" i="18"/>
  <c r="Q311" i="18"/>
  <c r="H360" i="17"/>
  <c r="I360" i="17" s="1"/>
  <c r="Q106" i="18"/>
  <c r="Q262" i="18"/>
  <c r="Q168" i="18"/>
  <c r="Q126" i="18"/>
  <c r="Q112" i="18"/>
  <c r="Q342" i="18"/>
  <c r="Q368" i="18"/>
  <c r="Q247" i="18"/>
  <c r="Q138" i="18"/>
  <c r="Q136" i="18"/>
  <c r="Q349" i="18"/>
  <c r="Q275" i="18"/>
  <c r="Q320" i="18"/>
  <c r="Q285" i="18"/>
  <c r="Q266" i="18"/>
  <c r="Q125" i="18"/>
  <c r="Q186" i="18"/>
  <c r="Q146" i="18"/>
  <c r="Q167" i="18"/>
  <c r="Q355" i="18"/>
  <c r="Q298" i="18"/>
  <c r="Q227" i="18"/>
  <c r="Q122" i="18"/>
  <c r="Q360" i="18"/>
  <c r="Q202" i="18"/>
  <c r="Q293" i="18"/>
  <c r="Q326" i="18"/>
  <c r="Q234" i="18"/>
  <c r="Q219" i="18"/>
  <c r="Q160" i="18"/>
  <c r="Q297" i="18"/>
  <c r="Q267" i="18"/>
  <c r="Q134" i="18"/>
  <c r="Q377" i="18"/>
  <c r="Q324" i="18"/>
  <c r="Q305" i="18"/>
  <c r="Q158" i="18"/>
  <c r="Q108" i="18"/>
  <c r="Q313" i="18"/>
  <c r="Q152" i="18"/>
  <c r="Q345" i="18"/>
  <c r="Q139" i="18"/>
  <c r="Q283" i="18"/>
  <c r="Q142" i="18"/>
  <c r="Q133" i="18"/>
  <c r="Q268" i="18"/>
  <c r="Q343" i="18"/>
  <c r="Q290" i="18"/>
  <c r="Q175" i="18"/>
  <c r="Q367" i="18"/>
  <c r="Q319" i="18"/>
  <c r="Q150" i="18"/>
  <c r="Q161" i="18"/>
  <c r="Q318" i="18"/>
  <c r="Q281" i="18"/>
  <c r="Q278" i="18"/>
  <c r="Q346" i="18"/>
  <c r="Q302" i="18"/>
  <c r="Q216" i="18"/>
  <c r="Q336" i="18"/>
  <c r="Q154" i="18"/>
  <c r="Q218" i="18"/>
  <c r="Q376" i="18"/>
  <c r="Q357" i="18"/>
  <c r="Q147" i="18"/>
  <c r="Q226" i="18"/>
  <c r="Q351" i="18"/>
  <c r="Q236" i="18"/>
  <c r="Q334" i="18"/>
  <c r="Q214" i="18"/>
  <c r="Q261" i="18"/>
  <c r="Q215" i="18"/>
  <c r="Q173" i="18"/>
  <c r="Q224" i="18"/>
  <c r="Q361" i="18"/>
  <c r="Q272" i="18"/>
  <c r="Q248" i="18"/>
  <c r="Q144" i="18"/>
  <c r="Q258" i="18"/>
  <c r="Q212" i="18"/>
  <c r="Q153" i="18"/>
  <c r="Q366" i="18"/>
  <c r="Q135" i="18"/>
  <c r="Q315" i="18"/>
  <c r="Q201" i="18"/>
  <c r="Q277" i="18"/>
  <c r="Q178" i="18"/>
  <c r="Q110" i="18"/>
  <c r="Q316" i="18"/>
  <c r="Q341" i="18"/>
  <c r="Q27" i="18"/>
  <c r="Q69" i="18"/>
  <c r="Q64" i="18"/>
  <c r="Q63" i="18"/>
  <c r="Q71" i="18"/>
  <c r="Q29" i="18"/>
  <c r="Q66" i="18"/>
  <c r="Q76" i="18"/>
  <c r="Q87" i="18"/>
  <c r="Q91" i="18"/>
  <c r="Q16" i="18"/>
  <c r="Q78" i="18"/>
  <c r="Q19" i="18"/>
  <c r="Q35" i="18"/>
  <c r="Q56" i="18"/>
  <c r="Q65" i="18"/>
  <c r="Q83" i="18"/>
  <c r="Q50" i="18"/>
  <c r="Q51" i="18"/>
  <c r="Q43" i="18"/>
  <c r="Q26" i="18"/>
  <c r="Q94" i="18"/>
  <c r="Q60" i="18"/>
  <c r="Q88" i="18"/>
  <c r="Q28" i="18"/>
  <c r="Q102" i="18"/>
  <c r="Q18" i="18"/>
  <c r="Q82" i="18"/>
  <c r="Q103" i="18"/>
  <c r="Q53" i="18"/>
  <c r="Q85" i="18"/>
  <c r="Q46" i="18"/>
  <c r="Q31" i="18"/>
  <c r="Q57" i="18"/>
  <c r="Q75" i="18"/>
  <c r="Q38" i="18"/>
  <c r="Q48" i="18"/>
  <c r="Q52" i="18"/>
  <c r="Q30" i="18"/>
  <c r="Q25" i="18"/>
  <c r="Q49" i="18"/>
  <c r="Q59" i="18"/>
  <c r="Q74" i="18"/>
  <c r="Q45" i="18"/>
  <c r="Q192" i="18"/>
  <c r="Q130" i="18"/>
  <c r="Q109" i="18"/>
  <c r="Q296" i="18"/>
  <c r="Q259" i="18"/>
  <c r="Q221" i="18"/>
  <c r="Q143" i="18"/>
  <c r="Q265" i="18"/>
  <c r="Q335" i="18"/>
  <c r="Q353" i="18"/>
  <c r="Q194" i="18"/>
  <c r="Q260" i="18"/>
  <c r="Q124" i="18"/>
  <c r="Q323" i="18"/>
  <c r="Q119" i="18"/>
  <c r="Q369" i="18"/>
  <c r="Q116" i="18"/>
  <c r="Q222" i="18"/>
  <c r="Q317" i="18"/>
  <c r="Q300" i="18"/>
  <c r="Q331" i="18"/>
  <c r="Q107" i="18"/>
  <c r="Q129" i="18"/>
  <c r="Q241" i="18"/>
  <c r="Q240" i="18"/>
  <c r="Q177" i="18"/>
  <c r="Q280" i="18"/>
  <c r="Q356" i="18"/>
  <c r="Q163" i="18"/>
  <c r="Q187" i="18"/>
  <c r="Q271" i="18"/>
  <c r="Q127" i="18"/>
  <c r="Q274" i="18"/>
  <c r="Q375" i="18"/>
  <c r="Q157" i="18"/>
  <c r="Q174" i="18"/>
  <c r="Q338" i="18"/>
  <c r="Q322" i="18"/>
  <c r="Q237" i="18"/>
  <c r="AI136" i="17"/>
  <c r="AH136" i="17" s="1"/>
  <c r="AG136" i="17" s="1"/>
  <c r="AF136" i="17" s="1"/>
  <c r="AD136" i="17" s="1"/>
  <c r="AA136" i="17" s="1"/>
  <c r="Z136" i="17" s="1"/>
  <c r="Y136" i="17" s="1"/>
  <c r="AI319" i="17"/>
  <c r="AH319" i="17" s="1"/>
  <c r="AG319" i="17" s="1"/>
  <c r="AF319" i="17" s="1"/>
  <c r="AD319" i="17" s="1"/>
  <c r="AI93" i="17"/>
  <c r="AH93" i="17" s="1"/>
  <c r="AG93" i="17" s="1"/>
  <c r="AF93" i="17" s="1"/>
  <c r="AD93" i="17" s="1"/>
  <c r="AA93" i="17" s="1"/>
  <c r="Z93" i="17" s="1"/>
  <c r="Y93" i="17" s="1"/>
  <c r="AI132" i="17"/>
  <c r="AH132" i="17" s="1"/>
  <c r="AG132" i="17" s="1"/>
  <c r="AF132" i="17" s="1"/>
  <c r="AD132" i="17" s="1"/>
  <c r="AI188" i="17"/>
  <c r="AH188" i="17" s="1"/>
  <c r="AG188" i="17" s="1"/>
  <c r="AF188" i="17" s="1"/>
  <c r="AD188" i="17" s="1"/>
  <c r="AA188" i="17" s="1"/>
  <c r="Z188" i="17" s="1"/>
  <c r="Y188" i="17" s="1"/>
  <c r="AI121" i="17"/>
  <c r="AH121" i="17" s="1"/>
  <c r="AG121" i="17" s="1"/>
  <c r="AF121" i="17" s="1"/>
  <c r="AD121" i="17" s="1"/>
  <c r="AA121" i="17" s="1"/>
  <c r="Z121" i="17" s="1"/>
  <c r="Y121" i="17" s="1"/>
  <c r="AI260" i="17"/>
  <c r="AH260" i="17" s="1"/>
  <c r="AG260" i="17" s="1"/>
  <c r="AF260" i="17" s="1"/>
  <c r="AD260" i="17" s="1"/>
  <c r="AA260" i="17" s="1"/>
  <c r="Z260" i="17" s="1"/>
  <c r="Y260" i="17" s="1"/>
  <c r="AI313" i="17"/>
  <c r="AH313" i="17" s="1"/>
  <c r="AG313" i="17" s="1"/>
  <c r="AF313" i="17" s="1"/>
  <c r="AD313" i="17" s="1"/>
  <c r="AI352" i="17"/>
  <c r="AH352" i="17" s="1"/>
  <c r="AG352" i="17" s="1"/>
  <c r="AF352" i="17" s="1"/>
  <c r="AD352" i="17" s="1"/>
  <c r="AI63" i="17"/>
  <c r="AH63" i="17" s="1"/>
  <c r="AG63" i="17" s="1"/>
  <c r="AF63" i="17" s="1"/>
  <c r="AD63" i="17" s="1"/>
  <c r="AI139" i="17"/>
  <c r="AH139" i="17" s="1"/>
  <c r="AG139" i="17" s="1"/>
  <c r="AF139" i="17" s="1"/>
  <c r="AD139" i="17" s="1"/>
  <c r="AA139" i="17" s="1"/>
  <c r="Z139" i="17" s="1"/>
  <c r="Y139" i="17" s="1"/>
  <c r="AI332" i="17"/>
  <c r="AH332" i="17" s="1"/>
  <c r="AG332" i="17" s="1"/>
  <c r="AF332" i="17" s="1"/>
  <c r="AD332" i="17" s="1"/>
  <c r="AI173" i="17"/>
  <c r="AH173" i="17" s="1"/>
  <c r="AG173" i="17" s="1"/>
  <c r="AF173" i="17" s="1"/>
  <c r="AD173" i="17" s="1"/>
  <c r="AI308" i="17"/>
  <c r="AH308" i="17" s="1"/>
  <c r="AG308" i="17" s="1"/>
  <c r="AF308" i="17" s="1"/>
  <c r="AD308" i="17" s="1"/>
  <c r="AI62" i="17"/>
  <c r="AH62" i="17" s="1"/>
  <c r="AG62" i="17" s="1"/>
  <c r="AF62" i="17" s="1"/>
  <c r="AD62" i="17" s="1"/>
  <c r="AI125" i="17"/>
  <c r="AH125" i="17" s="1"/>
  <c r="AG125" i="17" s="1"/>
  <c r="AF125" i="17" s="1"/>
  <c r="AD125" i="17" s="1"/>
  <c r="W16" i="7"/>
  <c r="Q337" i="18"/>
  <c r="BV15" i="7"/>
  <c r="BW11" i="7"/>
  <c r="BX11" i="7"/>
  <c r="Q179" i="18"/>
  <c r="AA210" i="16"/>
  <c r="Z210" i="16" s="1"/>
  <c r="Y210" i="16" s="1"/>
  <c r="H251" i="17"/>
  <c r="J251" i="17" s="1"/>
  <c r="J32" i="16"/>
  <c r="H300" i="17"/>
  <c r="J300" i="17" s="1"/>
  <c r="J350" i="16"/>
  <c r="H320" i="16"/>
  <c r="J320" i="16" s="1"/>
  <c r="H210" i="16"/>
  <c r="J210" i="16" s="1"/>
  <c r="Q362" i="18"/>
  <c r="Q244" i="18"/>
  <c r="Q294" i="18"/>
  <c r="Q169" i="18"/>
  <c r="Q196" i="18"/>
  <c r="Q148" i="18"/>
  <c r="Q312" i="18"/>
  <c r="Q372" i="18"/>
  <c r="Q164" i="18"/>
  <c r="Q330" i="18"/>
  <c r="Q365" i="18"/>
  <c r="Q189" i="18"/>
  <c r="Q128" i="18"/>
  <c r="Q223" i="18"/>
  <c r="Q284" i="18"/>
  <c r="Q256" i="18"/>
  <c r="Q114" i="18"/>
  <c r="Q306" i="18"/>
  <c r="Q156" i="18"/>
  <c r="Q228" i="18"/>
  <c r="Q252" i="18"/>
  <c r="Q363" i="18"/>
  <c r="Q303" i="18"/>
  <c r="Q310" i="18"/>
  <c r="Q354" i="18"/>
  <c r="Q206" i="18"/>
  <c r="Q246" i="18"/>
  <c r="Q120" i="18"/>
  <c r="Q378" i="18"/>
  <c r="J149" i="16"/>
  <c r="I149" i="16"/>
  <c r="I336" i="16"/>
  <c r="J336" i="16"/>
  <c r="T15" i="17"/>
  <c r="G78" i="17"/>
  <c r="BZ78" i="6" s="1"/>
  <c r="D59" i="7"/>
  <c r="H323" i="17"/>
  <c r="AD383" i="15"/>
  <c r="AD382" i="15"/>
  <c r="AD381" i="15"/>
  <c r="J119" i="16"/>
  <c r="I119" i="16"/>
  <c r="G136" i="16"/>
  <c r="BY136" i="6" s="1"/>
  <c r="H136" i="16"/>
  <c r="AA136" i="16"/>
  <c r="Z136" i="16" s="1"/>
  <c r="Y136" i="16" s="1"/>
  <c r="J135" i="16"/>
  <c r="I135" i="16"/>
  <c r="AA320" i="16"/>
  <c r="Z320" i="16" s="1"/>
  <c r="Y320" i="16" s="1"/>
  <c r="G320" i="16"/>
  <c r="BY320" i="6" s="1"/>
  <c r="I77" i="15"/>
  <c r="H77" i="16" s="1"/>
  <c r="J77" i="15"/>
  <c r="AE49" i="18"/>
  <c r="AE66" i="18"/>
  <c r="AE63" i="18"/>
  <c r="AE55" i="18"/>
  <c r="AE41" i="18"/>
  <c r="AE84" i="18"/>
  <c r="AE86" i="18"/>
  <c r="AE58" i="18"/>
  <c r="AE62" i="18"/>
  <c r="AE103" i="18"/>
  <c r="AE76" i="18"/>
  <c r="AE97" i="18"/>
  <c r="AE85" i="18"/>
  <c r="AE56" i="18"/>
  <c r="AE44" i="18"/>
  <c r="AE20" i="18"/>
  <c r="AE102" i="18"/>
  <c r="AE28" i="18"/>
  <c r="AE81" i="18"/>
  <c r="AE68" i="18"/>
  <c r="AE36" i="18"/>
  <c r="AE53" i="18"/>
  <c r="AE18" i="18"/>
  <c r="AE73" i="18"/>
  <c r="AE61" i="18"/>
  <c r="AE51" i="18"/>
  <c r="AE40" i="18"/>
  <c r="AE26" i="18"/>
  <c r="AE35" i="18"/>
  <c r="AE70" i="18"/>
  <c r="AE38" i="18"/>
  <c r="AE29" i="18"/>
  <c r="AE91" i="18"/>
  <c r="AE30" i="18"/>
  <c r="AE25" i="18"/>
  <c r="AE100" i="18"/>
  <c r="AE45" i="18"/>
  <c r="AE101" i="18"/>
  <c r="AE46" i="18"/>
  <c r="AE72" i="18"/>
  <c r="AE92" i="18"/>
  <c r="AE88" i="18"/>
  <c r="AE80" i="18"/>
  <c r="AE47" i="18"/>
  <c r="AE65" i="18"/>
  <c r="AE52" i="18"/>
  <c r="AE21" i="18"/>
  <c r="AE39" i="18"/>
  <c r="AC15" i="7"/>
  <c r="AE94" i="18"/>
  <c r="AE96" i="18"/>
  <c r="AE87" i="18"/>
  <c r="AE32" i="18"/>
  <c r="AE42" i="18"/>
  <c r="AE79" i="18"/>
  <c r="AE19" i="18"/>
  <c r="AE17" i="18"/>
  <c r="AE67" i="18"/>
  <c r="AE95" i="18"/>
  <c r="AE60" i="18"/>
  <c r="AE24" i="18"/>
  <c r="AE99" i="18"/>
  <c r="AE22" i="18"/>
  <c r="AE57" i="18"/>
  <c r="AE48" i="18"/>
  <c r="AE93" i="18"/>
  <c r="AE89" i="18"/>
  <c r="AE98" i="18"/>
  <c r="AE69" i="18"/>
  <c r="AE82" i="18"/>
  <c r="AE83" i="18"/>
  <c r="AE78" i="18"/>
  <c r="AE50" i="18"/>
  <c r="AE15" i="18"/>
  <c r="AE90" i="18"/>
  <c r="AE37" i="18"/>
  <c r="AE74" i="18"/>
  <c r="AE71" i="18"/>
  <c r="AE54" i="18"/>
  <c r="AE33" i="18"/>
  <c r="AE59" i="18"/>
  <c r="AE64" i="18"/>
  <c r="AE23" i="18"/>
  <c r="AE31" i="18"/>
  <c r="AE43" i="18"/>
  <c r="AE75" i="18"/>
  <c r="AE77" i="18"/>
  <c r="AE27" i="18"/>
  <c r="AE34" i="18"/>
  <c r="AE16" i="18"/>
  <c r="Q183" i="18"/>
  <c r="Q137" i="18"/>
  <c r="Q255" i="18"/>
  <c r="Q162" i="18"/>
  <c r="Q304" i="18"/>
  <c r="Q210" i="18"/>
  <c r="Q242" i="18"/>
  <c r="Q291" i="18"/>
  <c r="Q230" i="18"/>
  <c r="Q172" i="18"/>
  <c r="Q264" i="18"/>
  <c r="Q145" i="18"/>
  <c r="Q195" i="18"/>
  <c r="Q309" i="18"/>
  <c r="Q117" i="18"/>
  <c r="Q200" i="18"/>
  <c r="Q273" i="18"/>
  <c r="Q155" i="18"/>
  <c r="Q295" i="18"/>
  <c r="Q220" i="18"/>
  <c r="Q371" i="18"/>
  <c r="Q211" i="18"/>
  <c r="Q229" i="18"/>
  <c r="Q188" i="18"/>
  <c r="Q358" i="18"/>
  <c r="Q204" i="18"/>
  <c r="Q301" i="18"/>
  <c r="Q149" i="18"/>
  <c r="I94" i="16"/>
  <c r="J94" i="16"/>
  <c r="J334" i="16"/>
  <c r="I334" i="16"/>
  <c r="J47" i="16"/>
  <c r="I47" i="16"/>
  <c r="I227" i="16"/>
  <c r="J227" i="16"/>
  <c r="I330" i="16"/>
  <c r="J330" i="16"/>
  <c r="AG383" i="16"/>
  <c r="AG381" i="16"/>
  <c r="AG382" i="16"/>
  <c r="AF15" i="16"/>
  <c r="AL7" i="1"/>
  <c r="AL11" i="1" s="1"/>
  <c r="AJ3" i="1" s="1"/>
  <c r="O11" i="19" s="1"/>
  <c r="Y16" i="1"/>
  <c r="Z383" i="1"/>
  <c r="Z382" i="1"/>
  <c r="Z381" i="1"/>
  <c r="Z9" i="1"/>
  <c r="AG64" i="17"/>
  <c r="AF64" i="17" s="1"/>
  <c r="AD64" i="17" s="1"/>
  <c r="AG231" i="17"/>
  <c r="AF231" i="17" s="1"/>
  <c r="AD231" i="17" s="1"/>
  <c r="AG222" i="17"/>
  <c r="AF222" i="17" s="1"/>
  <c r="AD222" i="17" s="1"/>
  <c r="J106" i="16"/>
  <c r="I106" i="16"/>
  <c r="G180" i="16"/>
  <c r="BY180" i="6" s="1"/>
  <c r="AA180" i="16"/>
  <c r="Z180" i="16" s="1"/>
  <c r="Y180" i="16" s="1"/>
  <c r="H180" i="16"/>
  <c r="R15" i="16"/>
  <c r="S382" i="16"/>
  <c r="S381" i="16"/>
  <c r="S383" i="16"/>
  <c r="J46" i="16"/>
  <c r="I46" i="16"/>
  <c r="J58" i="16"/>
  <c r="I58" i="16"/>
  <c r="G75" i="16"/>
  <c r="BY75" i="6" s="1"/>
  <c r="H75" i="16"/>
  <c r="AA75" i="16"/>
  <c r="Z75" i="16" s="1"/>
  <c r="Y75" i="16" s="1"/>
  <c r="H366" i="17"/>
  <c r="G133" i="17"/>
  <c r="BZ133" i="6" s="1"/>
  <c r="J302" i="16"/>
  <c r="I302" i="16"/>
  <c r="I293" i="16"/>
  <c r="J293" i="16"/>
  <c r="H259" i="16"/>
  <c r="G259" i="16"/>
  <c r="BY259" i="6" s="1"/>
  <c r="AA259" i="16"/>
  <c r="Z259" i="16" s="1"/>
  <c r="Y259" i="16" s="1"/>
  <c r="J380" i="17"/>
  <c r="I380" i="17"/>
  <c r="H380" i="18" s="1"/>
  <c r="P382" i="15"/>
  <c r="P381" i="15"/>
  <c r="V15" i="15"/>
  <c r="P383" i="15"/>
  <c r="J354" i="16"/>
  <c r="I354" i="16"/>
  <c r="J331" i="16"/>
  <c r="I331" i="16"/>
  <c r="AG53" i="17"/>
  <c r="AF53" i="17" s="1"/>
  <c r="AD53" i="17" s="1"/>
  <c r="AG280" i="17"/>
  <c r="AF280" i="17" s="1"/>
  <c r="AD280" i="17" s="1"/>
  <c r="AG36" i="17"/>
  <c r="AF36" i="17" s="1"/>
  <c r="AD36" i="17" s="1"/>
  <c r="AG56" i="17"/>
  <c r="AF56" i="17" s="1"/>
  <c r="AD56" i="17" s="1"/>
  <c r="AG35" i="17"/>
  <c r="AF35" i="17" s="1"/>
  <c r="AD35" i="17" s="1"/>
  <c r="AG307" i="17"/>
  <c r="AF307" i="17" s="1"/>
  <c r="AD307" i="17" s="1"/>
  <c r="AG302" i="17"/>
  <c r="AF302" i="17" s="1"/>
  <c r="AD302" i="17" s="1"/>
  <c r="AG214" i="17"/>
  <c r="AF214" i="17" s="1"/>
  <c r="AD214" i="17" s="1"/>
  <c r="AG47" i="17"/>
  <c r="AF47" i="17" s="1"/>
  <c r="AD47" i="17" s="1"/>
  <c r="J363" i="16"/>
  <c r="I363" i="16"/>
  <c r="J241" i="16"/>
  <c r="I241" i="16"/>
  <c r="I189" i="16"/>
  <c r="J189" i="16"/>
  <c r="J319" i="16"/>
  <c r="I319" i="16"/>
  <c r="J333" i="16"/>
  <c r="I333" i="16"/>
  <c r="AE237" i="18"/>
  <c r="AE363" i="18"/>
  <c r="AE147" i="18"/>
  <c r="AE346" i="18"/>
  <c r="AE282" i="18"/>
  <c r="AE254" i="18"/>
  <c r="AE163" i="18"/>
  <c r="AE166" i="18"/>
  <c r="AE104" i="18"/>
  <c r="AE272" i="18"/>
  <c r="AE250" i="18"/>
  <c r="AE281" i="18"/>
  <c r="AE124" i="18"/>
  <c r="AE116" i="18"/>
  <c r="AE303" i="18"/>
  <c r="AE113" i="18"/>
  <c r="AE114" i="18"/>
  <c r="AE171" i="18"/>
  <c r="AE270" i="18"/>
  <c r="AE344" i="18"/>
  <c r="AE342" i="18"/>
  <c r="AE349" i="18"/>
  <c r="AE313" i="18"/>
  <c r="AE211" i="18"/>
  <c r="AE259" i="18"/>
  <c r="AE317" i="18"/>
  <c r="AE325" i="18"/>
  <c r="AE372" i="18"/>
  <c r="AE347" i="18"/>
  <c r="AE200" i="18"/>
  <c r="AE213" i="18"/>
  <c r="AE149" i="18"/>
  <c r="AE172" i="18"/>
  <c r="AE356" i="18"/>
  <c r="AE330" i="18"/>
  <c r="AE214" i="18"/>
  <c r="AE312" i="18"/>
  <c r="AE130" i="18"/>
  <c r="AE345" i="18"/>
  <c r="AE265" i="18"/>
  <c r="AE280" i="18"/>
  <c r="AE316" i="18"/>
  <c r="AE107" i="18"/>
  <c r="AE327" i="18"/>
  <c r="AE111" i="18"/>
  <c r="AE162" i="18"/>
  <c r="AE368" i="18"/>
  <c r="AE297" i="18"/>
  <c r="AE108" i="18"/>
  <c r="AE215" i="18"/>
  <c r="AE152" i="18"/>
  <c r="AE173" i="18"/>
  <c r="AE199" i="18"/>
  <c r="AE151" i="18"/>
  <c r="AE167" i="18"/>
  <c r="AE234" i="18"/>
  <c r="AE177" i="18"/>
  <c r="AE133" i="18"/>
  <c r="AE353" i="18"/>
  <c r="AE350" i="18"/>
  <c r="AE311" i="18"/>
  <c r="AE140" i="18"/>
  <c r="AE239" i="18"/>
  <c r="AE202" i="18"/>
  <c r="AE292" i="18"/>
  <c r="AE260" i="18"/>
  <c r="AE181" i="18"/>
  <c r="AE248" i="18"/>
  <c r="AE138" i="18"/>
  <c r="AE164" i="18"/>
  <c r="AE307" i="18"/>
  <c r="AE123" i="18"/>
  <c r="AE155" i="18"/>
  <c r="AE378" i="18"/>
  <c r="AE336" i="18"/>
  <c r="AE257" i="18"/>
  <c r="AE247" i="18"/>
  <c r="AE131" i="18"/>
  <c r="AE184" i="18"/>
  <c r="AE243" i="18"/>
  <c r="AE135" i="18"/>
  <c r="AE128" i="18"/>
  <c r="AE284" i="18"/>
  <c r="AE358" i="18"/>
  <c r="AE287" i="18"/>
  <c r="AE365" i="18"/>
  <c r="AE263" i="18"/>
  <c r="AE341" i="18"/>
  <c r="AE169" i="18"/>
  <c r="AE289" i="18"/>
  <c r="AE331" i="18"/>
  <c r="AE333" i="18"/>
  <c r="AE319" i="18"/>
  <c r="AE126" i="18"/>
  <c r="AE271" i="18"/>
  <c r="AE241" i="18"/>
  <c r="AE194" i="18"/>
  <c r="AE246" i="18"/>
  <c r="AE240" i="18"/>
  <c r="AE157" i="18"/>
  <c r="AE306" i="18"/>
  <c r="AE165" i="18"/>
  <c r="AE228" i="18"/>
  <c r="AE279" i="18"/>
  <c r="AE210" i="18"/>
  <c r="AE283" i="18"/>
  <c r="AE222" i="18"/>
  <c r="AE295" i="18"/>
  <c r="AE245" i="18"/>
  <c r="AE159" i="18"/>
  <c r="AE178" i="18"/>
  <c r="AE160" i="18"/>
  <c r="AE374" i="18"/>
  <c r="AE304" i="18"/>
  <c r="AE156" i="18"/>
  <c r="AE197" i="18"/>
  <c r="AE255" i="18"/>
  <c r="AE364" i="18"/>
  <c r="AE268" i="18"/>
  <c r="AE253" i="18"/>
  <c r="AE361" i="18"/>
  <c r="AE258" i="18"/>
  <c r="AE291" i="18"/>
  <c r="AE235" i="18"/>
  <c r="AE377" i="18"/>
  <c r="AE189" i="18"/>
  <c r="AE362" i="18"/>
  <c r="AE185" i="18"/>
  <c r="AE153" i="18"/>
  <c r="AE308" i="18"/>
  <c r="AE267" i="18"/>
  <c r="AE352" i="18"/>
  <c r="AE326" i="18"/>
  <c r="AE143" i="18"/>
  <c r="AE217" i="18"/>
  <c r="AE203" i="18"/>
  <c r="AE105" i="18"/>
  <c r="AE106" i="18"/>
  <c r="AE314" i="18"/>
  <c r="AE233" i="18"/>
  <c r="AE357" i="18"/>
  <c r="AE221" i="18"/>
  <c r="AE190" i="18"/>
  <c r="AE231" i="18"/>
  <c r="AE137" i="18"/>
  <c r="AE355" i="18"/>
  <c r="AE264" i="18"/>
  <c r="AE339" i="18"/>
  <c r="AE229" i="18"/>
  <c r="AE244" i="18"/>
  <c r="AE309" i="18"/>
  <c r="AE323" i="18"/>
  <c r="AE256" i="18"/>
  <c r="AE249" i="18"/>
  <c r="AE145" i="18"/>
  <c r="AE223" i="18"/>
  <c r="AE375" i="18"/>
  <c r="AE122" i="18"/>
  <c r="AE204" i="18"/>
  <c r="AE300" i="18"/>
  <c r="AE179" i="18"/>
  <c r="AE142" i="18"/>
  <c r="AE329" i="18"/>
  <c r="AE225" i="18"/>
  <c r="AE158" i="18"/>
  <c r="AE351" i="18"/>
  <c r="AE150" i="18"/>
  <c r="AE134" i="18"/>
  <c r="AE290" i="18"/>
  <c r="AE119" i="18"/>
  <c r="AE348" i="18"/>
  <c r="AE376" i="18"/>
  <c r="AE218" i="18"/>
  <c r="AE182" i="18"/>
  <c r="AE187" i="18"/>
  <c r="AE127" i="18"/>
  <c r="AE183" i="18"/>
  <c r="AE370" i="18"/>
  <c r="AE120" i="18"/>
  <c r="AE201" i="18"/>
  <c r="AE209" i="18"/>
  <c r="AE359" i="18"/>
  <c r="AE367" i="18"/>
  <c r="AE266" i="18"/>
  <c r="AE118" i="18"/>
  <c r="AE278" i="18"/>
  <c r="AE236" i="18"/>
  <c r="AE322" i="18"/>
  <c r="AE224" i="18"/>
  <c r="AE226" i="18"/>
  <c r="AE115" i="18"/>
  <c r="AE112" i="18"/>
  <c r="AE154" i="18"/>
  <c r="AE192" i="18"/>
  <c r="AE125" i="18"/>
  <c r="AE305" i="18"/>
  <c r="AE110" i="18"/>
  <c r="AE121" i="18"/>
  <c r="AE320" i="18"/>
  <c r="AE371" i="18"/>
  <c r="AE180" i="18"/>
  <c r="AE129" i="18"/>
  <c r="AE148" i="18"/>
  <c r="AE338" i="18"/>
  <c r="AE238" i="18"/>
  <c r="AE379" i="18"/>
  <c r="AE12" i="20" s="1"/>
  <c r="AE227" i="18"/>
  <c r="AE212" i="18"/>
  <c r="AE296" i="18"/>
  <c r="AE269" i="18"/>
  <c r="AE315" i="18"/>
  <c r="AE274" i="18"/>
  <c r="AE261" i="18"/>
  <c r="AE139" i="18"/>
  <c r="AE168" i="18"/>
  <c r="AE285" i="18"/>
  <c r="AE369" i="18"/>
  <c r="AE208" i="18"/>
  <c r="AE275" i="18"/>
  <c r="AE117" i="18"/>
  <c r="AE219" i="18"/>
  <c r="AE109" i="18"/>
  <c r="AE175" i="18"/>
  <c r="AE366" i="18"/>
  <c r="AE146" i="18"/>
  <c r="AE136" i="18"/>
  <c r="AE286" i="18"/>
  <c r="AE242" i="18"/>
  <c r="AE340" i="18"/>
  <c r="AE220" i="18"/>
  <c r="AE293" i="18"/>
  <c r="AE216" i="18"/>
  <c r="AE335" i="18"/>
  <c r="AE301" i="18"/>
  <c r="AE299" i="18"/>
  <c r="AE198" i="18"/>
  <c r="AE174" i="18"/>
  <c r="AE324" i="18"/>
  <c r="AE337" i="18"/>
  <c r="AE277" i="18"/>
  <c r="AE318" i="18"/>
  <c r="AE252" i="18"/>
  <c r="AE360" i="18"/>
  <c r="AE144" i="18"/>
  <c r="AE294" i="18"/>
  <c r="AE343" i="18"/>
  <c r="AE251" i="18"/>
  <c r="AE191" i="18"/>
  <c r="AE302" i="18"/>
  <c r="AE141" i="18"/>
  <c r="AE328" i="18"/>
  <c r="AE321" i="18"/>
  <c r="AE195" i="18"/>
  <c r="AE161" i="18"/>
  <c r="AE196" i="18"/>
  <c r="AE334" i="18"/>
  <c r="AE207" i="18"/>
  <c r="AE276" i="18"/>
  <c r="AE262" i="18"/>
  <c r="AE132" i="18"/>
  <c r="AE332" i="18"/>
  <c r="AE205" i="18"/>
  <c r="AE188" i="18"/>
  <c r="AE354" i="18"/>
  <c r="AE232" i="18"/>
  <c r="AE230" i="18"/>
  <c r="AE193" i="18"/>
  <c r="AE273" i="18"/>
  <c r="AE373" i="18"/>
  <c r="AE310" i="18"/>
  <c r="AE176" i="18"/>
  <c r="AE170" i="18"/>
  <c r="AE206" i="18"/>
  <c r="AE186" i="18"/>
  <c r="AE298" i="18"/>
  <c r="AE288" i="18"/>
  <c r="AJ4" i="1"/>
  <c r="P11" i="19" s="1"/>
  <c r="G222" i="17" l="1"/>
  <c r="BZ222" i="6" s="1"/>
  <c r="H28" i="17"/>
  <c r="I28" i="17" s="1"/>
  <c r="V180" i="17"/>
  <c r="F180" i="17" s="1"/>
  <c r="G26" i="17"/>
  <c r="BZ26" i="6" s="1"/>
  <c r="V302" i="17"/>
  <c r="F302" i="17" s="1"/>
  <c r="H102" i="17"/>
  <c r="I102" i="17" s="1"/>
  <c r="H169" i="17"/>
  <c r="H315" i="17"/>
  <c r="J315" i="17" s="1"/>
  <c r="G213" i="17"/>
  <c r="BZ213" i="6" s="1"/>
  <c r="G292" i="17"/>
  <c r="BZ292" i="6" s="1"/>
  <c r="AA26" i="17"/>
  <c r="Z26" i="17" s="1"/>
  <c r="Y26" i="17" s="1"/>
  <c r="G129" i="17"/>
  <c r="BZ129" i="6" s="1"/>
  <c r="G137" i="17"/>
  <c r="BZ137" i="6" s="1"/>
  <c r="H243" i="17"/>
  <c r="J243" i="17" s="1"/>
  <c r="AA222" i="17"/>
  <c r="Z222" i="17" s="1"/>
  <c r="Y222" i="17" s="1"/>
  <c r="G374" i="17"/>
  <c r="BZ374" i="6" s="1"/>
  <c r="J88" i="16"/>
  <c r="H145" i="17"/>
  <c r="I145" i="17" s="1"/>
  <c r="AA366" i="17"/>
  <c r="Z366" i="17" s="1"/>
  <c r="Y366" i="17" s="1"/>
  <c r="AA133" i="17"/>
  <c r="Z133" i="17" s="1"/>
  <c r="Y133" i="17" s="1"/>
  <c r="AA292" i="17"/>
  <c r="Z292" i="17" s="1"/>
  <c r="Y292" i="17" s="1"/>
  <c r="AA82" i="17"/>
  <c r="Z82" i="17" s="1"/>
  <c r="Y82" i="17" s="1"/>
  <c r="AA251" i="17"/>
  <c r="Z251" i="17" s="1"/>
  <c r="Y251" i="17" s="1"/>
  <c r="H82" i="17"/>
  <c r="I82" i="17" s="1"/>
  <c r="H258" i="17"/>
  <c r="G152" i="17"/>
  <c r="BZ152" i="6" s="1"/>
  <c r="H303" i="17"/>
  <c r="I303" i="17" s="1"/>
  <c r="G275" i="17"/>
  <c r="BZ275" i="6" s="1"/>
  <c r="H87" i="17"/>
  <c r="J87" i="17" s="1"/>
  <c r="H168" i="17"/>
  <c r="I168" i="17" s="1"/>
  <c r="H23" i="17"/>
  <c r="I23" i="17" s="1"/>
  <c r="H147" i="17"/>
  <c r="J147" i="17" s="1"/>
  <c r="G245" i="17"/>
  <c r="BZ245" i="6" s="1"/>
  <c r="H200" i="17"/>
  <c r="J200" i="17" s="1"/>
  <c r="G33" i="17"/>
  <c r="BZ33" i="6" s="1"/>
  <c r="AA78" i="17"/>
  <c r="Z78" i="17" s="1"/>
  <c r="Y78" i="17" s="1"/>
  <c r="AA168" i="17"/>
  <c r="Z168" i="17" s="1"/>
  <c r="Y168" i="17" s="1"/>
  <c r="AA275" i="17"/>
  <c r="Z275" i="17" s="1"/>
  <c r="Y275" i="17" s="1"/>
  <c r="AA33" i="17"/>
  <c r="Z33" i="17" s="1"/>
  <c r="Y33" i="17" s="1"/>
  <c r="AA196" i="17"/>
  <c r="Z196" i="17" s="1"/>
  <c r="Y196" i="17" s="1"/>
  <c r="T379" i="17"/>
  <c r="S379" i="17" s="1"/>
  <c r="R379" i="17" s="1"/>
  <c r="P379" i="17" s="1"/>
  <c r="D38" i="19" s="1"/>
  <c r="H195" i="17"/>
  <c r="J195" i="17" s="1"/>
  <c r="AA195" i="17"/>
  <c r="Z195" i="17" s="1"/>
  <c r="Y195" i="17" s="1"/>
  <c r="AA23" i="17"/>
  <c r="Z23" i="17" s="1"/>
  <c r="Y23" i="17" s="1"/>
  <c r="AA312" i="17"/>
  <c r="Z312" i="17" s="1"/>
  <c r="Y312" i="17" s="1"/>
  <c r="AA200" i="17"/>
  <c r="Z200" i="17" s="1"/>
  <c r="Y200" i="17" s="1"/>
  <c r="H208" i="17"/>
  <c r="I208" i="17" s="1"/>
  <c r="H312" i="17"/>
  <c r="I312" i="17" s="1"/>
  <c r="AA65" i="17"/>
  <c r="Z65" i="17" s="1"/>
  <c r="Y65" i="17" s="1"/>
  <c r="AA17" i="17"/>
  <c r="Z17" i="17" s="1"/>
  <c r="Y17" i="17" s="1"/>
  <c r="AA185" i="17"/>
  <c r="Z185" i="17" s="1"/>
  <c r="Y185" i="17" s="1"/>
  <c r="G107" i="17"/>
  <c r="BZ107" i="6" s="1"/>
  <c r="H268" i="17"/>
  <c r="I268" i="17" s="1"/>
  <c r="AA309" i="17"/>
  <c r="Z309" i="17" s="1"/>
  <c r="Y309" i="17" s="1"/>
  <c r="AA101" i="17"/>
  <c r="Z101" i="17" s="1"/>
  <c r="Y101" i="17" s="1"/>
  <c r="AA192" i="17"/>
  <c r="Z192" i="17" s="1"/>
  <c r="Y192" i="17" s="1"/>
  <c r="AA278" i="17"/>
  <c r="Z278" i="17" s="1"/>
  <c r="Y278" i="17" s="1"/>
  <c r="AA64" i="17"/>
  <c r="Z64" i="17" s="1"/>
  <c r="Y64" i="17" s="1"/>
  <c r="AA362" i="17"/>
  <c r="Z362" i="17" s="1"/>
  <c r="Y362" i="17" s="1"/>
  <c r="AA112" i="17"/>
  <c r="Z112" i="17" s="1"/>
  <c r="Y112" i="17" s="1"/>
  <c r="AA186" i="17"/>
  <c r="Z186" i="17" s="1"/>
  <c r="Y186" i="17" s="1"/>
  <c r="AA325" i="17"/>
  <c r="Z325" i="17" s="1"/>
  <c r="Y325" i="17" s="1"/>
  <c r="J60" i="16"/>
  <c r="H317" i="17"/>
  <c r="I317" i="17" s="1"/>
  <c r="H355" i="17"/>
  <c r="I355" i="17" s="1"/>
  <c r="H65" i="17"/>
  <c r="I65" i="17" s="1"/>
  <c r="H185" i="17"/>
  <c r="I185" i="17" s="1"/>
  <c r="H314" i="17"/>
  <c r="J314" i="17" s="1"/>
  <c r="J29" i="16"/>
  <c r="H235" i="17"/>
  <c r="J235" i="17" s="1"/>
  <c r="G158" i="17"/>
  <c r="BZ158" i="6" s="1"/>
  <c r="H101" i="17"/>
  <c r="I101" i="17" s="1"/>
  <c r="H17" i="17"/>
  <c r="J17" i="17" s="1"/>
  <c r="G32" i="17"/>
  <c r="BZ32" i="6" s="1"/>
  <c r="H216" i="17"/>
  <c r="I216" i="17" s="1"/>
  <c r="AA355" i="17"/>
  <c r="Z355" i="17" s="1"/>
  <c r="Y355" i="17" s="1"/>
  <c r="G282" i="17"/>
  <c r="BZ282" i="6" s="1"/>
  <c r="H115" i="17"/>
  <c r="J115" i="17" s="1"/>
  <c r="H370" i="17"/>
  <c r="I370" i="17" s="1"/>
  <c r="G140" i="17"/>
  <c r="BZ140" i="6" s="1"/>
  <c r="H308" i="17"/>
  <c r="I308" i="17" s="1"/>
  <c r="H127" i="17"/>
  <c r="I127" i="17" s="1"/>
  <c r="H178" i="17"/>
  <c r="I178" i="17" s="1"/>
  <c r="H142" i="17"/>
  <c r="I142" i="17" s="1"/>
  <c r="H34" i="17"/>
  <c r="J34" i="17" s="1"/>
  <c r="AA91" i="17"/>
  <c r="Z91" i="17" s="1"/>
  <c r="Y91" i="17" s="1"/>
  <c r="J272" i="16"/>
  <c r="AA76" i="17"/>
  <c r="Z76" i="17" s="1"/>
  <c r="Y76" i="17" s="1"/>
  <c r="AA181" i="17"/>
  <c r="Z181" i="17" s="1"/>
  <c r="Y181" i="17" s="1"/>
  <c r="G34" i="17"/>
  <c r="BZ34" i="6" s="1"/>
  <c r="G359" i="17"/>
  <c r="BZ359" i="6" s="1"/>
  <c r="H191" i="17"/>
  <c r="I191" i="17" s="1"/>
  <c r="H181" i="17"/>
  <c r="I181" i="17" s="1"/>
  <c r="H42" i="17"/>
  <c r="I42" i="17" s="1"/>
  <c r="J167" i="16"/>
  <c r="G67" i="17"/>
  <c r="BZ67" i="6" s="1"/>
  <c r="H234" i="17"/>
  <c r="I234" i="17" s="1"/>
  <c r="H368" i="17"/>
  <c r="J368" i="17" s="1"/>
  <c r="H189" i="17"/>
  <c r="I189" i="17" s="1"/>
  <c r="AA176" i="17"/>
  <c r="Z176" i="17" s="1"/>
  <c r="Y176" i="17" s="1"/>
  <c r="AA113" i="17"/>
  <c r="Z113" i="17" s="1"/>
  <c r="Y113" i="17" s="1"/>
  <c r="AA34" i="17"/>
  <c r="Z34" i="17" s="1"/>
  <c r="Y34" i="17" s="1"/>
  <c r="AA169" i="17"/>
  <c r="Z169" i="17" s="1"/>
  <c r="Y169" i="17" s="1"/>
  <c r="AA57" i="17"/>
  <c r="Z57" i="17" s="1"/>
  <c r="Y57" i="17" s="1"/>
  <c r="AA243" i="17"/>
  <c r="Z243" i="17" s="1"/>
  <c r="Y243" i="17" s="1"/>
  <c r="G178" i="17"/>
  <c r="BZ178" i="6" s="1"/>
  <c r="H334" i="17"/>
  <c r="I334" i="17" s="1"/>
  <c r="H76" i="17"/>
  <c r="I76" i="17" s="1"/>
  <c r="H91" i="17"/>
  <c r="J91" i="17" s="1"/>
  <c r="AA74" i="17"/>
  <c r="Z74" i="17" s="1"/>
  <c r="Y74" i="17" s="1"/>
  <c r="AA20" i="17"/>
  <c r="Z20" i="17" s="1"/>
  <c r="Y20" i="17" s="1"/>
  <c r="H95" i="17"/>
  <c r="I95" i="17" s="1"/>
  <c r="AA228" i="17"/>
  <c r="Z228" i="17" s="1"/>
  <c r="Y228" i="17" s="1"/>
  <c r="G171" i="17"/>
  <c r="BZ171" i="6" s="1"/>
  <c r="AA245" i="17"/>
  <c r="Z245" i="17" s="1"/>
  <c r="Y245" i="17" s="1"/>
  <c r="AA303" i="17"/>
  <c r="Z303" i="17" s="1"/>
  <c r="Y303" i="17" s="1"/>
  <c r="AA235" i="17"/>
  <c r="Z235" i="17" s="1"/>
  <c r="Y235" i="17" s="1"/>
  <c r="H286" i="17"/>
  <c r="I286" i="17" s="1"/>
  <c r="AA317" i="17"/>
  <c r="Z317" i="17" s="1"/>
  <c r="Y317" i="17" s="1"/>
  <c r="AA147" i="17"/>
  <c r="Z147" i="17" s="1"/>
  <c r="Y147" i="17" s="1"/>
  <c r="H104" i="17"/>
  <c r="I104" i="17" s="1"/>
  <c r="H257" i="17"/>
  <c r="J257" i="17" s="1"/>
  <c r="AA118" i="17"/>
  <c r="Z118" i="17" s="1"/>
  <c r="Y118" i="17" s="1"/>
  <c r="AA47" i="17"/>
  <c r="Z47" i="17" s="1"/>
  <c r="Y47" i="17" s="1"/>
  <c r="AA150" i="17"/>
  <c r="Z150" i="17" s="1"/>
  <c r="Y150" i="17" s="1"/>
  <c r="H24" i="17"/>
  <c r="J24" i="17" s="1"/>
  <c r="H204" i="17"/>
  <c r="I204" i="17" s="1"/>
  <c r="G142" i="17"/>
  <c r="BZ142" i="6" s="1"/>
  <c r="G170" i="17"/>
  <c r="BZ170" i="6" s="1"/>
  <c r="H226" i="17"/>
  <c r="J226" i="17" s="1"/>
  <c r="H121" i="17"/>
  <c r="J121" i="17" s="1"/>
  <c r="H118" i="17"/>
  <c r="J118" i="17" s="1"/>
  <c r="H229" i="17"/>
  <c r="I229" i="17" s="1"/>
  <c r="G74" i="17"/>
  <c r="BZ74" i="6" s="1"/>
  <c r="H58" i="17"/>
  <c r="I58" i="17" s="1"/>
  <c r="H116" i="17"/>
  <c r="I116" i="17" s="1"/>
  <c r="H219" i="17"/>
  <c r="J219" i="17" s="1"/>
  <c r="H306" i="17"/>
  <c r="J306" i="17" s="1"/>
  <c r="H236" i="17"/>
  <c r="J236" i="17" s="1"/>
  <c r="H309" i="17"/>
  <c r="J309" i="17" s="1"/>
  <c r="I301" i="17"/>
  <c r="AA269" i="17"/>
  <c r="Z269" i="17" s="1"/>
  <c r="Y269" i="17" s="1"/>
  <c r="AA353" i="17"/>
  <c r="Z353" i="17" s="1"/>
  <c r="Y353" i="17" s="1"/>
  <c r="AA301" i="17"/>
  <c r="Z301" i="17" s="1"/>
  <c r="Y301" i="17" s="1"/>
  <c r="AA264" i="17"/>
  <c r="Z264" i="17" s="1"/>
  <c r="Y264" i="17" s="1"/>
  <c r="AA156" i="17"/>
  <c r="Z156" i="17" s="1"/>
  <c r="Y156" i="17" s="1"/>
  <c r="AA304" i="17"/>
  <c r="Z304" i="17" s="1"/>
  <c r="Y304" i="17" s="1"/>
  <c r="AA279" i="17"/>
  <c r="Z279" i="17" s="1"/>
  <c r="Y279" i="17" s="1"/>
  <c r="AA293" i="17"/>
  <c r="Z293" i="17" s="1"/>
  <c r="Y293" i="17" s="1"/>
  <c r="H293" i="17"/>
  <c r="J293" i="17" s="1"/>
  <c r="H44" i="17"/>
  <c r="I44" i="17" s="1"/>
  <c r="G304" i="17"/>
  <c r="BZ304" i="6" s="1"/>
  <c r="G220" i="17"/>
  <c r="BZ220" i="6" s="1"/>
  <c r="G134" i="17"/>
  <c r="BZ134" i="6" s="1"/>
  <c r="G99" i="17"/>
  <c r="BZ99" i="6" s="1"/>
  <c r="G313" i="17"/>
  <c r="BZ313" i="6" s="1"/>
  <c r="G186" i="17"/>
  <c r="BZ186" i="6" s="1"/>
  <c r="G247" i="17"/>
  <c r="BZ247" i="6" s="1"/>
  <c r="H157" i="17"/>
  <c r="I157" i="17" s="1"/>
  <c r="G291" i="17"/>
  <c r="BZ291" i="6" s="1"/>
  <c r="H325" i="17"/>
  <c r="I325" i="17" s="1"/>
  <c r="H238" i="17"/>
  <c r="I238" i="17" s="1"/>
  <c r="G122" i="17"/>
  <c r="BZ122" i="6" s="1"/>
  <c r="H339" i="17"/>
  <c r="J339" i="17" s="1"/>
  <c r="H198" i="17"/>
  <c r="J198" i="17" s="1"/>
  <c r="G305" i="17"/>
  <c r="BZ305" i="6" s="1"/>
  <c r="G237" i="17"/>
  <c r="BZ237" i="6" s="1"/>
  <c r="H279" i="17"/>
  <c r="J279" i="17" s="1"/>
  <c r="H340" i="17"/>
  <c r="I340" i="17" s="1"/>
  <c r="G353" i="17"/>
  <c r="BZ353" i="6" s="1"/>
  <c r="H344" i="17"/>
  <c r="I344" i="17" s="1"/>
  <c r="H19" i="17"/>
  <c r="I19" i="17" s="1"/>
  <c r="H252" i="17"/>
  <c r="J252" i="17" s="1"/>
  <c r="H179" i="17"/>
  <c r="I179" i="17" s="1"/>
  <c r="H377" i="17"/>
  <c r="I377" i="17" s="1"/>
  <c r="AA370" i="17"/>
  <c r="Z370" i="17" s="1"/>
  <c r="Y370" i="17" s="1"/>
  <c r="AA294" i="17"/>
  <c r="Z294" i="17" s="1"/>
  <c r="Y294" i="17" s="1"/>
  <c r="AA254" i="17"/>
  <c r="Z254" i="17" s="1"/>
  <c r="Y254" i="17" s="1"/>
  <c r="AA144" i="17"/>
  <c r="Z144" i="17" s="1"/>
  <c r="Y144" i="17" s="1"/>
  <c r="AA342" i="17"/>
  <c r="Z342" i="17" s="1"/>
  <c r="Y342" i="17" s="1"/>
  <c r="AA282" i="17"/>
  <c r="Z282" i="17" s="1"/>
  <c r="Y282" i="17" s="1"/>
  <c r="AA197" i="17"/>
  <c r="Z197" i="17" s="1"/>
  <c r="Y197" i="17" s="1"/>
  <c r="AA31" i="17"/>
  <c r="Z31" i="17" s="1"/>
  <c r="Y31" i="17" s="1"/>
  <c r="AA140" i="17"/>
  <c r="Z140" i="17" s="1"/>
  <c r="Y140" i="17" s="1"/>
  <c r="AA161" i="17"/>
  <c r="Z161" i="17" s="1"/>
  <c r="Y161" i="17" s="1"/>
  <c r="H327" i="17"/>
  <c r="I327" i="17" s="1"/>
  <c r="G199" i="17"/>
  <c r="BZ199" i="6" s="1"/>
  <c r="H254" i="17"/>
  <c r="I254" i="17" s="1"/>
  <c r="G16" i="17"/>
  <c r="BZ16" i="6" s="1"/>
  <c r="H45" i="17"/>
  <c r="I45" i="17" s="1"/>
  <c r="AA321" i="17"/>
  <c r="Z321" i="17" s="1"/>
  <c r="Y321" i="17" s="1"/>
  <c r="AA327" i="17"/>
  <c r="Z327" i="17" s="1"/>
  <c r="Y327" i="17" s="1"/>
  <c r="AA51" i="17"/>
  <c r="Z51" i="17" s="1"/>
  <c r="Y51" i="17" s="1"/>
  <c r="AA79" i="17"/>
  <c r="Z79" i="17" s="1"/>
  <c r="Y79" i="17" s="1"/>
  <c r="AA252" i="17"/>
  <c r="Z252" i="17" s="1"/>
  <c r="Y252" i="17" s="1"/>
  <c r="AA338" i="17"/>
  <c r="Z338" i="17" s="1"/>
  <c r="Y338" i="17" s="1"/>
  <c r="AA367" i="17"/>
  <c r="Z367" i="17" s="1"/>
  <c r="Y367" i="17" s="1"/>
  <c r="AA77" i="17"/>
  <c r="Z77" i="17" s="1"/>
  <c r="Y77" i="17" s="1"/>
  <c r="AA177" i="17"/>
  <c r="Z177" i="17" s="1"/>
  <c r="Y177" i="17" s="1"/>
  <c r="AA335" i="17"/>
  <c r="Z335" i="17" s="1"/>
  <c r="Y335" i="17" s="1"/>
  <c r="AA115" i="17"/>
  <c r="Z115" i="17" s="1"/>
  <c r="Y115" i="17" s="1"/>
  <c r="AA84" i="17"/>
  <c r="Z84" i="17" s="1"/>
  <c r="Y84" i="17" s="1"/>
  <c r="AA37" i="17"/>
  <c r="Z37" i="17" s="1"/>
  <c r="Y37" i="17" s="1"/>
  <c r="G348" i="17"/>
  <c r="BZ348" i="6" s="1"/>
  <c r="H371" i="17"/>
  <c r="I371" i="17" s="1"/>
  <c r="V333" i="17"/>
  <c r="F333" i="17" s="1"/>
  <c r="G333" i="17" s="1"/>
  <c r="BZ333" i="6" s="1"/>
  <c r="G214" i="17"/>
  <c r="BZ214" i="6" s="1"/>
  <c r="H144" i="17"/>
  <c r="I144" i="17" s="1"/>
  <c r="G93" i="17"/>
  <c r="BZ93" i="6" s="1"/>
  <c r="D56" i="7"/>
  <c r="G306" i="17"/>
  <c r="BZ306" i="6" s="1"/>
  <c r="H190" i="17"/>
  <c r="J190" i="17" s="1"/>
  <c r="H273" i="17"/>
  <c r="J273" i="17" s="1"/>
  <c r="AA313" i="17"/>
  <c r="Z313" i="17" s="1"/>
  <c r="Y313" i="17" s="1"/>
  <c r="AA107" i="17"/>
  <c r="Z107" i="17" s="1"/>
  <c r="Y107" i="17" s="1"/>
  <c r="AA32" i="17"/>
  <c r="Z32" i="17" s="1"/>
  <c r="Y32" i="17" s="1"/>
  <c r="AA314" i="17"/>
  <c r="Z314" i="17" s="1"/>
  <c r="Y314" i="17" s="1"/>
  <c r="AA344" i="17"/>
  <c r="Z344" i="17" s="1"/>
  <c r="Y344" i="17" s="1"/>
  <c r="AA103" i="17"/>
  <c r="Z103" i="17" s="1"/>
  <c r="Y103" i="17" s="1"/>
  <c r="AA134" i="17"/>
  <c r="Z134" i="17" s="1"/>
  <c r="Y134" i="17" s="1"/>
  <c r="AB15" i="7"/>
  <c r="H253" i="17"/>
  <c r="J253" i="17" s="1"/>
  <c r="G253" i="17"/>
  <c r="BZ253" i="6" s="1"/>
  <c r="G239" i="17"/>
  <c r="BZ239" i="6" s="1"/>
  <c r="H239" i="17"/>
  <c r="I239" i="17" s="1"/>
  <c r="H20" i="17"/>
  <c r="G20" i="17"/>
  <c r="BZ20" i="6" s="1"/>
  <c r="G57" i="17"/>
  <c r="BZ57" i="6" s="1"/>
  <c r="H57" i="17"/>
  <c r="J57" i="17" s="1"/>
  <c r="J228" i="16"/>
  <c r="J228" i="17" s="1"/>
  <c r="AA68" i="17"/>
  <c r="Z68" i="17" s="1"/>
  <c r="Y68" i="17" s="1"/>
  <c r="AA256" i="17"/>
  <c r="Z256" i="17" s="1"/>
  <c r="Y256" i="17" s="1"/>
  <c r="AA361" i="17"/>
  <c r="Z361" i="17" s="1"/>
  <c r="Y361" i="17" s="1"/>
  <c r="AA189" i="17"/>
  <c r="Z189" i="17" s="1"/>
  <c r="Y189" i="17" s="1"/>
  <c r="AA58" i="17"/>
  <c r="Z58" i="17" s="1"/>
  <c r="Y58" i="17" s="1"/>
  <c r="H265" i="17"/>
  <c r="J265" i="17" s="1"/>
  <c r="G375" i="17"/>
  <c r="BZ375" i="6" s="1"/>
  <c r="G223" i="17"/>
  <c r="BZ223" i="6" s="1"/>
  <c r="G96" i="17"/>
  <c r="BZ96" i="6" s="1"/>
  <c r="AI12" i="18"/>
  <c r="AA359" i="17"/>
  <c r="Z359" i="17" s="1"/>
  <c r="Y359" i="17" s="1"/>
  <c r="AA24" i="17"/>
  <c r="Z24" i="17" s="1"/>
  <c r="Y24" i="17" s="1"/>
  <c r="G369" i="17"/>
  <c r="BZ369" i="6" s="1"/>
  <c r="G113" i="17"/>
  <c r="BZ113" i="6" s="1"/>
  <c r="H201" i="17"/>
  <c r="J201" i="17" s="1"/>
  <c r="G262" i="17"/>
  <c r="BZ262" i="6" s="1"/>
  <c r="H150" i="17"/>
  <c r="J150" i="17" s="1"/>
  <c r="V210" i="17"/>
  <c r="H64" i="19" s="1"/>
  <c r="H274" i="17"/>
  <c r="I274" i="17" s="1"/>
  <c r="G176" i="17"/>
  <c r="BZ176" i="6" s="1"/>
  <c r="H47" i="17"/>
  <c r="I47" i="17" s="1"/>
  <c r="AA262" i="17"/>
  <c r="Z262" i="17" s="1"/>
  <c r="Y262" i="17" s="1"/>
  <c r="AA234" i="17"/>
  <c r="Z234" i="17" s="1"/>
  <c r="Y234" i="17" s="1"/>
  <c r="AA219" i="17"/>
  <c r="Z219" i="17" s="1"/>
  <c r="Y219" i="17" s="1"/>
  <c r="H337" i="17"/>
  <c r="J337" i="17" s="1"/>
  <c r="H166" i="17"/>
  <c r="I166" i="17" s="1"/>
  <c r="G309" i="17"/>
  <c r="BZ309" i="6" s="1"/>
  <c r="H209" i="17"/>
  <c r="J209" i="17" s="1"/>
  <c r="G30" i="17"/>
  <c r="BZ30" i="6" s="1"/>
  <c r="H267" i="17"/>
  <c r="J267" i="17" s="1"/>
  <c r="G90" i="17"/>
  <c r="BZ90" i="6" s="1"/>
  <c r="H217" i="17"/>
  <c r="I217" i="17" s="1"/>
  <c r="AA122" i="17"/>
  <c r="Z122" i="17" s="1"/>
  <c r="Y122" i="17" s="1"/>
  <c r="AA175" i="17"/>
  <c r="Z175" i="17" s="1"/>
  <c r="Y175" i="17" s="1"/>
  <c r="AA90" i="17"/>
  <c r="Z90" i="17" s="1"/>
  <c r="Y90" i="17" s="1"/>
  <c r="H270" i="17"/>
  <c r="I270" i="17" s="1"/>
  <c r="H71" i="17"/>
  <c r="I71" i="17" s="1"/>
  <c r="D58" i="7"/>
  <c r="V16" i="7"/>
  <c r="AB11" i="7" s="1"/>
  <c r="U11" i="18" s="1"/>
  <c r="U10" i="18" s="1"/>
  <c r="AA349" i="17"/>
  <c r="Z349" i="17" s="1"/>
  <c r="Y349" i="17" s="1"/>
  <c r="H163" i="17"/>
  <c r="I163" i="17" s="1"/>
  <c r="H73" i="17"/>
  <c r="I73" i="17" s="1"/>
  <c r="G335" i="17"/>
  <c r="BZ335" i="6" s="1"/>
  <c r="H139" i="17"/>
  <c r="I139" i="17" s="1"/>
  <c r="G38" i="17"/>
  <c r="BZ38" i="6" s="1"/>
  <c r="D64" i="7"/>
  <c r="H338" i="17"/>
  <c r="J338" i="17" s="1"/>
  <c r="H269" i="17"/>
  <c r="I269" i="17" s="1"/>
  <c r="H103" i="17"/>
  <c r="J103" i="17" s="1"/>
  <c r="H148" i="17"/>
  <c r="J148" i="17" s="1"/>
  <c r="H294" i="17"/>
  <c r="J294" i="17" s="1"/>
  <c r="H48" i="17"/>
  <c r="J48" i="17" s="1"/>
  <c r="AA72" i="17"/>
  <c r="Z72" i="17" s="1"/>
  <c r="Y72" i="17" s="1"/>
  <c r="AA305" i="17"/>
  <c r="Z305" i="17" s="1"/>
  <c r="Y305" i="17" s="1"/>
  <c r="AA350" i="17"/>
  <c r="Z350" i="17" s="1"/>
  <c r="Y350" i="17" s="1"/>
  <c r="AA99" i="17"/>
  <c r="Z99" i="17" s="1"/>
  <c r="Y99" i="17" s="1"/>
  <c r="AA230" i="17"/>
  <c r="Z230" i="17" s="1"/>
  <c r="Y230" i="17" s="1"/>
  <c r="AA247" i="17"/>
  <c r="Z247" i="17" s="1"/>
  <c r="Y247" i="17" s="1"/>
  <c r="AA236" i="17"/>
  <c r="Z236" i="17" s="1"/>
  <c r="Y236" i="17" s="1"/>
  <c r="AA220" i="17"/>
  <c r="Z220" i="17" s="1"/>
  <c r="Y220" i="17" s="1"/>
  <c r="H105" i="17"/>
  <c r="I105" i="17" s="1"/>
  <c r="AA284" i="17"/>
  <c r="Z284" i="17" s="1"/>
  <c r="Y284" i="17" s="1"/>
  <c r="AA98" i="17"/>
  <c r="Z98" i="17" s="1"/>
  <c r="Y98" i="17" s="1"/>
  <c r="AA253" i="17"/>
  <c r="Z253" i="17" s="1"/>
  <c r="Y253" i="17" s="1"/>
  <c r="G80" i="17"/>
  <c r="BZ80" i="6" s="1"/>
  <c r="H184" i="17"/>
  <c r="I184" i="17" s="1"/>
  <c r="H187" i="17"/>
  <c r="I187" i="17" s="1"/>
  <c r="G341" i="17"/>
  <c r="BZ341" i="6" s="1"/>
  <c r="H346" i="17"/>
  <c r="J346" i="17" s="1"/>
  <c r="G378" i="17"/>
  <c r="BZ378" i="6" s="1"/>
  <c r="H165" i="17"/>
  <c r="J165" i="17" s="1"/>
  <c r="Q382" i="18"/>
  <c r="AA92" i="17"/>
  <c r="Z92" i="17" s="1"/>
  <c r="Y92" i="17" s="1"/>
  <c r="AA30" i="17"/>
  <c r="Z30" i="17" s="1"/>
  <c r="Y30" i="17" s="1"/>
  <c r="AA290" i="17"/>
  <c r="Z290" i="17" s="1"/>
  <c r="Y290" i="17" s="1"/>
  <c r="AA22" i="17"/>
  <c r="Z22" i="17" s="1"/>
  <c r="Y22" i="17" s="1"/>
  <c r="Q12" i="20"/>
  <c r="AG15" i="7" s="1"/>
  <c r="G56" i="17"/>
  <c r="BZ56" i="6" s="1"/>
  <c r="H56" i="17"/>
  <c r="I56" i="17" s="1"/>
  <c r="T21" i="17"/>
  <c r="S21" i="17" s="1"/>
  <c r="R21" i="17" s="1"/>
  <c r="P21" i="17" s="1"/>
  <c r="V21" i="17" s="1"/>
  <c r="F21" i="17" s="1"/>
  <c r="H21" i="17" s="1"/>
  <c r="I21" i="17" s="1"/>
  <c r="U381" i="17"/>
  <c r="G154" i="17"/>
  <c r="BZ154" i="6" s="1"/>
  <c r="H154" i="17"/>
  <c r="I154" i="17" s="1"/>
  <c r="G85" i="17"/>
  <c r="BZ85" i="6" s="1"/>
  <c r="H85" i="17"/>
  <c r="I85" i="17" s="1"/>
  <c r="H66" i="17"/>
  <c r="I66" i="17" s="1"/>
  <c r="G66" i="17"/>
  <c r="BZ66" i="6" s="1"/>
  <c r="G365" i="17"/>
  <c r="BZ365" i="6" s="1"/>
  <c r="H365" i="17"/>
  <c r="I365" i="17" s="1"/>
  <c r="H59" i="17"/>
  <c r="I59" i="17" s="1"/>
  <c r="G59" i="17"/>
  <c r="BZ59" i="6" s="1"/>
  <c r="G50" i="17"/>
  <c r="BZ50" i="6" s="1"/>
  <c r="H50" i="17"/>
  <c r="I50" i="17" s="1"/>
  <c r="H221" i="17"/>
  <c r="J221" i="17" s="1"/>
  <c r="G221" i="17"/>
  <c r="BZ221" i="6" s="1"/>
  <c r="H240" i="17"/>
  <c r="I240" i="17" s="1"/>
  <c r="G240" i="17"/>
  <c r="BZ240" i="6" s="1"/>
  <c r="H361" i="17"/>
  <c r="J361" i="17" s="1"/>
  <c r="G361" i="17"/>
  <c r="BZ361" i="6" s="1"/>
  <c r="G155" i="17"/>
  <c r="BZ155" i="6" s="1"/>
  <c r="H155" i="17"/>
  <c r="I155" i="17" s="1"/>
  <c r="G100" i="17"/>
  <c r="BZ100" i="6" s="1"/>
  <c r="H100" i="17"/>
  <c r="J100" i="17" s="1"/>
  <c r="G151" i="17"/>
  <c r="BZ151" i="6" s="1"/>
  <c r="H151" i="17"/>
  <c r="I151" i="17" s="1"/>
  <c r="V352" i="17"/>
  <c r="F352" i="17" s="1"/>
  <c r="H124" i="17"/>
  <c r="I124" i="17" s="1"/>
  <c r="G124" i="17"/>
  <c r="BZ124" i="6" s="1"/>
  <c r="G357" i="17"/>
  <c r="BZ357" i="6" s="1"/>
  <c r="H357" i="17"/>
  <c r="I357" i="17" s="1"/>
  <c r="G281" i="17"/>
  <c r="BZ281" i="6" s="1"/>
  <c r="H281" i="17"/>
  <c r="J281" i="17" s="1"/>
  <c r="H183" i="17"/>
  <c r="I183" i="17" s="1"/>
  <c r="G183" i="17"/>
  <c r="BZ183" i="6" s="1"/>
  <c r="H287" i="17"/>
  <c r="J287" i="17" s="1"/>
  <c r="G287" i="17"/>
  <c r="BZ287" i="6" s="1"/>
  <c r="H63" i="17"/>
  <c r="I63" i="17" s="1"/>
  <c r="G63" i="17"/>
  <c r="BZ63" i="6" s="1"/>
  <c r="G193" i="17"/>
  <c r="BZ193" i="6" s="1"/>
  <c r="H193" i="17"/>
  <c r="I193" i="17" s="1"/>
  <c r="H343" i="17"/>
  <c r="I343" i="17" s="1"/>
  <c r="G343" i="17"/>
  <c r="BZ343" i="6" s="1"/>
  <c r="G224" i="17"/>
  <c r="BZ224" i="6" s="1"/>
  <c r="H224" i="17"/>
  <c r="I224" i="17" s="1"/>
  <c r="H203" i="17"/>
  <c r="I203" i="17" s="1"/>
  <c r="G203" i="17"/>
  <c r="BZ203" i="6" s="1"/>
  <c r="G159" i="17"/>
  <c r="BZ159" i="6" s="1"/>
  <c r="H159" i="17"/>
  <c r="J159" i="17" s="1"/>
  <c r="H173" i="17"/>
  <c r="J173" i="17" s="1"/>
  <c r="G173" i="17"/>
  <c r="BZ173" i="6" s="1"/>
  <c r="G225" i="17"/>
  <c r="BZ225" i="6" s="1"/>
  <c r="H225" i="17"/>
  <c r="I225" i="17" s="1"/>
  <c r="H83" i="17"/>
  <c r="J83" i="17" s="1"/>
  <c r="G83" i="17"/>
  <c r="BZ83" i="6" s="1"/>
  <c r="G218" i="17"/>
  <c r="BZ218" i="6" s="1"/>
  <c r="H218" i="17"/>
  <c r="J218" i="17" s="1"/>
  <c r="H172" i="17"/>
  <c r="I172" i="17" s="1"/>
  <c r="G172" i="17"/>
  <c r="BZ172" i="6" s="1"/>
  <c r="H256" i="17"/>
  <c r="J256" i="17" s="1"/>
  <c r="G256" i="17"/>
  <c r="BZ256" i="6" s="1"/>
  <c r="H318" i="17"/>
  <c r="I318" i="17" s="1"/>
  <c r="AA318" i="17"/>
  <c r="Z318" i="17" s="1"/>
  <c r="Y318" i="17" s="1"/>
  <c r="G182" i="17"/>
  <c r="BZ182" i="6" s="1"/>
  <c r="H182" i="17"/>
  <c r="J182" i="17" s="1"/>
  <c r="H202" i="17"/>
  <c r="J202" i="17" s="1"/>
  <c r="G202" i="17"/>
  <c r="BZ202" i="6" s="1"/>
  <c r="G324" i="17"/>
  <c r="BZ324" i="6" s="1"/>
  <c r="H324" i="17"/>
  <c r="J324" i="17" s="1"/>
  <c r="G55" i="17"/>
  <c r="BZ55" i="6" s="1"/>
  <c r="H55" i="17"/>
  <c r="J55" i="17" s="1"/>
  <c r="AH19" i="17"/>
  <c r="AG19" i="17" s="1"/>
  <c r="AF19" i="17" s="1"/>
  <c r="AD19" i="17" s="1"/>
  <c r="AA19" i="17" s="1"/>
  <c r="Z19" i="17" s="1"/>
  <c r="Y19" i="17" s="1"/>
  <c r="AI383" i="17"/>
  <c r="H68" i="17"/>
  <c r="J68" i="17" s="1"/>
  <c r="H132" i="17"/>
  <c r="I132" i="17" s="1"/>
  <c r="H283" i="17"/>
  <c r="I283" i="17" s="1"/>
  <c r="H164" i="17"/>
  <c r="J164" i="17" s="1"/>
  <c r="V241" i="17"/>
  <c r="I64" i="19" s="1"/>
  <c r="G258" i="17"/>
  <c r="BZ258" i="6" s="1"/>
  <c r="G126" i="17"/>
  <c r="BZ126" i="6" s="1"/>
  <c r="G263" i="17"/>
  <c r="BZ263" i="6" s="1"/>
  <c r="G62" i="17"/>
  <c r="BZ62" i="6" s="1"/>
  <c r="H89" i="17"/>
  <c r="I89" i="17" s="1"/>
  <c r="H39" i="17"/>
  <c r="I39" i="17" s="1"/>
  <c r="D67" i="7"/>
  <c r="H125" i="17"/>
  <c r="I125" i="17" s="1"/>
  <c r="D60" i="7"/>
  <c r="U382" i="17"/>
  <c r="H248" i="17"/>
  <c r="I248" i="17" s="1"/>
  <c r="V60" i="17"/>
  <c r="F60" i="17" s="1"/>
  <c r="AA60" i="17" s="1"/>
  <c r="Z60" i="17" s="1"/>
  <c r="Y60" i="17" s="1"/>
  <c r="H376" i="17"/>
  <c r="I376" i="17" s="1"/>
  <c r="AA255" i="17"/>
  <c r="Z255" i="17" s="1"/>
  <c r="Y255" i="17" s="1"/>
  <c r="AA205" i="17"/>
  <c r="Z205" i="17" s="1"/>
  <c r="Y205" i="17" s="1"/>
  <c r="AA212" i="17"/>
  <c r="Z212" i="17" s="1"/>
  <c r="Y212" i="17" s="1"/>
  <c r="AA265" i="17"/>
  <c r="Z265" i="17" s="1"/>
  <c r="Y265" i="17" s="1"/>
  <c r="AA83" i="17"/>
  <c r="Z83" i="17" s="1"/>
  <c r="Y83" i="17" s="1"/>
  <c r="AA126" i="17"/>
  <c r="Z126" i="17" s="1"/>
  <c r="Y126" i="17" s="1"/>
  <c r="AA89" i="17"/>
  <c r="Z89" i="17" s="1"/>
  <c r="Y89" i="17" s="1"/>
  <c r="AA105" i="17"/>
  <c r="Z105" i="17" s="1"/>
  <c r="Y105" i="17" s="1"/>
  <c r="AA257" i="17"/>
  <c r="Z257" i="17" s="1"/>
  <c r="Y257" i="17" s="1"/>
  <c r="AA167" i="17"/>
  <c r="Z167" i="17" s="1"/>
  <c r="Y167" i="17" s="1"/>
  <c r="AA289" i="17"/>
  <c r="Z289" i="17" s="1"/>
  <c r="Y289" i="17" s="1"/>
  <c r="AA203" i="17"/>
  <c r="Z203" i="17" s="1"/>
  <c r="Y203" i="17" s="1"/>
  <c r="AA246" i="17"/>
  <c r="Z246" i="17" s="1"/>
  <c r="Y246" i="17" s="1"/>
  <c r="AA56" i="17"/>
  <c r="Z56" i="17" s="1"/>
  <c r="Y56" i="17" s="1"/>
  <c r="AA287" i="17"/>
  <c r="Z287" i="17" s="1"/>
  <c r="Y287" i="17" s="1"/>
  <c r="AA343" i="17"/>
  <c r="Z343" i="17" s="1"/>
  <c r="Y343" i="17" s="1"/>
  <c r="AA94" i="17"/>
  <c r="Z94" i="17" s="1"/>
  <c r="Y94" i="17" s="1"/>
  <c r="AA281" i="17"/>
  <c r="Z281" i="17" s="1"/>
  <c r="Y281" i="17" s="1"/>
  <c r="AA280" i="17"/>
  <c r="Z280" i="17" s="1"/>
  <c r="Y280" i="17" s="1"/>
  <c r="AA286" i="17"/>
  <c r="Z286" i="17" s="1"/>
  <c r="Y286" i="17" s="1"/>
  <c r="H354" i="17"/>
  <c r="I354" i="17" s="1"/>
  <c r="H336" i="17"/>
  <c r="I336" i="17" s="1"/>
  <c r="AA320" i="17"/>
  <c r="Z320" i="17" s="1"/>
  <c r="Y320" i="17" s="1"/>
  <c r="G347" i="17"/>
  <c r="BZ347" i="6" s="1"/>
  <c r="H347" i="17"/>
  <c r="J347" i="17" s="1"/>
  <c r="G266" i="17"/>
  <c r="BZ266" i="6" s="1"/>
  <c r="H266" i="17"/>
  <c r="I266" i="17" s="1"/>
  <c r="G86" i="17"/>
  <c r="BZ86" i="6" s="1"/>
  <c r="H86" i="17"/>
  <c r="J86" i="17" s="1"/>
  <c r="G69" i="17"/>
  <c r="BZ69" i="6" s="1"/>
  <c r="H69" i="17"/>
  <c r="I69" i="17" s="1"/>
  <c r="G372" i="17"/>
  <c r="BZ372" i="6" s="1"/>
  <c r="H372" i="17"/>
  <c r="J372" i="17" s="1"/>
  <c r="G373" i="17"/>
  <c r="BZ373" i="6" s="1"/>
  <c r="H373" i="17"/>
  <c r="I373" i="17" s="1"/>
  <c r="G131" i="17"/>
  <c r="BZ131" i="6" s="1"/>
  <c r="H131" i="17"/>
  <c r="J131" i="17" s="1"/>
  <c r="H212" i="17"/>
  <c r="I212" i="17" s="1"/>
  <c r="G212" i="17"/>
  <c r="BZ212" i="6" s="1"/>
  <c r="G310" i="17"/>
  <c r="BZ310" i="6" s="1"/>
  <c r="H310" i="17"/>
  <c r="J310" i="17" s="1"/>
  <c r="G356" i="17"/>
  <c r="BZ356" i="6" s="1"/>
  <c r="H356" i="17"/>
  <c r="J356" i="17" s="1"/>
  <c r="G246" i="17"/>
  <c r="BZ246" i="6" s="1"/>
  <c r="H246" i="17"/>
  <c r="J246" i="17" s="1"/>
  <c r="G162" i="17"/>
  <c r="BZ162" i="6" s="1"/>
  <c r="H162" i="17"/>
  <c r="J162" i="17" s="1"/>
  <c r="H97" i="17"/>
  <c r="G97" i="17"/>
  <c r="BZ97" i="6" s="1"/>
  <c r="G358" i="17"/>
  <c r="BZ358" i="6" s="1"/>
  <c r="H358" i="17"/>
  <c r="J358" i="17" s="1"/>
  <c r="G316" i="17"/>
  <c r="BZ316" i="6" s="1"/>
  <c r="H316" i="17"/>
  <c r="I316" i="17" s="1"/>
  <c r="G284" i="17"/>
  <c r="BZ284" i="6" s="1"/>
  <c r="H284" i="17"/>
  <c r="I284" i="17" s="1"/>
  <c r="G128" i="17"/>
  <c r="BZ128" i="6" s="1"/>
  <c r="H128" i="17"/>
  <c r="I128" i="17" s="1"/>
  <c r="AA259" i="17"/>
  <c r="Z259" i="17" s="1"/>
  <c r="Y259" i="17" s="1"/>
  <c r="AA50" i="17"/>
  <c r="Z50" i="17" s="1"/>
  <c r="Y50" i="17" s="1"/>
  <c r="AA356" i="17"/>
  <c r="Z356" i="17" s="1"/>
  <c r="Y356" i="17" s="1"/>
  <c r="AA128" i="17"/>
  <c r="Z128" i="17" s="1"/>
  <c r="Y128" i="17" s="1"/>
  <c r="AA39" i="17"/>
  <c r="Z39" i="17" s="1"/>
  <c r="Y39" i="17" s="1"/>
  <c r="AA326" i="17"/>
  <c r="Z326" i="17" s="1"/>
  <c r="Y326" i="17" s="1"/>
  <c r="AA266" i="17"/>
  <c r="Z266" i="17" s="1"/>
  <c r="Y266" i="17" s="1"/>
  <c r="AA223" i="17"/>
  <c r="Z223" i="17" s="1"/>
  <c r="Y223" i="17" s="1"/>
  <c r="AA357" i="17"/>
  <c r="Z357" i="17" s="1"/>
  <c r="Y357" i="17" s="1"/>
  <c r="AA310" i="17"/>
  <c r="Z310" i="17" s="1"/>
  <c r="Y310" i="17" s="1"/>
  <c r="AA227" i="17"/>
  <c r="Z227" i="17" s="1"/>
  <c r="Y227" i="17" s="1"/>
  <c r="AA365" i="17"/>
  <c r="Z365" i="17" s="1"/>
  <c r="Y365" i="17" s="1"/>
  <c r="AA69" i="17"/>
  <c r="Z69" i="17" s="1"/>
  <c r="Y69" i="17" s="1"/>
  <c r="AA202" i="17"/>
  <c r="Z202" i="17" s="1"/>
  <c r="Y202" i="17" s="1"/>
  <c r="AA80" i="17"/>
  <c r="Z80" i="17" s="1"/>
  <c r="Y80" i="17" s="1"/>
  <c r="AA206" i="17"/>
  <c r="Z206" i="17" s="1"/>
  <c r="Y206" i="17" s="1"/>
  <c r="AA207" i="17"/>
  <c r="Z207" i="17" s="1"/>
  <c r="Y207" i="17" s="1"/>
  <c r="AA85" i="17"/>
  <c r="Z85" i="17" s="1"/>
  <c r="Y85" i="17" s="1"/>
  <c r="AA97" i="17"/>
  <c r="Z97" i="17" s="1"/>
  <c r="Y97" i="17" s="1"/>
  <c r="AA96" i="17"/>
  <c r="Z96" i="17" s="1"/>
  <c r="Y96" i="17" s="1"/>
  <c r="AA341" i="17"/>
  <c r="Z341" i="17" s="1"/>
  <c r="Y341" i="17" s="1"/>
  <c r="AA104" i="17"/>
  <c r="Z104" i="17" s="1"/>
  <c r="Y104" i="17" s="1"/>
  <c r="AA375" i="17"/>
  <c r="Z375" i="17" s="1"/>
  <c r="Y375" i="17" s="1"/>
  <c r="AA233" i="17"/>
  <c r="Z233" i="17" s="1"/>
  <c r="Y233" i="17" s="1"/>
  <c r="AA106" i="17"/>
  <c r="Z106" i="17" s="1"/>
  <c r="Y106" i="17" s="1"/>
  <c r="AA183" i="17"/>
  <c r="Z183" i="17" s="1"/>
  <c r="Y183" i="17" s="1"/>
  <c r="G318" i="17"/>
  <c r="BZ318" i="6" s="1"/>
  <c r="AA125" i="17"/>
  <c r="Z125" i="17" s="1"/>
  <c r="Y125" i="17" s="1"/>
  <c r="AA132" i="17"/>
  <c r="Z132" i="17" s="1"/>
  <c r="Y132" i="17" s="1"/>
  <c r="AA377" i="17"/>
  <c r="Z377" i="17" s="1"/>
  <c r="Y377" i="17" s="1"/>
  <c r="AA373" i="17"/>
  <c r="Z373" i="17" s="1"/>
  <c r="Y373" i="17" s="1"/>
  <c r="AA354" i="17"/>
  <c r="Z354" i="17" s="1"/>
  <c r="Y354" i="17" s="1"/>
  <c r="AA172" i="17"/>
  <c r="Z172" i="17" s="1"/>
  <c r="Y172" i="17" s="1"/>
  <c r="AA55" i="17"/>
  <c r="Z55" i="17" s="1"/>
  <c r="Y55" i="17" s="1"/>
  <c r="AA276" i="17"/>
  <c r="Z276" i="17" s="1"/>
  <c r="Y276" i="17" s="1"/>
  <c r="AA165" i="17"/>
  <c r="Z165" i="17" s="1"/>
  <c r="Y165" i="17" s="1"/>
  <c r="AA299" i="17"/>
  <c r="Z299" i="17" s="1"/>
  <c r="Y299" i="17" s="1"/>
  <c r="AA184" i="17"/>
  <c r="Z184" i="17" s="1"/>
  <c r="Y184" i="17" s="1"/>
  <c r="AA250" i="17"/>
  <c r="Z250" i="17" s="1"/>
  <c r="Y250" i="17" s="1"/>
  <c r="AA108" i="17"/>
  <c r="Z108" i="17" s="1"/>
  <c r="Y108" i="17" s="1"/>
  <c r="AA182" i="17"/>
  <c r="Z182" i="17" s="1"/>
  <c r="Y182" i="17" s="1"/>
  <c r="AA358" i="17"/>
  <c r="Z358" i="17" s="1"/>
  <c r="Y358" i="17" s="1"/>
  <c r="AA66" i="17"/>
  <c r="Z66" i="17" s="1"/>
  <c r="Y66" i="17" s="1"/>
  <c r="AA100" i="17"/>
  <c r="Z100" i="17" s="1"/>
  <c r="Y100" i="17" s="1"/>
  <c r="AA179" i="17"/>
  <c r="Z179" i="17" s="1"/>
  <c r="Y179" i="17" s="1"/>
  <c r="AA187" i="17"/>
  <c r="Z187" i="17" s="1"/>
  <c r="Y187" i="17" s="1"/>
  <c r="AA346" i="17"/>
  <c r="Z346" i="17" s="1"/>
  <c r="Y346" i="17" s="1"/>
  <c r="AA59" i="17"/>
  <c r="Z59" i="17" s="1"/>
  <c r="Y59" i="17" s="1"/>
  <c r="AA193" i="17"/>
  <c r="Z193" i="17" s="1"/>
  <c r="Y193" i="17" s="1"/>
  <c r="AA86" i="17"/>
  <c r="Z86" i="17" s="1"/>
  <c r="Y86" i="17" s="1"/>
  <c r="AA178" i="17"/>
  <c r="Z178" i="17" s="1"/>
  <c r="Y178" i="17" s="1"/>
  <c r="AA142" i="17"/>
  <c r="Z142" i="17" s="1"/>
  <c r="Y142" i="17" s="1"/>
  <c r="AA248" i="17"/>
  <c r="Z248" i="17" s="1"/>
  <c r="Y248" i="17" s="1"/>
  <c r="AA226" i="17"/>
  <c r="Z226" i="17" s="1"/>
  <c r="Y226" i="17" s="1"/>
  <c r="AA221" i="17"/>
  <c r="Z221" i="17" s="1"/>
  <c r="Y221" i="17" s="1"/>
  <c r="AA240" i="17"/>
  <c r="Z240" i="17" s="1"/>
  <c r="Y240" i="17" s="1"/>
  <c r="AA322" i="17"/>
  <c r="Z322" i="17" s="1"/>
  <c r="Y322" i="17" s="1"/>
  <c r="H205" i="17"/>
  <c r="J205" i="17" s="1"/>
  <c r="G207" i="17"/>
  <c r="BZ207" i="6" s="1"/>
  <c r="H322" i="17"/>
  <c r="J322" i="17" s="1"/>
  <c r="G286" i="17"/>
  <c r="BZ286" i="6" s="1"/>
  <c r="H255" i="17"/>
  <c r="I255" i="17" s="1"/>
  <c r="G127" i="17"/>
  <c r="BZ127" i="6" s="1"/>
  <c r="H110" i="17"/>
  <c r="J110" i="17" s="1"/>
  <c r="G179" i="17"/>
  <c r="BZ179" i="6" s="1"/>
  <c r="H328" i="17"/>
  <c r="I328" i="17" s="1"/>
  <c r="G377" i="17"/>
  <c r="BZ377" i="6" s="1"/>
  <c r="G250" i="17"/>
  <c r="BZ250" i="6" s="1"/>
  <c r="H280" i="17"/>
  <c r="J280" i="17" s="1"/>
  <c r="G231" i="17"/>
  <c r="BZ231" i="6" s="1"/>
  <c r="H326" i="17"/>
  <c r="I326" i="17" s="1"/>
  <c r="H289" i="17"/>
  <c r="I289" i="17" s="1"/>
  <c r="H299" i="17"/>
  <c r="J299" i="17" s="1"/>
  <c r="H108" i="17"/>
  <c r="I108" i="17" s="1"/>
  <c r="H233" i="17"/>
  <c r="J233" i="17" s="1"/>
  <c r="H276" i="17"/>
  <c r="J276" i="17" s="1"/>
  <c r="H98" i="17"/>
  <c r="J98" i="17" s="1"/>
  <c r="H206" i="17"/>
  <c r="J206" i="17" s="1"/>
  <c r="H46" i="17"/>
  <c r="J46" i="17" s="1"/>
  <c r="H106" i="17"/>
  <c r="I106" i="17" s="1"/>
  <c r="AA63" i="17"/>
  <c r="Z63" i="17" s="1"/>
  <c r="Y63" i="17" s="1"/>
  <c r="AA372" i="17"/>
  <c r="Z372" i="17" s="1"/>
  <c r="Y372" i="17" s="1"/>
  <c r="AA316" i="17"/>
  <c r="Z316" i="17" s="1"/>
  <c r="Y316" i="17" s="1"/>
  <c r="AA330" i="17"/>
  <c r="Z330" i="17" s="1"/>
  <c r="Y330" i="17" s="1"/>
  <c r="AA336" i="17"/>
  <c r="Z336" i="17" s="1"/>
  <c r="Y336" i="17" s="1"/>
  <c r="AA283" i="17"/>
  <c r="Z283" i="17" s="1"/>
  <c r="Y283" i="17" s="1"/>
  <c r="AA324" i="17"/>
  <c r="Z324" i="17" s="1"/>
  <c r="Y324" i="17" s="1"/>
  <c r="AA347" i="17"/>
  <c r="Z347" i="17" s="1"/>
  <c r="Y347" i="17" s="1"/>
  <c r="AA328" i="17"/>
  <c r="Z328" i="17" s="1"/>
  <c r="Y328" i="17" s="1"/>
  <c r="AA231" i="17"/>
  <c r="Z231" i="17" s="1"/>
  <c r="Y231" i="17" s="1"/>
  <c r="AA218" i="17"/>
  <c r="Z218" i="17" s="1"/>
  <c r="Y218" i="17" s="1"/>
  <c r="AA204" i="17"/>
  <c r="Z204" i="17" s="1"/>
  <c r="Y204" i="17" s="1"/>
  <c r="AA151" i="17"/>
  <c r="Z151" i="17" s="1"/>
  <c r="Y151" i="17" s="1"/>
  <c r="AA225" i="17"/>
  <c r="Z225" i="17" s="1"/>
  <c r="Y225" i="17" s="1"/>
  <c r="AA157" i="17"/>
  <c r="Z157" i="17" s="1"/>
  <c r="Y157" i="17" s="1"/>
  <c r="AA224" i="17"/>
  <c r="Z224" i="17" s="1"/>
  <c r="Y224" i="17" s="1"/>
  <c r="AA131" i="17"/>
  <c r="Z131" i="17" s="1"/>
  <c r="Y131" i="17" s="1"/>
  <c r="AA127" i="17"/>
  <c r="Z127" i="17" s="1"/>
  <c r="Y127" i="17" s="1"/>
  <c r="AA129" i="17"/>
  <c r="Z129" i="17" s="1"/>
  <c r="Y129" i="17" s="1"/>
  <c r="AA378" i="17"/>
  <c r="Z378" i="17" s="1"/>
  <c r="Y378" i="17" s="1"/>
  <c r="AA46" i="17"/>
  <c r="Z46" i="17" s="1"/>
  <c r="Y46" i="17" s="1"/>
  <c r="AA75" i="17"/>
  <c r="Z75" i="17" s="1"/>
  <c r="Y75" i="17" s="1"/>
  <c r="AA170" i="17"/>
  <c r="Z170" i="17" s="1"/>
  <c r="Y170" i="17" s="1"/>
  <c r="AA162" i="17"/>
  <c r="Z162" i="17" s="1"/>
  <c r="Y162" i="17" s="1"/>
  <c r="AA376" i="17"/>
  <c r="Z376" i="17" s="1"/>
  <c r="Y376" i="17" s="1"/>
  <c r="AA155" i="17"/>
  <c r="Z155" i="17" s="1"/>
  <c r="Y155" i="17" s="1"/>
  <c r="H330" i="17"/>
  <c r="I330" i="17" s="1"/>
  <c r="H227" i="17"/>
  <c r="J227" i="17" s="1"/>
  <c r="H94" i="17"/>
  <c r="I94" i="17" s="1"/>
  <c r="H167" i="17"/>
  <c r="I167" i="17" s="1"/>
  <c r="AA62" i="17"/>
  <c r="Z62" i="17" s="1"/>
  <c r="Y62" i="17" s="1"/>
  <c r="AA173" i="17"/>
  <c r="Z173" i="17" s="1"/>
  <c r="Y173" i="17" s="1"/>
  <c r="AA159" i="17"/>
  <c r="Z159" i="17" s="1"/>
  <c r="Y159" i="17" s="1"/>
  <c r="J332" i="17"/>
  <c r="AA348" i="17"/>
  <c r="Z348" i="17" s="1"/>
  <c r="Y348" i="17" s="1"/>
  <c r="AA217" i="17"/>
  <c r="Z217" i="17" s="1"/>
  <c r="Y217" i="17" s="1"/>
  <c r="AA371" i="17"/>
  <c r="Z371" i="17" s="1"/>
  <c r="Y371" i="17" s="1"/>
  <c r="AA171" i="17"/>
  <c r="Z171" i="17" s="1"/>
  <c r="Y171" i="17" s="1"/>
  <c r="AA209" i="17"/>
  <c r="Z209" i="17" s="1"/>
  <c r="Y209" i="17" s="1"/>
  <c r="AA114" i="17"/>
  <c r="Z114" i="17" s="1"/>
  <c r="Y114" i="17" s="1"/>
  <c r="H70" i="17"/>
  <c r="I70" i="17" s="1"/>
  <c r="H18" i="17"/>
  <c r="I18" i="17" s="1"/>
  <c r="G120" i="17"/>
  <c r="BZ120" i="6" s="1"/>
  <c r="G138" i="17"/>
  <c r="BZ138" i="6" s="1"/>
  <c r="H249" i="17"/>
  <c r="J249" i="17" s="1"/>
  <c r="G28" i="17"/>
  <c r="BZ28" i="6" s="1"/>
  <c r="H277" i="17"/>
  <c r="I277" i="17" s="1"/>
  <c r="H232" i="17"/>
  <c r="J232" i="17" s="1"/>
  <c r="H112" i="17"/>
  <c r="J112" i="17" s="1"/>
  <c r="H329" i="17"/>
  <c r="I329" i="17" s="1"/>
  <c r="G123" i="17"/>
  <c r="BZ123" i="6" s="1"/>
  <c r="H342" i="17"/>
  <c r="I342" i="17" s="1"/>
  <c r="H160" i="17"/>
  <c r="J160" i="17" s="1"/>
  <c r="H197" i="17"/>
  <c r="J197" i="17" s="1"/>
  <c r="H27" i="17"/>
  <c r="J27" i="17" s="1"/>
  <c r="H188" i="17"/>
  <c r="J188" i="17" s="1"/>
  <c r="H40" i="17"/>
  <c r="I40" i="17" s="1"/>
  <c r="G307" i="17"/>
  <c r="BZ307" i="6" s="1"/>
  <c r="G72" i="17"/>
  <c r="BZ72" i="6" s="1"/>
  <c r="H36" i="17"/>
  <c r="I36" i="17" s="1"/>
  <c r="H367" i="17"/>
  <c r="J367" i="17" s="1"/>
  <c r="H261" i="17"/>
  <c r="J261" i="17" s="1"/>
  <c r="G288" i="17"/>
  <c r="BZ288" i="6" s="1"/>
  <c r="G351" i="17"/>
  <c r="BZ351" i="6" s="1"/>
  <c r="H211" i="17"/>
  <c r="J211" i="17" s="1"/>
  <c r="H37" i="17"/>
  <c r="J37" i="17" s="1"/>
  <c r="AA332" i="17"/>
  <c r="Z332" i="17" s="1"/>
  <c r="Y332" i="17" s="1"/>
  <c r="H271" i="17"/>
  <c r="J271" i="17" s="1"/>
  <c r="H31" i="17"/>
  <c r="J31" i="17" s="1"/>
  <c r="H143" i="17"/>
  <c r="J143" i="17" s="1"/>
  <c r="H297" i="17"/>
  <c r="J297" i="17" s="1"/>
  <c r="H114" i="17"/>
  <c r="I114" i="17" s="1"/>
  <c r="H141" i="17"/>
  <c r="I141" i="17" s="1"/>
  <c r="H175" i="17"/>
  <c r="J175" i="17" s="1"/>
  <c r="H194" i="17"/>
  <c r="I194" i="17" s="1"/>
  <c r="H244" i="17"/>
  <c r="J244" i="17" s="1"/>
  <c r="H79" i="17"/>
  <c r="J79" i="17" s="1"/>
  <c r="H54" i="17"/>
  <c r="J54" i="17" s="1"/>
  <c r="G350" i="17"/>
  <c r="BZ350" i="6" s="1"/>
  <c r="H35" i="17"/>
  <c r="J35" i="17" s="1"/>
  <c r="H321" i="17"/>
  <c r="J321" i="17" s="1"/>
  <c r="G368" i="17"/>
  <c r="BZ368" i="6" s="1"/>
  <c r="G95" i="17"/>
  <c r="BZ95" i="6" s="1"/>
  <c r="G84" i="17"/>
  <c r="BZ84" i="6" s="1"/>
  <c r="AA345" i="17"/>
  <c r="Z345" i="17" s="1"/>
  <c r="Y345" i="17" s="1"/>
  <c r="H92" i="17"/>
  <c r="I92" i="17" s="1"/>
  <c r="H25" i="17"/>
  <c r="I25" i="17" s="1"/>
  <c r="H290" i="17"/>
  <c r="J290" i="17" s="1"/>
  <c r="H260" i="17"/>
  <c r="J260" i="17" s="1"/>
  <c r="H278" i="17"/>
  <c r="I278" i="17" s="1"/>
  <c r="H264" i="17"/>
  <c r="J264" i="17" s="1"/>
  <c r="G215" i="17"/>
  <c r="BZ215" i="6" s="1"/>
  <c r="H109" i="17"/>
  <c r="J109" i="17" s="1"/>
  <c r="H345" i="17"/>
  <c r="I345" i="17" s="1"/>
  <c r="H64" i="17"/>
  <c r="I64" i="17" s="1"/>
  <c r="G301" i="17"/>
  <c r="BZ301" i="6" s="1"/>
  <c r="AA154" i="17"/>
  <c r="Z154" i="17" s="1"/>
  <c r="Y154" i="17" s="1"/>
  <c r="AA199" i="17"/>
  <c r="Z199" i="17" s="1"/>
  <c r="Y199" i="17" s="1"/>
  <c r="AA263" i="17"/>
  <c r="Z263" i="17" s="1"/>
  <c r="Y263" i="17" s="1"/>
  <c r="AA258" i="17"/>
  <c r="Z258" i="17" s="1"/>
  <c r="Y258" i="17" s="1"/>
  <c r="AA298" i="17"/>
  <c r="Z298" i="17" s="1"/>
  <c r="Y298" i="17" s="1"/>
  <c r="AA124" i="17"/>
  <c r="Z124" i="17" s="1"/>
  <c r="Y124" i="17" s="1"/>
  <c r="AA143" i="17"/>
  <c r="Z143" i="17" s="1"/>
  <c r="Y143" i="17" s="1"/>
  <c r="AA164" i="17"/>
  <c r="Z164" i="17" s="1"/>
  <c r="Y164" i="17" s="1"/>
  <c r="AA215" i="17"/>
  <c r="Z215" i="17" s="1"/>
  <c r="Y215" i="17" s="1"/>
  <c r="AA71" i="17"/>
  <c r="Z71" i="17" s="1"/>
  <c r="Y71" i="17" s="1"/>
  <c r="AA198" i="17"/>
  <c r="Z198" i="17" s="1"/>
  <c r="Y198" i="17" s="1"/>
  <c r="AA45" i="17"/>
  <c r="Z45" i="17" s="1"/>
  <c r="Y45" i="17" s="1"/>
  <c r="AA232" i="17"/>
  <c r="Z232" i="17" s="1"/>
  <c r="Y232" i="17" s="1"/>
  <c r="AA40" i="17"/>
  <c r="Z40" i="17" s="1"/>
  <c r="Y40" i="17" s="1"/>
  <c r="AA211" i="17"/>
  <c r="Z211" i="17" s="1"/>
  <c r="Y211" i="17" s="1"/>
  <c r="AA43" i="17"/>
  <c r="Z43" i="17" s="1"/>
  <c r="Y43" i="17" s="1"/>
  <c r="AA73" i="17"/>
  <c r="Z73" i="17" s="1"/>
  <c r="Y73" i="17" s="1"/>
  <c r="AA306" i="17"/>
  <c r="Z306" i="17" s="1"/>
  <c r="Y306" i="17" s="1"/>
  <c r="AA41" i="17"/>
  <c r="Z41" i="17" s="1"/>
  <c r="Y41" i="17" s="1"/>
  <c r="AA214" i="17"/>
  <c r="Z214" i="17" s="1"/>
  <c r="Y214" i="17" s="1"/>
  <c r="AA249" i="17"/>
  <c r="Z249" i="17" s="1"/>
  <c r="Y249" i="17" s="1"/>
  <c r="AA339" i="17"/>
  <c r="Z339" i="17" s="1"/>
  <c r="Y339" i="17" s="1"/>
  <c r="AA360" i="17"/>
  <c r="Z360" i="17" s="1"/>
  <c r="Y360" i="17" s="1"/>
  <c r="AA25" i="17"/>
  <c r="Z25" i="17" s="1"/>
  <c r="Y25" i="17" s="1"/>
  <c r="AA307" i="17"/>
  <c r="Z307" i="17" s="1"/>
  <c r="Y307" i="17" s="1"/>
  <c r="AA160" i="17"/>
  <c r="Z160" i="17" s="1"/>
  <c r="Y160" i="17" s="1"/>
  <c r="AA35" i="17"/>
  <c r="Z35" i="17" s="1"/>
  <c r="Y35" i="17" s="1"/>
  <c r="AA148" i="17"/>
  <c r="Z148" i="17" s="1"/>
  <c r="Y148" i="17" s="1"/>
  <c r="AA244" i="17"/>
  <c r="Z244" i="17" s="1"/>
  <c r="Y244" i="17" s="1"/>
  <c r="AA18" i="17"/>
  <c r="Z18" i="17" s="1"/>
  <c r="Y18" i="17" s="1"/>
  <c r="AA123" i="17"/>
  <c r="Z123" i="17" s="1"/>
  <c r="Y123" i="17" s="1"/>
  <c r="AA36" i="17"/>
  <c r="Z36" i="17" s="1"/>
  <c r="Y36" i="17" s="1"/>
  <c r="AA291" i="17"/>
  <c r="Z291" i="17" s="1"/>
  <c r="Y291" i="17" s="1"/>
  <c r="AA288" i="17"/>
  <c r="Z288" i="17" s="1"/>
  <c r="Y288" i="17" s="1"/>
  <c r="AA329" i="17"/>
  <c r="Z329" i="17" s="1"/>
  <c r="Y329" i="17" s="1"/>
  <c r="AA95" i="17"/>
  <c r="Z95" i="17" s="1"/>
  <c r="Y95" i="17" s="1"/>
  <c r="AA351" i="17"/>
  <c r="Z351" i="17" s="1"/>
  <c r="Y351" i="17" s="1"/>
  <c r="H331" i="17"/>
  <c r="I331" i="17" s="1"/>
  <c r="H349" i="17"/>
  <c r="I349" i="17" s="1"/>
  <c r="AA308" i="17"/>
  <c r="Z308" i="17" s="1"/>
  <c r="Y308" i="17" s="1"/>
  <c r="AA331" i="17"/>
  <c r="Z331" i="17" s="1"/>
  <c r="Y331" i="17" s="1"/>
  <c r="AA261" i="17"/>
  <c r="Z261" i="17" s="1"/>
  <c r="Y261" i="17" s="1"/>
  <c r="AA141" i="17"/>
  <c r="Z141" i="17" s="1"/>
  <c r="Y141" i="17" s="1"/>
  <c r="AA270" i="17"/>
  <c r="Z270" i="17" s="1"/>
  <c r="Y270" i="17" s="1"/>
  <c r="AA44" i="17"/>
  <c r="Z44" i="17" s="1"/>
  <c r="Y44" i="17" s="1"/>
  <c r="AA146" i="17"/>
  <c r="Z146" i="17" s="1"/>
  <c r="Y146" i="17" s="1"/>
  <c r="AA48" i="17"/>
  <c r="Z48" i="17" s="1"/>
  <c r="Y48" i="17" s="1"/>
  <c r="AA277" i="17"/>
  <c r="Z277" i="17" s="1"/>
  <c r="Y277" i="17" s="1"/>
  <c r="AA28" i="17"/>
  <c r="Z28" i="17" s="1"/>
  <c r="Y28" i="17" s="1"/>
  <c r="AA238" i="17"/>
  <c r="Z238" i="17" s="1"/>
  <c r="Y238" i="17" s="1"/>
  <c r="AA54" i="17"/>
  <c r="Z54" i="17" s="1"/>
  <c r="Y54" i="17" s="1"/>
  <c r="AA297" i="17"/>
  <c r="Z297" i="17" s="1"/>
  <c r="Y297" i="17" s="1"/>
  <c r="AA27" i="17"/>
  <c r="Z27" i="17" s="1"/>
  <c r="Y27" i="17" s="1"/>
  <c r="AA267" i="17"/>
  <c r="Z267" i="17" s="1"/>
  <c r="Y267" i="17" s="1"/>
  <c r="AA130" i="17"/>
  <c r="Z130" i="17" s="1"/>
  <c r="Y130" i="17" s="1"/>
  <c r="AA135" i="17"/>
  <c r="Z135" i="17" s="1"/>
  <c r="Y135" i="17" s="1"/>
  <c r="AA368" i="17"/>
  <c r="Z368" i="17" s="1"/>
  <c r="Y368" i="17" s="1"/>
  <c r="H135" i="17"/>
  <c r="I135" i="17" s="1"/>
  <c r="U383" i="17"/>
  <c r="H130" i="17"/>
  <c r="I130" i="17" s="1"/>
  <c r="H362" i="17"/>
  <c r="I362" i="17" s="1"/>
  <c r="H192" i="17"/>
  <c r="J192" i="17" s="1"/>
  <c r="H22" i="17"/>
  <c r="I22" i="17" s="1"/>
  <c r="H41" i="17"/>
  <c r="I41" i="17" s="1"/>
  <c r="H177" i="17"/>
  <c r="J177" i="17" s="1"/>
  <c r="H43" i="17"/>
  <c r="J43" i="17" s="1"/>
  <c r="H61" i="17"/>
  <c r="J61" i="17" s="1"/>
  <c r="H156" i="17"/>
  <c r="I156" i="17" s="1"/>
  <c r="H161" i="17"/>
  <c r="I161" i="17" s="1"/>
  <c r="H51" i="17"/>
  <c r="I51" i="17" s="1"/>
  <c r="H146" i="17"/>
  <c r="J146" i="17" s="1"/>
  <c r="G332" i="17"/>
  <c r="BZ332" i="6" s="1"/>
  <c r="H298" i="17"/>
  <c r="J298" i="17" s="1"/>
  <c r="H230" i="17"/>
  <c r="I230" i="17" s="1"/>
  <c r="E8" i="23"/>
  <c r="K18" i="19" s="1"/>
  <c r="K42" i="19" s="1"/>
  <c r="E7" i="23"/>
  <c r="O382" i="22"/>
  <c r="O381" i="22"/>
  <c r="O383" i="22"/>
  <c r="AC381" i="22"/>
  <c r="AC383" i="22"/>
  <c r="AC382" i="22"/>
  <c r="D64" i="19"/>
  <c r="J379" i="16"/>
  <c r="I320" i="16"/>
  <c r="H320" i="17" s="1"/>
  <c r="J320" i="17" s="1"/>
  <c r="J360" i="17"/>
  <c r="Q383" i="18"/>
  <c r="AI381" i="17"/>
  <c r="AI382" i="17"/>
  <c r="V379" i="17"/>
  <c r="F379" i="17" s="1"/>
  <c r="AA379" i="17" s="1"/>
  <c r="Q381" i="18"/>
  <c r="J33" i="17"/>
  <c r="J67" i="17"/>
  <c r="I215" i="17"/>
  <c r="J145" i="17"/>
  <c r="I251" i="17"/>
  <c r="J168" i="17"/>
  <c r="AL13" i="1"/>
  <c r="J23" i="17"/>
  <c r="I176" i="17"/>
  <c r="J140" i="17"/>
  <c r="I300" i="17"/>
  <c r="I195" i="17"/>
  <c r="I210" i="16"/>
  <c r="F81" i="17"/>
  <c r="AA81" i="17" s="1"/>
  <c r="Z81" i="17" s="1"/>
  <c r="Y81" i="17" s="1"/>
  <c r="G64" i="19"/>
  <c r="K64" i="19"/>
  <c r="AA285" i="17"/>
  <c r="Z285" i="17" s="1"/>
  <c r="Y285" i="17" s="1"/>
  <c r="H285" i="17"/>
  <c r="G285" i="17"/>
  <c r="BZ285" i="6" s="1"/>
  <c r="G242" i="17"/>
  <c r="BZ242" i="6" s="1"/>
  <c r="H242" i="17"/>
  <c r="AA242" i="17"/>
  <c r="Z242" i="17" s="1"/>
  <c r="Y242" i="17" s="1"/>
  <c r="I228" i="17"/>
  <c r="AA52" i="17"/>
  <c r="Z52" i="17" s="1"/>
  <c r="Y52" i="17" s="1"/>
  <c r="H52" i="17"/>
  <c r="G52" i="17"/>
  <c r="BZ52" i="6" s="1"/>
  <c r="AA117" i="17"/>
  <c r="Z117" i="17" s="1"/>
  <c r="Y117" i="17" s="1"/>
  <c r="G117" i="17"/>
  <c r="BZ117" i="6" s="1"/>
  <c r="H117" i="17"/>
  <c r="J380" i="18"/>
  <c r="I380" i="18"/>
  <c r="I259" i="16"/>
  <c r="H259" i="17" s="1"/>
  <c r="J259" i="16"/>
  <c r="J291" i="17"/>
  <c r="I291" i="17"/>
  <c r="J120" i="17"/>
  <c r="I120" i="17"/>
  <c r="J199" i="17"/>
  <c r="I199" i="17"/>
  <c r="J223" i="17"/>
  <c r="I223" i="17"/>
  <c r="J138" i="17"/>
  <c r="I138" i="17"/>
  <c r="J123" i="17"/>
  <c r="I123" i="17"/>
  <c r="J122" i="17"/>
  <c r="I122" i="17"/>
  <c r="I237" i="17"/>
  <c r="J237" i="17"/>
  <c r="I258" i="17"/>
  <c r="J258" i="17"/>
  <c r="I30" i="17"/>
  <c r="J30" i="17"/>
  <c r="G53" i="17"/>
  <c r="BZ53" i="6" s="1"/>
  <c r="AA53" i="17"/>
  <c r="Z53" i="17" s="1"/>
  <c r="Y53" i="17" s="1"/>
  <c r="H53" i="17"/>
  <c r="J80" i="17"/>
  <c r="I80" i="17"/>
  <c r="I171" i="17"/>
  <c r="J171" i="17"/>
  <c r="J263" i="17"/>
  <c r="I263" i="17"/>
  <c r="I288" i="17"/>
  <c r="J288" i="17"/>
  <c r="J351" i="17"/>
  <c r="I351" i="17"/>
  <c r="I62" i="17"/>
  <c r="J62" i="17"/>
  <c r="J152" i="17"/>
  <c r="I152" i="17"/>
  <c r="J133" i="17"/>
  <c r="I133" i="17"/>
  <c r="J220" i="17"/>
  <c r="I220" i="17"/>
  <c r="J137" i="17"/>
  <c r="I137" i="17"/>
  <c r="G295" i="17"/>
  <c r="BZ295" i="6" s="1"/>
  <c r="AA295" i="17"/>
  <c r="Z295" i="17" s="1"/>
  <c r="Y295" i="17" s="1"/>
  <c r="H295" i="17"/>
  <c r="I366" i="17"/>
  <c r="J366" i="17"/>
  <c r="I74" i="17"/>
  <c r="J74" i="17"/>
  <c r="R381" i="16"/>
  <c r="R382" i="16"/>
  <c r="P15" i="16"/>
  <c r="R383" i="16"/>
  <c r="J180" i="16"/>
  <c r="I180" i="16"/>
  <c r="H180" i="17" s="1"/>
  <c r="Q10" i="20"/>
  <c r="AE31" i="20" s="1"/>
  <c r="J77" i="16"/>
  <c r="I77" i="16"/>
  <c r="H77" i="17" s="1"/>
  <c r="J136" i="16"/>
  <c r="I136" i="16"/>
  <c r="H136" i="17" s="1"/>
  <c r="J303" i="17"/>
  <c r="I348" i="17"/>
  <c r="J348" i="17"/>
  <c r="I359" i="17"/>
  <c r="J359" i="17"/>
  <c r="I196" i="17"/>
  <c r="J196" i="17"/>
  <c r="J282" i="17"/>
  <c r="I282" i="17"/>
  <c r="I207" i="17"/>
  <c r="J207" i="17"/>
  <c r="AA302" i="17"/>
  <c r="Z302" i="17" s="1"/>
  <c r="Y302" i="17" s="1"/>
  <c r="H302" i="17"/>
  <c r="G302" i="17"/>
  <c r="BZ302" i="6" s="1"/>
  <c r="J275" i="17"/>
  <c r="I275" i="17"/>
  <c r="I214" i="17"/>
  <c r="J214" i="17"/>
  <c r="I134" i="17"/>
  <c r="J134" i="17"/>
  <c r="AA16" i="7"/>
  <c r="I87" i="17"/>
  <c r="I186" i="17"/>
  <c r="J186" i="17"/>
  <c r="I247" i="17"/>
  <c r="J247" i="17"/>
  <c r="I315" i="17"/>
  <c r="I213" i="17"/>
  <c r="J213" i="17"/>
  <c r="J374" i="17"/>
  <c r="I374" i="17"/>
  <c r="G29" i="17"/>
  <c r="BZ29" i="6" s="1"/>
  <c r="AA29" i="17"/>
  <c r="Z29" i="17" s="1"/>
  <c r="Y29" i="17" s="1"/>
  <c r="H29" i="17"/>
  <c r="I262" i="17"/>
  <c r="J262" i="17"/>
  <c r="AA153" i="17"/>
  <c r="Z153" i="17" s="1"/>
  <c r="Y153" i="17" s="1"/>
  <c r="G153" i="17"/>
  <c r="BZ153" i="6" s="1"/>
  <c r="H153" i="17"/>
  <c r="E64" i="19"/>
  <c r="I129" i="17"/>
  <c r="J129" i="17"/>
  <c r="AA49" i="17"/>
  <c r="Z49" i="17" s="1"/>
  <c r="Y49" i="17" s="1"/>
  <c r="G49" i="17"/>
  <c r="BZ49" i="6" s="1"/>
  <c r="H49" i="17"/>
  <c r="G296" i="17"/>
  <c r="BZ296" i="6" s="1"/>
  <c r="H296" i="17"/>
  <c r="AA296" i="17"/>
  <c r="Z296" i="17" s="1"/>
  <c r="Y296" i="17" s="1"/>
  <c r="I38" i="17"/>
  <c r="J38" i="17"/>
  <c r="I231" i="17"/>
  <c r="J231" i="17"/>
  <c r="I96" i="17"/>
  <c r="J96" i="17"/>
  <c r="F15" i="15"/>
  <c r="V380" i="15"/>
  <c r="V382" i="15" s="1"/>
  <c r="B62" i="19"/>
  <c r="N62" i="19" s="1"/>
  <c r="I375" i="17"/>
  <c r="J375" i="17"/>
  <c r="J28" i="17"/>
  <c r="AA180" i="17"/>
  <c r="Z180" i="17" s="1"/>
  <c r="Y180" i="17" s="1"/>
  <c r="G180" i="17"/>
  <c r="BZ180" i="6" s="1"/>
  <c r="J170" i="17"/>
  <c r="I170" i="17"/>
  <c r="I305" i="17"/>
  <c r="J305" i="17"/>
  <c r="F174" i="17"/>
  <c r="I307" i="17"/>
  <c r="J307" i="17"/>
  <c r="I72" i="17"/>
  <c r="J72" i="17"/>
  <c r="I16" i="17"/>
  <c r="J16" i="17"/>
  <c r="I126" i="17"/>
  <c r="J126" i="17"/>
  <c r="I90" i="17"/>
  <c r="J90" i="17"/>
  <c r="J341" i="17"/>
  <c r="I341" i="17"/>
  <c r="J378" i="17"/>
  <c r="I378" i="17"/>
  <c r="J304" i="17"/>
  <c r="I304" i="17"/>
  <c r="I353" i="17"/>
  <c r="J353" i="17"/>
  <c r="J208" i="17"/>
  <c r="J107" i="17"/>
  <c r="I107" i="17"/>
  <c r="J26" i="17"/>
  <c r="I26" i="17"/>
  <c r="I32" i="17"/>
  <c r="J32" i="17"/>
  <c r="I311" i="17"/>
  <c r="J311" i="17"/>
  <c r="I75" i="16"/>
  <c r="H75" i="17" s="1"/>
  <c r="J75" i="16"/>
  <c r="AH381" i="17"/>
  <c r="AG15" i="17"/>
  <c r="AH383" i="17"/>
  <c r="AL5" i="1"/>
  <c r="X9" i="1"/>
  <c r="AM6" i="1"/>
  <c r="AM12" i="1" s="1"/>
  <c r="Y383" i="1"/>
  <c r="Y382" i="1"/>
  <c r="Y381" i="1"/>
  <c r="AF381" i="16"/>
  <c r="AF383" i="16"/>
  <c r="AF382" i="16"/>
  <c r="AD15" i="16"/>
  <c r="J369" i="17"/>
  <c r="I369" i="17"/>
  <c r="I323" i="17"/>
  <c r="J323" i="17"/>
  <c r="J113" i="17"/>
  <c r="I113" i="17"/>
  <c r="H363" i="17"/>
  <c r="AA363" i="17"/>
  <c r="Z363" i="17" s="1"/>
  <c r="Y363" i="17" s="1"/>
  <c r="G363" i="17"/>
  <c r="BZ363" i="6" s="1"/>
  <c r="J158" i="17"/>
  <c r="I158" i="17"/>
  <c r="I99" i="17"/>
  <c r="J99" i="17"/>
  <c r="AA88" i="17"/>
  <c r="Z88" i="17" s="1"/>
  <c r="Y88" i="17" s="1"/>
  <c r="H88" i="17"/>
  <c r="G88" i="17"/>
  <c r="BZ88" i="6" s="1"/>
  <c r="I313" i="17"/>
  <c r="J313" i="17"/>
  <c r="G119" i="17"/>
  <c r="BZ119" i="6" s="1"/>
  <c r="H119" i="17"/>
  <c r="AA119" i="17"/>
  <c r="Z119" i="17" s="1"/>
  <c r="Y119" i="17" s="1"/>
  <c r="F149" i="17"/>
  <c r="F64" i="19"/>
  <c r="J169" i="17"/>
  <c r="I169" i="17"/>
  <c r="I245" i="17"/>
  <c r="J245" i="17"/>
  <c r="J222" i="17"/>
  <c r="I222" i="17"/>
  <c r="AA364" i="17"/>
  <c r="Z364" i="17" s="1"/>
  <c r="Y364" i="17" s="1"/>
  <c r="G364" i="17"/>
  <c r="BZ364" i="6" s="1"/>
  <c r="H364" i="17"/>
  <c r="J78" i="17"/>
  <c r="I78" i="17"/>
  <c r="I93" i="17"/>
  <c r="J93" i="17"/>
  <c r="F319" i="17"/>
  <c r="H319" i="17" s="1"/>
  <c r="S15" i="17"/>
  <c r="J292" i="17"/>
  <c r="I292" i="17"/>
  <c r="J335" i="17"/>
  <c r="I335" i="17"/>
  <c r="I350" i="17"/>
  <c r="J350" i="17"/>
  <c r="J250" i="17"/>
  <c r="I250" i="17"/>
  <c r="F111" i="17"/>
  <c r="F272" i="17"/>
  <c r="J64" i="19"/>
  <c r="J84" i="17"/>
  <c r="I84" i="17"/>
  <c r="AE383" i="18"/>
  <c r="AE382" i="18"/>
  <c r="AE381" i="18"/>
  <c r="Z166" i="17"/>
  <c r="D135" i="18"/>
  <c r="E135" i="18" s="1"/>
  <c r="J102" i="17" l="1"/>
  <c r="T382" i="17"/>
  <c r="J82" i="17"/>
  <c r="I115" i="17"/>
  <c r="J101" i="17"/>
  <c r="J127" i="17"/>
  <c r="I235" i="17"/>
  <c r="J191" i="17"/>
  <c r="I243" i="17"/>
  <c r="AE28" i="20"/>
  <c r="J312" i="17"/>
  <c r="I314" i="17"/>
  <c r="I147" i="17"/>
  <c r="AE86" i="20"/>
  <c r="AE83" i="20"/>
  <c r="I43" i="17"/>
  <c r="I368" i="17"/>
  <c r="J42" i="17"/>
  <c r="J142" i="17"/>
  <c r="J95" i="17"/>
  <c r="I200" i="17"/>
  <c r="AE57" i="20"/>
  <c r="AE38" i="20"/>
  <c r="AE87" i="20"/>
  <c r="T381" i="17"/>
  <c r="T383" i="17"/>
  <c r="AH382" i="17"/>
  <c r="J163" i="17"/>
  <c r="J185" i="17"/>
  <c r="J317" i="17"/>
  <c r="J116" i="17"/>
  <c r="J65" i="17"/>
  <c r="I265" i="17"/>
  <c r="J268" i="17"/>
  <c r="J340" i="17"/>
  <c r="J157" i="17"/>
  <c r="J274" i="17"/>
  <c r="I293" i="17"/>
  <c r="J76" i="17"/>
  <c r="J181" i="17"/>
  <c r="I121" i="17"/>
  <c r="J325" i="17"/>
  <c r="J44" i="17"/>
  <c r="J334" i="17"/>
  <c r="J189" i="17"/>
  <c r="I252" i="17"/>
  <c r="J355" i="17"/>
  <c r="J344" i="17"/>
  <c r="I34" i="17"/>
  <c r="J216" i="17"/>
  <c r="J187" i="17"/>
  <c r="J178" i="17"/>
  <c r="J104" i="17"/>
  <c r="J370" i="17"/>
  <c r="J234" i="17"/>
  <c r="I91" i="17"/>
  <c r="I17" i="17"/>
  <c r="J105" i="17"/>
  <c r="I227" i="17"/>
  <c r="I337" i="17"/>
  <c r="I100" i="17"/>
  <c r="I236" i="17"/>
  <c r="J377" i="17"/>
  <c r="I219" i="17"/>
  <c r="J229" i="17"/>
  <c r="I261" i="17"/>
  <c r="I198" i="17"/>
  <c r="J204" i="17"/>
  <c r="J106" i="17"/>
  <c r="J58" i="17"/>
  <c r="J308" i="17"/>
  <c r="J166" i="17"/>
  <c r="I361" i="17"/>
  <c r="J144" i="17"/>
  <c r="J286" i="17"/>
  <c r="J357" i="17"/>
  <c r="I267" i="17"/>
  <c r="I226" i="17"/>
  <c r="I306" i="17"/>
  <c r="L64" i="19"/>
  <c r="H333" i="17"/>
  <c r="I333" i="17" s="1"/>
  <c r="J21" i="17"/>
  <c r="I118" i="17"/>
  <c r="I309" i="17"/>
  <c r="I24" i="17"/>
  <c r="F210" i="17"/>
  <c r="H210" i="17" s="1"/>
  <c r="I257" i="17"/>
  <c r="J19" i="17"/>
  <c r="J73" i="17"/>
  <c r="I279" i="17"/>
  <c r="J238" i="17"/>
  <c r="J254" i="17"/>
  <c r="J71" i="17"/>
  <c r="I256" i="17"/>
  <c r="J371" i="17"/>
  <c r="J318" i="17"/>
  <c r="J108" i="17"/>
  <c r="J135" i="17"/>
  <c r="I273" i="17"/>
  <c r="J139" i="17"/>
  <c r="J179" i="17"/>
  <c r="J45" i="17"/>
  <c r="I46" i="17"/>
  <c r="I159" i="17"/>
  <c r="I221" i="17"/>
  <c r="I253" i="17"/>
  <c r="AA333" i="17"/>
  <c r="Z333" i="17" s="1"/>
  <c r="Y333" i="17" s="1"/>
  <c r="J270" i="17"/>
  <c r="J217" i="17"/>
  <c r="I339" i="17"/>
  <c r="I209" i="17"/>
  <c r="J327" i="17"/>
  <c r="J269" i="17"/>
  <c r="J59" i="17"/>
  <c r="I297" i="17"/>
  <c r="J225" i="17"/>
  <c r="I55" i="17"/>
  <c r="J240" i="17"/>
  <c r="J66" i="17"/>
  <c r="J184" i="17"/>
  <c r="J224" i="17"/>
  <c r="J336" i="17"/>
  <c r="I148" i="17"/>
  <c r="J161" i="17"/>
  <c r="I146" i="17"/>
  <c r="I48" i="17"/>
  <c r="I190" i="17"/>
  <c r="I150" i="17"/>
  <c r="I110" i="17"/>
  <c r="J154" i="17"/>
  <c r="I322" i="17"/>
  <c r="I201" i="17"/>
  <c r="J183" i="17"/>
  <c r="I287" i="17"/>
  <c r="I188" i="17"/>
  <c r="I202" i="17"/>
  <c r="G60" i="17"/>
  <c r="BZ60" i="6" s="1"/>
  <c r="I346" i="17"/>
  <c r="I165" i="17"/>
  <c r="J239" i="17"/>
  <c r="I57" i="17"/>
  <c r="I35" i="17"/>
  <c r="J328" i="17"/>
  <c r="J255" i="17"/>
  <c r="I143" i="17"/>
  <c r="J203" i="17"/>
  <c r="I173" i="17"/>
  <c r="J172" i="17"/>
  <c r="I68" i="17"/>
  <c r="H60" i="17"/>
  <c r="I60" i="17" s="1"/>
  <c r="J125" i="17"/>
  <c r="J39" i="17"/>
  <c r="F241" i="17"/>
  <c r="H241" i="17" s="1"/>
  <c r="J329" i="17"/>
  <c r="I338" i="17"/>
  <c r="I294" i="17"/>
  <c r="J47" i="17"/>
  <c r="I103" i="17"/>
  <c r="AI147" i="18"/>
  <c r="AH147" i="18" s="1"/>
  <c r="AG147" i="18" s="1"/>
  <c r="AF147" i="18" s="1"/>
  <c r="AI35" i="18"/>
  <c r="AH35" i="18" s="1"/>
  <c r="AG35" i="18" s="1"/>
  <c r="AF35" i="18" s="1"/>
  <c r="AD35" i="18" s="1"/>
  <c r="AI19" i="18"/>
  <c r="AH19" i="18" s="1"/>
  <c r="AG19" i="18" s="1"/>
  <c r="AF19" i="18" s="1"/>
  <c r="AD19" i="18" s="1"/>
  <c r="AI277" i="18"/>
  <c r="AH277" i="18" s="1"/>
  <c r="AG277" i="18" s="1"/>
  <c r="AF277" i="18" s="1"/>
  <c r="AI347" i="18"/>
  <c r="AH347" i="18" s="1"/>
  <c r="AG347" i="18" s="1"/>
  <c r="AF347" i="18" s="1"/>
  <c r="AI248" i="18"/>
  <c r="AH248" i="18" s="1"/>
  <c r="AG248" i="18" s="1"/>
  <c r="AF248" i="18" s="1"/>
  <c r="AI318" i="18"/>
  <c r="AH318" i="18" s="1"/>
  <c r="AG318" i="18" s="1"/>
  <c r="AF318" i="18" s="1"/>
  <c r="AD318" i="18" s="1"/>
  <c r="AI88" i="18"/>
  <c r="AH88" i="18" s="1"/>
  <c r="AG88" i="18" s="1"/>
  <c r="AF88" i="18" s="1"/>
  <c r="AD88" i="18" s="1"/>
  <c r="AI276" i="18"/>
  <c r="AH276" i="18" s="1"/>
  <c r="AI336" i="18"/>
  <c r="AH336" i="18" s="1"/>
  <c r="AG336" i="18" s="1"/>
  <c r="AF336" i="18" s="1"/>
  <c r="AD336" i="18" s="1"/>
  <c r="AI17" i="18"/>
  <c r="AH17" i="18" s="1"/>
  <c r="AG17" i="18" s="1"/>
  <c r="AF17" i="18" s="1"/>
  <c r="AD17" i="18" s="1"/>
  <c r="U376" i="18"/>
  <c r="T376" i="18" s="1"/>
  <c r="S376" i="18" s="1"/>
  <c r="R376" i="18" s="1"/>
  <c r="P376" i="18" s="1"/>
  <c r="V376" i="18" s="1"/>
  <c r="U116" i="18"/>
  <c r="T116" i="18" s="1"/>
  <c r="S116" i="18" s="1"/>
  <c r="R116" i="18" s="1"/>
  <c r="P116" i="18" s="1"/>
  <c r="V116" i="18" s="1"/>
  <c r="U47" i="18"/>
  <c r="T47" i="18" s="1"/>
  <c r="S47" i="18" s="1"/>
  <c r="R47" i="18" s="1"/>
  <c r="P47" i="18" s="1"/>
  <c r="V47" i="18" s="1"/>
  <c r="U333" i="18"/>
  <c r="T333" i="18" s="1"/>
  <c r="S333" i="18" s="1"/>
  <c r="R333" i="18" s="1"/>
  <c r="P333" i="18" s="1"/>
  <c r="D78" i="7" s="1"/>
  <c r="U102" i="18"/>
  <c r="T102" i="18" s="1"/>
  <c r="S102" i="18" s="1"/>
  <c r="R102" i="18" s="1"/>
  <c r="P102" i="18" s="1"/>
  <c r="V102" i="18" s="1"/>
  <c r="U322" i="18"/>
  <c r="T322" i="18" s="1"/>
  <c r="S322" i="18" s="1"/>
  <c r="R322" i="18" s="1"/>
  <c r="P322" i="18" s="1"/>
  <c r="V322" i="18" s="1"/>
  <c r="U53" i="18"/>
  <c r="T53" i="18" s="1"/>
  <c r="S53" i="18" s="1"/>
  <c r="R53" i="18" s="1"/>
  <c r="P53" i="18" s="1"/>
  <c r="V53" i="18" s="1"/>
  <c r="U16" i="18"/>
  <c r="T16" i="18" s="1"/>
  <c r="S16" i="18" s="1"/>
  <c r="R16" i="18" s="1"/>
  <c r="P16" i="18" s="1"/>
  <c r="V16" i="18" s="1"/>
  <c r="U159" i="18"/>
  <c r="T159" i="18" s="1"/>
  <c r="S159" i="18" s="1"/>
  <c r="R159" i="18" s="1"/>
  <c r="P159" i="18" s="1"/>
  <c r="V159" i="18" s="1"/>
  <c r="U26" i="18"/>
  <c r="T26" i="18" s="1"/>
  <c r="S26" i="18" s="1"/>
  <c r="R26" i="18" s="1"/>
  <c r="P26" i="18" s="1"/>
  <c r="V26" i="18" s="1"/>
  <c r="U56" i="18"/>
  <c r="T56" i="18" s="1"/>
  <c r="S56" i="18" s="1"/>
  <c r="R56" i="18" s="1"/>
  <c r="P56" i="18" s="1"/>
  <c r="V56" i="18" s="1"/>
  <c r="U21" i="18"/>
  <c r="T21" i="18" s="1"/>
  <c r="S21" i="18" s="1"/>
  <c r="R21" i="18" s="1"/>
  <c r="P21" i="18" s="1"/>
  <c r="V21" i="18" s="1"/>
  <c r="U364" i="18"/>
  <c r="T364" i="18" s="1"/>
  <c r="S364" i="18" s="1"/>
  <c r="R364" i="18" s="1"/>
  <c r="P364" i="18" s="1"/>
  <c r="V364" i="18" s="1"/>
  <c r="U265" i="18"/>
  <c r="T265" i="18" s="1"/>
  <c r="S265" i="18" s="1"/>
  <c r="R265" i="18" s="1"/>
  <c r="P265" i="18" s="1"/>
  <c r="V265" i="18" s="1"/>
  <c r="U205" i="18"/>
  <c r="T205" i="18" s="1"/>
  <c r="S205" i="18" s="1"/>
  <c r="R205" i="18" s="1"/>
  <c r="P205" i="18" s="1"/>
  <c r="V205" i="18" s="1"/>
  <c r="U148" i="18"/>
  <c r="T148" i="18" s="1"/>
  <c r="S148" i="18" s="1"/>
  <c r="R148" i="18" s="1"/>
  <c r="P148" i="18" s="1"/>
  <c r="V148" i="18" s="1"/>
  <c r="U292" i="18"/>
  <c r="T292" i="18" s="1"/>
  <c r="S292" i="18" s="1"/>
  <c r="R292" i="18" s="1"/>
  <c r="P292" i="18" s="1"/>
  <c r="V292" i="18" s="1"/>
  <c r="U291" i="18"/>
  <c r="T291" i="18" s="1"/>
  <c r="S291" i="18" s="1"/>
  <c r="R291" i="18" s="1"/>
  <c r="P291" i="18" s="1"/>
  <c r="V291" i="18" s="1"/>
  <c r="U50" i="18"/>
  <c r="T50" i="18" s="1"/>
  <c r="S50" i="18" s="1"/>
  <c r="R50" i="18" s="1"/>
  <c r="P50" i="18" s="1"/>
  <c r="V50" i="18" s="1"/>
  <c r="U76" i="18"/>
  <c r="T76" i="18" s="1"/>
  <c r="S76" i="18" s="1"/>
  <c r="R76" i="18" s="1"/>
  <c r="P76" i="18" s="1"/>
  <c r="V76" i="18" s="1"/>
  <c r="U312" i="18"/>
  <c r="T312" i="18" s="1"/>
  <c r="S312" i="18" s="1"/>
  <c r="R312" i="18" s="1"/>
  <c r="P312" i="18" s="1"/>
  <c r="V312" i="18" s="1"/>
  <c r="U24" i="18"/>
  <c r="T24" i="18" s="1"/>
  <c r="S24" i="18" s="1"/>
  <c r="R24" i="18" s="1"/>
  <c r="P24" i="18" s="1"/>
  <c r="V24" i="18" s="1"/>
  <c r="U146" i="18"/>
  <c r="T146" i="18" s="1"/>
  <c r="S146" i="18" s="1"/>
  <c r="R146" i="18" s="1"/>
  <c r="P146" i="18" s="1"/>
  <c r="V146" i="18" s="1"/>
  <c r="U87" i="18"/>
  <c r="T87" i="18" s="1"/>
  <c r="S87" i="18" s="1"/>
  <c r="R87" i="18" s="1"/>
  <c r="P87" i="18" s="1"/>
  <c r="V87" i="18" s="1"/>
  <c r="U200" i="18"/>
  <c r="T200" i="18" s="1"/>
  <c r="S200" i="18" s="1"/>
  <c r="R200" i="18" s="1"/>
  <c r="P200" i="18" s="1"/>
  <c r="V200" i="18" s="1"/>
  <c r="U272" i="18"/>
  <c r="T272" i="18" s="1"/>
  <c r="S272" i="18" s="1"/>
  <c r="R272" i="18" s="1"/>
  <c r="P272" i="18" s="1"/>
  <c r="V272" i="18" s="1"/>
  <c r="U71" i="18"/>
  <c r="T71" i="18" s="1"/>
  <c r="S71" i="18" s="1"/>
  <c r="R71" i="18" s="1"/>
  <c r="P71" i="18" s="1"/>
  <c r="V71" i="18" s="1"/>
  <c r="U107" i="18"/>
  <c r="T107" i="18" s="1"/>
  <c r="S107" i="18" s="1"/>
  <c r="R107" i="18" s="1"/>
  <c r="P107" i="18" s="1"/>
  <c r="V107" i="18" s="1"/>
  <c r="U23" i="18"/>
  <c r="T23" i="18" s="1"/>
  <c r="S23" i="18" s="1"/>
  <c r="R23" i="18" s="1"/>
  <c r="P23" i="18" s="1"/>
  <c r="V23" i="18" s="1"/>
  <c r="U223" i="18"/>
  <c r="T223" i="18" s="1"/>
  <c r="S223" i="18" s="1"/>
  <c r="R223" i="18" s="1"/>
  <c r="P223" i="18" s="1"/>
  <c r="V223" i="18" s="1"/>
  <c r="U241" i="18"/>
  <c r="T241" i="18" s="1"/>
  <c r="S241" i="18" s="1"/>
  <c r="R241" i="18" s="1"/>
  <c r="P241" i="18" s="1"/>
  <c r="D75" i="7" s="1"/>
  <c r="U114" i="18"/>
  <c r="T114" i="18" s="1"/>
  <c r="S114" i="18" s="1"/>
  <c r="R114" i="18" s="1"/>
  <c r="P114" i="18" s="1"/>
  <c r="V114" i="18" s="1"/>
  <c r="U154" i="18"/>
  <c r="T154" i="18" s="1"/>
  <c r="S154" i="18" s="1"/>
  <c r="R154" i="18" s="1"/>
  <c r="P154" i="18" s="1"/>
  <c r="V154" i="18" s="1"/>
  <c r="U202" i="18"/>
  <c r="T202" i="18" s="1"/>
  <c r="S202" i="18" s="1"/>
  <c r="R202" i="18" s="1"/>
  <c r="P202" i="18" s="1"/>
  <c r="V202" i="18" s="1"/>
  <c r="U244" i="18"/>
  <c r="T244" i="18" s="1"/>
  <c r="S244" i="18" s="1"/>
  <c r="R244" i="18" s="1"/>
  <c r="P244" i="18" s="1"/>
  <c r="V244" i="18" s="1"/>
  <c r="AI112" i="18"/>
  <c r="AH112" i="18" s="1"/>
  <c r="AG112" i="18" s="1"/>
  <c r="AF112" i="18" s="1"/>
  <c r="AI111" i="18"/>
  <c r="AH111" i="18" s="1"/>
  <c r="AG111" i="18" s="1"/>
  <c r="AF111" i="18" s="1"/>
  <c r="AD111" i="18" s="1"/>
  <c r="AI229" i="18"/>
  <c r="AH229" i="18" s="1"/>
  <c r="AG229" i="18" s="1"/>
  <c r="AF229" i="18" s="1"/>
  <c r="AD229" i="18" s="1"/>
  <c r="AI25" i="18"/>
  <c r="AH25" i="18" s="1"/>
  <c r="AG25" i="18" s="1"/>
  <c r="AF25" i="18" s="1"/>
  <c r="AD25" i="18" s="1"/>
  <c r="U141" i="18"/>
  <c r="T141" i="18" s="1"/>
  <c r="S141" i="18" s="1"/>
  <c r="R141" i="18" s="1"/>
  <c r="P141" i="18" s="1"/>
  <c r="V141" i="18" s="1"/>
  <c r="U196" i="18"/>
  <c r="T196" i="18" s="1"/>
  <c r="S196" i="18" s="1"/>
  <c r="R196" i="18" s="1"/>
  <c r="P196" i="18" s="1"/>
  <c r="V196" i="18" s="1"/>
  <c r="U357" i="18"/>
  <c r="T357" i="18" s="1"/>
  <c r="S357" i="18" s="1"/>
  <c r="R357" i="18" s="1"/>
  <c r="P357" i="18" s="1"/>
  <c r="V357" i="18" s="1"/>
  <c r="U83" i="18"/>
  <c r="T83" i="18" s="1"/>
  <c r="S83" i="18" s="1"/>
  <c r="R83" i="18" s="1"/>
  <c r="P83" i="18" s="1"/>
  <c r="V83" i="18" s="1"/>
  <c r="U106" i="18"/>
  <c r="T106" i="18" s="1"/>
  <c r="S106" i="18" s="1"/>
  <c r="R106" i="18" s="1"/>
  <c r="P106" i="18" s="1"/>
  <c r="V106" i="18" s="1"/>
  <c r="U358" i="18"/>
  <c r="T358" i="18" s="1"/>
  <c r="S358" i="18" s="1"/>
  <c r="R358" i="18" s="1"/>
  <c r="P358" i="18" s="1"/>
  <c r="V358" i="18" s="1"/>
  <c r="U296" i="18"/>
  <c r="T296" i="18" s="1"/>
  <c r="S296" i="18" s="1"/>
  <c r="R296" i="18" s="1"/>
  <c r="P296" i="18" s="1"/>
  <c r="V296" i="18" s="1"/>
  <c r="U365" i="18"/>
  <c r="T365" i="18" s="1"/>
  <c r="S365" i="18" s="1"/>
  <c r="R365" i="18" s="1"/>
  <c r="P365" i="18" s="1"/>
  <c r="V365" i="18" s="1"/>
  <c r="U257" i="18"/>
  <c r="T257" i="18" s="1"/>
  <c r="S257" i="18" s="1"/>
  <c r="R257" i="18" s="1"/>
  <c r="P257" i="18" s="1"/>
  <c r="V257" i="18" s="1"/>
  <c r="U165" i="18"/>
  <c r="T165" i="18" s="1"/>
  <c r="S165" i="18" s="1"/>
  <c r="R165" i="18" s="1"/>
  <c r="P165" i="18" s="1"/>
  <c r="V165" i="18" s="1"/>
  <c r="U73" i="18"/>
  <c r="T73" i="18" s="1"/>
  <c r="S73" i="18" s="1"/>
  <c r="R73" i="18" s="1"/>
  <c r="P73" i="18" s="1"/>
  <c r="V73" i="18" s="1"/>
  <c r="U248" i="18"/>
  <c r="T248" i="18" s="1"/>
  <c r="S248" i="18" s="1"/>
  <c r="R248" i="18" s="1"/>
  <c r="P248" i="18" s="1"/>
  <c r="V248" i="18" s="1"/>
  <c r="U377" i="18"/>
  <c r="T377" i="18" s="1"/>
  <c r="S377" i="18" s="1"/>
  <c r="R377" i="18" s="1"/>
  <c r="P377" i="18" s="1"/>
  <c r="V377" i="18" s="1"/>
  <c r="U168" i="18"/>
  <c r="T168" i="18" s="1"/>
  <c r="S168" i="18" s="1"/>
  <c r="R168" i="18" s="1"/>
  <c r="P168" i="18" s="1"/>
  <c r="V168" i="18" s="1"/>
  <c r="U366" i="18"/>
  <c r="T366" i="18" s="1"/>
  <c r="S366" i="18" s="1"/>
  <c r="R366" i="18" s="1"/>
  <c r="P366" i="18" s="1"/>
  <c r="V366" i="18" s="1"/>
  <c r="U184" i="18"/>
  <c r="T184" i="18" s="1"/>
  <c r="S184" i="18" s="1"/>
  <c r="R184" i="18" s="1"/>
  <c r="P184" i="18" s="1"/>
  <c r="V184" i="18" s="1"/>
  <c r="U263" i="18"/>
  <c r="T263" i="18" s="1"/>
  <c r="S263" i="18" s="1"/>
  <c r="R263" i="18" s="1"/>
  <c r="P263" i="18" s="1"/>
  <c r="V263" i="18" s="1"/>
  <c r="U178" i="18"/>
  <c r="T178" i="18" s="1"/>
  <c r="S178" i="18" s="1"/>
  <c r="R178" i="18" s="1"/>
  <c r="P178" i="18" s="1"/>
  <c r="V178" i="18" s="1"/>
  <c r="AI305" i="18"/>
  <c r="AH305" i="18" s="1"/>
  <c r="AG305" i="18" s="1"/>
  <c r="AF305" i="18" s="1"/>
  <c r="AD305" i="18" s="1"/>
  <c r="AI65" i="18"/>
  <c r="AH65" i="18" s="1"/>
  <c r="AG65" i="18" s="1"/>
  <c r="AF65" i="18" s="1"/>
  <c r="AD65" i="18" s="1"/>
  <c r="AI206" i="18"/>
  <c r="AH206" i="18" s="1"/>
  <c r="AG206" i="18" s="1"/>
  <c r="AF206" i="18" s="1"/>
  <c r="AI183" i="18"/>
  <c r="AH183" i="18" s="1"/>
  <c r="AG183" i="18" s="1"/>
  <c r="AF183" i="18" s="1"/>
  <c r="AI243" i="18"/>
  <c r="AH243" i="18" s="1"/>
  <c r="AG243" i="18" s="1"/>
  <c r="AF243" i="18" s="1"/>
  <c r="AD243" i="18" s="1"/>
  <c r="AI188" i="18"/>
  <c r="AH188" i="18" s="1"/>
  <c r="AG188" i="18" s="1"/>
  <c r="AF188" i="18" s="1"/>
  <c r="AD188" i="18" s="1"/>
  <c r="AI165" i="18"/>
  <c r="AH165" i="18" s="1"/>
  <c r="AG165" i="18" s="1"/>
  <c r="AF165" i="18" s="1"/>
  <c r="AD165" i="18" s="1"/>
  <c r="U275" i="18"/>
  <c r="T275" i="18" s="1"/>
  <c r="S275" i="18" s="1"/>
  <c r="R275" i="18" s="1"/>
  <c r="P275" i="18" s="1"/>
  <c r="V275" i="18" s="1"/>
  <c r="U208" i="18"/>
  <c r="T208" i="18" s="1"/>
  <c r="S208" i="18" s="1"/>
  <c r="R208" i="18" s="1"/>
  <c r="P208" i="18" s="1"/>
  <c r="V208" i="18" s="1"/>
  <c r="U345" i="18"/>
  <c r="T345" i="18" s="1"/>
  <c r="S345" i="18" s="1"/>
  <c r="R345" i="18" s="1"/>
  <c r="P345" i="18" s="1"/>
  <c r="V345" i="18" s="1"/>
  <c r="U214" i="18"/>
  <c r="T214" i="18" s="1"/>
  <c r="S214" i="18" s="1"/>
  <c r="R214" i="18" s="1"/>
  <c r="P214" i="18" s="1"/>
  <c r="V214" i="18" s="1"/>
  <c r="U289" i="18"/>
  <c r="T289" i="18" s="1"/>
  <c r="S289" i="18" s="1"/>
  <c r="R289" i="18" s="1"/>
  <c r="P289" i="18" s="1"/>
  <c r="V289" i="18" s="1"/>
  <c r="U342" i="18"/>
  <c r="T342" i="18" s="1"/>
  <c r="S342" i="18" s="1"/>
  <c r="R342" i="18" s="1"/>
  <c r="P342" i="18" s="1"/>
  <c r="V342" i="18" s="1"/>
  <c r="U253" i="18"/>
  <c r="T253" i="18" s="1"/>
  <c r="S253" i="18" s="1"/>
  <c r="R253" i="18" s="1"/>
  <c r="P253" i="18" s="1"/>
  <c r="V253" i="18" s="1"/>
  <c r="U195" i="18"/>
  <c r="T195" i="18" s="1"/>
  <c r="S195" i="18" s="1"/>
  <c r="R195" i="18" s="1"/>
  <c r="P195" i="18" s="1"/>
  <c r="V195" i="18" s="1"/>
  <c r="U360" i="18"/>
  <c r="T360" i="18" s="1"/>
  <c r="S360" i="18" s="1"/>
  <c r="R360" i="18" s="1"/>
  <c r="P360" i="18" s="1"/>
  <c r="V360" i="18" s="1"/>
  <c r="U118" i="18"/>
  <c r="T118" i="18" s="1"/>
  <c r="S118" i="18" s="1"/>
  <c r="R118" i="18" s="1"/>
  <c r="P118" i="18" s="1"/>
  <c r="V118" i="18" s="1"/>
  <c r="U46" i="18"/>
  <c r="T46" i="18" s="1"/>
  <c r="S46" i="18" s="1"/>
  <c r="R46" i="18" s="1"/>
  <c r="P46" i="18" s="1"/>
  <c r="V46" i="18" s="1"/>
  <c r="U229" i="18"/>
  <c r="T229" i="18" s="1"/>
  <c r="S229" i="18" s="1"/>
  <c r="R229" i="18" s="1"/>
  <c r="P229" i="18" s="1"/>
  <c r="V229" i="18" s="1"/>
  <c r="U316" i="18"/>
  <c r="T316" i="18" s="1"/>
  <c r="S316" i="18" s="1"/>
  <c r="R316" i="18" s="1"/>
  <c r="P316" i="18" s="1"/>
  <c r="V316" i="18" s="1"/>
  <c r="U344" i="18"/>
  <c r="T344" i="18" s="1"/>
  <c r="S344" i="18" s="1"/>
  <c r="R344" i="18" s="1"/>
  <c r="P344" i="18" s="1"/>
  <c r="V344" i="18" s="1"/>
  <c r="U80" i="18"/>
  <c r="T80" i="18" s="1"/>
  <c r="S80" i="18" s="1"/>
  <c r="R80" i="18" s="1"/>
  <c r="P80" i="18" s="1"/>
  <c r="V80" i="18" s="1"/>
  <c r="U64" i="18"/>
  <c r="T64" i="18" s="1"/>
  <c r="S64" i="18" s="1"/>
  <c r="R64" i="18" s="1"/>
  <c r="P64" i="18" s="1"/>
  <c r="V64" i="18" s="1"/>
  <c r="U135" i="18"/>
  <c r="T135" i="18" s="1"/>
  <c r="S135" i="18" s="1"/>
  <c r="R135" i="18" s="1"/>
  <c r="P135" i="18" s="1"/>
  <c r="V135" i="18" s="1"/>
  <c r="J167" i="17"/>
  <c r="J124" i="17"/>
  <c r="J63" i="17"/>
  <c r="J343" i="17"/>
  <c r="I83" i="17"/>
  <c r="J283" i="17"/>
  <c r="I206" i="17"/>
  <c r="J289" i="17"/>
  <c r="I20" i="17"/>
  <c r="J20" i="17"/>
  <c r="AA21" i="17"/>
  <c r="Z21" i="17" s="1"/>
  <c r="Y21" i="17" s="1"/>
  <c r="G352" i="17"/>
  <c r="BZ352" i="6" s="1"/>
  <c r="AA352" i="17"/>
  <c r="Z352" i="17" s="1"/>
  <c r="Y352" i="17" s="1"/>
  <c r="C64" i="19"/>
  <c r="I54" i="17"/>
  <c r="I175" i="17"/>
  <c r="J114" i="17"/>
  <c r="I271" i="17"/>
  <c r="I197" i="17"/>
  <c r="J342" i="17"/>
  <c r="I232" i="17"/>
  <c r="I244" i="17"/>
  <c r="I37" i="17"/>
  <c r="J36" i="17"/>
  <c r="J18" i="17"/>
  <c r="J345" i="17"/>
  <c r="I61" i="17"/>
  <c r="I276" i="17"/>
  <c r="J362" i="17"/>
  <c r="I298" i="17"/>
  <c r="J22" i="17"/>
  <c r="J212" i="17"/>
  <c r="G21" i="17"/>
  <c r="BZ21" i="6" s="1"/>
  <c r="J89" i="17"/>
  <c r="J326" i="17"/>
  <c r="J50" i="17"/>
  <c r="J365" i="17"/>
  <c r="J85" i="17"/>
  <c r="I211" i="17"/>
  <c r="I281" i="17"/>
  <c r="I164" i="17"/>
  <c r="I182" i="17"/>
  <c r="I280" i="17"/>
  <c r="J248" i="17"/>
  <c r="I31" i="17"/>
  <c r="J155" i="17"/>
  <c r="J151" i="17"/>
  <c r="J193" i="17"/>
  <c r="I160" i="17"/>
  <c r="J132" i="17"/>
  <c r="J354" i="17"/>
  <c r="I299" i="17"/>
  <c r="J94" i="17"/>
  <c r="J40" i="17"/>
  <c r="I249" i="17"/>
  <c r="J70" i="17"/>
  <c r="J25" i="17"/>
  <c r="I246" i="17"/>
  <c r="I233" i="17"/>
  <c r="J51" i="17"/>
  <c r="J230" i="17"/>
  <c r="I310" i="17"/>
  <c r="I324" i="17"/>
  <c r="I372" i="17"/>
  <c r="J56" i="17"/>
  <c r="AE71" i="20"/>
  <c r="AE81" i="20"/>
  <c r="AE80" i="20"/>
  <c r="AE65" i="20"/>
  <c r="AE94" i="20"/>
  <c r="I321" i="17"/>
  <c r="I367" i="17"/>
  <c r="I112" i="17"/>
  <c r="J277" i="17"/>
  <c r="I79" i="17"/>
  <c r="J194" i="17"/>
  <c r="J141" i="17"/>
  <c r="I205" i="17"/>
  <c r="I27" i="17"/>
  <c r="J349" i="17"/>
  <c r="J330" i="17"/>
  <c r="I260" i="17"/>
  <c r="I358" i="17"/>
  <c r="I264" i="17"/>
  <c r="I162" i="17"/>
  <c r="J156" i="17"/>
  <c r="I347" i="17"/>
  <c r="I192" i="17"/>
  <c r="H352" i="17"/>
  <c r="J352" i="17" s="1"/>
  <c r="J376" i="17"/>
  <c r="I218" i="17"/>
  <c r="I86" i="17"/>
  <c r="I109" i="17"/>
  <c r="J69" i="17"/>
  <c r="J64" i="17"/>
  <c r="J284" i="17"/>
  <c r="I356" i="17"/>
  <c r="J41" i="17"/>
  <c r="J128" i="17"/>
  <c r="I131" i="17"/>
  <c r="J316" i="17"/>
  <c r="J130" i="17"/>
  <c r="J373" i="17"/>
  <c r="J266" i="17"/>
  <c r="I98" i="17"/>
  <c r="I97" i="17"/>
  <c r="J97" i="17"/>
  <c r="J92" i="17"/>
  <c r="J278" i="17"/>
  <c r="I290" i="17"/>
  <c r="AE54" i="20"/>
  <c r="AE36" i="20"/>
  <c r="AE15" i="20"/>
  <c r="AE79" i="20"/>
  <c r="AE33" i="20"/>
  <c r="AE89" i="20"/>
  <c r="AE48" i="20"/>
  <c r="AE82" i="20"/>
  <c r="AE98" i="20"/>
  <c r="AE78" i="20"/>
  <c r="U187" i="18"/>
  <c r="T187" i="18" s="1"/>
  <c r="S187" i="18" s="1"/>
  <c r="R187" i="18" s="1"/>
  <c r="P187" i="18" s="1"/>
  <c r="V187" i="18" s="1"/>
  <c r="U227" i="18"/>
  <c r="T227" i="18" s="1"/>
  <c r="S227" i="18" s="1"/>
  <c r="R227" i="18" s="1"/>
  <c r="P227" i="18" s="1"/>
  <c r="V227" i="18" s="1"/>
  <c r="U169" i="18"/>
  <c r="T169" i="18" s="1"/>
  <c r="S169" i="18" s="1"/>
  <c r="R169" i="18" s="1"/>
  <c r="P169" i="18" s="1"/>
  <c r="V169" i="18" s="1"/>
  <c r="U166" i="18"/>
  <c r="T166" i="18" s="1"/>
  <c r="S166" i="18" s="1"/>
  <c r="R166" i="18" s="1"/>
  <c r="P166" i="18" s="1"/>
  <c r="V166" i="18" s="1"/>
  <c r="U211" i="18"/>
  <c r="T211" i="18" s="1"/>
  <c r="S211" i="18" s="1"/>
  <c r="R211" i="18" s="1"/>
  <c r="P211" i="18" s="1"/>
  <c r="V211" i="18" s="1"/>
  <c r="U177" i="18"/>
  <c r="T177" i="18" s="1"/>
  <c r="S177" i="18" s="1"/>
  <c r="R177" i="18" s="1"/>
  <c r="P177" i="18" s="1"/>
  <c r="V177" i="18" s="1"/>
  <c r="U233" i="18"/>
  <c r="T233" i="18" s="1"/>
  <c r="S233" i="18" s="1"/>
  <c r="R233" i="18" s="1"/>
  <c r="P233" i="18" s="1"/>
  <c r="V233" i="18" s="1"/>
  <c r="U143" i="18"/>
  <c r="T143" i="18" s="1"/>
  <c r="S143" i="18" s="1"/>
  <c r="R143" i="18" s="1"/>
  <c r="P143" i="18" s="1"/>
  <c r="V143" i="18" s="1"/>
  <c r="U179" i="18"/>
  <c r="T179" i="18" s="1"/>
  <c r="S179" i="18" s="1"/>
  <c r="R179" i="18" s="1"/>
  <c r="P179" i="18" s="1"/>
  <c r="V179" i="18" s="1"/>
  <c r="U191" i="18"/>
  <c r="T191" i="18" s="1"/>
  <c r="S191" i="18" s="1"/>
  <c r="R191" i="18" s="1"/>
  <c r="P191" i="18" s="1"/>
  <c r="V191" i="18" s="1"/>
  <c r="U218" i="18"/>
  <c r="T218" i="18" s="1"/>
  <c r="S218" i="18" s="1"/>
  <c r="R218" i="18" s="1"/>
  <c r="P218" i="18" s="1"/>
  <c r="V218" i="18" s="1"/>
  <c r="U131" i="18"/>
  <c r="T131" i="18" s="1"/>
  <c r="S131" i="18" s="1"/>
  <c r="R131" i="18" s="1"/>
  <c r="P131" i="18" s="1"/>
  <c r="V131" i="18" s="1"/>
  <c r="U61" i="18"/>
  <c r="T61" i="18" s="1"/>
  <c r="S61" i="18" s="1"/>
  <c r="R61" i="18" s="1"/>
  <c r="P61" i="18" s="1"/>
  <c r="V61" i="18" s="1"/>
  <c r="U93" i="18"/>
  <c r="T93" i="18" s="1"/>
  <c r="S93" i="18" s="1"/>
  <c r="R93" i="18" s="1"/>
  <c r="P93" i="18" s="1"/>
  <c r="V93" i="18" s="1"/>
  <c r="U363" i="18"/>
  <c r="T363" i="18" s="1"/>
  <c r="S363" i="18" s="1"/>
  <c r="R363" i="18" s="1"/>
  <c r="P363" i="18" s="1"/>
  <c r="V363" i="18" s="1"/>
  <c r="U150" i="18"/>
  <c r="T150" i="18" s="1"/>
  <c r="S150" i="18" s="1"/>
  <c r="R150" i="18" s="1"/>
  <c r="P150" i="18" s="1"/>
  <c r="V150" i="18" s="1"/>
  <c r="U63" i="18"/>
  <c r="T63" i="18" s="1"/>
  <c r="S63" i="18" s="1"/>
  <c r="R63" i="18" s="1"/>
  <c r="P63" i="18" s="1"/>
  <c r="V63" i="18" s="1"/>
  <c r="U31" i="18"/>
  <c r="T31" i="18" s="1"/>
  <c r="S31" i="18" s="1"/>
  <c r="R31" i="18" s="1"/>
  <c r="P31" i="18" s="1"/>
  <c r="V31" i="18" s="1"/>
  <c r="U319" i="18"/>
  <c r="T319" i="18" s="1"/>
  <c r="S319" i="18" s="1"/>
  <c r="R319" i="18" s="1"/>
  <c r="P319" i="18" s="1"/>
  <c r="V319" i="18" s="1"/>
  <c r="U378" i="18"/>
  <c r="T378" i="18" s="1"/>
  <c r="S378" i="18" s="1"/>
  <c r="R378" i="18" s="1"/>
  <c r="P378" i="18" s="1"/>
  <c r="V378" i="18" s="1"/>
  <c r="U33" i="18"/>
  <c r="T33" i="18" s="1"/>
  <c r="S33" i="18" s="1"/>
  <c r="R33" i="18" s="1"/>
  <c r="P33" i="18" s="1"/>
  <c r="V33" i="18" s="1"/>
  <c r="U325" i="18"/>
  <c r="T325" i="18" s="1"/>
  <c r="S325" i="18" s="1"/>
  <c r="R325" i="18" s="1"/>
  <c r="P325" i="18" s="1"/>
  <c r="V325" i="18" s="1"/>
  <c r="U15" i="18"/>
  <c r="T15" i="18" s="1"/>
  <c r="U256" i="18"/>
  <c r="T256" i="18" s="1"/>
  <c r="S256" i="18" s="1"/>
  <c r="R256" i="18" s="1"/>
  <c r="P256" i="18" s="1"/>
  <c r="V256" i="18" s="1"/>
  <c r="U209" i="18"/>
  <c r="T209" i="18" s="1"/>
  <c r="S209" i="18" s="1"/>
  <c r="R209" i="18" s="1"/>
  <c r="P209" i="18" s="1"/>
  <c r="V209" i="18" s="1"/>
  <c r="U42" i="18"/>
  <c r="T42" i="18" s="1"/>
  <c r="S42" i="18" s="1"/>
  <c r="R42" i="18" s="1"/>
  <c r="P42" i="18" s="1"/>
  <c r="V42" i="18" s="1"/>
  <c r="U149" i="18"/>
  <c r="T149" i="18" s="1"/>
  <c r="S149" i="18" s="1"/>
  <c r="R149" i="18" s="1"/>
  <c r="P149" i="18" s="1"/>
  <c r="D72" i="7" s="1"/>
  <c r="U353" i="18"/>
  <c r="T353" i="18" s="1"/>
  <c r="S353" i="18" s="1"/>
  <c r="R353" i="18" s="1"/>
  <c r="P353" i="18" s="1"/>
  <c r="V353" i="18" s="1"/>
  <c r="U369" i="18"/>
  <c r="T369" i="18" s="1"/>
  <c r="S369" i="18" s="1"/>
  <c r="R369" i="18" s="1"/>
  <c r="P369" i="18" s="1"/>
  <c r="V369" i="18" s="1"/>
  <c r="U204" i="18"/>
  <c r="T204" i="18" s="1"/>
  <c r="S204" i="18" s="1"/>
  <c r="R204" i="18" s="1"/>
  <c r="P204" i="18" s="1"/>
  <c r="V204" i="18" s="1"/>
  <c r="U127" i="18"/>
  <c r="T127" i="18" s="1"/>
  <c r="S127" i="18" s="1"/>
  <c r="R127" i="18" s="1"/>
  <c r="P127" i="18" s="1"/>
  <c r="V127" i="18" s="1"/>
  <c r="U277" i="18"/>
  <c r="T277" i="18" s="1"/>
  <c r="S277" i="18" s="1"/>
  <c r="R277" i="18" s="1"/>
  <c r="P277" i="18" s="1"/>
  <c r="V277" i="18" s="1"/>
  <c r="U160" i="18"/>
  <c r="T160" i="18" s="1"/>
  <c r="S160" i="18" s="1"/>
  <c r="R160" i="18" s="1"/>
  <c r="P160" i="18" s="1"/>
  <c r="V160" i="18" s="1"/>
  <c r="U89" i="18"/>
  <c r="T89" i="18" s="1"/>
  <c r="S89" i="18" s="1"/>
  <c r="R89" i="18" s="1"/>
  <c r="P89" i="18" s="1"/>
  <c r="V89" i="18" s="1"/>
  <c r="U237" i="18"/>
  <c r="T237" i="18" s="1"/>
  <c r="S237" i="18" s="1"/>
  <c r="R237" i="18" s="1"/>
  <c r="P237" i="18" s="1"/>
  <c r="V237" i="18" s="1"/>
  <c r="U52" i="18"/>
  <c r="T52" i="18" s="1"/>
  <c r="S52" i="18" s="1"/>
  <c r="R52" i="18" s="1"/>
  <c r="P52" i="18" s="1"/>
  <c r="V52" i="18" s="1"/>
  <c r="U57" i="18"/>
  <c r="T57" i="18" s="1"/>
  <c r="S57" i="18" s="1"/>
  <c r="R57" i="18" s="1"/>
  <c r="P57" i="18" s="1"/>
  <c r="V57" i="18" s="1"/>
  <c r="U354" i="18"/>
  <c r="T354" i="18" s="1"/>
  <c r="S354" i="18" s="1"/>
  <c r="R354" i="18" s="1"/>
  <c r="P354" i="18" s="1"/>
  <c r="V354" i="18" s="1"/>
  <c r="U280" i="18"/>
  <c r="T280" i="18" s="1"/>
  <c r="S280" i="18" s="1"/>
  <c r="R280" i="18" s="1"/>
  <c r="P280" i="18" s="1"/>
  <c r="V280" i="18" s="1"/>
  <c r="U247" i="18"/>
  <c r="T247" i="18" s="1"/>
  <c r="S247" i="18" s="1"/>
  <c r="R247" i="18" s="1"/>
  <c r="P247" i="18" s="1"/>
  <c r="V247" i="18" s="1"/>
  <c r="U115" i="18"/>
  <c r="T115" i="18" s="1"/>
  <c r="S115" i="18" s="1"/>
  <c r="R115" i="18" s="1"/>
  <c r="P115" i="18" s="1"/>
  <c r="V115" i="18" s="1"/>
  <c r="U339" i="18"/>
  <c r="T339" i="18" s="1"/>
  <c r="S339" i="18" s="1"/>
  <c r="R339" i="18" s="1"/>
  <c r="P339" i="18" s="1"/>
  <c r="V339" i="18" s="1"/>
  <c r="U254" i="18"/>
  <c r="T254" i="18" s="1"/>
  <c r="S254" i="18" s="1"/>
  <c r="R254" i="18" s="1"/>
  <c r="P254" i="18" s="1"/>
  <c r="V254" i="18" s="1"/>
  <c r="U206" i="18"/>
  <c r="T206" i="18" s="1"/>
  <c r="S206" i="18" s="1"/>
  <c r="R206" i="18" s="1"/>
  <c r="P206" i="18" s="1"/>
  <c r="V206" i="18" s="1"/>
  <c r="U305" i="18"/>
  <c r="T305" i="18" s="1"/>
  <c r="S305" i="18" s="1"/>
  <c r="R305" i="18" s="1"/>
  <c r="P305" i="18" s="1"/>
  <c r="V305" i="18" s="1"/>
  <c r="U264" i="18"/>
  <c r="T264" i="18" s="1"/>
  <c r="S264" i="18" s="1"/>
  <c r="R264" i="18" s="1"/>
  <c r="P264" i="18" s="1"/>
  <c r="V264" i="18" s="1"/>
  <c r="U79" i="18"/>
  <c r="T79" i="18" s="1"/>
  <c r="S79" i="18" s="1"/>
  <c r="R79" i="18" s="1"/>
  <c r="P79" i="18" s="1"/>
  <c r="V79" i="18" s="1"/>
  <c r="U373" i="18"/>
  <c r="T373" i="18" s="1"/>
  <c r="S373" i="18" s="1"/>
  <c r="R373" i="18" s="1"/>
  <c r="P373" i="18" s="1"/>
  <c r="V373" i="18" s="1"/>
  <c r="U77" i="18"/>
  <c r="T77" i="18" s="1"/>
  <c r="S77" i="18" s="1"/>
  <c r="R77" i="18" s="1"/>
  <c r="P77" i="18" s="1"/>
  <c r="V77" i="18" s="1"/>
  <c r="U45" i="18"/>
  <c r="T45" i="18" s="1"/>
  <c r="S45" i="18" s="1"/>
  <c r="R45" i="18" s="1"/>
  <c r="P45" i="18" s="1"/>
  <c r="V45" i="18" s="1"/>
  <c r="U355" i="18"/>
  <c r="T355" i="18" s="1"/>
  <c r="S355" i="18" s="1"/>
  <c r="R355" i="18" s="1"/>
  <c r="P355" i="18" s="1"/>
  <c r="V355" i="18" s="1"/>
  <c r="U231" i="18"/>
  <c r="T231" i="18" s="1"/>
  <c r="S231" i="18" s="1"/>
  <c r="R231" i="18" s="1"/>
  <c r="P231" i="18" s="1"/>
  <c r="V231" i="18" s="1"/>
  <c r="U317" i="18"/>
  <c r="T317" i="18" s="1"/>
  <c r="S317" i="18" s="1"/>
  <c r="R317" i="18" s="1"/>
  <c r="P317" i="18" s="1"/>
  <c r="V317" i="18" s="1"/>
  <c r="U259" i="18"/>
  <c r="T259" i="18" s="1"/>
  <c r="S259" i="18" s="1"/>
  <c r="R259" i="18" s="1"/>
  <c r="P259" i="18" s="1"/>
  <c r="V259" i="18" s="1"/>
  <c r="U212" i="18"/>
  <c r="T212" i="18" s="1"/>
  <c r="S212" i="18" s="1"/>
  <c r="R212" i="18" s="1"/>
  <c r="P212" i="18" s="1"/>
  <c r="V212" i="18" s="1"/>
  <c r="U297" i="18"/>
  <c r="T297" i="18" s="1"/>
  <c r="S297" i="18" s="1"/>
  <c r="R297" i="18" s="1"/>
  <c r="P297" i="18" s="1"/>
  <c r="V297" i="18" s="1"/>
  <c r="U133" i="18"/>
  <c r="T133" i="18" s="1"/>
  <c r="S133" i="18" s="1"/>
  <c r="R133" i="18" s="1"/>
  <c r="P133" i="18" s="1"/>
  <c r="V133" i="18" s="1"/>
  <c r="U294" i="18"/>
  <c r="T294" i="18" s="1"/>
  <c r="S294" i="18" s="1"/>
  <c r="R294" i="18" s="1"/>
  <c r="P294" i="18" s="1"/>
  <c r="V294" i="18" s="1"/>
  <c r="U145" i="18"/>
  <c r="T145" i="18" s="1"/>
  <c r="S145" i="18" s="1"/>
  <c r="R145" i="18" s="1"/>
  <c r="P145" i="18" s="1"/>
  <c r="V145" i="18" s="1"/>
  <c r="U156" i="18"/>
  <c r="T156" i="18" s="1"/>
  <c r="S156" i="18" s="1"/>
  <c r="R156" i="18" s="1"/>
  <c r="P156" i="18" s="1"/>
  <c r="V156" i="18" s="1"/>
  <c r="U375" i="18"/>
  <c r="T375" i="18" s="1"/>
  <c r="S375" i="18" s="1"/>
  <c r="R375" i="18" s="1"/>
  <c r="P375" i="18" s="1"/>
  <c r="V375" i="18" s="1"/>
  <c r="U157" i="18"/>
  <c r="T157" i="18" s="1"/>
  <c r="S157" i="18" s="1"/>
  <c r="R157" i="18" s="1"/>
  <c r="P157" i="18" s="1"/>
  <c r="V157" i="18" s="1"/>
  <c r="U258" i="18"/>
  <c r="T258" i="18" s="1"/>
  <c r="S258" i="18" s="1"/>
  <c r="R258" i="18" s="1"/>
  <c r="P258" i="18" s="1"/>
  <c r="V258" i="18" s="1"/>
  <c r="U203" i="18"/>
  <c r="T203" i="18" s="1"/>
  <c r="S203" i="18" s="1"/>
  <c r="R203" i="18" s="1"/>
  <c r="P203" i="18" s="1"/>
  <c r="V203" i="18" s="1"/>
  <c r="U22" i="18"/>
  <c r="T22" i="18" s="1"/>
  <c r="S22" i="18" s="1"/>
  <c r="R22" i="18" s="1"/>
  <c r="P22" i="18" s="1"/>
  <c r="V22" i="18" s="1"/>
  <c r="U303" i="18"/>
  <c r="T303" i="18" s="1"/>
  <c r="S303" i="18" s="1"/>
  <c r="R303" i="18" s="1"/>
  <c r="P303" i="18" s="1"/>
  <c r="V303" i="18" s="1"/>
  <c r="U349" i="18"/>
  <c r="T349" i="18" s="1"/>
  <c r="S349" i="18" s="1"/>
  <c r="R349" i="18" s="1"/>
  <c r="P349" i="18" s="1"/>
  <c r="V349" i="18" s="1"/>
  <c r="U75" i="18"/>
  <c r="T75" i="18" s="1"/>
  <c r="S75" i="18" s="1"/>
  <c r="R75" i="18" s="1"/>
  <c r="P75" i="18" s="1"/>
  <c r="V75" i="18" s="1"/>
  <c r="U219" i="18"/>
  <c r="T219" i="18" s="1"/>
  <c r="S219" i="18" s="1"/>
  <c r="R219" i="18" s="1"/>
  <c r="P219" i="18" s="1"/>
  <c r="V219" i="18" s="1"/>
  <c r="U242" i="18"/>
  <c r="T242" i="18" s="1"/>
  <c r="S242" i="18" s="1"/>
  <c r="R242" i="18" s="1"/>
  <c r="P242" i="18" s="1"/>
  <c r="V242" i="18" s="1"/>
  <c r="U88" i="18"/>
  <c r="T88" i="18" s="1"/>
  <c r="S88" i="18" s="1"/>
  <c r="R88" i="18" s="1"/>
  <c r="P88" i="18" s="1"/>
  <c r="V88" i="18" s="1"/>
  <c r="U20" i="18"/>
  <c r="T20" i="18" s="1"/>
  <c r="S20" i="18" s="1"/>
  <c r="R20" i="18" s="1"/>
  <c r="P20" i="18" s="1"/>
  <c r="V20" i="18" s="1"/>
  <c r="AI67" i="18"/>
  <c r="AH67" i="18" s="1"/>
  <c r="AG67" i="18" s="1"/>
  <c r="AF67" i="18" s="1"/>
  <c r="AD67" i="18" s="1"/>
  <c r="AI207" i="18"/>
  <c r="AH207" i="18" s="1"/>
  <c r="AG207" i="18" s="1"/>
  <c r="AF207" i="18" s="1"/>
  <c r="AD207" i="18" s="1"/>
  <c r="AI186" i="18"/>
  <c r="AH186" i="18" s="1"/>
  <c r="AG186" i="18" s="1"/>
  <c r="AF186" i="18" s="1"/>
  <c r="AD186" i="18" s="1"/>
  <c r="AI369" i="18"/>
  <c r="AH369" i="18" s="1"/>
  <c r="AG369" i="18" s="1"/>
  <c r="AF369" i="18" s="1"/>
  <c r="AD369" i="18" s="1"/>
  <c r="AI228" i="18"/>
  <c r="AH228" i="18" s="1"/>
  <c r="AG228" i="18" s="1"/>
  <c r="AF228" i="18" s="1"/>
  <c r="AD228" i="18" s="1"/>
  <c r="AI29" i="18"/>
  <c r="AH29" i="18" s="1"/>
  <c r="AG29" i="18" s="1"/>
  <c r="AF29" i="18" s="1"/>
  <c r="AD29" i="18" s="1"/>
  <c r="AI317" i="18"/>
  <c r="AH317" i="18" s="1"/>
  <c r="AG317" i="18" s="1"/>
  <c r="AF317" i="18" s="1"/>
  <c r="AD317" i="18" s="1"/>
  <c r="AI128" i="18"/>
  <c r="AH128" i="18" s="1"/>
  <c r="AG128" i="18" s="1"/>
  <c r="AF128" i="18" s="1"/>
  <c r="AD128" i="18" s="1"/>
  <c r="AI279" i="18"/>
  <c r="AH279" i="18" s="1"/>
  <c r="AG279" i="18" s="1"/>
  <c r="AF279" i="18" s="1"/>
  <c r="AD279" i="18" s="1"/>
  <c r="AI358" i="18"/>
  <c r="AH358" i="18" s="1"/>
  <c r="AG358" i="18" s="1"/>
  <c r="AF358" i="18" s="1"/>
  <c r="AD358" i="18" s="1"/>
  <c r="AI275" i="18"/>
  <c r="AH275" i="18" s="1"/>
  <c r="AG275" i="18" s="1"/>
  <c r="AF275" i="18" s="1"/>
  <c r="AD275" i="18" s="1"/>
  <c r="AI99" i="18"/>
  <c r="AH99" i="18" s="1"/>
  <c r="AG99" i="18" s="1"/>
  <c r="AF99" i="18" s="1"/>
  <c r="AD99" i="18" s="1"/>
  <c r="AI308" i="18"/>
  <c r="AH308" i="18" s="1"/>
  <c r="AG308" i="18" s="1"/>
  <c r="AF308" i="18" s="1"/>
  <c r="AI177" i="18"/>
  <c r="AH177" i="18" s="1"/>
  <c r="AG177" i="18" s="1"/>
  <c r="AF177" i="18" s="1"/>
  <c r="AI267" i="18"/>
  <c r="AH267" i="18" s="1"/>
  <c r="AG267" i="18" s="1"/>
  <c r="AF267" i="18" s="1"/>
  <c r="AI211" i="18"/>
  <c r="AH211" i="18" s="1"/>
  <c r="AG211" i="18" s="1"/>
  <c r="AF211" i="18" s="1"/>
  <c r="AI342" i="18"/>
  <c r="AH342" i="18" s="1"/>
  <c r="AG342" i="18" s="1"/>
  <c r="AF342" i="18" s="1"/>
  <c r="AI100" i="18"/>
  <c r="AH100" i="18" s="1"/>
  <c r="AG100" i="18" s="1"/>
  <c r="AF100" i="18" s="1"/>
  <c r="AD100" i="18" s="1"/>
  <c r="AI43" i="18"/>
  <c r="AH43" i="18" s="1"/>
  <c r="AG43" i="18" s="1"/>
  <c r="AF43" i="18" s="1"/>
  <c r="AD43" i="18" s="1"/>
  <c r="I177" i="17"/>
  <c r="J331" i="17"/>
  <c r="AI159" i="18"/>
  <c r="AH159" i="18" s="1"/>
  <c r="AG159" i="18" s="1"/>
  <c r="AF159" i="18" s="1"/>
  <c r="AD159" i="18" s="1"/>
  <c r="AI268" i="18"/>
  <c r="AH268" i="18" s="1"/>
  <c r="AG268" i="18" s="1"/>
  <c r="AF268" i="18" s="1"/>
  <c r="AD268" i="18" s="1"/>
  <c r="AI300" i="18"/>
  <c r="AH300" i="18" s="1"/>
  <c r="AG300" i="18" s="1"/>
  <c r="AF300" i="18" s="1"/>
  <c r="AD300" i="18" s="1"/>
  <c r="AI199" i="18"/>
  <c r="AH199" i="18" s="1"/>
  <c r="AG199" i="18" s="1"/>
  <c r="AF199" i="18" s="1"/>
  <c r="AI190" i="18"/>
  <c r="AH190" i="18" s="1"/>
  <c r="AG190" i="18" s="1"/>
  <c r="AF190" i="18" s="1"/>
  <c r="AI148" i="18"/>
  <c r="AH148" i="18" s="1"/>
  <c r="AG148" i="18" s="1"/>
  <c r="AF148" i="18" s="1"/>
  <c r="AI346" i="18"/>
  <c r="AH346" i="18" s="1"/>
  <c r="AG346" i="18" s="1"/>
  <c r="AF346" i="18" s="1"/>
  <c r="AD346" i="18" s="1"/>
  <c r="AI136" i="18"/>
  <c r="AH136" i="18" s="1"/>
  <c r="AG136" i="18" s="1"/>
  <c r="AF136" i="18" s="1"/>
  <c r="AD136" i="18" s="1"/>
  <c r="AI119" i="18"/>
  <c r="AH119" i="18" s="1"/>
  <c r="AG119" i="18" s="1"/>
  <c r="AF119" i="18" s="1"/>
  <c r="AD119" i="18" s="1"/>
  <c r="AI230" i="18"/>
  <c r="AH230" i="18" s="1"/>
  <c r="AG230" i="18" s="1"/>
  <c r="AF230" i="18" s="1"/>
  <c r="AD230" i="18" s="1"/>
  <c r="AI182" i="18"/>
  <c r="AH182" i="18" s="1"/>
  <c r="AG182" i="18" s="1"/>
  <c r="AF182" i="18" s="1"/>
  <c r="AD182" i="18" s="1"/>
  <c r="AI224" i="18"/>
  <c r="AH224" i="18" s="1"/>
  <c r="AG224" i="18" s="1"/>
  <c r="AF224" i="18" s="1"/>
  <c r="AI104" i="18"/>
  <c r="AH104" i="18" s="1"/>
  <c r="AG104" i="18" s="1"/>
  <c r="AI339" i="18"/>
  <c r="AH339" i="18" s="1"/>
  <c r="AG339" i="18" s="1"/>
  <c r="AF339" i="18" s="1"/>
  <c r="AD339" i="18" s="1"/>
  <c r="AI127" i="18"/>
  <c r="AH127" i="18" s="1"/>
  <c r="AG127" i="18" s="1"/>
  <c r="AF127" i="18" s="1"/>
  <c r="AD127" i="18" s="1"/>
  <c r="AI379" i="18"/>
  <c r="AI178" i="18"/>
  <c r="AH178" i="18" s="1"/>
  <c r="AI176" i="18"/>
  <c r="AH176" i="18" s="1"/>
  <c r="AG176" i="18" s="1"/>
  <c r="AF176" i="18" s="1"/>
  <c r="AI282" i="18"/>
  <c r="AH282" i="18" s="1"/>
  <c r="AI63" i="18"/>
  <c r="AH63" i="18" s="1"/>
  <c r="AG63" i="18" s="1"/>
  <c r="AF63" i="18" s="1"/>
  <c r="AD63" i="18" s="1"/>
  <c r="AI72" i="18"/>
  <c r="AH72" i="18" s="1"/>
  <c r="AG72" i="18" s="1"/>
  <c r="AF72" i="18" s="1"/>
  <c r="AD72" i="18" s="1"/>
  <c r="AI69" i="18"/>
  <c r="AH69" i="18" s="1"/>
  <c r="AG69" i="18" s="1"/>
  <c r="AF69" i="18" s="1"/>
  <c r="AD69" i="18" s="1"/>
  <c r="AI102" i="18"/>
  <c r="AH102" i="18" s="1"/>
  <c r="AG102" i="18" s="1"/>
  <c r="AF102" i="18" s="1"/>
  <c r="AD102" i="18" s="1"/>
  <c r="AI23" i="18"/>
  <c r="AH23" i="18" s="1"/>
  <c r="AG23" i="18" s="1"/>
  <c r="AF23" i="18" s="1"/>
  <c r="AD23" i="18" s="1"/>
  <c r="AI51" i="18"/>
  <c r="AH51" i="18" s="1"/>
  <c r="AG51" i="18" s="1"/>
  <c r="AF51" i="18" s="1"/>
  <c r="AD51" i="18" s="1"/>
  <c r="AI30" i="18"/>
  <c r="AH30" i="18" s="1"/>
  <c r="AG30" i="18" s="1"/>
  <c r="AF30" i="18" s="1"/>
  <c r="AD30" i="18" s="1"/>
  <c r="AI75" i="18"/>
  <c r="AH75" i="18" s="1"/>
  <c r="AG75" i="18" s="1"/>
  <c r="AF75" i="18" s="1"/>
  <c r="AD75" i="18" s="1"/>
  <c r="AI71" i="18"/>
  <c r="AH71" i="18" s="1"/>
  <c r="AG71" i="18" s="1"/>
  <c r="AF71" i="18" s="1"/>
  <c r="AD71" i="18" s="1"/>
  <c r="AI90" i="18"/>
  <c r="AH90" i="18" s="1"/>
  <c r="AG90" i="18" s="1"/>
  <c r="AF90" i="18" s="1"/>
  <c r="AD90" i="18" s="1"/>
  <c r="AI97" i="18"/>
  <c r="AH97" i="18" s="1"/>
  <c r="AG97" i="18" s="1"/>
  <c r="AF97" i="18" s="1"/>
  <c r="AD97" i="18" s="1"/>
  <c r="AI80" i="18"/>
  <c r="AH80" i="18" s="1"/>
  <c r="AG80" i="18" s="1"/>
  <c r="AF80" i="18" s="1"/>
  <c r="AD80" i="18" s="1"/>
  <c r="AI62" i="18"/>
  <c r="AH62" i="18" s="1"/>
  <c r="AG62" i="18" s="1"/>
  <c r="AF62" i="18" s="1"/>
  <c r="AD62" i="18" s="1"/>
  <c r="AI78" i="18"/>
  <c r="AH78" i="18" s="1"/>
  <c r="AG78" i="18" s="1"/>
  <c r="AF78" i="18" s="1"/>
  <c r="AD78" i="18" s="1"/>
  <c r="AI87" i="18"/>
  <c r="AH87" i="18" s="1"/>
  <c r="AG87" i="18" s="1"/>
  <c r="AF87" i="18" s="1"/>
  <c r="AD87" i="18" s="1"/>
  <c r="AI66" i="18"/>
  <c r="AH66" i="18" s="1"/>
  <c r="AG66" i="18" s="1"/>
  <c r="AF66" i="18" s="1"/>
  <c r="AD66" i="18" s="1"/>
  <c r="AI15" i="18"/>
  <c r="AH15" i="18" s="1"/>
  <c r="AG15" i="18" s="1"/>
  <c r="AF15" i="18" s="1"/>
  <c r="AI73" i="18"/>
  <c r="AH73" i="18" s="1"/>
  <c r="AG73" i="18" s="1"/>
  <c r="AF73" i="18" s="1"/>
  <c r="AD73" i="18" s="1"/>
  <c r="AI31" i="18"/>
  <c r="AH31" i="18" s="1"/>
  <c r="AG31" i="18" s="1"/>
  <c r="AF31" i="18" s="1"/>
  <c r="AD31" i="18" s="1"/>
  <c r="AI27" i="18"/>
  <c r="AH27" i="18" s="1"/>
  <c r="AG27" i="18" s="1"/>
  <c r="AF27" i="18" s="1"/>
  <c r="AD27" i="18" s="1"/>
  <c r="AI83" i="18"/>
  <c r="AH83" i="18" s="1"/>
  <c r="AG83" i="18" s="1"/>
  <c r="AF83" i="18" s="1"/>
  <c r="AD83" i="18" s="1"/>
  <c r="AI68" i="18"/>
  <c r="AH68" i="18" s="1"/>
  <c r="AG68" i="18" s="1"/>
  <c r="AF68" i="18" s="1"/>
  <c r="AD68" i="18" s="1"/>
  <c r="AI52" i="18"/>
  <c r="AH52" i="18" s="1"/>
  <c r="AG52" i="18" s="1"/>
  <c r="AF52" i="18" s="1"/>
  <c r="AD52" i="18" s="1"/>
  <c r="AI295" i="18"/>
  <c r="AH295" i="18" s="1"/>
  <c r="AG295" i="18" s="1"/>
  <c r="AF295" i="18" s="1"/>
  <c r="AI294" i="18"/>
  <c r="AH294" i="18" s="1"/>
  <c r="AG294" i="18" s="1"/>
  <c r="AF294" i="18" s="1"/>
  <c r="AI335" i="18"/>
  <c r="AH335" i="18" s="1"/>
  <c r="AG335" i="18" s="1"/>
  <c r="AF335" i="18" s="1"/>
  <c r="AI257" i="18"/>
  <c r="AH257" i="18" s="1"/>
  <c r="AG257" i="18" s="1"/>
  <c r="AF257" i="18" s="1"/>
  <c r="AI352" i="18"/>
  <c r="AH352" i="18" s="1"/>
  <c r="AG352" i="18" s="1"/>
  <c r="AF352" i="18" s="1"/>
  <c r="AI315" i="18"/>
  <c r="AH315" i="18" s="1"/>
  <c r="AG315" i="18" s="1"/>
  <c r="AF315" i="18" s="1"/>
  <c r="AI79" i="18"/>
  <c r="AH79" i="18" s="1"/>
  <c r="AG79" i="18" s="1"/>
  <c r="AF79" i="18" s="1"/>
  <c r="AD79" i="18" s="1"/>
  <c r="AI238" i="18"/>
  <c r="AH238" i="18" s="1"/>
  <c r="AG238" i="18" s="1"/>
  <c r="AF238" i="18" s="1"/>
  <c r="AI58" i="18"/>
  <c r="AH58" i="18" s="1"/>
  <c r="AG58" i="18" s="1"/>
  <c r="AF58" i="18" s="1"/>
  <c r="AD58" i="18" s="1"/>
  <c r="AI351" i="18"/>
  <c r="AH351" i="18" s="1"/>
  <c r="AI278" i="18"/>
  <c r="AH278" i="18" s="1"/>
  <c r="AG278" i="18" s="1"/>
  <c r="AF278" i="18" s="1"/>
  <c r="AI240" i="18"/>
  <c r="AH240" i="18" s="1"/>
  <c r="AG240" i="18" s="1"/>
  <c r="AF240" i="18" s="1"/>
  <c r="AI121" i="18"/>
  <c r="AH121" i="18" s="1"/>
  <c r="AI39" i="18"/>
  <c r="AH39" i="18" s="1"/>
  <c r="AG39" i="18" s="1"/>
  <c r="AF39" i="18" s="1"/>
  <c r="AD39" i="18" s="1"/>
  <c r="AI226" i="18"/>
  <c r="AH226" i="18" s="1"/>
  <c r="AG226" i="18" s="1"/>
  <c r="AF226" i="18" s="1"/>
  <c r="AI377" i="18"/>
  <c r="AH377" i="18" s="1"/>
  <c r="AG377" i="18" s="1"/>
  <c r="AF377" i="18" s="1"/>
  <c r="AI201" i="18"/>
  <c r="AH201" i="18" s="1"/>
  <c r="AI189" i="18"/>
  <c r="AH189" i="18" s="1"/>
  <c r="AG189" i="18" s="1"/>
  <c r="AF189" i="18" s="1"/>
  <c r="AI103" i="18"/>
  <c r="AH103" i="18" s="1"/>
  <c r="AG103" i="18" s="1"/>
  <c r="AF103" i="18" s="1"/>
  <c r="AD103" i="18" s="1"/>
  <c r="AI129" i="18"/>
  <c r="AH129" i="18" s="1"/>
  <c r="AG129" i="18" s="1"/>
  <c r="AF129" i="18" s="1"/>
  <c r="AI109" i="18"/>
  <c r="AH109" i="18" s="1"/>
  <c r="AG109" i="18" s="1"/>
  <c r="AF109" i="18" s="1"/>
  <c r="AI77" i="18"/>
  <c r="AH77" i="18" s="1"/>
  <c r="AG77" i="18" s="1"/>
  <c r="AF77" i="18" s="1"/>
  <c r="AD77" i="18" s="1"/>
  <c r="AI16" i="18"/>
  <c r="AH16" i="18" s="1"/>
  <c r="AG16" i="18" s="1"/>
  <c r="AF16" i="18" s="1"/>
  <c r="AD16" i="18" s="1"/>
  <c r="AI314" i="18"/>
  <c r="AH314" i="18" s="1"/>
  <c r="AG314" i="18" s="1"/>
  <c r="AF314" i="18" s="1"/>
  <c r="AI141" i="18"/>
  <c r="AH141" i="18" s="1"/>
  <c r="AI191" i="18"/>
  <c r="AH191" i="18" s="1"/>
  <c r="AG191" i="18" s="1"/>
  <c r="AF191" i="18" s="1"/>
  <c r="AI162" i="18"/>
  <c r="AH162" i="18" s="1"/>
  <c r="AI42" i="18"/>
  <c r="AH42" i="18" s="1"/>
  <c r="AG42" i="18" s="1"/>
  <c r="AF42" i="18" s="1"/>
  <c r="AD42" i="18" s="1"/>
  <c r="AI231" i="18"/>
  <c r="AH231" i="18" s="1"/>
  <c r="AI286" i="18"/>
  <c r="AH286" i="18" s="1"/>
  <c r="AG286" i="18" s="1"/>
  <c r="AF286" i="18" s="1"/>
  <c r="AI325" i="18"/>
  <c r="AH325" i="18" s="1"/>
  <c r="AG325" i="18" s="1"/>
  <c r="AF325" i="18" s="1"/>
  <c r="AI168" i="18"/>
  <c r="AH168" i="18" s="1"/>
  <c r="AG168" i="18" s="1"/>
  <c r="AF168" i="18" s="1"/>
  <c r="AI197" i="18"/>
  <c r="AH197" i="18" s="1"/>
  <c r="AI252" i="18"/>
  <c r="AH252" i="18" s="1"/>
  <c r="AG252" i="18" s="1"/>
  <c r="AF252" i="18" s="1"/>
  <c r="AI203" i="18"/>
  <c r="AH203" i="18" s="1"/>
  <c r="AG203" i="18" s="1"/>
  <c r="AF203" i="18" s="1"/>
  <c r="AI106" i="18"/>
  <c r="AH106" i="18" s="1"/>
  <c r="AI270" i="18"/>
  <c r="AH270" i="18" s="1"/>
  <c r="AG270" i="18" s="1"/>
  <c r="AF270" i="18" s="1"/>
  <c r="AI202" i="18"/>
  <c r="AH202" i="18" s="1"/>
  <c r="AI293" i="18"/>
  <c r="AH293" i="18" s="1"/>
  <c r="AG293" i="18" s="1"/>
  <c r="AF293" i="18" s="1"/>
  <c r="AI82" i="18"/>
  <c r="AH82" i="18" s="1"/>
  <c r="AG82" i="18" s="1"/>
  <c r="AF82" i="18" s="1"/>
  <c r="AD82" i="18" s="1"/>
  <c r="AI54" i="18"/>
  <c r="AH54" i="18" s="1"/>
  <c r="AG54" i="18" s="1"/>
  <c r="AF54" i="18" s="1"/>
  <c r="AD54" i="18" s="1"/>
  <c r="AI309" i="18"/>
  <c r="AH309" i="18" s="1"/>
  <c r="AG309" i="18" s="1"/>
  <c r="AF309" i="18" s="1"/>
  <c r="AI236" i="18"/>
  <c r="AH236" i="18" s="1"/>
  <c r="AG236" i="18" s="1"/>
  <c r="AF236" i="18" s="1"/>
  <c r="AI142" i="18"/>
  <c r="AH142" i="18" s="1"/>
  <c r="AG142" i="18" s="1"/>
  <c r="AF142" i="18" s="1"/>
  <c r="AD142" i="18" s="1"/>
  <c r="AI242" i="18"/>
  <c r="AH242" i="18" s="1"/>
  <c r="AG242" i="18" s="1"/>
  <c r="AF242" i="18" s="1"/>
  <c r="AD242" i="18" s="1"/>
  <c r="AI222" i="18"/>
  <c r="AH222" i="18" s="1"/>
  <c r="AI175" i="18"/>
  <c r="AH175" i="18" s="1"/>
  <c r="AI338" i="18"/>
  <c r="AH338" i="18" s="1"/>
  <c r="AG338" i="18" s="1"/>
  <c r="AF338" i="18" s="1"/>
  <c r="AD338" i="18" s="1"/>
  <c r="AI367" i="18"/>
  <c r="AH367" i="18" s="1"/>
  <c r="AG367" i="18" s="1"/>
  <c r="AF367" i="18" s="1"/>
  <c r="AI333" i="18"/>
  <c r="AH333" i="18" s="1"/>
  <c r="AG333" i="18" s="1"/>
  <c r="AF333" i="18" s="1"/>
  <c r="AD333" i="18" s="1"/>
  <c r="AI266" i="18"/>
  <c r="AH266" i="18" s="1"/>
  <c r="AG266" i="18" s="1"/>
  <c r="AF266" i="18" s="1"/>
  <c r="AD266" i="18" s="1"/>
  <c r="AI269" i="18"/>
  <c r="AH269" i="18" s="1"/>
  <c r="AG269" i="18" s="1"/>
  <c r="AF269" i="18" s="1"/>
  <c r="AD269" i="18" s="1"/>
  <c r="AI313" i="18"/>
  <c r="AH313" i="18" s="1"/>
  <c r="AI84" i="18"/>
  <c r="AH84" i="18" s="1"/>
  <c r="AG84" i="18" s="1"/>
  <c r="AF84" i="18" s="1"/>
  <c r="AD84" i="18" s="1"/>
  <c r="AI92" i="18"/>
  <c r="AH92" i="18" s="1"/>
  <c r="AG92" i="18" s="1"/>
  <c r="AF92" i="18" s="1"/>
  <c r="AD92" i="18" s="1"/>
  <c r="AI61" i="18"/>
  <c r="AH61" i="18" s="1"/>
  <c r="AG61" i="18" s="1"/>
  <c r="AF61" i="18" s="1"/>
  <c r="AD61" i="18" s="1"/>
  <c r="AI50" i="18"/>
  <c r="AH50" i="18" s="1"/>
  <c r="AG50" i="18" s="1"/>
  <c r="AF50" i="18" s="1"/>
  <c r="AD50" i="18" s="1"/>
  <c r="AI36" i="18"/>
  <c r="AH36" i="18" s="1"/>
  <c r="AG36" i="18" s="1"/>
  <c r="AF36" i="18" s="1"/>
  <c r="AD36" i="18" s="1"/>
  <c r="AI44" i="18"/>
  <c r="AH44" i="18" s="1"/>
  <c r="AG44" i="18" s="1"/>
  <c r="AF44" i="18" s="1"/>
  <c r="AD44" i="18" s="1"/>
  <c r="AI22" i="18"/>
  <c r="AH22" i="18" s="1"/>
  <c r="AG22" i="18" s="1"/>
  <c r="AF22" i="18" s="1"/>
  <c r="AD22" i="18" s="1"/>
  <c r="AI45" i="18"/>
  <c r="AH45" i="18" s="1"/>
  <c r="AG45" i="18" s="1"/>
  <c r="AF45" i="18" s="1"/>
  <c r="AD45" i="18" s="1"/>
  <c r="AI81" i="18"/>
  <c r="AH81" i="18" s="1"/>
  <c r="AG81" i="18" s="1"/>
  <c r="AF81" i="18" s="1"/>
  <c r="AD81" i="18" s="1"/>
  <c r="AI24" i="18"/>
  <c r="AH24" i="18" s="1"/>
  <c r="AG24" i="18" s="1"/>
  <c r="AF24" i="18" s="1"/>
  <c r="AD24" i="18" s="1"/>
  <c r="AI21" i="18"/>
  <c r="AH21" i="18" s="1"/>
  <c r="AG21" i="18" s="1"/>
  <c r="AF21" i="18" s="1"/>
  <c r="AD21" i="18" s="1"/>
  <c r="AI297" i="18"/>
  <c r="AH297" i="18" s="1"/>
  <c r="AI225" i="18"/>
  <c r="AH225" i="18" s="1"/>
  <c r="AI153" i="18"/>
  <c r="AH153" i="18" s="1"/>
  <c r="AG153" i="18" s="1"/>
  <c r="AF153" i="18" s="1"/>
  <c r="AI255" i="18"/>
  <c r="AH255" i="18" s="1"/>
  <c r="AG255" i="18" s="1"/>
  <c r="AF255" i="18" s="1"/>
  <c r="AI166" i="18"/>
  <c r="AH166" i="18" s="1"/>
  <c r="AG166" i="18" s="1"/>
  <c r="AF166" i="18" s="1"/>
  <c r="AI290" i="18"/>
  <c r="AH290" i="18" s="1"/>
  <c r="AG290" i="18" s="1"/>
  <c r="AF290" i="18" s="1"/>
  <c r="AI140" i="18"/>
  <c r="AH140" i="18" s="1"/>
  <c r="AG140" i="18" s="1"/>
  <c r="AF140" i="18" s="1"/>
  <c r="AI299" i="18"/>
  <c r="AH299" i="18" s="1"/>
  <c r="AG299" i="18" s="1"/>
  <c r="AF299" i="18" s="1"/>
  <c r="AI94" i="18"/>
  <c r="AH94" i="18" s="1"/>
  <c r="AG94" i="18" s="1"/>
  <c r="AF94" i="18" s="1"/>
  <c r="AD94" i="18" s="1"/>
  <c r="AI241" i="18"/>
  <c r="AH241" i="18" s="1"/>
  <c r="AG241" i="18" s="1"/>
  <c r="AF241" i="18" s="1"/>
  <c r="AI227" i="18"/>
  <c r="AH227" i="18" s="1"/>
  <c r="AG227" i="18" s="1"/>
  <c r="AF227" i="18" s="1"/>
  <c r="AI283" i="18"/>
  <c r="AH283" i="18" s="1"/>
  <c r="AG283" i="18" s="1"/>
  <c r="AF283" i="18" s="1"/>
  <c r="AI363" i="18"/>
  <c r="AH363" i="18" s="1"/>
  <c r="AG363" i="18" s="1"/>
  <c r="AF363" i="18" s="1"/>
  <c r="AI179" i="18"/>
  <c r="AH179" i="18" s="1"/>
  <c r="AG179" i="18" s="1"/>
  <c r="AF179" i="18" s="1"/>
  <c r="AI285" i="18"/>
  <c r="AH285" i="18" s="1"/>
  <c r="AI26" i="18"/>
  <c r="AH26" i="18" s="1"/>
  <c r="AG26" i="18" s="1"/>
  <c r="AF26" i="18" s="1"/>
  <c r="AD26" i="18" s="1"/>
  <c r="AI143" i="18"/>
  <c r="AH143" i="18" s="1"/>
  <c r="AG143" i="18" s="1"/>
  <c r="AF143" i="18" s="1"/>
  <c r="AI120" i="18"/>
  <c r="AH120" i="18" s="1"/>
  <c r="AG120" i="18" s="1"/>
  <c r="AF120" i="18" s="1"/>
  <c r="AI376" i="18"/>
  <c r="AH376" i="18" s="1"/>
  <c r="AI49" i="18"/>
  <c r="AH49" i="18" s="1"/>
  <c r="AG49" i="18" s="1"/>
  <c r="AF49" i="18" s="1"/>
  <c r="AD49" i="18" s="1"/>
  <c r="AI74" i="18"/>
  <c r="AH74" i="18" s="1"/>
  <c r="AG74" i="18" s="1"/>
  <c r="AF74" i="18" s="1"/>
  <c r="AD74" i="18" s="1"/>
  <c r="AI354" i="18"/>
  <c r="AH354" i="18" s="1"/>
  <c r="AG354" i="18" s="1"/>
  <c r="AF354" i="18" s="1"/>
  <c r="AI218" i="18"/>
  <c r="AH218" i="18" s="1"/>
  <c r="AG218" i="18" s="1"/>
  <c r="AF218" i="18" s="1"/>
  <c r="AI117" i="18"/>
  <c r="AH117" i="18" s="1"/>
  <c r="AG117" i="18" s="1"/>
  <c r="AF117" i="18" s="1"/>
  <c r="AD117" i="18" s="1"/>
  <c r="AI172" i="18"/>
  <c r="AH172" i="18" s="1"/>
  <c r="AG172" i="18" s="1"/>
  <c r="AF172" i="18" s="1"/>
  <c r="AD172" i="18" s="1"/>
  <c r="AI125" i="18"/>
  <c r="AH125" i="18" s="1"/>
  <c r="AG125" i="18" s="1"/>
  <c r="AF125" i="18" s="1"/>
  <c r="AD125" i="18" s="1"/>
  <c r="AI173" i="18"/>
  <c r="AH173" i="18" s="1"/>
  <c r="AG173" i="18" s="1"/>
  <c r="AF173" i="18" s="1"/>
  <c r="AD173" i="18" s="1"/>
  <c r="AI163" i="18"/>
  <c r="AH163" i="18" s="1"/>
  <c r="AG163" i="18" s="1"/>
  <c r="AF163" i="18" s="1"/>
  <c r="AD163" i="18" s="1"/>
  <c r="AI131" i="18"/>
  <c r="AH131" i="18" s="1"/>
  <c r="AG131" i="18" s="1"/>
  <c r="AF131" i="18" s="1"/>
  <c r="AD131" i="18" s="1"/>
  <c r="AI47" i="18"/>
  <c r="AH47" i="18" s="1"/>
  <c r="AG47" i="18" s="1"/>
  <c r="AF47" i="18" s="1"/>
  <c r="AD47" i="18" s="1"/>
  <c r="AI355" i="18"/>
  <c r="AH355" i="18" s="1"/>
  <c r="AG355" i="18" s="1"/>
  <c r="AF355" i="18" s="1"/>
  <c r="AD355" i="18" s="1"/>
  <c r="AI122" i="18"/>
  <c r="AH122" i="18" s="1"/>
  <c r="AG122" i="18" s="1"/>
  <c r="AF122" i="18" s="1"/>
  <c r="AD122" i="18" s="1"/>
  <c r="AI215" i="18"/>
  <c r="AH215" i="18" s="1"/>
  <c r="AG215" i="18" s="1"/>
  <c r="AF215" i="18" s="1"/>
  <c r="AD215" i="18" s="1"/>
  <c r="AI353" i="18"/>
  <c r="AH353" i="18" s="1"/>
  <c r="AG353" i="18" s="1"/>
  <c r="AF353" i="18" s="1"/>
  <c r="AD353" i="18" s="1"/>
  <c r="AI322" i="18"/>
  <c r="AH322" i="18" s="1"/>
  <c r="AG322" i="18" s="1"/>
  <c r="AF322" i="18" s="1"/>
  <c r="AD322" i="18" s="1"/>
  <c r="AI96" i="18"/>
  <c r="AH96" i="18" s="1"/>
  <c r="AG96" i="18" s="1"/>
  <c r="AF96" i="18" s="1"/>
  <c r="AD96" i="18" s="1"/>
  <c r="AI124" i="18"/>
  <c r="AH124" i="18" s="1"/>
  <c r="AG124" i="18" s="1"/>
  <c r="AF124" i="18" s="1"/>
  <c r="AD124" i="18" s="1"/>
  <c r="AI86" i="18"/>
  <c r="AH86" i="18" s="1"/>
  <c r="AG86" i="18" s="1"/>
  <c r="AF86" i="18" s="1"/>
  <c r="AD86" i="18" s="1"/>
  <c r="AI98" i="18"/>
  <c r="AH98" i="18" s="1"/>
  <c r="AG98" i="18" s="1"/>
  <c r="AF98" i="18" s="1"/>
  <c r="AD98" i="18" s="1"/>
  <c r="AI253" i="18"/>
  <c r="AH253" i="18" s="1"/>
  <c r="AG253" i="18" s="1"/>
  <c r="AF253" i="18" s="1"/>
  <c r="AD253" i="18" s="1"/>
  <c r="AI193" i="18"/>
  <c r="AH193" i="18" s="1"/>
  <c r="AG193" i="18" s="1"/>
  <c r="AF193" i="18" s="1"/>
  <c r="AD193" i="18" s="1"/>
  <c r="AI301" i="18"/>
  <c r="AH301" i="18" s="1"/>
  <c r="AG301" i="18" s="1"/>
  <c r="AF301" i="18" s="1"/>
  <c r="AD301" i="18" s="1"/>
  <c r="AI366" i="18"/>
  <c r="AH366" i="18" s="1"/>
  <c r="AG366" i="18" s="1"/>
  <c r="AF366" i="18" s="1"/>
  <c r="AD366" i="18" s="1"/>
  <c r="AI323" i="18"/>
  <c r="AH323" i="18" s="1"/>
  <c r="AG323" i="18" s="1"/>
  <c r="AF323" i="18" s="1"/>
  <c r="AD323" i="18" s="1"/>
  <c r="AI311" i="18"/>
  <c r="AH311" i="18" s="1"/>
  <c r="AG311" i="18" s="1"/>
  <c r="AF311" i="18" s="1"/>
  <c r="AD311" i="18" s="1"/>
  <c r="AI93" i="18"/>
  <c r="AH93" i="18" s="1"/>
  <c r="AG93" i="18" s="1"/>
  <c r="AF93" i="18" s="1"/>
  <c r="AD93" i="18" s="1"/>
  <c r="AI46" i="18"/>
  <c r="AH46" i="18" s="1"/>
  <c r="AG46" i="18" s="1"/>
  <c r="AF46" i="18" s="1"/>
  <c r="AD46" i="18" s="1"/>
  <c r="AI357" i="18"/>
  <c r="AH357" i="18" s="1"/>
  <c r="AG357" i="18" s="1"/>
  <c r="AF357" i="18" s="1"/>
  <c r="AD357" i="18" s="1"/>
  <c r="AI55" i="18"/>
  <c r="AH55" i="18" s="1"/>
  <c r="AG55" i="18" s="1"/>
  <c r="AF55" i="18" s="1"/>
  <c r="AD55" i="18" s="1"/>
  <c r="AI232" i="18"/>
  <c r="AH232" i="18" s="1"/>
  <c r="AG232" i="18" s="1"/>
  <c r="AF232" i="18" s="1"/>
  <c r="AD232" i="18" s="1"/>
  <c r="AI341" i="18"/>
  <c r="AH341" i="18" s="1"/>
  <c r="AG341" i="18" s="1"/>
  <c r="AF341" i="18" s="1"/>
  <c r="AD341" i="18" s="1"/>
  <c r="AI34" i="18"/>
  <c r="AH34" i="18" s="1"/>
  <c r="AG34" i="18" s="1"/>
  <c r="AF34" i="18" s="1"/>
  <c r="AD34" i="18" s="1"/>
  <c r="AI132" i="18"/>
  <c r="AH132" i="18" s="1"/>
  <c r="AG132" i="18" s="1"/>
  <c r="AF132" i="18" s="1"/>
  <c r="AD132" i="18" s="1"/>
  <c r="AI303" i="18"/>
  <c r="AH303" i="18" s="1"/>
  <c r="AG303" i="18" s="1"/>
  <c r="AF303" i="18" s="1"/>
  <c r="AD303" i="18" s="1"/>
  <c r="AI337" i="18"/>
  <c r="AH337" i="18" s="1"/>
  <c r="AG337" i="18" s="1"/>
  <c r="AF337" i="18" s="1"/>
  <c r="AD337" i="18" s="1"/>
  <c r="AI296" i="18"/>
  <c r="AH296" i="18" s="1"/>
  <c r="AG296" i="18" s="1"/>
  <c r="AF296" i="18" s="1"/>
  <c r="AD296" i="18" s="1"/>
  <c r="AI359" i="18"/>
  <c r="AH359" i="18" s="1"/>
  <c r="AG359" i="18" s="1"/>
  <c r="AF359" i="18" s="1"/>
  <c r="AD359" i="18" s="1"/>
  <c r="AI212" i="18"/>
  <c r="AH212" i="18" s="1"/>
  <c r="AG212" i="18" s="1"/>
  <c r="AF212" i="18" s="1"/>
  <c r="AD212" i="18" s="1"/>
  <c r="AI116" i="18"/>
  <c r="AH116" i="18" s="1"/>
  <c r="AG116" i="18" s="1"/>
  <c r="AF116" i="18" s="1"/>
  <c r="AD116" i="18" s="1"/>
  <c r="AI364" i="18"/>
  <c r="AH364" i="18" s="1"/>
  <c r="AG364" i="18" s="1"/>
  <c r="AF364" i="18" s="1"/>
  <c r="AD364" i="18" s="1"/>
  <c r="AI40" i="18"/>
  <c r="AH40" i="18" s="1"/>
  <c r="AG40" i="18" s="1"/>
  <c r="AF40" i="18" s="1"/>
  <c r="AD40" i="18" s="1"/>
  <c r="AI326" i="18"/>
  <c r="AH326" i="18" s="1"/>
  <c r="AG326" i="18" s="1"/>
  <c r="AF326" i="18" s="1"/>
  <c r="AD326" i="18" s="1"/>
  <c r="AI149" i="18"/>
  <c r="AH149" i="18" s="1"/>
  <c r="AG149" i="18" s="1"/>
  <c r="AF149" i="18" s="1"/>
  <c r="AD149" i="18" s="1"/>
  <c r="AI145" i="18"/>
  <c r="AH145" i="18" s="1"/>
  <c r="AG145" i="18" s="1"/>
  <c r="AF145" i="18" s="1"/>
  <c r="AD145" i="18" s="1"/>
  <c r="AI154" i="18"/>
  <c r="AH154" i="18" s="1"/>
  <c r="AG154" i="18" s="1"/>
  <c r="AF154" i="18" s="1"/>
  <c r="AD154" i="18" s="1"/>
  <c r="AI41" i="18"/>
  <c r="AH41" i="18" s="1"/>
  <c r="AG41" i="18" s="1"/>
  <c r="AF41" i="18" s="1"/>
  <c r="AD41" i="18" s="1"/>
  <c r="AI235" i="18"/>
  <c r="AH235" i="18" s="1"/>
  <c r="AG235" i="18" s="1"/>
  <c r="AF235" i="18" s="1"/>
  <c r="AD235" i="18" s="1"/>
  <c r="U144" i="18"/>
  <c r="T144" i="18" s="1"/>
  <c r="S144" i="18" s="1"/>
  <c r="R144" i="18" s="1"/>
  <c r="P144" i="18" s="1"/>
  <c r="V144" i="18" s="1"/>
  <c r="U293" i="18"/>
  <c r="T293" i="18" s="1"/>
  <c r="S293" i="18" s="1"/>
  <c r="R293" i="18" s="1"/>
  <c r="P293" i="18" s="1"/>
  <c r="V293" i="18" s="1"/>
  <c r="U98" i="18"/>
  <c r="T98" i="18" s="1"/>
  <c r="S98" i="18" s="1"/>
  <c r="R98" i="18" s="1"/>
  <c r="P98" i="18" s="1"/>
  <c r="V98" i="18" s="1"/>
  <c r="U215" i="18"/>
  <c r="T215" i="18" s="1"/>
  <c r="S215" i="18" s="1"/>
  <c r="R215" i="18" s="1"/>
  <c r="P215" i="18" s="1"/>
  <c r="V215" i="18" s="1"/>
  <c r="U311" i="18"/>
  <c r="T311" i="18" s="1"/>
  <c r="S311" i="18" s="1"/>
  <c r="R311" i="18" s="1"/>
  <c r="P311" i="18" s="1"/>
  <c r="V311" i="18" s="1"/>
  <c r="U91" i="18"/>
  <c r="T91" i="18" s="1"/>
  <c r="S91" i="18" s="1"/>
  <c r="R91" i="18" s="1"/>
  <c r="P91" i="18" s="1"/>
  <c r="V91" i="18" s="1"/>
  <c r="U104" i="18"/>
  <c r="T104" i="18" s="1"/>
  <c r="S104" i="18" s="1"/>
  <c r="R104" i="18" s="1"/>
  <c r="P104" i="18" s="1"/>
  <c r="V104" i="18" s="1"/>
  <c r="U374" i="18"/>
  <c r="T374" i="18" s="1"/>
  <c r="S374" i="18" s="1"/>
  <c r="R374" i="18" s="1"/>
  <c r="P374" i="18" s="1"/>
  <c r="V374" i="18" s="1"/>
  <c r="U122" i="18"/>
  <c r="T122" i="18" s="1"/>
  <c r="S122" i="18" s="1"/>
  <c r="R122" i="18" s="1"/>
  <c r="P122" i="18" s="1"/>
  <c r="V122" i="18" s="1"/>
  <c r="U110" i="18"/>
  <c r="T110" i="18" s="1"/>
  <c r="S110" i="18" s="1"/>
  <c r="R110" i="18" s="1"/>
  <c r="P110" i="18" s="1"/>
  <c r="V110" i="18" s="1"/>
  <c r="U189" i="18"/>
  <c r="T189" i="18" s="1"/>
  <c r="S189" i="18" s="1"/>
  <c r="R189" i="18" s="1"/>
  <c r="P189" i="18" s="1"/>
  <c r="V189" i="18" s="1"/>
  <c r="U260" i="18"/>
  <c r="T260" i="18" s="1"/>
  <c r="S260" i="18" s="1"/>
  <c r="R260" i="18" s="1"/>
  <c r="P260" i="18" s="1"/>
  <c r="V260" i="18" s="1"/>
  <c r="U176" i="18"/>
  <c r="T176" i="18" s="1"/>
  <c r="S176" i="18" s="1"/>
  <c r="R176" i="18" s="1"/>
  <c r="P176" i="18" s="1"/>
  <c r="V176" i="18" s="1"/>
  <c r="U39" i="18"/>
  <c r="T39" i="18" s="1"/>
  <c r="S39" i="18" s="1"/>
  <c r="R39" i="18" s="1"/>
  <c r="P39" i="18" s="1"/>
  <c r="V39" i="18" s="1"/>
  <c r="U368" i="18"/>
  <c r="T368" i="18" s="1"/>
  <c r="S368" i="18" s="1"/>
  <c r="R368" i="18" s="1"/>
  <c r="P368" i="18" s="1"/>
  <c r="V368" i="18" s="1"/>
  <c r="U186" i="18"/>
  <c r="T186" i="18" s="1"/>
  <c r="S186" i="18" s="1"/>
  <c r="R186" i="18" s="1"/>
  <c r="P186" i="18" s="1"/>
  <c r="V186" i="18" s="1"/>
  <c r="U68" i="18"/>
  <c r="T68" i="18" s="1"/>
  <c r="S68" i="18" s="1"/>
  <c r="R68" i="18" s="1"/>
  <c r="P68" i="18" s="1"/>
  <c r="V68" i="18" s="1"/>
  <c r="U66" i="18"/>
  <c r="T66" i="18" s="1"/>
  <c r="S66" i="18" s="1"/>
  <c r="R66" i="18" s="1"/>
  <c r="P66" i="18" s="1"/>
  <c r="V66" i="18" s="1"/>
  <c r="U51" i="18"/>
  <c r="T51" i="18" s="1"/>
  <c r="S51" i="18" s="1"/>
  <c r="R51" i="18" s="1"/>
  <c r="P51" i="18" s="1"/>
  <c r="V51" i="18" s="1"/>
  <c r="U335" i="18"/>
  <c r="T335" i="18" s="1"/>
  <c r="S335" i="18" s="1"/>
  <c r="R335" i="18" s="1"/>
  <c r="P335" i="18" s="1"/>
  <c r="V335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279" i="18"/>
  <c r="T279" i="18" s="1"/>
  <c r="S279" i="18" s="1"/>
  <c r="R279" i="18" s="1"/>
  <c r="P279" i="18" s="1"/>
  <c r="V279" i="18" s="1"/>
  <c r="U234" i="18"/>
  <c r="T234" i="18" s="1"/>
  <c r="S234" i="18" s="1"/>
  <c r="R234" i="18" s="1"/>
  <c r="P234" i="18" s="1"/>
  <c r="V234" i="18" s="1"/>
  <c r="U352" i="18"/>
  <c r="T352" i="18" s="1"/>
  <c r="S352" i="18" s="1"/>
  <c r="R352" i="18" s="1"/>
  <c r="P352" i="18" s="1"/>
  <c r="V352" i="18" s="1"/>
  <c r="U330" i="18"/>
  <c r="T330" i="18" s="1"/>
  <c r="S330" i="18" s="1"/>
  <c r="R330" i="18" s="1"/>
  <c r="P330" i="18" s="1"/>
  <c r="V330" i="18" s="1"/>
  <c r="U188" i="18"/>
  <c r="T188" i="18" s="1"/>
  <c r="S188" i="18" s="1"/>
  <c r="R188" i="18" s="1"/>
  <c r="P188" i="18" s="1"/>
  <c r="V188" i="18" s="1"/>
  <c r="U37" i="18"/>
  <c r="T37" i="18" s="1"/>
  <c r="S37" i="18" s="1"/>
  <c r="R37" i="18" s="1"/>
  <c r="P37" i="18" s="1"/>
  <c r="V37" i="18" s="1"/>
  <c r="U327" i="18"/>
  <c r="T327" i="18" s="1"/>
  <c r="S327" i="18" s="1"/>
  <c r="R327" i="18" s="1"/>
  <c r="P327" i="18" s="1"/>
  <c r="V327" i="18" s="1"/>
  <c r="U321" i="18"/>
  <c r="T321" i="18" s="1"/>
  <c r="S321" i="18" s="1"/>
  <c r="R321" i="18" s="1"/>
  <c r="P321" i="18" s="1"/>
  <c r="V321" i="18" s="1"/>
  <c r="U295" i="18"/>
  <c r="T295" i="18" s="1"/>
  <c r="S295" i="18" s="1"/>
  <c r="R295" i="18" s="1"/>
  <c r="P295" i="18" s="1"/>
  <c r="V295" i="18" s="1"/>
  <c r="U320" i="18"/>
  <c r="T320" i="18" s="1"/>
  <c r="S320" i="18" s="1"/>
  <c r="R320" i="18" s="1"/>
  <c r="P320" i="18" s="1"/>
  <c r="V320" i="18" s="1"/>
  <c r="U288" i="18"/>
  <c r="T288" i="18" s="1"/>
  <c r="S288" i="18" s="1"/>
  <c r="R288" i="18" s="1"/>
  <c r="P288" i="18" s="1"/>
  <c r="V288" i="18" s="1"/>
  <c r="U34" i="18"/>
  <c r="T34" i="18" s="1"/>
  <c r="S34" i="18" s="1"/>
  <c r="R34" i="18" s="1"/>
  <c r="P34" i="18" s="1"/>
  <c r="V34" i="18" s="1"/>
  <c r="U85" i="18"/>
  <c r="T85" i="18" s="1"/>
  <c r="S85" i="18" s="1"/>
  <c r="R85" i="18" s="1"/>
  <c r="P85" i="18" s="1"/>
  <c r="V85" i="18" s="1"/>
  <c r="U243" i="18"/>
  <c r="T243" i="18" s="1"/>
  <c r="S243" i="18" s="1"/>
  <c r="R243" i="18" s="1"/>
  <c r="P243" i="18" s="1"/>
  <c r="V243" i="18" s="1"/>
  <c r="U267" i="18"/>
  <c r="T267" i="18" s="1"/>
  <c r="S267" i="18" s="1"/>
  <c r="R267" i="18" s="1"/>
  <c r="P267" i="18" s="1"/>
  <c r="V267" i="18" s="1"/>
  <c r="U207" i="18"/>
  <c r="T207" i="18" s="1"/>
  <c r="S207" i="18" s="1"/>
  <c r="R207" i="18" s="1"/>
  <c r="P207" i="18" s="1"/>
  <c r="V207" i="18" s="1"/>
  <c r="U271" i="18"/>
  <c r="T271" i="18" s="1"/>
  <c r="S271" i="18" s="1"/>
  <c r="R271" i="18" s="1"/>
  <c r="P271" i="18" s="1"/>
  <c r="V271" i="18" s="1"/>
  <c r="U268" i="18"/>
  <c r="T268" i="18" s="1"/>
  <c r="S268" i="18" s="1"/>
  <c r="R268" i="18" s="1"/>
  <c r="P268" i="18" s="1"/>
  <c r="V268" i="18" s="1"/>
  <c r="U238" i="18"/>
  <c r="T238" i="18" s="1"/>
  <c r="S238" i="18" s="1"/>
  <c r="R238" i="18" s="1"/>
  <c r="P238" i="18" s="1"/>
  <c r="V238" i="18" s="1"/>
  <c r="U123" i="18"/>
  <c r="T123" i="18" s="1"/>
  <c r="S123" i="18" s="1"/>
  <c r="R123" i="18" s="1"/>
  <c r="P123" i="18" s="1"/>
  <c r="V123" i="18" s="1"/>
  <c r="U180" i="18"/>
  <c r="T180" i="18" s="1"/>
  <c r="S180" i="18" s="1"/>
  <c r="R180" i="18" s="1"/>
  <c r="P180" i="18" s="1"/>
  <c r="V180" i="18" s="1"/>
  <c r="U224" i="18"/>
  <c r="T224" i="18" s="1"/>
  <c r="S224" i="18" s="1"/>
  <c r="R224" i="18" s="1"/>
  <c r="P224" i="18" s="1"/>
  <c r="V224" i="18" s="1"/>
  <c r="U125" i="18"/>
  <c r="T125" i="18" s="1"/>
  <c r="S125" i="18" s="1"/>
  <c r="R125" i="18" s="1"/>
  <c r="P125" i="18" s="1"/>
  <c r="V125" i="18" s="1"/>
  <c r="U126" i="18"/>
  <c r="T126" i="18" s="1"/>
  <c r="S126" i="18" s="1"/>
  <c r="R126" i="18" s="1"/>
  <c r="P126" i="18" s="1"/>
  <c r="V126" i="18" s="1"/>
  <c r="U283" i="18"/>
  <c r="T283" i="18" s="1"/>
  <c r="S283" i="18" s="1"/>
  <c r="R283" i="18" s="1"/>
  <c r="P283" i="18" s="1"/>
  <c r="V283" i="18" s="1"/>
  <c r="U41" i="18"/>
  <c r="T41" i="18" s="1"/>
  <c r="S41" i="18" s="1"/>
  <c r="R41" i="18" s="1"/>
  <c r="P41" i="18" s="1"/>
  <c r="V41" i="18" s="1"/>
  <c r="U90" i="18"/>
  <c r="T90" i="18" s="1"/>
  <c r="S90" i="18" s="1"/>
  <c r="R90" i="18" s="1"/>
  <c r="P90" i="18" s="1"/>
  <c r="V90" i="18" s="1"/>
  <c r="U167" i="18"/>
  <c r="T167" i="18" s="1"/>
  <c r="S167" i="18" s="1"/>
  <c r="R167" i="18" s="1"/>
  <c r="P167" i="18" s="1"/>
  <c r="V167" i="18" s="1"/>
  <c r="U372" i="18"/>
  <c r="T372" i="18" s="1"/>
  <c r="S372" i="18" s="1"/>
  <c r="R372" i="18" s="1"/>
  <c r="P372" i="18" s="1"/>
  <c r="V372" i="18" s="1"/>
  <c r="U236" i="18"/>
  <c r="T236" i="18" s="1"/>
  <c r="S236" i="18" s="1"/>
  <c r="R236" i="18" s="1"/>
  <c r="P236" i="18" s="1"/>
  <c r="V236" i="18" s="1"/>
  <c r="U190" i="18"/>
  <c r="T190" i="18" s="1"/>
  <c r="S190" i="18" s="1"/>
  <c r="R190" i="18" s="1"/>
  <c r="P190" i="18" s="1"/>
  <c r="V190" i="18" s="1"/>
  <c r="U94" i="18"/>
  <c r="T94" i="18" s="1"/>
  <c r="S94" i="18" s="1"/>
  <c r="R94" i="18" s="1"/>
  <c r="P94" i="18" s="1"/>
  <c r="V94" i="18" s="1"/>
  <c r="U140" i="18"/>
  <c r="T140" i="18" s="1"/>
  <c r="S140" i="18" s="1"/>
  <c r="R140" i="18" s="1"/>
  <c r="P140" i="18" s="1"/>
  <c r="V140" i="18" s="1"/>
  <c r="U183" i="18"/>
  <c r="T183" i="18" s="1"/>
  <c r="S183" i="18" s="1"/>
  <c r="R183" i="18" s="1"/>
  <c r="P183" i="18" s="1"/>
  <c r="V183" i="18" s="1"/>
  <c r="U25" i="18"/>
  <c r="T25" i="18" s="1"/>
  <c r="S25" i="18" s="1"/>
  <c r="R25" i="18" s="1"/>
  <c r="P25" i="18" s="1"/>
  <c r="V25" i="18" s="1"/>
  <c r="U278" i="18"/>
  <c r="T278" i="18" s="1"/>
  <c r="S278" i="18" s="1"/>
  <c r="R278" i="18" s="1"/>
  <c r="P278" i="18" s="1"/>
  <c r="V278" i="18" s="1"/>
  <c r="U323" i="18"/>
  <c r="T323" i="18" s="1"/>
  <c r="S323" i="18" s="1"/>
  <c r="R323" i="18" s="1"/>
  <c r="P323" i="18" s="1"/>
  <c r="V323" i="18" s="1"/>
  <c r="U302" i="18"/>
  <c r="T302" i="18" s="1"/>
  <c r="S302" i="18" s="1"/>
  <c r="R302" i="18" s="1"/>
  <c r="P302" i="18" s="1"/>
  <c r="D77" i="7" s="1"/>
  <c r="U134" i="18"/>
  <c r="T134" i="18" s="1"/>
  <c r="S134" i="18" s="1"/>
  <c r="R134" i="18" s="1"/>
  <c r="P134" i="18" s="1"/>
  <c r="V134" i="18" s="1"/>
  <c r="U306" i="18"/>
  <c r="T306" i="18" s="1"/>
  <c r="S306" i="18" s="1"/>
  <c r="R306" i="18" s="1"/>
  <c r="P306" i="18" s="1"/>
  <c r="V306" i="18" s="1"/>
  <c r="U350" i="18"/>
  <c r="T350" i="18" s="1"/>
  <c r="S350" i="18" s="1"/>
  <c r="R350" i="18" s="1"/>
  <c r="P350" i="18" s="1"/>
  <c r="V350" i="18" s="1"/>
  <c r="U139" i="18"/>
  <c r="T139" i="18" s="1"/>
  <c r="S139" i="18" s="1"/>
  <c r="R139" i="18" s="1"/>
  <c r="P139" i="18" s="1"/>
  <c r="V139" i="18" s="1"/>
  <c r="U310" i="18"/>
  <c r="T310" i="18" s="1"/>
  <c r="S310" i="18" s="1"/>
  <c r="R310" i="18" s="1"/>
  <c r="P310" i="18" s="1"/>
  <c r="V310" i="18" s="1"/>
  <c r="U174" i="18"/>
  <c r="T174" i="18" s="1"/>
  <c r="S174" i="18" s="1"/>
  <c r="R174" i="18" s="1"/>
  <c r="P174" i="18" s="1"/>
  <c r="V174" i="18" s="1"/>
  <c r="U222" i="18"/>
  <c r="T222" i="18" s="1"/>
  <c r="S222" i="18" s="1"/>
  <c r="R222" i="18" s="1"/>
  <c r="P222" i="18" s="1"/>
  <c r="V222" i="18" s="1"/>
  <c r="U348" i="18"/>
  <c r="T348" i="18" s="1"/>
  <c r="S348" i="18" s="1"/>
  <c r="R348" i="18" s="1"/>
  <c r="P348" i="18" s="1"/>
  <c r="V348" i="18" s="1"/>
  <c r="U220" i="18"/>
  <c r="T220" i="18" s="1"/>
  <c r="S220" i="18" s="1"/>
  <c r="R220" i="18" s="1"/>
  <c r="P220" i="18" s="1"/>
  <c r="V220" i="18" s="1"/>
  <c r="U326" i="18"/>
  <c r="T326" i="18" s="1"/>
  <c r="S326" i="18" s="1"/>
  <c r="R326" i="18" s="1"/>
  <c r="P326" i="18" s="1"/>
  <c r="V326" i="18" s="1"/>
  <c r="U171" i="18"/>
  <c r="T171" i="18" s="1"/>
  <c r="S171" i="18" s="1"/>
  <c r="R171" i="18" s="1"/>
  <c r="P171" i="18" s="1"/>
  <c r="V171" i="18" s="1"/>
  <c r="U155" i="18"/>
  <c r="T155" i="18" s="1"/>
  <c r="S155" i="18" s="1"/>
  <c r="R155" i="18" s="1"/>
  <c r="P155" i="18" s="1"/>
  <c r="V155" i="18" s="1"/>
  <c r="U19" i="18"/>
  <c r="T19" i="18" s="1"/>
  <c r="S19" i="18" s="1"/>
  <c r="R19" i="18" s="1"/>
  <c r="P19" i="18" s="1"/>
  <c r="V19" i="18" s="1"/>
  <c r="U113" i="18"/>
  <c r="T113" i="18" s="1"/>
  <c r="S113" i="18" s="1"/>
  <c r="R113" i="18" s="1"/>
  <c r="P113" i="18" s="1"/>
  <c r="V113" i="18" s="1"/>
  <c r="U111" i="18"/>
  <c r="T111" i="18" s="1"/>
  <c r="S111" i="18" s="1"/>
  <c r="R111" i="18" s="1"/>
  <c r="P111" i="18" s="1"/>
  <c r="V111" i="18" s="1"/>
  <c r="U17" i="18"/>
  <c r="T17" i="18" s="1"/>
  <c r="S17" i="18" s="1"/>
  <c r="R17" i="18" s="1"/>
  <c r="P17" i="18" s="1"/>
  <c r="V17" i="18" s="1"/>
  <c r="U228" i="18"/>
  <c r="T228" i="18" s="1"/>
  <c r="S228" i="18" s="1"/>
  <c r="R228" i="18" s="1"/>
  <c r="P228" i="18" s="1"/>
  <c r="V228" i="18" s="1"/>
  <c r="U340" i="18"/>
  <c r="T340" i="18" s="1"/>
  <c r="S340" i="18" s="1"/>
  <c r="R340" i="18" s="1"/>
  <c r="P340" i="18" s="1"/>
  <c r="V340" i="18" s="1"/>
  <c r="U48" i="18"/>
  <c r="T48" i="18" s="1"/>
  <c r="S48" i="18" s="1"/>
  <c r="R48" i="18" s="1"/>
  <c r="P48" i="18" s="1"/>
  <c r="V48" i="18" s="1"/>
  <c r="U314" i="18"/>
  <c r="T314" i="18" s="1"/>
  <c r="S314" i="18" s="1"/>
  <c r="R314" i="18" s="1"/>
  <c r="P314" i="18" s="1"/>
  <c r="V314" i="18" s="1"/>
  <c r="U103" i="18"/>
  <c r="T103" i="18" s="1"/>
  <c r="S103" i="18" s="1"/>
  <c r="R103" i="18" s="1"/>
  <c r="P103" i="18" s="1"/>
  <c r="V103" i="18" s="1"/>
  <c r="U162" i="18"/>
  <c r="T162" i="18" s="1"/>
  <c r="S162" i="18" s="1"/>
  <c r="R162" i="18" s="1"/>
  <c r="P162" i="18" s="1"/>
  <c r="V162" i="18" s="1"/>
  <c r="U36" i="18"/>
  <c r="T36" i="18" s="1"/>
  <c r="S36" i="18" s="1"/>
  <c r="R36" i="18" s="1"/>
  <c r="P36" i="18" s="1"/>
  <c r="V36" i="18" s="1"/>
  <c r="AD211" i="18"/>
  <c r="U276" i="18"/>
  <c r="T276" i="18" s="1"/>
  <c r="S276" i="18" s="1"/>
  <c r="R276" i="18" s="1"/>
  <c r="P276" i="18" s="1"/>
  <c r="V276" i="18" s="1"/>
  <c r="U329" i="18"/>
  <c r="T329" i="18" s="1"/>
  <c r="S329" i="18" s="1"/>
  <c r="R329" i="18" s="1"/>
  <c r="P329" i="18" s="1"/>
  <c r="V329" i="18" s="1"/>
  <c r="U99" i="18"/>
  <c r="T99" i="18" s="1"/>
  <c r="S99" i="18" s="1"/>
  <c r="R99" i="18" s="1"/>
  <c r="P99" i="18" s="1"/>
  <c r="V99" i="18" s="1"/>
  <c r="U359" i="18"/>
  <c r="T359" i="18" s="1"/>
  <c r="S359" i="18" s="1"/>
  <c r="R359" i="18" s="1"/>
  <c r="P359" i="18" s="1"/>
  <c r="V359" i="18" s="1"/>
  <c r="U137" i="18"/>
  <c r="T137" i="18" s="1"/>
  <c r="S137" i="18" s="1"/>
  <c r="R137" i="18" s="1"/>
  <c r="P137" i="18" s="1"/>
  <c r="V137" i="18" s="1"/>
  <c r="U201" i="18"/>
  <c r="T201" i="18" s="1"/>
  <c r="S201" i="18" s="1"/>
  <c r="R201" i="18" s="1"/>
  <c r="P201" i="18" s="1"/>
  <c r="V201" i="18" s="1"/>
  <c r="U119" i="18"/>
  <c r="T119" i="18" s="1"/>
  <c r="S119" i="18" s="1"/>
  <c r="R119" i="18" s="1"/>
  <c r="P119" i="18" s="1"/>
  <c r="V119" i="18" s="1"/>
  <c r="U138" i="18"/>
  <c r="T138" i="18" s="1"/>
  <c r="S138" i="18" s="1"/>
  <c r="R138" i="18" s="1"/>
  <c r="P138" i="18" s="1"/>
  <c r="V138" i="18" s="1"/>
  <c r="U210" i="18"/>
  <c r="T210" i="18" s="1"/>
  <c r="S210" i="18" s="1"/>
  <c r="R210" i="18" s="1"/>
  <c r="P210" i="18" s="1"/>
  <c r="V210" i="18" s="1"/>
  <c r="U101" i="18"/>
  <c r="T101" i="18" s="1"/>
  <c r="S101" i="18" s="1"/>
  <c r="R101" i="18" s="1"/>
  <c r="P101" i="18" s="1"/>
  <c r="V101" i="18" s="1"/>
  <c r="U379" i="18"/>
  <c r="AB16" i="7" s="1"/>
  <c r="U346" i="18"/>
  <c r="T346" i="18" s="1"/>
  <c r="S346" i="18" s="1"/>
  <c r="R346" i="18" s="1"/>
  <c r="P346" i="18" s="1"/>
  <c r="V346" i="18" s="1"/>
  <c r="U286" i="18"/>
  <c r="T286" i="18" s="1"/>
  <c r="S286" i="18" s="1"/>
  <c r="R286" i="18" s="1"/>
  <c r="P286" i="18" s="1"/>
  <c r="V286" i="18" s="1"/>
  <c r="U255" i="18"/>
  <c r="T255" i="18" s="1"/>
  <c r="S255" i="18" s="1"/>
  <c r="R255" i="18" s="1"/>
  <c r="P255" i="18" s="1"/>
  <c r="V255" i="18" s="1"/>
  <c r="U270" i="18"/>
  <c r="T270" i="18" s="1"/>
  <c r="S270" i="18" s="1"/>
  <c r="R270" i="18" s="1"/>
  <c r="P270" i="18" s="1"/>
  <c r="V270" i="18" s="1"/>
  <c r="U315" i="18"/>
  <c r="T315" i="18" s="1"/>
  <c r="S315" i="18" s="1"/>
  <c r="R315" i="18" s="1"/>
  <c r="P315" i="18" s="1"/>
  <c r="V315" i="18" s="1"/>
  <c r="U266" i="18"/>
  <c r="T266" i="18" s="1"/>
  <c r="S266" i="18" s="1"/>
  <c r="R266" i="18" s="1"/>
  <c r="P266" i="18" s="1"/>
  <c r="V266" i="18" s="1"/>
  <c r="U232" i="18"/>
  <c r="T232" i="18" s="1"/>
  <c r="S232" i="18" s="1"/>
  <c r="R232" i="18" s="1"/>
  <c r="P232" i="18" s="1"/>
  <c r="V232" i="18" s="1"/>
  <c r="U59" i="18"/>
  <c r="T59" i="18" s="1"/>
  <c r="S59" i="18" s="1"/>
  <c r="R59" i="18" s="1"/>
  <c r="P59" i="18" s="1"/>
  <c r="V59" i="18" s="1"/>
  <c r="U153" i="18"/>
  <c r="T153" i="18" s="1"/>
  <c r="S153" i="18" s="1"/>
  <c r="R153" i="18" s="1"/>
  <c r="P153" i="18" s="1"/>
  <c r="V153" i="18" s="1"/>
  <c r="U226" i="18"/>
  <c r="T226" i="18" s="1"/>
  <c r="S226" i="18" s="1"/>
  <c r="R226" i="18" s="1"/>
  <c r="P226" i="18" s="1"/>
  <c r="V226" i="18" s="1"/>
  <c r="U361" i="18"/>
  <c r="T361" i="18" s="1"/>
  <c r="S361" i="18" s="1"/>
  <c r="R361" i="18" s="1"/>
  <c r="P361" i="18" s="1"/>
  <c r="V361" i="18" s="1"/>
  <c r="U27" i="18"/>
  <c r="T27" i="18" s="1"/>
  <c r="S27" i="18" s="1"/>
  <c r="R27" i="18" s="1"/>
  <c r="P27" i="18" s="1"/>
  <c r="V27" i="18" s="1"/>
  <c r="U86" i="18"/>
  <c r="T86" i="18" s="1"/>
  <c r="S86" i="18" s="1"/>
  <c r="R86" i="18" s="1"/>
  <c r="P86" i="18" s="1"/>
  <c r="V86" i="18" s="1"/>
  <c r="U175" i="18"/>
  <c r="T175" i="18" s="1"/>
  <c r="S175" i="18" s="1"/>
  <c r="R175" i="18" s="1"/>
  <c r="P175" i="18" s="1"/>
  <c r="V175" i="18" s="1"/>
  <c r="U274" i="18"/>
  <c r="T274" i="18" s="1"/>
  <c r="S274" i="18" s="1"/>
  <c r="R274" i="18" s="1"/>
  <c r="P274" i="18" s="1"/>
  <c r="V274" i="18" s="1"/>
  <c r="U308" i="18"/>
  <c r="T308" i="18" s="1"/>
  <c r="S308" i="18" s="1"/>
  <c r="R308" i="18" s="1"/>
  <c r="P308" i="18" s="1"/>
  <c r="V308" i="18" s="1"/>
  <c r="U304" i="18"/>
  <c r="T304" i="18" s="1"/>
  <c r="S304" i="18" s="1"/>
  <c r="R304" i="18" s="1"/>
  <c r="P304" i="18" s="1"/>
  <c r="V304" i="18" s="1"/>
  <c r="U334" i="18"/>
  <c r="T334" i="18" s="1"/>
  <c r="S334" i="18" s="1"/>
  <c r="R334" i="18" s="1"/>
  <c r="P334" i="18" s="1"/>
  <c r="V334" i="18" s="1"/>
  <c r="U44" i="18"/>
  <c r="T44" i="18" s="1"/>
  <c r="S44" i="18" s="1"/>
  <c r="R44" i="18" s="1"/>
  <c r="P44" i="18" s="1"/>
  <c r="V44" i="18" s="1"/>
  <c r="U285" i="18"/>
  <c r="T285" i="18" s="1"/>
  <c r="S285" i="18" s="1"/>
  <c r="R285" i="18" s="1"/>
  <c r="P285" i="18" s="1"/>
  <c r="V285" i="18" s="1"/>
  <c r="U343" i="18"/>
  <c r="T343" i="18" s="1"/>
  <c r="S343" i="18" s="1"/>
  <c r="R343" i="18" s="1"/>
  <c r="P343" i="18" s="1"/>
  <c r="V343" i="18" s="1"/>
  <c r="U290" i="18"/>
  <c r="T290" i="18" s="1"/>
  <c r="S290" i="18" s="1"/>
  <c r="R290" i="18" s="1"/>
  <c r="P290" i="18" s="1"/>
  <c r="V290" i="18" s="1"/>
  <c r="U163" i="18"/>
  <c r="T163" i="18" s="1"/>
  <c r="S163" i="18" s="1"/>
  <c r="R163" i="18" s="1"/>
  <c r="P163" i="18" s="1"/>
  <c r="V163" i="18" s="1"/>
  <c r="U112" i="18"/>
  <c r="T112" i="18" s="1"/>
  <c r="S112" i="18" s="1"/>
  <c r="R112" i="18" s="1"/>
  <c r="P112" i="18" s="1"/>
  <c r="V112" i="18" s="1"/>
  <c r="U124" i="18"/>
  <c r="T124" i="18" s="1"/>
  <c r="S124" i="18" s="1"/>
  <c r="R124" i="18" s="1"/>
  <c r="P124" i="18" s="1"/>
  <c r="V124" i="18" s="1"/>
  <c r="U18" i="18"/>
  <c r="T18" i="18" s="1"/>
  <c r="S18" i="18" s="1"/>
  <c r="R18" i="18" s="1"/>
  <c r="P18" i="18" s="1"/>
  <c r="V18" i="18" s="1"/>
  <c r="U197" i="18"/>
  <c r="T197" i="18" s="1"/>
  <c r="S197" i="18" s="1"/>
  <c r="R197" i="18" s="1"/>
  <c r="P197" i="18" s="1"/>
  <c r="V197" i="18" s="1"/>
  <c r="U336" i="18"/>
  <c r="T336" i="18" s="1"/>
  <c r="S336" i="18" s="1"/>
  <c r="R336" i="18" s="1"/>
  <c r="P336" i="18" s="1"/>
  <c r="V336" i="18" s="1"/>
  <c r="U38" i="18"/>
  <c r="T38" i="18" s="1"/>
  <c r="S38" i="18" s="1"/>
  <c r="R38" i="18" s="1"/>
  <c r="P38" i="18" s="1"/>
  <c r="V38" i="18" s="1"/>
  <c r="U161" i="18"/>
  <c r="T161" i="18" s="1"/>
  <c r="S161" i="18" s="1"/>
  <c r="R161" i="18" s="1"/>
  <c r="P161" i="18" s="1"/>
  <c r="V161" i="18" s="1"/>
  <c r="U298" i="18"/>
  <c r="T298" i="18" s="1"/>
  <c r="S298" i="18" s="1"/>
  <c r="R298" i="18" s="1"/>
  <c r="P298" i="18" s="1"/>
  <c r="V298" i="18" s="1"/>
  <c r="U318" i="18"/>
  <c r="T318" i="18" s="1"/>
  <c r="S318" i="18" s="1"/>
  <c r="R318" i="18" s="1"/>
  <c r="P318" i="18" s="1"/>
  <c r="V318" i="18" s="1"/>
  <c r="U309" i="18"/>
  <c r="T309" i="18" s="1"/>
  <c r="S309" i="18" s="1"/>
  <c r="R309" i="18" s="1"/>
  <c r="P309" i="18" s="1"/>
  <c r="V309" i="18" s="1"/>
  <c r="U217" i="18"/>
  <c r="T217" i="18" s="1"/>
  <c r="S217" i="18" s="1"/>
  <c r="R217" i="18" s="1"/>
  <c r="P217" i="18" s="1"/>
  <c r="V217" i="18" s="1"/>
  <c r="U199" i="18"/>
  <c r="T199" i="18" s="1"/>
  <c r="S199" i="18" s="1"/>
  <c r="R199" i="18" s="1"/>
  <c r="P199" i="18" s="1"/>
  <c r="V199" i="18" s="1"/>
  <c r="U152" i="18"/>
  <c r="T152" i="18" s="1"/>
  <c r="S152" i="18" s="1"/>
  <c r="R152" i="18" s="1"/>
  <c r="P152" i="18" s="1"/>
  <c r="V152" i="18" s="1"/>
  <c r="U362" i="18"/>
  <c r="T362" i="18" s="1"/>
  <c r="S362" i="18" s="1"/>
  <c r="R362" i="18" s="1"/>
  <c r="P362" i="18" s="1"/>
  <c r="V362" i="18" s="1"/>
  <c r="U67" i="18"/>
  <c r="T67" i="18" s="1"/>
  <c r="S67" i="18" s="1"/>
  <c r="R67" i="18" s="1"/>
  <c r="P67" i="18" s="1"/>
  <c r="V67" i="18" s="1"/>
  <c r="U30" i="18"/>
  <c r="T30" i="18" s="1"/>
  <c r="S30" i="18" s="1"/>
  <c r="R30" i="18" s="1"/>
  <c r="P30" i="18" s="1"/>
  <c r="V30" i="18" s="1"/>
  <c r="U213" i="18"/>
  <c r="T213" i="18" s="1"/>
  <c r="S213" i="18" s="1"/>
  <c r="R213" i="18" s="1"/>
  <c r="P213" i="18" s="1"/>
  <c r="V213" i="18" s="1"/>
  <c r="U72" i="18"/>
  <c r="T72" i="18" s="1"/>
  <c r="S72" i="18" s="1"/>
  <c r="R72" i="18" s="1"/>
  <c r="P72" i="18" s="1"/>
  <c r="V72" i="18" s="1"/>
  <c r="U136" i="18"/>
  <c r="T136" i="18" s="1"/>
  <c r="S136" i="18" s="1"/>
  <c r="R136" i="18" s="1"/>
  <c r="P136" i="18" s="1"/>
  <c r="V136" i="18" s="1"/>
  <c r="U328" i="18"/>
  <c r="T328" i="18" s="1"/>
  <c r="S328" i="18" s="1"/>
  <c r="R328" i="18" s="1"/>
  <c r="P328" i="18" s="1"/>
  <c r="V328" i="18" s="1"/>
  <c r="U69" i="18"/>
  <c r="T69" i="18" s="1"/>
  <c r="S69" i="18" s="1"/>
  <c r="R69" i="18" s="1"/>
  <c r="P69" i="18" s="1"/>
  <c r="V69" i="18" s="1"/>
  <c r="U105" i="18"/>
  <c r="T105" i="18" s="1"/>
  <c r="S105" i="18" s="1"/>
  <c r="R105" i="18" s="1"/>
  <c r="P105" i="18" s="1"/>
  <c r="V105" i="18" s="1"/>
  <c r="U158" i="18"/>
  <c r="T158" i="18" s="1"/>
  <c r="S158" i="18" s="1"/>
  <c r="R158" i="18" s="1"/>
  <c r="P158" i="18" s="1"/>
  <c r="V158" i="18" s="1"/>
  <c r="U324" i="18"/>
  <c r="T324" i="18" s="1"/>
  <c r="S324" i="18" s="1"/>
  <c r="R324" i="18" s="1"/>
  <c r="P324" i="18" s="1"/>
  <c r="V324" i="18" s="1"/>
  <c r="U130" i="18"/>
  <c r="T130" i="18" s="1"/>
  <c r="S130" i="18" s="1"/>
  <c r="R130" i="18" s="1"/>
  <c r="P130" i="18" s="1"/>
  <c r="V130" i="18" s="1"/>
  <c r="U337" i="18"/>
  <c r="T337" i="18" s="1"/>
  <c r="S337" i="18" s="1"/>
  <c r="R337" i="18" s="1"/>
  <c r="P337" i="18" s="1"/>
  <c r="V337" i="18" s="1"/>
  <c r="U192" i="18"/>
  <c r="T192" i="18" s="1"/>
  <c r="S192" i="18" s="1"/>
  <c r="R192" i="18" s="1"/>
  <c r="P192" i="18" s="1"/>
  <c r="V192" i="18" s="1"/>
  <c r="U108" i="18"/>
  <c r="T108" i="18" s="1"/>
  <c r="S108" i="18" s="1"/>
  <c r="R108" i="18" s="1"/>
  <c r="P108" i="18" s="1"/>
  <c r="V108" i="18" s="1"/>
  <c r="U170" i="18"/>
  <c r="T170" i="18" s="1"/>
  <c r="S170" i="18" s="1"/>
  <c r="R170" i="18" s="1"/>
  <c r="P170" i="18" s="1"/>
  <c r="V170" i="18" s="1"/>
  <c r="U81" i="18"/>
  <c r="T81" i="18" s="1"/>
  <c r="S81" i="18" s="1"/>
  <c r="R81" i="18" s="1"/>
  <c r="P81" i="18" s="1"/>
  <c r="V81" i="18" s="1"/>
  <c r="U96" i="18"/>
  <c r="T96" i="18" s="1"/>
  <c r="S96" i="18" s="1"/>
  <c r="R96" i="18" s="1"/>
  <c r="P96" i="18" s="1"/>
  <c r="V96" i="18" s="1"/>
  <c r="U182" i="18"/>
  <c r="T182" i="18" s="1"/>
  <c r="S182" i="18" s="1"/>
  <c r="R182" i="18" s="1"/>
  <c r="P182" i="18" s="1"/>
  <c r="V182" i="18" s="1"/>
  <c r="U84" i="18"/>
  <c r="T84" i="18" s="1"/>
  <c r="S84" i="18" s="1"/>
  <c r="R84" i="18" s="1"/>
  <c r="P84" i="18" s="1"/>
  <c r="V84" i="18" s="1"/>
  <c r="U240" i="18"/>
  <c r="T240" i="18" s="1"/>
  <c r="S240" i="18" s="1"/>
  <c r="R240" i="18" s="1"/>
  <c r="P240" i="18" s="1"/>
  <c r="V240" i="18" s="1"/>
  <c r="U299" i="18"/>
  <c r="T299" i="18" s="1"/>
  <c r="S299" i="18" s="1"/>
  <c r="R299" i="18" s="1"/>
  <c r="P299" i="18" s="1"/>
  <c r="V299" i="18" s="1"/>
  <c r="U307" i="18"/>
  <c r="T307" i="18" s="1"/>
  <c r="S307" i="18" s="1"/>
  <c r="R307" i="18" s="1"/>
  <c r="P307" i="18" s="1"/>
  <c r="V307" i="18" s="1"/>
  <c r="U230" i="18"/>
  <c r="T230" i="18" s="1"/>
  <c r="S230" i="18" s="1"/>
  <c r="R230" i="18" s="1"/>
  <c r="P230" i="18" s="1"/>
  <c r="V230" i="18" s="1"/>
  <c r="U185" i="18"/>
  <c r="T185" i="18" s="1"/>
  <c r="S185" i="18" s="1"/>
  <c r="R185" i="18" s="1"/>
  <c r="P185" i="18" s="1"/>
  <c r="V185" i="18" s="1"/>
  <c r="U128" i="18"/>
  <c r="T128" i="18" s="1"/>
  <c r="S128" i="18" s="1"/>
  <c r="R128" i="18" s="1"/>
  <c r="P128" i="18" s="1"/>
  <c r="V128" i="18" s="1"/>
  <c r="U225" i="18"/>
  <c r="T225" i="18" s="1"/>
  <c r="S225" i="18" s="1"/>
  <c r="R225" i="18" s="1"/>
  <c r="P225" i="18" s="1"/>
  <c r="V225" i="18" s="1"/>
  <c r="U273" i="18"/>
  <c r="T273" i="18" s="1"/>
  <c r="S273" i="18" s="1"/>
  <c r="R273" i="18" s="1"/>
  <c r="P273" i="18" s="1"/>
  <c r="V273" i="18" s="1"/>
  <c r="U121" i="18"/>
  <c r="T121" i="18" s="1"/>
  <c r="S121" i="18" s="1"/>
  <c r="R121" i="18" s="1"/>
  <c r="P121" i="18" s="1"/>
  <c r="V121" i="18" s="1"/>
  <c r="U198" i="18"/>
  <c r="T198" i="18" s="1"/>
  <c r="S198" i="18" s="1"/>
  <c r="R198" i="18" s="1"/>
  <c r="P198" i="18" s="1"/>
  <c r="V198" i="18" s="1"/>
  <c r="U282" i="18"/>
  <c r="T282" i="18" s="1"/>
  <c r="S282" i="18" s="1"/>
  <c r="R282" i="18" s="1"/>
  <c r="P282" i="18" s="1"/>
  <c r="V282" i="18" s="1"/>
  <c r="U300" i="18"/>
  <c r="T300" i="18" s="1"/>
  <c r="S300" i="18" s="1"/>
  <c r="R300" i="18" s="1"/>
  <c r="P300" i="18" s="1"/>
  <c r="V300" i="18" s="1"/>
  <c r="U78" i="18"/>
  <c r="T78" i="18" s="1"/>
  <c r="S78" i="18" s="1"/>
  <c r="R78" i="18" s="1"/>
  <c r="P78" i="18" s="1"/>
  <c r="V78" i="18" s="1"/>
  <c r="U55" i="18"/>
  <c r="T55" i="18" s="1"/>
  <c r="S55" i="18" s="1"/>
  <c r="R55" i="18" s="1"/>
  <c r="P55" i="18" s="1"/>
  <c r="V55" i="18" s="1"/>
  <c r="U62" i="18"/>
  <c r="T62" i="18" s="1"/>
  <c r="S62" i="18" s="1"/>
  <c r="R62" i="18" s="1"/>
  <c r="P62" i="18" s="1"/>
  <c r="V62" i="18" s="1"/>
  <c r="U347" i="18"/>
  <c r="T347" i="18" s="1"/>
  <c r="S347" i="18" s="1"/>
  <c r="R347" i="18" s="1"/>
  <c r="P347" i="18" s="1"/>
  <c r="V347" i="18" s="1"/>
  <c r="U43" i="18"/>
  <c r="T43" i="18" s="1"/>
  <c r="S43" i="18" s="1"/>
  <c r="R43" i="18" s="1"/>
  <c r="P43" i="18" s="1"/>
  <c r="V43" i="18" s="1"/>
  <c r="U28" i="18"/>
  <c r="T28" i="18" s="1"/>
  <c r="S28" i="18" s="1"/>
  <c r="R28" i="18" s="1"/>
  <c r="P28" i="18" s="1"/>
  <c r="V28" i="18" s="1"/>
  <c r="U252" i="18"/>
  <c r="T252" i="18" s="1"/>
  <c r="S252" i="18" s="1"/>
  <c r="R252" i="18" s="1"/>
  <c r="P252" i="18" s="1"/>
  <c r="V252" i="18" s="1"/>
  <c r="U193" i="18"/>
  <c r="T193" i="18" s="1"/>
  <c r="S193" i="18" s="1"/>
  <c r="R193" i="18" s="1"/>
  <c r="P193" i="18" s="1"/>
  <c r="V193" i="18" s="1"/>
  <c r="U40" i="18"/>
  <c r="T40" i="18" s="1"/>
  <c r="S40" i="18" s="1"/>
  <c r="R40" i="18" s="1"/>
  <c r="P40" i="18" s="1"/>
  <c r="V40" i="18" s="1"/>
  <c r="U239" i="18"/>
  <c r="T239" i="18" s="1"/>
  <c r="S239" i="18" s="1"/>
  <c r="R239" i="18" s="1"/>
  <c r="P239" i="18" s="1"/>
  <c r="V239" i="18" s="1"/>
  <c r="U173" i="18"/>
  <c r="T173" i="18" s="1"/>
  <c r="S173" i="18" s="1"/>
  <c r="R173" i="18" s="1"/>
  <c r="P173" i="18" s="1"/>
  <c r="V173" i="18" s="1"/>
  <c r="U221" i="18"/>
  <c r="T221" i="18" s="1"/>
  <c r="S221" i="18" s="1"/>
  <c r="R221" i="18" s="1"/>
  <c r="P221" i="18" s="1"/>
  <c r="V221" i="18" s="1"/>
  <c r="U262" i="18"/>
  <c r="T262" i="18" s="1"/>
  <c r="S262" i="18" s="1"/>
  <c r="R262" i="18" s="1"/>
  <c r="P262" i="18" s="1"/>
  <c r="V262" i="18" s="1"/>
  <c r="U97" i="18"/>
  <c r="T97" i="18" s="1"/>
  <c r="S97" i="18" s="1"/>
  <c r="R97" i="18" s="1"/>
  <c r="P97" i="18" s="1"/>
  <c r="V97" i="18" s="1"/>
  <c r="U261" i="18"/>
  <c r="T261" i="18" s="1"/>
  <c r="S261" i="18" s="1"/>
  <c r="R261" i="18" s="1"/>
  <c r="P261" i="18" s="1"/>
  <c r="V261" i="18" s="1"/>
  <c r="U109" i="18"/>
  <c r="T109" i="18" s="1"/>
  <c r="S109" i="18" s="1"/>
  <c r="R109" i="18" s="1"/>
  <c r="P109" i="18" s="1"/>
  <c r="V109" i="18" s="1"/>
  <c r="U341" i="18"/>
  <c r="T341" i="18" s="1"/>
  <c r="S341" i="18" s="1"/>
  <c r="R341" i="18" s="1"/>
  <c r="P341" i="18" s="1"/>
  <c r="V341" i="18" s="1"/>
  <c r="U249" i="18"/>
  <c r="T249" i="18" s="1"/>
  <c r="S249" i="18" s="1"/>
  <c r="R249" i="18" s="1"/>
  <c r="P249" i="18" s="1"/>
  <c r="V249" i="18" s="1"/>
  <c r="U117" i="18"/>
  <c r="T117" i="18" s="1"/>
  <c r="S117" i="18" s="1"/>
  <c r="R117" i="18" s="1"/>
  <c r="P117" i="18" s="1"/>
  <c r="V117" i="18" s="1"/>
  <c r="U332" i="18"/>
  <c r="T332" i="18" s="1"/>
  <c r="S332" i="18" s="1"/>
  <c r="R332" i="18" s="1"/>
  <c r="P332" i="18" s="1"/>
  <c r="V332" i="18" s="1"/>
  <c r="U172" i="18"/>
  <c r="T172" i="18" s="1"/>
  <c r="S172" i="18" s="1"/>
  <c r="R172" i="18" s="1"/>
  <c r="P172" i="18" s="1"/>
  <c r="V172" i="18" s="1"/>
  <c r="U351" i="18"/>
  <c r="T351" i="18" s="1"/>
  <c r="S351" i="18" s="1"/>
  <c r="R351" i="18" s="1"/>
  <c r="P351" i="18" s="1"/>
  <c r="V351" i="18" s="1"/>
  <c r="U281" i="18"/>
  <c r="T281" i="18" s="1"/>
  <c r="S281" i="18" s="1"/>
  <c r="R281" i="18" s="1"/>
  <c r="P281" i="18" s="1"/>
  <c r="V281" i="18" s="1"/>
  <c r="U301" i="18"/>
  <c r="T301" i="18" s="1"/>
  <c r="S301" i="18" s="1"/>
  <c r="R301" i="18" s="1"/>
  <c r="P301" i="18" s="1"/>
  <c r="V301" i="18" s="1"/>
  <c r="U120" i="18"/>
  <c r="T120" i="18" s="1"/>
  <c r="S120" i="18" s="1"/>
  <c r="R120" i="18" s="1"/>
  <c r="P120" i="18" s="1"/>
  <c r="V120" i="18" s="1"/>
  <c r="U29" i="18"/>
  <c r="T29" i="18" s="1"/>
  <c r="S29" i="18" s="1"/>
  <c r="R29" i="18" s="1"/>
  <c r="P29" i="18" s="1"/>
  <c r="V29" i="18" s="1"/>
  <c r="U269" i="18"/>
  <c r="T269" i="18" s="1"/>
  <c r="S269" i="18" s="1"/>
  <c r="R269" i="18" s="1"/>
  <c r="P269" i="18" s="1"/>
  <c r="V269" i="18" s="1"/>
  <c r="U151" i="18"/>
  <c r="T151" i="18" s="1"/>
  <c r="S151" i="18" s="1"/>
  <c r="R151" i="18" s="1"/>
  <c r="P151" i="18" s="1"/>
  <c r="V151" i="18" s="1"/>
  <c r="U92" i="18"/>
  <c r="T92" i="18" s="1"/>
  <c r="S92" i="18" s="1"/>
  <c r="R92" i="18" s="1"/>
  <c r="P92" i="18" s="1"/>
  <c r="V92" i="18" s="1"/>
  <c r="U142" i="18"/>
  <c r="T142" i="18" s="1"/>
  <c r="S142" i="18" s="1"/>
  <c r="R142" i="18" s="1"/>
  <c r="P142" i="18" s="1"/>
  <c r="V142" i="18" s="1"/>
  <c r="U194" i="18"/>
  <c r="T194" i="18" s="1"/>
  <c r="S194" i="18" s="1"/>
  <c r="R194" i="18" s="1"/>
  <c r="P194" i="18" s="1"/>
  <c r="V194" i="18" s="1"/>
  <c r="U367" i="18"/>
  <c r="T367" i="18" s="1"/>
  <c r="S367" i="18" s="1"/>
  <c r="R367" i="18" s="1"/>
  <c r="P367" i="18" s="1"/>
  <c r="V367" i="18" s="1"/>
  <c r="U35" i="18"/>
  <c r="T35" i="18" s="1"/>
  <c r="S35" i="18" s="1"/>
  <c r="R35" i="18" s="1"/>
  <c r="P35" i="18" s="1"/>
  <c r="V35" i="18" s="1"/>
  <c r="U129" i="18"/>
  <c r="T129" i="18" s="1"/>
  <c r="S129" i="18" s="1"/>
  <c r="R129" i="18" s="1"/>
  <c r="P129" i="18" s="1"/>
  <c r="V129" i="18" s="1"/>
  <c r="U250" i="18"/>
  <c r="T250" i="18" s="1"/>
  <c r="S250" i="18" s="1"/>
  <c r="R250" i="18" s="1"/>
  <c r="P250" i="18" s="1"/>
  <c r="V250" i="18" s="1"/>
  <c r="U181" i="18"/>
  <c r="T181" i="18" s="1"/>
  <c r="S181" i="18" s="1"/>
  <c r="R181" i="18" s="1"/>
  <c r="P181" i="18" s="1"/>
  <c r="V181" i="18" s="1"/>
  <c r="U100" i="18"/>
  <c r="T100" i="18" s="1"/>
  <c r="S100" i="18" s="1"/>
  <c r="R100" i="18" s="1"/>
  <c r="P100" i="18" s="1"/>
  <c r="V100" i="18" s="1"/>
  <c r="U370" i="18"/>
  <c r="T370" i="18" s="1"/>
  <c r="S370" i="18" s="1"/>
  <c r="R370" i="18" s="1"/>
  <c r="P370" i="18" s="1"/>
  <c r="V370" i="18" s="1"/>
  <c r="U65" i="18"/>
  <c r="T65" i="18" s="1"/>
  <c r="S65" i="18" s="1"/>
  <c r="R65" i="18" s="1"/>
  <c r="P65" i="18" s="1"/>
  <c r="V65" i="18" s="1"/>
  <c r="U82" i="18"/>
  <c r="T82" i="18" s="1"/>
  <c r="S82" i="18" s="1"/>
  <c r="R82" i="18" s="1"/>
  <c r="P82" i="18" s="1"/>
  <c r="V82" i="18" s="1"/>
  <c r="U245" i="18"/>
  <c r="T245" i="18" s="1"/>
  <c r="S245" i="18" s="1"/>
  <c r="R245" i="18" s="1"/>
  <c r="P245" i="18" s="1"/>
  <c r="V245" i="18" s="1"/>
  <c r="U287" i="18"/>
  <c r="T287" i="18" s="1"/>
  <c r="S287" i="18" s="1"/>
  <c r="R287" i="18" s="1"/>
  <c r="P287" i="18" s="1"/>
  <c r="V287" i="18" s="1"/>
  <c r="U60" i="18"/>
  <c r="T60" i="18" s="1"/>
  <c r="S60" i="18" s="1"/>
  <c r="R60" i="18" s="1"/>
  <c r="P60" i="18" s="1"/>
  <c r="D69" i="7" s="1"/>
  <c r="U284" i="18"/>
  <c r="T284" i="18" s="1"/>
  <c r="S284" i="18" s="1"/>
  <c r="R284" i="18" s="1"/>
  <c r="P284" i="18" s="1"/>
  <c r="V284" i="18" s="1"/>
  <c r="U164" i="18"/>
  <c r="T164" i="18" s="1"/>
  <c r="S164" i="18" s="1"/>
  <c r="R164" i="18" s="1"/>
  <c r="P164" i="18" s="1"/>
  <c r="V164" i="18" s="1"/>
  <c r="U49" i="18"/>
  <c r="T49" i="18" s="1"/>
  <c r="S49" i="18" s="1"/>
  <c r="R49" i="18" s="1"/>
  <c r="P49" i="18" s="1"/>
  <c r="V49" i="18" s="1"/>
  <c r="U216" i="18"/>
  <c r="T216" i="18" s="1"/>
  <c r="S216" i="18" s="1"/>
  <c r="R216" i="18" s="1"/>
  <c r="P216" i="18" s="1"/>
  <c r="V216" i="18" s="1"/>
  <c r="U338" i="18"/>
  <c r="T338" i="18" s="1"/>
  <c r="S338" i="18" s="1"/>
  <c r="R338" i="18" s="1"/>
  <c r="P338" i="18" s="1"/>
  <c r="V338" i="18" s="1"/>
  <c r="U251" i="18"/>
  <c r="T251" i="18" s="1"/>
  <c r="S251" i="18" s="1"/>
  <c r="R251" i="18" s="1"/>
  <c r="P251" i="18" s="1"/>
  <c r="V251" i="18" s="1"/>
  <c r="U331" i="18"/>
  <c r="T331" i="18" s="1"/>
  <c r="S331" i="18" s="1"/>
  <c r="R331" i="18" s="1"/>
  <c r="P331" i="18" s="1"/>
  <c r="V331" i="18" s="1"/>
  <c r="U147" i="18"/>
  <c r="T147" i="18" s="1"/>
  <c r="S147" i="18" s="1"/>
  <c r="R147" i="18" s="1"/>
  <c r="P147" i="18" s="1"/>
  <c r="V147" i="18" s="1"/>
  <c r="U74" i="18"/>
  <c r="T74" i="18" s="1"/>
  <c r="S74" i="18" s="1"/>
  <c r="R74" i="18" s="1"/>
  <c r="P74" i="18" s="1"/>
  <c r="V74" i="18" s="1"/>
  <c r="U356" i="18"/>
  <c r="T356" i="18" s="1"/>
  <c r="S356" i="18" s="1"/>
  <c r="R356" i="18" s="1"/>
  <c r="P356" i="18" s="1"/>
  <c r="V356" i="18" s="1"/>
  <c r="U235" i="18"/>
  <c r="T235" i="18" s="1"/>
  <c r="S235" i="18" s="1"/>
  <c r="R235" i="18" s="1"/>
  <c r="P235" i="18" s="1"/>
  <c r="V235" i="18" s="1"/>
  <c r="U58" i="18"/>
  <c r="T58" i="18" s="1"/>
  <c r="S58" i="18" s="1"/>
  <c r="R58" i="18" s="1"/>
  <c r="P58" i="18" s="1"/>
  <c r="V58" i="18" s="1"/>
  <c r="U313" i="18"/>
  <c r="T313" i="18" s="1"/>
  <c r="S313" i="18" s="1"/>
  <c r="R313" i="18" s="1"/>
  <c r="P313" i="18" s="1"/>
  <c r="V313" i="18" s="1"/>
  <c r="U132" i="18"/>
  <c r="T132" i="18" s="1"/>
  <c r="S132" i="18" s="1"/>
  <c r="R132" i="18" s="1"/>
  <c r="P132" i="18" s="1"/>
  <c r="V132" i="18" s="1"/>
  <c r="U371" i="18"/>
  <c r="T371" i="18" s="1"/>
  <c r="S371" i="18" s="1"/>
  <c r="R371" i="18" s="1"/>
  <c r="P371" i="18" s="1"/>
  <c r="V371" i="18" s="1"/>
  <c r="U32" i="18"/>
  <c r="T32" i="18" s="1"/>
  <c r="S32" i="18" s="1"/>
  <c r="R32" i="18" s="1"/>
  <c r="P32" i="18" s="1"/>
  <c r="V32" i="18" s="1"/>
  <c r="U246" i="18"/>
  <c r="T246" i="18" s="1"/>
  <c r="S246" i="18" s="1"/>
  <c r="R246" i="18" s="1"/>
  <c r="P246" i="18" s="1"/>
  <c r="V246" i="18" s="1"/>
  <c r="U95" i="18"/>
  <c r="T95" i="18" s="1"/>
  <c r="S95" i="18" s="1"/>
  <c r="R95" i="18" s="1"/>
  <c r="P95" i="18" s="1"/>
  <c r="V95" i="18" s="1"/>
  <c r="AI372" i="18"/>
  <c r="AH372" i="18" s="1"/>
  <c r="AG372" i="18" s="1"/>
  <c r="AF372" i="18" s="1"/>
  <c r="AD372" i="18" s="1"/>
  <c r="AI160" i="18"/>
  <c r="AH160" i="18" s="1"/>
  <c r="AG160" i="18" s="1"/>
  <c r="AF160" i="18" s="1"/>
  <c r="AD160" i="18" s="1"/>
  <c r="AI20" i="18"/>
  <c r="AH20" i="18" s="1"/>
  <c r="AG20" i="18" s="1"/>
  <c r="AF20" i="18" s="1"/>
  <c r="AD20" i="18" s="1"/>
  <c r="AI375" i="18"/>
  <c r="AH375" i="18" s="1"/>
  <c r="AG375" i="18" s="1"/>
  <c r="AF375" i="18" s="1"/>
  <c r="AD375" i="18" s="1"/>
  <c r="AI56" i="18"/>
  <c r="AH56" i="18" s="1"/>
  <c r="AG56" i="18" s="1"/>
  <c r="AF56" i="18" s="1"/>
  <c r="AD56" i="18" s="1"/>
  <c r="AI60" i="18"/>
  <c r="AH60" i="18" s="1"/>
  <c r="AG60" i="18" s="1"/>
  <c r="AF60" i="18" s="1"/>
  <c r="AD60" i="18" s="1"/>
  <c r="AI374" i="18"/>
  <c r="AH374" i="18" s="1"/>
  <c r="AG374" i="18" s="1"/>
  <c r="AF374" i="18" s="1"/>
  <c r="AD374" i="18" s="1"/>
  <c r="AI18" i="18"/>
  <c r="AH18" i="18" s="1"/>
  <c r="AG18" i="18" s="1"/>
  <c r="AF18" i="18" s="1"/>
  <c r="AD18" i="18" s="1"/>
  <c r="AI48" i="18"/>
  <c r="AH48" i="18" s="1"/>
  <c r="AG48" i="18" s="1"/>
  <c r="AF48" i="18" s="1"/>
  <c r="AD48" i="18" s="1"/>
  <c r="AI373" i="18"/>
  <c r="AH373" i="18" s="1"/>
  <c r="AG373" i="18" s="1"/>
  <c r="AF373" i="18" s="1"/>
  <c r="AD373" i="18" s="1"/>
  <c r="AI59" i="18"/>
  <c r="AH59" i="18" s="1"/>
  <c r="AG59" i="18" s="1"/>
  <c r="AF59" i="18" s="1"/>
  <c r="AD59" i="18" s="1"/>
  <c r="AI85" i="18"/>
  <c r="AH85" i="18" s="1"/>
  <c r="AG85" i="18" s="1"/>
  <c r="AF85" i="18" s="1"/>
  <c r="AD85" i="18" s="1"/>
  <c r="AI76" i="18"/>
  <c r="AH76" i="18" s="1"/>
  <c r="AG76" i="18" s="1"/>
  <c r="AF76" i="18" s="1"/>
  <c r="AD76" i="18" s="1"/>
  <c r="AI349" i="18"/>
  <c r="AH349" i="18" s="1"/>
  <c r="AG349" i="18" s="1"/>
  <c r="AF349" i="18" s="1"/>
  <c r="AD349" i="18" s="1"/>
  <c r="AI289" i="18"/>
  <c r="AH289" i="18" s="1"/>
  <c r="AG289" i="18" s="1"/>
  <c r="AF289" i="18" s="1"/>
  <c r="AD289" i="18" s="1"/>
  <c r="AI284" i="18"/>
  <c r="AH284" i="18" s="1"/>
  <c r="AG284" i="18" s="1"/>
  <c r="AF284" i="18" s="1"/>
  <c r="AD284" i="18" s="1"/>
  <c r="AI256" i="18"/>
  <c r="AH256" i="18" s="1"/>
  <c r="AG256" i="18" s="1"/>
  <c r="AF256" i="18" s="1"/>
  <c r="AD256" i="18" s="1"/>
  <c r="AI288" i="18"/>
  <c r="AH288" i="18" s="1"/>
  <c r="AG288" i="18" s="1"/>
  <c r="AF288" i="18" s="1"/>
  <c r="AD288" i="18" s="1"/>
  <c r="AI328" i="18"/>
  <c r="AH328" i="18" s="1"/>
  <c r="AG328" i="18" s="1"/>
  <c r="AF328" i="18" s="1"/>
  <c r="AD328" i="18" s="1"/>
  <c r="AI95" i="18"/>
  <c r="AH95" i="18" s="1"/>
  <c r="AG95" i="18" s="1"/>
  <c r="AF95" i="18" s="1"/>
  <c r="AD95" i="18" s="1"/>
  <c r="AI101" i="18"/>
  <c r="AH101" i="18" s="1"/>
  <c r="AG101" i="18" s="1"/>
  <c r="AF101" i="18" s="1"/>
  <c r="AD101" i="18" s="1"/>
  <c r="AI258" i="18"/>
  <c r="AH258" i="18" s="1"/>
  <c r="AG258" i="18" s="1"/>
  <c r="AF258" i="18" s="1"/>
  <c r="AD258" i="18" s="1"/>
  <c r="AI264" i="18"/>
  <c r="AH264" i="18" s="1"/>
  <c r="AG264" i="18" s="1"/>
  <c r="AF264" i="18" s="1"/>
  <c r="AD264" i="18" s="1"/>
  <c r="AI32" i="18"/>
  <c r="AH32" i="18" s="1"/>
  <c r="AG32" i="18" s="1"/>
  <c r="AF32" i="18" s="1"/>
  <c r="AD32" i="18" s="1"/>
  <c r="AI37" i="18"/>
  <c r="AH37" i="18" s="1"/>
  <c r="AG37" i="18" s="1"/>
  <c r="AF37" i="18" s="1"/>
  <c r="AD37" i="18" s="1"/>
  <c r="AI70" i="18"/>
  <c r="AH70" i="18" s="1"/>
  <c r="AG70" i="18" s="1"/>
  <c r="AF70" i="18" s="1"/>
  <c r="AD70" i="18" s="1"/>
  <c r="AI53" i="18"/>
  <c r="AH53" i="18" s="1"/>
  <c r="AG53" i="18" s="1"/>
  <c r="AF53" i="18" s="1"/>
  <c r="AD53" i="18" s="1"/>
  <c r="AI28" i="18"/>
  <c r="AH28" i="18" s="1"/>
  <c r="AG28" i="18" s="1"/>
  <c r="AF28" i="18" s="1"/>
  <c r="AD28" i="18" s="1"/>
  <c r="AI33" i="18"/>
  <c r="AH33" i="18" s="1"/>
  <c r="AG33" i="18" s="1"/>
  <c r="AF33" i="18" s="1"/>
  <c r="AD33" i="18" s="1"/>
  <c r="AI157" i="18"/>
  <c r="AH157" i="18" s="1"/>
  <c r="AI262" i="18"/>
  <c r="AH262" i="18" s="1"/>
  <c r="AG262" i="18" s="1"/>
  <c r="AF262" i="18" s="1"/>
  <c r="AI221" i="18"/>
  <c r="AH221" i="18" s="1"/>
  <c r="AI292" i="18"/>
  <c r="AH292" i="18" s="1"/>
  <c r="AG292" i="18" s="1"/>
  <c r="AF292" i="18" s="1"/>
  <c r="AI184" i="18"/>
  <c r="AH184" i="18" s="1"/>
  <c r="AG184" i="18" s="1"/>
  <c r="AF184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AI91" i="18"/>
  <c r="AH91" i="18" s="1"/>
  <c r="AG91" i="18" s="1"/>
  <c r="AF91" i="18" s="1"/>
  <c r="AD91" i="18" s="1"/>
  <c r="AI64" i="18"/>
  <c r="AH64" i="18" s="1"/>
  <c r="AG64" i="18" s="1"/>
  <c r="AF64" i="18" s="1"/>
  <c r="AD64" i="18" s="1"/>
  <c r="AI38" i="18"/>
  <c r="AH38" i="18" s="1"/>
  <c r="AG38" i="18" s="1"/>
  <c r="AF38" i="18" s="1"/>
  <c r="AD38" i="18" s="1"/>
  <c r="AI223" i="18"/>
  <c r="AH223" i="18" s="1"/>
  <c r="AG223" i="18" s="1"/>
  <c r="AF223" i="18" s="1"/>
  <c r="AD223" i="18" s="1"/>
  <c r="AI213" i="18"/>
  <c r="AH213" i="18" s="1"/>
  <c r="AI115" i="18"/>
  <c r="AH115" i="18" s="1"/>
  <c r="AG115" i="18" s="1"/>
  <c r="AF115" i="18" s="1"/>
  <c r="AI205" i="18"/>
  <c r="AH205" i="18" s="1"/>
  <c r="AG205" i="18" s="1"/>
  <c r="AF205" i="18" s="1"/>
  <c r="AD205" i="18" s="1"/>
  <c r="I320" i="17"/>
  <c r="O10" i="23"/>
  <c r="AC10" i="23"/>
  <c r="L41" i="19"/>
  <c r="AI331" i="18"/>
  <c r="AH331" i="18" s="1"/>
  <c r="AI233" i="18"/>
  <c r="AH233" i="18" s="1"/>
  <c r="AG233" i="18" s="1"/>
  <c r="AF233" i="18" s="1"/>
  <c r="AD233" i="18" s="1"/>
  <c r="AI144" i="18"/>
  <c r="AH144" i="18" s="1"/>
  <c r="AG144" i="18" s="1"/>
  <c r="AF144" i="18" s="1"/>
  <c r="AD144" i="18" s="1"/>
  <c r="G379" i="17"/>
  <c r="BZ379" i="6" s="1"/>
  <c r="H379" i="17"/>
  <c r="I379" i="17" s="1"/>
  <c r="Q69" i="20"/>
  <c r="AE11" i="20"/>
  <c r="Q124" i="20"/>
  <c r="Q365" i="20"/>
  <c r="Q111" i="20"/>
  <c r="Q229" i="20"/>
  <c r="Q332" i="20"/>
  <c r="Q361" i="20"/>
  <c r="Q195" i="20"/>
  <c r="Q57" i="20"/>
  <c r="Q276" i="20"/>
  <c r="AI169" i="18"/>
  <c r="AH169" i="18" s="1"/>
  <c r="AG169" i="18" s="1"/>
  <c r="AF169" i="18" s="1"/>
  <c r="AD169" i="18" s="1"/>
  <c r="AI327" i="18"/>
  <c r="AH327" i="18" s="1"/>
  <c r="AG327" i="18" s="1"/>
  <c r="AF327" i="18" s="1"/>
  <c r="AD327" i="18" s="1"/>
  <c r="AI247" i="18"/>
  <c r="AH247" i="18" s="1"/>
  <c r="AG247" i="18" s="1"/>
  <c r="AF247" i="18" s="1"/>
  <c r="AD247" i="18" s="1"/>
  <c r="AI170" i="18"/>
  <c r="AH170" i="18" s="1"/>
  <c r="AG170" i="18" s="1"/>
  <c r="AF170" i="18" s="1"/>
  <c r="AD170" i="18" s="1"/>
  <c r="AI196" i="18"/>
  <c r="AH196" i="18" s="1"/>
  <c r="AG196" i="18" s="1"/>
  <c r="AF196" i="18" s="1"/>
  <c r="AD196" i="18" s="1"/>
  <c r="AI362" i="18"/>
  <c r="AH362" i="18" s="1"/>
  <c r="AG362" i="18" s="1"/>
  <c r="AF362" i="18" s="1"/>
  <c r="AD362" i="18" s="1"/>
  <c r="AI158" i="18"/>
  <c r="AH158" i="18" s="1"/>
  <c r="AG158" i="18" s="1"/>
  <c r="AF158" i="18" s="1"/>
  <c r="AD158" i="18" s="1"/>
  <c r="AI254" i="18"/>
  <c r="AH254" i="18" s="1"/>
  <c r="AG254" i="18" s="1"/>
  <c r="AF254" i="18" s="1"/>
  <c r="AD254" i="18" s="1"/>
  <c r="AI265" i="18"/>
  <c r="AH265" i="18" s="1"/>
  <c r="AG265" i="18" s="1"/>
  <c r="AF265" i="18" s="1"/>
  <c r="AD265" i="18" s="1"/>
  <c r="AI324" i="18"/>
  <c r="AH324" i="18" s="1"/>
  <c r="AG324" i="18" s="1"/>
  <c r="AF324" i="18" s="1"/>
  <c r="AD324" i="18" s="1"/>
  <c r="AI220" i="18"/>
  <c r="AH220" i="18" s="1"/>
  <c r="AG220" i="18" s="1"/>
  <c r="AF220" i="18" s="1"/>
  <c r="AD220" i="18" s="1"/>
  <c r="AI107" i="18"/>
  <c r="AH107" i="18" s="1"/>
  <c r="AI164" i="18"/>
  <c r="AH164" i="18" s="1"/>
  <c r="AG164" i="18" s="1"/>
  <c r="AF164" i="18" s="1"/>
  <c r="AD164" i="18" s="1"/>
  <c r="AI287" i="18"/>
  <c r="AH287" i="18" s="1"/>
  <c r="AI209" i="18"/>
  <c r="AH209" i="18" s="1"/>
  <c r="AI161" i="18"/>
  <c r="AH161" i="18" s="1"/>
  <c r="AG161" i="18" s="1"/>
  <c r="AF161" i="18" s="1"/>
  <c r="AD161" i="18" s="1"/>
  <c r="AI181" i="18"/>
  <c r="AH181" i="18" s="1"/>
  <c r="AI281" i="18"/>
  <c r="AH281" i="18" s="1"/>
  <c r="AG281" i="18" s="1"/>
  <c r="AF281" i="18" s="1"/>
  <c r="AD281" i="18" s="1"/>
  <c r="AI210" i="18"/>
  <c r="AH210" i="18" s="1"/>
  <c r="AI138" i="18"/>
  <c r="AH138" i="18" s="1"/>
  <c r="AI345" i="18"/>
  <c r="AH345" i="18" s="1"/>
  <c r="AI217" i="18"/>
  <c r="AH217" i="18" s="1"/>
  <c r="AI371" i="18"/>
  <c r="AH371" i="18" s="1"/>
  <c r="AG371" i="18" s="1"/>
  <c r="AF371" i="18" s="1"/>
  <c r="AD371" i="18" s="1"/>
  <c r="AI312" i="18"/>
  <c r="AH312" i="18" s="1"/>
  <c r="AI152" i="18"/>
  <c r="AH152" i="18" s="1"/>
  <c r="AI344" i="18"/>
  <c r="AH344" i="18" s="1"/>
  <c r="AG344" i="18" s="1"/>
  <c r="AF344" i="18" s="1"/>
  <c r="AD344" i="18" s="1"/>
  <c r="AI250" i="18"/>
  <c r="AH250" i="18" s="1"/>
  <c r="AI135" i="18"/>
  <c r="AH135" i="18" s="1"/>
  <c r="AI123" i="18"/>
  <c r="AH123" i="18" s="1"/>
  <c r="AG123" i="18" s="1"/>
  <c r="AF123" i="18" s="1"/>
  <c r="AD123" i="18" s="1"/>
  <c r="AI329" i="18"/>
  <c r="AH329" i="18" s="1"/>
  <c r="AI272" i="18"/>
  <c r="AH272" i="18" s="1"/>
  <c r="AG272" i="18" s="1"/>
  <c r="AF272" i="18" s="1"/>
  <c r="AD272" i="18" s="1"/>
  <c r="AI370" i="18"/>
  <c r="AH370" i="18" s="1"/>
  <c r="AG370" i="18" s="1"/>
  <c r="AF370" i="18" s="1"/>
  <c r="AD370" i="18" s="1"/>
  <c r="AI304" i="18"/>
  <c r="AH304" i="18" s="1"/>
  <c r="AG304" i="18" s="1"/>
  <c r="AF304" i="18" s="1"/>
  <c r="AD304" i="18" s="1"/>
  <c r="AI146" i="18"/>
  <c r="AH146" i="18" s="1"/>
  <c r="AI330" i="18"/>
  <c r="AH330" i="18" s="1"/>
  <c r="AI340" i="18"/>
  <c r="AH340" i="18" s="1"/>
  <c r="AI245" i="18"/>
  <c r="AH245" i="18" s="1"/>
  <c r="AI113" i="18"/>
  <c r="AH113" i="18" s="1"/>
  <c r="AG113" i="18" s="1"/>
  <c r="AF113" i="18" s="1"/>
  <c r="AD113" i="18" s="1"/>
  <c r="AI137" i="18"/>
  <c r="AH137" i="18" s="1"/>
  <c r="AI246" i="18"/>
  <c r="AH246" i="18" s="1"/>
  <c r="AG246" i="18" s="1"/>
  <c r="AF246" i="18" s="1"/>
  <c r="AD246" i="18" s="1"/>
  <c r="AI271" i="18"/>
  <c r="AH271" i="18" s="1"/>
  <c r="AI216" i="18"/>
  <c r="AH216" i="18" s="1"/>
  <c r="AG216" i="18" s="1"/>
  <c r="AF216" i="18" s="1"/>
  <c r="AD216" i="18" s="1"/>
  <c r="AI259" i="18"/>
  <c r="AH259" i="18" s="1"/>
  <c r="AI155" i="18"/>
  <c r="AH155" i="18" s="1"/>
  <c r="AI343" i="18"/>
  <c r="AH343" i="18" s="1"/>
  <c r="AG343" i="18" s="1"/>
  <c r="AF343" i="18" s="1"/>
  <c r="AD343" i="18" s="1"/>
  <c r="AC16" i="7"/>
  <c r="AI274" i="18"/>
  <c r="AH274" i="18" s="1"/>
  <c r="AG274" i="18" s="1"/>
  <c r="AF274" i="18" s="1"/>
  <c r="AD274" i="18" s="1"/>
  <c r="AI350" i="18"/>
  <c r="AH350" i="18" s="1"/>
  <c r="AG350" i="18" s="1"/>
  <c r="AF350" i="18" s="1"/>
  <c r="AD350" i="18" s="1"/>
  <c r="AI361" i="18"/>
  <c r="AH361" i="18" s="1"/>
  <c r="AG361" i="18" s="1"/>
  <c r="AF361" i="18" s="1"/>
  <c r="AD361" i="18" s="1"/>
  <c r="AI214" i="18"/>
  <c r="AH214" i="18" s="1"/>
  <c r="AG214" i="18" s="1"/>
  <c r="AF214" i="18" s="1"/>
  <c r="AD214" i="18" s="1"/>
  <c r="AI302" i="18"/>
  <c r="AH302" i="18" s="1"/>
  <c r="AG302" i="18" s="1"/>
  <c r="AF302" i="18" s="1"/>
  <c r="AD302" i="18" s="1"/>
  <c r="AI174" i="18"/>
  <c r="AH174" i="18" s="1"/>
  <c r="AG174" i="18" s="1"/>
  <c r="AF174" i="18" s="1"/>
  <c r="AD174" i="18" s="1"/>
  <c r="AI378" i="18"/>
  <c r="AH378" i="18" s="1"/>
  <c r="AG378" i="18" s="1"/>
  <c r="AF378" i="18" s="1"/>
  <c r="AD378" i="18" s="1"/>
  <c r="AI263" i="18"/>
  <c r="AH263" i="18" s="1"/>
  <c r="AG263" i="18" s="1"/>
  <c r="AF263" i="18" s="1"/>
  <c r="AD263" i="18" s="1"/>
  <c r="AE43" i="20"/>
  <c r="AE55" i="20"/>
  <c r="AE103" i="20"/>
  <c r="AE84" i="20"/>
  <c r="AE96" i="20"/>
  <c r="AE34" i="20"/>
  <c r="AE92" i="20"/>
  <c r="AE102" i="20"/>
  <c r="AE59" i="20"/>
  <c r="AE24" i="20"/>
  <c r="AE85" i="20"/>
  <c r="AE90" i="20"/>
  <c r="AE63" i="20"/>
  <c r="AE61" i="20"/>
  <c r="AE42" i="20"/>
  <c r="AE66" i="20"/>
  <c r="AE99" i="20"/>
  <c r="AE88" i="20"/>
  <c r="AE23" i="20"/>
  <c r="AE18" i="20"/>
  <c r="AE47" i="20"/>
  <c r="AE35" i="20"/>
  <c r="AE138" i="20"/>
  <c r="AE329" i="20"/>
  <c r="AE352" i="20"/>
  <c r="AE127" i="20"/>
  <c r="AE124" i="20"/>
  <c r="AE178" i="20"/>
  <c r="AE136" i="20"/>
  <c r="AE302" i="20"/>
  <c r="AE147" i="20"/>
  <c r="AE281" i="20"/>
  <c r="AE121" i="20"/>
  <c r="AE227" i="20"/>
  <c r="AE298" i="20"/>
  <c r="AE370" i="20"/>
  <c r="AE354" i="20"/>
  <c r="AE213" i="20"/>
  <c r="AE296" i="20"/>
  <c r="AE246" i="20"/>
  <c r="AE187" i="20"/>
  <c r="AE295" i="20"/>
  <c r="AE269" i="20"/>
  <c r="AE341" i="20"/>
  <c r="AE125" i="20"/>
  <c r="AE250" i="20"/>
  <c r="AE289" i="20"/>
  <c r="AE210" i="20"/>
  <c r="AE236" i="20"/>
  <c r="AE176" i="20"/>
  <c r="AE175" i="20"/>
  <c r="AE364" i="20"/>
  <c r="AE243" i="20"/>
  <c r="AE345" i="20"/>
  <c r="AE330" i="20"/>
  <c r="AE163" i="20"/>
  <c r="AE251" i="20"/>
  <c r="Q309" i="20"/>
  <c r="Q23" i="20"/>
  <c r="Q35" i="20"/>
  <c r="Q348" i="20"/>
  <c r="Q61" i="20"/>
  <c r="Q263" i="20"/>
  <c r="Q331" i="20"/>
  <c r="Q49" i="20"/>
  <c r="Q305" i="20"/>
  <c r="AI134" i="18"/>
  <c r="AH134" i="18" s="1"/>
  <c r="AG134" i="18" s="1"/>
  <c r="AF134" i="18" s="1"/>
  <c r="AD134" i="18" s="1"/>
  <c r="AI180" i="18"/>
  <c r="AH180" i="18" s="1"/>
  <c r="AI251" i="18"/>
  <c r="AH251" i="18" s="1"/>
  <c r="AI151" i="18"/>
  <c r="AH151" i="18" s="1"/>
  <c r="AG151" i="18" s="1"/>
  <c r="AF151" i="18" s="1"/>
  <c r="AD151" i="18" s="1"/>
  <c r="AI239" i="18"/>
  <c r="AH239" i="18" s="1"/>
  <c r="AI307" i="18"/>
  <c r="AH307" i="18" s="1"/>
  <c r="AI110" i="18"/>
  <c r="AH110" i="18" s="1"/>
  <c r="AI319" i="18"/>
  <c r="AH319" i="18" s="1"/>
  <c r="AI273" i="18"/>
  <c r="AH273" i="18" s="1"/>
  <c r="AG273" i="18" s="1"/>
  <c r="AF273" i="18" s="1"/>
  <c r="AD273" i="18" s="1"/>
  <c r="AI249" i="18"/>
  <c r="AH249" i="18" s="1"/>
  <c r="AG249" i="18" s="1"/>
  <c r="AF249" i="18" s="1"/>
  <c r="AD249" i="18" s="1"/>
  <c r="AI306" i="18"/>
  <c r="AH306" i="18" s="1"/>
  <c r="AI368" i="18"/>
  <c r="AH368" i="18" s="1"/>
  <c r="AI365" i="18"/>
  <c r="AH365" i="18" s="1"/>
  <c r="AG365" i="18" s="1"/>
  <c r="AF365" i="18" s="1"/>
  <c r="AD365" i="18" s="1"/>
  <c r="AI332" i="18"/>
  <c r="AH332" i="18" s="1"/>
  <c r="AI156" i="18"/>
  <c r="AH156" i="18" s="1"/>
  <c r="AI334" i="18"/>
  <c r="AH334" i="18" s="1"/>
  <c r="AG334" i="18" s="1"/>
  <c r="AF334" i="18" s="1"/>
  <c r="AD334" i="18" s="1"/>
  <c r="AI150" i="18"/>
  <c r="AH150" i="18" s="1"/>
  <c r="AI321" i="18"/>
  <c r="AH321" i="18" s="1"/>
  <c r="AG321" i="18" s="1"/>
  <c r="AF321" i="18" s="1"/>
  <c r="AD321" i="18" s="1"/>
  <c r="AI360" i="18"/>
  <c r="AH360" i="18" s="1"/>
  <c r="AI194" i="18"/>
  <c r="AH194" i="18" s="1"/>
  <c r="AI291" i="18"/>
  <c r="AH291" i="18" s="1"/>
  <c r="AI244" i="18"/>
  <c r="AH244" i="18" s="1"/>
  <c r="AG244" i="18" s="1"/>
  <c r="AF244" i="18" s="1"/>
  <c r="AD244" i="18" s="1"/>
  <c r="AI260" i="18"/>
  <c r="AH260" i="18" s="1"/>
  <c r="AG260" i="18" s="1"/>
  <c r="AF260" i="18" s="1"/>
  <c r="AD260" i="18" s="1"/>
  <c r="AI139" i="18"/>
  <c r="AH139" i="18" s="1"/>
  <c r="AG139" i="18" s="1"/>
  <c r="AF139" i="18" s="1"/>
  <c r="AD139" i="18" s="1"/>
  <c r="AI310" i="18"/>
  <c r="AH310" i="18" s="1"/>
  <c r="AG310" i="18" s="1"/>
  <c r="AF310" i="18" s="1"/>
  <c r="AD310" i="18" s="1"/>
  <c r="AI192" i="18"/>
  <c r="AH192" i="18" s="1"/>
  <c r="AG192" i="18" s="1"/>
  <c r="AF192" i="18" s="1"/>
  <c r="AD192" i="18" s="1"/>
  <c r="AI185" i="18"/>
  <c r="AH185" i="18" s="1"/>
  <c r="AG185" i="18" s="1"/>
  <c r="AF185" i="18" s="1"/>
  <c r="AD185" i="18" s="1"/>
  <c r="AI130" i="18"/>
  <c r="AH130" i="18" s="1"/>
  <c r="AG130" i="18" s="1"/>
  <c r="AF130" i="18" s="1"/>
  <c r="AD130" i="18" s="1"/>
  <c r="AI126" i="18"/>
  <c r="AH126" i="18" s="1"/>
  <c r="AG126" i="18" s="1"/>
  <c r="AF126" i="18" s="1"/>
  <c r="AD126" i="18" s="1"/>
  <c r="AI167" i="18"/>
  <c r="AH167" i="18" s="1"/>
  <c r="AI200" i="18"/>
  <c r="AH200" i="18" s="1"/>
  <c r="AG200" i="18" s="1"/>
  <c r="AF200" i="18" s="1"/>
  <c r="AD200" i="18" s="1"/>
  <c r="AI133" i="18"/>
  <c r="AH133" i="18" s="1"/>
  <c r="AG133" i="18" s="1"/>
  <c r="AF133" i="18" s="1"/>
  <c r="AD133" i="18" s="1"/>
  <c r="AI234" i="18"/>
  <c r="AH234" i="18" s="1"/>
  <c r="AG234" i="18" s="1"/>
  <c r="AF234" i="18" s="1"/>
  <c r="AD234" i="18" s="1"/>
  <c r="AI237" i="18"/>
  <c r="AH237" i="18" s="1"/>
  <c r="AI195" i="18"/>
  <c r="AH195" i="18" s="1"/>
  <c r="AI316" i="18"/>
  <c r="AH316" i="18" s="1"/>
  <c r="AG316" i="18" s="1"/>
  <c r="AF316" i="18" s="1"/>
  <c r="AD316" i="18" s="1"/>
  <c r="AI320" i="18"/>
  <c r="AH320" i="18" s="1"/>
  <c r="AG320" i="18" s="1"/>
  <c r="AF320" i="18" s="1"/>
  <c r="AD320" i="18" s="1"/>
  <c r="AI204" i="18"/>
  <c r="AH204" i="18" s="1"/>
  <c r="AG204" i="18" s="1"/>
  <c r="AF204" i="18" s="1"/>
  <c r="AD204" i="18" s="1"/>
  <c r="AI171" i="18"/>
  <c r="AH171" i="18" s="1"/>
  <c r="AG171" i="18" s="1"/>
  <c r="AF171" i="18" s="1"/>
  <c r="AD171" i="18" s="1"/>
  <c r="AI261" i="18"/>
  <c r="AH261" i="18" s="1"/>
  <c r="AG261" i="18" s="1"/>
  <c r="AF261" i="18" s="1"/>
  <c r="AD261" i="18" s="1"/>
  <c r="AI356" i="18"/>
  <c r="AH356" i="18" s="1"/>
  <c r="AG356" i="18" s="1"/>
  <c r="AF356" i="18" s="1"/>
  <c r="AD356" i="18" s="1"/>
  <c r="AI105" i="18"/>
  <c r="AH105" i="18" s="1"/>
  <c r="AG105" i="18" s="1"/>
  <c r="AF105" i="18" s="1"/>
  <c r="AD105" i="18" s="1"/>
  <c r="AI118" i="18"/>
  <c r="AH118" i="18" s="1"/>
  <c r="AG118" i="18" s="1"/>
  <c r="AF118" i="18" s="1"/>
  <c r="AD118" i="18" s="1"/>
  <c r="AI187" i="18"/>
  <c r="AH187" i="18" s="1"/>
  <c r="AG187" i="18" s="1"/>
  <c r="AF187" i="18" s="1"/>
  <c r="AD187" i="18" s="1"/>
  <c r="AI348" i="18"/>
  <c r="AH348" i="18" s="1"/>
  <c r="AG348" i="18" s="1"/>
  <c r="AF348" i="18" s="1"/>
  <c r="AD348" i="18" s="1"/>
  <c r="AI114" i="18"/>
  <c r="AH114" i="18" s="1"/>
  <c r="AG114" i="18" s="1"/>
  <c r="AF114" i="18" s="1"/>
  <c r="AD114" i="18" s="1"/>
  <c r="AI280" i="18"/>
  <c r="AH280" i="18" s="1"/>
  <c r="AG280" i="18" s="1"/>
  <c r="AF280" i="18" s="1"/>
  <c r="AD280" i="18" s="1"/>
  <c r="AI219" i="18"/>
  <c r="AH219" i="18" s="1"/>
  <c r="AG219" i="18" s="1"/>
  <c r="AF219" i="18" s="1"/>
  <c r="AD219" i="18" s="1"/>
  <c r="AI208" i="18"/>
  <c r="AH208" i="18" s="1"/>
  <c r="AG208" i="18" s="1"/>
  <c r="AF208" i="18" s="1"/>
  <c r="AD208" i="18" s="1"/>
  <c r="AI298" i="18"/>
  <c r="AH298" i="18" s="1"/>
  <c r="AG298" i="18" s="1"/>
  <c r="AF298" i="18" s="1"/>
  <c r="AD298" i="18" s="1"/>
  <c r="AI198" i="18"/>
  <c r="AH198" i="18" s="1"/>
  <c r="AG198" i="18" s="1"/>
  <c r="AF198" i="18" s="1"/>
  <c r="AD198" i="18" s="1"/>
  <c r="AI108" i="18"/>
  <c r="AH108" i="18" s="1"/>
  <c r="AG108" i="18" s="1"/>
  <c r="AF108" i="18" s="1"/>
  <c r="AD108" i="18" s="1"/>
  <c r="M64" i="19"/>
  <c r="AE49" i="20"/>
  <c r="AE70" i="20"/>
  <c r="AE68" i="20"/>
  <c r="AE25" i="20"/>
  <c r="AE51" i="20"/>
  <c r="AE64" i="20"/>
  <c r="AE53" i="20"/>
  <c r="AE62" i="20"/>
  <c r="AE101" i="20"/>
  <c r="AE75" i="20"/>
  <c r="AE41" i="20"/>
  <c r="AE29" i="20"/>
  <c r="AE52" i="20"/>
  <c r="AE20" i="20"/>
  <c r="AE95" i="20"/>
  <c r="AE69" i="20"/>
  <c r="AE37" i="20"/>
  <c r="AE77" i="20"/>
  <c r="AE56" i="20"/>
  <c r="AE44" i="20"/>
  <c r="AE39" i="20"/>
  <c r="AE74" i="20"/>
  <c r="AE22" i="20"/>
  <c r="AE72" i="20"/>
  <c r="AE60" i="20"/>
  <c r="AE17" i="20"/>
  <c r="AE67" i="20"/>
  <c r="AE19" i="20"/>
  <c r="AE45" i="20"/>
  <c r="AE50" i="20"/>
  <c r="AE76" i="20"/>
  <c r="AE46" i="20"/>
  <c r="AE40" i="20"/>
  <c r="AE16" i="20"/>
  <c r="AE27" i="20"/>
  <c r="AE21" i="20"/>
  <c r="AE93" i="20"/>
  <c r="AE32" i="20"/>
  <c r="AE58" i="20"/>
  <c r="AE26" i="20"/>
  <c r="AE30" i="20"/>
  <c r="AE73" i="20"/>
  <c r="AE91" i="20"/>
  <c r="AE97" i="20"/>
  <c r="AE100" i="20"/>
  <c r="AE317" i="20"/>
  <c r="AE112" i="20"/>
  <c r="AE318" i="20"/>
  <c r="AE191" i="20"/>
  <c r="AE297" i="20"/>
  <c r="AE111" i="20"/>
  <c r="AE369" i="20"/>
  <c r="AE331" i="20"/>
  <c r="AE170" i="20"/>
  <c r="AE237" i="20"/>
  <c r="AE359" i="20"/>
  <c r="AE309" i="20"/>
  <c r="AE265" i="20"/>
  <c r="AE232" i="20"/>
  <c r="AE377" i="20"/>
  <c r="AE122" i="20"/>
  <c r="AE303" i="20"/>
  <c r="AE274" i="20"/>
  <c r="AE344" i="20"/>
  <c r="AE316" i="20"/>
  <c r="AE219" i="20"/>
  <c r="AE362" i="20"/>
  <c r="AE223" i="20"/>
  <c r="AE201" i="20"/>
  <c r="AE301" i="20"/>
  <c r="AE273" i="20"/>
  <c r="AE304" i="20"/>
  <c r="AE169" i="20"/>
  <c r="AE291" i="20"/>
  <c r="AE241" i="20"/>
  <c r="AE262" i="20"/>
  <c r="AE376" i="20"/>
  <c r="AE334" i="20"/>
  <c r="AE182" i="20"/>
  <c r="AE197" i="20"/>
  <c r="AE199" i="20"/>
  <c r="AE257" i="20"/>
  <c r="AE212" i="20"/>
  <c r="AE155" i="20"/>
  <c r="AE234" i="20"/>
  <c r="AE371" i="20"/>
  <c r="AE215" i="20"/>
  <c r="AE282" i="20"/>
  <c r="AE190" i="20"/>
  <c r="AE209" i="20"/>
  <c r="AE267" i="20"/>
  <c r="AE123" i="20"/>
  <c r="AE259" i="20"/>
  <c r="AE231" i="20"/>
  <c r="AE347" i="20"/>
  <c r="AE247" i="20"/>
  <c r="AE211" i="20"/>
  <c r="AE194" i="20"/>
  <c r="AE174" i="20"/>
  <c r="AE118" i="20"/>
  <c r="AE126" i="20"/>
  <c r="AE284" i="20"/>
  <c r="AE256" i="20"/>
  <c r="AE143" i="20"/>
  <c r="AE179" i="20"/>
  <c r="AE214" i="20"/>
  <c r="AE224" i="20"/>
  <c r="AE141" i="20"/>
  <c r="AE115" i="20"/>
  <c r="AE379" i="20"/>
  <c r="AE12" i="22" s="1"/>
  <c r="AE226" i="20"/>
  <c r="AE353" i="20"/>
  <c r="AE133" i="20"/>
  <c r="Q307" i="20"/>
  <c r="Q80" i="20"/>
  <c r="Q304" i="20"/>
  <c r="Q99" i="20"/>
  <c r="Q142" i="20"/>
  <c r="Q168" i="20"/>
  <c r="Q125" i="20"/>
  <c r="Q86" i="20"/>
  <c r="Q179" i="20"/>
  <c r="Q234" i="20"/>
  <c r="Q147" i="20"/>
  <c r="Q172" i="20"/>
  <c r="Q65" i="20"/>
  <c r="Q75" i="20"/>
  <c r="Q261" i="20"/>
  <c r="Q202" i="20"/>
  <c r="Q107" i="20"/>
  <c r="Q371" i="20"/>
  <c r="Q26" i="20"/>
  <c r="Q203" i="20"/>
  <c r="Q149" i="20"/>
  <c r="Q313" i="20"/>
  <c r="Q330" i="20"/>
  <c r="Q311" i="20"/>
  <c r="Q358" i="20"/>
  <c r="Q22" i="20"/>
  <c r="Q155" i="20"/>
  <c r="Q373" i="20"/>
  <c r="Q183" i="20"/>
  <c r="Q298" i="20"/>
  <c r="Q303" i="20"/>
  <c r="Q292" i="20"/>
  <c r="Q360" i="20"/>
  <c r="Q81" i="20"/>
  <c r="Q251" i="20"/>
  <c r="Q378" i="20"/>
  <c r="Q37" i="20"/>
  <c r="Q230" i="20"/>
  <c r="Q375" i="20"/>
  <c r="Q186" i="20"/>
  <c r="Q340" i="20"/>
  <c r="Q370" i="20"/>
  <c r="Q280" i="20"/>
  <c r="Q68" i="20"/>
  <c r="Q308" i="20"/>
  <c r="Q341" i="20"/>
  <c r="Q199" i="20"/>
  <c r="Q219" i="20"/>
  <c r="Q282" i="20"/>
  <c r="Q90" i="20"/>
  <c r="Q72" i="20"/>
  <c r="Q36" i="20"/>
  <c r="Q225" i="20"/>
  <c r="Q166" i="20"/>
  <c r="Q287" i="20"/>
  <c r="Q71" i="20"/>
  <c r="Q262" i="20"/>
  <c r="Q346" i="20"/>
  <c r="Q91" i="20"/>
  <c r="Q162" i="20"/>
  <c r="Q139" i="20"/>
  <c r="Q317" i="20"/>
  <c r="Q228" i="20"/>
  <c r="Q264" i="20"/>
  <c r="Q334" i="20"/>
  <c r="Q241" i="20"/>
  <c r="Q271" i="20"/>
  <c r="Q15" i="20"/>
  <c r="Q180" i="20"/>
  <c r="G81" i="17"/>
  <c r="BZ81" i="6" s="1"/>
  <c r="Q302" i="20"/>
  <c r="Q151" i="20"/>
  <c r="Q73" i="20"/>
  <c r="Q222" i="20"/>
  <c r="Q236" i="20"/>
  <c r="Q343" i="20"/>
  <c r="Q379" i="20"/>
  <c r="Q145" i="20"/>
  <c r="Q44" i="20"/>
  <c r="Q182" i="20"/>
  <c r="Q103" i="20"/>
  <c r="Q132" i="20"/>
  <c r="Q34" i="20"/>
  <c r="Q214" i="20"/>
  <c r="Q273" i="20"/>
  <c r="Q318" i="20"/>
  <c r="Q21" i="20"/>
  <c r="Q321" i="20"/>
  <c r="Q300" i="20"/>
  <c r="Q345" i="20"/>
  <c r="Q63" i="20"/>
  <c r="Q294" i="20"/>
  <c r="Q257" i="20"/>
  <c r="Q210" i="20"/>
  <c r="Q362" i="20"/>
  <c r="Q355" i="20"/>
  <c r="Q281" i="20"/>
  <c r="Q255" i="20"/>
  <c r="Q181" i="20"/>
  <c r="Q110" i="20"/>
  <c r="Q154" i="20"/>
  <c r="Q211" i="20"/>
  <c r="Q150" i="20"/>
  <c r="Q296" i="20"/>
  <c r="Q247" i="20"/>
  <c r="Q240" i="20"/>
  <c r="Q196" i="20"/>
  <c r="Q278" i="20"/>
  <c r="Q77" i="20"/>
  <c r="Q205" i="20"/>
  <c r="Q344" i="20"/>
  <c r="Q121" i="20"/>
  <c r="Q97" i="20"/>
  <c r="Q128" i="20"/>
  <c r="Q323" i="20"/>
  <c r="Q242" i="20"/>
  <c r="Q88" i="20"/>
  <c r="Q148" i="20"/>
  <c r="Q160" i="20"/>
  <c r="Q342" i="20"/>
  <c r="Q146" i="20"/>
  <c r="Q337" i="20"/>
  <c r="Q131" i="20"/>
  <c r="Q106" i="20"/>
  <c r="Q159" i="20"/>
  <c r="Q163" i="20"/>
  <c r="Q188" i="20"/>
  <c r="Q42" i="20"/>
  <c r="Q16" i="20"/>
  <c r="Q30" i="20"/>
  <c r="Q25" i="20"/>
  <c r="Q18" i="20"/>
  <c r="Q59" i="20"/>
  <c r="Q333" i="20"/>
  <c r="Q118" i="20"/>
  <c r="Q291" i="20"/>
  <c r="Q354" i="20"/>
  <c r="Q84" i="20"/>
  <c r="Q113" i="20"/>
  <c r="Q105" i="20"/>
  <c r="Q108" i="20"/>
  <c r="Q328" i="20"/>
  <c r="Q153" i="20"/>
  <c r="Q177" i="20"/>
  <c r="Q314" i="20"/>
  <c r="Q76" i="20"/>
  <c r="Q51" i="20"/>
  <c r="Q322" i="20"/>
  <c r="Q293" i="20"/>
  <c r="Q156" i="20"/>
  <c r="Q351" i="20"/>
  <c r="Q174" i="20"/>
  <c r="Q239" i="20"/>
  <c r="Q104" i="20"/>
  <c r="Q246" i="20"/>
  <c r="Q283" i="20"/>
  <c r="Q200" i="20"/>
  <c r="Q189" i="20"/>
  <c r="Q191" i="20"/>
  <c r="Q79" i="20"/>
  <c r="Q64" i="20"/>
  <c r="Q306" i="20"/>
  <c r="Q93" i="20"/>
  <c r="Q201" i="20"/>
  <c r="Q20" i="20"/>
  <c r="Q54" i="20"/>
  <c r="Q198" i="20"/>
  <c r="Q50" i="20"/>
  <c r="Q127" i="20"/>
  <c r="Q352" i="20"/>
  <c r="Q260" i="20"/>
  <c r="Q359" i="20"/>
  <c r="Q78" i="20"/>
  <c r="Q248" i="20"/>
  <c r="Q367" i="20"/>
  <c r="Q310" i="20"/>
  <c r="Q288" i="20"/>
  <c r="Q295" i="20"/>
  <c r="Q376" i="20"/>
  <c r="Q28" i="20"/>
  <c r="Q363" i="20"/>
  <c r="Q39" i="20"/>
  <c r="Q369" i="20"/>
  <c r="Q158" i="20"/>
  <c r="Q170" i="20"/>
  <c r="Q364" i="20"/>
  <c r="Q335" i="20"/>
  <c r="Q193" i="20"/>
  <c r="Q197" i="20"/>
  <c r="Q218" i="20"/>
  <c r="Q350" i="20"/>
  <c r="Q62" i="20"/>
  <c r="Q275" i="20"/>
  <c r="Q133" i="20"/>
  <c r="Q250" i="20"/>
  <c r="Q372" i="20"/>
  <c r="Q249" i="20"/>
  <c r="Q254" i="20"/>
  <c r="Q85" i="20"/>
  <c r="Q169" i="20"/>
  <c r="Q339" i="20"/>
  <c r="Q347" i="20"/>
  <c r="Q47" i="20"/>
  <c r="Q40" i="20"/>
  <c r="Q123" i="20"/>
  <c r="Q70" i="20"/>
  <c r="Q82" i="20"/>
  <c r="Q94" i="20"/>
  <c r="Q130" i="20"/>
  <c r="Q171" i="20"/>
  <c r="Q98" i="20"/>
  <c r="Q135" i="20"/>
  <c r="Q56" i="20"/>
  <c r="Q101" i="20"/>
  <c r="Q43" i="20"/>
  <c r="Q252" i="20"/>
  <c r="Q27" i="20"/>
  <c r="Q270" i="20"/>
  <c r="Q284" i="20"/>
  <c r="Q176" i="20"/>
  <c r="Q109" i="20"/>
  <c r="Q114" i="20"/>
  <c r="Q374" i="20"/>
  <c r="Q66" i="20"/>
  <c r="Q157" i="20"/>
  <c r="Q326" i="20"/>
  <c r="Q19" i="20"/>
  <c r="Q237" i="20"/>
  <c r="Q256" i="20"/>
  <c r="Q119" i="20"/>
  <c r="Q223" i="20"/>
  <c r="Q320" i="20"/>
  <c r="Q208" i="20"/>
  <c r="Q269" i="20"/>
  <c r="Q137" i="20"/>
  <c r="Q290" i="20"/>
  <c r="Q100" i="20"/>
  <c r="Q366" i="20"/>
  <c r="Q141" i="20"/>
  <c r="Q267" i="20"/>
  <c r="Q96" i="20"/>
  <c r="Q274" i="20"/>
  <c r="Q120" i="20"/>
  <c r="Q126" i="20"/>
  <c r="Q32" i="20"/>
  <c r="V383" i="15"/>
  <c r="V381" i="15"/>
  <c r="D258" i="18"/>
  <c r="E258" i="18" s="1"/>
  <c r="H81" i="17"/>
  <c r="J81" i="17" s="1"/>
  <c r="Q138" i="20"/>
  <c r="Q122" i="20"/>
  <c r="Q92" i="20"/>
  <c r="Q325" i="20"/>
  <c r="Q244" i="20"/>
  <c r="Q58" i="20"/>
  <c r="I319" i="17"/>
  <c r="J319" i="17"/>
  <c r="AA272" i="17"/>
  <c r="Z272" i="17" s="1"/>
  <c r="Y272" i="17" s="1"/>
  <c r="H272" i="17"/>
  <c r="G272" i="17"/>
  <c r="BZ272" i="6" s="1"/>
  <c r="G111" i="17"/>
  <c r="BZ111" i="6" s="1"/>
  <c r="H111" i="17"/>
  <c r="AA111" i="17"/>
  <c r="Z111" i="17" s="1"/>
  <c r="Y111" i="17" s="1"/>
  <c r="I364" i="17"/>
  <c r="J364" i="17"/>
  <c r="G149" i="17"/>
  <c r="BZ149" i="6" s="1"/>
  <c r="AA149" i="17"/>
  <c r="Z149" i="17" s="1"/>
  <c r="Y149" i="17" s="1"/>
  <c r="H149" i="17"/>
  <c r="I119" i="17"/>
  <c r="J119" i="17"/>
  <c r="J88" i="17"/>
  <c r="I88" i="17"/>
  <c r="I363" i="17"/>
  <c r="J363" i="17"/>
  <c r="AK4" i="1"/>
  <c r="R11" i="19" s="1"/>
  <c r="N12" i="19" s="1"/>
  <c r="AM13" i="1"/>
  <c r="I75" i="17"/>
  <c r="J75" i="17"/>
  <c r="I180" i="17"/>
  <c r="J180" i="17"/>
  <c r="J29" i="17"/>
  <c r="I29" i="17"/>
  <c r="D187" i="18"/>
  <c r="E187" i="18" s="1"/>
  <c r="D244" i="18"/>
  <c r="E244" i="18" s="1"/>
  <c r="D227" i="18"/>
  <c r="E227" i="18" s="1"/>
  <c r="D178" i="18"/>
  <c r="E178" i="18" s="1"/>
  <c r="D169" i="18"/>
  <c r="E169" i="18" s="1"/>
  <c r="D202" i="18"/>
  <c r="E202" i="18" s="1"/>
  <c r="D211" i="18"/>
  <c r="E211" i="18" s="1"/>
  <c r="D154" i="18"/>
  <c r="E154" i="18" s="1"/>
  <c r="D177" i="18"/>
  <c r="E177" i="18" s="1"/>
  <c r="D263" i="18"/>
  <c r="E263" i="18" s="1"/>
  <c r="D233" i="18"/>
  <c r="E233" i="18" s="1"/>
  <c r="D114" i="18"/>
  <c r="E114" i="18" s="1"/>
  <c r="D143" i="18"/>
  <c r="E143" i="18" s="1"/>
  <c r="D64" i="18"/>
  <c r="E64" i="18" s="1"/>
  <c r="D179" i="18"/>
  <c r="E179" i="18" s="1"/>
  <c r="V241" i="18"/>
  <c r="D191" i="18"/>
  <c r="E191" i="18" s="1"/>
  <c r="D184" i="18"/>
  <c r="E184" i="18" s="1"/>
  <c r="D218" i="18"/>
  <c r="E218" i="18" s="1"/>
  <c r="D223" i="18"/>
  <c r="E223" i="18" s="1"/>
  <c r="D131" i="18"/>
  <c r="E131" i="18" s="1"/>
  <c r="D80" i="18"/>
  <c r="E80" i="18" s="1"/>
  <c r="D61" i="18"/>
  <c r="E61" i="18" s="1"/>
  <c r="D23" i="18"/>
  <c r="E23" i="18" s="1"/>
  <c r="D93" i="18"/>
  <c r="E93" i="18" s="1"/>
  <c r="D366" i="18"/>
  <c r="E366" i="18" s="1"/>
  <c r="D107" i="18"/>
  <c r="E107" i="18" s="1"/>
  <c r="D150" i="18"/>
  <c r="E150" i="18" s="1"/>
  <c r="D344" i="18"/>
  <c r="E344" i="18" s="1"/>
  <c r="D63" i="18"/>
  <c r="E63" i="18" s="1"/>
  <c r="D71" i="18"/>
  <c r="E71" i="18" s="1"/>
  <c r="D31" i="18"/>
  <c r="E31" i="18" s="1"/>
  <c r="D168" i="18"/>
  <c r="E168" i="18" s="1"/>
  <c r="D319" i="18"/>
  <c r="E319" i="18" s="1"/>
  <c r="D378" i="18"/>
  <c r="E378" i="18" s="1"/>
  <c r="D316" i="18"/>
  <c r="E316" i="18" s="1"/>
  <c r="D33" i="18"/>
  <c r="E33" i="18" s="1"/>
  <c r="D200" i="18"/>
  <c r="E200" i="18" s="1"/>
  <c r="D325" i="18"/>
  <c r="E325" i="18" s="1"/>
  <c r="D377" i="18"/>
  <c r="E377" i="18" s="1"/>
  <c r="D87" i="18"/>
  <c r="E87" i="18" s="1"/>
  <c r="D256" i="18"/>
  <c r="E256" i="18" s="1"/>
  <c r="D229" i="18"/>
  <c r="E229" i="18" s="1"/>
  <c r="D209" i="18"/>
  <c r="E209" i="18" s="1"/>
  <c r="D146" i="18"/>
  <c r="E146" i="18" s="1"/>
  <c r="D42" i="18"/>
  <c r="E42" i="18" s="1"/>
  <c r="D248" i="18"/>
  <c r="E248" i="18" s="1"/>
  <c r="V149" i="18"/>
  <c r="D24" i="18"/>
  <c r="E24" i="18" s="1"/>
  <c r="D353" i="18"/>
  <c r="E353" i="18" s="1"/>
  <c r="D46" i="18"/>
  <c r="E46" i="18" s="1"/>
  <c r="D369" i="18"/>
  <c r="E369" i="18" s="1"/>
  <c r="D312" i="18"/>
  <c r="E312" i="18" s="1"/>
  <c r="D204" i="18"/>
  <c r="E204" i="18" s="1"/>
  <c r="D73" i="18"/>
  <c r="E73" i="18" s="1"/>
  <c r="D127" i="18"/>
  <c r="E127" i="18" s="1"/>
  <c r="D76" i="18"/>
  <c r="E76" i="18" s="1"/>
  <c r="D277" i="18"/>
  <c r="E277" i="18" s="1"/>
  <c r="D118" i="18"/>
  <c r="E118" i="18" s="1"/>
  <c r="D160" i="18"/>
  <c r="E160" i="18" s="1"/>
  <c r="D50" i="18"/>
  <c r="E50" i="18" s="1"/>
  <c r="D89" i="18"/>
  <c r="E89" i="18" s="1"/>
  <c r="D165" i="18"/>
  <c r="E165" i="18" s="1"/>
  <c r="D237" i="18"/>
  <c r="E237" i="18" s="1"/>
  <c r="D52" i="18"/>
  <c r="E52" i="18" s="1"/>
  <c r="D360" i="18"/>
  <c r="E360" i="18" s="1"/>
  <c r="D57" i="18"/>
  <c r="E57" i="18" s="1"/>
  <c r="D291" i="18"/>
  <c r="E291" i="18" s="1"/>
  <c r="D354" i="18"/>
  <c r="E354" i="18" s="1"/>
  <c r="D257" i="18"/>
  <c r="E257" i="18" s="1"/>
  <c r="D280" i="18"/>
  <c r="E280" i="18" s="1"/>
  <c r="D292" i="18"/>
  <c r="E292" i="18" s="1"/>
  <c r="D247" i="18"/>
  <c r="E247" i="18" s="1"/>
  <c r="D195" i="18"/>
  <c r="E195" i="18" s="1"/>
  <c r="D115" i="18"/>
  <c r="E115" i="18" s="1"/>
  <c r="D148" i="18"/>
  <c r="E148" i="18" s="1"/>
  <c r="D339" i="18"/>
  <c r="E339" i="18" s="1"/>
  <c r="D365" i="18"/>
  <c r="E365" i="18" s="1"/>
  <c r="D254" i="18"/>
  <c r="E254" i="18" s="1"/>
  <c r="D205" i="18"/>
  <c r="E205" i="18" s="1"/>
  <c r="D206" i="18"/>
  <c r="E206" i="18" s="1"/>
  <c r="D253" i="18"/>
  <c r="E253" i="18" s="1"/>
  <c r="D305" i="18"/>
  <c r="E305" i="18" s="1"/>
  <c r="D265" i="18"/>
  <c r="E265" i="18" s="1"/>
  <c r="D264" i="18"/>
  <c r="E264" i="18" s="1"/>
  <c r="D296" i="18"/>
  <c r="E296" i="18" s="1"/>
  <c r="D79" i="18"/>
  <c r="E79" i="18" s="1"/>
  <c r="D364" i="18"/>
  <c r="E364" i="18" s="1"/>
  <c r="D373" i="18"/>
  <c r="E373" i="18" s="1"/>
  <c r="D342" i="18"/>
  <c r="E342" i="18" s="1"/>
  <c r="D77" i="18"/>
  <c r="E77" i="18" s="1"/>
  <c r="D21" i="18"/>
  <c r="E21" i="18" s="1"/>
  <c r="D45" i="18"/>
  <c r="E45" i="18" s="1"/>
  <c r="D358" i="18"/>
  <c r="E358" i="18" s="1"/>
  <c r="D355" i="18"/>
  <c r="E355" i="18" s="1"/>
  <c r="D56" i="18"/>
  <c r="E56" i="18" s="1"/>
  <c r="D172" i="18"/>
  <c r="E172" i="18" s="1"/>
  <c r="D231" i="18"/>
  <c r="E231" i="18" s="1"/>
  <c r="D351" i="18"/>
  <c r="E351" i="18" s="1"/>
  <c r="D289" i="18"/>
  <c r="E289" i="18" s="1"/>
  <c r="D281" i="18"/>
  <c r="E281" i="18" s="1"/>
  <c r="D317" i="18"/>
  <c r="E317" i="18" s="1"/>
  <c r="D301" i="18"/>
  <c r="E301" i="18" s="1"/>
  <c r="D26" i="18"/>
  <c r="E26" i="18" s="1"/>
  <c r="D120" i="18"/>
  <c r="E120" i="18" s="1"/>
  <c r="D259" i="18"/>
  <c r="E259" i="18" s="1"/>
  <c r="D106" i="18"/>
  <c r="E106" i="18" s="1"/>
  <c r="D269" i="18"/>
  <c r="E269" i="18" s="1"/>
  <c r="D212" i="18"/>
  <c r="E212" i="18" s="1"/>
  <c r="D151" i="18"/>
  <c r="E151" i="18" s="1"/>
  <c r="D159" i="18"/>
  <c r="E159" i="18" s="1"/>
  <c r="D92" i="18"/>
  <c r="E92" i="18" s="1"/>
  <c r="D297" i="18"/>
  <c r="E297" i="18" s="1"/>
  <c r="D142" i="18"/>
  <c r="E142" i="18" s="1"/>
  <c r="D214" i="18"/>
  <c r="E214" i="18" s="1"/>
  <c r="D194" i="18"/>
  <c r="E194" i="18" s="1"/>
  <c r="D133" i="18"/>
  <c r="E133" i="18" s="1"/>
  <c r="D367" i="18"/>
  <c r="E367" i="18" s="1"/>
  <c r="D16" i="18"/>
  <c r="E16" i="18" s="1"/>
  <c r="D35" i="18"/>
  <c r="E35" i="18" s="1"/>
  <c r="D294" i="18"/>
  <c r="E294" i="18" s="1"/>
  <c r="D129" i="18"/>
  <c r="E129" i="18" s="1"/>
  <c r="D83" i="18"/>
  <c r="E83" i="18" s="1"/>
  <c r="D250" i="18"/>
  <c r="E250" i="18" s="1"/>
  <c r="D145" i="18"/>
  <c r="E145" i="18" s="1"/>
  <c r="D181" i="18"/>
  <c r="E181" i="18" s="1"/>
  <c r="D53" i="18"/>
  <c r="E53" i="18" s="1"/>
  <c r="D100" i="18"/>
  <c r="E100" i="18" s="1"/>
  <c r="D156" i="18"/>
  <c r="E156" i="18" s="1"/>
  <c r="D370" i="18"/>
  <c r="E370" i="18" s="1"/>
  <c r="D345" i="18"/>
  <c r="E345" i="18" s="1"/>
  <c r="D65" i="18"/>
  <c r="E65" i="18" s="1"/>
  <c r="D375" i="18"/>
  <c r="E375" i="18" s="1"/>
  <c r="D82" i="18"/>
  <c r="E82" i="18" s="1"/>
  <c r="D322" i="18"/>
  <c r="E322" i="18" s="1"/>
  <c r="D245" i="18"/>
  <c r="E245" i="18" s="1"/>
  <c r="D157" i="18"/>
  <c r="E157" i="18" s="1"/>
  <c r="D287" i="18"/>
  <c r="E287" i="18" s="1"/>
  <c r="D357" i="18"/>
  <c r="E357" i="18" s="1"/>
  <c r="D284" i="18"/>
  <c r="E284" i="18" s="1"/>
  <c r="D102" i="18"/>
  <c r="E102" i="18" s="1"/>
  <c r="D164" i="18"/>
  <c r="E164" i="18" s="1"/>
  <c r="D203" i="18"/>
  <c r="E203" i="18" s="1"/>
  <c r="D49" i="18"/>
  <c r="E49" i="18" s="1"/>
  <c r="D208" i="18"/>
  <c r="E208" i="18" s="1"/>
  <c r="D216" i="18"/>
  <c r="E216" i="18" s="1"/>
  <c r="D22" i="18"/>
  <c r="E22" i="18" s="1"/>
  <c r="D338" i="18"/>
  <c r="E338" i="18" s="1"/>
  <c r="D251" i="18"/>
  <c r="E251" i="18" s="1"/>
  <c r="D303" i="18"/>
  <c r="E303" i="18" s="1"/>
  <c r="D331" i="18"/>
  <c r="E331" i="18" s="1"/>
  <c r="D196" i="18"/>
  <c r="E196" i="18" s="1"/>
  <c r="D147" i="18"/>
  <c r="E147" i="18" s="1"/>
  <c r="D47" i="18"/>
  <c r="E47" i="18" s="1"/>
  <c r="D356" i="18"/>
  <c r="E356" i="18" s="1"/>
  <c r="D75" i="18"/>
  <c r="E75" i="18" s="1"/>
  <c r="D235" i="18"/>
  <c r="E235" i="18" s="1"/>
  <c r="D275" i="18"/>
  <c r="E275" i="18" s="1"/>
  <c r="D58" i="18"/>
  <c r="E58" i="18" s="1"/>
  <c r="D219" i="18"/>
  <c r="E219" i="18" s="1"/>
  <c r="D313" i="18"/>
  <c r="E313" i="18" s="1"/>
  <c r="D116" i="18"/>
  <c r="E116" i="18" s="1"/>
  <c r="D132" i="18"/>
  <c r="E132" i="18" s="1"/>
  <c r="D242" i="18"/>
  <c r="E242" i="18" s="1"/>
  <c r="D371" i="18"/>
  <c r="E371" i="18" s="1"/>
  <c r="D141" i="18"/>
  <c r="E141" i="18" s="1"/>
  <c r="D32" i="18"/>
  <c r="E32" i="18" s="1"/>
  <c r="D246" i="18"/>
  <c r="E246" i="18" s="1"/>
  <c r="D376" i="18"/>
  <c r="E376" i="18" s="1"/>
  <c r="D95" i="18"/>
  <c r="E95" i="18" s="1"/>
  <c r="D20" i="18"/>
  <c r="E20" i="18" s="1"/>
  <c r="I302" i="17"/>
  <c r="J302" i="17"/>
  <c r="I136" i="17"/>
  <c r="J136" i="17"/>
  <c r="J77" i="17"/>
  <c r="I77" i="17"/>
  <c r="Q245" i="20"/>
  <c r="Q266" i="20"/>
  <c r="Q357" i="20"/>
  <c r="Q184" i="20"/>
  <c r="Q213" i="20"/>
  <c r="Q190" i="20"/>
  <c r="Q185" i="20"/>
  <c r="Q259" i="20"/>
  <c r="Q315" i="20"/>
  <c r="Q338" i="20"/>
  <c r="Q268" i="20"/>
  <c r="Q45" i="20"/>
  <c r="Q265" i="20"/>
  <c r="Q17" i="20"/>
  <c r="Q161" i="20"/>
  <c r="Q87" i="20"/>
  <c r="Q216" i="20"/>
  <c r="Q175" i="20"/>
  <c r="Q207" i="20"/>
  <c r="Q253" i="20"/>
  <c r="Q178" i="20"/>
  <c r="Q173" i="20"/>
  <c r="Q299" i="20"/>
  <c r="Q258" i="20"/>
  <c r="Q67" i="20"/>
  <c r="Q164" i="20"/>
  <c r="Q129" i="20"/>
  <c r="Q102" i="20"/>
  <c r="Q134" i="20"/>
  <c r="Q112" i="20"/>
  <c r="Q285" i="20"/>
  <c r="Q243" i="20"/>
  <c r="Q212" i="20"/>
  <c r="Q165" i="20"/>
  <c r="Q217" i="20"/>
  <c r="Q368" i="20"/>
  <c r="Q227" i="20"/>
  <c r="Q83" i="20"/>
  <c r="Q301" i="20"/>
  <c r="Q48" i="20"/>
  <c r="Q272" i="20"/>
  <c r="Q55" i="20"/>
  <c r="Q192" i="20"/>
  <c r="Q215" i="20"/>
  <c r="Q194" i="20"/>
  <c r="Q41" i="20"/>
  <c r="Q46" i="20"/>
  <c r="Q279" i="20"/>
  <c r="Q316" i="20"/>
  <c r="Q297" i="20"/>
  <c r="Q144" i="20"/>
  <c r="V15" i="16"/>
  <c r="P382" i="16"/>
  <c r="P381" i="16"/>
  <c r="P383" i="16"/>
  <c r="F15" i="16"/>
  <c r="H380" i="20"/>
  <c r="J117" i="17"/>
  <c r="I117" i="17"/>
  <c r="I52" i="17"/>
  <c r="J52" i="17"/>
  <c r="J285" i="17"/>
  <c r="I285" i="17"/>
  <c r="S383" i="17"/>
  <c r="R15" i="17"/>
  <c r="S381" i="17"/>
  <c r="S382" i="17"/>
  <c r="G319" i="17"/>
  <c r="BZ319" i="6" s="1"/>
  <c r="AA319" i="17"/>
  <c r="Z319" i="17" s="1"/>
  <c r="Y319" i="17" s="1"/>
  <c r="AD382" i="16"/>
  <c r="AD381" i="16"/>
  <c r="AD383" i="16"/>
  <c r="Y11" i="1"/>
  <c r="AA11" i="1"/>
  <c r="AA5" i="1" s="1"/>
  <c r="I11" i="19" s="1"/>
  <c r="J11" i="19"/>
  <c r="Z11" i="1"/>
  <c r="Z5" i="1" s="1"/>
  <c r="H11" i="19" s="1"/>
  <c r="AG383" i="17"/>
  <c r="AG382" i="17"/>
  <c r="AG381" i="17"/>
  <c r="AF15" i="17"/>
  <c r="AA174" i="17"/>
  <c r="Z174" i="17" s="1"/>
  <c r="Y174" i="17" s="1"/>
  <c r="H174" i="17"/>
  <c r="G174" i="17"/>
  <c r="BZ174" i="6" s="1"/>
  <c r="F382" i="15"/>
  <c r="F383" i="15"/>
  <c r="F9" i="15"/>
  <c r="F381" i="15"/>
  <c r="G15" i="15"/>
  <c r="BX15" i="6" s="1"/>
  <c r="AA15" i="15"/>
  <c r="AK10" i="15"/>
  <c r="AK12" i="15" s="1"/>
  <c r="AK13" i="15" s="1"/>
  <c r="H15" i="15"/>
  <c r="AM10" i="15"/>
  <c r="AA210" i="17"/>
  <c r="Z210" i="17" s="1"/>
  <c r="Y210" i="17" s="1"/>
  <c r="I296" i="17"/>
  <c r="J296" i="17"/>
  <c r="I49" i="17"/>
  <c r="J49" i="17"/>
  <c r="J153" i="17"/>
  <c r="I153" i="17"/>
  <c r="D276" i="18"/>
  <c r="E276" i="18" s="1"/>
  <c r="D329" i="18"/>
  <c r="E329" i="18" s="1"/>
  <c r="D99" i="18"/>
  <c r="E99" i="18" s="1"/>
  <c r="D359" i="18"/>
  <c r="E359" i="18" s="1"/>
  <c r="D137" i="18"/>
  <c r="E137" i="18" s="1"/>
  <c r="D201" i="18"/>
  <c r="E201" i="18" s="1"/>
  <c r="D138" i="18"/>
  <c r="E138" i="18" s="1"/>
  <c r="D74" i="7"/>
  <c r="D101" i="18"/>
  <c r="E101" i="18" s="1"/>
  <c r="D346" i="18"/>
  <c r="E346" i="18" s="1"/>
  <c r="D286" i="18"/>
  <c r="E286" i="18" s="1"/>
  <c r="D255" i="18"/>
  <c r="E255" i="18" s="1"/>
  <c r="D270" i="18"/>
  <c r="E270" i="18" s="1"/>
  <c r="D315" i="18"/>
  <c r="E315" i="18" s="1"/>
  <c r="D266" i="18"/>
  <c r="E266" i="18" s="1"/>
  <c r="D232" i="18"/>
  <c r="E232" i="18" s="1"/>
  <c r="D59" i="18"/>
  <c r="E59" i="18" s="1"/>
  <c r="D153" i="18"/>
  <c r="E153" i="18" s="1"/>
  <c r="D226" i="18"/>
  <c r="E226" i="18" s="1"/>
  <c r="D361" i="18"/>
  <c r="E361" i="18" s="1"/>
  <c r="D27" i="18"/>
  <c r="E27" i="18" s="1"/>
  <c r="D86" i="18"/>
  <c r="E86" i="18" s="1"/>
  <c r="D175" i="18"/>
  <c r="E175" i="18" s="1"/>
  <c r="D274" i="18"/>
  <c r="E274" i="18" s="1"/>
  <c r="D308" i="18"/>
  <c r="E308" i="18" s="1"/>
  <c r="D304" i="18"/>
  <c r="E304" i="18" s="1"/>
  <c r="D334" i="18"/>
  <c r="E334" i="18" s="1"/>
  <c r="D44" i="18"/>
  <c r="E44" i="18" s="1"/>
  <c r="D285" i="18"/>
  <c r="E285" i="18" s="1"/>
  <c r="D343" i="18"/>
  <c r="E343" i="18" s="1"/>
  <c r="D290" i="18"/>
  <c r="E290" i="18" s="1"/>
  <c r="D163" i="18"/>
  <c r="E163" i="18" s="1"/>
  <c r="D112" i="18"/>
  <c r="E112" i="18" s="1"/>
  <c r="D124" i="18"/>
  <c r="E124" i="18" s="1"/>
  <c r="D18" i="18"/>
  <c r="E18" i="18" s="1"/>
  <c r="D197" i="18"/>
  <c r="E197" i="18" s="1"/>
  <c r="D336" i="18"/>
  <c r="E336" i="18" s="1"/>
  <c r="D38" i="18"/>
  <c r="E38" i="18" s="1"/>
  <c r="D161" i="18"/>
  <c r="E161" i="18" s="1"/>
  <c r="D298" i="18"/>
  <c r="E298" i="18" s="1"/>
  <c r="D318" i="18"/>
  <c r="E318" i="18" s="1"/>
  <c r="D309" i="18"/>
  <c r="E309" i="18" s="1"/>
  <c r="D217" i="18"/>
  <c r="E217" i="18" s="1"/>
  <c r="D199" i="18"/>
  <c r="E199" i="18" s="1"/>
  <c r="D152" i="18"/>
  <c r="E152" i="18" s="1"/>
  <c r="D362" i="18"/>
  <c r="E362" i="18" s="1"/>
  <c r="D67" i="18"/>
  <c r="E67" i="18" s="1"/>
  <c r="D30" i="18"/>
  <c r="E30" i="18" s="1"/>
  <c r="D213" i="18"/>
  <c r="E213" i="18" s="1"/>
  <c r="D72" i="18"/>
  <c r="E72" i="18" s="1"/>
  <c r="D136" i="18"/>
  <c r="E136" i="18" s="1"/>
  <c r="D328" i="18"/>
  <c r="E328" i="18" s="1"/>
  <c r="D69" i="18"/>
  <c r="E69" i="18" s="1"/>
  <c r="D105" i="18"/>
  <c r="E105" i="18" s="1"/>
  <c r="D158" i="18"/>
  <c r="E158" i="18" s="1"/>
  <c r="D324" i="18"/>
  <c r="E324" i="18" s="1"/>
  <c r="D130" i="18"/>
  <c r="E130" i="18" s="1"/>
  <c r="D337" i="18"/>
  <c r="E337" i="18" s="1"/>
  <c r="D192" i="18"/>
  <c r="E192" i="18" s="1"/>
  <c r="D108" i="18"/>
  <c r="E108" i="18" s="1"/>
  <c r="D170" i="18"/>
  <c r="E170" i="18" s="1"/>
  <c r="D81" i="18"/>
  <c r="E81" i="18" s="1"/>
  <c r="D96" i="18"/>
  <c r="E96" i="18" s="1"/>
  <c r="D182" i="18"/>
  <c r="E182" i="18" s="1"/>
  <c r="D84" i="18"/>
  <c r="E84" i="18" s="1"/>
  <c r="D240" i="18"/>
  <c r="E240" i="18" s="1"/>
  <c r="D299" i="18"/>
  <c r="E299" i="18" s="1"/>
  <c r="D307" i="18"/>
  <c r="E307" i="18" s="1"/>
  <c r="D230" i="18"/>
  <c r="E230" i="18" s="1"/>
  <c r="D185" i="18"/>
  <c r="E185" i="18" s="1"/>
  <c r="D128" i="18"/>
  <c r="E128" i="18" s="1"/>
  <c r="D225" i="18"/>
  <c r="E225" i="18" s="1"/>
  <c r="D273" i="18"/>
  <c r="E273" i="18" s="1"/>
  <c r="D121" i="18"/>
  <c r="E121" i="18" s="1"/>
  <c r="D198" i="18"/>
  <c r="E198" i="18" s="1"/>
  <c r="D282" i="18"/>
  <c r="E282" i="18" s="1"/>
  <c r="D300" i="18"/>
  <c r="E300" i="18" s="1"/>
  <c r="D78" i="18"/>
  <c r="E78" i="18" s="1"/>
  <c r="D55" i="18"/>
  <c r="E55" i="18" s="1"/>
  <c r="D62" i="18"/>
  <c r="E62" i="18" s="1"/>
  <c r="D347" i="18"/>
  <c r="E347" i="18" s="1"/>
  <c r="D43" i="18"/>
  <c r="E43" i="18" s="1"/>
  <c r="D28" i="18"/>
  <c r="E28" i="18" s="1"/>
  <c r="D252" i="18"/>
  <c r="E252" i="18" s="1"/>
  <c r="D193" i="18"/>
  <c r="E193" i="18" s="1"/>
  <c r="D40" i="18"/>
  <c r="E40" i="18" s="1"/>
  <c r="D239" i="18"/>
  <c r="E239" i="18" s="1"/>
  <c r="D173" i="18"/>
  <c r="E173" i="18" s="1"/>
  <c r="D221" i="18"/>
  <c r="E221" i="18" s="1"/>
  <c r="D262" i="18"/>
  <c r="E262" i="18" s="1"/>
  <c r="D97" i="18"/>
  <c r="E97" i="18" s="1"/>
  <c r="D261" i="18"/>
  <c r="E261" i="18" s="1"/>
  <c r="D109" i="18"/>
  <c r="E109" i="18" s="1"/>
  <c r="D341" i="18"/>
  <c r="E341" i="18" s="1"/>
  <c r="D249" i="18"/>
  <c r="E249" i="18" s="1"/>
  <c r="D117" i="18"/>
  <c r="E117" i="18" s="1"/>
  <c r="D332" i="18"/>
  <c r="E332" i="18" s="1"/>
  <c r="D36" i="18"/>
  <c r="E36" i="18" s="1"/>
  <c r="D162" i="18"/>
  <c r="E162" i="18" s="1"/>
  <c r="D103" i="18"/>
  <c r="E103" i="18" s="1"/>
  <c r="D314" i="18"/>
  <c r="E314" i="18" s="1"/>
  <c r="D48" i="18"/>
  <c r="E48" i="18" s="1"/>
  <c r="D340" i="18"/>
  <c r="E340" i="18" s="1"/>
  <c r="D228" i="18"/>
  <c r="E228" i="18" s="1"/>
  <c r="D17" i="18"/>
  <c r="E17" i="18" s="1"/>
  <c r="D111" i="18"/>
  <c r="E111" i="18" s="1"/>
  <c r="D113" i="18"/>
  <c r="E113" i="18" s="1"/>
  <c r="D19" i="18"/>
  <c r="E19" i="18" s="1"/>
  <c r="D155" i="18"/>
  <c r="E155" i="18" s="1"/>
  <c r="D171" i="18"/>
  <c r="E171" i="18" s="1"/>
  <c r="D326" i="18"/>
  <c r="E326" i="18" s="1"/>
  <c r="D220" i="18"/>
  <c r="E220" i="18" s="1"/>
  <c r="D348" i="18"/>
  <c r="E348" i="18" s="1"/>
  <c r="D222" i="18"/>
  <c r="E222" i="18" s="1"/>
  <c r="D174" i="18"/>
  <c r="E174" i="18" s="1"/>
  <c r="D310" i="18"/>
  <c r="E310" i="18" s="1"/>
  <c r="D139" i="18"/>
  <c r="E139" i="18" s="1"/>
  <c r="D350" i="18"/>
  <c r="E350" i="18" s="1"/>
  <c r="D306" i="18"/>
  <c r="E306" i="18" s="1"/>
  <c r="D134" i="18"/>
  <c r="E134" i="18" s="1"/>
  <c r="D323" i="18"/>
  <c r="E323" i="18" s="1"/>
  <c r="D278" i="18"/>
  <c r="E278" i="18" s="1"/>
  <c r="D25" i="18"/>
  <c r="E25" i="18" s="1"/>
  <c r="D183" i="18"/>
  <c r="E183" i="18" s="1"/>
  <c r="D140" i="18"/>
  <c r="E140" i="18" s="1"/>
  <c r="D94" i="18"/>
  <c r="E94" i="18" s="1"/>
  <c r="D190" i="18"/>
  <c r="E190" i="18" s="1"/>
  <c r="D236" i="18"/>
  <c r="E236" i="18" s="1"/>
  <c r="D372" i="18"/>
  <c r="E372" i="18" s="1"/>
  <c r="D167" i="18"/>
  <c r="E167" i="18" s="1"/>
  <c r="D90" i="18"/>
  <c r="E90" i="18" s="1"/>
  <c r="D41" i="18"/>
  <c r="E41" i="18" s="1"/>
  <c r="D283" i="18"/>
  <c r="E283" i="18" s="1"/>
  <c r="D126" i="18"/>
  <c r="E126" i="18" s="1"/>
  <c r="D125" i="18"/>
  <c r="E125" i="18" s="1"/>
  <c r="D224" i="18"/>
  <c r="E224" i="18" s="1"/>
  <c r="D123" i="18"/>
  <c r="E123" i="18" s="1"/>
  <c r="D238" i="18"/>
  <c r="E238" i="18" s="1"/>
  <c r="D268" i="18"/>
  <c r="E268" i="18" s="1"/>
  <c r="D271" i="18"/>
  <c r="E271" i="18" s="1"/>
  <c r="D207" i="18"/>
  <c r="E207" i="18" s="1"/>
  <c r="D267" i="18"/>
  <c r="E267" i="18" s="1"/>
  <c r="D243" i="18"/>
  <c r="E243" i="18" s="1"/>
  <c r="D85" i="18"/>
  <c r="E85" i="18" s="1"/>
  <c r="D34" i="18"/>
  <c r="E34" i="18" s="1"/>
  <c r="D288" i="18"/>
  <c r="E288" i="18" s="1"/>
  <c r="D320" i="18"/>
  <c r="E320" i="18" s="1"/>
  <c r="D295" i="18"/>
  <c r="E295" i="18" s="1"/>
  <c r="D321" i="18"/>
  <c r="E321" i="18" s="1"/>
  <c r="D327" i="18"/>
  <c r="E327" i="18" s="1"/>
  <c r="D37" i="18"/>
  <c r="E37" i="18" s="1"/>
  <c r="D188" i="18"/>
  <c r="E188" i="18" s="1"/>
  <c r="D330" i="18"/>
  <c r="E330" i="18" s="1"/>
  <c r="D352" i="18"/>
  <c r="E352" i="18" s="1"/>
  <c r="D234" i="18"/>
  <c r="E234" i="18" s="1"/>
  <c r="D279" i="18"/>
  <c r="E279" i="18" s="1"/>
  <c r="D54" i="18"/>
  <c r="E54" i="18" s="1"/>
  <c r="D70" i="18"/>
  <c r="E70" i="18" s="1"/>
  <c r="D335" i="18"/>
  <c r="E335" i="18" s="1"/>
  <c r="D51" i="18"/>
  <c r="E51" i="18" s="1"/>
  <c r="D66" i="18"/>
  <c r="E66" i="18" s="1"/>
  <c r="D68" i="18"/>
  <c r="E68" i="18" s="1"/>
  <c r="D186" i="18"/>
  <c r="E186" i="18" s="1"/>
  <c r="D368" i="18"/>
  <c r="E368" i="18" s="1"/>
  <c r="D39" i="18"/>
  <c r="E39" i="18" s="1"/>
  <c r="D176" i="18"/>
  <c r="E176" i="18" s="1"/>
  <c r="D260" i="18"/>
  <c r="E260" i="18" s="1"/>
  <c r="D189" i="18"/>
  <c r="E189" i="18" s="1"/>
  <c r="D110" i="18"/>
  <c r="E110" i="18" s="1"/>
  <c r="D122" i="18"/>
  <c r="E122" i="18" s="1"/>
  <c r="D374" i="18"/>
  <c r="E374" i="18" s="1"/>
  <c r="D104" i="18"/>
  <c r="E104" i="18" s="1"/>
  <c r="D91" i="18"/>
  <c r="E91" i="18" s="1"/>
  <c r="D311" i="18"/>
  <c r="E311" i="18" s="1"/>
  <c r="D215" i="18"/>
  <c r="E215" i="18" s="1"/>
  <c r="D98" i="18"/>
  <c r="E98" i="18" s="1"/>
  <c r="D293" i="18"/>
  <c r="E293" i="18" s="1"/>
  <c r="D144" i="18"/>
  <c r="E144" i="18" s="1"/>
  <c r="AI15" i="7"/>
  <c r="AE363" i="20"/>
  <c r="AE276" i="20"/>
  <c r="AE348" i="20"/>
  <c r="AE285" i="20"/>
  <c r="AE158" i="20"/>
  <c r="AE188" i="20"/>
  <c r="AE221" i="20"/>
  <c r="AE205" i="20"/>
  <c r="AE332" i="20"/>
  <c r="AE338" i="20"/>
  <c r="AE294" i="20"/>
  <c r="AE173" i="20"/>
  <c r="AE366" i="20"/>
  <c r="AE375" i="20"/>
  <c r="AE235" i="20"/>
  <c r="AE360" i="20"/>
  <c r="AE167" i="20"/>
  <c r="AE139" i="20"/>
  <c r="AE193" i="20"/>
  <c r="AE342" i="20"/>
  <c r="AE280" i="20"/>
  <c r="AE110" i="20"/>
  <c r="AE365" i="20"/>
  <c r="AE120" i="20"/>
  <c r="AE378" i="20"/>
  <c r="AE192" i="20"/>
  <c r="AE356" i="20"/>
  <c r="AE132" i="20"/>
  <c r="AE277" i="20"/>
  <c r="AE339" i="20"/>
  <c r="AE105" i="20"/>
  <c r="AE290" i="20"/>
  <c r="AE327" i="20"/>
  <c r="AE149" i="20"/>
  <c r="AE162" i="20"/>
  <c r="AE159" i="20"/>
  <c r="AE134" i="20"/>
  <c r="AE196" i="20"/>
  <c r="AE206" i="20"/>
  <c r="AE185" i="20"/>
  <c r="AE372" i="20"/>
  <c r="AE346" i="20"/>
  <c r="AE288" i="20"/>
  <c r="AE229" i="20"/>
  <c r="AE279" i="20"/>
  <c r="AE373" i="20"/>
  <c r="AE275" i="20"/>
  <c r="AE165" i="20"/>
  <c r="AE145" i="20"/>
  <c r="AE186" i="20"/>
  <c r="AE308" i="20"/>
  <c r="AE258" i="20"/>
  <c r="AE161" i="20"/>
  <c r="AE117" i="20"/>
  <c r="AE239" i="20"/>
  <c r="AE130" i="20"/>
  <c r="AE252" i="20"/>
  <c r="AE148" i="20"/>
  <c r="AE222" i="20"/>
  <c r="AE220" i="20"/>
  <c r="AE358" i="20"/>
  <c r="AE305" i="20"/>
  <c r="AE203" i="20"/>
  <c r="AE326" i="20"/>
  <c r="AE217" i="20"/>
  <c r="AE177" i="20"/>
  <c r="AE310" i="20"/>
  <c r="AE146" i="20"/>
  <c r="AE299" i="20"/>
  <c r="AE312" i="20"/>
  <c r="AE335" i="20"/>
  <c r="AE319" i="20"/>
  <c r="AE240" i="20"/>
  <c r="AE230" i="20"/>
  <c r="AE140" i="20"/>
  <c r="AE287" i="20"/>
  <c r="AE106" i="20"/>
  <c r="AE350" i="20"/>
  <c r="AE156" i="20"/>
  <c r="AE264" i="20"/>
  <c r="AE108" i="20"/>
  <c r="AE253" i="20"/>
  <c r="AE184" i="20"/>
  <c r="AE166" i="20"/>
  <c r="AE153" i="20"/>
  <c r="AE238" i="20"/>
  <c r="AE225" i="20"/>
  <c r="AE283" i="20"/>
  <c r="AE119" i="20"/>
  <c r="AE260" i="20"/>
  <c r="AE104" i="20"/>
  <c r="AE154" i="20"/>
  <c r="AE307" i="20"/>
  <c r="AE151" i="20"/>
  <c r="AE292" i="20"/>
  <c r="AE137" i="20"/>
  <c r="AE107" i="20"/>
  <c r="AE202" i="20"/>
  <c r="AE218" i="20"/>
  <c r="AE160" i="20"/>
  <c r="AE336" i="20"/>
  <c r="AE116" i="20"/>
  <c r="AE313" i="20"/>
  <c r="AE340" i="20"/>
  <c r="AE144" i="20"/>
  <c r="AE200" i="20"/>
  <c r="AE278" i="20"/>
  <c r="AE248" i="20"/>
  <c r="AE135" i="20"/>
  <c r="AE320" i="20"/>
  <c r="AE216" i="20"/>
  <c r="AE228" i="20"/>
  <c r="AE233" i="20"/>
  <c r="AE355" i="20"/>
  <c r="AE168" i="20"/>
  <c r="AE314" i="20"/>
  <c r="AE128" i="20"/>
  <c r="AE323" i="20"/>
  <c r="AE245" i="20"/>
  <c r="AE367" i="20"/>
  <c r="AE272" i="20"/>
  <c r="AE195" i="20"/>
  <c r="AE142" i="20"/>
  <c r="AE254" i="20"/>
  <c r="AE180" i="20"/>
  <c r="AE268" i="20"/>
  <c r="AE207" i="20"/>
  <c r="AE337" i="20"/>
  <c r="AE204" i="20"/>
  <c r="AE351" i="20"/>
  <c r="AE255" i="20"/>
  <c r="AE261" i="20"/>
  <c r="AE328" i="20"/>
  <c r="AE172" i="20"/>
  <c r="AE333" i="20"/>
  <c r="AE368" i="20"/>
  <c r="AE315" i="20"/>
  <c r="AE198" i="20"/>
  <c r="AE324" i="20"/>
  <c r="Q136" i="20"/>
  <c r="Q89" i="20"/>
  <c r="Q206" i="20"/>
  <c r="Q232" i="20"/>
  <c r="Q233" i="20"/>
  <c r="Q238" i="20"/>
  <c r="Q220" i="20"/>
  <c r="Q53" i="20"/>
  <c r="Q336" i="20"/>
  <c r="Q74" i="20"/>
  <c r="Q204" i="20"/>
  <c r="Q117" i="20"/>
  <c r="Q356" i="20"/>
  <c r="Q24" i="20"/>
  <c r="Q116" i="20"/>
  <c r="Q286" i="20"/>
  <c r="Q231" i="20"/>
  <c r="Q167" i="20"/>
  <c r="Q329" i="20"/>
  <c r="Q377" i="20"/>
  <c r="Q140" i="20"/>
  <c r="Q327" i="20"/>
  <c r="Q115" i="20"/>
  <c r="Q277" i="20"/>
  <c r="Q31" i="20"/>
  <c r="Q289" i="20"/>
  <c r="Q152" i="20"/>
  <c r="Q143" i="20"/>
  <c r="Q235" i="20"/>
  <c r="Q224" i="20"/>
  <c r="Q221" i="20"/>
  <c r="Q312" i="20"/>
  <c r="Q226" i="20"/>
  <c r="Q52" i="20"/>
  <c r="Q187" i="20"/>
  <c r="Q33" i="20"/>
  <c r="Q29" i="20"/>
  <c r="Q60" i="20"/>
  <c r="Q95" i="20"/>
  <c r="Q38" i="20"/>
  <c r="Q319" i="20"/>
  <c r="Q353" i="20"/>
  <c r="Q209" i="20"/>
  <c r="Q324" i="20"/>
  <c r="Q349" i="20"/>
  <c r="AG276" i="18"/>
  <c r="AF276" i="18" s="1"/>
  <c r="AD276" i="18" s="1"/>
  <c r="I295" i="17"/>
  <c r="J295" i="17"/>
  <c r="I53" i="17"/>
  <c r="J53" i="17"/>
  <c r="I259" i="17"/>
  <c r="J259" i="17"/>
  <c r="AD206" i="18"/>
  <c r="J242" i="17"/>
  <c r="I242" i="17"/>
  <c r="Z379" i="17"/>
  <c r="Y379" i="17" s="1"/>
  <c r="AL9" i="16"/>
  <c r="Y166" i="17"/>
  <c r="D166" i="18" l="1"/>
  <c r="E166" i="18" s="1"/>
  <c r="F166" i="18" s="1"/>
  <c r="G166" i="18" s="1"/>
  <c r="CA166" i="6" s="1"/>
  <c r="D74" i="18"/>
  <c r="E74" i="18" s="1"/>
  <c r="F74" i="18" s="1"/>
  <c r="H74" i="18" s="1"/>
  <c r="D349" i="18"/>
  <c r="E349" i="18" s="1"/>
  <c r="F349" i="18" s="1"/>
  <c r="H349" i="18" s="1"/>
  <c r="D73" i="7"/>
  <c r="AD299" i="18"/>
  <c r="D70" i="7"/>
  <c r="AD191" i="18"/>
  <c r="AH11" i="7"/>
  <c r="U11" i="20" s="1"/>
  <c r="AD238" i="18"/>
  <c r="U12" i="20"/>
  <c r="D71" i="7"/>
  <c r="AD377" i="18"/>
  <c r="D68" i="7"/>
  <c r="D79" i="7"/>
  <c r="AD354" i="18"/>
  <c r="AD252" i="18"/>
  <c r="AD283" i="18"/>
  <c r="AD286" i="18"/>
  <c r="AD314" i="18"/>
  <c r="T379" i="18"/>
  <c r="S379" i="18" s="1"/>
  <c r="R379" i="18" s="1"/>
  <c r="P379" i="18" s="1"/>
  <c r="AD309" i="18"/>
  <c r="AD292" i="18"/>
  <c r="V333" i="18"/>
  <c r="D76" i="7"/>
  <c r="AD189" i="18"/>
  <c r="AD199" i="18"/>
  <c r="AD176" i="18"/>
  <c r="AD218" i="18"/>
  <c r="AD177" i="18"/>
  <c r="AD183" i="18"/>
  <c r="AD248" i="18"/>
  <c r="F134" i="18"/>
  <c r="G134" i="18" s="1"/>
  <c r="CA134" i="6" s="1"/>
  <c r="F222" i="18"/>
  <c r="H222" i="18" s="1"/>
  <c r="F220" i="18"/>
  <c r="H220" i="18" s="1"/>
  <c r="F171" i="18"/>
  <c r="AA171" i="18" s="1"/>
  <c r="Z171" i="18" s="1"/>
  <c r="Y171" i="18" s="1"/>
  <c r="F111" i="18"/>
  <c r="G111" i="18" s="1"/>
  <c r="CA111" i="6" s="1"/>
  <c r="F228" i="18"/>
  <c r="G228" i="18" s="1"/>
  <c r="CA228" i="6" s="1"/>
  <c r="F103" i="18"/>
  <c r="H103" i="18" s="1"/>
  <c r="F249" i="18"/>
  <c r="G249" i="18" s="1"/>
  <c r="CA249" i="6" s="1"/>
  <c r="F109" i="18"/>
  <c r="G109" i="18" s="1"/>
  <c r="CA109" i="6" s="1"/>
  <c r="F97" i="18"/>
  <c r="AA97" i="18" s="1"/>
  <c r="Z97" i="18" s="1"/>
  <c r="Y97" i="18" s="1"/>
  <c r="F239" i="18"/>
  <c r="G239" i="18" s="1"/>
  <c r="CA239" i="6" s="1"/>
  <c r="F193" i="18"/>
  <c r="G193" i="18" s="1"/>
  <c r="CA193" i="6" s="1"/>
  <c r="F28" i="18"/>
  <c r="G28" i="18" s="1"/>
  <c r="CA28" i="6" s="1"/>
  <c r="F300" i="18"/>
  <c r="AA300" i="18" s="1"/>
  <c r="Z300" i="18" s="1"/>
  <c r="Y300" i="18" s="1"/>
  <c r="F128" i="18"/>
  <c r="AA128" i="18" s="1"/>
  <c r="Z128" i="18" s="1"/>
  <c r="Y128" i="18" s="1"/>
  <c r="F84" i="18"/>
  <c r="H84" i="18" s="1"/>
  <c r="F192" i="18"/>
  <c r="H192" i="18" s="1"/>
  <c r="F130" i="18"/>
  <c r="AA130" i="18" s="1"/>
  <c r="Z130" i="18" s="1"/>
  <c r="Y130" i="18" s="1"/>
  <c r="F158" i="18"/>
  <c r="G158" i="18" s="1"/>
  <c r="CA158" i="6" s="1"/>
  <c r="F136" i="18"/>
  <c r="G136" i="18" s="1"/>
  <c r="CA136" i="6" s="1"/>
  <c r="F213" i="18"/>
  <c r="H213" i="18" s="1"/>
  <c r="F67" i="18"/>
  <c r="AA67" i="18" s="1"/>
  <c r="Z67" i="18" s="1"/>
  <c r="Y67" i="18" s="1"/>
  <c r="F152" i="18"/>
  <c r="H152" i="18" s="1"/>
  <c r="F112" i="18"/>
  <c r="G112" i="18" s="1"/>
  <c r="CA112" i="6" s="1"/>
  <c r="F290" i="18"/>
  <c r="H290" i="18" s="1"/>
  <c r="F266" i="18"/>
  <c r="AA266" i="18" s="1"/>
  <c r="Z266" i="18" s="1"/>
  <c r="Y266" i="18" s="1"/>
  <c r="F286" i="18"/>
  <c r="AA286" i="18" s="1"/>
  <c r="Z286" i="18" s="1"/>
  <c r="Y286" i="18" s="1"/>
  <c r="F137" i="18"/>
  <c r="G137" i="18" s="1"/>
  <c r="CA137" i="6" s="1"/>
  <c r="F99" i="18"/>
  <c r="H99" i="18" s="1"/>
  <c r="AD294" i="18"/>
  <c r="AD315" i="18"/>
  <c r="AD120" i="18"/>
  <c r="AD179" i="18"/>
  <c r="AD255" i="18"/>
  <c r="AD262" i="18"/>
  <c r="AD168" i="18"/>
  <c r="AD290" i="18"/>
  <c r="AD267" i="18"/>
  <c r="AD240" i="18"/>
  <c r="AD347" i="18"/>
  <c r="AD241" i="18"/>
  <c r="AD129" i="18"/>
  <c r="AD257" i="18"/>
  <c r="AD112" i="18"/>
  <c r="AD148" i="18"/>
  <c r="AD224" i="18"/>
  <c r="AD147" i="18"/>
  <c r="AD277" i="18"/>
  <c r="G210" i="17"/>
  <c r="BZ210" i="6" s="1"/>
  <c r="J333" i="17"/>
  <c r="J60" i="17"/>
  <c r="F246" i="18"/>
  <c r="AA246" i="18" s="1"/>
  <c r="Z246" i="18" s="1"/>
  <c r="Y246" i="18" s="1"/>
  <c r="F371" i="18"/>
  <c r="AA371" i="18" s="1"/>
  <c r="Z371" i="18" s="1"/>
  <c r="Y371" i="18" s="1"/>
  <c r="F275" i="18"/>
  <c r="H275" i="18" s="1"/>
  <c r="F235" i="18"/>
  <c r="H235" i="18" s="1"/>
  <c r="F47" i="18"/>
  <c r="H47" i="18" s="1"/>
  <c r="F196" i="18"/>
  <c r="G196" i="18" s="1"/>
  <c r="CA196" i="6" s="1"/>
  <c r="F331" i="18"/>
  <c r="H331" i="18" s="1"/>
  <c r="F102" i="18"/>
  <c r="AA102" i="18" s="1"/>
  <c r="Z102" i="18" s="1"/>
  <c r="Y102" i="18" s="1"/>
  <c r="F53" i="18"/>
  <c r="H53" i="18" s="1"/>
  <c r="F83" i="18"/>
  <c r="H83" i="18" s="1"/>
  <c r="F159" i="18"/>
  <c r="H159" i="18" s="1"/>
  <c r="F289" i="18"/>
  <c r="AA289" i="18" s="1"/>
  <c r="Z289" i="18" s="1"/>
  <c r="Y289" i="18" s="1"/>
  <c r="F56" i="18"/>
  <c r="AA56" i="18" s="1"/>
  <c r="Z56" i="18" s="1"/>
  <c r="Y56" i="18" s="1"/>
  <c r="F364" i="18"/>
  <c r="H364" i="18" s="1"/>
  <c r="F365" i="18"/>
  <c r="AA365" i="18" s="1"/>
  <c r="Z365" i="18" s="1"/>
  <c r="Y365" i="18" s="1"/>
  <c r="F292" i="18"/>
  <c r="AA292" i="18" s="1"/>
  <c r="Z292" i="18" s="1"/>
  <c r="Y292" i="18" s="1"/>
  <c r="F50" i="18"/>
  <c r="H50" i="18" s="1"/>
  <c r="F312" i="18"/>
  <c r="H312" i="18" s="1"/>
  <c r="F248" i="18"/>
  <c r="AA248" i="18" s="1"/>
  <c r="Z248" i="18" s="1"/>
  <c r="Y248" i="18" s="1"/>
  <c r="F146" i="18"/>
  <c r="G146" i="18" s="1"/>
  <c r="CA146" i="6" s="1"/>
  <c r="F168" i="18"/>
  <c r="H168" i="18" s="1"/>
  <c r="F154" i="18"/>
  <c r="H154" i="18" s="1"/>
  <c r="F244" i="18"/>
  <c r="H244" i="18" s="1"/>
  <c r="F20" i="18"/>
  <c r="AA20" i="18" s="1"/>
  <c r="Z20" i="18" s="1"/>
  <c r="Y20" i="18" s="1"/>
  <c r="F242" i="18"/>
  <c r="AA242" i="18" s="1"/>
  <c r="Z242" i="18" s="1"/>
  <c r="Y242" i="18" s="1"/>
  <c r="F303" i="18"/>
  <c r="G303" i="18" s="1"/>
  <c r="CA303" i="6" s="1"/>
  <c r="F107" i="18"/>
  <c r="H107" i="18" s="1"/>
  <c r="F64" i="18"/>
  <c r="AA64" i="18" s="1"/>
  <c r="Z64" i="18" s="1"/>
  <c r="Y64" i="18" s="1"/>
  <c r="F263" i="18"/>
  <c r="H263" i="18" s="1"/>
  <c r="F202" i="18"/>
  <c r="H202" i="18" s="1"/>
  <c r="G349" i="18"/>
  <c r="CA349" i="6" s="1"/>
  <c r="G74" i="18"/>
  <c r="CA74" i="6" s="1"/>
  <c r="F98" i="18"/>
  <c r="G98" i="18" s="1"/>
  <c r="CA98" i="6" s="1"/>
  <c r="F122" i="18"/>
  <c r="AA122" i="18" s="1"/>
  <c r="Z122" i="18" s="1"/>
  <c r="Y122" i="18" s="1"/>
  <c r="F176" i="18"/>
  <c r="AA176" i="18" s="1"/>
  <c r="Z176" i="18" s="1"/>
  <c r="Y176" i="18" s="1"/>
  <c r="F368" i="18"/>
  <c r="G368" i="18" s="1"/>
  <c r="CA368" i="6" s="1"/>
  <c r="F68" i="18"/>
  <c r="H68" i="18" s="1"/>
  <c r="F70" i="18"/>
  <c r="G70" i="18" s="1"/>
  <c r="CA70" i="6" s="1"/>
  <c r="F279" i="18"/>
  <c r="G279" i="18" s="1"/>
  <c r="CA279" i="6" s="1"/>
  <c r="F352" i="18"/>
  <c r="G352" i="18" s="1"/>
  <c r="CA352" i="6" s="1"/>
  <c r="F295" i="18"/>
  <c r="H295" i="18" s="1"/>
  <c r="F85" i="18"/>
  <c r="G85" i="18" s="1"/>
  <c r="CA85" i="6" s="1"/>
  <c r="F238" i="18"/>
  <c r="AA238" i="18" s="1"/>
  <c r="Z238" i="18" s="1"/>
  <c r="Y238" i="18" s="1"/>
  <c r="F283" i="18"/>
  <c r="G283" i="18" s="1"/>
  <c r="CA283" i="6" s="1"/>
  <c r="F90" i="18"/>
  <c r="H90" i="18" s="1"/>
  <c r="F376" i="18"/>
  <c r="H376" i="18" s="1"/>
  <c r="F49" i="18"/>
  <c r="AA49" i="18" s="1"/>
  <c r="Z49" i="18" s="1"/>
  <c r="Y49" i="18" s="1"/>
  <c r="F284" i="18"/>
  <c r="H284" i="18" s="1"/>
  <c r="F82" i="18"/>
  <c r="G82" i="18" s="1"/>
  <c r="CA82" i="6" s="1"/>
  <c r="F345" i="18"/>
  <c r="H345" i="18" s="1"/>
  <c r="F370" i="18"/>
  <c r="AA370" i="18" s="1"/>
  <c r="Z370" i="18" s="1"/>
  <c r="Y370" i="18" s="1"/>
  <c r="F367" i="18"/>
  <c r="G367" i="18" s="1"/>
  <c r="CA367" i="6" s="1"/>
  <c r="F142" i="18"/>
  <c r="G142" i="18" s="1"/>
  <c r="CA142" i="6" s="1"/>
  <c r="F358" i="18"/>
  <c r="AA358" i="18" s="1"/>
  <c r="Z358" i="18" s="1"/>
  <c r="Y358" i="18" s="1"/>
  <c r="F253" i="18"/>
  <c r="H253" i="18" s="1"/>
  <c r="F205" i="18"/>
  <c r="G205" i="18" s="1"/>
  <c r="CA205" i="6" s="1"/>
  <c r="F360" i="18"/>
  <c r="H360" i="18" s="1"/>
  <c r="F165" i="18"/>
  <c r="AA165" i="18" s="1"/>
  <c r="Z165" i="18" s="1"/>
  <c r="Y165" i="18" s="1"/>
  <c r="F46" i="18"/>
  <c r="H46" i="18" s="1"/>
  <c r="F200" i="18"/>
  <c r="AA200" i="18" s="1"/>
  <c r="Z200" i="18" s="1"/>
  <c r="Y200" i="18" s="1"/>
  <c r="F316" i="18"/>
  <c r="H316" i="18" s="1"/>
  <c r="F71" i="18"/>
  <c r="G71" i="18" s="1"/>
  <c r="CA71" i="6" s="1"/>
  <c r="F23" i="18"/>
  <c r="G23" i="18" s="1"/>
  <c r="CA23" i="6" s="1"/>
  <c r="F80" i="18"/>
  <c r="G80" i="18" s="1"/>
  <c r="CA80" i="6" s="1"/>
  <c r="F218" i="18"/>
  <c r="G218" i="18" s="1"/>
  <c r="CA218" i="6" s="1"/>
  <c r="F184" i="18"/>
  <c r="G184" i="18" s="1"/>
  <c r="CA184" i="6" s="1"/>
  <c r="F179" i="18"/>
  <c r="H179" i="18" s="1"/>
  <c r="F233" i="18"/>
  <c r="G233" i="18" s="1"/>
  <c r="CA233" i="6" s="1"/>
  <c r="F211" i="18"/>
  <c r="G211" i="18" s="1"/>
  <c r="CA211" i="6" s="1"/>
  <c r="F178" i="18"/>
  <c r="G178" i="18" s="1"/>
  <c r="CA178" i="6" s="1"/>
  <c r="F258" i="18"/>
  <c r="H258" i="18" s="1"/>
  <c r="J258" i="18" s="1"/>
  <c r="F135" i="18"/>
  <c r="H135" i="18" s="1"/>
  <c r="J135" i="18" s="1"/>
  <c r="H166" i="18"/>
  <c r="I166" i="18" s="1"/>
  <c r="F208" i="18"/>
  <c r="G208" i="18" s="1"/>
  <c r="CA208" i="6" s="1"/>
  <c r="F203" i="18"/>
  <c r="G203" i="18" s="1"/>
  <c r="CA203" i="6" s="1"/>
  <c r="F157" i="18"/>
  <c r="H157" i="18" s="1"/>
  <c r="F322" i="18"/>
  <c r="G322" i="18" s="1"/>
  <c r="CA322" i="6" s="1"/>
  <c r="F156" i="18"/>
  <c r="G156" i="18" s="1"/>
  <c r="CA156" i="6" s="1"/>
  <c r="F294" i="18"/>
  <c r="AA294" i="18" s="1"/>
  <c r="Z294" i="18" s="1"/>
  <c r="Y294" i="18" s="1"/>
  <c r="F16" i="18"/>
  <c r="G16" i="18" s="1"/>
  <c r="CA16" i="6" s="1"/>
  <c r="F259" i="18"/>
  <c r="G259" i="18" s="1"/>
  <c r="CA259" i="6" s="1"/>
  <c r="F26" i="18"/>
  <c r="G26" i="18" s="1"/>
  <c r="CA26" i="6" s="1"/>
  <c r="F231" i="18"/>
  <c r="H231" i="18" s="1"/>
  <c r="F45" i="18"/>
  <c r="H45" i="18" s="1"/>
  <c r="F21" i="18"/>
  <c r="AA21" i="18" s="1"/>
  <c r="Z21" i="18" s="1"/>
  <c r="Y21" i="18" s="1"/>
  <c r="F342" i="18"/>
  <c r="G342" i="18" s="1"/>
  <c r="CA342" i="6" s="1"/>
  <c r="F296" i="18"/>
  <c r="G296" i="18" s="1"/>
  <c r="CA296" i="6" s="1"/>
  <c r="F206" i="18"/>
  <c r="AA206" i="18" s="1"/>
  <c r="Z206" i="18" s="1"/>
  <c r="Y206" i="18" s="1"/>
  <c r="F339" i="18"/>
  <c r="G339" i="18" s="1"/>
  <c r="CA339" i="6" s="1"/>
  <c r="F195" i="18"/>
  <c r="H195" i="18" s="1"/>
  <c r="F247" i="18"/>
  <c r="AA247" i="18" s="1"/>
  <c r="Z247" i="18" s="1"/>
  <c r="Y247" i="18" s="1"/>
  <c r="F257" i="18"/>
  <c r="AA257" i="18" s="1"/>
  <c r="Z257" i="18" s="1"/>
  <c r="Y257" i="18" s="1"/>
  <c r="F52" i="18"/>
  <c r="H52" i="18" s="1"/>
  <c r="F89" i="18"/>
  <c r="H89" i="18" s="1"/>
  <c r="F118" i="18"/>
  <c r="AA118" i="18" s="1"/>
  <c r="Z118" i="18" s="1"/>
  <c r="Y118" i="18" s="1"/>
  <c r="F277" i="18"/>
  <c r="G277" i="18" s="1"/>
  <c r="CA277" i="6" s="1"/>
  <c r="F73" i="18"/>
  <c r="AA73" i="18" s="1"/>
  <c r="Z73" i="18" s="1"/>
  <c r="Y73" i="18" s="1"/>
  <c r="F204" i="18"/>
  <c r="G204" i="18" s="1"/>
  <c r="CA204" i="6" s="1"/>
  <c r="F42" i="18"/>
  <c r="AA42" i="18" s="1"/>
  <c r="Z42" i="18" s="1"/>
  <c r="Y42" i="18" s="1"/>
  <c r="F229" i="18"/>
  <c r="G229" i="18" s="1"/>
  <c r="CA229" i="6" s="1"/>
  <c r="F65" i="18"/>
  <c r="H65" i="18" s="1"/>
  <c r="F100" i="18"/>
  <c r="G100" i="18" s="1"/>
  <c r="CA100" i="6" s="1"/>
  <c r="F35" i="18"/>
  <c r="H35" i="18" s="1"/>
  <c r="F194" i="18"/>
  <c r="H194" i="18" s="1"/>
  <c r="F92" i="18"/>
  <c r="AA92" i="18" s="1"/>
  <c r="Z92" i="18" s="1"/>
  <c r="Y92" i="18" s="1"/>
  <c r="F269" i="18"/>
  <c r="AA269" i="18" s="1"/>
  <c r="Z269" i="18" s="1"/>
  <c r="Y269" i="18" s="1"/>
  <c r="F120" i="18"/>
  <c r="H120" i="18" s="1"/>
  <c r="F172" i="18"/>
  <c r="AA172" i="18" s="1"/>
  <c r="Z172" i="18" s="1"/>
  <c r="Y172" i="18" s="1"/>
  <c r="G241" i="17"/>
  <c r="BZ241" i="6" s="1"/>
  <c r="AA241" i="17"/>
  <c r="Z241" i="17" s="1"/>
  <c r="Y241" i="17" s="1"/>
  <c r="AL6" i="17" s="1"/>
  <c r="F141" i="18"/>
  <c r="G141" i="18" s="1"/>
  <c r="CA141" i="6" s="1"/>
  <c r="F116" i="18"/>
  <c r="G116" i="18" s="1"/>
  <c r="CA116" i="6" s="1"/>
  <c r="F357" i="18"/>
  <c r="G357" i="18" s="1"/>
  <c r="CA357" i="6" s="1"/>
  <c r="F214" i="18"/>
  <c r="H214" i="18" s="1"/>
  <c r="F106" i="18"/>
  <c r="H106" i="18" s="1"/>
  <c r="F265" i="18"/>
  <c r="G265" i="18" s="1"/>
  <c r="CA265" i="6" s="1"/>
  <c r="F148" i="18"/>
  <c r="G148" i="18" s="1"/>
  <c r="CA148" i="6" s="1"/>
  <c r="F291" i="18"/>
  <c r="H291" i="18" s="1"/>
  <c r="F76" i="18"/>
  <c r="G76" i="18" s="1"/>
  <c r="CA76" i="6" s="1"/>
  <c r="F24" i="18"/>
  <c r="H24" i="18" s="1"/>
  <c r="F87" i="18"/>
  <c r="G87" i="18" s="1"/>
  <c r="CA87" i="6" s="1"/>
  <c r="F377" i="18"/>
  <c r="H377" i="18" s="1"/>
  <c r="F344" i="18"/>
  <c r="H344" i="18" s="1"/>
  <c r="F366" i="18"/>
  <c r="H366" i="18" s="1"/>
  <c r="F223" i="18"/>
  <c r="H223" i="18" s="1"/>
  <c r="F114" i="18"/>
  <c r="H114" i="18" s="1"/>
  <c r="F325" i="18"/>
  <c r="G325" i="18" s="1"/>
  <c r="CA325" i="6" s="1"/>
  <c r="F93" i="18"/>
  <c r="G93" i="18" s="1"/>
  <c r="CA93" i="6" s="1"/>
  <c r="F131" i="18"/>
  <c r="AA131" i="18" s="1"/>
  <c r="Z131" i="18" s="1"/>
  <c r="Y131" i="18" s="1"/>
  <c r="F191" i="18"/>
  <c r="F227" i="18"/>
  <c r="H227" i="18" s="1"/>
  <c r="J227" i="18" s="1"/>
  <c r="AD15" i="18"/>
  <c r="V302" i="18"/>
  <c r="F139" i="18"/>
  <c r="H139" i="18" s="1"/>
  <c r="F174" i="18"/>
  <c r="AA174" i="18" s="1"/>
  <c r="Z174" i="18" s="1"/>
  <c r="Y174" i="18" s="1"/>
  <c r="F155" i="18"/>
  <c r="H155" i="18" s="1"/>
  <c r="F17" i="18"/>
  <c r="H17" i="18" s="1"/>
  <c r="F340" i="18"/>
  <c r="H340" i="18" s="1"/>
  <c r="F117" i="18"/>
  <c r="H117" i="18" s="1"/>
  <c r="F341" i="18"/>
  <c r="G341" i="18" s="1"/>
  <c r="CA341" i="6" s="1"/>
  <c r="F261" i="18"/>
  <c r="F173" i="18"/>
  <c r="AA173" i="18" s="1"/>
  <c r="Z173" i="18" s="1"/>
  <c r="Y173" i="18" s="1"/>
  <c r="F252" i="18"/>
  <c r="F43" i="18"/>
  <c r="G43" i="18" s="1"/>
  <c r="CA43" i="6" s="1"/>
  <c r="F62" i="18"/>
  <c r="AA62" i="18" s="1"/>
  <c r="Z62" i="18" s="1"/>
  <c r="Y62" i="18" s="1"/>
  <c r="F282" i="18"/>
  <c r="G282" i="18" s="1"/>
  <c r="CA282" i="6" s="1"/>
  <c r="F225" i="18"/>
  <c r="H225" i="18" s="1"/>
  <c r="F81" i="18"/>
  <c r="AA81" i="18" s="1"/>
  <c r="Z81" i="18" s="1"/>
  <c r="Y81" i="18" s="1"/>
  <c r="F324" i="18"/>
  <c r="H324" i="18" s="1"/>
  <c r="F105" i="18"/>
  <c r="H105" i="18" s="1"/>
  <c r="I105" i="18" s="1"/>
  <c r="F328" i="18"/>
  <c r="G328" i="18" s="1"/>
  <c r="CA328" i="6" s="1"/>
  <c r="F362" i="18"/>
  <c r="G362" i="18" s="1"/>
  <c r="CA362" i="6" s="1"/>
  <c r="F309" i="18"/>
  <c r="G309" i="18" s="1"/>
  <c r="CA309" i="6" s="1"/>
  <c r="F38" i="18"/>
  <c r="AA38" i="18" s="1"/>
  <c r="Z38" i="18" s="1"/>
  <c r="Y38" i="18" s="1"/>
  <c r="F197" i="18"/>
  <c r="G197" i="18" s="1"/>
  <c r="CA197" i="6" s="1"/>
  <c r="F124" i="18"/>
  <c r="H124" i="18" s="1"/>
  <c r="F44" i="18"/>
  <c r="F153" i="18"/>
  <c r="H153" i="18" s="1"/>
  <c r="F232" i="18"/>
  <c r="F315" i="18"/>
  <c r="H315" i="18" s="1"/>
  <c r="F255" i="18"/>
  <c r="G255" i="18" s="1"/>
  <c r="CA255" i="6" s="1"/>
  <c r="F346" i="18"/>
  <c r="G346" i="18" s="1"/>
  <c r="CA346" i="6" s="1"/>
  <c r="F201" i="18"/>
  <c r="G201" i="18" s="1"/>
  <c r="CA201" i="6" s="1"/>
  <c r="AD293" i="18"/>
  <c r="AD227" i="18"/>
  <c r="AA227" i="18" s="1"/>
  <c r="Z227" i="18" s="1"/>
  <c r="Y227" i="18" s="1"/>
  <c r="F75" i="18"/>
  <c r="AA75" i="18" s="1"/>
  <c r="Z75" i="18" s="1"/>
  <c r="Y75" i="18" s="1"/>
  <c r="F297" i="18"/>
  <c r="H297" i="18" s="1"/>
  <c r="F373" i="18"/>
  <c r="H373" i="18" s="1"/>
  <c r="F264" i="18"/>
  <c r="AA264" i="18" s="1"/>
  <c r="Z264" i="18" s="1"/>
  <c r="Y264" i="18" s="1"/>
  <c r="F354" i="18"/>
  <c r="H354" i="18" s="1"/>
  <c r="F353" i="18"/>
  <c r="F256" i="18"/>
  <c r="G256" i="18" s="1"/>
  <c r="CA256" i="6" s="1"/>
  <c r="U382" i="18"/>
  <c r="F378" i="18"/>
  <c r="G378" i="18" s="1"/>
  <c r="CA378" i="6" s="1"/>
  <c r="F31" i="18"/>
  <c r="AA31" i="18" s="1"/>
  <c r="Z31" i="18" s="1"/>
  <c r="Y31" i="18" s="1"/>
  <c r="F150" i="18"/>
  <c r="H150" i="18" s="1"/>
  <c r="F143" i="18"/>
  <c r="G143" i="18" s="1"/>
  <c r="CA143" i="6" s="1"/>
  <c r="F177" i="18"/>
  <c r="G177" i="18" s="1"/>
  <c r="CA177" i="6" s="1"/>
  <c r="I352" i="17"/>
  <c r="AD367" i="18"/>
  <c r="AD352" i="18"/>
  <c r="F144" i="18"/>
  <c r="G144" i="18" s="1"/>
  <c r="CA144" i="6" s="1"/>
  <c r="F311" i="18"/>
  <c r="G311" i="18" s="1"/>
  <c r="CA311" i="6" s="1"/>
  <c r="F104" i="18"/>
  <c r="H104" i="18" s="1"/>
  <c r="F189" i="18"/>
  <c r="G189" i="18" s="1"/>
  <c r="CA189" i="6" s="1"/>
  <c r="F51" i="18"/>
  <c r="H51" i="18" s="1"/>
  <c r="F188" i="18"/>
  <c r="G188" i="18" s="1"/>
  <c r="CA188" i="6" s="1"/>
  <c r="F327" i="18"/>
  <c r="H327" i="18" s="1"/>
  <c r="F288" i="18"/>
  <c r="H288" i="18" s="1"/>
  <c r="F267" i="18"/>
  <c r="G267" i="18" s="1"/>
  <c r="CA267" i="6" s="1"/>
  <c r="F271" i="18"/>
  <c r="H271" i="18" s="1"/>
  <c r="F125" i="18"/>
  <c r="H125" i="18" s="1"/>
  <c r="F372" i="18"/>
  <c r="H372" i="18" s="1"/>
  <c r="F190" i="18"/>
  <c r="G190" i="18" s="1"/>
  <c r="CA190" i="6" s="1"/>
  <c r="F140" i="18"/>
  <c r="G140" i="18" s="1"/>
  <c r="CA140" i="6" s="1"/>
  <c r="F25" i="18"/>
  <c r="H25" i="18" s="1"/>
  <c r="F323" i="18"/>
  <c r="F350" i="18"/>
  <c r="G350" i="18" s="1"/>
  <c r="CA350" i="6" s="1"/>
  <c r="F310" i="18"/>
  <c r="AA310" i="18" s="1"/>
  <c r="Z310" i="18" s="1"/>
  <c r="Y310" i="18" s="1"/>
  <c r="F19" i="18"/>
  <c r="G19" i="18" s="1"/>
  <c r="CA19" i="6" s="1"/>
  <c r="F48" i="18"/>
  <c r="AA48" i="18" s="1"/>
  <c r="Z48" i="18" s="1"/>
  <c r="Y48" i="18" s="1"/>
  <c r="F36" i="18"/>
  <c r="G36" i="18" s="1"/>
  <c r="CA36" i="6" s="1"/>
  <c r="F332" i="18"/>
  <c r="G332" i="18" s="1"/>
  <c r="CA332" i="6" s="1"/>
  <c r="F221" i="18"/>
  <c r="H221" i="18" s="1"/>
  <c r="F347" i="18"/>
  <c r="F55" i="18"/>
  <c r="AA55" i="18" s="1"/>
  <c r="Z55" i="18" s="1"/>
  <c r="Y55" i="18" s="1"/>
  <c r="F198" i="18"/>
  <c r="H198" i="18" s="1"/>
  <c r="F273" i="18"/>
  <c r="G273" i="18" s="1"/>
  <c r="CA273" i="6" s="1"/>
  <c r="F230" i="18"/>
  <c r="G230" i="18" s="1"/>
  <c r="CA230" i="6" s="1"/>
  <c r="F299" i="18"/>
  <c r="H299" i="18" s="1"/>
  <c r="F96" i="18"/>
  <c r="G96" i="18" s="1"/>
  <c r="CA96" i="6" s="1"/>
  <c r="F170" i="18"/>
  <c r="AA170" i="18" s="1"/>
  <c r="Z170" i="18" s="1"/>
  <c r="Y170" i="18" s="1"/>
  <c r="F69" i="18"/>
  <c r="H69" i="18" s="1"/>
  <c r="F217" i="18"/>
  <c r="H217" i="18" s="1"/>
  <c r="F318" i="18"/>
  <c r="G318" i="18" s="1"/>
  <c r="CA318" i="6" s="1"/>
  <c r="F161" i="18"/>
  <c r="AA161" i="18" s="1"/>
  <c r="Z161" i="18" s="1"/>
  <c r="Y161" i="18" s="1"/>
  <c r="F336" i="18"/>
  <c r="H336" i="18" s="1"/>
  <c r="F18" i="18"/>
  <c r="G18" i="18" s="1"/>
  <c r="CA18" i="6" s="1"/>
  <c r="F285" i="18"/>
  <c r="G285" i="18" s="1"/>
  <c r="CA285" i="6" s="1"/>
  <c r="F334" i="18"/>
  <c r="G334" i="18" s="1"/>
  <c r="CA334" i="6" s="1"/>
  <c r="F308" i="18"/>
  <c r="F175" i="18"/>
  <c r="H175" i="18" s="1"/>
  <c r="F27" i="18"/>
  <c r="G27" i="18" s="1"/>
  <c r="CA27" i="6" s="1"/>
  <c r="F226" i="18"/>
  <c r="H226" i="18" s="1"/>
  <c r="F59" i="18"/>
  <c r="G59" i="18" s="1"/>
  <c r="CA59" i="6" s="1"/>
  <c r="F270" i="18"/>
  <c r="G270" i="18" s="1"/>
  <c r="CA270" i="6" s="1"/>
  <c r="F276" i="18"/>
  <c r="G276" i="18" s="1"/>
  <c r="CA276" i="6" s="1"/>
  <c r="F313" i="18"/>
  <c r="H313" i="18" s="1"/>
  <c r="F338" i="18"/>
  <c r="AA338" i="18" s="1"/>
  <c r="Z338" i="18" s="1"/>
  <c r="Y338" i="18" s="1"/>
  <c r="F287" i="18"/>
  <c r="H287" i="18" s="1"/>
  <c r="F375" i="18"/>
  <c r="H375" i="18" s="1"/>
  <c r="F181" i="18"/>
  <c r="H181" i="18" s="1"/>
  <c r="F129" i="18"/>
  <c r="H129" i="18" s="1"/>
  <c r="F133" i="18"/>
  <c r="H133" i="18" s="1"/>
  <c r="F151" i="18"/>
  <c r="G151" i="18" s="1"/>
  <c r="CA151" i="6" s="1"/>
  <c r="F212" i="18"/>
  <c r="H212" i="18" s="1"/>
  <c r="F301" i="18"/>
  <c r="H301" i="18" s="1"/>
  <c r="F351" i="18"/>
  <c r="H351" i="18" s="1"/>
  <c r="F355" i="18"/>
  <c r="AA355" i="18" s="1"/>
  <c r="Z355" i="18" s="1"/>
  <c r="Y355" i="18" s="1"/>
  <c r="F77" i="18"/>
  <c r="G77" i="18" s="1"/>
  <c r="CA77" i="6" s="1"/>
  <c r="F79" i="18"/>
  <c r="H79" i="18" s="1"/>
  <c r="F254" i="18"/>
  <c r="AA254" i="18" s="1"/>
  <c r="Z254" i="18" s="1"/>
  <c r="Y254" i="18" s="1"/>
  <c r="F237" i="18"/>
  <c r="H237" i="18" s="1"/>
  <c r="F160" i="18"/>
  <c r="AA160" i="18" s="1"/>
  <c r="Z160" i="18" s="1"/>
  <c r="Y160" i="18" s="1"/>
  <c r="F33" i="18"/>
  <c r="AA33" i="18" s="1"/>
  <c r="Z33" i="18" s="1"/>
  <c r="Y33" i="18" s="1"/>
  <c r="AA349" i="18"/>
  <c r="Z349" i="18" s="1"/>
  <c r="Y349" i="18" s="1"/>
  <c r="AA258" i="18"/>
  <c r="Z258" i="18" s="1"/>
  <c r="Y258" i="18" s="1"/>
  <c r="AA74" i="18"/>
  <c r="Z74" i="18" s="1"/>
  <c r="Y74" i="18" s="1"/>
  <c r="AH15" i="7"/>
  <c r="J379" i="17"/>
  <c r="AD270" i="18"/>
  <c r="Q12" i="22"/>
  <c r="F374" i="18"/>
  <c r="AA374" i="18" s="1"/>
  <c r="Z374" i="18" s="1"/>
  <c r="Y374" i="18" s="1"/>
  <c r="F110" i="18"/>
  <c r="G110" i="18" s="1"/>
  <c r="CA110" i="6" s="1"/>
  <c r="F39" i="18"/>
  <c r="G39" i="18" s="1"/>
  <c r="CA39" i="6" s="1"/>
  <c r="F186" i="18"/>
  <c r="H186" i="18" s="1"/>
  <c r="F66" i="18"/>
  <c r="G66" i="18" s="1"/>
  <c r="CA66" i="6" s="1"/>
  <c r="F234" i="18"/>
  <c r="AA234" i="18" s="1"/>
  <c r="Z234" i="18" s="1"/>
  <c r="Y234" i="18" s="1"/>
  <c r="F321" i="18"/>
  <c r="H321" i="18" s="1"/>
  <c r="F320" i="18"/>
  <c r="F207" i="18"/>
  <c r="H207" i="18" s="1"/>
  <c r="F268" i="18"/>
  <c r="F224" i="18"/>
  <c r="H224" i="18" s="1"/>
  <c r="F41" i="18"/>
  <c r="H41" i="18" s="1"/>
  <c r="F167" i="18"/>
  <c r="H167" i="18" s="1"/>
  <c r="F183" i="18"/>
  <c r="AA183" i="18" s="1"/>
  <c r="Z183" i="18" s="1"/>
  <c r="Y183" i="18" s="1"/>
  <c r="F278" i="18"/>
  <c r="G278" i="18" s="1"/>
  <c r="CA278" i="6" s="1"/>
  <c r="AD342" i="18"/>
  <c r="AA342" i="18" s="1"/>
  <c r="Z342" i="18" s="1"/>
  <c r="Y342" i="18" s="1"/>
  <c r="F219" i="18"/>
  <c r="G219" i="18" s="1"/>
  <c r="CA219" i="6" s="1"/>
  <c r="F58" i="18"/>
  <c r="H58" i="18" s="1"/>
  <c r="F251" i="18"/>
  <c r="H251" i="18" s="1"/>
  <c r="F22" i="18"/>
  <c r="AA22" i="18" s="1"/>
  <c r="Z22" i="18" s="1"/>
  <c r="Y22" i="18" s="1"/>
  <c r="F164" i="18"/>
  <c r="G164" i="18" s="1"/>
  <c r="CA164" i="6" s="1"/>
  <c r="V60" i="18"/>
  <c r="F145" i="18"/>
  <c r="H145" i="18" s="1"/>
  <c r="F317" i="18"/>
  <c r="H317" i="18" s="1"/>
  <c r="F305" i="18"/>
  <c r="H305" i="18" s="1"/>
  <c r="F115" i="18"/>
  <c r="H115" i="18" s="1"/>
  <c r="F280" i="18"/>
  <c r="H280" i="18" s="1"/>
  <c r="F57" i="18"/>
  <c r="F127" i="18"/>
  <c r="H127" i="18" s="1"/>
  <c r="F369" i="18"/>
  <c r="F209" i="18"/>
  <c r="G209" i="18" s="1"/>
  <c r="CA209" i="6" s="1"/>
  <c r="F319" i="18"/>
  <c r="H319" i="18" s="1"/>
  <c r="F63" i="18"/>
  <c r="AA63" i="18" s="1"/>
  <c r="Z63" i="18" s="1"/>
  <c r="Y63" i="18" s="1"/>
  <c r="F61" i="18"/>
  <c r="H61" i="18" s="1"/>
  <c r="F169" i="18"/>
  <c r="AA169" i="18" s="1"/>
  <c r="Z169" i="18" s="1"/>
  <c r="Y169" i="18" s="1"/>
  <c r="F187" i="18"/>
  <c r="AA187" i="18" s="1"/>
  <c r="Z187" i="18" s="1"/>
  <c r="Y187" i="18" s="1"/>
  <c r="AD308" i="18"/>
  <c r="AD140" i="18"/>
  <c r="AD203" i="18"/>
  <c r="AA203" i="18" s="1"/>
  <c r="Z203" i="18" s="1"/>
  <c r="Y203" i="18" s="1"/>
  <c r="AD295" i="18"/>
  <c r="AD363" i="18"/>
  <c r="AD190" i="18"/>
  <c r="AG221" i="18"/>
  <c r="AF221" i="18" s="1"/>
  <c r="AD221" i="18" s="1"/>
  <c r="AG157" i="18"/>
  <c r="AF157" i="18" s="1"/>
  <c r="AD157" i="18" s="1"/>
  <c r="AA157" i="18" s="1"/>
  <c r="Z157" i="18" s="1"/>
  <c r="Y157" i="18" s="1"/>
  <c r="AG376" i="18"/>
  <c r="AF376" i="18" s="1"/>
  <c r="AD376" i="18" s="1"/>
  <c r="AG285" i="18"/>
  <c r="AF285" i="18" s="1"/>
  <c r="AD285" i="18" s="1"/>
  <c r="AG297" i="18"/>
  <c r="AF297" i="18" s="1"/>
  <c r="AD297" i="18" s="1"/>
  <c r="AG313" i="18"/>
  <c r="AF313" i="18" s="1"/>
  <c r="AD313" i="18" s="1"/>
  <c r="AG175" i="18"/>
  <c r="AF175" i="18" s="1"/>
  <c r="AD175" i="18" s="1"/>
  <c r="AG197" i="18"/>
  <c r="AF197" i="18" s="1"/>
  <c r="AD197" i="18" s="1"/>
  <c r="AG231" i="18"/>
  <c r="AF231" i="18" s="1"/>
  <c r="AD231" i="18" s="1"/>
  <c r="AA231" i="18" s="1"/>
  <c r="Z231" i="18" s="1"/>
  <c r="Y231" i="18" s="1"/>
  <c r="AG162" i="18"/>
  <c r="AF162" i="18" s="1"/>
  <c r="AD162" i="18" s="1"/>
  <c r="AG141" i="18"/>
  <c r="AF141" i="18" s="1"/>
  <c r="AD141" i="18" s="1"/>
  <c r="AA141" i="18" s="1"/>
  <c r="Z141" i="18" s="1"/>
  <c r="Y141" i="18" s="1"/>
  <c r="AG201" i="18"/>
  <c r="AF201" i="18" s="1"/>
  <c r="AD201" i="18" s="1"/>
  <c r="AG121" i="18"/>
  <c r="AF121" i="18" s="1"/>
  <c r="AD121" i="18" s="1"/>
  <c r="AG282" i="18"/>
  <c r="AF282" i="18" s="1"/>
  <c r="AD282" i="18" s="1"/>
  <c r="AA282" i="18" s="1"/>
  <c r="Z282" i="18" s="1"/>
  <c r="Y282" i="18" s="1"/>
  <c r="AG178" i="18"/>
  <c r="AF178" i="18" s="1"/>
  <c r="AD178" i="18" s="1"/>
  <c r="AD335" i="18"/>
  <c r="AD153" i="18"/>
  <c r="AD184" i="18"/>
  <c r="AD325" i="18"/>
  <c r="AA325" i="18" s="1"/>
  <c r="Z325" i="18" s="1"/>
  <c r="Y325" i="18" s="1"/>
  <c r="F293" i="18"/>
  <c r="F215" i="18"/>
  <c r="H215" i="18" s="1"/>
  <c r="F91" i="18"/>
  <c r="AA91" i="18" s="1"/>
  <c r="Z91" i="18" s="1"/>
  <c r="Y91" i="18" s="1"/>
  <c r="F260" i="18"/>
  <c r="AA260" i="18" s="1"/>
  <c r="Z260" i="18" s="1"/>
  <c r="Y260" i="18" s="1"/>
  <c r="F335" i="18"/>
  <c r="G335" i="18" s="1"/>
  <c r="CA335" i="6" s="1"/>
  <c r="F54" i="18"/>
  <c r="G54" i="18" s="1"/>
  <c r="CA54" i="6" s="1"/>
  <c r="F330" i="18"/>
  <c r="G330" i="18" s="1"/>
  <c r="CA330" i="6" s="1"/>
  <c r="F37" i="18"/>
  <c r="AA37" i="18" s="1"/>
  <c r="Z37" i="18" s="1"/>
  <c r="Y37" i="18" s="1"/>
  <c r="F34" i="18"/>
  <c r="AA34" i="18" s="1"/>
  <c r="Z34" i="18" s="1"/>
  <c r="Y34" i="18" s="1"/>
  <c r="F243" i="18"/>
  <c r="H243" i="18" s="1"/>
  <c r="F123" i="18"/>
  <c r="G123" i="18" s="1"/>
  <c r="CA123" i="6" s="1"/>
  <c r="F126" i="18"/>
  <c r="H126" i="18" s="1"/>
  <c r="F236" i="18"/>
  <c r="G236" i="18" s="1"/>
  <c r="CA236" i="6" s="1"/>
  <c r="F94" i="18"/>
  <c r="H94" i="18" s="1"/>
  <c r="F306" i="18"/>
  <c r="F348" i="18"/>
  <c r="G348" i="18" s="1"/>
  <c r="CA348" i="6" s="1"/>
  <c r="F326" i="18"/>
  <c r="F113" i="18"/>
  <c r="H113" i="18" s="1"/>
  <c r="F314" i="18"/>
  <c r="G314" i="18" s="1"/>
  <c r="CA314" i="6" s="1"/>
  <c r="F162" i="18"/>
  <c r="H162" i="18" s="1"/>
  <c r="F262" i="18"/>
  <c r="F40" i="18"/>
  <c r="AA40" i="18" s="1"/>
  <c r="Z40" i="18" s="1"/>
  <c r="Y40" i="18" s="1"/>
  <c r="F78" i="18"/>
  <c r="F121" i="18"/>
  <c r="G121" i="18" s="1"/>
  <c r="CA121" i="6" s="1"/>
  <c r="F185" i="18"/>
  <c r="F307" i="18"/>
  <c r="H307" i="18" s="1"/>
  <c r="F240" i="18"/>
  <c r="F182" i="18"/>
  <c r="H182" i="18" s="1"/>
  <c r="F108" i="18"/>
  <c r="AA108" i="18" s="1"/>
  <c r="Z108" i="18" s="1"/>
  <c r="Y108" i="18" s="1"/>
  <c r="F337" i="18"/>
  <c r="AA337" i="18" s="1"/>
  <c r="Z337" i="18" s="1"/>
  <c r="Y337" i="18" s="1"/>
  <c r="F72" i="18"/>
  <c r="F30" i="18"/>
  <c r="G30" i="18" s="1"/>
  <c r="CA30" i="6" s="1"/>
  <c r="F199" i="18"/>
  <c r="AA199" i="18" s="1"/>
  <c r="Z199" i="18" s="1"/>
  <c r="Y199" i="18" s="1"/>
  <c r="F298" i="18"/>
  <c r="AA298" i="18" s="1"/>
  <c r="Z298" i="18" s="1"/>
  <c r="Y298" i="18" s="1"/>
  <c r="F163" i="18"/>
  <c r="F343" i="18"/>
  <c r="G343" i="18" s="1"/>
  <c r="CA343" i="6" s="1"/>
  <c r="F304" i="18"/>
  <c r="F274" i="18"/>
  <c r="G274" i="18" s="1"/>
  <c r="CA274" i="6" s="1"/>
  <c r="F86" i="18"/>
  <c r="F361" i="18"/>
  <c r="AA361" i="18" s="1"/>
  <c r="Z361" i="18" s="1"/>
  <c r="Y361" i="18" s="1"/>
  <c r="F101" i="18"/>
  <c r="F138" i="18"/>
  <c r="H138" i="18" s="1"/>
  <c r="F359" i="18"/>
  <c r="F329" i="18"/>
  <c r="H329" i="18" s="1"/>
  <c r="AD236" i="18"/>
  <c r="F95" i="18"/>
  <c r="AA95" i="18" s="1"/>
  <c r="Z95" i="18" s="1"/>
  <c r="Y95" i="18" s="1"/>
  <c r="F32" i="18"/>
  <c r="G32" i="18" s="1"/>
  <c r="CA32" i="6" s="1"/>
  <c r="F132" i="18"/>
  <c r="H132" i="18" s="1"/>
  <c r="F356" i="18"/>
  <c r="F147" i="18"/>
  <c r="H147" i="18" s="1"/>
  <c r="F216" i="18"/>
  <c r="F245" i="18"/>
  <c r="H245" i="18" s="1"/>
  <c r="F250" i="18"/>
  <c r="F281" i="18"/>
  <c r="G281" i="18" s="1"/>
  <c r="CA281" i="6" s="1"/>
  <c r="U381" i="18"/>
  <c r="U383" i="18"/>
  <c r="AD143" i="18"/>
  <c r="AD166" i="18"/>
  <c r="AA166" i="18" s="1"/>
  <c r="Z166" i="18" s="1"/>
  <c r="Y166" i="18" s="1"/>
  <c r="AD278" i="18"/>
  <c r="AD115" i="18"/>
  <c r="AD109" i="18"/>
  <c r="AA109" i="18" s="1"/>
  <c r="Z109" i="18" s="1"/>
  <c r="Y109" i="18" s="1"/>
  <c r="AD226" i="18"/>
  <c r="AG213" i="18"/>
  <c r="AF213" i="18" s="1"/>
  <c r="AD213" i="18" s="1"/>
  <c r="AA213" i="18" s="1"/>
  <c r="Z213" i="18" s="1"/>
  <c r="Y213" i="18" s="1"/>
  <c r="AG225" i="18"/>
  <c r="AF225" i="18" s="1"/>
  <c r="AD225" i="18" s="1"/>
  <c r="AG222" i="18"/>
  <c r="AF222" i="18" s="1"/>
  <c r="AD222" i="18" s="1"/>
  <c r="AG202" i="18"/>
  <c r="AF202" i="18" s="1"/>
  <c r="AD202" i="18" s="1"/>
  <c r="AG106" i="18"/>
  <c r="AF106" i="18" s="1"/>
  <c r="AD106" i="18" s="1"/>
  <c r="AG351" i="18"/>
  <c r="AF351" i="18" s="1"/>
  <c r="AD351" i="18" s="1"/>
  <c r="AH379" i="18"/>
  <c r="AG379" i="18" s="1"/>
  <c r="AF379" i="18" s="1"/>
  <c r="AD379" i="18" s="1"/>
  <c r="AI12" i="20"/>
  <c r="G135" i="18"/>
  <c r="CA135" i="6" s="1"/>
  <c r="AC208" i="23"/>
  <c r="AC243" i="23"/>
  <c r="AC286" i="23"/>
  <c r="AC205" i="23"/>
  <c r="AC359" i="23"/>
  <c r="AC219" i="23"/>
  <c r="AC275" i="23"/>
  <c r="AC188" i="23"/>
  <c r="AC369" i="23"/>
  <c r="AC373" i="23"/>
  <c r="AC154" i="23"/>
  <c r="AC135" i="23"/>
  <c r="AC137" i="23"/>
  <c r="AC169" i="23"/>
  <c r="AC377" i="23"/>
  <c r="AC160" i="23"/>
  <c r="AC306" i="23"/>
  <c r="AC235" i="23"/>
  <c r="AC255" i="23"/>
  <c r="AC215" i="23"/>
  <c r="AC289" i="23"/>
  <c r="AC148" i="23"/>
  <c r="AC297" i="23"/>
  <c r="AC156" i="23"/>
  <c r="AC367" i="23"/>
  <c r="AC366" i="23"/>
  <c r="AC327" i="23"/>
  <c r="AC252" i="23"/>
  <c r="AC376" i="23"/>
  <c r="AC143" i="23"/>
  <c r="AC210" i="23"/>
  <c r="AC141" i="23"/>
  <c r="AC329" i="23"/>
  <c r="AC268" i="23"/>
  <c r="AC202" i="23"/>
  <c r="AC277" i="23"/>
  <c r="AC164" i="23"/>
  <c r="AC317" i="23"/>
  <c r="AC238" i="23"/>
  <c r="AC322" i="23"/>
  <c r="AC296" i="23"/>
  <c r="AC209" i="23"/>
  <c r="AC186" i="23"/>
  <c r="AC203" i="23"/>
  <c r="AC360" i="23"/>
  <c r="AC368" i="23"/>
  <c r="AC233" i="23"/>
  <c r="AC213" i="23"/>
  <c r="AC157" i="23"/>
  <c r="AC246" i="23"/>
  <c r="AC321" i="23"/>
  <c r="AC350" i="23"/>
  <c r="AC216" i="23"/>
  <c r="AC345" i="23"/>
  <c r="AC379" i="23"/>
  <c r="AC279" i="23"/>
  <c r="AC240" i="23"/>
  <c r="AC295" i="23"/>
  <c r="AC347" i="23"/>
  <c r="AC354" i="23"/>
  <c r="AC365" i="23"/>
  <c r="AC314" i="23"/>
  <c r="AC198" i="23"/>
  <c r="AC292" i="23"/>
  <c r="AC225" i="23"/>
  <c r="AC145" i="23"/>
  <c r="AC134" i="23"/>
  <c r="AC372" i="23"/>
  <c r="AC323" i="23"/>
  <c r="AC328" i="23"/>
  <c r="AC272" i="23"/>
  <c r="AC165" i="23"/>
  <c r="AC232" i="23"/>
  <c r="AC258" i="23"/>
  <c r="AC250" i="23"/>
  <c r="AC217" i="23"/>
  <c r="AC260" i="23"/>
  <c r="AC352" i="23"/>
  <c r="AC239" i="23"/>
  <c r="AC356" i="23"/>
  <c r="AC294" i="23"/>
  <c r="AC242" i="23"/>
  <c r="AC303" i="23"/>
  <c r="AC274" i="23"/>
  <c r="AC163" i="23"/>
  <c r="AC237" i="23"/>
  <c r="AC180" i="23"/>
  <c r="AC184" i="23"/>
  <c r="AC263" i="23"/>
  <c r="AC168" i="23"/>
  <c r="AC193" i="23"/>
  <c r="AC249" i="23"/>
  <c r="AC177" i="23"/>
  <c r="AC349" i="23"/>
  <c r="AC364" i="23"/>
  <c r="AC300" i="23"/>
  <c r="AC172" i="23"/>
  <c r="AC191" i="23"/>
  <c r="AC285" i="23"/>
  <c r="AC227" i="23"/>
  <c r="AC152" i="23"/>
  <c r="AC144" i="23"/>
  <c r="AC183" i="23"/>
  <c r="AC257" i="23"/>
  <c r="AC358" i="23"/>
  <c r="AC310" i="23"/>
  <c r="AC305" i="23"/>
  <c r="AC293" i="23"/>
  <c r="AC319" i="23"/>
  <c r="AC261" i="23"/>
  <c r="AC161" i="23"/>
  <c r="AC151" i="23"/>
  <c r="AC220" i="23"/>
  <c r="AC196" i="23"/>
  <c r="AC288" i="23"/>
  <c r="AC378" i="23"/>
  <c r="AC343" i="23"/>
  <c r="AC182" i="23"/>
  <c r="AC335" i="23"/>
  <c r="AC175" i="23"/>
  <c r="AC298" i="23"/>
  <c r="AC142" i="23"/>
  <c r="AC348" i="23"/>
  <c r="AC179" i="23"/>
  <c r="AC194" i="23"/>
  <c r="AC283" i="23"/>
  <c r="AC230" i="23"/>
  <c r="AC320" i="23"/>
  <c r="AC362" i="23"/>
  <c r="AC291" i="23"/>
  <c r="AC140" i="23"/>
  <c r="AC280" i="23"/>
  <c r="AC158" i="23"/>
  <c r="AC311" i="23"/>
  <c r="AC228" i="23"/>
  <c r="AC318" i="23"/>
  <c r="AC223" i="23"/>
  <c r="AC370" i="23"/>
  <c r="AC336" i="23"/>
  <c r="AC190" i="23"/>
  <c r="AC170" i="23"/>
  <c r="AC374" i="23"/>
  <c r="AC248" i="23"/>
  <c r="AC201" i="23"/>
  <c r="AC331" i="23"/>
  <c r="AC325" i="23"/>
  <c r="AC226" i="23"/>
  <c r="AC375" i="23"/>
  <c r="AC234" i="23"/>
  <c r="AC324" i="23"/>
  <c r="AC231" i="23"/>
  <c r="AC221" i="23"/>
  <c r="AC244" i="23"/>
  <c r="AC307" i="23"/>
  <c r="AC200" i="23"/>
  <c r="AC301" i="23"/>
  <c r="AC339" i="23"/>
  <c r="AC334" i="23"/>
  <c r="AC197" i="23"/>
  <c r="AC312" i="23"/>
  <c r="AC332" i="23"/>
  <c r="AC253" i="23"/>
  <c r="AC270" i="23"/>
  <c r="AC176" i="23"/>
  <c r="AC206" i="23"/>
  <c r="AC162" i="23"/>
  <c r="AC167" i="23"/>
  <c r="AC173" i="23"/>
  <c r="AC337" i="23"/>
  <c r="AC315" i="23"/>
  <c r="AC150" i="23"/>
  <c r="AC353" i="23"/>
  <c r="AC363" i="23"/>
  <c r="AC346" i="23"/>
  <c r="AC276" i="23"/>
  <c r="AC371" i="23"/>
  <c r="AC304" i="23"/>
  <c r="AC241" i="23"/>
  <c r="AC267" i="23"/>
  <c r="AC146" i="23"/>
  <c r="AC313" i="23"/>
  <c r="AC247" i="23"/>
  <c r="AC290" i="23"/>
  <c r="AC284" i="23"/>
  <c r="AC187" i="23"/>
  <c r="AC278" i="23"/>
  <c r="AC224" i="23"/>
  <c r="AC229" i="23"/>
  <c r="AC166" i="23"/>
  <c r="AC211" i="23"/>
  <c r="AC218" i="23"/>
  <c r="AC212" i="23"/>
  <c r="AC265" i="23"/>
  <c r="AC308" i="23"/>
  <c r="AC361" i="23"/>
  <c r="AC147" i="23"/>
  <c r="AC149" i="23"/>
  <c r="AC355" i="23"/>
  <c r="AC338" i="23"/>
  <c r="AC256" i="23"/>
  <c r="AC199" i="23"/>
  <c r="AC204" i="23"/>
  <c r="AC214" i="23"/>
  <c r="AC222" i="23"/>
  <c r="AC269" i="23"/>
  <c r="AC236" i="23"/>
  <c r="AC281" i="23"/>
  <c r="AC189" i="23"/>
  <c r="AC282" i="23"/>
  <c r="AC153" i="23"/>
  <c r="AC342" i="23"/>
  <c r="AC171" i="23"/>
  <c r="AC192" i="23"/>
  <c r="AC264" i="23"/>
  <c r="AC351" i="23"/>
  <c r="AC262" i="23"/>
  <c r="AC299" i="23"/>
  <c r="AC195" i="23"/>
  <c r="AC330" i="23"/>
  <c r="AC207" i="23"/>
  <c r="AC136" i="23"/>
  <c r="AC344" i="23"/>
  <c r="AC266" i="23"/>
  <c r="AC155" i="23"/>
  <c r="AC138" i="23"/>
  <c r="AC287" i="23"/>
  <c r="AC302" i="23"/>
  <c r="AC357" i="23"/>
  <c r="AC159" i="23"/>
  <c r="AC139" i="23"/>
  <c r="AC174" i="23"/>
  <c r="AC254" i="23"/>
  <c r="AC251" i="23"/>
  <c r="AC316" i="23"/>
  <c r="AC245" i="23"/>
  <c r="AC271" i="23"/>
  <c r="AC181" i="23"/>
  <c r="AC333" i="23"/>
  <c r="AC340" i="23"/>
  <c r="AC178" i="23"/>
  <c r="AC341" i="23"/>
  <c r="AC326" i="23"/>
  <c r="AC309" i="23"/>
  <c r="AC185" i="23"/>
  <c r="AC259" i="23"/>
  <c r="AC273" i="23"/>
  <c r="AS13" i="7"/>
  <c r="AY10" i="7" s="1"/>
  <c r="O355" i="23"/>
  <c r="O151" i="23"/>
  <c r="O167" i="23"/>
  <c r="O160" i="23"/>
  <c r="O216" i="23"/>
  <c r="O212" i="23"/>
  <c r="O243" i="23"/>
  <c r="O277" i="23"/>
  <c r="O206" i="23"/>
  <c r="O369" i="23"/>
  <c r="O136" i="23"/>
  <c r="O300" i="23"/>
  <c r="O267" i="23"/>
  <c r="O258" i="23"/>
  <c r="O359" i="23"/>
  <c r="O140" i="23"/>
  <c r="O315" i="23"/>
  <c r="O195" i="23"/>
  <c r="O294" i="23"/>
  <c r="O166" i="23"/>
  <c r="O255" i="23"/>
  <c r="O352" i="23"/>
  <c r="O200" i="23"/>
  <c r="O229" i="23"/>
  <c r="O356" i="23"/>
  <c r="O189" i="23"/>
  <c r="O224" i="23"/>
  <c r="O376" i="23"/>
  <c r="O261" i="23"/>
  <c r="O291" i="23"/>
  <c r="O173" i="23"/>
  <c r="O226" i="23"/>
  <c r="O271" i="23"/>
  <c r="O278" i="23"/>
  <c r="O249" i="23"/>
  <c r="O311" i="23"/>
  <c r="O365" i="23"/>
  <c r="O219" i="23"/>
  <c r="O322" i="23"/>
  <c r="O280" i="23"/>
  <c r="O282" i="23"/>
  <c r="O366" i="23"/>
  <c r="O135" i="23"/>
  <c r="O256" i="23"/>
  <c r="O251" i="23"/>
  <c r="O284" i="23"/>
  <c r="O68" i="23"/>
  <c r="O246" i="23"/>
  <c r="O152" i="23"/>
  <c r="O344" i="23"/>
  <c r="O326" i="23"/>
  <c r="O209" i="23"/>
  <c r="O196" i="23"/>
  <c r="O312" i="23"/>
  <c r="O260" i="23"/>
  <c r="O327" i="23"/>
  <c r="O242" i="23"/>
  <c r="O119" i="23"/>
  <c r="AG47" i="7" s="1"/>
  <c r="O257" i="23"/>
  <c r="O168" i="23"/>
  <c r="O57" i="23"/>
  <c r="O372" i="23"/>
  <c r="O51" i="23"/>
  <c r="O253" i="23"/>
  <c r="O319" i="23"/>
  <c r="O330" i="23"/>
  <c r="O367" i="23"/>
  <c r="O304" i="23"/>
  <c r="O146" i="23"/>
  <c r="O182" i="23"/>
  <c r="O230" i="23"/>
  <c r="O185" i="23"/>
  <c r="O174" i="23"/>
  <c r="O293" i="23"/>
  <c r="O373" i="23"/>
  <c r="O302" i="23"/>
  <c r="AG53" i="7" s="1"/>
  <c r="O339" i="23"/>
  <c r="O171" i="23"/>
  <c r="O237" i="23"/>
  <c r="O286" i="23"/>
  <c r="O247" i="23"/>
  <c r="O338" i="23"/>
  <c r="O148" i="23"/>
  <c r="O314" i="23"/>
  <c r="O287" i="23"/>
  <c r="O270" i="23"/>
  <c r="O378" i="23"/>
  <c r="O343" i="23"/>
  <c r="O145" i="23"/>
  <c r="O371" i="23"/>
  <c r="O214" i="23"/>
  <c r="O241" i="23"/>
  <c r="AG51" i="7" s="1"/>
  <c r="O317" i="23"/>
  <c r="O139" i="23"/>
  <c r="O199" i="23"/>
  <c r="O361" i="23"/>
  <c r="O215" i="23"/>
  <c r="O138" i="23"/>
  <c r="O264" i="23"/>
  <c r="O306" i="23"/>
  <c r="O368" i="23"/>
  <c r="O153" i="23"/>
  <c r="O283" i="23"/>
  <c r="O179" i="23"/>
  <c r="O157" i="23"/>
  <c r="O290" i="23"/>
  <c r="O188" i="23"/>
  <c r="O354" i="23"/>
  <c r="O350" i="23"/>
  <c r="O73" i="23"/>
  <c r="O364" i="23"/>
  <c r="O158" i="23"/>
  <c r="O203" i="23"/>
  <c r="O345" i="23"/>
  <c r="O176" i="23"/>
  <c r="O162" i="23"/>
  <c r="O193" i="23"/>
  <c r="O83" i="23"/>
  <c r="O231" i="23"/>
  <c r="O340" i="23"/>
  <c r="O325" i="23"/>
  <c r="O285" i="23"/>
  <c r="O288" i="23"/>
  <c r="O375" i="23"/>
  <c r="O192" i="23"/>
  <c r="O341" i="23"/>
  <c r="O218" i="23"/>
  <c r="O91" i="23"/>
  <c r="O45" i="23"/>
  <c r="O303" i="23"/>
  <c r="O47" i="23"/>
  <c r="O298" i="23"/>
  <c r="O186" i="23"/>
  <c r="O252" i="23"/>
  <c r="O349" i="23"/>
  <c r="O141" i="23"/>
  <c r="O233" i="23"/>
  <c r="O144" i="23"/>
  <c r="O183" i="23"/>
  <c r="O362" i="23"/>
  <c r="O245" i="23"/>
  <c r="O269" i="23"/>
  <c r="O164" i="23"/>
  <c r="O236" i="23"/>
  <c r="O279" i="23"/>
  <c r="O265" i="23"/>
  <c r="O321" i="23"/>
  <c r="O296" i="23"/>
  <c r="O307" i="23"/>
  <c r="O281" i="23"/>
  <c r="O65" i="23"/>
  <c r="O297" i="23"/>
  <c r="O232" i="23"/>
  <c r="O353" i="23"/>
  <c r="O165" i="23"/>
  <c r="O198" i="23"/>
  <c r="O235" i="23"/>
  <c r="O222" i="23"/>
  <c r="O295" i="23"/>
  <c r="O149" i="23"/>
  <c r="AG48" i="7" s="1"/>
  <c r="O363" i="23"/>
  <c r="AG55" i="7" s="1"/>
  <c r="O337" i="23"/>
  <c r="O178" i="23"/>
  <c r="O213" i="23"/>
  <c r="O305" i="23"/>
  <c r="O334" i="23"/>
  <c r="O147" i="23"/>
  <c r="O266" i="23"/>
  <c r="O250" i="23"/>
  <c r="O313" i="23"/>
  <c r="O318" i="23"/>
  <c r="O155" i="23"/>
  <c r="O374" i="23"/>
  <c r="O254" i="23"/>
  <c r="O190" i="23"/>
  <c r="O210" i="23"/>
  <c r="AG50" i="7" s="1"/>
  <c r="O333" i="23"/>
  <c r="AG54" i="7" s="1"/>
  <c r="O262" i="23"/>
  <c r="O172" i="23"/>
  <c r="O137" i="23"/>
  <c r="O272" i="23"/>
  <c r="AG52" i="7" s="1"/>
  <c r="O15" i="23"/>
  <c r="O276" i="23"/>
  <c r="O228" i="23"/>
  <c r="O161" i="23"/>
  <c r="O377" i="23"/>
  <c r="O379" i="23"/>
  <c r="C42" i="19" s="1"/>
  <c r="O170" i="23"/>
  <c r="O30" i="23"/>
  <c r="O263" i="23"/>
  <c r="O244" i="23"/>
  <c r="O275" i="23"/>
  <c r="O292" i="23"/>
  <c r="O181" i="23"/>
  <c r="O259" i="23"/>
  <c r="O211" i="23"/>
  <c r="O143" i="23"/>
  <c r="O55" i="23"/>
  <c r="O360" i="23"/>
  <c r="O175" i="23"/>
  <c r="O156" i="23"/>
  <c r="O201" i="23"/>
  <c r="O342" i="23"/>
  <c r="O268" i="23"/>
  <c r="O328" i="23"/>
  <c r="O187" i="23"/>
  <c r="O225" i="23"/>
  <c r="O301" i="23"/>
  <c r="O357" i="23"/>
  <c r="O309" i="23"/>
  <c r="O234" i="23"/>
  <c r="O320" i="23"/>
  <c r="O227" i="23"/>
  <c r="O163" i="23"/>
  <c r="O221" i="23"/>
  <c r="O169" i="23"/>
  <c r="O299" i="23"/>
  <c r="O202" i="23"/>
  <c r="O348" i="23"/>
  <c r="O289" i="23"/>
  <c r="O331" i="23"/>
  <c r="O310" i="23"/>
  <c r="O154" i="23"/>
  <c r="O205" i="23"/>
  <c r="O240" i="23"/>
  <c r="O194" i="23"/>
  <c r="O180" i="23"/>
  <c r="AG49" i="7" s="1"/>
  <c r="O336" i="23"/>
  <c r="O208" i="23"/>
  <c r="O220" i="23"/>
  <c r="O217" i="23"/>
  <c r="O323" i="23"/>
  <c r="O103" i="23"/>
  <c r="O324" i="23"/>
  <c r="O248" i="23"/>
  <c r="O351" i="23"/>
  <c r="O239" i="23"/>
  <c r="O273" i="23"/>
  <c r="O347" i="23"/>
  <c r="O332" i="23"/>
  <c r="O370" i="23"/>
  <c r="O316" i="23"/>
  <c r="O177" i="23"/>
  <c r="O346" i="23"/>
  <c r="O184" i="23"/>
  <c r="O150" i="23"/>
  <c r="O204" i="23"/>
  <c r="O329" i="23"/>
  <c r="O207" i="23"/>
  <c r="O223" i="23"/>
  <c r="O134" i="23"/>
  <c r="O197" i="23"/>
  <c r="O238" i="23"/>
  <c r="O335" i="23"/>
  <c r="O191" i="23"/>
  <c r="O274" i="23"/>
  <c r="O159" i="23"/>
  <c r="O142" i="23"/>
  <c r="O358" i="23"/>
  <c r="O308" i="23"/>
  <c r="O90" i="23"/>
  <c r="O80" i="23"/>
  <c r="O19" i="23"/>
  <c r="O49" i="23"/>
  <c r="O92" i="23"/>
  <c r="O61" i="23"/>
  <c r="O52" i="23"/>
  <c r="O25" i="23"/>
  <c r="O118" i="23"/>
  <c r="O120" i="23"/>
  <c r="O53" i="23"/>
  <c r="O79" i="23"/>
  <c r="O88" i="23"/>
  <c r="AG46" i="7" s="1"/>
  <c r="O17" i="23"/>
  <c r="O56" i="23"/>
  <c r="O116" i="23"/>
  <c r="O124" i="23"/>
  <c r="O121" i="23"/>
  <c r="O32" i="23"/>
  <c r="O108" i="23"/>
  <c r="O59" i="23"/>
  <c r="O64" i="23"/>
  <c r="O60" i="23"/>
  <c r="AG45" i="7" s="1"/>
  <c r="O81" i="23"/>
  <c r="O133" i="23"/>
  <c r="O67" i="23"/>
  <c r="O114" i="23"/>
  <c r="O76" i="23"/>
  <c r="O126" i="23"/>
  <c r="O104" i="23"/>
  <c r="O70" i="23"/>
  <c r="O24" i="23"/>
  <c r="O75" i="23"/>
  <c r="O106" i="23"/>
  <c r="O43" i="23"/>
  <c r="O105" i="23"/>
  <c r="O112" i="23"/>
  <c r="O131" i="23"/>
  <c r="O111" i="23"/>
  <c r="O58" i="23"/>
  <c r="O113" i="23"/>
  <c r="O82" i="23"/>
  <c r="O38" i="23"/>
  <c r="O29" i="23"/>
  <c r="AG44" i="7" s="1"/>
  <c r="O36" i="23"/>
  <c r="O94" i="23"/>
  <c r="O71" i="23"/>
  <c r="O97" i="23"/>
  <c r="O109" i="23"/>
  <c r="O129" i="23"/>
  <c r="O93" i="23"/>
  <c r="O95" i="23"/>
  <c r="O35" i="23"/>
  <c r="O40" i="23"/>
  <c r="O115" i="23"/>
  <c r="O66" i="23"/>
  <c r="O54" i="23"/>
  <c r="O102" i="23"/>
  <c r="O27" i="23"/>
  <c r="O130" i="23"/>
  <c r="O98" i="23"/>
  <c r="O48" i="23"/>
  <c r="O87" i="23"/>
  <c r="O34" i="23"/>
  <c r="O39" i="23"/>
  <c r="O125" i="23"/>
  <c r="O101" i="23"/>
  <c r="O33" i="23"/>
  <c r="O26" i="23"/>
  <c r="O122" i="23"/>
  <c r="O72" i="23"/>
  <c r="O46" i="23"/>
  <c r="O132" i="23"/>
  <c r="O37" i="23"/>
  <c r="O100" i="23"/>
  <c r="O44" i="23"/>
  <c r="O128" i="23"/>
  <c r="O85" i="23"/>
  <c r="O78" i="23"/>
  <c r="O42" i="23"/>
  <c r="O96" i="23"/>
  <c r="O63" i="23"/>
  <c r="O21" i="23"/>
  <c r="O110" i="23"/>
  <c r="O77" i="23"/>
  <c r="O86" i="23"/>
  <c r="O50" i="23"/>
  <c r="O23" i="23"/>
  <c r="O28" i="23"/>
  <c r="O74" i="23"/>
  <c r="O69" i="23"/>
  <c r="O31" i="23"/>
  <c r="O16" i="23"/>
  <c r="O20" i="23"/>
  <c r="O123" i="23"/>
  <c r="O22" i="23"/>
  <c r="O107" i="23"/>
  <c r="O99" i="23"/>
  <c r="O18" i="23"/>
  <c r="O127" i="23"/>
  <c r="O41" i="23"/>
  <c r="O62" i="23"/>
  <c r="O117" i="23"/>
  <c r="O84" i="23"/>
  <c r="O89" i="23"/>
  <c r="AC125" i="24"/>
  <c r="AC90" i="24"/>
  <c r="AC58" i="24"/>
  <c r="AC52" i="24"/>
  <c r="AC65" i="24"/>
  <c r="AC120" i="24"/>
  <c r="AC44" i="24"/>
  <c r="AC127" i="24"/>
  <c r="AC68" i="24"/>
  <c r="AC108" i="24"/>
  <c r="AC88" i="24"/>
  <c r="AC93" i="24"/>
  <c r="AC99" i="24"/>
  <c r="AC104" i="24"/>
  <c r="AC132" i="24"/>
  <c r="AC118" i="24"/>
  <c r="AC21" i="24"/>
  <c r="AC25" i="24"/>
  <c r="AC100" i="24"/>
  <c r="AC24" i="24"/>
  <c r="AC119" i="24"/>
  <c r="AC98" i="24"/>
  <c r="AC75" i="24"/>
  <c r="AC23" i="24"/>
  <c r="AC82" i="24"/>
  <c r="AC46" i="24"/>
  <c r="AC92" i="24"/>
  <c r="AC17" i="24"/>
  <c r="AC37" i="24"/>
  <c r="AC94" i="24"/>
  <c r="AC61" i="24"/>
  <c r="AC133" i="24"/>
  <c r="AC110" i="24"/>
  <c r="AC124" i="24"/>
  <c r="AC38" i="24"/>
  <c r="AC115" i="24"/>
  <c r="AC22" i="24"/>
  <c r="AC73" i="24"/>
  <c r="AC71" i="24"/>
  <c r="AC29" i="24"/>
  <c r="AC80" i="24"/>
  <c r="AC55" i="24"/>
  <c r="AC102" i="24"/>
  <c r="AC95" i="24"/>
  <c r="AC79" i="24"/>
  <c r="AC116" i="24"/>
  <c r="AC54" i="24"/>
  <c r="AC36" i="24"/>
  <c r="AC26" i="24"/>
  <c r="AC87" i="24"/>
  <c r="AC57" i="24"/>
  <c r="AC121" i="24"/>
  <c r="AC18" i="24"/>
  <c r="AC123" i="24"/>
  <c r="AC60" i="24"/>
  <c r="AC89" i="24"/>
  <c r="AC83" i="24"/>
  <c r="AC74" i="24"/>
  <c r="AC103" i="24"/>
  <c r="AC40" i="24"/>
  <c r="AC66" i="24"/>
  <c r="AC130" i="24"/>
  <c r="AC19" i="24"/>
  <c r="AC64" i="24"/>
  <c r="AC49" i="24"/>
  <c r="AC67" i="24"/>
  <c r="AC32" i="24"/>
  <c r="AC107" i="24"/>
  <c r="AC76" i="24"/>
  <c r="AC129" i="24"/>
  <c r="AC47" i="24"/>
  <c r="AC35" i="24"/>
  <c r="AC117" i="24"/>
  <c r="AC42" i="24"/>
  <c r="AC131" i="24"/>
  <c r="AC72" i="24"/>
  <c r="AC50" i="24"/>
  <c r="AC122" i="24"/>
  <c r="AC109" i="24"/>
  <c r="AC33" i="24"/>
  <c r="AC41" i="24"/>
  <c r="AC56" i="24"/>
  <c r="AC111" i="24"/>
  <c r="AC20" i="24"/>
  <c r="AC78" i="24"/>
  <c r="AC77" i="24"/>
  <c r="AC114" i="24"/>
  <c r="AC69" i="24"/>
  <c r="AC113" i="24"/>
  <c r="AC112" i="24"/>
  <c r="AC45" i="24"/>
  <c r="AC126" i="24"/>
  <c r="AC106" i="24"/>
  <c r="AC70" i="24"/>
  <c r="AC48" i="24"/>
  <c r="AC53" i="24"/>
  <c r="AC63" i="24"/>
  <c r="AC39" i="24"/>
  <c r="AC15" i="24"/>
  <c r="AC27" i="24"/>
  <c r="AC85" i="24"/>
  <c r="AC128" i="24"/>
  <c r="AC34" i="24"/>
  <c r="AC31" i="24"/>
  <c r="AC97" i="24"/>
  <c r="AC62" i="24"/>
  <c r="AC28" i="24"/>
  <c r="AC59" i="24"/>
  <c r="AC105" i="24"/>
  <c r="AC81" i="24"/>
  <c r="AC101" i="24"/>
  <c r="AC86" i="24"/>
  <c r="AC51" i="24"/>
  <c r="AC16" i="24"/>
  <c r="AC84" i="24"/>
  <c r="AC43" i="24"/>
  <c r="AC91" i="24"/>
  <c r="AC96" i="24"/>
  <c r="AC30" i="24"/>
  <c r="H35" i="19"/>
  <c r="I35" i="19"/>
  <c r="AG331" i="18"/>
  <c r="AF331" i="18" s="1"/>
  <c r="AD331" i="18" s="1"/>
  <c r="AE171" i="20"/>
  <c r="AE249" i="20"/>
  <c r="AE164" i="20"/>
  <c r="AE131" i="20"/>
  <c r="AE374" i="20"/>
  <c r="AE325" i="20"/>
  <c r="AE152" i="20"/>
  <c r="AE183" i="20"/>
  <c r="AE263" i="20"/>
  <c r="AE242" i="20"/>
  <c r="AE306" i="20"/>
  <c r="AE321" i="20"/>
  <c r="AE311" i="20"/>
  <c r="AE109" i="20"/>
  <c r="AE129" i="20"/>
  <c r="AE357" i="20"/>
  <c r="AE270" i="20"/>
  <c r="AE113" i="20"/>
  <c r="AE189" i="20"/>
  <c r="AE150" i="20"/>
  <c r="AE361" i="20"/>
  <c r="AE244" i="20"/>
  <c r="AE322" i="20"/>
  <c r="AE293" i="20"/>
  <c r="AE300" i="20"/>
  <c r="AE114" i="20"/>
  <c r="AE208" i="20"/>
  <c r="AE349" i="20"/>
  <c r="AE157" i="20"/>
  <c r="AE343" i="20"/>
  <c r="AE181" i="20"/>
  <c r="AE266" i="20"/>
  <c r="AE286" i="20"/>
  <c r="AE271" i="20"/>
  <c r="AG259" i="18"/>
  <c r="AF259" i="18" s="1"/>
  <c r="AD259" i="18" s="1"/>
  <c r="AA259" i="18" s="1"/>
  <c r="Z259" i="18" s="1"/>
  <c r="Y259" i="18" s="1"/>
  <c r="AG271" i="18"/>
  <c r="AF271" i="18" s="1"/>
  <c r="AD271" i="18" s="1"/>
  <c r="AG137" i="18"/>
  <c r="AF137" i="18" s="1"/>
  <c r="AD137" i="18" s="1"/>
  <c r="AA137" i="18" s="1"/>
  <c r="Z137" i="18" s="1"/>
  <c r="Y137" i="18" s="1"/>
  <c r="AG245" i="18"/>
  <c r="AF245" i="18" s="1"/>
  <c r="AD245" i="18" s="1"/>
  <c r="AG330" i="18"/>
  <c r="AF330" i="18" s="1"/>
  <c r="AD330" i="18" s="1"/>
  <c r="AG250" i="18"/>
  <c r="AF250" i="18" s="1"/>
  <c r="AD250" i="18" s="1"/>
  <c r="AG152" i="18"/>
  <c r="AF152" i="18" s="1"/>
  <c r="AD152" i="18" s="1"/>
  <c r="AG345" i="18"/>
  <c r="AF345" i="18" s="1"/>
  <c r="AD345" i="18" s="1"/>
  <c r="AA345" i="18" s="1"/>
  <c r="Z345" i="18" s="1"/>
  <c r="Y345" i="18" s="1"/>
  <c r="AG210" i="18"/>
  <c r="AF210" i="18" s="1"/>
  <c r="AD210" i="18" s="1"/>
  <c r="AG181" i="18"/>
  <c r="AF181" i="18" s="1"/>
  <c r="AD181" i="18" s="1"/>
  <c r="AG209" i="18"/>
  <c r="AF209" i="18" s="1"/>
  <c r="AD209" i="18" s="1"/>
  <c r="AA209" i="18" s="1"/>
  <c r="Z209" i="18" s="1"/>
  <c r="Y209" i="18" s="1"/>
  <c r="AG155" i="18"/>
  <c r="AF155" i="18" s="1"/>
  <c r="AD155" i="18" s="1"/>
  <c r="AA155" i="18" s="1"/>
  <c r="Z155" i="18" s="1"/>
  <c r="Y155" i="18" s="1"/>
  <c r="AG340" i="18"/>
  <c r="AF340" i="18" s="1"/>
  <c r="AD340" i="18" s="1"/>
  <c r="AG146" i="18"/>
  <c r="AF146" i="18" s="1"/>
  <c r="AD146" i="18" s="1"/>
  <c r="AA146" i="18" s="1"/>
  <c r="Z146" i="18" s="1"/>
  <c r="Y146" i="18" s="1"/>
  <c r="AG329" i="18"/>
  <c r="AF329" i="18" s="1"/>
  <c r="AD329" i="18" s="1"/>
  <c r="AA329" i="18" s="1"/>
  <c r="Z329" i="18" s="1"/>
  <c r="Y329" i="18" s="1"/>
  <c r="AG135" i="18"/>
  <c r="AF135" i="18" s="1"/>
  <c r="AD135" i="18" s="1"/>
  <c r="AA135" i="18" s="1"/>
  <c r="Z135" i="18" s="1"/>
  <c r="Y135" i="18" s="1"/>
  <c r="AG312" i="18"/>
  <c r="AF312" i="18" s="1"/>
  <c r="AD312" i="18" s="1"/>
  <c r="AG217" i="18"/>
  <c r="AF217" i="18" s="1"/>
  <c r="AD217" i="18" s="1"/>
  <c r="AG138" i="18"/>
  <c r="AF138" i="18" s="1"/>
  <c r="AD138" i="18" s="1"/>
  <c r="AA138" i="18" s="1"/>
  <c r="Z138" i="18" s="1"/>
  <c r="Y138" i="18" s="1"/>
  <c r="AG287" i="18"/>
  <c r="AF287" i="18" s="1"/>
  <c r="AD287" i="18" s="1"/>
  <c r="AG107" i="18"/>
  <c r="AF107" i="18" s="1"/>
  <c r="AD107" i="18" s="1"/>
  <c r="AA107" i="18" s="1"/>
  <c r="Z107" i="18" s="1"/>
  <c r="Y107" i="18" s="1"/>
  <c r="AG195" i="18"/>
  <c r="AF195" i="18" s="1"/>
  <c r="AD195" i="18" s="1"/>
  <c r="AA195" i="18" s="1"/>
  <c r="Z195" i="18" s="1"/>
  <c r="Y195" i="18" s="1"/>
  <c r="AG291" i="18"/>
  <c r="AF291" i="18" s="1"/>
  <c r="AD291" i="18" s="1"/>
  <c r="AG360" i="18"/>
  <c r="AF360" i="18" s="1"/>
  <c r="AD360" i="18" s="1"/>
  <c r="AG150" i="18"/>
  <c r="AF150" i="18" s="1"/>
  <c r="AD150" i="18" s="1"/>
  <c r="AG156" i="18"/>
  <c r="AF156" i="18" s="1"/>
  <c r="AD156" i="18" s="1"/>
  <c r="AA156" i="18" s="1"/>
  <c r="Z156" i="18" s="1"/>
  <c r="Y156" i="18" s="1"/>
  <c r="AG306" i="18"/>
  <c r="AF306" i="18" s="1"/>
  <c r="AD306" i="18" s="1"/>
  <c r="AG110" i="18"/>
  <c r="AF110" i="18" s="1"/>
  <c r="AD110" i="18" s="1"/>
  <c r="AA110" i="18" s="1"/>
  <c r="Z110" i="18" s="1"/>
  <c r="Y110" i="18" s="1"/>
  <c r="AG239" i="18"/>
  <c r="AF239" i="18" s="1"/>
  <c r="AD239" i="18" s="1"/>
  <c r="AG251" i="18"/>
  <c r="AF251" i="18" s="1"/>
  <c r="AD251" i="18" s="1"/>
  <c r="AI381" i="18"/>
  <c r="AI382" i="18"/>
  <c r="AI383" i="18"/>
  <c r="AG237" i="18"/>
  <c r="AF237" i="18" s="1"/>
  <c r="AD237" i="18" s="1"/>
  <c r="AG167" i="18"/>
  <c r="AF167" i="18" s="1"/>
  <c r="AD167" i="18" s="1"/>
  <c r="AA167" i="18" s="1"/>
  <c r="Z167" i="18" s="1"/>
  <c r="Y167" i="18" s="1"/>
  <c r="AG194" i="18"/>
  <c r="AF194" i="18" s="1"/>
  <c r="AD194" i="18" s="1"/>
  <c r="AA194" i="18" s="1"/>
  <c r="Z194" i="18" s="1"/>
  <c r="Y194" i="18" s="1"/>
  <c r="AG332" i="18"/>
  <c r="AF332" i="18" s="1"/>
  <c r="AD332" i="18" s="1"/>
  <c r="AG368" i="18"/>
  <c r="AF368" i="18" s="1"/>
  <c r="AD368" i="18" s="1"/>
  <c r="AA368" i="18" s="1"/>
  <c r="Z368" i="18" s="1"/>
  <c r="Y368" i="18" s="1"/>
  <c r="AG319" i="18"/>
  <c r="AF319" i="18" s="1"/>
  <c r="AD319" i="18" s="1"/>
  <c r="AG307" i="18"/>
  <c r="AF307" i="18" s="1"/>
  <c r="AD307" i="18" s="1"/>
  <c r="AG180" i="18"/>
  <c r="AF180" i="18" s="1"/>
  <c r="AD180" i="18" s="1"/>
  <c r="V379" i="18"/>
  <c r="D39" i="19"/>
  <c r="AH381" i="18"/>
  <c r="I81" i="17"/>
  <c r="AH383" i="18"/>
  <c r="Q383" i="20"/>
  <c r="Q381" i="20"/>
  <c r="I241" i="17"/>
  <c r="J241" i="17"/>
  <c r="H98" i="18"/>
  <c r="H122" i="18"/>
  <c r="G238" i="18"/>
  <c r="CA238" i="6" s="1"/>
  <c r="G65" i="19"/>
  <c r="U10" i="20"/>
  <c r="U301" i="20" s="1"/>
  <c r="T301" i="20" s="1"/>
  <c r="S301" i="20" s="1"/>
  <c r="R301" i="20" s="1"/>
  <c r="P301" i="20" s="1"/>
  <c r="V301" i="20" s="1"/>
  <c r="B301" i="20" s="1"/>
  <c r="H65" i="19"/>
  <c r="E65" i="19"/>
  <c r="I210" i="17"/>
  <c r="J210" i="17"/>
  <c r="G382" i="15"/>
  <c r="G383" i="15"/>
  <c r="G12" i="15" s="1"/>
  <c r="G381" i="15"/>
  <c r="AB9" i="15"/>
  <c r="F11" i="15"/>
  <c r="G12" i="19"/>
  <c r="J174" i="17"/>
  <c r="I174" i="17"/>
  <c r="AF382" i="17"/>
  <c r="AD15" i="17"/>
  <c r="AF383" i="17"/>
  <c r="AF381" i="17"/>
  <c r="I380" i="20"/>
  <c r="B380" i="6" s="1"/>
  <c r="BA380" i="6" s="1"/>
  <c r="D380" i="6" s="1"/>
  <c r="J380" i="20"/>
  <c r="C380" i="6" s="1"/>
  <c r="AA15" i="16"/>
  <c r="AM10" i="16"/>
  <c r="AK10" i="16"/>
  <c r="AK12" i="16" s="1"/>
  <c r="AK13" i="16" s="1"/>
  <c r="F382" i="16"/>
  <c r="G15" i="16"/>
  <c r="BY15" i="6" s="1"/>
  <c r="F9" i="16"/>
  <c r="F383" i="16"/>
  <c r="F381" i="16"/>
  <c r="V383" i="16"/>
  <c r="V382" i="16"/>
  <c r="B63" i="19"/>
  <c r="N63" i="19" s="1"/>
  <c r="V381" i="16"/>
  <c r="Q382" i="20"/>
  <c r="AA275" i="18"/>
  <c r="Z275" i="18" s="1"/>
  <c r="Y275" i="18" s="1"/>
  <c r="D29" i="18"/>
  <c r="E29" i="18" s="1"/>
  <c r="F29" i="18" s="1"/>
  <c r="J272" i="17"/>
  <c r="I272" i="17"/>
  <c r="AA134" i="18"/>
  <c r="Z134" i="18" s="1"/>
  <c r="Y134" i="18" s="1"/>
  <c r="G222" i="18"/>
  <c r="CA222" i="6" s="1"/>
  <c r="AA220" i="18"/>
  <c r="Z220" i="18" s="1"/>
  <c r="Y220" i="18" s="1"/>
  <c r="H171" i="18"/>
  <c r="AA111" i="18"/>
  <c r="Z111" i="18" s="1"/>
  <c r="Y111" i="18" s="1"/>
  <c r="G97" i="18"/>
  <c r="CA97" i="6" s="1"/>
  <c r="G128" i="18"/>
  <c r="CA128" i="6" s="1"/>
  <c r="H286" i="18"/>
  <c r="AG16" i="7"/>
  <c r="U90" i="20"/>
  <c r="T90" i="20" s="1"/>
  <c r="S90" i="20" s="1"/>
  <c r="R90" i="20" s="1"/>
  <c r="P90" i="20" s="1"/>
  <c r="V90" i="20" s="1"/>
  <c r="B90" i="20" s="1"/>
  <c r="U88" i="20"/>
  <c r="T88" i="20" s="1"/>
  <c r="S88" i="20" s="1"/>
  <c r="R88" i="20" s="1"/>
  <c r="P88" i="20" s="1"/>
  <c r="G99" i="18"/>
  <c r="CA99" i="6" s="1"/>
  <c r="J15" i="15"/>
  <c r="I15" i="15"/>
  <c r="H15" i="16" s="1"/>
  <c r="AL10" i="15"/>
  <c r="Z15" i="15"/>
  <c r="AL9" i="15"/>
  <c r="AA382" i="15"/>
  <c r="AA383" i="15"/>
  <c r="AA381" i="15"/>
  <c r="AA9" i="15"/>
  <c r="AM8" i="15"/>
  <c r="R383" i="17"/>
  <c r="R382" i="17"/>
  <c r="R381" i="17"/>
  <c r="P15" i="17"/>
  <c r="D65" i="19"/>
  <c r="H208" i="18"/>
  <c r="F65" i="19"/>
  <c r="T381" i="18"/>
  <c r="T382" i="18"/>
  <c r="T383" i="18"/>
  <c r="S15" i="18"/>
  <c r="J65" i="19"/>
  <c r="I65" i="19"/>
  <c r="I149" i="17"/>
  <c r="J149" i="17"/>
  <c r="J111" i="17"/>
  <c r="I111" i="17"/>
  <c r="AF104" i="18"/>
  <c r="AL7" i="16"/>
  <c r="I349" i="18"/>
  <c r="J349" i="18"/>
  <c r="I74" i="18"/>
  <c r="J74" i="18"/>
  <c r="D379" i="18" l="1"/>
  <c r="E379" i="18" s="1"/>
  <c r="F379" i="18" s="1"/>
  <c r="C65" i="19"/>
  <c r="K65" i="19"/>
  <c r="L65" i="19"/>
  <c r="G213" i="18"/>
  <c r="CA213" i="6" s="1"/>
  <c r="AA290" i="18"/>
  <c r="Z290" i="18" s="1"/>
  <c r="Y290" i="18" s="1"/>
  <c r="AA192" i="18"/>
  <c r="Z192" i="18" s="1"/>
  <c r="Y192" i="18" s="1"/>
  <c r="AA28" i="18"/>
  <c r="Z28" i="18" s="1"/>
  <c r="Y28" i="18" s="1"/>
  <c r="G103" i="18"/>
  <c r="CA103" i="6" s="1"/>
  <c r="G290" i="18"/>
  <c r="CA290" i="6" s="1"/>
  <c r="G152" i="18"/>
  <c r="CA152" i="6" s="1"/>
  <c r="AA158" i="18"/>
  <c r="Z158" i="18" s="1"/>
  <c r="Y158" i="18" s="1"/>
  <c r="G192" i="18"/>
  <c r="CA192" i="6" s="1"/>
  <c r="H28" i="18"/>
  <c r="H239" i="18"/>
  <c r="J239" i="18" s="1"/>
  <c r="H109" i="18"/>
  <c r="AA103" i="18"/>
  <c r="Z103" i="18" s="1"/>
  <c r="Y103" i="18" s="1"/>
  <c r="G220" i="18"/>
  <c r="CA220" i="6" s="1"/>
  <c r="H134" i="18"/>
  <c r="I134" i="18" s="1"/>
  <c r="H111" i="18"/>
  <c r="H303" i="18"/>
  <c r="I303" i="18" s="1"/>
  <c r="AA99" i="18"/>
  <c r="Z99" i="18" s="1"/>
  <c r="Y99" i="18" s="1"/>
  <c r="G286" i="18"/>
  <c r="CA286" i="6" s="1"/>
  <c r="H158" i="18"/>
  <c r="H128" i="18"/>
  <c r="J128" i="18" s="1"/>
  <c r="AA239" i="18"/>
  <c r="Z239" i="18" s="1"/>
  <c r="Y239" i="18" s="1"/>
  <c r="AA152" i="18"/>
  <c r="Z152" i="18" s="1"/>
  <c r="Y152" i="18" s="1"/>
  <c r="U377" i="20"/>
  <c r="T377" i="20" s="1"/>
  <c r="S377" i="20" s="1"/>
  <c r="R377" i="20" s="1"/>
  <c r="P377" i="20" s="1"/>
  <c r="V377" i="20" s="1"/>
  <c r="B377" i="20" s="1"/>
  <c r="AA191" i="18"/>
  <c r="Z191" i="18" s="1"/>
  <c r="Y191" i="18" s="1"/>
  <c r="G53" i="18"/>
  <c r="CA53" i="6" s="1"/>
  <c r="H137" i="18"/>
  <c r="I137" i="18" s="1"/>
  <c r="U99" i="20"/>
  <c r="T99" i="20" s="1"/>
  <c r="S99" i="20" s="1"/>
  <c r="R99" i="20" s="1"/>
  <c r="P99" i="20" s="1"/>
  <c r="V99" i="20" s="1"/>
  <c r="B99" i="20" s="1"/>
  <c r="U27" i="20"/>
  <c r="T27" i="20" s="1"/>
  <c r="S27" i="20" s="1"/>
  <c r="R27" i="20" s="1"/>
  <c r="P27" i="20" s="1"/>
  <c r="V27" i="20" s="1"/>
  <c r="H266" i="18"/>
  <c r="U87" i="20"/>
  <c r="T87" i="20" s="1"/>
  <c r="S87" i="20" s="1"/>
  <c r="R87" i="20" s="1"/>
  <c r="P87" i="20" s="1"/>
  <c r="V87" i="20" s="1"/>
  <c r="U203" i="20"/>
  <c r="T203" i="20" s="1"/>
  <c r="S203" i="20" s="1"/>
  <c r="R203" i="20" s="1"/>
  <c r="P203" i="20" s="1"/>
  <c r="V203" i="20" s="1"/>
  <c r="U44" i="20"/>
  <c r="T44" i="20" s="1"/>
  <c r="S44" i="20" s="1"/>
  <c r="R44" i="20" s="1"/>
  <c r="P44" i="20" s="1"/>
  <c r="V44" i="20" s="1"/>
  <c r="U193" i="20"/>
  <c r="T193" i="20" s="1"/>
  <c r="S193" i="20" s="1"/>
  <c r="R193" i="20" s="1"/>
  <c r="P193" i="20" s="1"/>
  <c r="V193" i="20" s="1"/>
  <c r="U114" i="20"/>
  <c r="T114" i="20" s="1"/>
  <c r="S114" i="20" s="1"/>
  <c r="R114" i="20" s="1"/>
  <c r="P114" i="20" s="1"/>
  <c r="V114" i="20" s="1"/>
  <c r="U307" i="20"/>
  <c r="T307" i="20" s="1"/>
  <c r="S307" i="20" s="1"/>
  <c r="R307" i="20" s="1"/>
  <c r="P307" i="20" s="1"/>
  <c r="V307" i="20" s="1"/>
  <c r="H67" i="18"/>
  <c r="J67" i="18" s="1"/>
  <c r="AA249" i="18"/>
  <c r="Z249" i="18" s="1"/>
  <c r="Y249" i="18" s="1"/>
  <c r="AA228" i="18"/>
  <c r="Z228" i="18" s="1"/>
  <c r="Y228" i="18" s="1"/>
  <c r="AA52" i="18"/>
  <c r="Z52" i="18" s="1"/>
  <c r="Y52" i="18" s="1"/>
  <c r="U167" i="20"/>
  <c r="T167" i="20" s="1"/>
  <c r="S167" i="20" s="1"/>
  <c r="R167" i="20" s="1"/>
  <c r="P167" i="20" s="1"/>
  <c r="V167" i="20" s="1"/>
  <c r="U130" i="20"/>
  <c r="T130" i="20" s="1"/>
  <c r="S130" i="20" s="1"/>
  <c r="R130" i="20" s="1"/>
  <c r="P130" i="20" s="1"/>
  <c r="V130" i="20" s="1"/>
  <c r="U173" i="20"/>
  <c r="T173" i="20" s="1"/>
  <c r="S173" i="20" s="1"/>
  <c r="R173" i="20" s="1"/>
  <c r="P173" i="20" s="1"/>
  <c r="V173" i="20" s="1"/>
  <c r="U31" i="20"/>
  <c r="T31" i="20" s="1"/>
  <c r="S31" i="20" s="1"/>
  <c r="R31" i="20" s="1"/>
  <c r="P31" i="20" s="1"/>
  <c r="V31" i="20" s="1"/>
  <c r="U364" i="20"/>
  <c r="T364" i="20" s="1"/>
  <c r="S364" i="20" s="1"/>
  <c r="R364" i="20" s="1"/>
  <c r="P364" i="20" s="1"/>
  <c r="V364" i="20" s="1"/>
  <c r="U369" i="20"/>
  <c r="T369" i="20" s="1"/>
  <c r="S369" i="20" s="1"/>
  <c r="R369" i="20" s="1"/>
  <c r="P369" i="20" s="1"/>
  <c r="V369" i="20" s="1"/>
  <c r="U207" i="20"/>
  <c r="T207" i="20" s="1"/>
  <c r="S207" i="20" s="1"/>
  <c r="R207" i="20" s="1"/>
  <c r="P207" i="20" s="1"/>
  <c r="V207" i="20" s="1"/>
  <c r="U204" i="20"/>
  <c r="T204" i="20" s="1"/>
  <c r="S204" i="20" s="1"/>
  <c r="R204" i="20" s="1"/>
  <c r="P204" i="20" s="1"/>
  <c r="V204" i="20" s="1"/>
  <c r="U318" i="20"/>
  <c r="T318" i="20" s="1"/>
  <c r="S318" i="20" s="1"/>
  <c r="R318" i="20" s="1"/>
  <c r="P318" i="20" s="1"/>
  <c r="V318" i="20" s="1"/>
  <c r="U40" i="20"/>
  <c r="T40" i="20" s="1"/>
  <c r="S40" i="20" s="1"/>
  <c r="R40" i="20" s="1"/>
  <c r="P40" i="20" s="1"/>
  <c r="V40" i="20" s="1"/>
  <c r="U58" i="20"/>
  <c r="T58" i="20" s="1"/>
  <c r="S58" i="20" s="1"/>
  <c r="R58" i="20" s="1"/>
  <c r="P58" i="20" s="1"/>
  <c r="V58" i="20" s="1"/>
  <c r="U103" i="20"/>
  <c r="T103" i="20" s="1"/>
  <c r="S103" i="20" s="1"/>
  <c r="R103" i="20" s="1"/>
  <c r="P103" i="20" s="1"/>
  <c r="V103" i="20" s="1"/>
  <c r="G67" i="18"/>
  <c r="CA67" i="6" s="1"/>
  <c r="AA136" i="18"/>
  <c r="Z136" i="18" s="1"/>
  <c r="Y136" i="18" s="1"/>
  <c r="H130" i="18"/>
  <c r="I130" i="18" s="1"/>
  <c r="AA84" i="18"/>
  <c r="Z84" i="18" s="1"/>
  <c r="Y84" i="18" s="1"/>
  <c r="G300" i="18"/>
  <c r="CA300" i="6" s="1"/>
  <c r="H193" i="18"/>
  <c r="I193" i="18" s="1"/>
  <c r="H97" i="18"/>
  <c r="I97" i="18" s="1"/>
  <c r="G171" i="18"/>
  <c r="CA171" i="6" s="1"/>
  <c r="U259" i="20"/>
  <c r="T259" i="20" s="1"/>
  <c r="S259" i="20" s="1"/>
  <c r="R259" i="20" s="1"/>
  <c r="P259" i="20" s="1"/>
  <c r="V259" i="20" s="1"/>
  <c r="U156" i="20"/>
  <c r="T156" i="20" s="1"/>
  <c r="S156" i="20" s="1"/>
  <c r="R156" i="20" s="1"/>
  <c r="P156" i="20" s="1"/>
  <c r="V156" i="20" s="1"/>
  <c r="U333" i="20"/>
  <c r="T333" i="20" s="1"/>
  <c r="S333" i="20" s="1"/>
  <c r="R333" i="20" s="1"/>
  <c r="P333" i="20" s="1"/>
  <c r="AH30" i="7" s="1"/>
  <c r="U264" i="20"/>
  <c r="T264" i="20" s="1"/>
  <c r="S264" i="20" s="1"/>
  <c r="R264" i="20" s="1"/>
  <c r="P264" i="20" s="1"/>
  <c r="V264" i="20" s="1"/>
  <c r="U53" i="20"/>
  <c r="T53" i="20" s="1"/>
  <c r="S53" i="20" s="1"/>
  <c r="R53" i="20" s="1"/>
  <c r="P53" i="20" s="1"/>
  <c r="V53" i="20" s="1"/>
  <c r="U274" i="20"/>
  <c r="T274" i="20" s="1"/>
  <c r="S274" i="20" s="1"/>
  <c r="R274" i="20" s="1"/>
  <c r="P274" i="20" s="1"/>
  <c r="V274" i="20" s="1"/>
  <c r="U206" i="20"/>
  <c r="T206" i="20" s="1"/>
  <c r="S206" i="20" s="1"/>
  <c r="R206" i="20" s="1"/>
  <c r="P206" i="20" s="1"/>
  <c r="V206" i="20" s="1"/>
  <c r="U62" i="20"/>
  <c r="T62" i="20" s="1"/>
  <c r="S62" i="20" s="1"/>
  <c r="R62" i="20" s="1"/>
  <c r="P62" i="20" s="1"/>
  <c r="V62" i="20" s="1"/>
  <c r="U244" i="20"/>
  <c r="T244" i="20" s="1"/>
  <c r="S244" i="20" s="1"/>
  <c r="R244" i="20" s="1"/>
  <c r="P244" i="20" s="1"/>
  <c r="V244" i="20" s="1"/>
  <c r="U122" i="20"/>
  <c r="T122" i="20" s="1"/>
  <c r="S122" i="20" s="1"/>
  <c r="R122" i="20" s="1"/>
  <c r="P122" i="20" s="1"/>
  <c r="V122" i="20" s="1"/>
  <c r="U241" i="20"/>
  <c r="T241" i="20" s="1"/>
  <c r="S241" i="20" s="1"/>
  <c r="R241" i="20" s="1"/>
  <c r="P241" i="20" s="1"/>
  <c r="V241" i="20" s="1"/>
  <c r="B241" i="20" s="1"/>
  <c r="U91" i="20"/>
  <c r="T91" i="20" s="1"/>
  <c r="S91" i="20" s="1"/>
  <c r="R91" i="20" s="1"/>
  <c r="P91" i="20" s="1"/>
  <c r="V91" i="20" s="1"/>
  <c r="U349" i="20"/>
  <c r="T349" i="20" s="1"/>
  <c r="S349" i="20" s="1"/>
  <c r="R349" i="20" s="1"/>
  <c r="P349" i="20" s="1"/>
  <c r="V349" i="20" s="1"/>
  <c r="U86" i="20"/>
  <c r="T86" i="20" s="1"/>
  <c r="S86" i="20" s="1"/>
  <c r="R86" i="20" s="1"/>
  <c r="P86" i="20" s="1"/>
  <c r="V86" i="20" s="1"/>
  <c r="U266" i="20"/>
  <c r="T266" i="20" s="1"/>
  <c r="S266" i="20" s="1"/>
  <c r="R266" i="20" s="1"/>
  <c r="P266" i="20" s="1"/>
  <c r="V266" i="20" s="1"/>
  <c r="U32" i="20"/>
  <c r="T32" i="20" s="1"/>
  <c r="S32" i="20" s="1"/>
  <c r="R32" i="20" s="1"/>
  <c r="P32" i="20" s="1"/>
  <c r="V32" i="20" s="1"/>
  <c r="U306" i="20"/>
  <c r="T306" i="20" s="1"/>
  <c r="S306" i="20" s="1"/>
  <c r="R306" i="20" s="1"/>
  <c r="P306" i="20" s="1"/>
  <c r="V306" i="20" s="1"/>
  <c r="U166" i="20"/>
  <c r="T166" i="20" s="1"/>
  <c r="S166" i="20" s="1"/>
  <c r="R166" i="20" s="1"/>
  <c r="P166" i="20" s="1"/>
  <c r="V166" i="20" s="1"/>
  <c r="U310" i="20"/>
  <c r="T310" i="20" s="1"/>
  <c r="S310" i="20" s="1"/>
  <c r="R310" i="20" s="1"/>
  <c r="P310" i="20" s="1"/>
  <c r="V310" i="20" s="1"/>
  <c r="U96" i="20"/>
  <c r="T96" i="20" s="1"/>
  <c r="S96" i="20" s="1"/>
  <c r="R96" i="20" s="1"/>
  <c r="P96" i="20" s="1"/>
  <c r="V96" i="20" s="1"/>
  <c r="U51" i="20"/>
  <c r="T51" i="20" s="1"/>
  <c r="S51" i="20" s="1"/>
  <c r="R51" i="20" s="1"/>
  <c r="P51" i="20" s="1"/>
  <c r="V51" i="20" s="1"/>
  <c r="U71" i="20"/>
  <c r="T71" i="20" s="1"/>
  <c r="S71" i="20" s="1"/>
  <c r="R71" i="20" s="1"/>
  <c r="P71" i="20" s="1"/>
  <c r="V71" i="20" s="1"/>
  <c r="U375" i="20"/>
  <c r="T375" i="20" s="1"/>
  <c r="S375" i="20" s="1"/>
  <c r="R375" i="20" s="1"/>
  <c r="P375" i="20" s="1"/>
  <c r="V375" i="20" s="1"/>
  <c r="AA112" i="18"/>
  <c r="Z112" i="18" s="1"/>
  <c r="Y112" i="18" s="1"/>
  <c r="H247" i="18"/>
  <c r="J247" i="18" s="1"/>
  <c r="G266" i="18"/>
  <c r="CA266" i="6" s="1"/>
  <c r="H112" i="18"/>
  <c r="J112" i="18" s="1"/>
  <c r="H136" i="18"/>
  <c r="J136" i="18" s="1"/>
  <c r="G130" i="18"/>
  <c r="CA130" i="6" s="1"/>
  <c r="G84" i="18"/>
  <c r="CA84" i="6" s="1"/>
  <c r="H300" i="18"/>
  <c r="J300" i="18" s="1"/>
  <c r="AA193" i="18"/>
  <c r="Z193" i="18" s="1"/>
  <c r="Y193" i="18" s="1"/>
  <c r="H249" i="18"/>
  <c r="J249" i="18" s="1"/>
  <c r="H228" i="18"/>
  <c r="I228" i="18" s="1"/>
  <c r="G360" i="18"/>
  <c r="CA360" i="6" s="1"/>
  <c r="AA222" i="18"/>
  <c r="Z222" i="18" s="1"/>
  <c r="Y222" i="18" s="1"/>
  <c r="H292" i="18"/>
  <c r="J292" i="18" s="1"/>
  <c r="H23" i="18"/>
  <c r="J23" i="18" s="1"/>
  <c r="G159" i="18"/>
  <c r="CA159" i="6" s="1"/>
  <c r="AA244" i="18"/>
  <c r="Z244" i="18" s="1"/>
  <c r="Y244" i="18" s="1"/>
  <c r="G331" i="18"/>
  <c r="CA331" i="6" s="1"/>
  <c r="H64" i="18"/>
  <c r="J64" i="18" s="1"/>
  <c r="AA184" i="18"/>
  <c r="Z184" i="18" s="1"/>
  <c r="Y184" i="18" s="1"/>
  <c r="G168" i="18"/>
  <c r="CA168" i="6" s="1"/>
  <c r="AA316" i="18"/>
  <c r="Z316" i="18" s="1"/>
  <c r="Y316" i="18" s="1"/>
  <c r="AA50" i="18"/>
  <c r="Z50" i="18" s="1"/>
  <c r="Y50" i="18" s="1"/>
  <c r="H339" i="18"/>
  <c r="G294" i="18"/>
  <c r="CA294" i="6" s="1"/>
  <c r="H322" i="18"/>
  <c r="I322" i="18" s="1"/>
  <c r="H248" i="18"/>
  <c r="J248" i="18" s="1"/>
  <c r="AA253" i="18"/>
  <c r="Z253" i="18" s="1"/>
  <c r="Y253" i="18" s="1"/>
  <c r="AA47" i="18"/>
  <c r="Z47" i="18" s="1"/>
  <c r="Y47" i="18" s="1"/>
  <c r="G289" i="18"/>
  <c r="CA289" i="6" s="1"/>
  <c r="H146" i="18"/>
  <c r="I146" i="18" s="1"/>
  <c r="H165" i="18"/>
  <c r="I165" i="18" s="1"/>
  <c r="AA205" i="18"/>
  <c r="Z205" i="18" s="1"/>
  <c r="Y205" i="18" s="1"/>
  <c r="G358" i="18"/>
  <c r="CA358" i="6" s="1"/>
  <c r="G20" i="18"/>
  <c r="CA20" i="6" s="1"/>
  <c r="G202" i="18"/>
  <c r="CA202" i="6" s="1"/>
  <c r="G377" i="18"/>
  <c r="CA377" i="6" s="1"/>
  <c r="G312" i="18"/>
  <c r="CA312" i="6" s="1"/>
  <c r="AA364" i="18"/>
  <c r="Z364" i="18" s="1"/>
  <c r="Y364" i="18" s="1"/>
  <c r="G83" i="18"/>
  <c r="CA83" i="6" s="1"/>
  <c r="H156" i="18"/>
  <c r="J156" i="18" s="1"/>
  <c r="G157" i="18"/>
  <c r="CA157" i="6" s="1"/>
  <c r="AA154" i="18"/>
  <c r="Z154" i="18" s="1"/>
  <c r="Y154" i="18" s="1"/>
  <c r="G345" i="18"/>
  <c r="CA345" i="6" s="1"/>
  <c r="H196" i="18"/>
  <c r="J196" i="18" s="1"/>
  <c r="AA235" i="18"/>
  <c r="Z235" i="18" s="1"/>
  <c r="Y235" i="18" s="1"/>
  <c r="H371" i="18"/>
  <c r="I371" i="18" s="1"/>
  <c r="AA85" i="18"/>
  <c r="Z85" i="18" s="1"/>
  <c r="Y85" i="18" s="1"/>
  <c r="I135" i="18"/>
  <c r="H178" i="18"/>
  <c r="J178" i="18" s="1"/>
  <c r="AA233" i="18"/>
  <c r="Z233" i="18" s="1"/>
  <c r="Y233" i="18" s="1"/>
  <c r="H80" i="18"/>
  <c r="J80" i="18" s="1"/>
  <c r="AA204" i="18"/>
  <c r="Z204" i="18" s="1"/>
  <c r="Y204" i="18" s="1"/>
  <c r="G292" i="18"/>
  <c r="CA292" i="6" s="1"/>
  <c r="G195" i="18"/>
  <c r="CA195" i="6" s="1"/>
  <c r="H206" i="18"/>
  <c r="I206" i="18" s="1"/>
  <c r="AA45" i="18"/>
  <c r="Z45" i="18" s="1"/>
  <c r="Y45" i="18" s="1"/>
  <c r="H289" i="18"/>
  <c r="J289" i="18" s="1"/>
  <c r="AA16" i="18"/>
  <c r="Z16" i="18" s="1"/>
  <c r="Y16" i="18" s="1"/>
  <c r="AA83" i="18"/>
  <c r="Z83" i="18" s="1"/>
  <c r="Y83" i="18" s="1"/>
  <c r="G102" i="18"/>
  <c r="CA102" i="6" s="1"/>
  <c r="AA303" i="18"/>
  <c r="Z303" i="18" s="1"/>
  <c r="Y303" i="18" s="1"/>
  <c r="H71" i="18"/>
  <c r="I71" i="18" s="1"/>
  <c r="H367" i="18"/>
  <c r="J367" i="18" s="1"/>
  <c r="G376" i="18"/>
  <c r="CA376" i="6" s="1"/>
  <c r="AA283" i="18"/>
  <c r="Z283" i="18" s="1"/>
  <c r="Y283" i="18" s="1"/>
  <c r="H368" i="18"/>
  <c r="I368" i="18" s="1"/>
  <c r="H233" i="18"/>
  <c r="I233" i="18" s="1"/>
  <c r="G64" i="18"/>
  <c r="CA64" i="6" s="1"/>
  <c r="H184" i="18"/>
  <c r="I184" i="18" s="1"/>
  <c r="AA80" i="18"/>
  <c r="Z80" i="18" s="1"/>
  <c r="Y80" i="18" s="1"/>
  <c r="G200" i="18"/>
  <c r="CA200" i="6" s="1"/>
  <c r="H277" i="18"/>
  <c r="J277" i="18" s="1"/>
  <c r="G364" i="18"/>
  <c r="CA364" i="6" s="1"/>
  <c r="G172" i="18"/>
  <c r="CA172" i="6" s="1"/>
  <c r="H26" i="18"/>
  <c r="J26" i="18" s="1"/>
  <c r="G194" i="18"/>
  <c r="CA194" i="6" s="1"/>
  <c r="H102" i="18"/>
  <c r="I102" i="18" s="1"/>
  <c r="G154" i="18"/>
  <c r="CA154" i="6" s="1"/>
  <c r="H229" i="18"/>
  <c r="J229" i="18" s="1"/>
  <c r="G165" i="18"/>
  <c r="CA165" i="6" s="1"/>
  <c r="H358" i="18"/>
  <c r="I358" i="18" s="1"/>
  <c r="AA284" i="18"/>
  <c r="Z284" i="18" s="1"/>
  <c r="Y284" i="18" s="1"/>
  <c r="AA196" i="18"/>
  <c r="Z196" i="18" s="1"/>
  <c r="Y196" i="18" s="1"/>
  <c r="G235" i="18"/>
  <c r="CA235" i="6" s="1"/>
  <c r="G371" i="18"/>
  <c r="CA371" i="6" s="1"/>
  <c r="H20" i="18"/>
  <c r="J20" i="18" s="1"/>
  <c r="H85" i="18"/>
  <c r="I85" i="18" s="1"/>
  <c r="AA70" i="18"/>
  <c r="Z70" i="18" s="1"/>
  <c r="Y70" i="18" s="1"/>
  <c r="G122" i="18"/>
  <c r="CA122" i="6" s="1"/>
  <c r="AA312" i="18"/>
  <c r="Z312" i="18" s="1"/>
  <c r="Y312" i="18" s="1"/>
  <c r="AA202" i="18"/>
  <c r="Z202" i="18" s="1"/>
  <c r="Y202" i="18" s="1"/>
  <c r="I258" i="18"/>
  <c r="H211" i="18"/>
  <c r="I211" i="18" s="1"/>
  <c r="AA168" i="18"/>
  <c r="Z168" i="18" s="1"/>
  <c r="Y168" i="18" s="1"/>
  <c r="H73" i="18"/>
  <c r="I73" i="18" s="1"/>
  <c r="G118" i="18"/>
  <c r="CA118" i="6" s="1"/>
  <c r="G50" i="18"/>
  <c r="CA50" i="6" s="1"/>
  <c r="H365" i="18"/>
  <c r="I365" i="18" s="1"/>
  <c r="G56" i="18"/>
  <c r="CA56" i="6" s="1"/>
  <c r="G120" i="18"/>
  <c r="CA120" i="6" s="1"/>
  <c r="AA159" i="18"/>
  <c r="Z159" i="18" s="1"/>
  <c r="Y159" i="18" s="1"/>
  <c r="H203" i="18"/>
  <c r="J203" i="18" s="1"/>
  <c r="G242" i="18"/>
  <c r="CA242" i="6" s="1"/>
  <c r="H246" i="18"/>
  <c r="J246" i="18" s="1"/>
  <c r="G244" i="18"/>
  <c r="CA244" i="6" s="1"/>
  <c r="G107" i="18"/>
  <c r="CA107" i="6" s="1"/>
  <c r="G248" i="18"/>
  <c r="CA248" i="6" s="1"/>
  <c r="AA142" i="18"/>
  <c r="Z142" i="18" s="1"/>
  <c r="Y142" i="18" s="1"/>
  <c r="G295" i="18"/>
  <c r="CA295" i="6" s="1"/>
  <c r="J166" i="18"/>
  <c r="AA211" i="18"/>
  <c r="Z211" i="18" s="1"/>
  <c r="Y211" i="18" s="1"/>
  <c r="AA263" i="18"/>
  <c r="Z263" i="18" s="1"/>
  <c r="Y263" i="18" s="1"/>
  <c r="G179" i="18"/>
  <c r="CA179" i="6" s="1"/>
  <c r="AA218" i="18"/>
  <c r="Z218" i="18" s="1"/>
  <c r="Y218" i="18" s="1"/>
  <c r="AA23" i="18"/>
  <c r="Z23" i="18" s="1"/>
  <c r="Y23" i="18" s="1"/>
  <c r="G73" i="18"/>
  <c r="CA73" i="6" s="1"/>
  <c r="H118" i="18"/>
  <c r="I118" i="18" s="1"/>
  <c r="G52" i="18"/>
  <c r="CA52" i="6" s="1"/>
  <c r="G247" i="18"/>
  <c r="CA247" i="6" s="1"/>
  <c r="AA339" i="18"/>
  <c r="Z339" i="18" s="1"/>
  <c r="Y339" i="18" s="1"/>
  <c r="G365" i="18"/>
  <c r="CA365" i="6" s="1"/>
  <c r="H296" i="18"/>
  <c r="J296" i="18" s="1"/>
  <c r="H21" i="18"/>
  <c r="J21" i="18" s="1"/>
  <c r="H56" i="18"/>
  <c r="I56" i="18" s="1"/>
  <c r="G231" i="18"/>
  <c r="CA231" i="6" s="1"/>
  <c r="H259" i="18"/>
  <c r="I259" i="18" s="1"/>
  <c r="G92" i="18"/>
  <c r="CA92" i="6" s="1"/>
  <c r="H294" i="18"/>
  <c r="J294" i="18" s="1"/>
  <c r="AA53" i="18"/>
  <c r="Z53" i="18" s="1"/>
  <c r="Y53" i="18" s="1"/>
  <c r="AA65" i="18"/>
  <c r="Z65" i="18" s="1"/>
  <c r="Y65" i="18" s="1"/>
  <c r="AA322" i="18"/>
  <c r="Z322" i="18" s="1"/>
  <c r="Y322" i="18" s="1"/>
  <c r="H242" i="18"/>
  <c r="J242" i="18" s="1"/>
  <c r="G246" i="18"/>
  <c r="CA246" i="6" s="1"/>
  <c r="G42" i="18"/>
  <c r="CA42" i="6" s="1"/>
  <c r="G46" i="18"/>
  <c r="CA46" i="6" s="1"/>
  <c r="H142" i="18"/>
  <c r="I142" i="18" s="1"/>
  <c r="G370" i="18"/>
  <c r="CA370" i="6" s="1"/>
  <c r="AA82" i="18"/>
  <c r="Z82" i="18" s="1"/>
  <c r="Y82" i="18" s="1"/>
  <c r="G49" i="18"/>
  <c r="CA49" i="6" s="1"/>
  <c r="G47" i="18"/>
  <c r="CA47" i="6" s="1"/>
  <c r="G275" i="18"/>
  <c r="CA275" i="6" s="1"/>
  <c r="AA90" i="18"/>
  <c r="Z90" i="18" s="1"/>
  <c r="Y90" i="18" s="1"/>
  <c r="H238" i="18"/>
  <c r="J238" i="18" s="1"/>
  <c r="AA279" i="18"/>
  <c r="Z279" i="18" s="1"/>
  <c r="Y279" i="18" s="1"/>
  <c r="AA68" i="18"/>
  <c r="Z68" i="18" s="1"/>
  <c r="Y68" i="18" s="1"/>
  <c r="H176" i="18"/>
  <c r="I176" i="18" s="1"/>
  <c r="AA98" i="18"/>
  <c r="Z98" i="18" s="1"/>
  <c r="Y98" i="18" s="1"/>
  <c r="I227" i="18"/>
  <c r="AA331" i="18"/>
  <c r="Z331" i="18" s="1"/>
  <c r="Y331" i="18" s="1"/>
  <c r="AA367" i="18"/>
  <c r="Z367" i="18" s="1"/>
  <c r="Y367" i="18" s="1"/>
  <c r="G263" i="18"/>
  <c r="CA263" i="6" s="1"/>
  <c r="AA179" i="18"/>
  <c r="Z179" i="18" s="1"/>
  <c r="Y179" i="18" s="1"/>
  <c r="H218" i="18"/>
  <c r="J218" i="18" s="1"/>
  <c r="G316" i="18"/>
  <c r="CA316" i="6" s="1"/>
  <c r="AA296" i="18"/>
  <c r="Z296" i="18" s="1"/>
  <c r="Y296" i="18" s="1"/>
  <c r="G21" i="18"/>
  <c r="CA21" i="6" s="1"/>
  <c r="AA120" i="18"/>
  <c r="Z120" i="18" s="1"/>
  <c r="Y120" i="18" s="1"/>
  <c r="G35" i="18"/>
  <c r="CA35" i="6" s="1"/>
  <c r="G65" i="18"/>
  <c r="CA65" i="6" s="1"/>
  <c r="H42" i="18"/>
  <c r="I42" i="18" s="1"/>
  <c r="AA46" i="18"/>
  <c r="Z46" i="18" s="1"/>
  <c r="Y46" i="18" s="1"/>
  <c r="G253" i="18"/>
  <c r="CA253" i="6" s="1"/>
  <c r="H370" i="18"/>
  <c r="J370" i="18" s="1"/>
  <c r="H82" i="18"/>
  <c r="J82" i="18" s="1"/>
  <c r="H49" i="18"/>
  <c r="J49" i="18" s="1"/>
  <c r="G90" i="18"/>
  <c r="CA90" i="6" s="1"/>
  <c r="H279" i="18"/>
  <c r="I279" i="18" s="1"/>
  <c r="G68" i="18"/>
  <c r="CA68" i="6" s="1"/>
  <c r="G176" i="18"/>
  <c r="CA176" i="6" s="1"/>
  <c r="G258" i="18"/>
  <c r="CA258" i="6" s="1"/>
  <c r="AA360" i="18"/>
  <c r="Z360" i="18" s="1"/>
  <c r="Y360" i="18" s="1"/>
  <c r="AA295" i="18"/>
  <c r="Z295" i="18" s="1"/>
  <c r="Y295" i="18" s="1"/>
  <c r="H200" i="18"/>
  <c r="I200" i="18" s="1"/>
  <c r="H204" i="18"/>
  <c r="J204" i="18" s="1"/>
  <c r="AA277" i="18"/>
  <c r="Z277" i="18" s="1"/>
  <c r="Y277" i="18" s="1"/>
  <c r="G89" i="18"/>
  <c r="CA89" i="6" s="1"/>
  <c r="G257" i="18"/>
  <c r="CA257" i="6" s="1"/>
  <c r="G206" i="18"/>
  <c r="CA206" i="6" s="1"/>
  <c r="H342" i="18"/>
  <c r="J342" i="18" s="1"/>
  <c r="G45" i="18"/>
  <c r="CA45" i="6" s="1"/>
  <c r="H172" i="18"/>
  <c r="I172" i="18" s="1"/>
  <c r="AA26" i="18"/>
  <c r="Z26" i="18" s="1"/>
  <c r="Y26" i="18" s="1"/>
  <c r="H269" i="18"/>
  <c r="I269" i="18" s="1"/>
  <c r="H16" i="18"/>
  <c r="J16" i="18" s="1"/>
  <c r="H100" i="18"/>
  <c r="I100" i="18" s="1"/>
  <c r="AA208" i="18"/>
  <c r="Z208" i="18" s="1"/>
  <c r="Y208" i="18" s="1"/>
  <c r="AA71" i="18"/>
  <c r="Z71" i="18" s="1"/>
  <c r="Y71" i="18" s="1"/>
  <c r="H205" i="18"/>
  <c r="J205" i="18" s="1"/>
  <c r="AA265" i="18"/>
  <c r="Z265" i="18" s="1"/>
  <c r="Y265" i="18" s="1"/>
  <c r="G284" i="18"/>
  <c r="CA284" i="6" s="1"/>
  <c r="G226" i="18"/>
  <c r="CA226" i="6" s="1"/>
  <c r="H283" i="18"/>
  <c r="J283" i="18" s="1"/>
  <c r="H70" i="18"/>
  <c r="J70" i="18" s="1"/>
  <c r="AA178" i="18"/>
  <c r="Z178" i="18" s="1"/>
  <c r="Y178" i="18" s="1"/>
  <c r="AA376" i="18"/>
  <c r="Z376" i="18" s="1"/>
  <c r="Y376" i="18" s="1"/>
  <c r="AA352" i="18"/>
  <c r="Z352" i="18" s="1"/>
  <c r="Y352" i="18" s="1"/>
  <c r="H352" i="18"/>
  <c r="J352" i="18" s="1"/>
  <c r="AA89" i="18"/>
  <c r="Z89" i="18" s="1"/>
  <c r="Y89" i="18" s="1"/>
  <c r="H257" i="18"/>
  <c r="J257" i="18" s="1"/>
  <c r="G269" i="18"/>
  <c r="CA269" i="6" s="1"/>
  <c r="AA100" i="18"/>
  <c r="Z100" i="18" s="1"/>
  <c r="Y100" i="18" s="1"/>
  <c r="AA229" i="18"/>
  <c r="Z229" i="18" s="1"/>
  <c r="Y229" i="18" s="1"/>
  <c r="AL10" i="17"/>
  <c r="H92" i="18"/>
  <c r="I92" i="18" s="1"/>
  <c r="AA35" i="18"/>
  <c r="Z35" i="18" s="1"/>
  <c r="Y35" i="18" s="1"/>
  <c r="AA223" i="18"/>
  <c r="Z223" i="18" s="1"/>
  <c r="Y223" i="18" s="1"/>
  <c r="AA243" i="18"/>
  <c r="Z243" i="18" s="1"/>
  <c r="Y243" i="18" s="1"/>
  <c r="H54" i="18"/>
  <c r="I54" i="18" s="1"/>
  <c r="H260" i="18"/>
  <c r="J260" i="18" s="1"/>
  <c r="H173" i="18"/>
  <c r="J173" i="18" s="1"/>
  <c r="AA341" i="18"/>
  <c r="Z341" i="18" s="1"/>
  <c r="Y341" i="18" s="1"/>
  <c r="G155" i="18"/>
  <c r="CA155" i="6" s="1"/>
  <c r="G114" i="18"/>
  <c r="CA114" i="6" s="1"/>
  <c r="AA366" i="18"/>
  <c r="Z366" i="18" s="1"/>
  <c r="Y366" i="18" s="1"/>
  <c r="AL8" i="17"/>
  <c r="AL12" i="17" s="1"/>
  <c r="AJ4" i="17" s="1"/>
  <c r="P14" i="19" s="1"/>
  <c r="AA212" i="18"/>
  <c r="Z212" i="18" s="1"/>
  <c r="Y212" i="18" s="1"/>
  <c r="G291" i="18"/>
  <c r="CA291" i="6" s="1"/>
  <c r="G214" i="18"/>
  <c r="CA214" i="6" s="1"/>
  <c r="H116" i="18"/>
  <c r="I116" i="18" s="1"/>
  <c r="AA377" i="18"/>
  <c r="Z377" i="18" s="1"/>
  <c r="Y377" i="18" s="1"/>
  <c r="H346" i="18"/>
  <c r="J346" i="18" s="1"/>
  <c r="AA315" i="18"/>
  <c r="Z315" i="18" s="1"/>
  <c r="Y315" i="18" s="1"/>
  <c r="AA114" i="18"/>
  <c r="Z114" i="18" s="1"/>
  <c r="Y114" i="18" s="1"/>
  <c r="G366" i="18"/>
  <c r="CA366" i="6" s="1"/>
  <c r="G24" i="18"/>
  <c r="CA24" i="6" s="1"/>
  <c r="G354" i="18"/>
  <c r="CA354" i="6" s="1"/>
  <c r="AA214" i="18"/>
  <c r="Z214" i="18" s="1"/>
  <c r="Y214" i="18" s="1"/>
  <c r="AA116" i="18"/>
  <c r="Z116" i="18" s="1"/>
  <c r="Y116" i="18" s="1"/>
  <c r="AA256" i="18"/>
  <c r="Z256" i="18" s="1"/>
  <c r="Y256" i="18" s="1"/>
  <c r="G287" i="18"/>
  <c r="CA287" i="6" s="1"/>
  <c r="G124" i="18"/>
  <c r="CA124" i="6" s="1"/>
  <c r="G81" i="18"/>
  <c r="CA81" i="6" s="1"/>
  <c r="AA43" i="18"/>
  <c r="Z43" i="18" s="1"/>
  <c r="Y43" i="18" s="1"/>
  <c r="G139" i="18"/>
  <c r="CA139" i="6" s="1"/>
  <c r="H267" i="18"/>
  <c r="I267" i="18" s="1"/>
  <c r="G191" i="18"/>
  <c r="CA191" i="6" s="1"/>
  <c r="AA93" i="18"/>
  <c r="Z93" i="18" s="1"/>
  <c r="Y93" i="18" s="1"/>
  <c r="AA24" i="18"/>
  <c r="Z24" i="18" s="1"/>
  <c r="Y24" i="18" s="1"/>
  <c r="H265" i="18"/>
  <c r="I265" i="18" s="1"/>
  <c r="H270" i="18"/>
  <c r="I270" i="18" s="1"/>
  <c r="AA291" i="18"/>
  <c r="Z291" i="18" s="1"/>
  <c r="Y291" i="18" s="1"/>
  <c r="AA148" i="18"/>
  <c r="Z148" i="18" s="1"/>
  <c r="Y148" i="18" s="1"/>
  <c r="H357" i="18"/>
  <c r="J357" i="18" s="1"/>
  <c r="G132" i="18"/>
  <c r="CA132" i="6" s="1"/>
  <c r="H141" i="18"/>
  <c r="I141" i="18" s="1"/>
  <c r="G237" i="18"/>
  <c r="CA237" i="6" s="1"/>
  <c r="H338" i="18"/>
  <c r="I338" i="18" s="1"/>
  <c r="G251" i="18"/>
  <c r="CA251" i="6" s="1"/>
  <c r="AA255" i="18"/>
  <c r="Z255" i="18" s="1"/>
  <c r="Y255" i="18" s="1"/>
  <c r="AA66" i="18"/>
  <c r="Z66" i="18" s="1"/>
  <c r="Y66" i="18" s="1"/>
  <c r="H76" i="18"/>
  <c r="J76" i="18" s="1"/>
  <c r="G162" i="18"/>
  <c r="CA162" i="6" s="1"/>
  <c r="G344" i="18"/>
  <c r="CA344" i="6" s="1"/>
  <c r="H87" i="18"/>
  <c r="I87" i="18" s="1"/>
  <c r="H151" i="18"/>
  <c r="J151" i="18" s="1"/>
  <c r="AA129" i="18"/>
  <c r="Z129" i="18" s="1"/>
  <c r="Y129" i="18" s="1"/>
  <c r="AA207" i="18"/>
  <c r="Z207" i="18" s="1"/>
  <c r="Y207" i="18" s="1"/>
  <c r="AA288" i="18"/>
  <c r="Z288" i="18" s="1"/>
  <c r="Y288" i="18" s="1"/>
  <c r="H311" i="18"/>
  <c r="J311" i="18" s="1"/>
  <c r="H169" i="18"/>
  <c r="I169" i="18" s="1"/>
  <c r="G223" i="18"/>
  <c r="CA223" i="6" s="1"/>
  <c r="G127" i="18"/>
  <c r="CA127" i="6" s="1"/>
  <c r="AA280" i="18"/>
  <c r="Z280" i="18" s="1"/>
  <c r="Y280" i="18" s="1"/>
  <c r="G106" i="18"/>
  <c r="CA106" i="6" s="1"/>
  <c r="AA357" i="18"/>
  <c r="Z357" i="18" s="1"/>
  <c r="Y357" i="18" s="1"/>
  <c r="G95" i="18"/>
  <c r="CA95" i="6" s="1"/>
  <c r="H274" i="18"/>
  <c r="J274" i="18" s="1"/>
  <c r="AA230" i="18"/>
  <c r="Z230" i="18" s="1"/>
  <c r="Y230" i="18" s="1"/>
  <c r="G310" i="18"/>
  <c r="CA310" i="6" s="1"/>
  <c r="H143" i="18"/>
  <c r="J143" i="18" s="1"/>
  <c r="AA344" i="18"/>
  <c r="Z344" i="18" s="1"/>
  <c r="Y344" i="18" s="1"/>
  <c r="G33" i="18"/>
  <c r="CA33" i="6" s="1"/>
  <c r="H325" i="18"/>
  <c r="J325" i="18" s="1"/>
  <c r="AA87" i="18"/>
  <c r="Z87" i="18" s="1"/>
  <c r="Y87" i="18" s="1"/>
  <c r="G301" i="18"/>
  <c r="CA301" i="6" s="1"/>
  <c r="AA375" i="18"/>
  <c r="Z375" i="18" s="1"/>
  <c r="Y375" i="18" s="1"/>
  <c r="AA328" i="18"/>
  <c r="Z328" i="18" s="1"/>
  <c r="Y328" i="18" s="1"/>
  <c r="G324" i="18"/>
  <c r="CA324" i="6" s="1"/>
  <c r="AA224" i="18"/>
  <c r="Z224" i="18" s="1"/>
  <c r="Y224" i="18" s="1"/>
  <c r="H188" i="18"/>
  <c r="J188" i="18" s="1"/>
  <c r="G131" i="18"/>
  <c r="CA131" i="6" s="1"/>
  <c r="AA76" i="18"/>
  <c r="Z76" i="18" s="1"/>
  <c r="Y76" i="18" s="1"/>
  <c r="H148" i="18"/>
  <c r="I148" i="18" s="1"/>
  <c r="AA145" i="18"/>
  <c r="Z145" i="18" s="1"/>
  <c r="Y145" i="18" s="1"/>
  <c r="G329" i="18"/>
  <c r="CA329" i="6" s="1"/>
  <c r="G138" i="18"/>
  <c r="CA138" i="6" s="1"/>
  <c r="G361" i="18"/>
  <c r="CA361" i="6" s="1"/>
  <c r="H285" i="18"/>
  <c r="I285" i="18" s="1"/>
  <c r="AA96" i="18"/>
  <c r="Z96" i="18" s="1"/>
  <c r="Y96" i="18" s="1"/>
  <c r="AA113" i="18"/>
  <c r="Z113" i="18" s="1"/>
  <c r="Y113" i="18" s="1"/>
  <c r="AA94" i="18"/>
  <c r="Z94" i="18" s="1"/>
  <c r="Y94" i="18" s="1"/>
  <c r="AA106" i="18"/>
  <c r="Z106" i="18" s="1"/>
  <c r="Y106" i="18" s="1"/>
  <c r="G313" i="18"/>
  <c r="CA313" i="6" s="1"/>
  <c r="AA125" i="18"/>
  <c r="Z125" i="18" s="1"/>
  <c r="Y125" i="18" s="1"/>
  <c r="AA51" i="18"/>
  <c r="Z51" i="18" s="1"/>
  <c r="Y51" i="18" s="1"/>
  <c r="H144" i="18"/>
  <c r="J144" i="18" s="1"/>
  <c r="G150" i="18"/>
  <c r="CA150" i="6" s="1"/>
  <c r="H378" i="18"/>
  <c r="J378" i="18" s="1"/>
  <c r="AA273" i="18"/>
  <c r="Z273" i="18" s="1"/>
  <c r="Y273" i="18" s="1"/>
  <c r="G55" i="18"/>
  <c r="CA55" i="6" s="1"/>
  <c r="AA350" i="18"/>
  <c r="Z350" i="18" s="1"/>
  <c r="Y350" i="18" s="1"/>
  <c r="AA153" i="18"/>
  <c r="Z153" i="18" s="1"/>
  <c r="Y153" i="18" s="1"/>
  <c r="AA308" i="18"/>
  <c r="Z308" i="18" s="1"/>
  <c r="Y308" i="18" s="1"/>
  <c r="AA143" i="18"/>
  <c r="Z143" i="18" s="1"/>
  <c r="Y143" i="18" s="1"/>
  <c r="H33" i="18"/>
  <c r="I33" i="18" s="1"/>
  <c r="AA79" i="18"/>
  <c r="Z79" i="18" s="1"/>
  <c r="Y79" i="18" s="1"/>
  <c r="G355" i="18"/>
  <c r="CA355" i="6" s="1"/>
  <c r="AA301" i="18"/>
  <c r="Z301" i="18" s="1"/>
  <c r="Y301" i="18" s="1"/>
  <c r="AA151" i="18"/>
  <c r="Z151" i="18" s="1"/>
  <c r="Y151" i="18" s="1"/>
  <c r="G129" i="18"/>
  <c r="CA129" i="6" s="1"/>
  <c r="G375" i="18"/>
  <c r="CA375" i="6" s="1"/>
  <c r="H201" i="18"/>
  <c r="I201" i="18" s="1"/>
  <c r="AA309" i="18"/>
  <c r="Z309" i="18" s="1"/>
  <c r="Y309" i="18" s="1"/>
  <c r="G62" i="18"/>
  <c r="CA62" i="6" s="1"/>
  <c r="AA117" i="18"/>
  <c r="Z117" i="18" s="1"/>
  <c r="Y117" i="18" s="1"/>
  <c r="G271" i="18"/>
  <c r="CA271" i="6" s="1"/>
  <c r="AA321" i="18"/>
  <c r="Z321" i="18" s="1"/>
  <c r="Y321" i="18" s="1"/>
  <c r="AA39" i="18"/>
  <c r="Z39" i="18" s="1"/>
  <c r="Y39" i="18" s="1"/>
  <c r="H374" i="18"/>
  <c r="J374" i="18" s="1"/>
  <c r="G227" i="18"/>
  <c r="CA227" i="6" s="1"/>
  <c r="H131" i="18"/>
  <c r="I131" i="18" s="1"/>
  <c r="G63" i="18"/>
  <c r="CA63" i="6" s="1"/>
  <c r="AA281" i="18"/>
  <c r="Z281" i="18" s="1"/>
  <c r="Y281" i="18" s="1"/>
  <c r="G147" i="18"/>
  <c r="CA147" i="6" s="1"/>
  <c r="H174" i="18"/>
  <c r="I174" i="18" s="1"/>
  <c r="AA276" i="18"/>
  <c r="Z276" i="18" s="1"/>
  <c r="Y276" i="18" s="1"/>
  <c r="H27" i="18"/>
  <c r="I27" i="18" s="1"/>
  <c r="G336" i="18"/>
  <c r="CA336" i="6" s="1"/>
  <c r="G307" i="18"/>
  <c r="CA307" i="6" s="1"/>
  <c r="H48" i="18"/>
  <c r="I48" i="18" s="1"/>
  <c r="H348" i="18"/>
  <c r="I348" i="18" s="1"/>
  <c r="G126" i="18"/>
  <c r="CA126" i="6" s="1"/>
  <c r="AA237" i="18"/>
  <c r="Z237" i="18" s="1"/>
  <c r="Y237" i="18" s="1"/>
  <c r="AA271" i="18"/>
  <c r="Z271" i="18" s="1"/>
  <c r="Y271" i="18" s="1"/>
  <c r="AA201" i="18"/>
  <c r="Z201" i="18" s="1"/>
  <c r="Y201" i="18" s="1"/>
  <c r="AA197" i="18"/>
  <c r="Z197" i="18" s="1"/>
  <c r="Y197" i="18" s="1"/>
  <c r="AA285" i="18"/>
  <c r="Z285" i="18" s="1"/>
  <c r="Y285" i="18" s="1"/>
  <c r="H177" i="18"/>
  <c r="J177" i="18" s="1"/>
  <c r="H256" i="18"/>
  <c r="J256" i="18" s="1"/>
  <c r="G160" i="18"/>
  <c r="CA160" i="6" s="1"/>
  <c r="AA77" i="18"/>
  <c r="Z77" i="18" s="1"/>
  <c r="Y77" i="18" s="1"/>
  <c r="G351" i="18"/>
  <c r="CA351" i="6" s="1"/>
  <c r="G133" i="18"/>
  <c r="CA133" i="6" s="1"/>
  <c r="G22" i="18"/>
  <c r="CA22" i="6" s="1"/>
  <c r="AA346" i="18"/>
  <c r="Z346" i="18" s="1"/>
  <c r="Y346" i="18" s="1"/>
  <c r="AA124" i="18"/>
  <c r="Z124" i="18" s="1"/>
  <c r="Y124" i="18" s="1"/>
  <c r="G38" i="18"/>
  <c r="CA38" i="6" s="1"/>
  <c r="AA362" i="18"/>
  <c r="Z362" i="18" s="1"/>
  <c r="Y362" i="18" s="1"/>
  <c r="AA105" i="18"/>
  <c r="Z105" i="18" s="1"/>
  <c r="Y105" i="18" s="1"/>
  <c r="H282" i="18"/>
  <c r="J282" i="18" s="1"/>
  <c r="G173" i="18"/>
  <c r="CA173" i="6" s="1"/>
  <c r="H341" i="18"/>
  <c r="I341" i="18" s="1"/>
  <c r="G340" i="18"/>
  <c r="CA340" i="6" s="1"/>
  <c r="AA139" i="18"/>
  <c r="Z139" i="18" s="1"/>
  <c r="Y139" i="18" s="1"/>
  <c r="G25" i="18"/>
  <c r="CA25" i="6" s="1"/>
  <c r="G61" i="18"/>
  <c r="CA61" i="6" s="1"/>
  <c r="AA378" i="18"/>
  <c r="Z378" i="18" s="1"/>
  <c r="Y378" i="18" s="1"/>
  <c r="G373" i="18"/>
  <c r="CA373" i="6" s="1"/>
  <c r="G75" i="18"/>
  <c r="CA75" i="6" s="1"/>
  <c r="H334" i="18"/>
  <c r="I334" i="18" s="1"/>
  <c r="AA18" i="18"/>
  <c r="Z18" i="18" s="1"/>
  <c r="Y18" i="18" s="1"/>
  <c r="H161" i="18"/>
  <c r="I161" i="18" s="1"/>
  <c r="G170" i="18"/>
  <c r="CA170" i="6" s="1"/>
  <c r="G299" i="18"/>
  <c r="CA299" i="6" s="1"/>
  <c r="AA36" i="18"/>
  <c r="Z36" i="18" s="1"/>
  <c r="Y36" i="18" s="1"/>
  <c r="J105" i="18"/>
  <c r="AA177" i="18"/>
  <c r="Z177" i="18" s="1"/>
  <c r="Y177" i="18" s="1"/>
  <c r="H160" i="18"/>
  <c r="I160" i="18" s="1"/>
  <c r="H254" i="18"/>
  <c r="I254" i="18" s="1"/>
  <c r="G212" i="18"/>
  <c r="CA212" i="6" s="1"/>
  <c r="AA133" i="18"/>
  <c r="Z133" i="18" s="1"/>
  <c r="Y133" i="18" s="1"/>
  <c r="G181" i="18"/>
  <c r="CA181" i="6" s="1"/>
  <c r="H22" i="18"/>
  <c r="I22" i="18" s="1"/>
  <c r="G58" i="18"/>
  <c r="CA58" i="6" s="1"/>
  <c r="G315" i="18"/>
  <c r="CA315" i="6" s="1"/>
  <c r="G153" i="18"/>
  <c r="CA153" i="6" s="1"/>
  <c r="H38" i="18"/>
  <c r="I38" i="18" s="1"/>
  <c r="H362" i="18"/>
  <c r="J362" i="18" s="1"/>
  <c r="G105" i="18"/>
  <c r="CA105" i="6" s="1"/>
  <c r="H43" i="18"/>
  <c r="I43" i="18" s="1"/>
  <c r="AA25" i="18"/>
  <c r="Z25" i="18" s="1"/>
  <c r="Y25" i="18" s="1"/>
  <c r="G183" i="18"/>
  <c r="CA183" i="6" s="1"/>
  <c r="G41" i="18"/>
  <c r="CA41" i="6" s="1"/>
  <c r="G327" i="18"/>
  <c r="CA327" i="6" s="1"/>
  <c r="G51" i="18"/>
  <c r="CA51" i="6" s="1"/>
  <c r="G104" i="18"/>
  <c r="CA104" i="6" s="1"/>
  <c r="AA144" i="18"/>
  <c r="Z144" i="18" s="1"/>
  <c r="Y144" i="18" s="1"/>
  <c r="H187" i="18"/>
  <c r="J187" i="18" s="1"/>
  <c r="H191" i="18"/>
  <c r="I191" i="18" s="1"/>
  <c r="H93" i="18"/>
  <c r="I93" i="18" s="1"/>
  <c r="AA354" i="18"/>
  <c r="Z354" i="18" s="1"/>
  <c r="Y354" i="18" s="1"/>
  <c r="AA373" i="18"/>
  <c r="Z373" i="18" s="1"/>
  <c r="Y373" i="18" s="1"/>
  <c r="H75" i="18"/>
  <c r="I75" i="18" s="1"/>
  <c r="G175" i="18"/>
  <c r="CA175" i="6" s="1"/>
  <c r="AA334" i="18"/>
  <c r="Z334" i="18" s="1"/>
  <c r="Y334" i="18" s="1"/>
  <c r="H18" i="18"/>
  <c r="J18" i="18" s="1"/>
  <c r="G161" i="18"/>
  <c r="CA161" i="6" s="1"/>
  <c r="G217" i="18"/>
  <c r="CA217" i="6" s="1"/>
  <c r="H273" i="18"/>
  <c r="I273" i="18" s="1"/>
  <c r="G221" i="18"/>
  <c r="CA221" i="6" s="1"/>
  <c r="AA19" i="18"/>
  <c r="Z19" i="18" s="1"/>
  <c r="Y19" i="18" s="1"/>
  <c r="H350" i="18"/>
  <c r="J350" i="18" s="1"/>
  <c r="H81" i="18"/>
  <c r="J81" i="18" s="1"/>
  <c r="AA150" i="18"/>
  <c r="Z150" i="18" s="1"/>
  <c r="Y150" i="18" s="1"/>
  <c r="AA340" i="18"/>
  <c r="Z340" i="18" s="1"/>
  <c r="Y340" i="18" s="1"/>
  <c r="AA351" i="18"/>
  <c r="Z351" i="18" s="1"/>
  <c r="Y351" i="18" s="1"/>
  <c r="AA226" i="18"/>
  <c r="Z226" i="18" s="1"/>
  <c r="Y226" i="18" s="1"/>
  <c r="AA175" i="18"/>
  <c r="Z175" i="18" s="1"/>
  <c r="Y175" i="18" s="1"/>
  <c r="AA221" i="18"/>
  <c r="Z221" i="18" s="1"/>
  <c r="Y221" i="18" s="1"/>
  <c r="AA115" i="18"/>
  <c r="Z115" i="18" s="1"/>
  <c r="Y115" i="18" s="1"/>
  <c r="G250" i="18"/>
  <c r="CA250" i="6" s="1"/>
  <c r="H250" i="18"/>
  <c r="I250" i="18" s="1"/>
  <c r="G216" i="18"/>
  <c r="CA216" i="6" s="1"/>
  <c r="H216" i="18"/>
  <c r="J216" i="18" s="1"/>
  <c r="G356" i="18"/>
  <c r="CA356" i="6" s="1"/>
  <c r="AA356" i="18"/>
  <c r="Z356" i="18" s="1"/>
  <c r="Y356" i="18" s="1"/>
  <c r="H32" i="18"/>
  <c r="I32" i="18" s="1"/>
  <c r="AA32" i="18"/>
  <c r="Z32" i="18" s="1"/>
  <c r="Y32" i="18" s="1"/>
  <c r="G359" i="18"/>
  <c r="CA359" i="6" s="1"/>
  <c r="H359" i="18"/>
  <c r="J359" i="18" s="1"/>
  <c r="H101" i="18"/>
  <c r="J101" i="18" s="1"/>
  <c r="AA101" i="18"/>
  <c r="Z101" i="18" s="1"/>
  <c r="Y101" i="18" s="1"/>
  <c r="H86" i="18"/>
  <c r="I86" i="18" s="1"/>
  <c r="G86" i="18"/>
  <c r="CA86" i="6" s="1"/>
  <c r="H304" i="18"/>
  <c r="I304" i="18" s="1"/>
  <c r="AA304" i="18"/>
  <c r="Z304" i="18" s="1"/>
  <c r="Y304" i="18" s="1"/>
  <c r="AA163" i="18"/>
  <c r="Z163" i="18" s="1"/>
  <c r="Y163" i="18" s="1"/>
  <c r="H163" i="18"/>
  <c r="I163" i="18" s="1"/>
  <c r="G199" i="18"/>
  <c r="CA199" i="6" s="1"/>
  <c r="H199" i="18"/>
  <c r="J199" i="18" s="1"/>
  <c r="H72" i="18"/>
  <c r="I72" i="18" s="1"/>
  <c r="AA72" i="18"/>
  <c r="Z72" i="18" s="1"/>
  <c r="Y72" i="18" s="1"/>
  <c r="AA240" i="18"/>
  <c r="Z240" i="18" s="1"/>
  <c r="Y240" i="18" s="1"/>
  <c r="H240" i="18"/>
  <c r="J240" i="18" s="1"/>
  <c r="AA185" i="18"/>
  <c r="Z185" i="18" s="1"/>
  <c r="Y185" i="18" s="1"/>
  <c r="H185" i="18"/>
  <c r="I185" i="18" s="1"/>
  <c r="AA78" i="18"/>
  <c r="Z78" i="18" s="1"/>
  <c r="Y78" i="18" s="1"/>
  <c r="H78" i="18"/>
  <c r="I78" i="18" s="1"/>
  <c r="G262" i="18"/>
  <c r="CA262" i="6" s="1"/>
  <c r="AA262" i="18"/>
  <c r="Z262" i="18" s="1"/>
  <c r="Y262" i="18" s="1"/>
  <c r="AA314" i="18"/>
  <c r="Z314" i="18" s="1"/>
  <c r="Y314" i="18" s="1"/>
  <c r="H314" i="18"/>
  <c r="J314" i="18" s="1"/>
  <c r="G326" i="18"/>
  <c r="CA326" i="6" s="1"/>
  <c r="H326" i="18"/>
  <c r="I326" i="18" s="1"/>
  <c r="G306" i="18"/>
  <c r="CA306" i="6" s="1"/>
  <c r="H306" i="18"/>
  <c r="J306" i="18" s="1"/>
  <c r="AA123" i="18"/>
  <c r="Z123" i="18" s="1"/>
  <c r="Y123" i="18" s="1"/>
  <c r="H123" i="18"/>
  <c r="J123" i="18" s="1"/>
  <c r="G34" i="18"/>
  <c r="CA34" i="6" s="1"/>
  <c r="H34" i="18"/>
  <c r="J34" i="18" s="1"/>
  <c r="H335" i="18"/>
  <c r="J335" i="18" s="1"/>
  <c r="AA335" i="18"/>
  <c r="Z335" i="18" s="1"/>
  <c r="Y335" i="18" s="1"/>
  <c r="AA293" i="18"/>
  <c r="Z293" i="18" s="1"/>
  <c r="Y293" i="18" s="1"/>
  <c r="H293" i="18"/>
  <c r="I293" i="18" s="1"/>
  <c r="H369" i="18"/>
  <c r="I369" i="18" s="1"/>
  <c r="G369" i="18"/>
  <c r="CA369" i="6" s="1"/>
  <c r="AA57" i="18"/>
  <c r="Z57" i="18" s="1"/>
  <c r="Y57" i="18" s="1"/>
  <c r="H57" i="18"/>
  <c r="J57" i="18" s="1"/>
  <c r="G317" i="18"/>
  <c r="CA317" i="6" s="1"/>
  <c r="AA317" i="18"/>
  <c r="Z317" i="18" s="1"/>
  <c r="Y317" i="18" s="1"/>
  <c r="AA268" i="18"/>
  <c r="Z268" i="18" s="1"/>
  <c r="Y268" i="18" s="1"/>
  <c r="H268" i="18"/>
  <c r="I268" i="18" s="1"/>
  <c r="H320" i="18"/>
  <c r="J320" i="18" s="1"/>
  <c r="AA320" i="18"/>
  <c r="Z320" i="18" s="1"/>
  <c r="Y320" i="18" s="1"/>
  <c r="G234" i="18"/>
  <c r="CA234" i="6" s="1"/>
  <c r="H234" i="18"/>
  <c r="I234" i="18" s="1"/>
  <c r="G186" i="18"/>
  <c r="CA186" i="6" s="1"/>
  <c r="AA186" i="18"/>
  <c r="Z186" i="18" s="1"/>
  <c r="Y186" i="18" s="1"/>
  <c r="Q10" i="22"/>
  <c r="Q145" i="22" s="1"/>
  <c r="H59" i="18"/>
  <c r="I59" i="18" s="1"/>
  <c r="AA59" i="18"/>
  <c r="Z59" i="18" s="1"/>
  <c r="Y59" i="18" s="1"/>
  <c r="G308" i="18"/>
  <c r="CA308" i="6" s="1"/>
  <c r="H308" i="18"/>
  <c r="I308" i="18" s="1"/>
  <c r="AA318" i="18"/>
  <c r="Z318" i="18" s="1"/>
  <c r="Y318" i="18" s="1"/>
  <c r="H318" i="18"/>
  <c r="I318" i="18" s="1"/>
  <c r="AA69" i="18"/>
  <c r="Z69" i="18" s="1"/>
  <c r="Y69" i="18" s="1"/>
  <c r="G69" i="18"/>
  <c r="CA69" i="6" s="1"/>
  <c r="AA198" i="18"/>
  <c r="Z198" i="18" s="1"/>
  <c r="Y198" i="18" s="1"/>
  <c r="G198" i="18"/>
  <c r="CA198" i="6" s="1"/>
  <c r="G347" i="18"/>
  <c r="CA347" i="6" s="1"/>
  <c r="H347" i="18"/>
  <c r="I347" i="18" s="1"/>
  <c r="H323" i="18"/>
  <c r="I323" i="18" s="1"/>
  <c r="AA323" i="18"/>
  <c r="Z323" i="18" s="1"/>
  <c r="Y323" i="18" s="1"/>
  <c r="AA140" i="18"/>
  <c r="Z140" i="18" s="1"/>
  <c r="Y140" i="18" s="1"/>
  <c r="H140" i="18"/>
  <c r="J140" i="18" s="1"/>
  <c r="G372" i="18"/>
  <c r="CA372" i="6" s="1"/>
  <c r="AA372" i="18"/>
  <c r="Z372" i="18" s="1"/>
  <c r="Y372" i="18" s="1"/>
  <c r="H189" i="18"/>
  <c r="J189" i="18" s="1"/>
  <c r="AA189" i="18"/>
  <c r="Z189" i="18" s="1"/>
  <c r="Y189" i="18" s="1"/>
  <c r="H31" i="18"/>
  <c r="I31" i="18" s="1"/>
  <c r="G31" i="18"/>
  <c r="CA31" i="6" s="1"/>
  <c r="AA353" i="18"/>
  <c r="Z353" i="18" s="1"/>
  <c r="Y353" i="18" s="1"/>
  <c r="H353" i="18"/>
  <c r="J353" i="18" s="1"/>
  <c r="H264" i="18"/>
  <c r="I264" i="18" s="1"/>
  <c r="G264" i="18"/>
  <c r="CA264" i="6" s="1"/>
  <c r="H232" i="18"/>
  <c r="I232" i="18" s="1"/>
  <c r="AA232" i="18"/>
  <c r="Z232" i="18" s="1"/>
  <c r="Y232" i="18" s="1"/>
  <c r="AA44" i="18"/>
  <c r="Z44" i="18" s="1"/>
  <c r="Y44" i="18" s="1"/>
  <c r="H44" i="18"/>
  <c r="I44" i="18" s="1"/>
  <c r="G252" i="18"/>
  <c r="CA252" i="6" s="1"/>
  <c r="AA252" i="18"/>
  <c r="Z252" i="18" s="1"/>
  <c r="Y252" i="18" s="1"/>
  <c r="AA261" i="18"/>
  <c r="Z261" i="18" s="1"/>
  <c r="Y261" i="18" s="1"/>
  <c r="G261" i="18"/>
  <c r="CA261" i="6" s="1"/>
  <c r="G17" i="18"/>
  <c r="CA17" i="6" s="1"/>
  <c r="AA17" i="18"/>
  <c r="Z17" i="18" s="1"/>
  <c r="Y17" i="18" s="1"/>
  <c r="G79" i="18"/>
  <c r="CA79" i="6" s="1"/>
  <c r="H355" i="18"/>
  <c r="I355" i="18" s="1"/>
  <c r="G338" i="18"/>
  <c r="CA338" i="6" s="1"/>
  <c r="AA58" i="18"/>
  <c r="Z58" i="18" s="1"/>
  <c r="Y58" i="18" s="1"/>
  <c r="H255" i="18"/>
  <c r="J255" i="18" s="1"/>
  <c r="G232" i="18"/>
  <c r="CA232" i="6" s="1"/>
  <c r="G44" i="18"/>
  <c r="CA44" i="6" s="1"/>
  <c r="H197" i="18"/>
  <c r="J197" i="18" s="1"/>
  <c r="H309" i="18"/>
  <c r="J309" i="18" s="1"/>
  <c r="H328" i="18"/>
  <c r="J328" i="18" s="1"/>
  <c r="AA324" i="18"/>
  <c r="Z324" i="18" s="1"/>
  <c r="Y324" i="18" s="1"/>
  <c r="G225" i="18"/>
  <c r="CA225" i="6" s="1"/>
  <c r="H62" i="18"/>
  <c r="J62" i="18" s="1"/>
  <c r="H252" i="18"/>
  <c r="J252" i="18" s="1"/>
  <c r="H261" i="18"/>
  <c r="J261" i="18" s="1"/>
  <c r="G117" i="18"/>
  <c r="CA117" i="6" s="1"/>
  <c r="G174" i="18"/>
  <c r="CA174" i="6" s="1"/>
  <c r="G323" i="18"/>
  <c r="CA323" i="6" s="1"/>
  <c r="H183" i="18"/>
  <c r="J183" i="18" s="1"/>
  <c r="AA41" i="18"/>
  <c r="Z41" i="18" s="1"/>
  <c r="Y41" i="18" s="1"/>
  <c r="G268" i="18"/>
  <c r="CA268" i="6" s="1"/>
  <c r="G288" i="18"/>
  <c r="CA288" i="6" s="1"/>
  <c r="G320" i="18"/>
  <c r="CA320" i="6" s="1"/>
  <c r="AA188" i="18"/>
  <c r="Z188" i="18" s="1"/>
  <c r="Y188" i="18" s="1"/>
  <c r="H110" i="18"/>
  <c r="I110" i="18" s="1"/>
  <c r="AA311" i="18"/>
  <c r="Z311" i="18" s="1"/>
  <c r="Y311" i="18" s="1"/>
  <c r="AM15" i="7"/>
  <c r="G187" i="18"/>
  <c r="CA187" i="6" s="1"/>
  <c r="AA61" i="18"/>
  <c r="Z61" i="18" s="1"/>
  <c r="Y61" i="18" s="1"/>
  <c r="G319" i="18"/>
  <c r="CA319" i="6" s="1"/>
  <c r="G353" i="18"/>
  <c r="CA353" i="6" s="1"/>
  <c r="AA369" i="18"/>
  <c r="Z369" i="18" s="1"/>
  <c r="Y369" i="18" s="1"/>
  <c r="G57" i="18"/>
  <c r="CA57" i="6" s="1"/>
  <c r="G115" i="18"/>
  <c r="CA115" i="6" s="1"/>
  <c r="G297" i="18"/>
  <c r="CA297" i="6" s="1"/>
  <c r="AA216" i="18"/>
  <c r="Z216" i="18" s="1"/>
  <c r="Y216" i="18" s="1"/>
  <c r="H356" i="18"/>
  <c r="I356" i="18" s="1"/>
  <c r="H276" i="18"/>
  <c r="I276" i="18" s="1"/>
  <c r="AA359" i="18"/>
  <c r="Z359" i="18" s="1"/>
  <c r="Y359" i="18" s="1"/>
  <c r="U220" i="20"/>
  <c r="T220" i="20" s="1"/>
  <c r="S220" i="20" s="1"/>
  <c r="R220" i="20" s="1"/>
  <c r="P220" i="20" s="1"/>
  <c r="V220" i="20" s="1"/>
  <c r="U291" i="20"/>
  <c r="T291" i="20" s="1"/>
  <c r="S291" i="20" s="1"/>
  <c r="R291" i="20" s="1"/>
  <c r="P291" i="20" s="1"/>
  <c r="V291" i="20" s="1"/>
  <c r="U69" i="20"/>
  <c r="T69" i="20" s="1"/>
  <c r="S69" i="20" s="1"/>
  <c r="R69" i="20" s="1"/>
  <c r="P69" i="20" s="1"/>
  <c r="V69" i="20" s="1"/>
  <c r="U293" i="20"/>
  <c r="T293" i="20" s="1"/>
  <c r="S293" i="20" s="1"/>
  <c r="R293" i="20" s="1"/>
  <c r="P293" i="20" s="1"/>
  <c r="V293" i="20" s="1"/>
  <c r="U125" i="20"/>
  <c r="T125" i="20" s="1"/>
  <c r="S125" i="20" s="1"/>
  <c r="R125" i="20" s="1"/>
  <c r="P125" i="20" s="1"/>
  <c r="V125" i="20" s="1"/>
  <c r="U19" i="20"/>
  <c r="T19" i="20" s="1"/>
  <c r="S19" i="20" s="1"/>
  <c r="R19" i="20" s="1"/>
  <c r="P19" i="20" s="1"/>
  <c r="V19" i="20" s="1"/>
  <c r="U357" i="20"/>
  <c r="T357" i="20" s="1"/>
  <c r="S357" i="20" s="1"/>
  <c r="R357" i="20" s="1"/>
  <c r="P357" i="20" s="1"/>
  <c r="V357" i="20" s="1"/>
  <c r="U245" i="20"/>
  <c r="T245" i="20" s="1"/>
  <c r="S245" i="20" s="1"/>
  <c r="R245" i="20" s="1"/>
  <c r="P245" i="20" s="1"/>
  <c r="V245" i="20" s="1"/>
  <c r="U314" i="20"/>
  <c r="T314" i="20" s="1"/>
  <c r="S314" i="20" s="1"/>
  <c r="R314" i="20" s="1"/>
  <c r="P314" i="20" s="1"/>
  <c r="V314" i="20" s="1"/>
  <c r="U192" i="20"/>
  <c r="T192" i="20" s="1"/>
  <c r="S192" i="20" s="1"/>
  <c r="R192" i="20" s="1"/>
  <c r="P192" i="20" s="1"/>
  <c r="V192" i="20" s="1"/>
  <c r="U255" i="20"/>
  <c r="T255" i="20" s="1"/>
  <c r="S255" i="20" s="1"/>
  <c r="R255" i="20" s="1"/>
  <c r="P255" i="20" s="1"/>
  <c r="V255" i="20" s="1"/>
  <c r="U159" i="20"/>
  <c r="T159" i="20" s="1"/>
  <c r="S159" i="20" s="1"/>
  <c r="R159" i="20" s="1"/>
  <c r="P159" i="20" s="1"/>
  <c r="V159" i="20" s="1"/>
  <c r="U54" i="20"/>
  <c r="T54" i="20" s="1"/>
  <c r="S54" i="20" s="1"/>
  <c r="R54" i="20" s="1"/>
  <c r="P54" i="20" s="1"/>
  <c r="V54" i="20" s="1"/>
  <c r="U267" i="20"/>
  <c r="T267" i="20" s="1"/>
  <c r="S267" i="20" s="1"/>
  <c r="R267" i="20" s="1"/>
  <c r="P267" i="20" s="1"/>
  <c r="V267" i="20" s="1"/>
  <c r="U225" i="20"/>
  <c r="T225" i="20" s="1"/>
  <c r="S225" i="20" s="1"/>
  <c r="R225" i="20" s="1"/>
  <c r="P225" i="20" s="1"/>
  <c r="V225" i="20" s="1"/>
  <c r="U196" i="20"/>
  <c r="T196" i="20" s="1"/>
  <c r="S196" i="20" s="1"/>
  <c r="R196" i="20" s="1"/>
  <c r="P196" i="20" s="1"/>
  <c r="V196" i="20" s="1"/>
  <c r="U218" i="20"/>
  <c r="T218" i="20" s="1"/>
  <c r="S218" i="20" s="1"/>
  <c r="R218" i="20" s="1"/>
  <c r="P218" i="20" s="1"/>
  <c r="V218" i="20" s="1"/>
  <c r="U163" i="20"/>
  <c r="T163" i="20" s="1"/>
  <c r="S163" i="20" s="1"/>
  <c r="R163" i="20" s="1"/>
  <c r="P163" i="20" s="1"/>
  <c r="V163" i="20" s="1"/>
  <c r="U323" i="20"/>
  <c r="T323" i="20" s="1"/>
  <c r="S323" i="20" s="1"/>
  <c r="R323" i="20" s="1"/>
  <c r="P323" i="20" s="1"/>
  <c r="V323" i="20" s="1"/>
  <c r="B323" i="20" s="1"/>
  <c r="U230" i="20"/>
  <c r="T230" i="20" s="1"/>
  <c r="S230" i="20" s="1"/>
  <c r="R230" i="20" s="1"/>
  <c r="P230" i="20" s="1"/>
  <c r="V230" i="20" s="1"/>
  <c r="U352" i="20"/>
  <c r="T352" i="20" s="1"/>
  <c r="S352" i="20" s="1"/>
  <c r="R352" i="20" s="1"/>
  <c r="P352" i="20" s="1"/>
  <c r="V352" i="20" s="1"/>
  <c r="U228" i="20"/>
  <c r="T228" i="20" s="1"/>
  <c r="S228" i="20" s="1"/>
  <c r="R228" i="20" s="1"/>
  <c r="P228" i="20" s="1"/>
  <c r="V228" i="20" s="1"/>
  <c r="U283" i="20"/>
  <c r="T283" i="20" s="1"/>
  <c r="S283" i="20" s="1"/>
  <c r="R283" i="20" s="1"/>
  <c r="P283" i="20" s="1"/>
  <c r="V283" i="20" s="1"/>
  <c r="U296" i="20"/>
  <c r="T296" i="20" s="1"/>
  <c r="S296" i="20" s="1"/>
  <c r="R296" i="20" s="1"/>
  <c r="P296" i="20" s="1"/>
  <c r="V296" i="20" s="1"/>
  <c r="U30" i="20"/>
  <c r="T30" i="20" s="1"/>
  <c r="S30" i="20" s="1"/>
  <c r="R30" i="20" s="1"/>
  <c r="P30" i="20" s="1"/>
  <c r="V30" i="20" s="1"/>
  <c r="U153" i="20"/>
  <c r="T153" i="20" s="1"/>
  <c r="S153" i="20" s="1"/>
  <c r="R153" i="20" s="1"/>
  <c r="P153" i="20" s="1"/>
  <c r="V153" i="20" s="1"/>
  <c r="U233" i="20"/>
  <c r="T233" i="20" s="1"/>
  <c r="S233" i="20" s="1"/>
  <c r="R233" i="20" s="1"/>
  <c r="P233" i="20" s="1"/>
  <c r="V233" i="20" s="1"/>
  <c r="U36" i="20"/>
  <c r="T36" i="20" s="1"/>
  <c r="S36" i="20" s="1"/>
  <c r="R36" i="20" s="1"/>
  <c r="P36" i="20" s="1"/>
  <c r="V36" i="20" s="1"/>
  <c r="U240" i="20"/>
  <c r="T240" i="20" s="1"/>
  <c r="S240" i="20" s="1"/>
  <c r="R240" i="20" s="1"/>
  <c r="P240" i="20" s="1"/>
  <c r="V240" i="20" s="1"/>
  <c r="U74" i="20"/>
  <c r="T74" i="20" s="1"/>
  <c r="S74" i="20" s="1"/>
  <c r="R74" i="20" s="1"/>
  <c r="P74" i="20" s="1"/>
  <c r="V74" i="20" s="1"/>
  <c r="U311" i="20"/>
  <c r="T311" i="20" s="1"/>
  <c r="S311" i="20" s="1"/>
  <c r="R311" i="20" s="1"/>
  <c r="P311" i="20" s="1"/>
  <c r="V311" i="20" s="1"/>
  <c r="U208" i="20"/>
  <c r="T208" i="20" s="1"/>
  <c r="S208" i="20" s="1"/>
  <c r="R208" i="20" s="1"/>
  <c r="P208" i="20" s="1"/>
  <c r="V208" i="20" s="1"/>
  <c r="U236" i="20"/>
  <c r="T236" i="20" s="1"/>
  <c r="S236" i="20" s="1"/>
  <c r="R236" i="20" s="1"/>
  <c r="P236" i="20" s="1"/>
  <c r="V236" i="20" s="1"/>
  <c r="U221" i="20"/>
  <c r="T221" i="20" s="1"/>
  <c r="S221" i="20" s="1"/>
  <c r="R221" i="20" s="1"/>
  <c r="P221" i="20" s="1"/>
  <c r="V221" i="20" s="1"/>
  <c r="U68" i="20"/>
  <c r="T68" i="20" s="1"/>
  <c r="S68" i="20" s="1"/>
  <c r="R68" i="20" s="1"/>
  <c r="P68" i="20" s="1"/>
  <c r="V68" i="20" s="1"/>
  <c r="U370" i="20"/>
  <c r="T370" i="20" s="1"/>
  <c r="S370" i="20" s="1"/>
  <c r="R370" i="20" s="1"/>
  <c r="P370" i="20" s="1"/>
  <c r="V370" i="20" s="1"/>
  <c r="U362" i="20"/>
  <c r="T362" i="20" s="1"/>
  <c r="S362" i="20" s="1"/>
  <c r="R362" i="20" s="1"/>
  <c r="P362" i="20" s="1"/>
  <c r="V362" i="20" s="1"/>
  <c r="U374" i="20"/>
  <c r="T374" i="20" s="1"/>
  <c r="S374" i="20" s="1"/>
  <c r="R374" i="20" s="1"/>
  <c r="P374" i="20" s="1"/>
  <c r="V374" i="20" s="1"/>
  <c r="U129" i="20"/>
  <c r="T129" i="20" s="1"/>
  <c r="S129" i="20" s="1"/>
  <c r="R129" i="20" s="1"/>
  <c r="P129" i="20" s="1"/>
  <c r="V129" i="20" s="1"/>
  <c r="U227" i="20"/>
  <c r="T227" i="20" s="1"/>
  <c r="S227" i="20" s="1"/>
  <c r="R227" i="20" s="1"/>
  <c r="P227" i="20" s="1"/>
  <c r="V227" i="20" s="1"/>
  <c r="U101" i="20"/>
  <c r="T101" i="20" s="1"/>
  <c r="S101" i="20" s="1"/>
  <c r="R101" i="20" s="1"/>
  <c r="P101" i="20" s="1"/>
  <c r="V101" i="20" s="1"/>
  <c r="U16" i="20"/>
  <c r="T16" i="20" s="1"/>
  <c r="S16" i="20" s="1"/>
  <c r="R16" i="20" s="1"/>
  <c r="P16" i="20" s="1"/>
  <c r="V16" i="20" s="1"/>
  <c r="U351" i="20"/>
  <c r="T351" i="20" s="1"/>
  <c r="S351" i="20" s="1"/>
  <c r="R351" i="20" s="1"/>
  <c r="P351" i="20" s="1"/>
  <c r="V351" i="20" s="1"/>
  <c r="U200" i="20"/>
  <c r="T200" i="20" s="1"/>
  <c r="S200" i="20" s="1"/>
  <c r="R200" i="20" s="1"/>
  <c r="P200" i="20" s="1"/>
  <c r="V200" i="20" s="1"/>
  <c r="U304" i="20"/>
  <c r="T304" i="20" s="1"/>
  <c r="S304" i="20" s="1"/>
  <c r="R304" i="20" s="1"/>
  <c r="P304" i="20" s="1"/>
  <c r="V304" i="20" s="1"/>
  <c r="AA27" i="18"/>
  <c r="Z27" i="18" s="1"/>
  <c r="Y27" i="18" s="1"/>
  <c r="AA86" i="18"/>
  <c r="Z86" i="18" s="1"/>
  <c r="Y86" i="18" s="1"/>
  <c r="G304" i="18"/>
  <c r="CA304" i="6" s="1"/>
  <c r="G163" i="18"/>
  <c r="CA163" i="6" s="1"/>
  <c r="AA336" i="18"/>
  <c r="Z336" i="18" s="1"/>
  <c r="Y336" i="18" s="1"/>
  <c r="G72" i="18"/>
  <c r="CA72" i="6" s="1"/>
  <c r="H108" i="18"/>
  <c r="J108" i="18" s="1"/>
  <c r="H96" i="18"/>
  <c r="I96" i="18" s="1"/>
  <c r="H230" i="18"/>
  <c r="J230" i="18" s="1"/>
  <c r="G185" i="18"/>
  <c r="CA185" i="6" s="1"/>
  <c r="G78" i="18"/>
  <c r="CA78" i="6" s="1"/>
  <c r="AA347" i="18"/>
  <c r="Z347" i="18" s="1"/>
  <c r="Y347" i="18" s="1"/>
  <c r="H332" i="18"/>
  <c r="I332" i="18" s="1"/>
  <c r="G48" i="18"/>
  <c r="CA48" i="6" s="1"/>
  <c r="AA326" i="18"/>
  <c r="Z326" i="18" s="1"/>
  <c r="Y326" i="18" s="1"/>
  <c r="H310" i="18"/>
  <c r="I310" i="18" s="1"/>
  <c r="H330" i="18"/>
  <c r="I330" i="18" s="1"/>
  <c r="H91" i="18"/>
  <c r="J91" i="18" s="1"/>
  <c r="G293" i="18"/>
  <c r="CA293" i="6" s="1"/>
  <c r="AA319" i="18"/>
  <c r="Z319" i="18" s="1"/>
  <c r="Y319" i="18" s="1"/>
  <c r="AA332" i="18"/>
  <c r="Z332" i="18" s="1"/>
  <c r="Y332" i="18" s="1"/>
  <c r="AA306" i="18"/>
  <c r="Z306" i="18" s="1"/>
  <c r="Y306" i="18" s="1"/>
  <c r="AA330" i="18"/>
  <c r="Z330" i="18" s="1"/>
  <c r="Y330" i="18" s="1"/>
  <c r="AA225" i="18"/>
  <c r="Z225" i="18" s="1"/>
  <c r="Y225" i="18" s="1"/>
  <c r="AA297" i="18"/>
  <c r="Z297" i="18" s="1"/>
  <c r="Y297" i="18" s="1"/>
  <c r="AA270" i="18"/>
  <c r="Z270" i="18" s="1"/>
  <c r="Y270" i="18" s="1"/>
  <c r="AA190" i="18"/>
  <c r="Z190" i="18" s="1"/>
  <c r="Y190" i="18" s="1"/>
  <c r="G254" i="18"/>
  <c r="CA254" i="6" s="1"/>
  <c r="H77" i="18"/>
  <c r="J77" i="18" s="1"/>
  <c r="AA164" i="18"/>
  <c r="Z164" i="18" s="1"/>
  <c r="Y164" i="18" s="1"/>
  <c r="AA219" i="18"/>
  <c r="Z219" i="18" s="1"/>
  <c r="Y219" i="18" s="1"/>
  <c r="H278" i="18"/>
  <c r="J278" i="18" s="1"/>
  <c r="H190" i="18"/>
  <c r="J190" i="18" s="1"/>
  <c r="G167" i="18"/>
  <c r="CA167" i="6" s="1"/>
  <c r="G125" i="18"/>
  <c r="CA125" i="6" s="1"/>
  <c r="AA267" i="18"/>
  <c r="Z267" i="18" s="1"/>
  <c r="Y267" i="18" s="1"/>
  <c r="AA327" i="18"/>
  <c r="Z327" i="18" s="1"/>
  <c r="Y327" i="18" s="1"/>
  <c r="H66" i="18"/>
  <c r="I66" i="18" s="1"/>
  <c r="H39" i="18"/>
  <c r="I39" i="18" s="1"/>
  <c r="G374" i="18"/>
  <c r="CA374" i="6" s="1"/>
  <c r="H63" i="18"/>
  <c r="I63" i="18" s="1"/>
  <c r="H209" i="18"/>
  <c r="I209" i="18" s="1"/>
  <c r="G280" i="18"/>
  <c r="CA280" i="6" s="1"/>
  <c r="AA305" i="18"/>
  <c r="Z305" i="18" s="1"/>
  <c r="Y305" i="18" s="1"/>
  <c r="H281" i="18"/>
  <c r="J281" i="18" s="1"/>
  <c r="G145" i="18"/>
  <c r="CA145" i="6" s="1"/>
  <c r="G245" i="18"/>
  <c r="CA245" i="6" s="1"/>
  <c r="H361" i="18"/>
  <c r="J361" i="18" s="1"/>
  <c r="AA274" i="18"/>
  <c r="Z274" i="18" s="1"/>
  <c r="Y274" i="18" s="1"/>
  <c r="H343" i="18"/>
  <c r="I343" i="18" s="1"/>
  <c r="H298" i="18"/>
  <c r="J298" i="18" s="1"/>
  <c r="AA30" i="18"/>
  <c r="Z30" i="18" s="1"/>
  <c r="Y30" i="18" s="1"/>
  <c r="H337" i="18"/>
  <c r="J337" i="18" s="1"/>
  <c r="H170" i="18"/>
  <c r="I170" i="18" s="1"/>
  <c r="G182" i="18"/>
  <c r="CA182" i="6" s="1"/>
  <c r="AA299" i="18"/>
  <c r="Z299" i="18" s="1"/>
  <c r="Y299" i="18" s="1"/>
  <c r="H121" i="18"/>
  <c r="I121" i="18" s="1"/>
  <c r="H55" i="18"/>
  <c r="I55" i="18" s="1"/>
  <c r="G40" i="18"/>
  <c r="CA40" i="6" s="1"/>
  <c r="H36" i="18"/>
  <c r="J36" i="18" s="1"/>
  <c r="H19" i="18"/>
  <c r="J19" i="18" s="1"/>
  <c r="G243" i="18"/>
  <c r="CA243" i="6" s="1"/>
  <c r="H37" i="18"/>
  <c r="J37" i="18" s="1"/>
  <c r="AA54" i="18"/>
  <c r="Z54" i="18" s="1"/>
  <c r="Y54" i="18" s="1"/>
  <c r="G260" i="18"/>
  <c r="CA260" i="6" s="1"/>
  <c r="AA215" i="18"/>
  <c r="Z215" i="18" s="1"/>
  <c r="Y215" i="18" s="1"/>
  <c r="AA287" i="18"/>
  <c r="Z287" i="18" s="1"/>
  <c r="Y287" i="18" s="1"/>
  <c r="AA217" i="18"/>
  <c r="Z217" i="18" s="1"/>
  <c r="Y217" i="18" s="1"/>
  <c r="AA181" i="18"/>
  <c r="Z181" i="18" s="1"/>
  <c r="Y181" i="18" s="1"/>
  <c r="AA313" i="18"/>
  <c r="Z313" i="18" s="1"/>
  <c r="Y313" i="18" s="1"/>
  <c r="U107" i="20"/>
  <c r="T107" i="20" s="1"/>
  <c r="S107" i="20" s="1"/>
  <c r="R107" i="20" s="1"/>
  <c r="P107" i="20" s="1"/>
  <c r="V107" i="20" s="1"/>
  <c r="AA121" i="18"/>
  <c r="Z121" i="18" s="1"/>
  <c r="Y121" i="18" s="1"/>
  <c r="H164" i="18"/>
  <c r="I164" i="18" s="1"/>
  <c r="H219" i="18"/>
  <c r="I219" i="18" s="1"/>
  <c r="U80" i="20"/>
  <c r="T80" i="20" s="1"/>
  <c r="S80" i="20" s="1"/>
  <c r="R80" i="20" s="1"/>
  <c r="P80" i="20" s="1"/>
  <c r="V80" i="20" s="1"/>
  <c r="U34" i="20"/>
  <c r="T34" i="20" s="1"/>
  <c r="S34" i="20" s="1"/>
  <c r="R34" i="20" s="1"/>
  <c r="P34" i="20" s="1"/>
  <c r="V34" i="20" s="1"/>
  <c r="U373" i="20"/>
  <c r="T373" i="20" s="1"/>
  <c r="S373" i="20" s="1"/>
  <c r="R373" i="20" s="1"/>
  <c r="P373" i="20" s="1"/>
  <c r="V373" i="20" s="1"/>
  <c r="U256" i="20"/>
  <c r="T256" i="20" s="1"/>
  <c r="S256" i="20" s="1"/>
  <c r="R256" i="20" s="1"/>
  <c r="P256" i="20" s="1"/>
  <c r="V256" i="20" s="1"/>
  <c r="B256" i="20" s="1"/>
  <c r="U85" i="20"/>
  <c r="T85" i="20" s="1"/>
  <c r="S85" i="20" s="1"/>
  <c r="R85" i="20" s="1"/>
  <c r="P85" i="20" s="1"/>
  <c r="V85" i="20" s="1"/>
  <c r="U327" i="20"/>
  <c r="T327" i="20" s="1"/>
  <c r="S327" i="20" s="1"/>
  <c r="R327" i="20" s="1"/>
  <c r="P327" i="20" s="1"/>
  <c r="V327" i="20" s="1"/>
  <c r="U123" i="20"/>
  <c r="T123" i="20" s="1"/>
  <c r="S123" i="20" s="1"/>
  <c r="R123" i="20" s="1"/>
  <c r="P123" i="20" s="1"/>
  <c r="V123" i="20" s="1"/>
  <c r="U95" i="20"/>
  <c r="T95" i="20" s="1"/>
  <c r="S95" i="20" s="1"/>
  <c r="R95" i="20" s="1"/>
  <c r="P95" i="20" s="1"/>
  <c r="V95" i="20" s="1"/>
  <c r="B95" i="20" s="1"/>
  <c r="U184" i="20"/>
  <c r="T184" i="20" s="1"/>
  <c r="S184" i="20" s="1"/>
  <c r="R184" i="20" s="1"/>
  <c r="P184" i="20" s="1"/>
  <c r="V184" i="20" s="1"/>
  <c r="U284" i="20"/>
  <c r="T284" i="20" s="1"/>
  <c r="S284" i="20" s="1"/>
  <c r="R284" i="20" s="1"/>
  <c r="P284" i="20" s="1"/>
  <c r="V284" i="20" s="1"/>
  <c r="U185" i="20"/>
  <c r="T185" i="20" s="1"/>
  <c r="S185" i="20" s="1"/>
  <c r="R185" i="20" s="1"/>
  <c r="P185" i="20" s="1"/>
  <c r="V185" i="20" s="1"/>
  <c r="U238" i="20"/>
  <c r="T238" i="20" s="1"/>
  <c r="S238" i="20" s="1"/>
  <c r="R238" i="20" s="1"/>
  <c r="P238" i="20" s="1"/>
  <c r="V238" i="20" s="1"/>
  <c r="B238" i="20" s="1"/>
  <c r="U201" i="20"/>
  <c r="T201" i="20" s="1"/>
  <c r="S201" i="20" s="1"/>
  <c r="R201" i="20" s="1"/>
  <c r="P201" i="20" s="1"/>
  <c r="V201" i="20" s="1"/>
  <c r="U344" i="20"/>
  <c r="T344" i="20" s="1"/>
  <c r="S344" i="20" s="1"/>
  <c r="R344" i="20" s="1"/>
  <c r="P344" i="20" s="1"/>
  <c r="V344" i="20" s="1"/>
  <c r="U257" i="20"/>
  <c r="T257" i="20" s="1"/>
  <c r="S257" i="20" s="1"/>
  <c r="R257" i="20" s="1"/>
  <c r="P257" i="20" s="1"/>
  <c r="V257" i="20" s="1"/>
  <c r="U359" i="20"/>
  <c r="T359" i="20" s="1"/>
  <c r="S359" i="20" s="1"/>
  <c r="R359" i="20" s="1"/>
  <c r="P359" i="20" s="1"/>
  <c r="V359" i="20" s="1"/>
  <c r="B359" i="20" s="1"/>
  <c r="U338" i="20"/>
  <c r="T338" i="20" s="1"/>
  <c r="S338" i="20" s="1"/>
  <c r="R338" i="20" s="1"/>
  <c r="P338" i="20" s="1"/>
  <c r="V338" i="20" s="1"/>
  <c r="U198" i="20"/>
  <c r="T198" i="20" s="1"/>
  <c r="S198" i="20" s="1"/>
  <c r="R198" i="20" s="1"/>
  <c r="P198" i="20" s="1"/>
  <c r="V198" i="20" s="1"/>
  <c r="U83" i="20"/>
  <c r="T83" i="20" s="1"/>
  <c r="S83" i="20" s="1"/>
  <c r="R83" i="20" s="1"/>
  <c r="P83" i="20" s="1"/>
  <c r="V83" i="20" s="1"/>
  <c r="U299" i="20"/>
  <c r="T299" i="20" s="1"/>
  <c r="S299" i="20" s="1"/>
  <c r="R299" i="20" s="1"/>
  <c r="P299" i="20" s="1"/>
  <c r="V299" i="20" s="1"/>
  <c r="B299" i="20" s="1"/>
  <c r="U312" i="20"/>
  <c r="T312" i="20" s="1"/>
  <c r="S312" i="20" s="1"/>
  <c r="R312" i="20" s="1"/>
  <c r="P312" i="20" s="1"/>
  <c r="V312" i="20" s="1"/>
  <c r="U285" i="20"/>
  <c r="T285" i="20" s="1"/>
  <c r="S285" i="20" s="1"/>
  <c r="R285" i="20" s="1"/>
  <c r="P285" i="20" s="1"/>
  <c r="V285" i="20" s="1"/>
  <c r="U104" i="20"/>
  <c r="T104" i="20" s="1"/>
  <c r="S104" i="20" s="1"/>
  <c r="R104" i="20" s="1"/>
  <c r="P104" i="20" s="1"/>
  <c r="V104" i="20" s="1"/>
  <c r="U28" i="20"/>
  <c r="T28" i="20" s="1"/>
  <c r="S28" i="20" s="1"/>
  <c r="R28" i="20" s="1"/>
  <c r="P28" i="20" s="1"/>
  <c r="V28" i="20" s="1"/>
  <c r="U89" i="20"/>
  <c r="T89" i="20" s="1"/>
  <c r="S89" i="20" s="1"/>
  <c r="R89" i="20" s="1"/>
  <c r="P89" i="20" s="1"/>
  <c r="V89" i="20" s="1"/>
  <c r="U152" i="20"/>
  <c r="T152" i="20" s="1"/>
  <c r="S152" i="20" s="1"/>
  <c r="R152" i="20" s="1"/>
  <c r="P152" i="20" s="1"/>
  <c r="V152" i="20" s="1"/>
  <c r="U313" i="20"/>
  <c r="T313" i="20" s="1"/>
  <c r="S313" i="20" s="1"/>
  <c r="R313" i="20" s="1"/>
  <c r="P313" i="20" s="1"/>
  <c r="V313" i="20" s="1"/>
  <c r="U180" i="20"/>
  <c r="T180" i="20" s="1"/>
  <c r="S180" i="20" s="1"/>
  <c r="R180" i="20" s="1"/>
  <c r="P180" i="20" s="1"/>
  <c r="AH25" i="7" s="1"/>
  <c r="U33" i="20"/>
  <c r="T33" i="20" s="1"/>
  <c r="S33" i="20" s="1"/>
  <c r="R33" i="20" s="1"/>
  <c r="P33" i="20" s="1"/>
  <c r="V33" i="20" s="1"/>
  <c r="U277" i="20"/>
  <c r="T277" i="20" s="1"/>
  <c r="S277" i="20" s="1"/>
  <c r="R277" i="20" s="1"/>
  <c r="P277" i="20" s="1"/>
  <c r="V277" i="20" s="1"/>
  <c r="U164" i="20"/>
  <c r="T164" i="20" s="1"/>
  <c r="S164" i="20" s="1"/>
  <c r="R164" i="20" s="1"/>
  <c r="P164" i="20" s="1"/>
  <c r="V164" i="20" s="1"/>
  <c r="U209" i="20"/>
  <c r="T209" i="20" s="1"/>
  <c r="S209" i="20" s="1"/>
  <c r="R209" i="20" s="1"/>
  <c r="P209" i="20" s="1"/>
  <c r="V209" i="20" s="1"/>
  <c r="U21" i="20"/>
  <c r="T21" i="20" s="1"/>
  <c r="S21" i="20" s="1"/>
  <c r="R21" i="20" s="1"/>
  <c r="P21" i="20" s="1"/>
  <c r="V21" i="20" s="1"/>
  <c r="U174" i="20"/>
  <c r="T174" i="20" s="1"/>
  <c r="S174" i="20" s="1"/>
  <c r="R174" i="20" s="1"/>
  <c r="P174" i="20" s="1"/>
  <c r="V174" i="20" s="1"/>
  <c r="U42" i="20"/>
  <c r="T42" i="20" s="1"/>
  <c r="S42" i="20" s="1"/>
  <c r="R42" i="20" s="1"/>
  <c r="P42" i="20" s="1"/>
  <c r="V42" i="20" s="1"/>
  <c r="U305" i="20"/>
  <c r="T305" i="20" s="1"/>
  <c r="S305" i="20" s="1"/>
  <c r="R305" i="20" s="1"/>
  <c r="P305" i="20" s="1"/>
  <c r="V305" i="20" s="1"/>
  <c r="U363" i="20"/>
  <c r="T363" i="20" s="1"/>
  <c r="S363" i="20" s="1"/>
  <c r="R363" i="20" s="1"/>
  <c r="P363" i="20" s="1"/>
  <c r="V363" i="20" s="1"/>
  <c r="B363" i="20" s="1"/>
  <c r="U172" i="20"/>
  <c r="T172" i="20" s="1"/>
  <c r="S172" i="20" s="1"/>
  <c r="R172" i="20" s="1"/>
  <c r="P172" i="20" s="1"/>
  <c r="V172" i="20" s="1"/>
  <c r="B172" i="20" s="1"/>
  <c r="U60" i="20"/>
  <c r="T60" i="20" s="1"/>
  <c r="S60" i="20" s="1"/>
  <c r="R60" i="20" s="1"/>
  <c r="P60" i="20" s="1"/>
  <c r="V60" i="20" s="1"/>
  <c r="B60" i="20" s="1"/>
  <c r="U248" i="20"/>
  <c r="T248" i="20" s="1"/>
  <c r="S248" i="20" s="1"/>
  <c r="R248" i="20" s="1"/>
  <c r="P248" i="20" s="1"/>
  <c r="V248" i="20" s="1"/>
  <c r="B248" i="20" s="1"/>
  <c r="U137" i="20"/>
  <c r="T137" i="20" s="1"/>
  <c r="S137" i="20" s="1"/>
  <c r="R137" i="20" s="1"/>
  <c r="P137" i="20" s="1"/>
  <c r="V137" i="20" s="1"/>
  <c r="U22" i="20"/>
  <c r="T22" i="20" s="1"/>
  <c r="S22" i="20" s="1"/>
  <c r="R22" i="20" s="1"/>
  <c r="P22" i="20" s="1"/>
  <c r="V22" i="20" s="1"/>
  <c r="U288" i="20"/>
  <c r="T288" i="20" s="1"/>
  <c r="S288" i="20" s="1"/>
  <c r="R288" i="20" s="1"/>
  <c r="P288" i="20" s="1"/>
  <c r="V288" i="20" s="1"/>
  <c r="U252" i="20"/>
  <c r="T252" i="20" s="1"/>
  <c r="S252" i="20" s="1"/>
  <c r="R252" i="20" s="1"/>
  <c r="P252" i="20" s="1"/>
  <c r="V252" i="20" s="1"/>
  <c r="B252" i="20" s="1"/>
  <c r="U341" i="20"/>
  <c r="T341" i="20" s="1"/>
  <c r="S341" i="20" s="1"/>
  <c r="R341" i="20" s="1"/>
  <c r="P341" i="20" s="1"/>
  <c r="V341" i="20" s="1"/>
  <c r="U226" i="20"/>
  <c r="T226" i="20" s="1"/>
  <c r="S226" i="20" s="1"/>
  <c r="R226" i="20" s="1"/>
  <c r="P226" i="20" s="1"/>
  <c r="V226" i="20" s="1"/>
  <c r="U171" i="20"/>
  <c r="T171" i="20" s="1"/>
  <c r="S171" i="20" s="1"/>
  <c r="R171" i="20" s="1"/>
  <c r="P171" i="20" s="1"/>
  <c r="V171" i="20" s="1"/>
  <c r="U120" i="20"/>
  <c r="T120" i="20" s="1"/>
  <c r="S120" i="20" s="1"/>
  <c r="R120" i="20" s="1"/>
  <c r="P120" i="20" s="1"/>
  <c r="V120" i="20" s="1"/>
  <c r="B120" i="20" s="1"/>
  <c r="U308" i="20"/>
  <c r="T308" i="20" s="1"/>
  <c r="S308" i="20" s="1"/>
  <c r="R308" i="20" s="1"/>
  <c r="P308" i="20" s="1"/>
  <c r="V308" i="20" s="1"/>
  <c r="U46" i="20"/>
  <c r="T46" i="20" s="1"/>
  <c r="S46" i="20" s="1"/>
  <c r="R46" i="20" s="1"/>
  <c r="P46" i="20" s="1"/>
  <c r="V46" i="20" s="1"/>
  <c r="U300" i="20"/>
  <c r="T300" i="20" s="1"/>
  <c r="S300" i="20" s="1"/>
  <c r="R300" i="20" s="1"/>
  <c r="P300" i="20" s="1"/>
  <c r="V300" i="20" s="1"/>
  <c r="U147" i="20"/>
  <c r="T147" i="20" s="1"/>
  <c r="S147" i="20" s="1"/>
  <c r="R147" i="20" s="1"/>
  <c r="P147" i="20" s="1"/>
  <c r="V147" i="20" s="1"/>
  <c r="B147" i="20" s="1"/>
  <c r="U279" i="20"/>
  <c r="T279" i="20" s="1"/>
  <c r="S279" i="20" s="1"/>
  <c r="R279" i="20" s="1"/>
  <c r="P279" i="20" s="1"/>
  <c r="V279" i="20" s="1"/>
  <c r="U353" i="20"/>
  <c r="T353" i="20" s="1"/>
  <c r="S353" i="20" s="1"/>
  <c r="R353" i="20" s="1"/>
  <c r="P353" i="20" s="1"/>
  <c r="V353" i="20" s="1"/>
  <c r="U48" i="20"/>
  <c r="T48" i="20" s="1"/>
  <c r="S48" i="20" s="1"/>
  <c r="R48" i="20" s="1"/>
  <c r="P48" i="20" s="1"/>
  <c r="V48" i="20" s="1"/>
  <c r="U371" i="20"/>
  <c r="T371" i="20" s="1"/>
  <c r="S371" i="20" s="1"/>
  <c r="R371" i="20" s="1"/>
  <c r="P371" i="20" s="1"/>
  <c r="V371" i="20" s="1"/>
  <c r="U93" i="20"/>
  <c r="T93" i="20" s="1"/>
  <c r="S93" i="20" s="1"/>
  <c r="R93" i="20" s="1"/>
  <c r="P93" i="20" s="1"/>
  <c r="V93" i="20" s="1"/>
  <c r="U29" i="20"/>
  <c r="T29" i="20" s="1"/>
  <c r="S29" i="20" s="1"/>
  <c r="R29" i="20" s="1"/>
  <c r="P29" i="20" s="1"/>
  <c r="U139" i="20"/>
  <c r="T139" i="20" s="1"/>
  <c r="S139" i="20" s="1"/>
  <c r="R139" i="20" s="1"/>
  <c r="P139" i="20" s="1"/>
  <c r="V139" i="20" s="1"/>
  <c r="U126" i="20"/>
  <c r="T126" i="20" s="1"/>
  <c r="S126" i="20" s="1"/>
  <c r="R126" i="20" s="1"/>
  <c r="P126" i="20" s="1"/>
  <c r="V126" i="20" s="1"/>
  <c r="B126" i="20" s="1"/>
  <c r="U294" i="20"/>
  <c r="T294" i="20" s="1"/>
  <c r="S294" i="20" s="1"/>
  <c r="R294" i="20" s="1"/>
  <c r="P294" i="20" s="1"/>
  <c r="V294" i="20" s="1"/>
  <c r="U219" i="20"/>
  <c r="T219" i="20" s="1"/>
  <c r="S219" i="20" s="1"/>
  <c r="R219" i="20" s="1"/>
  <c r="P219" i="20" s="1"/>
  <c r="V219" i="20" s="1"/>
  <c r="B219" i="20" s="1"/>
  <c r="U360" i="20"/>
  <c r="T360" i="20" s="1"/>
  <c r="S360" i="20" s="1"/>
  <c r="R360" i="20" s="1"/>
  <c r="P360" i="20" s="1"/>
  <c r="V360" i="20" s="1"/>
  <c r="U302" i="20"/>
  <c r="T302" i="20" s="1"/>
  <c r="S302" i="20" s="1"/>
  <c r="R302" i="20" s="1"/>
  <c r="P302" i="20" s="1"/>
  <c r="V302" i="20" s="1"/>
  <c r="B302" i="20" s="1"/>
  <c r="U144" i="20"/>
  <c r="T144" i="20" s="1"/>
  <c r="S144" i="20" s="1"/>
  <c r="R144" i="20" s="1"/>
  <c r="P144" i="20" s="1"/>
  <c r="V144" i="20" s="1"/>
  <c r="U354" i="20"/>
  <c r="T354" i="20" s="1"/>
  <c r="S354" i="20" s="1"/>
  <c r="R354" i="20" s="1"/>
  <c r="P354" i="20" s="1"/>
  <c r="V354" i="20" s="1"/>
  <c r="U368" i="20"/>
  <c r="T368" i="20" s="1"/>
  <c r="S368" i="20" s="1"/>
  <c r="R368" i="20" s="1"/>
  <c r="P368" i="20" s="1"/>
  <c r="V368" i="20" s="1"/>
  <c r="U205" i="20"/>
  <c r="T205" i="20" s="1"/>
  <c r="S205" i="20" s="1"/>
  <c r="R205" i="20" s="1"/>
  <c r="P205" i="20" s="1"/>
  <c r="V205" i="20" s="1"/>
  <c r="B205" i="20" s="1"/>
  <c r="U356" i="20"/>
  <c r="T356" i="20" s="1"/>
  <c r="S356" i="20" s="1"/>
  <c r="R356" i="20" s="1"/>
  <c r="P356" i="20" s="1"/>
  <c r="V356" i="20" s="1"/>
  <c r="U110" i="20"/>
  <c r="T110" i="20" s="1"/>
  <c r="S110" i="20" s="1"/>
  <c r="R110" i="20" s="1"/>
  <c r="P110" i="20" s="1"/>
  <c r="V110" i="20" s="1"/>
  <c r="B110" i="20" s="1"/>
  <c r="U112" i="20"/>
  <c r="T112" i="20" s="1"/>
  <c r="S112" i="20" s="1"/>
  <c r="R112" i="20" s="1"/>
  <c r="P112" i="20" s="1"/>
  <c r="V112" i="20" s="1"/>
  <c r="U372" i="20"/>
  <c r="T372" i="20" s="1"/>
  <c r="S372" i="20" s="1"/>
  <c r="R372" i="20" s="1"/>
  <c r="P372" i="20" s="1"/>
  <c r="V372" i="20" s="1"/>
  <c r="U64" i="20"/>
  <c r="T64" i="20" s="1"/>
  <c r="S64" i="20" s="1"/>
  <c r="R64" i="20" s="1"/>
  <c r="P64" i="20" s="1"/>
  <c r="V64" i="20" s="1"/>
  <c r="U222" i="20"/>
  <c r="T222" i="20" s="1"/>
  <c r="S222" i="20" s="1"/>
  <c r="R222" i="20" s="1"/>
  <c r="P222" i="20" s="1"/>
  <c r="V222" i="20" s="1"/>
  <c r="B222" i="20" s="1"/>
  <c r="U334" i="20"/>
  <c r="T334" i="20" s="1"/>
  <c r="S334" i="20" s="1"/>
  <c r="R334" i="20" s="1"/>
  <c r="P334" i="20" s="1"/>
  <c r="V334" i="20" s="1"/>
  <c r="U303" i="20"/>
  <c r="T303" i="20" s="1"/>
  <c r="S303" i="20" s="1"/>
  <c r="R303" i="20" s="1"/>
  <c r="P303" i="20" s="1"/>
  <c r="V303" i="20" s="1"/>
  <c r="U109" i="20"/>
  <c r="T109" i="20" s="1"/>
  <c r="S109" i="20" s="1"/>
  <c r="R109" i="20" s="1"/>
  <c r="P109" i="20" s="1"/>
  <c r="V109" i="20" s="1"/>
  <c r="U45" i="20"/>
  <c r="T45" i="20" s="1"/>
  <c r="S45" i="20" s="1"/>
  <c r="R45" i="20" s="1"/>
  <c r="P45" i="20" s="1"/>
  <c r="V45" i="20" s="1"/>
  <c r="U116" i="20"/>
  <c r="T116" i="20" s="1"/>
  <c r="S116" i="20" s="1"/>
  <c r="R116" i="20" s="1"/>
  <c r="P116" i="20" s="1"/>
  <c r="V116" i="20" s="1"/>
  <c r="U119" i="20"/>
  <c r="T119" i="20" s="1"/>
  <c r="S119" i="20" s="1"/>
  <c r="R119" i="20" s="1"/>
  <c r="P119" i="20" s="1"/>
  <c r="V119" i="20" s="1"/>
  <c r="B119" i="20" s="1"/>
  <c r="U263" i="20"/>
  <c r="T263" i="20" s="1"/>
  <c r="S263" i="20" s="1"/>
  <c r="R263" i="20" s="1"/>
  <c r="P263" i="20" s="1"/>
  <c r="V263" i="20" s="1"/>
  <c r="U148" i="20"/>
  <c r="T148" i="20" s="1"/>
  <c r="S148" i="20" s="1"/>
  <c r="R148" i="20" s="1"/>
  <c r="P148" i="20" s="1"/>
  <c r="V148" i="20" s="1"/>
  <c r="B148" i="20" s="1"/>
  <c r="U269" i="20"/>
  <c r="T269" i="20" s="1"/>
  <c r="S269" i="20" s="1"/>
  <c r="R269" i="20" s="1"/>
  <c r="P269" i="20" s="1"/>
  <c r="V269" i="20" s="1"/>
  <c r="U365" i="20"/>
  <c r="T365" i="20" s="1"/>
  <c r="S365" i="20" s="1"/>
  <c r="R365" i="20" s="1"/>
  <c r="P365" i="20" s="1"/>
  <c r="V365" i="20" s="1"/>
  <c r="U143" i="20"/>
  <c r="T143" i="20" s="1"/>
  <c r="S143" i="20" s="1"/>
  <c r="R143" i="20" s="1"/>
  <c r="P143" i="20" s="1"/>
  <c r="V143" i="20" s="1"/>
  <c r="U41" i="20"/>
  <c r="T41" i="20" s="1"/>
  <c r="S41" i="20" s="1"/>
  <c r="R41" i="20" s="1"/>
  <c r="P41" i="20" s="1"/>
  <c r="V41" i="20" s="1"/>
  <c r="U61" i="20"/>
  <c r="T61" i="20" s="1"/>
  <c r="S61" i="20" s="1"/>
  <c r="R61" i="20" s="1"/>
  <c r="P61" i="20" s="1"/>
  <c r="V61" i="20" s="1"/>
  <c r="U319" i="20"/>
  <c r="T319" i="20" s="1"/>
  <c r="S319" i="20" s="1"/>
  <c r="R319" i="20" s="1"/>
  <c r="P319" i="20" s="1"/>
  <c r="V319" i="20" s="1"/>
  <c r="B319" i="20" s="1"/>
  <c r="U186" i="20"/>
  <c r="T186" i="20" s="1"/>
  <c r="S186" i="20" s="1"/>
  <c r="R186" i="20" s="1"/>
  <c r="P186" i="20" s="1"/>
  <c r="V186" i="20" s="1"/>
  <c r="U140" i="20"/>
  <c r="T140" i="20" s="1"/>
  <c r="S140" i="20" s="1"/>
  <c r="R140" i="20" s="1"/>
  <c r="P140" i="20" s="1"/>
  <c r="V140" i="20" s="1"/>
  <c r="B140" i="20" s="1"/>
  <c r="U111" i="20"/>
  <c r="T111" i="20" s="1"/>
  <c r="S111" i="20" s="1"/>
  <c r="R111" i="20" s="1"/>
  <c r="P111" i="20" s="1"/>
  <c r="V111" i="20" s="1"/>
  <c r="G224" i="18"/>
  <c r="CA224" i="6" s="1"/>
  <c r="G207" i="18"/>
  <c r="CA207" i="6" s="1"/>
  <c r="G321" i="18"/>
  <c r="CA321" i="6" s="1"/>
  <c r="G169" i="18"/>
  <c r="CA169" i="6" s="1"/>
  <c r="AA127" i="18"/>
  <c r="Z127" i="18" s="1"/>
  <c r="Y127" i="18" s="1"/>
  <c r="G305" i="18"/>
  <c r="CA305" i="6" s="1"/>
  <c r="AA147" i="18"/>
  <c r="Z147" i="18" s="1"/>
  <c r="Y147" i="18" s="1"/>
  <c r="AA132" i="18"/>
  <c r="Z132" i="18" s="1"/>
  <c r="Y132" i="18" s="1"/>
  <c r="H95" i="18"/>
  <c r="I95" i="18" s="1"/>
  <c r="AA343" i="18"/>
  <c r="Z343" i="18" s="1"/>
  <c r="Y343" i="18" s="1"/>
  <c r="G298" i="18"/>
  <c r="CA298" i="6" s="1"/>
  <c r="H30" i="18"/>
  <c r="J30" i="18" s="1"/>
  <c r="G337" i="18"/>
  <c r="CA337" i="6" s="1"/>
  <c r="AA182" i="18"/>
  <c r="Z182" i="18" s="1"/>
  <c r="Y182" i="18" s="1"/>
  <c r="H40" i="18"/>
  <c r="J40" i="18" s="1"/>
  <c r="G113" i="18"/>
  <c r="CA113" i="6" s="1"/>
  <c r="AA348" i="18"/>
  <c r="Z348" i="18" s="1"/>
  <c r="Y348" i="18" s="1"/>
  <c r="G94" i="18"/>
  <c r="CA94" i="6" s="1"/>
  <c r="AA126" i="18"/>
  <c r="Z126" i="18" s="1"/>
  <c r="Y126" i="18" s="1"/>
  <c r="G37" i="18"/>
  <c r="CA37" i="6" s="1"/>
  <c r="G215" i="18"/>
  <c r="CA215" i="6" s="1"/>
  <c r="AA307" i="18"/>
  <c r="Z307" i="18" s="1"/>
  <c r="Y307" i="18" s="1"/>
  <c r="AA251" i="18"/>
  <c r="Z251" i="18" s="1"/>
  <c r="Y251" i="18" s="1"/>
  <c r="AA245" i="18"/>
  <c r="Z245" i="18" s="1"/>
  <c r="Y245" i="18" s="1"/>
  <c r="AE381" i="20"/>
  <c r="AA278" i="18"/>
  <c r="Z278" i="18" s="1"/>
  <c r="Y278" i="18" s="1"/>
  <c r="AA236" i="18"/>
  <c r="Z236" i="18" s="1"/>
  <c r="Y236" i="18" s="1"/>
  <c r="AA162" i="18"/>
  <c r="Z162" i="18" s="1"/>
  <c r="Y162" i="18" s="1"/>
  <c r="AG382" i="18"/>
  <c r="U160" i="20"/>
  <c r="T160" i="20" s="1"/>
  <c r="S160" i="20" s="1"/>
  <c r="R160" i="20" s="1"/>
  <c r="P160" i="20" s="1"/>
  <c r="V160" i="20" s="1"/>
  <c r="U155" i="20"/>
  <c r="T155" i="20" s="1"/>
  <c r="S155" i="20" s="1"/>
  <c r="R155" i="20" s="1"/>
  <c r="P155" i="20" s="1"/>
  <c r="V155" i="20" s="1"/>
  <c r="U282" i="20"/>
  <c r="T282" i="20" s="1"/>
  <c r="S282" i="20" s="1"/>
  <c r="R282" i="20" s="1"/>
  <c r="P282" i="20" s="1"/>
  <c r="V282" i="20" s="1"/>
  <c r="B282" i="20" s="1"/>
  <c r="U79" i="20"/>
  <c r="T79" i="20" s="1"/>
  <c r="S79" i="20" s="1"/>
  <c r="R79" i="20" s="1"/>
  <c r="P79" i="20" s="1"/>
  <c r="V79" i="20" s="1"/>
  <c r="U234" i="20"/>
  <c r="T234" i="20" s="1"/>
  <c r="S234" i="20" s="1"/>
  <c r="R234" i="20" s="1"/>
  <c r="P234" i="20" s="1"/>
  <c r="V234" i="20" s="1"/>
  <c r="B234" i="20" s="1"/>
  <c r="U197" i="20"/>
  <c r="T197" i="20" s="1"/>
  <c r="S197" i="20" s="1"/>
  <c r="R197" i="20" s="1"/>
  <c r="P197" i="20" s="1"/>
  <c r="V197" i="20" s="1"/>
  <c r="U49" i="20"/>
  <c r="T49" i="20" s="1"/>
  <c r="S49" i="20" s="1"/>
  <c r="R49" i="20" s="1"/>
  <c r="P49" i="20" s="1"/>
  <c r="V49" i="20" s="1"/>
  <c r="U343" i="20"/>
  <c r="T343" i="20" s="1"/>
  <c r="S343" i="20" s="1"/>
  <c r="R343" i="20" s="1"/>
  <c r="P343" i="20" s="1"/>
  <c r="V343" i="20" s="1"/>
  <c r="U52" i="20"/>
  <c r="T52" i="20" s="1"/>
  <c r="S52" i="20" s="1"/>
  <c r="R52" i="20" s="1"/>
  <c r="P52" i="20" s="1"/>
  <c r="V52" i="20" s="1"/>
  <c r="B52" i="20" s="1"/>
  <c r="U124" i="20"/>
  <c r="T124" i="20" s="1"/>
  <c r="S124" i="20" s="1"/>
  <c r="R124" i="20" s="1"/>
  <c r="P124" i="20" s="1"/>
  <c r="V124" i="20" s="1"/>
  <c r="U224" i="20"/>
  <c r="T224" i="20" s="1"/>
  <c r="S224" i="20" s="1"/>
  <c r="R224" i="20" s="1"/>
  <c r="P224" i="20" s="1"/>
  <c r="V224" i="20" s="1"/>
  <c r="U348" i="20"/>
  <c r="T348" i="20" s="1"/>
  <c r="S348" i="20" s="1"/>
  <c r="R348" i="20" s="1"/>
  <c r="P348" i="20" s="1"/>
  <c r="V348" i="20" s="1"/>
  <c r="U182" i="20"/>
  <c r="T182" i="20" s="1"/>
  <c r="S182" i="20" s="1"/>
  <c r="R182" i="20" s="1"/>
  <c r="P182" i="20" s="1"/>
  <c r="V182" i="20" s="1"/>
  <c r="U246" i="20"/>
  <c r="T246" i="20" s="1"/>
  <c r="S246" i="20" s="1"/>
  <c r="R246" i="20" s="1"/>
  <c r="P246" i="20" s="1"/>
  <c r="V246" i="20" s="1"/>
  <c r="U202" i="20"/>
  <c r="T202" i="20" s="1"/>
  <c r="S202" i="20" s="1"/>
  <c r="R202" i="20" s="1"/>
  <c r="P202" i="20" s="1"/>
  <c r="V202" i="20" s="1"/>
  <c r="B202" i="20" s="1"/>
  <c r="U346" i="20"/>
  <c r="T346" i="20" s="1"/>
  <c r="S346" i="20" s="1"/>
  <c r="R346" i="20" s="1"/>
  <c r="P346" i="20" s="1"/>
  <c r="V346" i="20" s="1"/>
  <c r="U161" i="20"/>
  <c r="T161" i="20" s="1"/>
  <c r="S161" i="20" s="1"/>
  <c r="R161" i="20" s="1"/>
  <c r="P161" i="20" s="1"/>
  <c r="V161" i="20" s="1"/>
  <c r="U191" i="20"/>
  <c r="T191" i="20" s="1"/>
  <c r="S191" i="20" s="1"/>
  <c r="R191" i="20" s="1"/>
  <c r="P191" i="20" s="1"/>
  <c r="V191" i="20" s="1"/>
  <c r="U108" i="20"/>
  <c r="T108" i="20" s="1"/>
  <c r="S108" i="20" s="1"/>
  <c r="R108" i="20" s="1"/>
  <c r="P108" i="20" s="1"/>
  <c r="V108" i="20" s="1"/>
  <c r="B108" i="20" s="1"/>
  <c r="U23" i="20"/>
  <c r="T23" i="20" s="1"/>
  <c r="S23" i="20" s="1"/>
  <c r="R23" i="20" s="1"/>
  <c r="P23" i="20" s="1"/>
  <c r="V23" i="20" s="1"/>
  <c r="U142" i="20"/>
  <c r="T142" i="20" s="1"/>
  <c r="S142" i="20" s="1"/>
  <c r="R142" i="20" s="1"/>
  <c r="P142" i="20" s="1"/>
  <c r="V142" i="20" s="1"/>
  <c r="B142" i="20" s="1"/>
  <c r="U168" i="20"/>
  <c r="T168" i="20" s="1"/>
  <c r="S168" i="20" s="1"/>
  <c r="R168" i="20" s="1"/>
  <c r="P168" i="20" s="1"/>
  <c r="V168" i="20" s="1"/>
  <c r="U76" i="20"/>
  <c r="T76" i="20" s="1"/>
  <c r="S76" i="20" s="1"/>
  <c r="R76" i="20" s="1"/>
  <c r="P76" i="20" s="1"/>
  <c r="V76" i="20" s="1"/>
  <c r="U118" i="20"/>
  <c r="T118" i="20" s="1"/>
  <c r="S118" i="20" s="1"/>
  <c r="R118" i="20" s="1"/>
  <c r="P118" i="20" s="1"/>
  <c r="V118" i="20" s="1"/>
  <c r="U289" i="20"/>
  <c r="T289" i="20" s="1"/>
  <c r="S289" i="20" s="1"/>
  <c r="R289" i="20" s="1"/>
  <c r="P289" i="20" s="1"/>
  <c r="V289" i="20" s="1"/>
  <c r="B289" i="20" s="1"/>
  <c r="U63" i="20"/>
  <c r="T63" i="20" s="1"/>
  <c r="S63" i="20" s="1"/>
  <c r="R63" i="20" s="1"/>
  <c r="P63" i="20" s="1"/>
  <c r="V63" i="20" s="1"/>
  <c r="U298" i="20"/>
  <c r="T298" i="20" s="1"/>
  <c r="S298" i="20" s="1"/>
  <c r="R298" i="20" s="1"/>
  <c r="P298" i="20" s="1"/>
  <c r="V298" i="20" s="1"/>
  <c r="U251" i="20"/>
  <c r="T251" i="20" s="1"/>
  <c r="S251" i="20" s="1"/>
  <c r="R251" i="20" s="1"/>
  <c r="P251" i="20" s="1"/>
  <c r="V251" i="20" s="1"/>
  <c r="U358" i="20"/>
  <c r="T358" i="20" s="1"/>
  <c r="S358" i="20" s="1"/>
  <c r="R358" i="20" s="1"/>
  <c r="P358" i="20" s="1"/>
  <c r="V358" i="20" s="1"/>
  <c r="U290" i="20"/>
  <c r="T290" i="20" s="1"/>
  <c r="S290" i="20" s="1"/>
  <c r="R290" i="20" s="1"/>
  <c r="P290" i="20" s="1"/>
  <c r="V290" i="20" s="1"/>
  <c r="U271" i="20"/>
  <c r="T271" i="20" s="1"/>
  <c r="S271" i="20" s="1"/>
  <c r="R271" i="20" s="1"/>
  <c r="P271" i="20" s="1"/>
  <c r="V271" i="20" s="1"/>
  <c r="B271" i="20" s="1"/>
  <c r="U170" i="20"/>
  <c r="T170" i="20" s="1"/>
  <c r="S170" i="20" s="1"/>
  <c r="R170" i="20" s="1"/>
  <c r="P170" i="20" s="1"/>
  <c r="V170" i="20" s="1"/>
  <c r="U258" i="20"/>
  <c r="T258" i="20" s="1"/>
  <c r="S258" i="20" s="1"/>
  <c r="R258" i="20" s="1"/>
  <c r="P258" i="20" s="1"/>
  <c r="V258" i="20" s="1"/>
  <c r="U309" i="20"/>
  <c r="T309" i="20" s="1"/>
  <c r="S309" i="20" s="1"/>
  <c r="R309" i="20" s="1"/>
  <c r="P309" i="20" s="1"/>
  <c r="V309" i="20" s="1"/>
  <c r="U37" i="20"/>
  <c r="T37" i="20" s="1"/>
  <c r="S37" i="20" s="1"/>
  <c r="R37" i="20" s="1"/>
  <c r="P37" i="20" s="1"/>
  <c r="V37" i="20" s="1"/>
  <c r="B37" i="20" s="1"/>
  <c r="U328" i="20"/>
  <c r="T328" i="20" s="1"/>
  <c r="S328" i="20" s="1"/>
  <c r="R328" i="20" s="1"/>
  <c r="P328" i="20" s="1"/>
  <c r="V328" i="20" s="1"/>
  <c r="U295" i="20"/>
  <c r="T295" i="20" s="1"/>
  <c r="S295" i="20" s="1"/>
  <c r="R295" i="20" s="1"/>
  <c r="P295" i="20" s="1"/>
  <c r="V295" i="20" s="1"/>
  <c r="B295" i="20" s="1"/>
  <c r="U81" i="20"/>
  <c r="T81" i="20" s="1"/>
  <c r="S81" i="20" s="1"/>
  <c r="R81" i="20" s="1"/>
  <c r="P81" i="20" s="1"/>
  <c r="V81" i="20" s="1"/>
  <c r="U38" i="20"/>
  <c r="T38" i="20" s="1"/>
  <c r="S38" i="20" s="1"/>
  <c r="R38" i="20" s="1"/>
  <c r="P38" i="20" s="1"/>
  <c r="V38" i="20" s="1"/>
  <c r="U82" i="20"/>
  <c r="T82" i="20" s="1"/>
  <c r="S82" i="20" s="1"/>
  <c r="R82" i="20" s="1"/>
  <c r="P82" i="20" s="1"/>
  <c r="V82" i="20" s="1"/>
  <c r="U320" i="20"/>
  <c r="T320" i="20" s="1"/>
  <c r="S320" i="20" s="1"/>
  <c r="R320" i="20" s="1"/>
  <c r="P320" i="20" s="1"/>
  <c r="V320" i="20" s="1"/>
  <c r="U72" i="20"/>
  <c r="T72" i="20" s="1"/>
  <c r="S72" i="20" s="1"/>
  <c r="R72" i="20" s="1"/>
  <c r="P72" i="20" s="1"/>
  <c r="V72" i="20" s="1"/>
  <c r="U262" i="20"/>
  <c r="T262" i="20" s="1"/>
  <c r="S262" i="20" s="1"/>
  <c r="R262" i="20" s="1"/>
  <c r="P262" i="20" s="1"/>
  <c r="V262" i="20" s="1"/>
  <c r="B262" i="20" s="1"/>
  <c r="U188" i="20"/>
  <c r="T188" i="20" s="1"/>
  <c r="S188" i="20" s="1"/>
  <c r="R188" i="20" s="1"/>
  <c r="P188" i="20" s="1"/>
  <c r="V188" i="20" s="1"/>
  <c r="U39" i="20"/>
  <c r="T39" i="20" s="1"/>
  <c r="S39" i="20" s="1"/>
  <c r="R39" i="20" s="1"/>
  <c r="P39" i="20" s="1"/>
  <c r="V39" i="20" s="1"/>
  <c r="U331" i="20"/>
  <c r="T331" i="20" s="1"/>
  <c r="S331" i="20" s="1"/>
  <c r="R331" i="20" s="1"/>
  <c r="P331" i="20" s="1"/>
  <c r="V331" i="20" s="1"/>
  <c r="U247" i="20"/>
  <c r="T247" i="20" s="1"/>
  <c r="S247" i="20" s="1"/>
  <c r="R247" i="20" s="1"/>
  <c r="P247" i="20" s="1"/>
  <c r="V247" i="20" s="1"/>
  <c r="U154" i="20"/>
  <c r="T154" i="20" s="1"/>
  <c r="S154" i="20" s="1"/>
  <c r="R154" i="20" s="1"/>
  <c r="P154" i="20" s="1"/>
  <c r="V154" i="20" s="1"/>
  <c r="U242" i="20"/>
  <c r="T242" i="20" s="1"/>
  <c r="S242" i="20" s="1"/>
  <c r="R242" i="20" s="1"/>
  <c r="P242" i="20" s="1"/>
  <c r="V242" i="20" s="1"/>
  <c r="B242" i="20" s="1"/>
  <c r="U253" i="20"/>
  <c r="T253" i="20" s="1"/>
  <c r="S253" i="20" s="1"/>
  <c r="R253" i="20" s="1"/>
  <c r="P253" i="20" s="1"/>
  <c r="V253" i="20" s="1"/>
  <c r="U162" i="20"/>
  <c r="T162" i="20" s="1"/>
  <c r="S162" i="20" s="1"/>
  <c r="R162" i="20" s="1"/>
  <c r="P162" i="20" s="1"/>
  <c r="V162" i="20" s="1"/>
  <c r="U315" i="20"/>
  <c r="T315" i="20" s="1"/>
  <c r="S315" i="20" s="1"/>
  <c r="R315" i="20" s="1"/>
  <c r="P315" i="20" s="1"/>
  <c r="V315" i="20" s="1"/>
  <c r="U132" i="20"/>
  <c r="T132" i="20" s="1"/>
  <c r="S132" i="20" s="1"/>
  <c r="R132" i="20" s="1"/>
  <c r="P132" i="20" s="1"/>
  <c r="V132" i="20" s="1"/>
  <c r="B132" i="20" s="1"/>
  <c r="U57" i="20"/>
  <c r="T57" i="20" s="1"/>
  <c r="S57" i="20" s="1"/>
  <c r="R57" i="20" s="1"/>
  <c r="P57" i="20" s="1"/>
  <c r="V57" i="20" s="1"/>
  <c r="U350" i="20"/>
  <c r="T350" i="20" s="1"/>
  <c r="S350" i="20" s="1"/>
  <c r="R350" i="20" s="1"/>
  <c r="P350" i="20" s="1"/>
  <c r="V350" i="20" s="1"/>
  <c r="B350" i="20" s="1"/>
  <c r="U265" i="20"/>
  <c r="T265" i="20" s="1"/>
  <c r="S265" i="20" s="1"/>
  <c r="R265" i="20" s="1"/>
  <c r="P265" i="20" s="1"/>
  <c r="V265" i="20" s="1"/>
  <c r="U347" i="20"/>
  <c r="T347" i="20" s="1"/>
  <c r="S347" i="20" s="1"/>
  <c r="R347" i="20" s="1"/>
  <c r="P347" i="20" s="1"/>
  <c r="V347" i="20" s="1"/>
  <c r="U56" i="20"/>
  <c r="T56" i="20" s="1"/>
  <c r="S56" i="20" s="1"/>
  <c r="R56" i="20" s="1"/>
  <c r="P56" i="20" s="1"/>
  <c r="V56" i="20" s="1"/>
  <c r="U325" i="20"/>
  <c r="T325" i="20" s="1"/>
  <c r="S325" i="20" s="1"/>
  <c r="R325" i="20" s="1"/>
  <c r="P325" i="20" s="1"/>
  <c r="V325" i="20" s="1"/>
  <c r="B325" i="20" s="1"/>
  <c r="U105" i="20"/>
  <c r="T105" i="20" s="1"/>
  <c r="S105" i="20" s="1"/>
  <c r="R105" i="20" s="1"/>
  <c r="P105" i="20" s="1"/>
  <c r="V105" i="20" s="1"/>
  <c r="U35" i="20"/>
  <c r="T35" i="20" s="1"/>
  <c r="S35" i="20" s="1"/>
  <c r="R35" i="20" s="1"/>
  <c r="P35" i="20" s="1"/>
  <c r="V35" i="20" s="1"/>
  <c r="U324" i="20"/>
  <c r="T324" i="20" s="1"/>
  <c r="S324" i="20" s="1"/>
  <c r="R324" i="20" s="1"/>
  <c r="P324" i="20" s="1"/>
  <c r="V324" i="20" s="1"/>
  <c r="U281" i="20"/>
  <c r="T281" i="20" s="1"/>
  <c r="S281" i="20" s="1"/>
  <c r="R281" i="20" s="1"/>
  <c r="P281" i="20" s="1"/>
  <c r="V281" i="20" s="1"/>
  <c r="U77" i="20"/>
  <c r="T77" i="20" s="1"/>
  <c r="S77" i="20" s="1"/>
  <c r="R77" i="20" s="1"/>
  <c r="P77" i="20" s="1"/>
  <c r="V77" i="20" s="1"/>
  <c r="U190" i="20"/>
  <c r="T190" i="20" s="1"/>
  <c r="S190" i="20" s="1"/>
  <c r="R190" i="20" s="1"/>
  <c r="P190" i="20" s="1"/>
  <c r="V190" i="20" s="1"/>
  <c r="B190" i="20" s="1"/>
  <c r="U146" i="20"/>
  <c r="T146" i="20" s="1"/>
  <c r="S146" i="20" s="1"/>
  <c r="R146" i="20" s="1"/>
  <c r="P146" i="20" s="1"/>
  <c r="V146" i="20" s="1"/>
  <c r="U133" i="20"/>
  <c r="T133" i="20" s="1"/>
  <c r="S133" i="20" s="1"/>
  <c r="R133" i="20" s="1"/>
  <c r="P133" i="20" s="1"/>
  <c r="V133" i="20" s="1"/>
  <c r="U157" i="20"/>
  <c r="T157" i="20" s="1"/>
  <c r="S157" i="20" s="1"/>
  <c r="R157" i="20" s="1"/>
  <c r="P157" i="20" s="1"/>
  <c r="V157" i="20" s="1"/>
  <c r="U342" i="20"/>
  <c r="T342" i="20" s="1"/>
  <c r="S342" i="20" s="1"/>
  <c r="R342" i="20" s="1"/>
  <c r="P342" i="20" s="1"/>
  <c r="V342" i="20" s="1"/>
  <c r="B342" i="20" s="1"/>
  <c r="U297" i="20"/>
  <c r="T297" i="20" s="1"/>
  <c r="S297" i="20" s="1"/>
  <c r="R297" i="20" s="1"/>
  <c r="P297" i="20" s="1"/>
  <c r="V297" i="20" s="1"/>
  <c r="U326" i="20"/>
  <c r="T326" i="20" s="1"/>
  <c r="S326" i="20" s="1"/>
  <c r="R326" i="20" s="1"/>
  <c r="P326" i="20" s="1"/>
  <c r="V326" i="20" s="1"/>
  <c r="B326" i="20" s="1"/>
  <c r="U128" i="20"/>
  <c r="T128" i="20" s="1"/>
  <c r="S128" i="20" s="1"/>
  <c r="R128" i="20" s="1"/>
  <c r="P128" i="20" s="1"/>
  <c r="V128" i="20" s="1"/>
  <c r="U121" i="20"/>
  <c r="T121" i="20" s="1"/>
  <c r="S121" i="20" s="1"/>
  <c r="R121" i="20" s="1"/>
  <c r="P121" i="20" s="1"/>
  <c r="V121" i="20" s="1"/>
  <c r="U280" i="20"/>
  <c r="T280" i="20" s="1"/>
  <c r="S280" i="20" s="1"/>
  <c r="R280" i="20" s="1"/>
  <c r="P280" i="20" s="1"/>
  <c r="V280" i="20" s="1"/>
  <c r="U175" i="20"/>
  <c r="T175" i="20" s="1"/>
  <c r="S175" i="20" s="1"/>
  <c r="R175" i="20" s="1"/>
  <c r="P175" i="20" s="1"/>
  <c r="V175" i="20" s="1"/>
  <c r="B175" i="20" s="1"/>
  <c r="U316" i="20"/>
  <c r="T316" i="20" s="1"/>
  <c r="S316" i="20" s="1"/>
  <c r="R316" i="20" s="1"/>
  <c r="P316" i="20" s="1"/>
  <c r="V316" i="20" s="1"/>
  <c r="U292" i="20"/>
  <c r="T292" i="20" s="1"/>
  <c r="S292" i="20" s="1"/>
  <c r="R292" i="20" s="1"/>
  <c r="P292" i="20" s="1"/>
  <c r="V292" i="20" s="1"/>
  <c r="U84" i="20"/>
  <c r="T84" i="20" s="1"/>
  <c r="S84" i="20" s="1"/>
  <c r="R84" i="20" s="1"/>
  <c r="P84" i="20" s="1"/>
  <c r="V84" i="20" s="1"/>
  <c r="U158" i="20"/>
  <c r="T158" i="20" s="1"/>
  <c r="S158" i="20" s="1"/>
  <c r="R158" i="20" s="1"/>
  <c r="P158" i="20" s="1"/>
  <c r="V158" i="20" s="1"/>
  <c r="U335" i="20"/>
  <c r="T335" i="20" s="1"/>
  <c r="S335" i="20" s="1"/>
  <c r="R335" i="20" s="1"/>
  <c r="P335" i="20" s="1"/>
  <c r="V335" i="20" s="1"/>
  <c r="U70" i="20"/>
  <c r="T70" i="20" s="1"/>
  <c r="S70" i="20" s="1"/>
  <c r="R70" i="20" s="1"/>
  <c r="P70" i="20" s="1"/>
  <c r="V70" i="20" s="1"/>
  <c r="B70" i="20" s="1"/>
  <c r="U25" i="20"/>
  <c r="T25" i="20" s="1"/>
  <c r="S25" i="20" s="1"/>
  <c r="R25" i="20" s="1"/>
  <c r="P25" i="20" s="1"/>
  <c r="V25" i="20" s="1"/>
  <c r="U131" i="20"/>
  <c r="T131" i="20" s="1"/>
  <c r="S131" i="20" s="1"/>
  <c r="R131" i="20" s="1"/>
  <c r="P131" i="20" s="1"/>
  <c r="V131" i="20" s="1"/>
  <c r="U43" i="20"/>
  <c r="T43" i="20" s="1"/>
  <c r="S43" i="20" s="1"/>
  <c r="R43" i="20" s="1"/>
  <c r="P43" i="20" s="1"/>
  <c r="V43" i="20" s="1"/>
  <c r="U115" i="20"/>
  <c r="T115" i="20" s="1"/>
  <c r="S115" i="20" s="1"/>
  <c r="R115" i="20" s="1"/>
  <c r="P115" i="20" s="1"/>
  <c r="V115" i="20" s="1"/>
  <c r="B115" i="20" s="1"/>
  <c r="U78" i="20"/>
  <c r="T78" i="20" s="1"/>
  <c r="S78" i="20" s="1"/>
  <c r="R78" i="20" s="1"/>
  <c r="P78" i="20" s="1"/>
  <c r="V78" i="20" s="1"/>
  <c r="U102" i="20"/>
  <c r="T102" i="20" s="1"/>
  <c r="S102" i="20" s="1"/>
  <c r="R102" i="20" s="1"/>
  <c r="P102" i="20" s="1"/>
  <c r="V102" i="20" s="1"/>
  <c r="B102" i="20" s="1"/>
  <c r="U149" i="20"/>
  <c r="T149" i="20" s="1"/>
  <c r="S149" i="20" s="1"/>
  <c r="R149" i="20" s="1"/>
  <c r="P149" i="20" s="1"/>
  <c r="AH24" i="7" s="1"/>
  <c r="U100" i="20"/>
  <c r="T100" i="20" s="1"/>
  <c r="S100" i="20" s="1"/>
  <c r="R100" i="20" s="1"/>
  <c r="P100" i="20" s="1"/>
  <c r="V100" i="20" s="1"/>
  <c r="B100" i="20" s="1"/>
  <c r="U179" i="20"/>
  <c r="T179" i="20" s="1"/>
  <c r="S179" i="20" s="1"/>
  <c r="R179" i="20" s="1"/>
  <c r="P179" i="20" s="1"/>
  <c r="V179" i="20" s="1"/>
  <c r="U141" i="20"/>
  <c r="T141" i="20" s="1"/>
  <c r="S141" i="20" s="1"/>
  <c r="R141" i="20" s="1"/>
  <c r="P141" i="20" s="1"/>
  <c r="V141" i="20" s="1"/>
  <c r="B141" i="20" s="1"/>
  <c r="U367" i="20"/>
  <c r="T367" i="20" s="1"/>
  <c r="S367" i="20" s="1"/>
  <c r="R367" i="20" s="1"/>
  <c r="P367" i="20" s="1"/>
  <c r="V367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U286" i="20"/>
  <c r="T286" i="20" s="1"/>
  <c r="S286" i="20" s="1"/>
  <c r="R286" i="20" s="1"/>
  <c r="P286" i="20" s="1"/>
  <c r="V286" i="20" s="1"/>
  <c r="B286" i="20" s="1"/>
  <c r="U181" i="20"/>
  <c r="T181" i="20" s="1"/>
  <c r="S181" i="20" s="1"/>
  <c r="R181" i="20" s="1"/>
  <c r="P181" i="20" s="1"/>
  <c r="V181" i="20" s="1"/>
  <c r="U169" i="20"/>
  <c r="T169" i="20" s="1"/>
  <c r="S169" i="20" s="1"/>
  <c r="R169" i="20" s="1"/>
  <c r="P169" i="20" s="1"/>
  <c r="V169" i="20" s="1"/>
  <c r="U20" i="20"/>
  <c r="T20" i="20" s="1"/>
  <c r="S20" i="20" s="1"/>
  <c r="R20" i="20" s="1"/>
  <c r="P20" i="20" s="1"/>
  <c r="V20" i="20" s="1"/>
  <c r="U98" i="20"/>
  <c r="T98" i="20" s="1"/>
  <c r="S98" i="20" s="1"/>
  <c r="R98" i="20" s="1"/>
  <c r="P98" i="20" s="1"/>
  <c r="V98" i="20" s="1"/>
  <c r="U177" i="20"/>
  <c r="T177" i="20" s="1"/>
  <c r="S177" i="20" s="1"/>
  <c r="R177" i="20" s="1"/>
  <c r="P177" i="20" s="1"/>
  <c r="V177" i="20" s="1"/>
  <c r="U117" i="20"/>
  <c r="T117" i="20" s="1"/>
  <c r="S117" i="20" s="1"/>
  <c r="R117" i="20" s="1"/>
  <c r="P117" i="20" s="1"/>
  <c r="V117" i="20" s="1"/>
  <c r="B117" i="20" s="1"/>
  <c r="U165" i="20"/>
  <c r="T165" i="20" s="1"/>
  <c r="S165" i="20" s="1"/>
  <c r="R165" i="20" s="1"/>
  <c r="P165" i="20" s="1"/>
  <c r="V165" i="20" s="1"/>
  <c r="U270" i="20"/>
  <c r="T270" i="20" s="1"/>
  <c r="S270" i="20" s="1"/>
  <c r="R270" i="20" s="1"/>
  <c r="P270" i="20" s="1"/>
  <c r="V270" i="20" s="1"/>
  <c r="U59" i="20"/>
  <c r="T59" i="20" s="1"/>
  <c r="S59" i="20" s="1"/>
  <c r="R59" i="20" s="1"/>
  <c r="P59" i="20" s="1"/>
  <c r="V59" i="20" s="1"/>
  <c r="U379" i="20"/>
  <c r="U12" i="22" s="1"/>
  <c r="U272" i="20"/>
  <c r="T272" i="20" s="1"/>
  <c r="S272" i="20" s="1"/>
  <c r="R272" i="20" s="1"/>
  <c r="P272" i="20" s="1"/>
  <c r="V272" i="20" s="1"/>
  <c r="U216" i="20"/>
  <c r="T216" i="20" s="1"/>
  <c r="S216" i="20" s="1"/>
  <c r="R216" i="20" s="1"/>
  <c r="P216" i="20" s="1"/>
  <c r="V216" i="20" s="1"/>
  <c r="U376" i="20"/>
  <c r="T376" i="20" s="1"/>
  <c r="S376" i="20" s="1"/>
  <c r="R376" i="20" s="1"/>
  <c r="P376" i="20" s="1"/>
  <c r="V376" i="20" s="1"/>
  <c r="U217" i="20"/>
  <c r="T217" i="20" s="1"/>
  <c r="S217" i="20" s="1"/>
  <c r="R217" i="20" s="1"/>
  <c r="P217" i="20" s="1"/>
  <c r="V217" i="20" s="1"/>
  <c r="U113" i="20"/>
  <c r="T113" i="20" s="1"/>
  <c r="S113" i="20" s="1"/>
  <c r="R113" i="20" s="1"/>
  <c r="P113" i="20" s="1"/>
  <c r="V113" i="20" s="1"/>
  <c r="U24" i="20"/>
  <c r="T24" i="20" s="1"/>
  <c r="S24" i="20" s="1"/>
  <c r="R24" i="20" s="1"/>
  <c r="P24" i="20" s="1"/>
  <c r="V24" i="20" s="1"/>
  <c r="U194" i="20"/>
  <c r="T194" i="20" s="1"/>
  <c r="S194" i="20" s="1"/>
  <c r="R194" i="20" s="1"/>
  <c r="P194" i="20" s="1"/>
  <c r="V194" i="20" s="1"/>
  <c r="U232" i="20"/>
  <c r="T232" i="20" s="1"/>
  <c r="S232" i="20" s="1"/>
  <c r="R232" i="20" s="1"/>
  <c r="P232" i="20" s="1"/>
  <c r="V232" i="20" s="1"/>
  <c r="U237" i="20"/>
  <c r="T237" i="20" s="1"/>
  <c r="S237" i="20" s="1"/>
  <c r="R237" i="20" s="1"/>
  <c r="P237" i="20" s="1"/>
  <c r="V237" i="20" s="1"/>
  <c r="U339" i="20"/>
  <c r="T339" i="20" s="1"/>
  <c r="S339" i="20" s="1"/>
  <c r="R339" i="20" s="1"/>
  <c r="P339" i="20" s="1"/>
  <c r="V339" i="20" s="1"/>
  <c r="U127" i="20"/>
  <c r="T127" i="20" s="1"/>
  <c r="S127" i="20" s="1"/>
  <c r="R127" i="20" s="1"/>
  <c r="P127" i="20" s="1"/>
  <c r="V127" i="20" s="1"/>
  <c r="U260" i="20"/>
  <c r="T260" i="20" s="1"/>
  <c r="S260" i="20" s="1"/>
  <c r="R260" i="20" s="1"/>
  <c r="P260" i="20" s="1"/>
  <c r="V260" i="20" s="1"/>
  <c r="B260" i="20" s="1"/>
  <c r="U355" i="20"/>
  <c r="T355" i="20" s="1"/>
  <c r="S355" i="20" s="1"/>
  <c r="R355" i="20" s="1"/>
  <c r="P355" i="20" s="1"/>
  <c r="V355" i="20" s="1"/>
  <c r="U135" i="20"/>
  <c r="T135" i="20" s="1"/>
  <c r="S135" i="20" s="1"/>
  <c r="R135" i="20" s="1"/>
  <c r="P135" i="20" s="1"/>
  <c r="V135" i="20" s="1"/>
  <c r="U50" i="20"/>
  <c r="T50" i="20" s="1"/>
  <c r="S50" i="20" s="1"/>
  <c r="R50" i="20" s="1"/>
  <c r="P50" i="20" s="1"/>
  <c r="V50" i="20" s="1"/>
  <c r="U199" i="20"/>
  <c r="T199" i="20" s="1"/>
  <c r="S199" i="20" s="1"/>
  <c r="R199" i="20" s="1"/>
  <c r="P199" i="20" s="1"/>
  <c r="V199" i="20" s="1"/>
  <c r="B199" i="20" s="1"/>
  <c r="U106" i="20"/>
  <c r="T106" i="20" s="1"/>
  <c r="S106" i="20" s="1"/>
  <c r="R106" i="20" s="1"/>
  <c r="P106" i="20" s="1"/>
  <c r="V106" i="20" s="1"/>
  <c r="U322" i="20"/>
  <c r="T322" i="20" s="1"/>
  <c r="S322" i="20" s="1"/>
  <c r="R322" i="20" s="1"/>
  <c r="P322" i="20" s="1"/>
  <c r="V322" i="20" s="1"/>
  <c r="B322" i="20" s="1"/>
  <c r="U378" i="20"/>
  <c r="T378" i="20" s="1"/>
  <c r="S378" i="20" s="1"/>
  <c r="R378" i="20" s="1"/>
  <c r="P378" i="20" s="1"/>
  <c r="V378" i="20" s="1"/>
  <c r="U278" i="20"/>
  <c r="T278" i="20" s="1"/>
  <c r="S278" i="20" s="1"/>
  <c r="R278" i="20" s="1"/>
  <c r="P278" i="20" s="1"/>
  <c r="V278" i="20" s="1"/>
  <c r="U243" i="20"/>
  <c r="T243" i="20" s="1"/>
  <c r="S243" i="20" s="1"/>
  <c r="R243" i="20" s="1"/>
  <c r="P243" i="20" s="1"/>
  <c r="V243" i="20" s="1"/>
  <c r="U215" i="20"/>
  <c r="T215" i="20" s="1"/>
  <c r="S215" i="20" s="1"/>
  <c r="R215" i="20" s="1"/>
  <c r="P215" i="20" s="1"/>
  <c r="V215" i="20" s="1"/>
  <c r="B215" i="20" s="1"/>
  <c r="U276" i="20"/>
  <c r="T276" i="20" s="1"/>
  <c r="S276" i="20" s="1"/>
  <c r="R276" i="20" s="1"/>
  <c r="P276" i="20" s="1"/>
  <c r="V276" i="20" s="1"/>
  <c r="U150" i="20"/>
  <c r="T150" i="20" s="1"/>
  <c r="S150" i="20" s="1"/>
  <c r="R150" i="20" s="1"/>
  <c r="P150" i="20" s="1"/>
  <c r="V150" i="20" s="1"/>
  <c r="U211" i="20"/>
  <c r="T211" i="20" s="1"/>
  <c r="S211" i="20" s="1"/>
  <c r="R211" i="20" s="1"/>
  <c r="P211" i="20" s="1"/>
  <c r="V211" i="20" s="1"/>
  <c r="U187" i="20"/>
  <c r="T187" i="20" s="1"/>
  <c r="S187" i="20" s="1"/>
  <c r="R187" i="20" s="1"/>
  <c r="P187" i="20" s="1"/>
  <c r="V187" i="20" s="1"/>
  <c r="U261" i="20"/>
  <c r="T261" i="20" s="1"/>
  <c r="S261" i="20" s="1"/>
  <c r="R261" i="20" s="1"/>
  <c r="P261" i="20" s="1"/>
  <c r="V261" i="20" s="1"/>
  <c r="U183" i="20"/>
  <c r="T183" i="20" s="1"/>
  <c r="S183" i="20" s="1"/>
  <c r="R183" i="20" s="1"/>
  <c r="P183" i="20" s="1"/>
  <c r="V183" i="20" s="1"/>
  <c r="B183" i="20" s="1"/>
  <c r="U151" i="20"/>
  <c r="T151" i="20" s="1"/>
  <c r="S151" i="20" s="1"/>
  <c r="R151" i="20" s="1"/>
  <c r="P151" i="20" s="1"/>
  <c r="V151" i="20" s="1"/>
  <c r="U340" i="20"/>
  <c r="T340" i="20" s="1"/>
  <c r="S340" i="20" s="1"/>
  <c r="R340" i="20" s="1"/>
  <c r="P340" i="20" s="1"/>
  <c r="V340" i="20" s="1"/>
  <c r="U134" i="20"/>
  <c r="T134" i="20" s="1"/>
  <c r="S134" i="20" s="1"/>
  <c r="R134" i="20" s="1"/>
  <c r="P134" i="20" s="1"/>
  <c r="V134" i="20" s="1"/>
  <c r="U210" i="20"/>
  <c r="T210" i="20" s="1"/>
  <c r="S210" i="20" s="1"/>
  <c r="R210" i="20" s="1"/>
  <c r="P210" i="20" s="1"/>
  <c r="V210" i="20" s="1"/>
  <c r="B210" i="20" s="1"/>
  <c r="U136" i="20"/>
  <c r="T136" i="20" s="1"/>
  <c r="S136" i="20" s="1"/>
  <c r="R136" i="20" s="1"/>
  <c r="P136" i="20" s="1"/>
  <c r="V136" i="20" s="1"/>
  <c r="U231" i="20"/>
  <c r="T231" i="20" s="1"/>
  <c r="S231" i="20" s="1"/>
  <c r="R231" i="20" s="1"/>
  <c r="P231" i="20" s="1"/>
  <c r="V231" i="20" s="1"/>
  <c r="B231" i="20" s="1"/>
  <c r="U67" i="20"/>
  <c r="T67" i="20" s="1"/>
  <c r="S67" i="20" s="1"/>
  <c r="R67" i="20" s="1"/>
  <c r="P67" i="20" s="1"/>
  <c r="V67" i="20" s="1"/>
  <c r="U47" i="20"/>
  <c r="T47" i="20" s="1"/>
  <c r="S47" i="20" s="1"/>
  <c r="R47" i="20" s="1"/>
  <c r="P47" i="20" s="1"/>
  <c r="V47" i="20" s="1"/>
  <c r="U273" i="20"/>
  <c r="T273" i="20" s="1"/>
  <c r="S273" i="20" s="1"/>
  <c r="R273" i="20" s="1"/>
  <c r="P273" i="20" s="1"/>
  <c r="V273" i="20" s="1"/>
  <c r="U176" i="20"/>
  <c r="T176" i="20" s="1"/>
  <c r="S176" i="20" s="1"/>
  <c r="R176" i="20" s="1"/>
  <c r="P176" i="20" s="1"/>
  <c r="V176" i="20" s="1"/>
  <c r="B176" i="20" s="1"/>
  <c r="U229" i="20"/>
  <c r="T229" i="20" s="1"/>
  <c r="S229" i="20" s="1"/>
  <c r="R229" i="20" s="1"/>
  <c r="P229" i="20" s="1"/>
  <c r="V229" i="20" s="1"/>
  <c r="U189" i="20"/>
  <c r="T189" i="20" s="1"/>
  <c r="S189" i="20" s="1"/>
  <c r="R189" i="20" s="1"/>
  <c r="P189" i="20" s="1"/>
  <c r="V189" i="20" s="1"/>
  <c r="U18" i="20"/>
  <c r="T18" i="20" s="1"/>
  <c r="S18" i="20" s="1"/>
  <c r="R18" i="20" s="1"/>
  <c r="P18" i="20" s="1"/>
  <c r="V18" i="20" s="1"/>
  <c r="U195" i="20"/>
  <c r="T195" i="20" s="1"/>
  <c r="S195" i="20" s="1"/>
  <c r="R195" i="20" s="1"/>
  <c r="P195" i="20" s="1"/>
  <c r="V195" i="20" s="1"/>
  <c r="U138" i="20"/>
  <c r="T138" i="20" s="1"/>
  <c r="S138" i="20" s="1"/>
  <c r="R138" i="20" s="1"/>
  <c r="P138" i="20" s="1"/>
  <c r="V138" i="20" s="1"/>
  <c r="U239" i="20"/>
  <c r="T239" i="20" s="1"/>
  <c r="S239" i="20" s="1"/>
  <c r="R239" i="20" s="1"/>
  <c r="P239" i="20" s="1"/>
  <c r="V239" i="20" s="1"/>
  <c r="U66" i="20"/>
  <c r="T66" i="20" s="1"/>
  <c r="S66" i="20" s="1"/>
  <c r="R66" i="20" s="1"/>
  <c r="P66" i="20" s="1"/>
  <c r="V66" i="20" s="1"/>
  <c r="U15" i="20"/>
  <c r="T15" i="20" s="1"/>
  <c r="U330" i="20"/>
  <c r="T330" i="20" s="1"/>
  <c r="S330" i="20" s="1"/>
  <c r="R330" i="20" s="1"/>
  <c r="P330" i="20" s="1"/>
  <c r="V330" i="20" s="1"/>
  <c r="U366" i="20"/>
  <c r="T366" i="20" s="1"/>
  <c r="S366" i="20" s="1"/>
  <c r="R366" i="20" s="1"/>
  <c r="P366" i="20" s="1"/>
  <c r="V366" i="20" s="1"/>
  <c r="U317" i="20"/>
  <c r="T317" i="20" s="1"/>
  <c r="S317" i="20" s="1"/>
  <c r="R317" i="20" s="1"/>
  <c r="P317" i="20" s="1"/>
  <c r="V317" i="20" s="1"/>
  <c r="U213" i="20"/>
  <c r="T213" i="20" s="1"/>
  <c r="S213" i="20" s="1"/>
  <c r="R213" i="20" s="1"/>
  <c r="P213" i="20" s="1"/>
  <c r="V213" i="20" s="1"/>
  <c r="B213" i="20" s="1"/>
  <c r="U332" i="20"/>
  <c r="T332" i="20" s="1"/>
  <c r="S332" i="20" s="1"/>
  <c r="R332" i="20" s="1"/>
  <c r="P332" i="20" s="1"/>
  <c r="V332" i="20" s="1"/>
  <c r="U268" i="20"/>
  <c r="T268" i="20" s="1"/>
  <c r="S268" i="20" s="1"/>
  <c r="R268" i="20" s="1"/>
  <c r="P268" i="20" s="1"/>
  <c r="V268" i="20" s="1"/>
  <c r="U223" i="20"/>
  <c r="T223" i="20" s="1"/>
  <c r="S223" i="20" s="1"/>
  <c r="R223" i="20" s="1"/>
  <c r="P223" i="20" s="1"/>
  <c r="V223" i="20" s="1"/>
  <c r="U249" i="20"/>
  <c r="T249" i="20" s="1"/>
  <c r="S249" i="20" s="1"/>
  <c r="R249" i="20" s="1"/>
  <c r="P249" i="20" s="1"/>
  <c r="V249" i="20" s="1"/>
  <c r="U337" i="20"/>
  <c r="T337" i="20" s="1"/>
  <c r="S337" i="20" s="1"/>
  <c r="R337" i="20" s="1"/>
  <c r="P337" i="20" s="1"/>
  <c r="V337" i="20" s="1"/>
  <c r="U178" i="20"/>
  <c r="T178" i="20" s="1"/>
  <c r="S178" i="20" s="1"/>
  <c r="R178" i="20" s="1"/>
  <c r="P178" i="20" s="1"/>
  <c r="V178" i="20" s="1"/>
  <c r="B178" i="20" s="1"/>
  <c r="U275" i="20"/>
  <c r="T275" i="20" s="1"/>
  <c r="S275" i="20" s="1"/>
  <c r="R275" i="20" s="1"/>
  <c r="P275" i="20" s="1"/>
  <c r="V275" i="20" s="1"/>
  <c r="U75" i="20"/>
  <c r="T75" i="20" s="1"/>
  <c r="S75" i="20" s="1"/>
  <c r="R75" i="20" s="1"/>
  <c r="P75" i="20" s="1"/>
  <c r="V75" i="20" s="1"/>
  <c r="U97" i="20"/>
  <c r="T97" i="20" s="1"/>
  <c r="S97" i="20" s="1"/>
  <c r="R97" i="20" s="1"/>
  <c r="P97" i="20" s="1"/>
  <c r="V97" i="20" s="1"/>
  <c r="U92" i="20"/>
  <c r="T92" i="20" s="1"/>
  <c r="S92" i="20" s="1"/>
  <c r="R92" i="20" s="1"/>
  <c r="P92" i="20" s="1"/>
  <c r="V92" i="20" s="1"/>
  <c r="B92" i="20" s="1"/>
  <c r="U321" i="20"/>
  <c r="T321" i="20" s="1"/>
  <c r="S321" i="20" s="1"/>
  <c r="R321" i="20" s="1"/>
  <c r="P321" i="20" s="1"/>
  <c r="V321" i="20" s="1"/>
  <c r="U214" i="20"/>
  <c r="T214" i="20" s="1"/>
  <c r="S214" i="20" s="1"/>
  <c r="R214" i="20" s="1"/>
  <c r="P214" i="20" s="1"/>
  <c r="V214" i="20" s="1"/>
  <c r="B214" i="20" s="1"/>
  <c r="U65" i="20"/>
  <c r="T65" i="20" s="1"/>
  <c r="S65" i="20" s="1"/>
  <c r="R65" i="20" s="1"/>
  <c r="P65" i="20" s="1"/>
  <c r="V65" i="20" s="1"/>
  <c r="U329" i="20"/>
  <c r="T329" i="20" s="1"/>
  <c r="S329" i="20" s="1"/>
  <c r="R329" i="20" s="1"/>
  <c r="P329" i="20" s="1"/>
  <c r="V329" i="20" s="1"/>
  <c r="U212" i="20"/>
  <c r="T212" i="20" s="1"/>
  <c r="S212" i="20" s="1"/>
  <c r="R212" i="20" s="1"/>
  <c r="P212" i="20" s="1"/>
  <c r="V212" i="20" s="1"/>
  <c r="U94" i="20"/>
  <c r="T94" i="20" s="1"/>
  <c r="S94" i="20" s="1"/>
  <c r="R94" i="20" s="1"/>
  <c r="P94" i="20" s="1"/>
  <c r="V94" i="20" s="1"/>
  <c r="B94" i="20" s="1"/>
  <c r="U345" i="20"/>
  <c r="T345" i="20" s="1"/>
  <c r="S345" i="20" s="1"/>
  <c r="R345" i="20" s="1"/>
  <c r="P345" i="20" s="1"/>
  <c r="V345" i="20" s="1"/>
  <c r="U17" i="20"/>
  <c r="T17" i="20" s="1"/>
  <c r="S17" i="20" s="1"/>
  <c r="R17" i="20" s="1"/>
  <c r="P17" i="20" s="1"/>
  <c r="V17" i="20" s="1"/>
  <c r="U235" i="20"/>
  <c r="T235" i="20" s="1"/>
  <c r="S235" i="20" s="1"/>
  <c r="R235" i="20" s="1"/>
  <c r="P235" i="20" s="1"/>
  <c r="V235" i="20" s="1"/>
  <c r="U26" i="20"/>
  <c r="T26" i="20" s="1"/>
  <c r="S26" i="20" s="1"/>
  <c r="R26" i="20" s="1"/>
  <c r="P26" i="20" s="1"/>
  <c r="V26" i="20" s="1"/>
  <c r="U336" i="20"/>
  <c r="T336" i="20" s="1"/>
  <c r="S336" i="20" s="1"/>
  <c r="R336" i="20" s="1"/>
  <c r="P336" i="20" s="1"/>
  <c r="V336" i="20" s="1"/>
  <c r="U55" i="20"/>
  <c r="T55" i="20" s="1"/>
  <c r="S55" i="20" s="1"/>
  <c r="R55" i="20" s="1"/>
  <c r="P55" i="20" s="1"/>
  <c r="V55" i="20" s="1"/>
  <c r="B55" i="20" s="1"/>
  <c r="U287" i="20"/>
  <c r="T287" i="20" s="1"/>
  <c r="S287" i="20" s="1"/>
  <c r="R287" i="20" s="1"/>
  <c r="P287" i="20" s="1"/>
  <c r="V287" i="20" s="1"/>
  <c r="U145" i="20"/>
  <c r="T145" i="20" s="1"/>
  <c r="S145" i="20" s="1"/>
  <c r="R145" i="20" s="1"/>
  <c r="P145" i="20" s="1"/>
  <c r="V145" i="20" s="1"/>
  <c r="U73" i="20"/>
  <c r="T73" i="20" s="1"/>
  <c r="S73" i="20" s="1"/>
  <c r="R73" i="20" s="1"/>
  <c r="P73" i="20" s="1"/>
  <c r="V73" i="20" s="1"/>
  <c r="U361" i="20"/>
  <c r="T361" i="20" s="1"/>
  <c r="S361" i="20" s="1"/>
  <c r="R361" i="20" s="1"/>
  <c r="P361" i="20" s="1"/>
  <c r="V361" i="20" s="1"/>
  <c r="Q160" i="22"/>
  <c r="AE382" i="20"/>
  <c r="G101" i="18"/>
  <c r="CA101" i="6" s="1"/>
  <c r="G108" i="18"/>
  <c r="CA108" i="6" s="1"/>
  <c r="G240" i="18"/>
  <c r="CA240" i="6" s="1"/>
  <c r="H262" i="18"/>
  <c r="I262" i="18" s="1"/>
  <c r="H236" i="18"/>
  <c r="J236" i="18" s="1"/>
  <c r="G91" i="18"/>
  <c r="CA91" i="6" s="1"/>
  <c r="AE383" i="20"/>
  <c r="AA250" i="18"/>
  <c r="Z250" i="18" s="1"/>
  <c r="Y250" i="18" s="1"/>
  <c r="AH382" i="18"/>
  <c r="AC382" i="23"/>
  <c r="AC383" i="23"/>
  <c r="AC381" i="23"/>
  <c r="O381" i="23"/>
  <c r="O382" i="23"/>
  <c r="O383" i="23"/>
  <c r="L42" i="19" s="1"/>
  <c r="E7" i="24"/>
  <c r="E8" i="24"/>
  <c r="K19" i="19" s="1"/>
  <c r="K43" i="19" s="1"/>
  <c r="J36" i="19"/>
  <c r="Q15" i="22"/>
  <c r="Q374" i="22"/>
  <c r="Q165" i="22"/>
  <c r="Q211" i="22"/>
  <c r="Q175" i="22"/>
  <c r="Q187" i="22"/>
  <c r="Q147" i="22"/>
  <c r="Q358" i="22"/>
  <c r="Q59" i="22"/>
  <c r="Q108" i="22"/>
  <c r="AG381" i="18"/>
  <c r="AG383" i="18"/>
  <c r="M65" i="19"/>
  <c r="D12" i="19"/>
  <c r="G36" i="19"/>
  <c r="Q354" i="22"/>
  <c r="Q291" i="22"/>
  <c r="Q38" i="22"/>
  <c r="Q109" i="22"/>
  <c r="I15" i="16"/>
  <c r="J15" i="16"/>
  <c r="J111" i="18"/>
  <c r="I111" i="18"/>
  <c r="I202" i="18"/>
  <c r="J202" i="18"/>
  <c r="I263" i="18"/>
  <c r="J263" i="18"/>
  <c r="J179" i="18"/>
  <c r="I179" i="18"/>
  <c r="D272" i="18"/>
  <c r="E272" i="18" s="1"/>
  <c r="F272" i="18" s="1"/>
  <c r="I377" i="18"/>
  <c r="J377" i="18"/>
  <c r="S383" i="18"/>
  <c r="S382" i="18"/>
  <c r="R15" i="18"/>
  <c r="S381" i="18"/>
  <c r="I237" i="18"/>
  <c r="J237" i="18"/>
  <c r="I52" i="18"/>
  <c r="J52" i="18"/>
  <c r="I364" i="18"/>
  <c r="J364" i="18"/>
  <c r="I231" i="18"/>
  <c r="J231" i="18"/>
  <c r="I351" i="18"/>
  <c r="J351" i="18"/>
  <c r="J301" i="18"/>
  <c r="I301" i="18"/>
  <c r="J120" i="18"/>
  <c r="I120" i="18"/>
  <c r="J194" i="18"/>
  <c r="I194" i="18"/>
  <c r="I133" i="18"/>
  <c r="J133" i="18"/>
  <c r="J129" i="18"/>
  <c r="I129" i="18"/>
  <c r="I181" i="18"/>
  <c r="J181" i="18"/>
  <c r="I53" i="18"/>
  <c r="J53" i="18"/>
  <c r="J65" i="18"/>
  <c r="I65" i="18"/>
  <c r="I157" i="18"/>
  <c r="J157" i="18"/>
  <c r="D333" i="18"/>
  <c r="E333" i="18" s="1"/>
  <c r="F333" i="18" s="1"/>
  <c r="J251" i="18"/>
  <c r="I251" i="18"/>
  <c r="I58" i="18"/>
  <c r="J58" i="18"/>
  <c r="J313" i="18"/>
  <c r="I313" i="18"/>
  <c r="J383" i="15"/>
  <c r="J382" i="15"/>
  <c r="J381" i="15"/>
  <c r="V88" i="20"/>
  <c r="B88" i="20" s="1"/>
  <c r="AH22" i="7"/>
  <c r="D31" i="20"/>
  <c r="E31" i="20" s="1"/>
  <c r="F31" i="20" s="1"/>
  <c r="D99" i="20"/>
  <c r="E99" i="20" s="1"/>
  <c r="F99" i="20" s="1"/>
  <c r="W99" i="20"/>
  <c r="D377" i="20"/>
  <c r="E377" i="20" s="1"/>
  <c r="F377" i="20" s="1"/>
  <c r="W377" i="20"/>
  <c r="W32" i="20"/>
  <c r="W90" i="20"/>
  <c r="D90" i="20"/>
  <c r="E90" i="20" s="1"/>
  <c r="F90" i="20" s="1"/>
  <c r="D301" i="20"/>
  <c r="E301" i="20" s="1"/>
  <c r="F301" i="20" s="1"/>
  <c r="W301" i="20"/>
  <c r="J286" i="18"/>
  <c r="I286" i="18"/>
  <c r="I152" i="18"/>
  <c r="J152" i="18"/>
  <c r="J158" i="18"/>
  <c r="I158" i="18"/>
  <c r="J324" i="18"/>
  <c r="I324" i="18"/>
  <c r="I192" i="18"/>
  <c r="J192" i="18"/>
  <c r="I128" i="18"/>
  <c r="J28" i="18"/>
  <c r="I28" i="18"/>
  <c r="J103" i="18"/>
  <c r="I103" i="18"/>
  <c r="J340" i="18"/>
  <c r="I340" i="18"/>
  <c r="I155" i="18"/>
  <c r="J155" i="18"/>
  <c r="I139" i="18"/>
  <c r="J139" i="18"/>
  <c r="J134" i="18"/>
  <c r="D302" i="18"/>
  <c r="E302" i="18" s="1"/>
  <c r="F302" i="18" s="1"/>
  <c r="I25" i="18"/>
  <c r="J25" i="18"/>
  <c r="I372" i="18"/>
  <c r="J372" i="18"/>
  <c r="J41" i="18"/>
  <c r="I41" i="18"/>
  <c r="J125" i="18"/>
  <c r="I125" i="18"/>
  <c r="I207" i="18"/>
  <c r="J207" i="18"/>
  <c r="I321" i="18"/>
  <c r="J321" i="18"/>
  <c r="AE11" i="22"/>
  <c r="AO15" i="7"/>
  <c r="AE42" i="22"/>
  <c r="AE134" i="22"/>
  <c r="AE356" i="22"/>
  <c r="AE278" i="22"/>
  <c r="AE242" i="22"/>
  <c r="AE147" i="22"/>
  <c r="AE116" i="22"/>
  <c r="AE342" i="22"/>
  <c r="AE44" i="22"/>
  <c r="AE126" i="22"/>
  <c r="AE217" i="22"/>
  <c r="AE149" i="22"/>
  <c r="AE353" i="22"/>
  <c r="AE314" i="22"/>
  <c r="AE259" i="22"/>
  <c r="AE228" i="22"/>
  <c r="AE64" i="22"/>
  <c r="AE257" i="22"/>
  <c r="AE66" i="22"/>
  <c r="AE99" i="22"/>
  <c r="AE251" i="22"/>
  <c r="AE304" i="22"/>
  <c r="AE136" i="22"/>
  <c r="AE333" i="22"/>
  <c r="AE94" i="22"/>
  <c r="AE161" i="22"/>
  <c r="AE372" i="22"/>
  <c r="AE36" i="22"/>
  <c r="AE131" i="22"/>
  <c r="AE158" i="22"/>
  <c r="AE154" i="22"/>
  <c r="AE305" i="22"/>
  <c r="AE25" i="22"/>
  <c r="AE174" i="22"/>
  <c r="AE203" i="22"/>
  <c r="AE327" i="22"/>
  <c r="AE113" i="22"/>
  <c r="AE76" i="22"/>
  <c r="AE239" i="22"/>
  <c r="AE107" i="22"/>
  <c r="AE292" i="22"/>
  <c r="I244" i="18"/>
  <c r="J244" i="18"/>
  <c r="D363" i="18"/>
  <c r="E363" i="18" s="1"/>
  <c r="F363" i="18" s="1"/>
  <c r="I150" i="18"/>
  <c r="J150" i="18"/>
  <c r="J319" i="18"/>
  <c r="I319" i="18"/>
  <c r="J360" i="18"/>
  <c r="I360" i="18"/>
  <c r="I291" i="18"/>
  <c r="J291" i="18"/>
  <c r="J253" i="18"/>
  <c r="I253" i="18"/>
  <c r="J373" i="18"/>
  <c r="I373" i="18"/>
  <c r="J317" i="18"/>
  <c r="I317" i="18"/>
  <c r="G29" i="18"/>
  <c r="CA29" i="6" s="1"/>
  <c r="AA29" i="18"/>
  <c r="Z29" i="18" s="1"/>
  <c r="Y29" i="18" s="1"/>
  <c r="H29" i="18"/>
  <c r="I106" i="18"/>
  <c r="J106" i="18"/>
  <c r="I214" i="18"/>
  <c r="J214" i="18"/>
  <c r="J284" i="18"/>
  <c r="I284" i="18"/>
  <c r="I331" i="18"/>
  <c r="J331" i="18"/>
  <c r="I47" i="18"/>
  <c r="J47" i="18"/>
  <c r="J275" i="18"/>
  <c r="I275" i="18"/>
  <c r="I132" i="18"/>
  <c r="J132" i="18"/>
  <c r="J376" i="18"/>
  <c r="I376" i="18"/>
  <c r="AB9" i="16"/>
  <c r="G13" i="19"/>
  <c r="J37" i="19" s="1"/>
  <c r="F11" i="16"/>
  <c r="J329" i="18"/>
  <c r="I329" i="18"/>
  <c r="I138" i="18"/>
  <c r="J138" i="18"/>
  <c r="D210" i="18"/>
  <c r="E210" i="18" s="1"/>
  <c r="F210" i="18" s="1"/>
  <c r="AI11" i="20"/>
  <c r="AI47" i="20"/>
  <c r="AH47" i="20" s="1"/>
  <c r="AG47" i="20" s="1"/>
  <c r="AF47" i="20" s="1"/>
  <c r="AD47" i="20" s="1"/>
  <c r="AI109" i="20"/>
  <c r="AH109" i="20" s="1"/>
  <c r="AG109" i="20" s="1"/>
  <c r="AF109" i="20" s="1"/>
  <c r="AD109" i="20" s="1"/>
  <c r="AI299" i="20"/>
  <c r="AH299" i="20" s="1"/>
  <c r="AG299" i="20" s="1"/>
  <c r="AF299" i="20" s="1"/>
  <c r="AD299" i="20" s="1"/>
  <c r="AI241" i="20"/>
  <c r="AH241" i="20" s="1"/>
  <c r="AG241" i="20" s="1"/>
  <c r="AF241" i="20" s="1"/>
  <c r="AD241" i="20" s="1"/>
  <c r="AI255" i="20"/>
  <c r="AH255" i="20" s="1"/>
  <c r="AG255" i="20" s="1"/>
  <c r="AF255" i="20" s="1"/>
  <c r="AD255" i="20" s="1"/>
  <c r="AI37" i="20"/>
  <c r="AH37" i="20" s="1"/>
  <c r="AG37" i="20" s="1"/>
  <c r="AF37" i="20" s="1"/>
  <c r="AD37" i="20" s="1"/>
  <c r="AI231" i="20"/>
  <c r="AH231" i="20" s="1"/>
  <c r="AG231" i="20" s="1"/>
  <c r="AF231" i="20" s="1"/>
  <c r="AD231" i="20" s="1"/>
  <c r="AI256" i="20"/>
  <c r="AH256" i="20" s="1"/>
  <c r="AG256" i="20" s="1"/>
  <c r="AF256" i="20" s="1"/>
  <c r="AD256" i="20" s="1"/>
  <c r="AI336" i="20"/>
  <c r="AH336" i="20" s="1"/>
  <c r="AG336" i="20" s="1"/>
  <c r="AF336" i="20" s="1"/>
  <c r="AD336" i="20" s="1"/>
  <c r="AI248" i="20"/>
  <c r="AH248" i="20" s="1"/>
  <c r="AG248" i="20" s="1"/>
  <c r="AF248" i="20" s="1"/>
  <c r="AD248" i="20" s="1"/>
  <c r="AI64" i="20"/>
  <c r="AH64" i="20" s="1"/>
  <c r="AG64" i="20" s="1"/>
  <c r="AF64" i="20" s="1"/>
  <c r="AD64" i="20" s="1"/>
  <c r="AI100" i="20"/>
  <c r="AH100" i="20" s="1"/>
  <c r="AG100" i="20" s="1"/>
  <c r="AF100" i="20" s="1"/>
  <c r="AD100" i="20" s="1"/>
  <c r="AI113" i="20"/>
  <c r="AH113" i="20" s="1"/>
  <c r="AG113" i="20" s="1"/>
  <c r="AF113" i="20" s="1"/>
  <c r="AD113" i="20" s="1"/>
  <c r="AI254" i="20"/>
  <c r="AH254" i="20" s="1"/>
  <c r="AG254" i="20" s="1"/>
  <c r="AF254" i="20" s="1"/>
  <c r="AD254" i="20" s="1"/>
  <c r="AI274" i="20"/>
  <c r="AH274" i="20" s="1"/>
  <c r="AG274" i="20" s="1"/>
  <c r="AF274" i="20" s="1"/>
  <c r="AD274" i="20" s="1"/>
  <c r="AI246" i="20"/>
  <c r="AH246" i="20" s="1"/>
  <c r="AG246" i="20" s="1"/>
  <c r="AF246" i="20" s="1"/>
  <c r="AD246" i="20" s="1"/>
  <c r="AI377" i="20"/>
  <c r="AH377" i="20" s="1"/>
  <c r="AG377" i="20" s="1"/>
  <c r="AF377" i="20" s="1"/>
  <c r="AD377" i="20" s="1"/>
  <c r="AI214" i="20"/>
  <c r="AH214" i="20" s="1"/>
  <c r="AG214" i="20" s="1"/>
  <c r="AF214" i="20" s="1"/>
  <c r="AD214" i="20" s="1"/>
  <c r="AI345" i="20"/>
  <c r="AH345" i="20" s="1"/>
  <c r="AG345" i="20" s="1"/>
  <c r="AF345" i="20" s="1"/>
  <c r="AD345" i="20" s="1"/>
  <c r="AI242" i="20"/>
  <c r="AH242" i="20" s="1"/>
  <c r="AG242" i="20" s="1"/>
  <c r="AF242" i="20" s="1"/>
  <c r="AD242" i="20" s="1"/>
  <c r="AI312" i="20"/>
  <c r="AH312" i="20" s="1"/>
  <c r="AG312" i="20" s="1"/>
  <c r="AF312" i="20" s="1"/>
  <c r="AD312" i="20" s="1"/>
  <c r="AI321" i="20"/>
  <c r="AH321" i="20" s="1"/>
  <c r="AG321" i="20" s="1"/>
  <c r="AF321" i="20" s="1"/>
  <c r="AD321" i="20" s="1"/>
  <c r="AI328" i="20"/>
  <c r="AH328" i="20" s="1"/>
  <c r="AG328" i="20" s="1"/>
  <c r="AF328" i="20" s="1"/>
  <c r="AD328" i="20" s="1"/>
  <c r="AI24" i="20"/>
  <c r="AH24" i="20" s="1"/>
  <c r="AG24" i="20" s="1"/>
  <c r="AF24" i="20" s="1"/>
  <c r="AD24" i="20" s="1"/>
  <c r="AI81" i="20"/>
  <c r="AH81" i="20" s="1"/>
  <c r="AG81" i="20" s="1"/>
  <c r="AF81" i="20" s="1"/>
  <c r="AD81" i="20" s="1"/>
  <c r="AI121" i="20"/>
  <c r="AH121" i="20" s="1"/>
  <c r="AG121" i="20" s="1"/>
  <c r="AF121" i="20" s="1"/>
  <c r="AD121" i="20" s="1"/>
  <c r="AI327" i="20"/>
  <c r="AH327" i="20" s="1"/>
  <c r="AG327" i="20" s="1"/>
  <c r="AF327" i="20" s="1"/>
  <c r="AD327" i="20" s="1"/>
  <c r="AI70" i="20"/>
  <c r="AH70" i="20" s="1"/>
  <c r="AG70" i="20" s="1"/>
  <c r="AF70" i="20" s="1"/>
  <c r="AD70" i="20" s="1"/>
  <c r="AI226" i="20"/>
  <c r="AH226" i="20" s="1"/>
  <c r="AG226" i="20" s="1"/>
  <c r="AF226" i="20" s="1"/>
  <c r="AD226" i="20" s="1"/>
  <c r="AI56" i="20"/>
  <c r="AH56" i="20" s="1"/>
  <c r="AG56" i="20" s="1"/>
  <c r="AF56" i="20" s="1"/>
  <c r="AD56" i="20" s="1"/>
  <c r="AI344" i="20"/>
  <c r="AH344" i="20" s="1"/>
  <c r="AG344" i="20" s="1"/>
  <c r="AF344" i="20" s="1"/>
  <c r="AD344" i="20" s="1"/>
  <c r="AI200" i="20"/>
  <c r="AH200" i="20" s="1"/>
  <c r="AG200" i="20" s="1"/>
  <c r="AF200" i="20" s="1"/>
  <c r="AD200" i="20" s="1"/>
  <c r="AI202" i="20"/>
  <c r="AH202" i="20" s="1"/>
  <c r="AG202" i="20" s="1"/>
  <c r="AF202" i="20" s="1"/>
  <c r="AD202" i="20" s="1"/>
  <c r="AI277" i="20"/>
  <c r="AH277" i="20" s="1"/>
  <c r="AG277" i="20" s="1"/>
  <c r="AF277" i="20" s="1"/>
  <c r="AD277" i="20" s="1"/>
  <c r="AI329" i="20"/>
  <c r="AH329" i="20" s="1"/>
  <c r="AG329" i="20" s="1"/>
  <c r="AF329" i="20" s="1"/>
  <c r="AD329" i="20" s="1"/>
  <c r="AI304" i="20"/>
  <c r="AH304" i="20" s="1"/>
  <c r="AG304" i="20" s="1"/>
  <c r="AF304" i="20" s="1"/>
  <c r="AD304" i="20" s="1"/>
  <c r="AI379" i="20"/>
  <c r="AI288" i="20"/>
  <c r="AH288" i="20" s="1"/>
  <c r="AG288" i="20" s="1"/>
  <c r="AF288" i="20" s="1"/>
  <c r="AD288" i="20" s="1"/>
  <c r="AI156" i="20"/>
  <c r="AH156" i="20" s="1"/>
  <c r="AG156" i="20" s="1"/>
  <c r="AF156" i="20" s="1"/>
  <c r="AD156" i="20" s="1"/>
  <c r="AI365" i="20"/>
  <c r="AH365" i="20" s="1"/>
  <c r="AG365" i="20" s="1"/>
  <c r="AF365" i="20" s="1"/>
  <c r="AD365" i="20" s="1"/>
  <c r="AI58" i="20"/>
  <c r="AH58" i="20" s="1"/>
  <c r="AG58" i="20" s="1"/>
  <c r="AF58" i="20" s="1"/>
  <c r="AD58" i="20" s="1"/>
  <c r="AI222" i="20"/>
  <c r="AH222" i="20" s="1"/>
  <c r="AG222" i="20" s="1"/>
  <c r="AF222" i="20" s="1"/>
  <c r="AD222" i="20" s="1"/>
  <c r="AI364" i="20"/>
  <c r="AH364" i="20" s="1"/>
  <c r="AG364" i="20" s="1"/>
  <c r="AF364" i="20" s="1"/>
  <c r="AD364" i="20" s="1"/>
  <c r="AI165" i="20"/>
  <c r="AH165" i="20" s="1"/>
  <c r="AG165" i="20" s="1"/>
  <c r="AF165" i="20" s="1"/>
  <c r="AD165" i="20" s="1"/>
  <c r="AI359" i="20"/>
  <c r="AH359" i="20" s="1"/>
  <c r="AG359" i="20" s="1"/>
  <c r="AF359" i="20" s="1"/>
  <c r="AD359" i="20" s="1"/>
  <c r="AI147" i="20"/>
  <c r="AH147" i="20" s="1"/>
  <c r="AG147" i="20" s="1"/>
  <c r="AF147" i="20" s="1"/>
  <c r="AD147" i="20" s="1"/>
  <c r="AI209" i="20"/>
  <c r="AH209" i="20" s="1"/>
  <c r="AG209" i="20" s="1"/>
  <c r="AF209" i="20" s="1"/>
  <c r="AD209" i="20" s="1"/>
  <c r="AI128" i="20"/>
  <c r="AH128" i="20" s="1"/>
  <c r="AG128" i="20" s="1"/>
  <c r="AF128" i="20" s="1"/>
  <c r="AD128" i="20" s="1"/>
  <c r="AI267" i="20"/>
  <c r="AH267" i="20" s="1"/>
  <c r="AG267" i="20" s="1"/>
  <c r="AF267" i="20" s="1"/>
  <c r="AD267" i="20" s="1"/>
  <c r="AI313" i="20"/>
  <c r="AH313" i="20" s="1"/>
  <c r="AG313" i="20" s="1"/>
  <c r="AF313" i="20" s="1"/>
  <c r="AD313" i="20" s="1"/>
  <c r="AI141" i="20"/>
  <c r="AH141" i="20" s="1"/>
  <c r="AG141" i="20" s="1"/>
  <c r="AF141" i="20" s="1"/>
  <c r="AD141" i="20" s="1"/>
  <c r="AI159" i="20"/>
  <c r="AH159" i="20" s="1"/>
  <c r="AG159" i="20" s="1"/>
  <c r="AF159" i="20" s="1"/>
  <c r="AD159" i="20" s="1"/>
  <c r="AI178" i="20"/>
  <c r="AH178" i="20" s="1"/>
  <c r="AG178" i="20" s="1"/>
  <c r="AF178" i="20" s="1"/>
  <c r="AD178" i="20" s="1"/>
  <c r="AI46" i="20"/>
  <c r="AH46" i="20" s="1"/>
  <c r="AG46" i="20" s="1"/>
  <c r="AF46" i="20" s="1"/>
  <c r="AD46" i="20" s="1"/>
  <c r="AI125" i="20"/>
  <c r="AH125" i="20" s="1"/>
  <c r="AG125" i="20" s="1"/>
  <c r="AF125" i="20" s="1"/>
  <c r="AD125" i="20" s="1"/>
  <c r="AI48" i="20"/>
  <c r="AH48" i="20" s="1"/>
  <c r="AG48" i="20" s="1"/>
  <c r="AF48" i="20" s="1"/>
  <c r="AD48" i="20" s="1"/>
  <c r="AI123" i="20"/>
  <c r="AH123" i="20" s="1"/>
  <c r="AG123" i="20" s="1"/>
  <c r="AF123" i="20" s="1"/>
  <c r="AD123" i="20" s="1"/>
  <c r="AI307" i="20"/>
  <c r="AH307" i="20" s="1"/>
  <c r="AG307" i="20" s="1"/>
  <c r="AF307" i="20" s="1"/>
  <c r="AD307" i="20" s="1"/>
  <c r="AI114" i="20"/>
  <c r="AH114" i="20" s="1"/>
  <c r="AG114" i="20" s="1"/>
  <c r="AF114" i="20" s="1"/>
  <c r="AD114" i="20" s="1"/>
  <c r="AI184" i="20"/>
  <c r="AH184" i="20" s="1"/>
  <c r="AG184" i="20" s="1"/>
  <c r="AF184" i="20" s="1"/>
  <c r="AD184" i="20" s="1"/>
  <c r="AI152" i="20"/>
  <c r="AH152" i="20" s="1"/>
  <c r="AG152" i="20" s="1"/>
  <c r="AF152" i="20" s="1"/>
  <c r="AD152" i="20" s="1"/>
  <c r="AI20" i="20"/>
  <c r="AH20" i="20" s="1"/>
  <c r="AG20" i="20" s="1"/>
  <c r="AF20" i="20" s="1"/>
  <c r="AD20" i="20" s="1"/>
  <c r="AI296" i="20"/>
  <c r="AH296" i="20" s="1"/>
  <c r="AG296" i="20" s="1"/>
  <c r="AF296" i="20" s="1"/>
  <c r="AD296" i="20" s="1"/>
  <c r="AI149" i="20"/>
  <c r="AH149" i="20" s="1"/>
  <c r="AG149" i="20" s="1"/>
  <c r="AF149" i="20" s="1"/>
  <c r="AD149" i="20" s="1"/>
  <c r="AI374" i="20"/>
  <c r="AH374" i="20" s="1"/>
  <c r="AG374" i="20" s="1"/>
  <c r="AF374" i="20" s="1"/>
  <c r="AD374" i="20" s="1"/>
  <c r="AI343" i="20"/>
  <c r="AH343" i="20" s="1"/>
  <c r="AG343" i="20" s="1"/>
  <c r="AF343" i="20" s="1"/>
  <c r="AD343" i="20" s="1"/>
  <c r="AI179" i="20"/>
  <c r="AH179" i="20" s="1"/>
  <c r="AG179" i="20" s="1"/>
  <c r="AF179" i="20" s="1"/>
  <c r="AD179" i="20" s="1"/>
  <c r="AI303" i="20"/>
  <c r="AH303" i="20" s="1"/>
  <c r="AG303" i="20" s="1"/>
  <c r="AF303" i="20" s="1"/>
  <c r="AD303" i="20" s="1"/>
  <c r="AI151" i="20"/>
  <c r="AH151" i="20" s="1"/>
  <c r="AG151" i="20" s="1"/>
  <c r="AF151" i="20" s="1"/>
  <c r="AD151" i="20" s="1"/>
  <c r="AI194" i="20"/>
  <c r="AH194" i="20" s="1"/>
  <c r="AG194" i="20" s="1"/>
  <c r="AF194" i="20" s="1"/>
  <c r="AD194" i="20" s="1"/>
  <c r="AI143" i="20"/>
  <c r="AH143" i="20" s="1"/>
  <c r="AG143" i="20" s="1"/>
  <c r="AF143" i="20" s="1"/>
  <c r="AD143" i="20" s="1"/>
  <c r="AI187" i="20"/>
  <c r="AH187" i="20" s="1"/>
  <c r="AG187" i="20" s="1"/>
  <c r="AF187" i="20" s="1"/>
  <c r="AD187" i="20" s="1"/>
  <c r="AI258" i="20"/>
  <c r="AH258" i="20" s="1"/>
  <c r="AG258" i="20" s="1"/>
  <c r="AF258" i="20" s="1"/>
  <c r="AD258" i="20" s="1"/>
  <c r="AI25" i="20"/>
  <c r="AH25" i="20" s="1"/>
  <c r="AG25" i="20" s="1"/>
  <c r="AF25" i="20" s="1"/>
  <c r="AD25" i="20" s="1"/>
  <c r="AI87" i="20"/>
  <c r="AH87" i="20" s="1"/>
  <c r="AG87" i="20" s="1"/>
  <c r="AF87" i="20" s="1"/>
  <c r="AD87" i="20" s="1"/>
  <c r="AI131" i="20"/>
  <c r="AH131" i="20" s="1"/>
  <c r="AG131" i="20" s="1"/>
  <c r="AF131" i="20" s="1"/>
  <c r="AD131" i="20" s="1"/>
  <c r="AI198" i="20"/>
  <c r="AH198" i="20" s="1"/>
  <c r="AG198" i="20" s="1"/>
  <c r="AF198" i="20" s="1"/>
  <c r="AD198" i="20" s="1"/>
  <c r="AI354" i="20"/>
  <c r="AH354" i="20" s="1"/>
  <c r="AG354" i="20" s="1"/>
  <c r="AF354" i="20" s="1"/>
  <c r="AD354" i="20" s="1"/>
  <c r="AI367" i="20"/>
  <c r="AH367" i="20" s="1"/>
  <c r="AG367" i="20" s="1"/>
  <c r="AF367" i="20" s="1"/>
  <c r="AD367" i="20" s="1"/>
  <c r="AI174" i="20"/>
  <c r="AH174" i="20" s="1"/>
  <c r="AG174" i="20" s="1"/>
  <c r="AF174" i="20" s="1"/>
  <c r="AD174" i="20" s="1"/>
  <c r="AI106" i="20"/>
  <c r="AH106" i="20" s="1"/>
  <c r="AG106" i="20" s="1"/>
  <c r="AF106" i="20" s="1"/>
  <c r="AD106" i="20" s="1"/>
  <c r="AI127" i="20"/>
  <c r="AH127" i="20" s="1"/>
  <c r="AG127" i="20" s="1"/>
  <c r="AF127" i="20" s="1"/>
  <c r="AD127" i="20" s="1"/>
  <c r="AI357" i="20"/>
  <c r="AH357" i="20" s="1"/>
  <c r="AG357" i="20" s="1"/>
  <c r="AF357" i="20" s="1"/>
  <c r="AD357" i="20" s="1"/>
  <c r="AI167" i="20"/>
  <c r="AH167" i="20" s="1"/>
  <c r="AG167" i="20" s="1"/>
  <c r="AF167" i="20" s="1"/>
  <c r="AD167" i="20" s="1"/>
  <c r="AI249" i="20"/>
  <c r="AH249" i="20" s="1"/>
  <c r="AG249" i="20" s="1"/>
  <c r="AF249" i="20" s="1"/>
  <c r="AD249" i="20" s="1"/>
  <c r="AI199" i="20"/>
  <c r="AH199" i="20" s="1"/>
  <c r="AG199" i="20" s="1"/>
  <c r="AF199" i="20" s="1"/>
  <c r="AD199" i="20" s="1"/>
  <c r="AI281" i="20"/>
  <c r="AH281" i="20" s="1"/>
  <c r="AG281" i="20" s="1"/>
  <c r="AF281" i="20" s="1"/>
  <c r="AD281" i="20" s="1"/>
  <c r="AI261" i="20"/>
  <c r="AH261" i="20" s="1"/>
  <c r="AG261" i="20" s="1"/>
  <c r="AF261" i="20" s="1"/>
  <c r="AD261" i="20" s="1"/>
  <c r="AI331" i="20"/>
  <c r="AH331" i="20" s="1"/>
  <c r="AG331" i="20" s="1"/>
  <c r="AF331" i="20" s="1"/>
  <c r="AD331" i="20" s="1"/>
  <c r="AI43" i="20"/>
  <c r="AH43" i="20" s="1"/>
  <c r="AG43" i="20" s="1"/>
  <c r="AF43" i="20" s="1"/>
  <c r="AD43" i="20" s="1"/>
  <c r="AI136" i="20"/>
  <c r="AH136" i="20" s="1"/>
  <c r="AG136" i="20" s="1"/>
  <c r="AF136" i="20" s="1"/>
  <c r="AD136" i="20" s="1"/>
  <c r="AI145" i="20"/>
  <c r="AH145" i="20" s="1"/>
  <c r="AG145" i="20" s="1"/>
  <c r="AF145" i="20" s="1"/>
  <c r="AD145" i="20" s="1"/>
  <c r="AI146" i="20"/>
  <c r="AH146" i="20" s="1"/>
  <c r="AG146" i="20" s="1"/>
  <c r="AF146" i="20" s="1"/>
  <c r="AD146" i="20" s="1"/>
  <c r="AI16" i="7"/>
  <c r="AI168" i="20"/>
  <c r="AH168" i="20" s="1"/>
  <c r="AG168" i="20" s="1"/>
  <c r="AF168" i="20" s="1"/>
  <c r="AD168" i="20" s="1"/>
  <c r="AI189" i="20"/>
  <c r="AH189" i="20" s="1"/>
  <c r="AG189" i="20" s="1"/>
  <c r="AF189" i="20" s="1"/>
  <c r="AD189" i="20" s="1"/>
  <c r="AI210" i="20"/>
  <c r="AH210" i="20" s="1"/>
  <c r="AG210" i="20" s="1"/>
  <c r="AF210" i="20" s="1"/>
  <c r="AD210" i="20" s="1"/>
  <c r="AI41" i="20"/>
  <c r="AH41" i="20" s="1"/>
  <c r="AG41" i="20" s="1"/>
  <c r="AF41" i="20" s="1"/>
  <c r="AD41" i="20" s="1"/>
  <c r="AI310" i="20"/>
  <c r="AH310" i="20" s="1"/>
  <c r="AG310" i="20" s="1"/>
  <c r="AF310" i="20" s="1"/>
  <c r="AD310" i="20" s="1"/>
  <c r="AI104" i="20"/>
  <c r="AH104" i="20" s="1"/>
  <c r="AG104" i="20" s="1"/>
  <c r="AF104" i="20" s="1"/>
  <c r="AD104" i="20" s="1"/>
  <c r="AI324" i="20"/>
  <c r="AH324" i="20" s="1"/>
  <c r="AG324" i="20" s="1"/>
  <c r="AF324" i="20" s="1"/>
  <c r="AD324" i="20" s="1"/>
  <c r="AI352" i="20"/>
  <c r="AH352" i="20" s="1"/>
  <c r="AG352" i="20" s="1"/>
  <c r="AF352" i="20" s="1"/>
  <c r="AD352" i="20" s="1"/>
  <c r="AI112" i="20"/>
  <c r="AH112" i="20" s="1"/>
  <c r="AG112" i="20" s="1"/>
  <c r="AF112" i="20" s="1"/>
  <c r="AD112" i="20" s="1"/>
  <c r="AI225" i="20"/>
  <c r="AH225" i="20" s="1"/>
  <c r="AG225" i="20" s="1"/>
  <c r="AF225" i="20" s="1"/>
  <c r="AD225" i="20" s="1"/>
  <c r="AI134" i="20"/>
  <c r="AH134" i="20" s="1"/>
  <c r="AG134" i="20" s="1"/>
  <c r="AF134" i="20" s="1"/>
  <c r="AD134" i="20" s="1"/>
  <c r="AI279" i="20"/>
  <c r="AH279" i="20" s="1"/>
  <c r="AG279" i="20" s="1"/>
  <c r="AF279" i="20" s="1"/>
  <c r="AD279" i="20" s="1"/>
  <c r="AI162" i="20"/>
  <c r="AH162" i="20" s="1"/>
  <c r="AG162" i="20" s="1"/>
  <c r="AF162" i="20" s="1"/>
  <c r="AD162" i="20" s="1"/>
  <c r="AI269" i="20"/>
  <c r="AH269" i="20" s="1"/>
  <c r="AG269" i="20" s="1"/>
  <c r="AF269" i="20" s="1"/>
  <c r="AD269" i="20" s="1"/>
  <c r="AI33" i="20"/>
  <c r="AH33" i="20" s="1"/>
  <c r="AG33" i="20" s="1"/>
  <c r="AF33" i="20" s="1"/>
  <c r="AD33" i="20" s="1"/>
  <c r="AI287" i="20"/>
  <c r="AH287" i="20" s="1"/>
  <c r="AG287" i="20" s="1"/>
  <c r="AF287" i="20" s="1"/>
  <c r="AD287" i="20" s="1"/>
  <c r="AI257" i="20"/>
  <c r="AH257" i="20" s="1"/>
  <c r="AG257" i="20" s="1"/>
  <c r="AF257" i="20" s="1"/>
  <c r="AD257" i="20" s="1"/>
  <c r="AI236" i="20"/>
  <c r="AH236" i="20" s="1"/>
  <c r="AG236" i="20" s="1"/>
  <c r="AF236" i="20" s="1"/>
  <c r="AD236" i="20" s="1"/>
  <c r="AI283" i="20"/>
  <c r="AH283" i="20" s="1"/>
  <c r="AG283" i="20" s="1"/>
  <c r="AF283" i="20" s="1"/>
  <c r="AD283" i="20" s="1"/>
  <c r="AI229" i="20"/>
  <c r="AH229" i="20" s="1"/>
  <c r="AG229" i="20" s="1"/>
  <c r="AF229" i="20" s="1"/>
  <c r="AD229" i="20" s="1"/>
  <c r="AI74" i="20"/>
  <c r="AH74" i="20" s="1"/>
  <c r="AG74" i="20" s="1"/>
  <c r="AF74" i="20" s="1"/>
  <c r="AD74" i="20" s="1"/>
  <c r="AI39" i="20"/>
  <c r="AH39" i="20" s="1"/>
  <c r="AG39" i="20" s="1"/>
  <c r="AF39" i="20" s="1"/>
  <c r="AD39" i="20" s="1"/>
  <c r="AI138" i="20"/>
  <c r="AH138" i="20" s="1"/>
  <c r="AG138" i="20" s="1"/>
  <c r="AF138" i="20" s="1"/>
  <c r="AD138" i="20" s="1"/>
  <c r="AI215" i="20"/>
  <c r="AH215" i="20" s="1"/>
  <c r="AG215" i="20" s="1"/>
  <c r="AF215" i="20" s="1"/>
  <c r="AD215" i="20" s="1"/>
  <c r="AI371" i="20"/>
  <c r="AH371" i="20" s="1"/>
  <c r="AG371" i="20" s="1"/>
  <c r="AF371" i="20" s="1"/>
  <c r="AD371" i="20" s="1"/>
  <c r="AI233" i="20"/>
  <c r="AH233" i="20" s="1"/>
  <c r="AG233" i="20" s="1"/>
  <c r="AF233" i="20" s="1"/>
  <c r="AD233" i="20" s="1"/>
  <c r="AI334" i="20"/>
  <c r="AH334" i="20" s="1"/>
  <c r="AG334" i="20" s="1"/>
  <c r="AF334" i="20" s="1"/>
  <c r="AD334" i="20" s="1"/>
  <c r="AI375" i="20"/>
  <c r="AH375" i="20" s="1"/>
  <c r="AG375" i="20" s="1"/>
  <c r="AF375" i="20" s="1"/>
  <c r="AD375" i="20" s="1"/>
  <c r="AI27" i="20"/>
  <c r="AH27" i="20" s="1"/>
  <c r="AG27" i="20" s="1"/>
  <c r="AF27" i="20" s="1"/>
  <c r="AD27" i="20" s="1"/>
  <c r="AI181" i="20"/>
  <c r="AH181" i="20" s="1"/>
  <c r="AG181" i="20" s="1"/>
  <c r="AF181" i="20" s="1"/>
  <c r="AD181" i="20" s="1"/>
  <c r="AI363" i="20"/>
  <c r="AH363" i="20" s="1"/>
  <c r="AG363" i="20" s="1"/>
  <c r="AF363" i="20" s="1"/>
  <c r="AD363" i="20" s="1"/>
  <c r="AI142" i="20"/>
  <c r="AH142" i="20" s="1"/>
  <c r="AG142" i="20" s="1"/>
  <c r="AF142" i="20" s="1"/>
  <c r="AD142" i="20" s="1"/>
  <c r="AI286" i="20"/>
  <c r="AH286" i="20" s="1"/>
  <c r="AG286" i="20" s="1"/>
  <c r="AF286" i="20" s="1"/>
  <c r="AD286" i="20" s="1"/>
  <c r="AI129" i="20"/>
  <c r="AH129" i="20" s="1"/>
  <c r="AG129" i="20" s="1"/>
  <c r="AF129" i="20" s="1"/>
  <c r="AD129" i="20" s="1"/>
  <c r="AI341" i="20"/>
  <c r="AH341" i="20" s="1"/>
  <c r="AG341" i="20" s="1"/>
  <c r="AF341" i="20" s="1"/>
  <c r="AD341" i="20" s="1"/>
  <c r="AI155" i="20"/>
  <c r="AH155" i="20" s="1"/>
  <c r="AG155" i="20" s="1"/>
  <c r="AF155" i="20" s="1"/>
  <c r="AD155" i="20" s="1"/>
  <c r="AI252" i="20"/>
  <c r="AH252" i="20" s="1"/>
  <c r="AG252" i="20" s="1"/>
  <c r="AF252" i="20" s="1"/>
  <c r="AD252" i="20" s="1"/>
  <c r="AI330" i="20"/>
  <c r="AH330" i="20" s="1"/>
  <c r="AG330" i="20" s="1"/>
  <c r="AF330" i="20" s="1"/>
  <c r="AD330" i="20" s="1"/>
  <c r="AI276" i="20"/>
  <c r="AH276" i="20" s="1"/>
  <c r="AG276" i="20" s="1"/>
  <c r="AF276" i="20" s="1"/>
  <c r="AD276" i="20" s="1"/>
  <c r="AI44" i="20"/>
  <c r="AH44" i="20" s="1"/>
  <c r="AG44" i="20" s="1"/>
  <c r="AF44" i="20" s="1"/>
  <c r="AD44" i="20" s="1"/>
  <c r="AI29" i="20"/>
  <c r="AH29" i="20" s="1"/>
  <c r="AG29" i="20" s="1"/>
  <c r="AF29" i="20" s="1"/>
  <c r="AD29" i="20" s="1"/>
  <c r="AI272" i="20"/>
  <c r="AH272" i="20" s="1"/>
  <c r="AG272" i="20" s="1"/>
  <c r="AF272" i="20" s="1"/>
  <c r="AD272" i="20" s="1"/>
  <c r="AI52" i="20"/>
  <c r="AH52" i="20" s="1"/>
  <c r="AG52" i="20" s="1"/>
  <c r="AF52" i="20" s="1"/>
  <c r="AD52" i="20" s="1"/>
  <c r="AI301" i="20"/>
  <c r="AH301" i="20" s="1"/>
  <c r="AG301" i="20" s="1"/>
  <c r="AF301" i="20" s="1"/>
  <c r="AD301" i="20" s="1"/>
  <c r="AI160" i="20"/>
  <c r="AH160" i="20" s="1"/>
  <c r="AG160" i="20" s="1"/>
  <c r="AF160" i="20" s="1"/>
  <c r="AD160" i="20" s="1"/>
  <c r="AI132" i="20"/>
  <c r="AH132" i="20" s="1"/>
  <c r="AG132" i="20" s="1"/>
  <c r="AF132" i="20" s="1"/>
  <c r="AD132" i="20" s="1"/>
  <c r="AI53" i="20"/>
  <c r="AH53" i="20" s="1"/>
  <c r="AG53" i="20" s="1"/>
  <c r="AF53" i="20" s="1"/>
  <c r="AD53" i="20" s="1"/>
  <c r="AI378" i="20"/>
  <c r="AH378" i="20" s="1"/>
  <c r="AG378" i="20" s="1"/>
  <c r="AF378" i="20" s="1"/>
  <c r="AD378" i="20" s="1"/>
  <c r="AI239" i="20"/>
  <c r="AH239" i="20" s="1"/>
  <c r="AG239" i="20" s="1"/>
  <c r="AF239" i="20" s="1"/>
  <c r="AD239" i="20" s="1"/>
  <c r="AI158" i="20"/>
  <c r="AH158" i="20" s="1"/>
  <c r="AG158" i="20" s="1"/>
  <c r="AF158" i="20" s="1"/>
  <c r="AD158" i="20" s="1"/>
  <c r="AI366" i="20"/>
  <c r="AH366" i="20" s="1"/>
  <c r="AG366" i="20" s="1"/>
  <c r="AF366" i="20" s="1"/>
  <c r="AD366" i="20" s="1"/>
  <c r="AI126" i="20"/>
  <c r="AH126" i="20" s="1"/>
  <c r="AG126" i="20" s="1"/>
  <c r="AF126" i="20" s="1"/>
  <c r="AD126" i="20" s="1"/>
  <c r="AI170" i="20"/>
  <c r="AH170" i="20" s="1"/>
  <c r="AG170" i="20" s="1"/>
  <c r="AF170" i="20" s="1"/>
  <c r="AD170" i="20" s="1"/>
  <c r="AI338" i="20"/>
  <c r="AH338" i="20" s="1"/>
  <c r="AG338" i="20" s="1"/>
  <c r="AF338" i="20" s="1"/>
  <c r="AD338" i="20" s="1"/>
  <c r="AI221" i="20"/>
  <c r="AH221" i="20" s="1"/>
  <c r="AG221" i="20" s="1"/>
  <c r="AF221" i="20" s="1"/>
  <c r="AD221" i="20" s="1"/>
  <c r="AI295" i="20"/>
  <c r="AH295" i="20" s="1"/>
  <c r="AG295" i="20" s="1"/>
  <c r="AF295" i="20" s="1"/>
  <c r="AD295" i="20" s="1"/>
  <c r="AI62" i="20"/>
  <c r="AH62" i="20" s="1"/>
  <c r="AG62" i="20" s="1"/>
  <c r="AF62" i="20" s="1"/>
  <c r="AD62" i="20" s="1"/>
  <c r="AI275" i="20"/>
  <c r="AH275" i="20" s="1"/>
  <c r="AG275" i="20" s="1"/>
  <c r="AF275" i="20" s="1"/>
  <c r="AD275" i="20" s="1"/>
  <c r="AI144" i="20"/>
  <c r="AH144" i="20" s="1"/>
  <c r="AG144" i="20" s="1"/>
  <c r="AF144" i="20" s="1"/>
  <c r="AD144" i="20" s="1"/>
  <c r="AI157" i="20"/>
  <c r="AH157" i="20" s="1"/>
  <c r="AG157" i="20" s="1"/>
  <c r="AF157" i="20" s="1"/>
  <c r="AD157" i="20" s="1"/>
  <c r="AI45" i="20"/>
  <c r="AH45" i="20" s="1"/>
  <c r="AG45" i="20" s="1"/>
  <c r="AF45" i="20" s="1"/>
  <c r="AD45" i="20" s="1"/>
  <c r="AI32" i="20"/>
  <c r="AH32" i="20" s="1"/>
  <c r="AG32" i="20" s="1"/>
  <c r="AF32" i="20" s="1"/>
  <c r="AD32" i="20" s="1"/>
  <c r="AI83" i="20"/>
  <c r="AH83" i="20" s="1"/>
  <c r="AG83" i="20" s="1"/>
  <c r="AF83" i="20" s="1"/>
  <c r="AD83" i="20" s="1"/>
  <c r="AI370" i="20"/>
  <c r="AH370" i="20" s="1"/>
  <c r="AG370" i="20" s="1"/>
  <c r="AF370" i="20" s="1"/>
  <c r="AD370" i="20" s="1"/>
  <c r="AI36" i="20"/>
  <c r="AH36" i="20" s="1"/>
  <c r="AG36" i="20" s="1"/>
  <c r="AF36" i="20" s="1"/>
  <c r="AD36" i="20" s="1"/>
  <c r="AI218" i="20"/>
  <c r="AH218" i="20" s="1"/>
  <c r="AG218" i="20" s="1"/>
  <c r="AF218" i="20" s="1"/>
  <c r="AD218" i="20" s="1"/>
  <c r="AI268" i="20"/>
  <c r="AH268" i="20" s="1"/>
  <c r="AG268" i="20" s="1"/>
  <c r="AF268" i="20" s="1"/>
  <c r="AD268" i="20" s="1"/>
  <c r="AI171" i="20"/>
  <c r="AH171" i="20" s="1"/>
  <c r="AG171" i="20" s="1"/>
  <c r="AF171" i="20" s="1"/>
  <c r="AD171" i="20" s="1"/>
  <c r="AI203" i="20"/>
  <c r="AH203" i="20" s="1"/>
  <c r="AG203" i="20" s="1"/>
  <c r="AF203" i="20" s="1"/>
  <c r="AD203" i="20" s="1"/>
  <c r="AI204" i="20"/>
  <c r="AH204" i="20" s="1"/>
  <c r="AG204" i="20" s="1"/>
  <c r="AF204" i="20" s="1"/>
  <c r="AD204" i="20" s="1"/>
  <c r="AI235" i="20"/>
  <c r="AH235" i="20" s="1"/>
  <c r="AG235" i="20" s="1"/>
  <c r="AF235" i="20" s="1"/>
  <c r="AD235" i="20" s="1"/>
  <c r="AI306" i="20"/>
  <c r="AH306" i="20" s="1"/>
  <c r="AG306" i="20" s="1"/>
  <c r="AF306" i="20" s="1"/>
  <c r="AD306" i="20" s="1"/>
  <c r="AI305" i="20"/>
  <c r="AH305" i="20" s="1"/>
  <c r="AG305" i="20" s="1"/>
  <c r="AF305" i="20" s="1"/>
  <c r="AD305" i="20" s="1"/>
  <c r="AI207" i="20"/>
  <c r="AH207" i="20" s="1"/>
  <c r="AG207" i="20" s="1"/>
  <c r="AF207" i="20" s="1"/>
  <c r="AD207" i="20" s="1"/>
  <c r="AI59" i="20"/>
  <c r="AH59" i="20" s="1"/>
  <c r="AG59" i="20" s="1"/>
  <c r="AF59" i="20" s="1"/>
  <c r="AD59" i="20" s="1"/>
  <c r="AI317" i="20"/>
  <c r="AH317" i="20" s="1"/>
  <c r="AG317" i="20" s="1"/>
  <c r="AF317" i="20" s="1"/>
  <c r="AD317" i="20" s="1"/>
  <c r="AI130" i="20"/>
  <c r="AH130" i="20" s="1"/>
  <c r="AG130" i="20" s="1"/>
  <c r="AF130" i="20" s="1"/>
  <c r="AD130" i="20" s="1"/>
  <c r="AI150" i="20"/>
  <c r="AH150" i="20" s="1"/>
  <c r="AG150" i="20" s="1"/>
  <c r="AF150" i="20" s="1"/>
  <c r="AD150" i="20" s="1"/>
  <c r="AI73" i="20"/>
  <c r="AH73" i="20" s="1"/>
  <c r="AG73" i="20" s="1"/>
  <c r="AF73" i="20" s="1"/>
  <c r="AD73" i="20" s="1"/>
  <c r="AI360" i="20"/>
  <c r="AH360" i="20" s="1"/>
  <c r="AG360" i="20" s="1"/>
  <c r="AF360" i="20" s="1"/>
  <c r="AD360" i="20" s="1"/>
  <c r="AI358" i="20"/>
  <c r="AH358" i="20" s="1"/>
  <c r="AG358" i="20" s="1"/>
  <c r="AF358" i="20" s="1"/>
  <c r="AD358" i="20" s="1"/>
  <c r="AI291" i="20"/>
  <c r="AH291" i="20" s="1"/>
  <c r="AG291" i="20" s="1"/>
  <c r="AF291" i="20" s="1"/>
  <c r="AD291" i="20" s="1"/>
  <c r="AI86" i="20"/>
  <c r="AH86" i="20" s="1"/>
  <c r="AG86" i="20" s="1"/>
  <c r="AF86" i="20" s="1"/>
  <c r="AD86" i="20" s="1"/>
  <c r="AI120" i="20"/>
  <c r="AH120" i="20" s="1"/>
  <c r="AG120" i="20" s="1"/>
  <c r="AF120" i="20" s="1"/>
  <c r="AD120" i="20" s="1"/>
  <c r="AI262" i="20"/>
  <c r="AH262" i="20" s="1"/>
  <c r="AG262" i="20" s="1"/>
  <c r="AF262" i="20" s="1"/>
  <c r="AD262" i="20" s="1"/>
  <c r="AI166" i="20"/>
  <c r="AH166" i="20" s="1"/>
  <c r="AG166" i="20" s="1"/>
  <c r="AF166" i="20" s="1"/>
  <c r="AD166" i="20" s="1"/>
  <c r="AI290" i="20"/>
  <c r="AH290" i="20" s="1"/>
  <c r="AG290" i="20" s="1"/>
  <c r="AF290" i="20" s="1"/>
  <c r="AD290" i="20" s="1"/>
  <c r="AI250" i="20"/>
  <c r="AH250" i="20" s="1"/>
  <c r="AG250" i="20" s="1"/>
  <c r="AF250" i="20" s="1"/>
  <c r="AD250" i="20" s="1"/>
  <c r="AI289" i="20"/>
  <c r="AH289" i="20" s="1"/>
  <c r="AG289" i="20" s="1"/>
  <c r="AF289" i="20" s="1"/>
  <c r="AD289" i="20" s="1"/>
  <c r="AI17" i="20"/>
  <c r="AH17" i="20" s="1"/>
  <c r="AG17" i="20" s="1"/>
  <c r="AF17" i="20" s="1"/>
  <c r="AD17" i="20" s="1"/>
  <c r="AI19" i="20"/>
  <c r="AH19" i="20" s="1"/>
  <c r="AG19" i="20" s="1"/>
  <c r="AF19" i="20" s="1"/>
  <c r="AD19" i="20" s="1"/>
  <c r="AI270" i="20"/>
  <c r="AH270" i="20" s="1"/>
  <c r="AG270" i="20" s="1"/>
  <c r="AF270" i="20" s="1"/>
  <c r="AD270" i="20" s="1"/>
  <c r="AI351" i="20"/>
  <c r="AH351" i="20" s="1"/>
  <c r="AG351" i="20" s="1"/>
  <c r="AF351" i="20" s="1"/>
  <c r="AD351" i="20" s="1"/>
  <c r="AI88" i="20"/>
  <c r="AH88" i="20" s="1"/>
  <c r="AG88" i="20" s="1"/>
  <c r="AF88" i="20" s="1"/>
  <c r="AD88" i="20" s="1"/>
  <c r="AI213" i="20"/>
  <c r="AH213" i="20" s="1"/>
  <c r="AG213" i="20" s="1"/>
  <c r="AF213" i="20" s="1"/>
  <c r="AD213" i="20" s="1"/>
  <c r="AI91" i="20"/>
  <c r="AH91" i="20" s="1"/>
  <c r="AG91" i="20" s="1"/>
  <c r="AF91" i="20" s="1"/>
  <c r="AD91" i="20" s="1"/>
  <c r="AI60" i="20"/>
  <c r="AH60" i="20" s="1"/>
  <c r="AG60" i="20" s="1"/>
  <c r="AF60" i="20" s="1"/>
  <c r="AD60" i="20" s="1"/>
  <c r="AI349" i="20"/>
  <c r="AH349" i="20" s="1"/>
  <c r="AG349" i="20" s="1"/>
  <c r="AF349" i="20" s="1"/>
  <c r="AD349" i="20" s="1"/>
  <c r="AI103" i="20"/>
  <c r="AH103" i="20" s="1"/>
  <c r="AG103" i="20" s="1"/>
  <c r="AF103" i="20" s="1"/>
  <c r="AD103" i="20" s="1"/>
  <c r="AI63" i="20"/>
  <c r="AH63" i="20" s="1"/>
  <c r="AG63" i="20" s="1"/>
  <c r="AF63" i="20" s="1"/>
  <c r="AD63" i="20" s="1"/>
  <c r="AI67" i="20"/>
  <c r="AH67" i="20" s="1"/>
  <c r="AG67" i="20" s="1"/>
  <c r="AF67" i="20" s="1"/>
  <c r="AD67" i="20" s="1"/>
  <c r="AI208" i="20"/>
  <c r="AH208" i="20" s="1"/>
  <c r="AG208" i="20" s="1"/>
  <c r="AF208" i="20" s="1"/>
  <c r="AD208" i="20" s="1"/>
  <c r="AI285" i="20"/>
  <c r="AH285" i="20" s="1"/>
  <c r="AG285" i="20" s="1"/>
  <c r="AF285" i="20" s="1"/>
  <c r="AD285" i="20" s="1"/>
  <c r="AI68" i="20"/>
  <c r="AH68" i="20" s="1"/>
  <c r="AG68" i="20" s="1"/>
  <c r="AF68" i="20" s="1"/>
  <c r="AD68" i="20" s="1"/>
  <c r="AI115" i="20"/>
  <c r="AH115" i="20" s="1"/>
  <c r="AG115" i="20" s="1"/>
  <c r="AF115" i="20" s="1"/>
  <c r="AD115" i="20" s="1"/>
  <c r="AI368" i="20"/>
  <c r="AH368" i="20" s="1"/>
  <c r="AG368" i="20" s="1"/>
  <c r="AF368" i="20" s="1"/>
  <c r="AD368" i="20" s="1"/>
  <c r="AI175" i="20"/>
  <c r="AH175" i="20" s="1"/>
  <c r="AG175" i="20" s="1"/>
  <c r="AF175" i="20" s="1"/>
  <c r="AD175" i="20" s="1"/>
  <c r="AI119" i="20"/>
  <c r="AH119" i="20" s="1"/>
  <c r="AG119" i="20" s="1"/>
  <c r="AF119" i="20" s="1"/>
  <c r="AD119" i="20" s="1"/>
  <c r="AI237" i="20"/>
  <c r="AH237" i="20" s="1"/>
  <c r="AG237" i="20" s="1"/>
  <c r="AF237" i="20" s="1"/>
  <c r="AD237" i="20" s="1"/>
  <c r="AI76" i="20"/>
  <c r="AH76" i="20" s="1"/>
  <c r="AG76" i="20" s="1"/>
  <c r="AF76" i="20" s="1"/>
  <c r="AD76" i="20" s="1"/>
  <c r="AI107" i="20"/>
  <c r="AH107" i="20" s="1"/>
  <c r="AG107" i="20" s="1"/>
  <c r="AF107" i="20" s="1"/>
  <c r="AD107" i="20" s="1"/>
  <c r="AI348" i="20"/>
  <c r="AH348" i="20" s="1"/>
  <c r="AG348" i="20" s="1"/>
  <c r="AF348" i="20" s="1"/>
  <c r="AD348" i="20" s="1"/>
  <c r="AI177" i="20"/>
  <c r="AH177" i="20" s="1"/>
  <c r="AG177" i="20" s="1"/>
  <c r="AF177" i="20" s="1"/>
  <c r="AD177" i="20" s="1"/>
  <c r="AI238" i="20"/>
  <c r="AH238" i="20" s="1"/>
  <c r="AG238" i="20" s="1"/>
  <c r="AF238" i="20" s="1"/>
  <c r="AD238" i="20" s="1"/>
  <c r="AI93" i="20"/>
  <c r="AH93" i="20" s="1"/>
  <c r="AG93" i="20" s="1"/>
  <c r="AF93" i="20" s="1"/>
  <c r="AD93" i="20" s="1"/>
  <c r="AI340" i="20"/>
  <c r="AH340" i="20" s="1"/>
  <c r="AG340" i="20" s="1"/>
  <c r="AF340" i="20" s="1"/>
  <c r="AD340" i="20" s="1"/>
  <c r="AI172" i="20"/>
  <c r="AH172" i="20" s="1"/>
  <c r="AG172" i="20" s="1"/>
  <c r="AF172" i="20" s="1"/>
  <c r="AD172" i="20" s="1"/>
  <c r="AI323" i="20"/>
  <c r="AH323" i="20" s="1"/>
  <c r="AG323" i="20" s="1"/>
  <c r="AF323" i="20" s="1"/>
  <c r="AD323" i="20" s="1"/>
  <c r="AI80" i="20"/>
  <c r="AH80" i="20" s="1"/>
  <c r="AG80" i="20" s="1"/>
  <c r="AF80" i="20" s="1"/>
  <c r="AD80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217" i="20"/>
  <c r="AH217" i="20" s="1"/>
  <c r="AG217" i="20" s="1"/>
  <c r="AF217" i="20" s="1"/>
  <c r="AD217" i="20" s="1"/>
  <c r="AI211" i="20"/>
  <c r="AH211" i="20" s="1"/>
  <c r="AG211" i="20" s="1"/>
  <c r="AF211" i="20" s="1"/>
  <c r="AD211" i="20" s="1"/>
  <c r="AI284" i="20"/>
  <c r="AH284" i="20" s="1"/>
  <c r="AG284" i="20" s="1"/>
  <c r="AF284" i="20" s="1"/>
  <c r="AD284" i="20" s="1"/>
  <c r="AI356" i="20"/>
  <c r="AH356" i="20" s="1"/>
  <c r="AG356" i="20" s="1"/>
  <c r="AF356" i="20" s="1"/>
  <c r="AD356" i="20" s="1"/>
  <c r="AI346" i="20"/>
  <c r="AH346" i="20" s="1"/>
  <c r="AG346" i="20" s="1"/>
  <c r="AF346" i="20" s="1"/>
  <c r="AD346" i="20" s="1"/>
  <c r="AI309" i="20"/>
  <c r="AH309" i="20" s="1"/>
  <c r="AG309" i="20" s="1"/>
  <c r="AF309" i="20" s="1"/>
  <c r="AD309" i="20" s="1"/>
  <c r="AI122" i="20"/>
  <c r="AH122" i="20" s="1"/>
  <c r="AG122" i="20" s="1"/>
  <c r="AF122" i="20" s="1"/>
  <c r="AD122" i="20" s="1"/>
  <c r="AI92" i="20"/>
  <c r="AH92" i="20" s="1"/>
  <c r="AG92" i="20" s="1"/>
  <c r="AF92" i="20" s="1"/>
  <c r="AD92" i="20" s="1"/>
  <c r="AI49" i="20"/>
  <c r="AH49" i="20" s="1"/>
  <c r="AG49" i="20" s="1"/>
  <c r="AF49" i="20" s="1"/>
  <c r="AD49" i="20" s="1"/>
  <c r="AI110" i="20"/>
  <c r="AH110" i="20" s="1"/>
  <c r="AG110" i="20" s="1"/>
  <c r="AF110" i="20" s="1"/>
  <c r="AD110" i="20" s="1"/>
  <c r="AI273" i="20"/>
  <c r="AH273" i="20" s="1"/>
  <c r="AG273" i="20" s="1"/>
  <c r="AF273" i="20" s="1"/>
  <c r="AD273" i="20" s="1"/>
  <c r="AI61" i="20"/>
  <c r="AH61" i="20" s="1"/>
  <c r="AG61" i="20" s="1"/>
  <c r="AF61" i="20" s="1"/>
  <c r="AD61" i="20" s="1"/>
  <c r="AI82" i="20"/>
  <c r="AH82" i="20" s="1"/>
  <c r="AG82" i="20" s="1"/>
  <c r="AF82" i="20" s="1"/>
  <c r="AD82" i="20" s="1"/>
  <c r="AI372" i="20"/>
  <c r="AH372" i="20" s="1"/>
  <c r="AG372" i="20" s="1"/>
  <c r="AF372" i="20" s="1"/>
  <c r="AD372" i="20" s="1"/>
  <c r="AI182" i="20"/>
  <c r="AH182" i="20" s="1"/>
  <c r="AG182" i="20" s="1"/>
  <c r="AF182" i="20" s="1"/>
  <c r="AD182" i="20" s="1"/>
  <c r="AI71" i="20"/>
  <c r="AH71" i="20" s="1"/>
  <c r="AG71" i="20" s="1"/>
  <c r="AF71" i="20" s="1"/>
  <c r="AD71" i="20" s="1"/>
  <c r="AI282" i="20"/>
  <c r="AH282" i="20" s="1"/>
  <c r="AG282" i="20" s="1"/>
  <c r="AF282" i="20" s="1"/>
  <c r="AD282" i="20" s="1"/>
  <c r="AI224" i="20"/>
  <c r="AH224" i="20" s="1"/>
  <c r="AG224" i="20" s="1"/>
  <c r="AF224" i="20" s="1"/>
  <c r="AD224" i="20" s="1"/>
  <c r="AI320" i="20"/>
  <c r="AH320" i="20" s="1"/>
  <c r="AG320" i="20" s="1"/>
  <c r="AF320" i="20" s="1"/>
  <c r="AD320" i="20" s="1"/>
  <c r="AI15" i="20"/>
  <c r="AI228" i="20"/>
  <c r="AH228" i="20" s="1"/>
  <c r="AG228" i="20" s="1"/>
  <c r="AF228" i="20" s="1"/>
  <c r="AD228" i="20" s="1"/>
  <c r="AI90" i="20"/>
  <c r="AH90" i="20" s="1"/>
  <c r="AG90" i="20" s="1"/>
  <c r="AF90" i="20" s="1"/>
  <c r="AD90" i="20" s="1"/>
  <c r="AI332" i="20"/>
  <c r="AH332" i="20" s="1"/>
  <c r="AG332" i="20" s="1"/>
  <c r="AF332" i="20" s="1"/>
  <c r="AD332" i="20" s="1"/>
  <c r="AI216" i="20"/>
  <c r="AH216" i="20" s="1"/>
  <c r="AG216" i="20" s="1"/>
  <c r="AF216" i="20" s="1"/>
  <c r="AD216" i="20" s="1"/>
  <c r="AI197" i="20"/>
  <c r="AH197" i="20" s="1"/>
  <c r="AG197" i="20" s="1"/>
  <c r="AF197" i="20" s="1"/>
  <c r="AD197" i="20" s="1"/>
  <c r="AI72" i="20"/>
  <c r="AH72" i="20" s="1"/>
  <c r="AG72" i="20" s="1"/>
  <c r="AF72" i="20" s="1"/>
  <c r="AD72" i="20" s="1"/>
  <c r="AI335" i="20"/>
  <c r="AH335" i="20" s="1"/>
  <c r="AG335" i="20" s="1"/>
  <c r="AF335" i="20" s="1"/>
  <c r="AD335" i="20" s="1"/>
  <c r="AI21" i="20"/>
  <c r="AH21" i="20" s="1"/>
  <c r="AG21" i="20" s="1"/>
  <c r="AF21" i="20" s="1"/>
  <c r="AD21" i="20" s="1"/>
  <c r="AI298" i="20"/>
  <c r="AH298" i="20" s="1"/>
  <c r="AG298" i="20" s="1"/>
  <c r="AF298" i="20" s="1"/>
  <c r="AD298" i="20" s="1"/>
  <c r="AI101" i="20"/>
  <c r="AH101" i="20" s="1"/>
  <c r="AG101" i="20" s="1"/>
  <c r="AF101" i="20" s="1"/>
  <c r="AD101" i="20" s="1"/>
  <c r="AI263" i="20"/>
  <c r="AH263" i="20" s="1"/>
  <c r="AG263" i="20" s="1"/>
  <c r="AF263" i="20" s="1"/>
  <c r="AD263" i="20" s="1"/>
  <c r="AI54" i="20"/>
  <c r="AH54" i="20" s="1"/>
  <c r="AG54" i="20" s="1"/>
  <c r="AF54" i="20" s="1"/>
  <c r="AD54" i="20" s="1"/>
  <c r="AI318" i="20"/>
  <c r="AH318" i="20" s="1"/>
  <c r="AG318" i="20" s="1"/>
  <c r="AF318" i="20" s="1"/>
  <c r="AD318" i="20" s="1"/>
  <c r="AI102" i="20"/>
  <c r="AH102" i="20" s="1"/>
  <c r="AG102" i="20" s="1"/>
  <c r="AF102" i="20" s="1"/>
  <c r="AD102" i="20" s="1"/>
  <c r="AI243" i="20"/>
  <c r="AH243" i="20" s="1"/>
  <c r="AG243" i="20" s="1"/>
  <c r="AF243" i="20" s="1"/>
  <c r="AD243" i="20" s="1"/>
  <c r="AI342" i="20"/>
  <c r="AH342" i="20" s="1"/>
  <c r="AG342" i="20" s="1"/>
  <c r="AF342" i="20" s="1"/>
  <c r="AD342" i="20" s="1"/>
  <c r="AI376" i="20"/>
  <c r="AH376" i="20" s="1"/>
  <c r="AG376" i="20" s="1"/>
  <c r="AF376" i="20" s="1"/>
  <c r="AD376" i="20" s="1"/>
  <c r="AI28" i="20"/>
  <c r="AH28" i="20" s="1"/>
  <c r="AG28" i="20" s="1"/>
  <c r="AF28" i="20" s="1"/>
  <c r="AD28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89" i="20"/>
  <c r="AH89" i="20" s="1"/>
  <c r="AG89" i="20" s="1"/>
  <c r="AF89" i="20" s="1"/>
  <c r="AD89" i="20" s="1"/>
  <c r="AI38" i="20"/>
  <c r="AH38" i="20" s="1"/>
  <c r="AG38" i="20" s="1"/>
  <c r="AF38" i="20" s="1"/>
  <c r="AD38" i="20" s="1"/>
  <c r="AI98" i="20"/>
  <c r="AH98" i="20" s="1"/>
  <c r="AG98" i="20" s="1"/>
  <c r="AF98" i="20" s="1"/>
  <c r="AD98" i="20" s="1"/>
  <c r="AI77" i="20"/>
  <c r="AH77" i="20" s="1"/>
  <c r="AG77" i="20" s="1"/>
  <c r="AF77" i="20" s="1"/>
  <c r="AD77" i="20" s="1"/>
  <c r="AI161" i="20"/>
  <c r="AH161" i="20" s="1"/>
  <c r="AG161" i="20" s="1"/>
  <c r="AF161" i="20" s="1"/>
  <c r="AD161" i="20" s="1"/>
  <c r="AI94" i="20"/>
  <c r="AH94" i="20" s="1"/>
  <c r="AG94" i="20" s="1"/>
  <c r="AF94" i="20" s="1"/>
  <c r="AD94" i="20" s="1"/>
  <c r="AI65" i="20"/>
  <c r="AH65" i="20" s="1"/>
  <c r="AG65" i="20" s="1"/>
  <c r="AF65" i="20" s="1"/>
  <c r="AD65" i="20" s="1"/>
  <c r="AI322" i="20"/>
  <c r="AH322" i="20" s="1"/>
  <c r="AG322" i="20" s="1"/>
  <c r="AF322" i="20" s="1"/>
  <c r="AD322" i="20" s="1"/>
  <c r="AI219" i="20"/>
  <c r="AH219" i="20" s="1"/>
  <c r="AG219" i="20" s="1"/>
  <c r="AF219" i="20" s="1"/>
  <c r="AD219" i="20" s="1"/>
  <c r="AI188" i="20"/>
  <c r="AH188" i="20" s="1"/>
  <c r="AG188" i="20" s="1"/>
  <c r="AF188" i="20" s="1"/>
  <c r="AD188" i="20" s="1"/>
  <c r="AI315" i="20"/>
  <c r="AH315" i="20" s="1"/>
  <c r="AG315" i="20" s="1"/>
  <c r="AF315" i="20" s="1"/>
  <c r="AD315" i="20" s="1"/>
  <c r="AI84" i="20"/>
  <c r="AH84" i="20" s="1"/>
  <c r="AG84" i="20" s="1"/>
  <c r="AF84" i="20" s="1"/>
  <c r="AD84" i="20" s="1"/>
  <c r="AI18" i="20"/>
  <c r="AH18" i="20" s="1"/>
  <c r="AG18" i="20" s="1"/>
  <c r="AF18" i="20" s="1"/>
  <c r="AD18" i="20" s="1"/>
  <c r="AI176" i="20"/>
  <c r="AH176" i="20" s="1"/>
  <c r="AG176" i="20" s="1"/>
  <c r="AF176" i="20" s="1"/>
  <c r="AD176" i="20" s="1"/>
  <c r="AI201" i="20"/>
  <c r="AH201" i="20" s="1"/>
  <c r="AG201" i="20" s="1"/>
  <c r="AF201" i="20" s="1"/>
  <c r="AD201" i="20" s="1"/>
  <c r="AI251" i="20"/>
  <c r="AH251" i="20" s="1"/>
  <c r="AG251" i="20" s="1"/>
  <c r="AF251" i="20" s="1"/>
  <c r="AD251" i="20" s="1"/>
  <c r="AI173" i="20"/>
  <c r="AH173" i="20" s="1"/>
  <c r="AG173" i="20" s="1"/>
  <c r="AF173" i="20" s="1"/>
  <c r="AD173" i="20" s="1"/>
  <c r="AI96" i="20"/>
  <c r="AH96" i="20" s="1"/>
  <c r="AG96" i="20" s="1"/>
  <c r="AF96" i="20" s="1"/>
  <c r="AD96" i="20" s="1"/>
  <c r="AI259" i="20"/>
  <c r="AH259" i="20" s="1"/>
  <c r="AG259" i="20" s="1"/>
  <c r="AF259" i="20" s="1"/>
  <c r="AD259" i="20" s="1"/>
  <c r="AI78" i="20"/>
  <c r="AH78" i="20" s="1"/>
  <c r="AG78" i="20" s="1"/>
  <c r="AF78" i="20" s="1"/>
  <c r="AD78" i="20" s="1"/>
  <c r="AI247" i="20"/>
  <c r="AH247" i="20" s="1"/>
  <c r="AG247" i="20" s="1"/>
  <c r="AF247" i="20" s="1"/>
  <c r="AD247" i="20" s="1"/>
  <c r="AI339" i="20"/>
  <c r="AH339" i="20" s="1"/>
  <c r="AG339" i="20" s="1"/>
  <c r="AF339" i="20" s="1"/>
  <c r="AD339" i="20" s="1"/>
  <c r="AI311" i="20"/>
  <c r="AH311" i="20" s="1"/>
  <c r="AG311" i="20" s="1"/>
  <c r="AF311" i="20" s="1"/>
  <c r="AD311" i="20" s="1"/>
  <c r="AI245" i="20"/>
  <c r="AH245" i="20" s="1"/>
  <c r="AG245" i="20" s="1"/>
  <c r="AF245" i="20" s="1"/>
  <c r="AD245" i="20" s="1"/>
  <c r="AI220" i="20"/>
  <c r="AH220" i="20" s="1"/>
  <c r="AG220" i="20" s="1"/>
  <c r="AF220" i="20" s="1"/>
  <c r="AD220" i="20" s="1"/>
  <c r="AI271" i="20"/>
  <c r="AH271" i="20" s="1"/>
  <c r="AG271" i="20" s="1"/>
  <c r="AF271" i="20" s="1"/>
  <c r="AD271" i="20" s="1"/>
  <c r="AI362" i="20"/>
  <c r="AH362" i="20" s="1"/>
  <c r="AG362" i="20" s="1"/>
  <c r="AF362" i="20" s="1"/>
  <c r="AD362" i="20" s="1"/>
  <c r="AI244" i="20"/>
  <c r="AH244" i="20" s="1"/>
  <c r="AG244" i="20" s="1"/>
  <c r="AF244" i="20" s="1"/>
  <c r="AD244" i="20" s="1"/>
  <c r="AI319" i="20"/>
  <c r="AH319" i="20" s="1"/>
  <c r="AG319" i="20" s="1"/>
  <c r="AF319" i="20" s="1"/>
  <c r="AD319" i="20" s="1"/>
  <c r="AI180" i="20"/>
  <c r="AH180" i="20" s="1"/>
  <c r="AG180" i="20" s="1"/>
  <c r="AF180" i="20" s="1"/>
  <c r="AD180" i="20" s="1"/>
  <c r="AI326" i="20"/>
  <c r="AH326" i="20" s="1"/>
  <c r="AG326" i="20" s="1"/>
  <c r="AF326" i="20" s="1"/>
  <c r="AD326" i="20" s="1"/>
  <c r="AI133" i="20"/>
  <c r="AH133" i="20" s="1"/>
  <c r="AG133" i="20" s="1"/>
  <c r="AF133" i="20" s="1"/>
  <c r="AD133" i="20" s="1"/>
  <c r="AI325" i="20"/>
  <c r="AH325" i="20" s="1"/>
  <c r="AG325" i="20" s="1"/>
  <c r="AF325" i="20" s="1"/>
  <c r="AD325" i="20" s="1"/>
  <c r="AI302" i="20"/>
  <c r="AH302" i="20" s="1"/>
  <c r="AG302" i="20" s="1"/>
  <c r="AF302" i="20" s="1"/>
  <c r="AD302" i="20" s="1"/>
  <c r="AI234" i="20"/>
  <c r="AH234" i="20" s="1"/>
  <c r="AG234" i="20" s="1"/>
  <c r="AF234" i="20" s="1"/>
  <c r="AD234" i="20" s="1"/>
  <c r="AI278" i="20"/>
  <c r="AH278" i="20" s="1"/>
  <c r="AG278" i="20" s="1"/>
  <c r="AF278" i="20" s="1"/>
  <c r="AD278" i="20" s="1"/>
  <c r="AI337" i="20"/>
  <c r="AH337" i="20" s="1"/>
  <c r="AG337" i="20" s="1"/>
  <c r="AF337" i="20" s="1"/>
  <c r="AD337" i="20" s="1"/>
  <c r="AI355" i="20"/>
  <c r="AH355" i="20" s="1"/>
  <c r="AG355" i="20" s="1"/>
  <c r="AF355" i="20" s="1"/>
  <c r="AD355" i="20" s="1"/>
  <c r="AI139" i="20"/>
  <c r="AH139" i="20" s="1"/>
  <c r="AG139" i="20" s="1"/>
  <c r="AF139" i="20" s="1"/>
  <c r="AD139" i="20" s="1"/>
  <c r="AI185" i="20"/>
  <c r="AH185" i="20" s="1"/>
  <c r="AG185" i="20" s="1"/>
  <c r="AF185" i="20" s="1"/>
  <c r="AD185" i="20" s="1"/>
  <c r="AI333" i="20"/>
  <c r="AH333" i="20" s="1"/>
  <c r="AG333" i="20" s="1"/>
  <c r="AF333" i="20" s="1"/>
  <c r="AD333" i="20" s="1"/>
  <c r="AI223" i="20"/>
  <c r="AH223" i="20" s="1"/>
  <c r="AG223" i="20" s="1"/>
  <c r="AF223" i="20" s="1"/>
  <c r="AD223" i="20" s="1"/>
  <c r="AI50" i="20"/>
  <c r="AH50" i="20" s="1"/>
  <c r="AG50" i="20" s="1"/>
  <c r="AF50" i="20" s="1"/>
  <c r="AD50" i="20" s="1"/>
  <c r="AI79" i="20"/>
  <c r="AH79" i="20" s="1"/>
  <c r="AG79" i="20" s="1"/>
  <c r="AF79" i="20" s="1"/>
  <c r="AD79" i="20" s="1"/>
  <c r="AI118" i="20"/>
  <c r="AH118" i="20" s="1"/>
  <c r="AG118" i="20" s="1"/>
  <c r="AF118" i="20" s="1"/>
  <c r="AD118" i="20" s="1"/>
  <c r="AI227" i="20"/>
  <c r="AH227" i="20" s="1"/>
  <c r="AG227" i="20" s="1"/>
  <c r="AF227" i="20" s="1"/>
  <c r="AD227" i="20" s="1"/>
  <c r="AI97" i="20"/>
  <c r="AH97" i="20" s="1"/>
  <c r="AG97" i="20" s="1"/>
  <c r="AF97" i="20" s="1"/>
  <c r="AD97" i="20" s="1"/>
  <c r="AI294" i="20"/>
  <c r="AH294" i="20" s="1"/>
  <c r="AG294" i="20" s="1"/>
  <c r="AF294" i="20" s="1"/>
  <c r="AD294" i="20" s="1"/>
  <c r="AI205" i="20"/>
  <c r="AH205" i="20" s="1"/>
  <c r="AG205" i="20" s="1"/>
  <c r="AF205" i="20" s="1"/>
  <c r="AD205" i="20" s="1"/>
  <c r="AI95" i="20"/>
  <c r="AH95" i="20" s="1"/>
  <c r="AG95" i="20" s="1"/>
  <c r="AF95" i="20" s="1"/>
  <c r="AD95" i="20" s="1"/>
  <c r="AI66" i="20"/>
  <c r="AH66" i="20" s="1"/>
  <c r="AG66" i="20" s="1"/>
  <c r="AF66" i="20" s="1"/>
  <c r="AD66" i="20" s="1"/>
  <c r="AI316" i="20"/>
  <c r="AH316" i="20" s="1"/>
  <c r="AG316" i="20" s="1"/>
  <c r="AF316" i="20" s="1"/>
  <c r="AD316" i="20" s="1"/>
  <c r="AI212" i="20"/>
  <c r="AH212" i="20" s="1"/>
  <c r="AG212" i="20" s="1"/>
  <c r="AF212" i="20" s="1"/>
  <c r="AD212" i="20" s="1"/>
  <c r="AI297" i="20"/>
  <c r="AH297" i="20" s="1"/>
  <c r="AG297" i="20" s="1"/>
  <c r="AF297" i="20" s="1"/>
  <c r="AD297" i="20" s="1"/>
  <c r="AI300" i="20"/>
  <c r="AH300" i="20" s="1"/>
  <c r="AG300" i="20" s="1"/>
  <c r="AF300" i="20" s="1"/>
  <c r="AD300" i="20" s="1"/>
  <c r="AI265" i="20"/>
  <c r="AH265" i="20" s="1"/>
  <c r="AG265" i="20" s="1"/>
  <c r="AF265" i="20" s="1"/>
  <c r="AD265" i="20" s="1"/>
  <c r="AI196" i="20"/>
  <c r="AH196" i="20" s="1"/>
  <c r="AG196" i="20" s="1"/>
  <c r="AF196" i="20" s="1"/>
  <c r="AD196" i="20" s="1"/>
  <c r="AI240" i="20"/>
  <c r="AH240" i="20" s="1"/>
  <c r="AG240" i="20" s="1"/>
  <c r="AF240" i="20" s="1"/>
  <c r="AD240" i="20" s="1"/>
  <c r="AI292" i="20"/>
  <c r="AH292" i="20" s="1"/>
  <c r="AG292" i="20" s="1"/>
  <c r="AF292" i="20" s="1"/>
  <c r="AD292" i="20" s="1"/>
  <c r="AI373" i="20"/>
  <c r="AH373" i="20" s="1"/>
  <c r="AG373" i="20" s="1"/>
  <c r="AF373" i="20" s="1"/>
  <c r="AD373" i="20" s="1"/>
  <c r="AI111" i="20"/>
  <c r="AH111" i="20" s="1"/>
  <c r="AG111" i="20" s="1"/>
  <c r="AF111" i="20" s="1"/>
  <c r="AD111" i="20" s="1"/>
  <c r="AI193" i="20"/>
  <c r="AH193" i="20" s="1"/>
  <c r="AG193" i="20" s="1"/>
  <c r="AF193" i="20" s="1"/>
  <c r="AD193" i="20" s="1"/>
  <c r="AI347" i="20"/>
  <c r="AH347" i="20" s="1"/>
  <c r="AG347" i="20" s="1"/>
  <c r="AF347" i="20" s="1"/>
  <c r="AD347" i="20" s="1"/>
  <c r="AI135" i="20"/>
  <c r="AH135" i="20" s="1"/>
  <c r="AG135" i="20" s="1"/>
  <c r="AF135" i="20" s="1"/>
  <c r="AD135" i="20" s="1"/>
  <c r="AI190" i="20"/>
  <c r="AH190" i="20" s="1"/>
  <c r="AG190" i="20" s="1"/>
  <c r="AF190" i="20" s="1"/>
  <c r="AD190" i="20" s="1"/>
  <c r="AI99" i="20"/>
  <c r="AH99" i="20" s="1"/>
  <c r="AG99" i="20" s="1"/>
  <c r="AF99" i="20" s="1"/>
  <c r="AD99" i="20" s="1"/>
  <c r="AI35" i="20"/>
  <c r="AH35" i="20" s="1"/>
  <c r="AG35" i="20" s="1"/>
  <c r="AF35" i="20" s="1"/>
  <c r="AD35" i="20" s="1"/>
  <c r="AI308" i="20"/>
  <c r="AH308" i="20" s="1"/>
  <c r="AG308" i="20" s="1"/>
  <c r="AF308" i="20" s="1"/>
  <c r="AD308" i="20" s="1"/>
  <c r="AI153" i="20"/>
  <c r="AH153" i="20" s="1"/>
  <c r="AG153" i="20" s="1"/>
  <c r="AF153" i="20" s="1"/>
  <c r="AD153" i="20" s="1"/>
  <c r="AI34" i="20"/>
  <c r="AH34" i="20" s="1"/>
  <c r="AG34" i="20" s="1"/>
  <c r="AF34" i="20" s="1"/>
  <c r="AD34" i="20" s="1"/>
  <c r="AI75" i="20"/>
  <c r="AH75" i="20" s="1"/>
  <c r="AG75" i="20" s="1"/>
  <c r="AF75" i="20" s="1"/>
  <c r="AD75" i="20" s="1"/>
  <c r="AI280" i="20"/>
  <c r="AH280" i="20" s="1"/>
  <c r="AG280" i="20" s="1"/>
  <c r="AF280" i="20" s="1"/>
  <c r="AD280" i="20" s="1"/>
  <c r="AI369" i="20"/>
  <c r="AH369" i="20" s="1"/>
  <c r="AG369" i="20" s="1"/>
  <c r="AF369" i="20" s="1"/>
  <c r="AD369" i="20" s="1"/>
  <c r="AI40" i="20"/>
  <c r="AH40" i="20" s="1"/>
  <c r="AG40" i="20" s="1"/>
  <c r="AF40" i="20" s="1"/>
  <c r="AD40" i="20" s="1"/>
  <c r="AI16" i="20"/>
  <c r="AH16" i="20" s="1"/>
  <c r="AG16" i="20" s="1"/>
  <c r="AF16" i="20" s="1"/>
  <c r="AD16" i="20" s="1"/>
  <c r="AI137" i="20"/>
  <c r="AH137" i="20" s="1"/>
  <c r="AG137" i="20" s="1"/>
  <c r="AF137" i="20" s="1"/>
  <c r="AD137" i="20" s="1"/>
  <c r="AI230" i="20"/>
  <c r="AH230" i="20" s="1"/>
  <c r="AG230" i="20" s="1"/>
  <c r="AF230" i="20" s="1"/>
  <c r="AD230" i="20" s="1"/>
  <c r="AI57" i="20"/>
  <c r="AH57" i="20" s="1"/>
  <c r="AG57" i="20" s="1"/>
  <c r="AF57" i="20" s="1"/>
  <c r="AD57" i="20" s="1"/>
  <c r="AI164" i="20"/>
  <c r="AH164" i="20" s="1"/>
  <c r="AG164" i="20" s="1"/>
  <c r="AF164" i="20" s="1"/>
  <c r="AD164" i="20" s="1"/>
  <c r="AI26" i="20"/>
  <c r="AH26" i="20" s="1"/>
  <c r="AG26" i="20" s="1"/>
  <c r="AF26" i="20" s="1"/>
  <c r="AD26" i="20" s="1"/>
  <c r="AI85" i="20"/>
  <c r="AH85" i="20" s="1"/>
  <c r="AG85" i="20" s="1"/>
  <c r="AF85" i="20" s="1"/>
  <c r="AD85" i="20" s="1"/>
  <c r="AI124" i="20"/>
  <c r="AH124" i="20" s="1"/>
  <c r="AG124" i="20" s="1"/>
  <c r="AF124" i="20" s="1"/>
  <c r="AD124" i="20" s="1"/>
  <c r="AI148" i="20"/>
  <c r="AH148" i="20" s="1"/>
  <c r="AG148" i="20" s="1"/>
  <c r="AF148" i="20" s="1"/>
  <c r="AD148" i="20" s="1"/>
  <c r="AI169" i="20"/>
  <c r="AH169" i="20" s="1"/>
  <c r="AG169" i="20" s="1"/>
  <c r="AF169" i="20" s="1"/>
  <c r="AD169" i="20" s="1"/>
  <c r="AI232" i="20"/>
  <c r="AH232" i="20" s="1"/>
  <c r="AG232" i="20" s="1"/>
  <c r="AF232" i="20" s="1"/>
  <c r="AD232" i="20" s="1"/>
  <c r="AI105" i="20"/>
  <c r="AH105" i="20" s="1"/>
  <c r="AG105" i="20" s="1"/>
  <c r="AF105" i="20" s="1"/>
  <c r="AD105" i="20" s="1"/>
  <c r="AI183" i="20"/>
  <c r="AH183" i="20" s="1"/>
  <c r="AG183" i="20" s="1"/>
  <c r="AF183" i="20" s="1"/>
  <c r="AD183" i="20" s="1"/>
  <c r="AI117" i="20"/>
  <c r="AH117" i="20" s="1"/>
  <c r="AG117" i="20" s="1"/>
  <c r="AF117" i="20" s="1"/>
  <c r="AD117" i="20" s="1"/>
  <c r="AI314" i="20"/>
  <c r="AH314" i="20" s="1"/>
  <c r="AG314" i="20" s="1"/>
  <c r="AF314" i="20" s="1"/>
  <c r="AD314" i="20" s="1"/>
  <c r="AI264" i="20"/>
  <c r="AH264" i="20" s="1"/>
  <c r="AG264" i="20" s="1"/>
  <c r="AF264" i="20" s="1"/>
  <c r="AD264" i="20" s="1"/>
  <c r="AI22" i="20"/>
  <c r="AH22" i="20" s="1"/>
  <c r="AG22" i="20" s="1"/>
  <c r="AF22" i="20" s="1"/>
  <c r="AD22" i="20" s="1"/>
  <c r="AI195" i="20"/>
  <c r="AH195" i="20" s="1"/>
  <c r="AG195" i="20" s="1"/>
  <c r="AF195" i="20" s="1"/>
  <c r="AD195" i="20" s="1"/>
  <c r="AI266" i="20"/>
  <c r="AH266" i="20" s="1"/>
  <c r="AG266" i="20" s="1"/>
  <c r="AF266" i="20" s="1"/>
  <c r="AD266" i="20" s="1"/>
  <c r="AI51" i="20"/>
  <c r="AH51" i="20" s="1"/>
  <c r="AG51" i="20" s="1"/>
  <c r="AF51" i="20" s="1"/>
  <c r="AD51" i="20" s="1"/>
  <c r="AI206" i="20"/>
  <c r="AH206" i="20" s="1"/>
  <c r="AG206" i="20" s="1"/>
  <c r="AF206" i="20" s="1"/>
  <c r="AD206" i="20" s="1"/>
  <c r="AI260" i="20"/>
  <c r="AH260" i="20" s="1"/>
  <c r="AG260" i="20" s="1"/>
  <c r="AF260" i="20" s="1"/>
  <c r="AD260" i="20" s="1"/>
  <c r="AI186" i="20"/>
  <c r="AH186" i="20" s="1"/>
  <c r="AG186" i="20" s="1"/>
  <c r="AF186" i="20" s="1"/>
  <c r="AD186" i="20" s="1"/>
  <c r="AI350" i="20"/>
  <c r="AH350" i="20" s="1"/>
  <c r="AG350" i="20" s="1"/>
  <c r="AF350" i="20" s="1"/>
  <c r="AD350" i="20" s="1"/>
  <c r="AI108" i="20"/>
  <c r="AH108" i="20" s="1"/>
  <c r="AG108" i="20" s="1"/>
  <c r="AF108" i="20" s="1"/>
  <c r="AD108" i="20" s="1"/>
  <c r="AI293" i="20"/>
  <c r="AH293" i="20" s="1"/>
  <c r="AG293" i="20" s="1"/>
  <c r="AF293" i="20" s="1"/>
  <c r="AD293" i="20" s="1"/>
  <c r="AI42" i="20"/>
  <c r="AH42" i="20" s="1"/>
  <c r="AG42" i="20" s="1"/>
  <c r="AF42" i="20" s="1"/>
  <c r="AD42" i="20" s="1"/>
  <c r="AI116" i="20"/>
  <c r="AH116" i="20" s="1"/>
  <c r="AG116" i="20" s="1"/>
  <c r="AF116" i="20" s="1"/>
  <c r="AD116" i="20" s="1"/>
  <c r="AI191" i="20"/>
  <c r="AH191" i="20" s="1"/>
  <c r="AG191" i="20" s="1"/>
  <c r="AF191" i="20" s="1"/>
  <c r="AD191" i="20" s="1"/>
  <c r="AI163" i="20"/>
  <c r="AH163" i="20" s="1"/>
  <c r="AG163" i="20" s="1"/>
  <c r="AF163" i="20" s="1"/>
  <c r="AD163" i="20" s="1"/>
  <c r="AI154" i="20"/>
  <c r="AH154" i="20" s="1"/>
  <c r="AG154" i="20" s="1"/>
  <c r="AF154" i="20" s="1"/>
  <c r="AD154" i="20" s="1"/>
  <c r="AI192" i="20"/>
  <c r="AH192" i="20" s="1"/>
  <c r="AG192" i="20" s="1"/>
  <c r="AF192" i="20" s="1"/>
  <c r="AD192" i="20" s="1"/>
  <c r="AI55" i="20"/>
  <c r="AH55" i="20" s="1"/>
  <c r="AG55" i="20" s="1"/>
  <c r="AF55" i="20" s="1"/>
  <c r="AD55" i="20" s="1"/>
  <c r="AI140" i="20"/>
  <c r="AH140" i="20" s="1"/>
  <c r="AG140" i="20" s="1"/>
  <c r="AF140" i="20" s="1"/>
  <c r="AD140" i="20" s="1"/>
  <c r="AI69" i="20"/>
  <c r="AH69" i="20" s="1"/>
  <c r="AG69" i="20" s="1"/>
  <c r="AF69" i="20" s="1"/>
  <c r="AD69" i="20" s="1"/>
  <c r="AI30" i="20"/>
  <c r="AH30" i="20" s="1"/>
  <c r="AG30" i="20" s="1"/>
  <c r="AF30" i="20" s="1"/>
  <c r="AD30" i="20" s="1"/>
  <c r="AI253" i="20"/>
  <c r="AH253" i="20" s="1"/>
  <c r="AG253" i="20" s="1"/>
  <c r="AF253" i="20" s="1"/>
  <c r="AD253" i="20" s="1"/>
  <c r="G379" i="18"/>
  <c r="CA379" i="6" s="1"/>
  <c r="AA379" i="18"/>
  <c r="Z379" i="18" s="1"/>
  <c r="Y379" i="18" s="1"/>
  <c r="J226" i="18"/>
  <c r="I226" i="18"/>
  <c r="I175" i="18"/>
  <c r="J175" i="18"/>
  <c r="J198" i="18"/>
  <c r="I198" i="18"/>
  <c r="J221" i="18"/>
  <c r="I221" i="18"/>
  <c r="I162" i="18"/>
  <c r="J162" i="18"/>
  <c r="I94" i="18"/>
  <c r="J94" i="18"/>
  <c r="I90" i="18"/>
  <c r="J90" i="18"/>
  <c r="I126" i="18"/>
  <c r="J126" i="18"/>
  <c r="D180" i="18"/>
  <c r="E180" i="18" s="1"/>
  <c r="F180" i="18" s="1"/>
  <c r="J243" i="18"/>
  <c r="I243" i="18"/>
  <c r="J98" i="18"/>
  <c r="I98" i="18"/>
  <c r="D241" i="18"/>
  <c r="E241" i="18" s="1"/>
  <c r="F241" i="18" s="1"/>
  <c r="J344" i="18"/>
  <c r="I344" i="18"/>
  <c r="I168" i="18"/>
  <c r="J168" i="18"/>
  <c r="I316" i="18"/>
  <c r="J316" i="18"/>
  <c r="D149" i="18"/>
  <c r="E149" i="18" s="1"/>
  <c r="F149" i="18" s="1"/>
  <c r="I312" i="18"/>
  <c r="J312" i="18"/>
  <c r="I50" i="18"/>
  <c r="J50" i="18"/>
  <c r="I89" i="18"/>
  <c r="J89" i="18"/>
  <c r="I195" i="18"/>
  <c r="J195" i="18"/>
  <c r="I79" i="18"/>
  <c r="J79" i="18"/>
  <c r="I45" i="18"/>
  <c r="J45" i="18"/>
  <c r="J212" i="18"/>
  <c r="I212" i="18"/>
  <c r="J159" i="18"/>
  <c r="I159" i="18"/>
  <c r="J35" i="18"/>
  <c r="I35" i="18"/>
  <c r="I83" i="18"/>
  <c r="J83" i="18"/>
  <c r="J375" i="18"/>
  <c r="I375" i="18"/>
  <c r="J287" i="18"/>
  <c r="I287" i="18"/>
  <c r="D60" i="18"/>
  <c r="E60" i="18" s="1"/>
  <c r="F60" i="18" s="1"/>
  <c r="J208" i="18"/>
  <c r="I208" i="18"/>
  <c r="J303" i="18"/>
  <c r="D88" i="18"/>
  <c r="E88" i="18" s="1"/>
  <c r="F88" i="18" s="1"/>
  <c r="P383" i="17"/>
  <c r="V15" i="17"/>
  <c r="P382" i="17"/>
  <c r="P381" i="17"/>
  <c r="AL8" i="15"/>
  <c r="Z383" i="15"/>
  <c r="Z382" i="15"/>
  <c r="Z381" i="15"/>
  <c r="AL7" i="15"/>
  <c r="Y15" i="15"/>
  <c r="Z9" i="15"/>
  <c r="I381" i="15"/>
  <c r="I382" i="15"/>
  <c r="I383" i="15"/>
  <c r="I99" i="18"/>
  <c r="J99" i="18"/>
  <c r="I315" i="18"/>
  <c r="J315" i="18"/>
  <c r="I266" i="18"/>
  <c r="J266" i="18"/>
  <c r="J153" i="18"/>
  <c r="I153" i="18"/>
  <c r="I290" i="18"/>
  <c r="J290" i="18"/>
  <c r="J124" i="18"/>
  <c r="I124" i="18"/>
  <c r="J213" i="18"/>
  <c r="I213" i="18"/>
  <c r="I84" i="18"/>
  <c r="J84" i="18"/>
  <c r="J225" i="18"/>
  <c r="I225" i="18"/>
  <c r="J193" i="18"/>
  <c r="I239" i="18"/>
  <c r="J109" i="18"/>
  <c r="I109" i="18"/>
  <c r="I117" i="18"/>
  <c r="J117" i="18"/>
  <c r="J228" i="18"/>
  <c r="I17" i="18"/>
  <c r="J17" i="18"/>
  <c r="I171" i="18"/>
  <c r="J171" i="18"/>
  <c r="J220" i="18"/>
  <c r="I220" i="18"/>
  <c r="J222" i="18"/>
  <c r="I222" i="18"/>
  <c r="J167" i="18"/>
  <c r="I167" i="18"/>
  <c r="I224" i="18"/>
  <c r="J224" i="18"/>
  <c r="J271" i="18"/>
  <c r="I271" i="18"/>
  <c r="J288" i="18"/>
  <c r="I288" i="18"/>
  <c r="J327" i="18"/>
  <c r="I327" i="18"/>
  <c r="I51" i="18"/>
  <c r="J51" i="18"/>
  <c r="J186" i="18"/>
  <c r="I186" i="18"/>
  <c r="J104" i="18"/>
  <c r="I104" i="18"/>
  <c r="J154" i="18"/>
  <c r="I154" i="18"/>
  <c r="J114" i="18"/>
  <c r="I114" i="18"/>
  <c r="I223" i="18"/>
  <c r="J223" i="18"/>
  <c r="I61" i="18"/>
  <c r="J61" i="18"/>
  <c r="J366" i="18"/>
  <c r="I366" i="18"/>
  <c r="I107" i="18"/>
  <c r="J107" i="18"/>
  <c r="J24" i="18"/>
  <c r="I24" i="18"/>
  <c r="J46" i="18"/>
  <c r="I46" i="18"/>
  <c r="J127" i="18"/>
  <c r="I127" i="18"/>
  <c r="J354" i="18"/>
  <c r="I354" i="18"/>
  <c r="J280" i="18"/>
  <c r="I280" i="18"/>
  <c r="I115" i="18"/>
  <c r="J115" i="18"/>
  <c r="I305" i="18"/>
  <c r="J305" i="18"/>
  <c r="J297" i="18"/>
  <c r="I297" i="18"/>
  <c r="I145" i="18"/>
  <c r="J145" i="18"/>
  <c r="J345" i="18"/>
  <c r="I345" i="18"/>
  <c r="I245" i="18"/>
  <c r="J245" i="18"/>
  <c r="J147" i="18"/>
  <c r="I147" i="18"/>
  <c r="J235" i="18"/>
  <c r="I235" i="18"/>
  <c r="G383" i="16"/>
  <c r="G12" i="16" s="1"/>
  <c r="G381" i="16"/>
  <c r="G382" i="16"/>
  <c r="AL10" i="16"/>
  <c r="AA382" i="16"/>
  <c r="AA9" i="16"/>
  <c r="Z15" i="16"/>
  <c r="AA381" i="16"/>
  <c r="AA383" i="16"/>
  <c r="AM8" i="16"/>
  <c r="AD382" i="17"/>
  <c r="AD383" i="17"/>
  <c r="AD381" i="17"/>
  <c r="K7" i="7"/>
  <c r="B7" i="6"/>
  <c r="D119" i="18"/>
  <c r="E119" i="18" s="1"/>
  <c r="F119" i="18" s="1"/>
  <c r="J336" i="18"/>
  <c r="I336" i="18"/>
  <c r="J217" i="18"/>
  <c r="I217" i="18"/>
  <c r="J69" i="18"/>
  <c r="I69" i="18"/>
  <c r="I182" i="18"/>
  <c r="J182" i="18"/>
  <c r="J299" i="18"/>
  <c r="I299" i="18"/>
  <c r="J307" i="18"/>
  <c r="I307" i="18"/>
  <c r="I113" i="18"/>
  <c r="J113" i="18"/>
  <c r="I295" i="18"/>
  <c r="J295" i="18"/>
  <c r="I68" i="18"/>
  <c r="J68" i="18"/>
  <c r="J122" i="18"/>
  <c r="I122" i="18"/>
  <c r="I215" i="18"/>
  <c r="J215" i="18"/>
  <c r="H379" i="18"/>
  <c r="AI11" i="22"/>
  <c r="AD104" i="18"/>
  <c r="AF381" i="18"/>
  <c r="AF383" i="18"/>
  <c r="AF382" i="18"/>
  <c r="AL5" i="16"/>
  <c r="AL11" i="16" s="1"/>
  <c r="W26" i="20" l="1"/>
  <c r="W17" i="20"/>
  <c r="W35" i="20"/>
  <c r="W21" i="20"/>
  <c r="D33" i="20"/>
  <c r="E33" i="20" s="1"/>
  <c r="F33" i="20" s="1"/>
  <c r="W16" i="20"/>
  <c r="W19" i="20"/>
  <c r="D32" i="20"/>
  <c r="E32" i="20" s="1"/>
  <c r="F32" i="20" s="1"/>
  <c r="W31" i="20"/>
  <c r="D18" i="20"/>
  <c r="E18" i="20" s="1"/>
  <c r="F18" i="20" s="1"/>
  <c r="D20" i="20"/>
  <c r="E20" i="20" s="1"/>
  <c r="F20" i="20" s="1"/>
  <c r="W25" i="20"/>
  <c r="W23" i="20"/>
  <c r="W22" i="20"/>
  <c r="W28" i="20"/>
  <c r="W34" i="20"/>
  <c r="D30" i="20"/>
  <c r="E30" i="20" s="1"/>
  <c r="F30" i="20" s="1"/>
  <c r="D27" i="20"/>
  <c r="E27" i="20" s="1"/>
  <c r="F27" i="20" s="1"/>
  <c r="B361" i="20"/>
  <c r="B145" i="20"/>
  <c r="B329" i="20"/>
  <c r="B75" i="20"/>
  <c r="B249" i="20"/>
  <c r="B268" i="20"/>
  <c r="B366" i="20"/>
  <c r="B239" i="20"/>
  <c r="B195" i="20"/>
  <c r="B189" i="20"/>
  <c r="B47" i="20"/>
  <c r="B340" i="20"/>
  <c r="B187" i="20"/>
  <c r="B150" i="20"/>
  <c r="B278" i="20"/>
  <c r="B135" i="20"/>
  <c r="B339" i="20"/>
  <c r="B232" i="20"/>
  <c r="B217" i="20"/>
  <c r="B216" i="20"/>
  <c r="B270" i="20"/>
  <c r="B98" i="20"/>
  <c r="B169" i="20"/>
  <c r="B250" i="20"/>
  <c r="B131" i="20"/>
  <c r="B158" i="20"/>
  <c r="B292" i="20"/>
  <c r="B121" i="20"/>
  <c r="B133" i="20"/>
  <c r="B281" i="20"/>
  <c r="B347" i="20"/>
  <c r="B162" i="20"/>
  <c r="B247" i="20"/>
  <c r="B39" i="20"/>
  <c r="B320" i="20"/>
  <c r="B38" i="20"/>
  <c r="B258" i="20"/>
  <c r="B358" i="20"/>
  <c r="B298" i="20"/>
  <c r="B76" i="20"/>
  <c r="B161" i="20"/>
  <c r="B182" i="20"/>
  <c r="B224" i="20"/>
  <c r="B49" i="20"/>
  <c r="B160" i="20"/>
  <c r="B111" i="20"/>
  <c r="B186" i="20"/>
  <c r="B61" i="20"/>
  <c r="B143" i="20"/>
  <c r="B269" i="20"/>
  <c r="B263" i="20"/>
  <c r="B116" i="20"/>
  <c r="B109" i="20"/>
  <c r="B334" i="20"/>
  <c r="B64" i="20"/>
  <c r="B112" i="20"/>
  <c r="B356" i="20"/>
  <c r="B368" i="20"/>
  <c r="B144" i="20"/>
  <c r="B360" i="20"/>
  <c r="B294" i="20"/>
  <c r="B139" i="20"/>
  <c r="B93" i="20"/>
  <c r="B48" i="20"/>
  <c r="B279" i="20"/>
  <c r="B300" i="20"/>
  <c r="B308" i="20"/>
  <c r="B171" i="20"/>
  <c r="B341" i="20"/>
  <c r="B288" i="20"/>
  <c r="B137" i="20"/>
  <c r="B42" i="20"/>
  <c r="B164" i="20"/>
  <c r="B313" i="20"/>
  <c r="B89" i="20"/>
  <c r="B104" i="20"/>
  <c r="B312" i="20"/>
  <c r="B83" i="20"/>
  <c r="B338" i="20"/>
  <c r="B257" i="20"/>
  <c r="B201" i="20"/>
  <c r="B185" i="20"/>
  <c r="B184" i="20"/>
  <c r="B123" i="20"/>
  <c r="B85" i="20"/>
  <c r="B373" i="20"/>
  <c r="B80" i="20"/>
  <c r="B107" i="20"/>
  <c r="B200" i="20"/>
  <c r="B227" i="20"/>
  <c r="B374" i="20"/>
  <c r="B370" i="20"/>
  <c r="B221" i="20"/>
  <c r="B208" i="20"/>
  <c r="B74" i="20"/>
  <c r="B36" i="20"/>
  <c r="B153" i="20"/>
  <c r="B296" i="20"/>
  <c r="B228" i="20"/>
  <c r="B230" i="20"/>
  <c r="B163" i="20"/>
  <c r="B196" i="20"/>
  <c r="B267" i="20"/>
  <c r="B159" i="20"/>
  <c r="B192" i="20"/>
  <c r="B245" i="20"/>
  <c r="B293" i="20"/>
  <c r="B291" i="20"/>
  <c r="B71" i="20"/>
  <c r="B96" i="20"/>
  <c r="B166" i="20"/>
  <c r="B86" i="20"/>
  <c r="B91" i="20"/>
  <c r="B122" i="20"/>
  <c r="B62" i="20"/>
  <c r="B274" i="20"/>
  <c r="B264" i="20"/>
  <c r="B156" i="20"/>
  <c r="B103" i="20"/>
  <c r="B40" i="20"/>
  <c r="B204" i="20"/>
  <c r="B369" i="20"/>
  <c r="B130" i="20"/>
  <c r="B307" i="20"/>
  <c r="B193" i="20"/>
  <c r="B203" i="20"/>
  <c r="B73" i="20"/>
  <c r="B287" i="20"/>
  <c r="B336" i="20"/>
  <c r="B235" i="20"/>
  <c r="B345" i="20"/>
  <c r="B212" i="20"/>
  <c r="B65" i="20"/>
  <c r="B321" i="20"/>
  <c r="B97" i="20"/>
  <c r="B275" i="20"/>
  <c r="B337" i="20"/>
  <c r="B223" i="20"/>
  <c r="B332" i="20"/>
  <c r="B317" i="20"/>
  <c r="B330" i="20"/>
  <c r="B66" i="20"/>
  <c r="B138" i="20"/>
  <c r="B229" i="20"/>
  <c r="B273" i="20"/>
  <c r="B67" i="20"/>
  <c r="B136" i="20"/>
  <c r="B134" i="20"/>
  <c r="B151" i="20"/>
  <c r="B261" i="20"/>
  <c r="B211" i="20"/>
  <c r="B276" i="20"/>
  <c r="B243" i="20"/>
  <c r="B378" i="20"/>
  <c r="B106" i="20"/>
  <c r="B50" i="20"/>
  <c r="B355" i="20"/>
  <c r="B127" i="20"/>
  <c r="B237" i="20"/>
  <c r="B194" i="20"/>
  <c r="B113" i="20"/>
  <c r="B376" i="20"/>
  <c r="B272" i="20"/>
  <c r="B59" i="20"/>
  <c r="B165" i="20"/>
  <c r="B177" i="20"/>
  <c r="B181" i="20"/>
  <c r="B254" i="20"/>
  <c r="B367" i="20"/>
  <c r="B179" i="20"/>
  <c r="B78" i="20"/>
  <c r="B43" i="20"/>
  <c r="B335" i="20"/>
  <c r="B84" i="20"/>
  <c r="B316" i="20"/>
  <c r="B280" i="20"/>
  <c r="B128" i="20"/>
  <c r="B297" i="20"/>
  <c r="B157" i="20"/>
  <c r="B146" i="20"/>
  <c r="B77" i="20"/>
  <c r="B324" i="20"/>
  <c r="B105" i="20"/>
  <c r="B56" i="20"/>
  <c r="B265" i="20"/>
  <c r="B57" i="20"/>
  <c r="B315" i="20"/>
  <c r="B253" i="20"/>
  <c r="B154" i="20"/>
  <c r="B331" i="20"/>
  <c r="B188" i="20"/>
  <c r="B72" i="20"/>
  <c r="B82" i="20"/>
  <c r="B81" i="20"/>
  <c r="B328" i="20"/>
  <c r="B309" i="20"/>
  <c r="B170" i="20"/>
  <c r="B290" i="20"/>
  <c r="B251" i="20"/>
  <c r="B63" i="20"/>
  <c r="B118" i="20"/>
  <c r="B168" i="20"/>
  <c r="B191" i="20"/>
  <c r="B346" i="20"/>
  <c r="B246" i="20"/>
  <c r="B348" i="20"/>
  <c r="B124" i="20"/>
  <c r="B343" i="20"/>
  <c r="B197" i="20"/>
  <c r="B79" i="20"/>
  <c r="B155" i="20"/>
  <c r="B41" i="20"/>
  <c r="B365" i="20"/>
  <c r="B45" i="20"/>
  <c r="B303" i="20"/>
  <c r="B372" i="20"/>
  <c r="B354" i="20"/>
  <c r="B371" i="20"/>
  <c r="B353" i="20"/>
  <c r="B46" i="20"/>
  <c r="B226" i="20"/>
  <c r="B305" i="20"/>
  <c r="B174" i="20"/>
  <c r="B209" i="20"/>
  <c r="B277" i="20"/>
  <c r="B152" i="20"/>
  <c r="B285" i="20"/>
  <c r="B198" i="20"/>
  <c r="B344" i="20"/>
  <c r="B284" i="20"/>
  <c r="B327" i="20"/>
  <c r="B304" i="20"/>
  <c r="B351" i="20"/>
  <c r="B101" i="20"/>
  <c r="B129" i="20"/>
  <c r="B362" i="20"/>
  <c r="B68" i="20"/>
  <c r="B236" i="20"/>
  <c r="B311" i="20"/>
  <c r="B240" i="20"/>
  <c r="B233" i="20"/>
  <c r="B283" i="20"/>
  <c r="B352" i="20"/>
  <c r="B218" i="20"/>
  <c r="B225" i="20"/>
  <c r="B54" i="20"/>
  <c r="B255" i="20"/>
  <c r="B314" i="20"/>
  <c r="B357" i="20"/>
  <c r="B125" i="20"/>
  <c r="B69" i="20"/>
  <c r="B220" i="20"/>
  <c r="B375" i="20"/>
  <c r="B51" i="20"/>
  <c r="B310" i="20"/>
  <c r="B306" i="20"/>
  <c r="B266" i="20"/>
  <c r="B349" i="20"/>
  <c r="B244" i="20"/>
  <c r="B206" i="20"/>
  <c r="B53" i="20"/>
  <c r="B259" i="20"/>
  <c r="B58" i="20"/>
  <c r="B318" i="20"/>
  <c r="B207" i="20"/>
  <c r="B364" i="20"/>
  <c r="B173" i="20"/>
  <c r="B167" i="20"/>
  <c r="B114" i="20"/>
  <c r="B44" i="20"/>
  <c r="B87" i="20"/>
  <c r="I67" i="18"/>
  <c r="W310" i="20"/>
  <c r="W27" i="20"/>
  <c r="W87" i="20"/>
  <c r="J137" i="18"/>
  <c r="I112" i="18"/>
  <c r="AE47" i="22"/>
  <c r="AE169" i="22"/>
  <c r="AE54" i="22"/>
  <c r="AE153" i="22"/>
  <c r="AE270" i="22"/>
  <c r="AE221" i="22"/>
  <c r="AE293" i="22"/>
  <c r="AE348" i="22"/>
  <c r="AE180" i="22"/>
  <c r="AE51" i="22"/>
  <c r="AE306" i="22"/>
  <c r="AE321" i="22"/>
  <c r="AE275" i="22"/>
  <c r="AE378" i="22"/>
  <c r="AE19" i="22"/>
  <c r="AE268" i="22"/>
  <c r="AE127" i="22"/>
  <c r="AE233" i="22"/>
  <c r="AE300" i="22"/>
  <c r="AE103" i="22"/>
  <c r="AE85" i="22"/>
  <c r="AE57" i="22"/>
  <c r="AE62" i="22"/>
  <c r="AE81" i="22"/>
  <c r="AE223" i="22"/>
  <c r="AE59" i="22"/>
  <c r="AE296" i="22"/>
  <c r="AE344" i="22"/>
  <c r="AE273" i="22"/>
  <c r="AE80" i="22"/>
  <c r="AE283" i="22"/>
  <c r="AE274" i="22"/>
  <c r="AE98" i="22"/>
  <c r="AE247" i="22"/>
  <c r="AE176" i="22"/>
  <c r="AE224" i="22"/>
  <c r="AE279" i="22"/>
  <c r="AE152" i="22"/>
  <c r="AE320" i="22"/>
  <c r="AE79" i="22"/>
  <c r="AE263" i="22"/>
  <c r="AE345" i="22"/>
  <c r="Q88" i="22"/>
  <c r="Q353" i="22"/>
  <c r="Q52" i="22"/>
  <c r="Q202" i="22"/>
  <c r="Q177" i="22"/>
  <c r="Q289" i="22"/>
  <c r="Q76" i="22"/>
  <c r="Q97" i="22"/>
  <c r="Q80" i="22"/>
  <c r="Q44" i="22"/>
  <c r="Q111" i="22"/>
  <c r="Q365" i="22"/>
  <c r="Q216" i="22"/>
  <c r="J97" i="18"/>
  <c r="I300" i="18"/>
  <c r="I292" i="18"/>
  <c r="D306" i="20"/>
  <c r="E306" i="20" s="1"/>
  <c r="F306" i="20" s="1"/>
  <c r="AA306" i="20" s="1"/>
  <c r="Z306" i="20" s="1"/>
  <c r="Y306" i="20" s="1"/>
  <c r="I70" i="18"/>
  <c r="I370" i="18"/>
  <c r="I249" i="18"/>
  <c r="J130" i="18"/>
  <c r="U381" i="20"/>
  <c r="AE123" i="22"/>
  <c r="AE210" i="22"/>
  <c r="AE301" i="22"/>
  <c r="AE38" i="22"/>
  <c r="AE22" i="22"/>
  <c r="AE91" i="22"/>
  <c r="AE261" i="22"/>
  <c r="AE65" i="22"/>
  <c r="AE335" i="22"/>
  <c r="AE77" i="22"/>
  <c r="AE171" i="22"/>
  <c r="AE358" i="22"/>
  <c r="AE214" i="22"/>
  <c r="AE48" i="22"/>
  <c r="AE303" i="22"/>
  <c r="AE266" i="22"/>
  <c r="AE164" i="22"/>
  <c r="AE317" i="22"/>
  <c r="AE276" i="22"/>
  <c r="AE173" i="22"/>
  <c r="AE184" i="22"/>
  <c r="AE209" i="22"/>
  <c r="AE159" i="22"/>
  <c r="AE117" i="22"/>
  <c r="AE168" i="22"/>
  <c r="AE280" i="22"/>
  <c r="AE294" i="22"/>
  <c r="AE61" i="22"/>
  <c r="AE45" i="22"/>
  <c r="AE29" i="22"/>
  <c r="AE240" i="22"/>
  <c r="AE106" i="22"/>
  <c r="AE60" i="22"/>
  <c r="AE249" i="22"/>
  <c r="AE262" i="22"/>
  <c r="AE370" i="22"/>
  <c r="AE216" i="22"/>
  <c r="AE186" i="22"/>
  <c r="AE33" i="22"/>
  <c r="AE225" i="22"/>
  <c r="AE63" i="22"/>
  <c r="AE329" i="22"/>
  <c r="AE181" i="22"/>
  <c r="AE307" i="22"/>
  <c r="AE87" i="22"/>
  <c r="AE84" i="22"/>
  <c r="AE336" i="22"/>
  <c r="AE298" i="22"/>
  <c r="AE156" i="22"/>
  <c r="AE110" i="22"/>
  <c r="AE52" i="22"/>
  <c r="AE271" i="22"/>
  <c r="AE354" i="22"/>
  <c r="AE177" i="22"/>
  <c r="AE23" i="22"/>
  <c r="AE231" i="22"/>
  <c r="AE69" i="22"/>
  <c r="AE267" i="22"/>
  <c r="AE380" i="22"/>
  <c r="AE334" i="22"/>
  <c r="AE286" i="22"/>
  <c r="AE245" i="22"/>
  <c r="AE339" i="22"/>
  <c r="AE151" i="22"/>
  <c r="AE114" i="22"/>
  <c r="AE88" i="22"/>
  <c r="AE58" i="22"/>
  <c r="AE140" i="22"/>
  <c r="AE97" i="22"/>
  <c r="AE260" i="22"/>
  <c r="AE146" i="22"/>
  <c r="AE361" i="22"/>
  <c r="AE34" i="22"/>
  <c r="AE299" i="22"/>
  <c r="AE119" i="22"/>
  <c r="AE351" i="22"/>
  <c r="AE187" i="22"/>
  <c r="AE338" i="22"/>
  <c r="AE258" i="22"/>
  <c r="AE93" i="22"/>
  <c r="AE101" i="22"/>
  <c r="AE28" i="22"/>
  <c r="AE163" i="22"/>
  <c r="D58" i="20"/>
  <c r="E58" i="20" s="1"/>
  <c r="F58" i="20" s="1"/>
  <c r="AA58" i="20" s="1"/>
  <c r="Z58" i="20" s="1"/>
  <c r="Y58" i="20" s="1"/>
  <c r="W167" i="20"/>
  <c r="Q136" i="22"/>
  <c r="Q75" i="22"/>
  <c r="Q131" i="22"/>
  <c r="Q22" i="22"/>
  <c r="Q146" i="22"/>
  <c r="Q377" i="22"/>
  <c r="Q280" i="22"/>
  <c r="Q122" i="22"/>
  <c r="Q208" i="22"/>
  <c r="Q153" i="22"/>
  <c r="Q87" i="22"/>
  <c r="Q41" i="22"/>
  <c r="Q158" i="22"/>
  <c r="Q277" i="22"/>
  <c r="Q244" i="22"/>
  <c r="Q329" i="22"/>
  <c r="Q154" i="22"/>
  <c r="Q346" i="22"/>
  <c r="Q217" i="22"/>
  <c r="Q112" i="22"/>
  <c r="Q18" i="22"/>
  <c r="Q123" i="22"/>
  <c r="Q245" i="22"/>
  <c r="Q180" i="22"/>
  <c r="Q54" i="22"/>
  <c r="Q164" i="22"/>
  <c r="Q362" i="22"/>
  <c r="Q148" i="22"/>
  <c r="Q293" i="22"/>
  <c r="Q371" i="22"/>
  <c r="I136" i="18"/>
  <c r="I64" i="18"/>
  <c r="V29" i="20"/>
  <c r="AH20" i="7"/>
  <c r="W323" i="20"/>
  <c r="D323" i="20"/>
  <c r="E323" i="20" s="1"/>
  <c r="F323" i="20" s="1"/>
  <c r="G323" i="20" s="1"/>
  <c r="CB323" i="6" s="1"/>
  <c r="Q266" i="22"/>
  <c r="Q273" i="22"/>
  <c r="Q85" i="22"/>
  <c r="Q26" i="22"/>
  <c r="Q254" i="22"/>
  <c r="Q378" i="22"/>
  <c r="Q179" i="22"/>
  <c r="Q248" i="22"/>
  <c r="Q31" i="22"/>
  <c r="Q223" i="22"/>
  <c r="Q292" i="22"/>
  <c r="Q284" i="22"/>
  <c r="Q86" i="22"/>
  <c r="Q92" i="22"/>
  <c r="Q257" i="22"/>
  <c r="Q240" i="22"/>
  <c r="Q263" i="22"/>
  <c r="Q236" i="22"/>
  <c r="Q218" i="22"/>
  <c r="Q282" i="22"/>
  <c r="Q99" i="22"/>
  <c r="Q369" i="22"/>
  <c r="Q212" i="22"/>
  <c r="Q227" i="22"/>
  <c r="Q260" i="22"/>
  <c r="Q138" i="22"/>
  <c r="Q29" i="22"/>
  <c r="Q61" i="22"/>
  <c r="Q258" i="22"/>
  <c r="Q325" i="22"/>
  <c r="Q251" i="22"/>
  <c r="Q21" i="22"/>
  <c r="Q121" i="22"/>
  <c r="Q144" i="22"/>
  <c r="Q225" i="22"/>
  <c r="Q206" i="22"/>
  <c r="Q271" i="22"/>
  <c r="Q117" i="22"/>
  <c r="Q368" i="22"/>
  <c r="Q127" i="22"/>
  <c r="Q255" i="22"/>
  <c r="Q40" i="22"/>
  <c r="Q77" i="22"/>
  <c r="Q246" i="22"/>
  <c r="Q191" i="22"/>
  <c r="Q172" i="22"/>
  <c r="Q286" i="22"/>
  <c r="Q305" i="22"/>
  <c r="Q82" i="22"/>
  <c r="Q324" i="22"/>
  <c r="Q182" i="22"/>
  <c r="Q103" i="22"/>
  <c r="Q188" i="22"/>
  <c r="Q214" i="22"/>
  <c r="Q152" i="22"/>
  <c r="Q90" i="22"/>
  <c r="Q30" i="22"/>
  <c r="Q149" i="22"/>
  <c r="Q184" i="22"/>
  <c r="Q60" i="22"/>
  <c r="Q314" i="22"/>
  <c r="Q142" i="22"/>
  <c r="Q197" i="22"/>
  <c r="Q102" i="22"/>
  <c r="Q130" i="22"/>
  <c r="Q55" i="22"/>
  <c r="Q276" i="22"/>
  <c r="Q356" i="22"/>
  <c r="Q315" i="22"/>
  <c r="Q380" i="22"/>
  <c r="Q125" i="22"/>
  <c r="Q230" i="22"/>
  <c r="Q69" i="22"/>
  <c r="Q296" i="22"/>
  <c r="Q58" i="22"/>
  <c r="Q167" i="22"/>
  <c r="Q124" i="22"/>
  <c r="Q213" i="22"/>
  <c r="Q301" i="22"/>
  <c r="Q116" i="22"/>
  <c r="Q316" i="22"/>
  <c r="Q299" i="22"/>
  <c r="Q162" i="22"/>
  <c r="Q134" i="22"/>
  <c r="Q178" i="22"/>
  <c r="Q242" i="22"/>
  <c r="Q278" i="22"/>
  <c r="Q243" i="22"/>
  <c r="Q272" i="22"/>
  <c r="Q17" i="22"/>
  <c r="Q221" i="22"/>
  <c r="Q297" i="22"/>
  <c r="Q93" i="22"/>
  <c r="Q35" i="22"/>
  <c r="Q185" i="22"/>
  <c r="Q247" i="22"/>
  <c r="Q317" i="22"/>
  <c r="Q342" i="22"/>
  <c r="Q166" i="22"/>
  <c r="Q150" i="22"/>
  <c r="Q28" i="22"/>
  <c r="Q94" i="22"/>
  <c r="Q120" i="22"/>
  <c r="Q174" i="22"/>
  <c r="Q264" i="22"/>
  <c r="Q132" i="22"/>
  <c r="Q232" i="22"/>
  <c r="Q16" i="22"/>
  <c r="Q268" i="22"/>
  <c r="Q373" i="22"/>
  <c r="Q235" i="22"/>
  <c r="Q226" i="22"/>
  <c r="Q171" i="22"/>
  <c r="Q287" i="22"/>
  <c r="Q25" i="22"/>
  <c r="Q311" i="22"/>
  <c r="Q155" i="22"/>
  <c r="Q360" i="22"/>
  <c r="Q106" i="22"/>
  <c r="Q183" i="22"/>
  <c r="Q36" i="22"/>
  <c r="Q118" i="22"/>
  <c r="Q285" i="22"/>
  <c r="Q196" i="22"/>
  <c r="Q345" i="22"/>
  <c r="Q231" i="22"/>
  <c r="Q337" i="22"/>
  <c r="Q341" i="22"/>
  <c r="Q250" i="22"/>
  <c r="Q170" i="22"/>
  <c r="Q72" i="22"/>
  <c r="Q318" i="22"/>
  <c r="Q192" i="22"/>
  <c r="Q239" i="22"/>
  <c r="Q68" i="22"/>
  <c r="Q110" i="22"/>
  <c r="Q161" i="22"/>
  <c r="Q96" i="22"/>
  <c r="Q137" i="22"/>
  <c r="Q288" i="22"/>
  <c r="Q370" i="22"/>
  <c r="Q228" i="22"/>
  <c r="Q252" i="22"/>
  <c r="Q207" i="22"/>
  <c r="Q98" i="22"/>
  <c r="Q33" i="22"/>
  <c r="Q310" i="22"/>
  <c r="Q351" i="22"/>
  <c r="Q300" i="22"/>
  <c r="Q56" i="22"/>
  <c r="Q333" i="22"/>
  <c r="Q233" i="22"/>
  <c r="Q45" i="22"/>
  <c r="Q71" i="22"/>
  <c r="Q151" i="22"/>
  <c r="Q168" i="22"/>
  <c r="Q355" i="22"/>
  <c r="Q241" i="22"/>
  <c r="Q84" i="22"/>
  <c r="Q338" i="22"/>
  <c r="Q323" i="22"/>
  <c r="Q23" i="22"/>
  <c r="Q203" i="22"/>
  <c r="Q24" i="22"/>
  <c r="Q107" i="22"/>
  <c r="Q304" i="22"/>
  <c r="Q141" i="22"/>
  <c r="Q298" i="22"/>
  <c r="Q253" i="22"/>
  <c r="Q114" i="22"/>
  <c r="Q66" i="22"/>
  <c r="Q309" i="22"/>
  <c r="Q344" i="22"/>
  <c r="Q156" i="22"/>
  <c r="Q135" i="22"/>
  <c r="Q115" i="22"/>
  <c r="Q343" i="22"/>
  <c r="Q229" i="22"/>
  <c r="Q53" i="22"/>
  <c r="Q219" i="22"/>
  <c r="Q43" i="22"/>
  <c r="Q319" i="22"/>
  <c r="Q79" i="22"/>
  <c r="Q348" i="22"/>
  <c r="Q307" i="22"/>
  <c r="Q215" i="22"/>
  <c r="Q78" i="22"/>
  <c r="Q101" i="22"/>
  <c r="Q361" i="22"/>
  <c r="Q256" i="22"/>
  <c r="Q81" i="22"/>
  <c r="Q20" i="22"/>
  <c r="Q70" i="22"/>
  <c r="Q367" i="22"/>
  <c r="Q326" i="22"/>
  <c r="Q194" i="22"/>
  <c r="Q303" i="22"/>
  <c r="Q32" i="22"/>
  <c r="Q262" i="22"/>
  <c r="Q275" i="22"/>
  <c r="Q119" i="22"/>
  <c r="AE246" i="22"/>
  <c r="AE325" i="22"/>
  <c r="AE55" i="22"/>
  <c r="AE120" i="22"/>
  <c r="AE108" i="22"/>
  <c r="AE178" i="22"/>
  <c r="AE237" i="22"/>
  <c r="AE326" i="22"/>
  <c r="AE41" i="22"/>
  <c r="AE243" i="22"/>
  <c r="AE82" i="22"/>
  <c r="AE53" i="22"/>
  <c r="AE121" i="22"/>
  <c r="AE201" i="22"/>
  <c r="AE315" i="22"/>
  <c r="AE366" i="22"/>
  <c r="AE213" i="22"/>
  <c r="AE16" i="22"/>
  <c r="AE112" i="22"/>
  <c r="AE331" i="22"/>
  <c r="AE150" i="22"/>
  <c r="AE229" i="22"/>
  <c r="AE230" i="22"/>
  <c r="AE135" i="22"/>
  <c r="AE218" i="22"/>
  <c r="AE200" i="22"/>
  <c r="AE376" i="22"/>
  <c r="AE241" i="22"/>
  <c r="AE323" i="22"/>
  <c r="AE130" i="22"/>
  <c r="AE104" i="22"/>
  <c r="AE190" i="22"/>
  <c r="AE132" i="22"/>
  <c r="AE227" i="22"/>
  <c r="J339" i="18"/>
  <c r="I339" i="18"/>
  <c r="AE46" i="22"/>
  <c r="AE73" i="22"/>
  <c r="AE288" i="22"/>
  <c r="AE179" i="22"/>
  <c r="AE198" i="22"/>
  <c r="AE50" i="22"/>
  <c r="AE56" i="22"/>
  <c r="AE133" i="22"/>
  <c r="AE139" i="22"/>
  <c r="AE316" i="22"/>
  <c r="AE142" i="22"/>
  <c r="AE265" i="22"/>
  <c r="AE373" i="22"/>
  <c r="AE182" i="22"/>
  <c r="AE144" i="22"/>
  <c r="AE128" i="22"/>
  <c r="AE219" i="22"/>
  <c r="AE192" i="22"/>
  <c r="AE302" i="22"/>
  <c r="AE379" i="22"/>
  <c r="AE12" i="23" s="1"/>
  <c r="AE222" i="22"/>
  <c r="AE185" i="22"/>
  <c r="AE74" i="22"/>
  <c r="AE355" i="22"/>
  <c r="AE68" i="22"/>
  <c r="AE318" i="22"/>
  <c r="AE343" i="22"/>
  <c r="AE194" i="22"/>
  <c r="AE195" i="22"/>
  <c r="AE236" i="22"/>
  <c r="AE312" i="22"/>
  <c r="AE183" i="22"/>
  <c r="AE26" i="22"/>
  <c r="AE310" i="22"/>
  <c r="AE332" i="22"/>
  <c r="AE272" i="22"/>
  <c r="AE193" i="22"/>
  <c r="AE24" i="22"/>
  <c r="AE20" i="22"/>
  <c r="AE347" i="22"/>
  <c r="AE363" i="22"/>
  <c r="AE72" i="22"/>
  <c r="AE71" i="22"/>
  <c r="AE37" i="22"/>
  <c r="AE277" i="22"/>
  <c r="AE92" i="22"/>
  <c r="AE281" i="22"/>
  <c r="AE35" i="22"/>
  <c r="AE254" i="22"/>
  <c r="AE162" i="22"/>
  <c r="AE172" i="22"/>
  <c r="AE157" i="22"/>
  <c r="AE295" i="22"/>
  <c r="AE291" i="22"/>
  <c r="AE143" i="22"/>
  <c r="AE290" i="22"/>
  <c r="AE49" i="22"/>
  <c r="AE264" i="22"/>
  <c r="AE250" i="22"/>
  <c r="AE167" i="22"/>
  <c r="AE253" i="22"/>
  <c r="AE17" i="22"/>
  <c r="AE105" i="22"/>
  <c r="AE15" i="22"/>
  <c r="AE269" i="22"/>
  <c r="AE349" i="22"/>
  <c r="AE43" i="22"/>
  <c r="AE31" i="22"/>
  <c r="AE341" i="22"/>
  <c r="AE191" i="22"/>
  <c r="AE124" i="22"/>
  <c r="AE367" i="22"/>
  <c r="AE78" i="22"/>
  <c r="AE32" i="22"/>
  <c r="AE137" i="22"/>
  <c r="AE324" i="22"/>
  <c r="AE96" i="22"/>
  <c r="AE125" i="22"/>
  <c r="AE83" i="22"/>
  <c r="AE340" i="22"/>
  <c r="AE369" i="22"/>
  <c r="AE205" i="22"/>
  <c r="AE328" i="22"/>
  <c r="AE282" i="22"/>
  <c r="AE199" i="22"/>
  <c r="AE102" i="22"/>
  <c r="AE165" i="22"/>
  <c r="AE86" i="22"/>
  <c r="AE170" i="22"/>
  <c r="AE287" i="22"/>
  <c r="AE220" i="22"/>
  <c r="AE160" i="22"/>
  <c r="AE189" i="22"/>
  <c r="AE115" i="22"/>
  <c r="AE297" i="22"/>
  <c r="AE215" i="22"/>
  <c r="AE365" i="22"/>
  <c r="AE67" i="22"/>
  <c r="AE364" i="22"/>
  <c r="AE248" i="22"/>
  <c r="AE311" i="22"/>
  <c r="AE90" i="22"/>
  <c r="AE374" i="22"/>
  <c r="AE204" i="22"/>
  <c r="AE208" i="22"/>
  <c r="AE129" i="22"/>
  <c r="AE256" i="22"/>
  <c r="AE206" i="22"/>
  <c r="AE155" i="22"/>
  <c r="AE30" i="22"/>
  <c r="AE89" i="22"/>
  <c r="AE352" i="22"/>
  <c r="AE27" i="22"/>
  <c r="AE211" i="22"/>
  <c r="AE21" i="22"/>
  <c r="AE40" i="22"/>
  <c r="AE226" i="22"/>
  <c r="AE148" i="22"/>
  <c r="AE70" i="22"/>
  <c r="AE109" i="22"/>
  <c r="AE285" i="22"/>
  <c r="AE235" i="22"/>
  <c r="AE359" i="22"/>
  <c r="AE166" i="22"/>
  <c r="AE197" i="22"/>
  <c r="AE118" i="22"/>
  <c r="AE234" i="22"/>
  <c r="AE319" i="22"/>
  <c r="AE252" i="22"/>
  <c r="AE111" i="22"/>
  <c r="AE313" i="22"/>
  <c r="AE330" i="22"/>
  <c r="AE244" i="22"/>
  <c r="AE196" i="22"/>
  <c r="AE207" i="22"/>
  <c r="AE232" i="22"/>
  <c r="AE322" i="22"/>
  <c r="AE375" i="22"/>
  <c r="AE122" i="22"/>
  <c r="AE39" i="22"/>
  <c r="AE145" i="22"/>
  <c r="AE368" i="22"/>
  <c r="AE289" i="22"/>
  <c r="AE362" i="22"/>
  <c r="AE255" i="22"/>
  <c r="AE188" i="22"/>
  <c r="AE350" i="22"/>
  <c r="AE377" i="22"/>
  <c r="AE202" i="22"/>
  <c r="AE357" i="22"/>
  <c r="AE75" i="22"/>
  <c r="AE284" i="22"/>
  <c r="AE238" i="22"/>
  <c r="AE308" i="22"/>
  <c r="AE309" i="22"/>
  <c r="AE371" i="22"/>
  <c r="AE360" i="22"/>
  <c r="AE212" i="22"/>
  <c r="AE141" i="22"/>
  <c r="AE346" i="22"/>
  <c r="AE337" i="22"/>
  <c r="AE18" i="22"/>
  <c r="AE95" i="22"/>
  <c r="AE175" i="22"/>
  <c r="AE138" i="22"/>
  <c r="AE100" i="22"/>
  <c r="D375" i="20"/>
  <c r="E375" i="20" s="1"/>
  <c r="F375" i="20" s="1"/>
  <c r="AA375" i="20" s="1"/>
  <c r="Z375" i="20" s="1"/>
  <c r="Y375" i="20" s="1"/>
  <c r="AH27" i="7"/>
  <c r="D173" i="20"/>
  <c r="E173" i="20" s="1"/>
  <c r="F173" i="20" s="1"/>
  <c r="G173" i="20" s="1"/>
  <c r="CB173" i="6" s="1"/>
  <c r="V333" i="20"/>
  <c r="I247" i="18"/>
  <c r="Q332" i="22"/>
  <c r="Q209" i="22"/>
  <c r="Q320" i="22"/>
  <c r="Q347" i="22"/>
  <c r="Q349" i="22"/>
  <c r="Q295" i="22"/>
  <c r="Q308" i="22"/>
  <c r="Q224" i="22"/>
  <c r="Q265" i="22"/>
  <c r="Q65" i="22"/>
  <c r="Q340" i="22"/>
  <c r="Q375" i="22"/>
  <c r="Q143" i="22"/>
  <c r="Q335" i="22"/>
  <c r="Q89" i="22"/>
  <c r="Q334" i="22"/>
  <c r="Q359" i="22"/>
  <c r="Q222" i="22"/>
  <c r="Q186" i="22"/>
  <c r="Q48" i="22"/>
  <c r="Q62" i="22"/>
  <c r="Q249" i="22"/>
  <c r="Q372" i="22"/>
  <c r="Q169" i="22"/>
  <c r="Q176" i="22"/>
  <c r="Q19" i="22"/>
  <c r="Q302" i="22"/>
  <c r="Q312" i="22"/>
  <c r="Q49" i="22"/>
  <c r="Q357" i="22"/>
  <c r="Q37" i="22"/>
  <c r="Q126" i="22"/>
  <c r="Q267" i="22"/>
  <c r="Q322" i="22"/>
  <c r="Q198" i="22"/>
  <c r="Q173" i="22"/>
  <c r="Q331" i="22"/>
  <c r="Q104" i="22"/>
  <c r="Q105" i="22"/>
  <c r="Q366" i="22"/>
  <c r="Q133" i="22"/>
  <c r="Q306" i="22"/>
  <c r="Q163" i="22"/>
  <c r="Q363" i="22"/>
  <c r="Q294" i="22"/>
  <c r="Q327" i="22"/>
  <c r="Q330" i="22"/>
  <c r="Q205" i="22"/>
  <c r="Q74" i="22"/>
  <c r="Q57" i="22"/>
  <c r="Q193" i="22"/>
  <c r="Q63" i="22"/>
  <c r="Q238" i="22"/>
  <c r="Q189" i="22"/>
  <c r="Q269" i="22"/>
  <c r="Q157" i="22"/>
  <c r="Q83" i="22"/>
  <c r="Q336" i="22"/>
  <c r="I277" i="18"/>
  <c r="I248" i="18"/>
  <c r="I23" i="18"/>
  <c r="J371" i="18"/>
  <c r="J146" i="18"/>
  <c r="V149" i="20"/>
  <c r="AH31" i="7"/>
  <c r="AH28" i="7"/>
  <c r="T379" i="20"/>
  <c r="S379" i="20" s="1"/>
  <c r="R379" i="20" s="1"/>
  <c r="P379" i="20" s="1"/>
  <c r="D40" i="19" s="1"/>
  <c r="AH23" i="7"/>
  <c r="Q259" i="22"/>
  <c r="Q210" i="22"/>
  <c r="Q199" i="22"/>
  <c r="Q95" i="22"/>
  <c r="Q290" i="22"/>
  <c r="Q204" i="22"/>
  <c r="Q339" i="22"/>
  <c r="Q42" i="22"/>
  <c r="Q181" i="22"/>
  <c r="Q234" i="22"/>
  <c r="Q195" i="22"/>
  <c r="Q27" i="22"/>
  <c r="Q100" i="22"/>
  <c r="Q376" i="22"/>
  <c r="Q139" i="22"/>
  <c r="Q281" i="22"/>
  <c r="Q190" i="22"/>
  <c r="Q34" i="22"/>
  <c r="Q261" i="22"/>
  <c r="Q73" i="22"/>
  <c r="Q47" i="22"/>
  <c r="Q39" i="22"/>
  <c r="Q200" i="22"/>
  <c r="Q51" i="22"/>
  <c r="Q364" i="22"/>
  <c r="Q237" i="22"/>
  <c r="Q350" i="22"/>
  <c r="Q128" i="22"/>
  <c r="Q159" i="22"/>
  <c r="Q50" i="22"/>
  <c r="Q279" i="22"/>
  <c r="Q113" i="22"/>
  <c r="I229" i="18"/>
  <c r="J322" i="18"/>
  <c r="J233" i="18"/>
  <c r="I26" i="18"/>
  <c r="Q313" i="22"/>
  <c r="J165" i="18"/>
  <c r="I342" i="18"/>
  <c r="I80" i="18"/>
  <c r="I260" i="18"/>
  <c r="J102" i="18"/>
  <c r="I21" i="18"/>
  <c r="J73" i="18"/>
  <c r="J358" i="18"/>
  <c r="J206" i="18"/>
  <c r="J200" i="18"/>
  <c r="J184" i="18"/>
  <c r="I178" i="18"/>
  <c r="J85" i="18"/>
  <c r="I367" i="18"/>
  <c r="J269" i="18"/>
  <c r="I289" i="18"/>
  <c r="J118" i="18"/>
  <c r="J211" i="18"/>
  <c r="I196" i="18"/>
  <c r="J71" i="18"/>
  <c r="I156" i="18"/>
  <c r="J368" i="18"/>
  <c r="I20" i="18"/>
  <c r="I242" i="18"/>
  <c r="J56" i="18"/>
  <c r="J365" i="18"/>
  <c r="J279" i="18"/>
  <c r="I49" i="18"/>
  <c r="J172" i="18"/>
  <c r="I352" i="18"/>
  <c r="I238" i="18"/>
  <c r="J141" i="18"/>
  <c r="J100" i="18"/>
  <c r="I218" i="18"/>
  <c r="I199" i="18"/>
  <c r="I378" i="18"/>
  <c r="I246" i="18"/>
  <c r="I296" i="18"/>
  <c r="J176" i="18"/>
  <c r="J48" i="18"/>
  <c r="J142" i="18"/>
  <c r="I203" i="18"/>
  <c r="I294" i="18"/>
  <c r="J259" i="18"/>
  <c r="I82" i="18"/>
  <c r="J42" i="18"/>
  <c r="I173" i="18"/>
  <c r="J355" i="18"/>
  <c r="I257" i="18"/>
  <c r="AH21" i="7"/>
  <c r="I283" i="18"/>
  <c r="J270" i="18"/>
  <c r="I205" i="18"/>
  <c r="J110" i="18"/>
  <c r="J92" i="18"/>
  <c r="I204" i="18"/>
  <c r="J54" i="18"/>
  <c r="J285" i="18"/>
  <c r="J250" i="18"/>
  <c r="I187" i="18"/>
  <c r="I255" i="18"/>
  <c r="I16" i="18"/>
  <c r="J334" i="18"/>
  <c r="J169" i="18"/>
  <c r="J121" i="18"/>
  <c r="I188" i="18"/>
  <c r="Q46" i="22"/>
  <c r="Q91" i="22"/>
  <c r="J86" i="18"/>
  <c r="J174" i="18"/>
  <c r="J348" i="18"/>
  <c r="I357" i="18"/>
  <c r="J191" i="18"/>
  <c r="I311" i="18"/>
  <c r="I320" i="18"/>
  <c r="J265" i="18"/>
  <c r="J33" i="18"/>
  <c r="I91" i="18"/>
  <c r="J304" i="18"/>
  <c r="J116" i="18"/>
  <c r="I328" i="18"/>
  <c r="AH26" i="7"/>
  <c r="I256" i="18"/>
  <c r="J347" i="18"/>
  <c r="J72" i="18"/>
  <c r="I274" i="18"/>
  <c r="J75" i="18"/>
  <c r="J369" i="18"/>
  <c r="I374" i="18"/>
  <c r="J267" i="18"/>
  <c r="J38" i="18"/>
  <c r="I346" i="18"/>
  <c r="AH29" i="7"/>
  <c r="V180" i="20"/>
  <c r="B180" i="20" s="1"/>
  <c r="J22" i="18"/>
  <c r="I335" i="18"/>
  <c r="J273" i="18"/>
  <c r="J308" i="18"/>
  <c r="J27" i="18"/>
  <c r="I101" i="18"/>
  <c r="I76" i="18"/>
  <c r="J131" i="18"/>
  <c r="I140" i="18"/>
  <c r="J44" i="18"/>
  <c r="D35" i="20"/>
  <c r="E35" i="20" s="1"/>
  <c r="F35" i="20" s="1"/>
  <c r="G35" i="20" s="1"/>
  <c r="CB35" i="6" s="1"/>
  <c r="I151" i="18"/>
  <c r="J254" i="18"/>
  <c r="J32" i="18"/>
  <c r="J148" i="18"/>
  <c r="I81" i="18"/>
  <c r="J338" i="18"/>
  <c r="I325" i="18"/>
  <c r="D277" i="20"/>
  <c r="E277" i="20" s="1"/>
  <c r="F277" i="20" s="1"/>
  <c r="G277" i="20" s="1"/>
  <c r="CB277" i="6" s="1"/>
  <c r="D17" i="20"/>
  <c r="E17" i="20" s="1"/>
  <c r="F17" i="20" s="1"/>
  <c r="G17" i="20" s="1"/>
  <c r="CB17" i="6" s="1"/>
  <c r="W39" i="20"/>
  <c r="W69" i="20"/>
  <c r="D225" i="20"/>
  <c r="E225" i="20" s="1"/>
  <c r="F225" i="20" s="1"/>
  <c r="AA225" i="20" s="1"/>
  <c r="Z225" i="20" s="1"/>
  <c r="Y225" i="20" s="1"/>
  <c r="I36" i="18"/>
  <c r="W187" i="20"/>
  <c r="D169" i="20"/>
  <c r="E169" i="20" s="1"/>
  <c r="F169" i="20" s="1"/>
  <c r="G169" i="20" s="1"/>
  <c r="CB169" i="6" s="1"/>
  <c r="W281" i="20"/>
  <c r="J219" i="18"/>
  <c r="J96" i="18"/>
  <c r="J343" i="18"/>
  <c r="D34" i="20"/>
  <c r="E34" i="20" s="1"/>
  <c r="F34" i="20" s="1"/>
  <c r="G34" i="20" s="1"/>
  <c r="CB34" i="6" s="1"/>
  <c r="J161" i="18"/>
  <c r="J43" i="18"/>
  <c r="I362" i="18"/>
  <c r="D107" i="20"/>
  <c r="E107" i="20" s="1"/>
  <c r="F107" i="20" s="1"/>
  <c r="AA107" i="20" s="1"/>
  <c r="Z107" i="20" s="1"/>
  <c r="Y107" i="20" s="1"/>
  <c r="W106" i="20"/>
  <c r="W20" i="20"/>
  <c r="W78" i="20"/>
  <c r="D297" i="20"/>
  <c r="E297" i="20" s="1"/>
  <c r="F297" i="20" s="1"/>
  <c r="H297" i="20" s="1"/>
  <c r="D328" i="20"/>
  <c r="E328" i="20" s="1"/>
  <c r="F328" i="20" s="1"/>
  <c r="G328" i="20" s="1"/>
  <c r="CB328" i="6" s="1"/>
  <c r="D23" i="20"/>
  <c r="E23" i="20" s="1"/>
  <c r="F23" i="20" s="1"/>
  <c r="AA23" i="20" s="1"/>
  <c r="Z23" i="20" s="1"/>
  <c r="Y23" i="20" s="1"/>
  <c r="W79" i="20"/>
  <c r="J164" i="18"/>
  <c r="J160" i="18"/>
  <c r="J87" i="18"/>
  <c r="I183" i="18"/>
  <c r="I282" i="18"/>
  <c r="I143" i="18"/>
  <c r="D217" i="20"/>
  <c r="E217" i="20" s="1"/>
  <c r="F217" i="20" s="1"/>
  <c r="G217" i="20" s="1"/>
  <c r="CB217" i="6" s="1"/>
  <c r="J310" i="18"/>
  <c r="J170" i="18"/>
  <c r="J318" i="18"/>
  <c r="J276" i="18"/>
  <c r="J209" i="18"/>
  <c r="D26" i="20"/>
  <c r="E26" i="20" s="1"/>
  <c r="F26" i="20" s="1"/>
  <c r="I30" i="18"/>
  <c r="I353" i="18"/>
  <c r="I252" i="18"/>
  <c r="I197" i="18"/>
  <c r="D220" i="20"/>
  <c r="E220" i="20" s="1"/>
  <c r="F220" i="20" s="1"/>
  <c r="AA220" i="20" s="1"/>
  <c r="Z220" i="20" s="1"/>
  <c r="Y220" i="20" s="1"/>
  <c r="W218" i="20"/>
  <c r="W30" i="20"/>
  <c r="W285" i="20"/>
  <c r="D327" i="20"/>
  <c r="E327" i="20" s="1"/>
  <c r="F327" i="20" s="1"/>
  <c r="G327" i="20" s="1"/>
  <c r="CB327" i="6" s="1"/>
  <c r="I298" i="18"/>
  <c r="J356" i="18"/>
  <c r="J63" i="18"/>
  <c r="I350" i="18"/>
  <c r="I144" i="18"/>
  <c r="J341" i="18"/>
  <c r="I62" i="18"/>
  <c r="J201" i="18"/>
  <c r="I177" i="18"/>
  <c r="J293" i="18"/>
  <c r="I123" i="18"/>
  <c r="J326" i="18"/>
  <c r="I230" i="18"/>
  <c r="I108" i="18"/>
  <c r="I18" i="18"/>
  <c r="I359" i="18"/>
  <c r="J264" i="18"/>
  <c r="J31" i="18"/>
  <c r="J93" i="18"/>
  <c r="J234" i="18"/>
  <c r="J323" i="18"/>
  <c r="I37" i="18"/>
  <c r="I19" i="18"/>
  <c r="J78" i="18"/>
  <c r="J185" i="18"/>
  <c r="J59" i="18"/>
  <c r="J268" i="18"/>
  <c r="Q220" i="22"/>
  <c r="Q64" i="22"/>
  <c r="Q352" i="22"/>
  <c r="I40" i="18"/>
  <c r="J95" i="18"/>
  <c r="J39" i="18"/>
  <c r="I261" i="18"/>
  <c r="I309" i="18"/>
  <c r="J232" i="18"/>
  <c r="J330" i="18"/>
  <c r="J332" i="18"/>
  <c r="I337" i="18"/>
  <c r="I189" i="18"/>
  <c r="I190" i="18"/>
  <c r="I281" i="18"/>
  <c r="W109" i="20"/>
  <c r="W164" i="20"/>
  <c r="D313" i="20"/>
  <c r="E313" i="20" s="1"/>
  <c r="F313" i="20" s="1"/>
  <c r="AA313" i="20" s="1"/>
  <c r="Z313" i="20" s="1"/>
  <c r="Y313" i="20" s="1"/>
  <c r="I77" i="18"/>
  <c r="W235" i="20"/>
  <c r="D186" i="20"/>
  <c r="E186" i="20" s="1"/>
  <c r="F186" i="20" s="1"/>
  <c r="AA186" i="20" s="1"/>
  <c r="Z186" i="20" s="1"/>
  <c r="Y186" i="20" s="1"/>
  <c r="W263" i="20"/>
  <c r="W144" i="20"/>
  <c r="D74" i="20"/>
  <c r="E74" i="20" s="1"/>
  <c r="F74" i="20" s="1"/>
  <c r="H74" i="20" s="1"/>
  <c r="J74" i="20" s="1"/>
  <c r="C74" i="6" s="1"/>
  <c r="J66" i="19"/>
  <c r="I34" i="18"/>
  <c r="I306" i="18"/>
  <c r="I314" i="18"/>
  <c r="J262" i="18"/>
  <c r="J55" i="18"/>
  <c r="I240" i="18"/>
  <c r="I57" i="18"/>
  <c r="J66" i="18"/>
  <c r="W75" i="20"/>
  <c r="W195" i="20"/>
  <c r="D278" i="20"/>
  <c r="E278" i="20" s="1"/>
  <c r="F278" i="20" s="1"/>
  <c r="G278" i="20" s="1"/>
  <c r="CB278" i="6" s="1"/>
  <c r="D250" i="20"/>
  <c r="E250" i="20" s="1"/>
  <c r="F250" i="20" s="1"/>
  <c r="G250" i="20" s="1"/>
  <c r="CB250" i="6" s="1"/>
  <c r="D347" i="20"/>
  <c r="E347" i="20" s="1"/>
  <c r="F347" i="20" s="1"/>
  <c r="G347" i="20" s="1"/>
  <c r="CB347" i="6" s="1"/>
  <c r="D76" i="20"/>
  <c r="E76" i="20" s="1"/>
  <c r="F76" i="20" s="1"/>
  <c r="AA76" i="20" s="1"/>
  <c r="Z76" i="20" s="1"/>
  <c r="Y76" i="20" s="1"/>
  <c r="J163" i="18"/>
  <c r="I361" i="18"/>
  <c r="I216" i="18"/>
  <c r="I278" i="18"/>
  <c r="D41" i="20"/>
  <c r="E41" i="20" s="1"/>
  <c r="F41" i="20" s="1"/>
  <c r="AA41" i="20" s="1"/>
  <c r="Z41" i="20" s="1"/>
  <c r="Y41" i="20" s="1"/>
  <c r="W357" i="20"/>
  <c r="D354" i="20"/>
  <c r="E354" i="20" s="1"/>
  <c r="F354" i="20" s="1"/>
  <c r="G354" i="20" s="1"/>
  <c r="CB354" i="6" s="1"/>
  <c r="D22" i="20"/>
  <c r="E22" i="20" s="1"/>
  <c r="F22" i="20" s="1"/>
  <c r="H22" i="20" s="1"/>
  <c r="D174" i="20"/>
  <c r="E174" i="20" s="1"/>
  <c r="F174" i="20" s="1"/>
  <c r="G174" i="20" s="1"/>
  <c r="CB174" i="6" s="1"/>
  <c r="D311" i="20"/>
  <c r="E311" i="20" s="1"/>
  <c r="F311" i="20" s="1"/>
  <c r="AA311" i="20" s="1"/>
  <c r="Z311" i="20" s="1"/>
  <c r="Y311" i="20" s="1"/>
  <c r="D28" i="20"/>
  <c r="E28" i="20" s="1"/>
  <c r="F28" i="20" s="1"/>
  <c r="AA28" i="20" s="1"/>
  <c r="Z28" i="20" s="1"/>
  <c r="Y28" i="20" s="1"/>
  <c r="D68" i="20"/>
  <c r="E68" i="20" s="1"/>
  <c r="F68" i="20" s="1"/>
  <c r="AA68" i="20" s="1"/>
  <c r="Z68" i="20" s="1"/>
  <c r="Y68" i="20" s="1"/>
  <c r="D362" i="20"/>
  <c r="E362" i="20" s="1"/>
  <c r="F362" i="20" s="1"/>
  <c r="G362" i="20" s="1"/>
  <c r="CB362" i="6" s="1"/>
  <c r="D129" i="20"/>
  <c r="E129" i="20" s="1"/>
  <c r="F129" i="20" s="1"/>
  <c r="H129" i="20" s="1"/>
  <c r="W101" i="20"/>
  <c r="D351" i="20"/>
  <c r="E351" i="20" s="1"/>
  <c r="F351" i="20" s="1"/>
  <c r="AA351" i="20" s="1"/>
  <c r="Z351" i="20" s="1"/>
  <c r="Y351" i="20" s="1"/>
  <c r="W304" i="20"/>
  <c r="D55" i="20"/>
  <c r="E55" i="20" s="1"/>
  <c r="F55" i="20" s="1"/>
  <c r="G55" i="20" s="1"/>
  <c r="CB55" i="6" s="1"/>
  <c r="W55" i="20"/>
  <c r="W94" i="20"/>
  <c r="D94" i="20"/>
  <c r="E94" i="20" s="1"/>
  <c r="F94" i="20" s="1"/>
  <c r="G94" i="20" s="1"/>
  <c r="CB94" i="6" s="1"/>
  <c r="W214" i="20"/>
  <c r="D214" i="20"/>
  <c r="E214" i="20" s="1"/>
  <c r="F214" i="20" s="1"/>
  <c r="G214" i="20" s="1"/>
  <c r="CB214" i="6" s="1"/>
  <c r="W92" i="20"/>
  <c r="D92" i="20"/>
  <c r="E92" i="20" s="1"/>
  <c r="F92" i="20" s="1"/>
  <c r="H92" i="20" s="1"/>
  <c r="W178" i="20"/>
  <c r="D178" i="20"/>
  <c r="E178" i="20" s="1"/>
  <c r="F178" i="20" s="1"/>
  <c r="H178" i="20" s="1"/>
  <c r="D213" i="20"/>
  <c r="E213" i="20" s="1"/>
  <c r="F213" i="20" s="1"/>
  <c r="H213" i="20" s="1"/>
  <c r="W213" i="20"/>
  <c r="D176" i="20"/>
  <c r="E176" i="20" s="1"/>
  <c r="F176" i="20" s="1"/>
  <c r="H176" i="20" s="1"/>
  <c r="W176" i="20"/>
  <c r="W231" i="20"/>
  <c r="D231" i="20"/>
  <c r="E231" i="20" s="1"/>
  <c r="F231" i="20" s="1"/>
  <c r="H231" i="20" s="1"/>
  <c r="W183" i="20"/>
  <c r="D183" i="20"/>
  <c r="E183" i="20" s="1"/>
  <c r="F183" i="20" s="1"/>
  <c r="H183" i="20" s="1"/>
  <c r="W215" i="20"/>
  <c r="D215" i="20"/>
  <c r="E215" i="20" s="1"/>
  <c r="F215" i="20" s="1"/>
  <c r="H215" i="20" s="1"/>
  <c r="D322" i="20"/>
  <c r="E322" i="20" s="1"/>
  <c r="F322" i="20" s="1"/>
  <c r="AA322" i="20" s="1"/>
  <c r="Z322" i="20" s="1"/>
  <c r="Y322" i="20" s="1"/>
  <c r="W322" i="20"/>
  <c r="D199" i="20"/>
  <c r="E199" i="20" s="1"/>
  <c r="F199" i="20" s="1"/>
  <c r="H199" i="20" s="1"/>
  <c r="W199" i="20"/>
  <c r="D260" i="20"/>
  <c r="E260" i="20" s="1"/>
  <c r="F260" i="20" s="1"/>
  <c r="W260" i="20"/>
  <c r="D24" i="20"/>
  <c r="E24" i="20" s="1"/>
  <c r="F24" i="20" s="1"/>
  <c r="G24" i="20" s="1"/>
  <c r="CB24" i="6" s="1"/>
  <c r="W24" i="20"/>
  <c r="D117" i="20"/>
  <c r="E117" i="20" s="1"/>
  <c r="F117" i="20" s="1"/>
  <c r="G117" i="20" s="1"/>
  <c r="CB117" i="6" s="1"/>
  <c r="W117" i="20"/>
  <c r="W286" i="20"/>
  <c r="D286" i="20"/>
  <c r="E286" i="20" s="1"/>
  <c r="F286" i="20" s="1"/>
  <c r="AA286" i="20" s="1"/>
  <c r="Z286" i="20" s="1"/>
  <c r="Y286" i="20" s="1"/>
  <c r="W141" i="20"/>
  <c r="D141" i="20"/>
  <c r="E141" i="20" s="1"/>
  <c r="F141" i="20" s="1"/>
  <c r="AA141" i="20" s="1"/>
  <c r="Z141" i="20" s="1"/>
  <c r="Y141" i="20" s="1"/>
  <c r="W100" i="20"/>
  <c r="D100" i="20"/>
  <c r="E100" i="20" s="1"/>
  <c r="F100" i="20" s="1"/>
  <c r="G100" i="20" s="1"/>
  <c r="CB100" i="6" s="1"/>
  <c r="D102" i="20"/>
  <c r="E102" i="20" s="1"/>
  <c r="F102" i="20" s="1"/>
  <c r="AA102" i="20" s="1"/>
  <c r="Z102" i="20" s="1"/>
  <c r="Y102" i="20" s="1"/>
  <c r="W102" i="20"/>
  <c r="W115" i="20"/>
  <c r="D115" i="20"/>
  <c r="E115" i="20" s="1"/>
  <c r="F115" i="20" s="1"/>
  <c r="AA115" i="20" s="1"/>
  <c r="Z115" i="20" s="1"/>
  <c r="Y115" i="20" s="1"/>
  <c r="D70" i="20"/>
  <c r="E70" i="20" s="1"/>
  <c r="F70" i="20" s="1"/>
  <c r="G70" i="20" s="1"/>
  <c r="CB70" i="6" s="1"/>
  <c r="W70" i="20"/>
  <c r="W175" i="20"/>
  <c r="D175" i="20"/>
  <c r="E175" i="20" s="1"/>
  <c r="F175" i="20" s="1"/>
  <c r="AA175" i="20" s="1"/>
  <c r="Z175" i="20" s="1"/>
  <c r="Y175" i="20" s="1"/>
  <c r="W326" i="20"/>
  <c r="D326" i="20"/>
  <c r="E326" i="20" s="1"/>
  <c r="F326" i="20" s="1"/>
  <c r="H326" i="20" s="1"/>
  <c r="D342" i="20"/>
  <c r="E342" i="20" s="1"/>
  <c r="F342" i="20" s="1"/>
  <c r="G342" i="20" s="1"/>
  <c r="CB342" i="6" s="1"/>
  <c r="W342" i="20"/>
  <c r="D190" i="20"/>
  <c r="E190" i="20" s="1"/>
  <c r="F190" i="20" s="1"/>
  <c r="G190" i="20" s="1"/>
  <c r="CB190" i="6" s="1"/>
  <c r="W190" i="20"/>
  <c r="D325" i="20"/>
  <c r="E325" i="20" s="1"/>
  <c r="F325" i="20" s="1"/>
  <c r="G325" i="20" s="1"/>
  <c r="CB325" i="6" s="1"/>
  <c r="W325" i="20"/>
  <c r="W350" i="20"/>
  <c r="D350" i="20"/>
  <c r="E350" i="20" s="1"/>
  <c r="F350" i="20" s="1"/>
  <c r="G350" i="20" s="1"/>
  <c r="CB350" i="6" s="1"/>
  <c r="W132" i="20"/>
  <c r="D132" i="20"/>
  <c r="E132" i="20" s="1"/>
  <c r="F132" i="20" s="1"/>
  <c r="G132" i="20" s="1"/>
  <c r="CB132" i="6" s="1"/>
  <c r="D242" i="20"/>
  <c r="E242" i="20" s="1"/>
  <c r="F242" i="20" s="1"/>
  <c r="G242" i="20" s="1"/>
  <c r="CB242" i="6" s="1"/>
  <c r="W242" i="20"/>
  <c r="W262" i="20"/>
  <c r="D262" i="20"/>
  <c r="E262" i="20" s="1"/>
  <c r="F262" i="20" s="1"/>
  <c r="G262" i="20" s="1"/>
  <c r="CB262" i="6" s="1"/>
  <c r="D295" i="20"/>
  <c r="E295" i="20" s="1"/>
  <c r="F295" i="20" s="1"/>
  <c r="H295" i="20" s="1"/>
  <c r="W295" i="20"/>
  <c r="D37" i="20"/>
  <c r="E37" i="20" s="1"/>
  <c r="F37" i="20" s="1"/>
  <c r="AA37" i="20" s="1"/>
  <c r="Z37" i="20" s="1"/>
  <c r="Y37" i="20" s="1"/>
  <c r="W37" i="20"/>
  <c r="W271" i="20"/>
  <c r="D271" i="20"/>
  <c r="E271" i="20" s="1"/>
  <c r="F271" i="20" s="1"/>
  <c r="G271" i="20" s="1"/>
  <c r="CB271" i="6" s="1"/>
  <c r="D289" i="20"/>
  <c r="E289" i="20" s="1"/>
  <c r="F289" i="20" s="1"/>
  <c r="W289" i="20"/>
  <c r="W142" i="20"/>
  <c r="D142" i="20"/>
  <c r="E142" i="20" s="1"/>
  <c r="F142" i="20" s="1"/>
  <c r="G142" i="20" s="1"/>
  <c r="CB142" i="6" s="1"/>
  <c r="D108" i="20"/>
  <c r="E108" i="20" s="1"/>
  <c r="F108" i="20" s="1"/>
  <c r="AA108" i="20" s="1"/>
  <c r="Z108" i="20" s="1"/>
  <c r="Y108" i="20" s="1"/>
  <c r="W108" i="20"/>
  <c r="D202" i="20"/>
  <c r="E202" i="20" s="1"/>
  <c r="F202" i="20" s="1"/>
  <c r="G202" i="20" s="1"/>
  <c r="CB202" i="6" s="1"/>
  <c r="W202" i="20"/>
  <c r="W52" i="20"/>
  <c r="D52" i="20"/>
  <c r="E52" i="20" s="1"/>
  <c r="F52" i="20" s="1"/>
  <c r="H52" i="20" s="1"/>
  <c r="W234" i="20"/>
  <c r="D234" i="20"/>
  <c r="E234" i="20" s="1"/>
  <c r="F234" i="20" s="1"/>
  <c r="G234" i="20" s="1"/>
  <c r="CB234" i="6" s="1"/>
  <c r="D282" i="20"/>
  <c r="E282" i="20" s="1"/>
  <c r="F282" i="20" s="1"/>
  <c r="AA282" i="20" s="1"/>
  <c r="Z282" i="20" s="1"/>
  <c r="Y282" i="20" s="1"/>
  <c r="W282" i="20"/>
  <c r="D140" i="20"/>
  <c r="E140" i="20" s="1"/>
  <c r="F140" i="20" s="1"/>
  <c r="G140" i="20" s="1"/>
  <c r="CB140" i="6" s="1"/>
  <c r="W140" i="20"/>
  <c r="D319" i="20"/>
  <c r="E319" i="20" s="1"/>
  <c r="F319" i="20" s="1"/>
  <c r="AA319" i="20" s="1"/>
  <c r="Z319" i="20" s="1"/>
  <c r="Y319" i="20" s="1"/>
  <c r="W319" i="20"/>
  <c r="D148" i="20"/>
  <c r="E148" i="20" s="1"/>
  <c r="F148" i="20" s="1"/>
  <c r="AA148" i="20" s="1"/>
  <c r="Z148" i="20" s="1"/>
  <c r="Y148" i="20" s="1"/>
  <c r="W148" i="20"/>
  <c r="W222" i="20"/>
  <c r="D222" i="20"/>
  <c r="E222" i="20" s="1"/>
  <c r="F222" i="20" s="1"/>
  <c r="AA222" i="20" s="1"/>
  <c r="Z222" i="20" s="1"/>
  <c r="Y222" i="20" s="1"/>
  <c r="W110" i="20"/>
  <c r="D110" i="20"/>
  <c r="E110" i="20" s="1"/>
  <c r="F110" i="20" s="1"/>
  <c r="AA110" i="20" s="1"/>
  <c r="Z110" i="20" s="1"/>
  <c r="Y110" i="20" s="1"/>
  <c r="W205" i="20"/>
  <c r="D205" i="20"/>
  <c r="E205" i="20" s="1"/>
  <c r="F205" i="20" s="1"/>
  <c r="D219" i="20"/>
  <c r="E219" i="20" s="1"/>
  <c r="F219" i="20" s="1"/>
  <c r="AA219" i="20" s="1"/>
  <c r="Z219" i="20" s="1"/>
  <c r="Y219" i="20" s="1"/>
  <c r="W219" i="20"/>
  <c r="D126" i="20"/>
  <c r="E126" i="20" s="1"/>
  <c r="F126" i="20" s="1"/>
  <c r="AA126" i="20" s="1"/>
  <c r="Z126" i="20" s="1"/>
  <c r="Y126" i="20" s="1"/>
  <c r="W126" i="20"/>
  <c r="D147" i="20"/>
  <c r="E147" i="20" s="1"/>
  <c r="F147" i="20" s="1"/>
  <c r="G147" i="20" s="1"/>
  <c r="CB147" i="6" s="1"/>
  <c r="W147" i="20"/>
  <c r="D120" i="20"/>
  <c r="E120" i="20" s="1"/>
  <c r="F120" i="20" s="1"/>
  <c r="H120" i="20" s="1"/>
  <c r="W120" i="20"/>
  <c r="W252" i="20"/>
  <c r="D252" i="20"/>
  <c r="E252" i="20" s="1"/>
  <c r="F252" i="20" s="1"/>
  <c r="G252" i="20" s="1"/>
  <c r="CB252" i="6" s="1"/>
  <c r="W248" i="20"/>
  <c r="D248" i="20"/>
  <c r="E248" i="20" s="1"/>
  <c r="F248" i="20" s="1"/>
  <c r="W172" i="20"/>
  <c r="D172" i="20"/>
  <c r="E172" i="20" s="1"/>
  <c r="F172" i="20" s="1"/>
  <c r="H172" i="20" s="1"/>
  <c r="D299" i="20"/>
  <c r="E299" i="20" s="1"/>
  <c r="F299" i="20" s="1"/>
  <c r="G299" i="20" s="1"/>
  <c r="CB299" i="6" s="1"/>
  <c r="W299" i="20"/>
  <c r="W359" i="20"/>
  <c r="D359" i="20"/>
  <c r="E359" i="20" s="1"/>
  <c r="F359" i="20" s="1"/>
  <c r="AA359" i="20" s="1"/>
  <c r="Z359" i="20" s="1"/>
  <c r="Y359" i="20" s="1"/>
  <c r="D238" i="20"/>
  <c r="E238" i="20" s="1"/>
  <c r="F238" i="20" s="1"/>
  <c r="AA238" i="20" s="1"/>
  <c r="Z238" i="20" s="1"/>
  <c r="Y238" i="20" s="1"/>
  <c r="W238" i="20"/>
  <c r="W95" i="20"/>
  <c r="D95" i="20"/>
  <c r="E95" i="20" s="1"/>
  <c r="F95" i="20" s="1"/>
  <c r="G95" i="20" s="1"/>
  <c r="CB95" i="6" s="1"/>
  <c r="W256" i="20"/>
  <c r="D256" i="20"/>
  <c r="E256" i="20" s="1"/>
  <c r="F256" i="20" s="1"/>
  <c r="G256" i="20" s="1"/>
  <c r="CB256" i="6" s="1"/>
  <c r="AA30" i="20"/>
  <c r="Z30" i="20" s="1"/>
  <c r="Y30" i="20" s="1"/>
  <c r="AA31" i="20"/>
  <c r="Z31" i="20" s="1"/>
  <c r="Y31" i="20" s="1"/>
  <c r="W287" i="20"/>
  <c r="D275" i="20"/>
  <c r="E275" i="20" s="1"/>
  <c r="F275" i="20" s="1"/>
  <c r="G275" i="20" s="1"/>
  <c r="CB275" i="6" s="1"/>
  <c r="W18" i="20"/>
  <c r="W273" i="20"/>
  <c r="W151" i="20"/>
  <c r="D243" i="20"/>
  <c r="E243" i="20" s="1"/>
  <c r="F243" i="20" s="1"/>
  <c r="G243" i="20" s="1"/>
  <c r="CB243" i="6" s="1"/>
  <c r="D355" i="20"/>
  <c r="E355" i="20" s="1"/>
  <c r="F355" i="20" s="1"/>
  <c r="G355" i="20" s="1"/>
  <c r="CB355" i="6" s="1"/>
  <c r="W113" i="20"/>
  <c r="D165" i="20"/>
  <c r="E165" i="20" s="1"/>
  <c r="F165" i="20" s="1"/>
  <c r="AA165" i="20" s="1"/>
  <c r="Z165" i="20" s="1"/>
  <c r="Y165" i="20" s="1"/>
  <c r="D25" i="20"/>
  <c r="E25" i="20" s="1"/>
  <c r="F25" i="20" s="1"/>
  <c r="G25" i="20" s="1"/>
  <c r="CB25" i="6" s="1"/>
  <c r="D146" i="20"/>
  <c r="E146" i="20" s="1"/>
  <c r="F146" i="20" s="1"/>
  <c r="G146" i="20" s="1"/>
  <c r="CB146" i="6" s="1"/>
  <c r="W253" i="20"/>
  <c r="D170" i="20"/>
  <c r="E170" i="20" s="1"/>
  <c r="F170" i="20" s="1"/>
  <c r="G170" i="20" s="1"/>
  <c r="CB170" i="6" s="1"/>
  <c r="W118" i="20"/>
  <c r="W346" i="20"/>
  <c r="D291" i="20"/>
  <c r="E291" i="20" s="1"/>
  <c r="F291" i="20" s="1"/>
  <c r="G291" i="20" s="1"/>
  <c r="CB291" i="6" s="1"/>
  <c r="W293" i="20"/>
  <c r="D19" i="20"/>
  <c r="E19" i="20" s="1"/>
  <c r="F19" i="20" s="1"/>
  <c r="AA19" i="20" s="1"/>
  <c r="Z19" i="20" s="1"/>
  <c r="Y19" i="20" s="1"/>
  <c r="D159" i="20"/>
  <c r="E159" i="20" s="1"/>
  <c r="F159" i="20" s="1"/>
  <c r="H159" i="20" s="1"/>
  <c r="W267" i="20"/>
  <c r="W196" i="20"/>
  <c r="W163" i="20"/>
  <c r="W230" i="20"/>
  <c r="W228" i="20"/>
  <c r="W296" i="20"/>
  <c r="W153" i="20"/>
  <c r="D374" i="20"/>
  <c r="E374" i="20" s="1"/>
  <c r="F374" i="20" s="1"/>
  <c r="AA374" i="20" s="1"/>
  <c r="Z374" i="20" s="1"/>
  <c r="Y374" i="20" s="1"/>
  <c r="W227" i="20"/>
  <c r="D16" i="20"/>
  <c r="E16" i="20" s="1"/>
  <c r="F16" i="20" s="1"/>
  <c r="D200" i="20"/>
  <c r="E200" i="20" s="1"/>
  <c r="F200" i="20" s="1"/>
  <c r="G200" i="20" s="1"/>
  <c r="CB200" i="6" s="1"/>
  <c r="D192" i="20"/>
  <c r="E192" i="20" s="1"/>
  <c r="F192" i="20" s="1"/>
  <c r="G192" i="20" s="1"/>
  <c r="CB192" i="6" s="1"/>
  <c r="Q321" i="22"/>
  <c r="Q283" i="22"/>
  <c r="Q379" i="22"/>
  <c r="AN15" i="7" s="1"/>
  <c r="Q328" i="22"/>
  <c r="K66" i="19"/>
  <c r="W302" i="20"/>
  <c r="AH16" i="7"/>
  <c r="AN11" i="7" s="1"/>
  <c r="U11" i="22" s="1"/>
  <c r="U10" i="22" s="1"/>
  <c r="AO16" i="7" s="1"/>
  <c r="D371" i="20"/>
  <c r="E371" i="20" s="1"/>
  <c r="F371" i="20" s="1"/>
  <c r="G371" i="20" s="1"/>
  <c r="CB371" i="6" s="1"/>
  <c r="Q129" i="22"/>
  <c r="Q140" i="22"/>
  <c r="Q67" i="22"/>
  <c r="Q201" i="22"/>
  <c r="Q270" i="22"/>
  <c r="Q274" i="22"/>
  <c r="W138" i="20"/>
  <c r="I236" i="18"/>
  <c r="D73" i="20"/>
  <c r="E73" i="20" s="1"/>
  <c r="F73" i="20" s="1"/>
  <c r="H73" i="20" s="1"/>
  <c r="D336" i="20"/>
  <c r="E336" i="20" s="1"/>
  <c r="F336" i="20" s="1"/>
  <c r="AA336" i="20" s="1"/>
  <c r="Z336" i="20" s="1"/>
  <c r="Y336" i="20" s="1"/>
  <c r="D345" i="20"/>
  <c r="E345" i="20" s="1"/>
  <c r="F345" i="20" s="1"/>
  <c r="AA345" i="20" s="1"/>
  <c r="Z345" i="20" s="1"/>
  <c r="Y345" i="20" s="1"/>
  <c r="D65" i="20"/>
  <c r="E65" i="20" s="1"/>
  <c r="F65" i="20" s="1"/>
  <c r="AA65" i="20" s="1"/>
  <c r="Z65" i="20" s="1"/>
  <c r="Y65" i="20" s="1"/>
  <c r="W97" i="20"/>
  <c r="W337" i="20"/>
  <c r="D332" i="20"/>
  <c r="E332" i="20" s="1"/>
  <c r="F332" i="20" s="1"/>
  <c r="AA332" i="20" s="1"/>
  <c r="Z332" i="20" s="1"/>
  <c r="Y332" i="20" s="1"/>
  <c r="D330" i="20"/>
  <c r="E330" i="20" s="1"/>
  <c r="F330" i="20" s="1"/>
  <c r="H330" i="20" s="1"/>
  <c r="W229" i="20"/>
  <c r="W134" i="20"/>
  <c r="D276" i="20"/>
  <c r="E276" i="20" s="1"/>
  <c r="F276" i="20" s="1"/>
  <c r="G276" i="20" s="1"/>
  <c r="CB276" i="6" s="1"/>
  <c r="W50" i="20"/>
  <c r="W194" i="20"/>
  <c r="W59" i="20"/>
  <c r="W181" i="20"/>
  <c r="W367" i="20"/>
  <c r="W43" i="20"/>
  <c r="W335" i="20"/>
  <c r="D316" i="20"/>
  <c r="E316" i="20" s="1"/>
  <c r="F316" i="20" s="1"/>
  <c r="G316" i="20" s="1"/>
  <c r="CB316" i="6" s="1"/>
  <c r="D128" i="20"/>
  <c r="E128" i="20" s="1"/>
  <c r="F128" i="20" s="1"/>
  <c r="G128" i="20" s="1"/>
  <c r="CB128" i="6" s="1"/>
  <c r="D157" i="20"/>
  <c r="E157" i="20" s="1"/>
  <c r="F157" i="20" s="1"/>
  <c r="AA157" i="20" s="1"/>
  <c r="Z157" i="20" s="1"/>
  <c r="Y157" i="20" s="1"/>
  <c r="W77" i="20"/>
  <c r="D105" i="20"/>
  <c r="E105" i="20" s="1"/>
  <c r="F105" i="20" s="1"/>
  <c r="G105" i="20" s="1"/>
  <c r="CB105" i="6" s="1"/>
  <c r="W265" i="20"/>
  <c r="W315" i="20"/>
  <c r="D154" i="20"/>
  <c r="E154" i="20" s="1"/>
  <c r="F154" i="20" s="1"/>
  <c r="H154" i="20" s="1"/>
  <c r="D188" i="20"/>
  <c r="E188" i="20" s="1"/>
  <c r="F188" i="20" s="1"/>
  <c r="G188" i="20" s="1"/>
  <c r="CB188" i="6" s="1"/>
  <c r="W309" i="20"/>
  <c r="D63" i="20"/>
  <c r="E63" i="20" s="1"/>
  <c r="F63" i="20" s="1"/>
  <c r="AA63" i="20" s="1"/>
  <c r="Z63" i="20" s="1"/>
  <c r="Y63" i="20" s="1"/>
  <c r="W191" i="20"/>
  <c r="D246" i="20"/>
  <c r="E246" i="20" s="1"/>
  <c r="F246" i="20" s="1"/>
  <c r="AA246" i="20" s="1"/>
  <c r="Z246" i="20" s="1"/>
  <c r="Y246" i="20" s="1"/>
  <c r="D124" i="20"/>
  <c r="E124" i="20" s="1"/>
  <c r="F124" i="20" s="1"/>
  <c r="H124" i="20" s="1"/>
  <c r="W197" i="20"/>
  <c r="W155" i="20"/>
  <c r="W111" i="20"/>
  <c r="D269" i="20"/>
  <c r="E269" i="20" s="1"/>
  <c r="F269" i="20" s="1"/>
  <c r="AA269" i="20" s="1"/>
  <c r="Z269" i="20" s="1"/>
  <c r="Y269" i="20" s="1"/>
  <c r="W112" i="20"/>
  <c r="W360" i="20"/>
  <c r="D279" i="20"/>
  <c r="E279" i="20" s="1"/>
  <c r="F279" i="20" s="1"/>
  <c r="G279" i="20" s="1"/>
  <c r="CB279" i="6" s="1"/>
  <c r="W308" i="20"/>
  <c r="W341" i="20"/>
  <c r="W137" i="20"/>
  <c r="I66" i="19"/>
  <c r="D21" i="20"/>
  <c r="E21" i="20" s="1"/>
  <c r="F21" i="20" s="1"/>
  <c r="W33" i="20"/>
  <c r="D89" i="20"/>
  <c r="E89" i="20" s="1"/>
  <c r="F89" i="20" s="1"/>
  <c r="H89" i="20" s="1"/>
  <c r="D312" i="20"/>
  <c r="E312" i="20" s="1"/>
  <c r="F312" i="20" s="1"/>
  <c r="AA312" i="20" s="1"/>
  <c r="Z312" i="20" s="1"/>
  <c r="Y312" i="20" s="1"/>
  <c r="D338" i="20"/>
  <c r="E338" i="20" s="1"/>
  <c r="F338" i="20" s="1"/>
  <c r="AA338" i="20" s="1"/>
  <c r="Z338" i="20" s="1"/>
  <c r="Y338" i="20" s="1"/>
  <c r="D201" i="20"/>
  <c r="E201" i="20" s="1"/>
  <c r="F201" i="20" s="1"/>
  <c r="AA201" i="20" s="1"/>
  <c r="Z201" i="20" s="1"/>
  <c r="Y201" i="20" s="1"/>
  <c r="D184" i="20"/>
  <c r="E184" i="20" s="1"/>
  <c r="F184" i="20" s="1"/>
  <c r="AA184" i="20" s="1"/>
  <c r="Z184" i="20" s="1"/>
  <c r="Y184" i="20" s="1"/>
  <c r="W85" i="20"/>
  <c r="D80" i="20"/>
  <c r="E80" i="20" s="1"/>
  <c r="F80" i="20" s="1"/>
  <c r="AA80" i="20" s="1"/>
  <c r="Z80" i="20" s="1"/>
  <c r="Y80" i="20" s="1"/>
  <c r="W66" i="20"/>
  <c r="D64" i="20"/>
  <c r="E64" i="20" s="1"/>
  <c r="F64" i="20" s="1"/>
  <c r="G64" i="20" s="1"/>
  <c r="CB64" i="6" s="1"/>
  <c r="C66" i="19"/>
  <c r="U382" i="20"/>
  <c r="U383" i="20"/>
  <c r="H66" i="19"/>
  <c r="O10" i="24"/>
  <c r="AC10" i="24"/>
  <c r="V379" i="20"/>
  <c r="D13" i="19"/>
  <c r="G37" i="19"/>
  <c r="E12" i="19"/>
  <c r="D272" i="20"/>
  <c r="E272" i="20" s="1"/>
  <c r="F272" i="20" s="1"/>
  <c r="G272" i="20" s="1"/>
  <c r="CB272" i="6" s="1"/>
  <c r="D60" i="20"/>
  <c r="E60" i="20" s="1"/>
  <c r="F60" i="20" s="1"/>
  <c r="AA90" i="20"/>
  <c r="Z90" i="20" s="1"/>
  <c r="Y90" i="20" s="1"/>
  <c r="W241" i="20"/>
  <c r="AA301" i="20"/>
  <c r="Z301" i="20" s="1"/>
  <c r="Y301" i="20" s="1"/>
  <c r="G18" i="20"/>
  <c r="CB18" i="6" s="1"/>
  <c r="G20" i="20"/>
  <c r="CB20" i="6" s="1"/>
  <c r="AL6" i="15"/>
  <c r="AL12" i="15" s="1"/>
  <c r="AJ4" i="15" s="1"/>
  <c r="P12" i="19" s="1"/>
  <c r="AM6" i="15"/>
  <c r="AM12" i="15" s="1"/>
  <c r="X9" i="15"/>
  <c r="Y11" i="15" s="1"/>
  <c r="Y382" i="15"/>
  <c r="AL5" i="15"/>
  <c r="AL11" i="15" s="1"/>
  <c r="Y381" i="15"/>
  <c r="Y383" i="15"/>
  <c r="F15" i="17"/>
  <c r="V381" i="17"/>
  <c r="B64" i="19"/>
  <c r="N64" i="19" s="1"/>
  <c r="V383" i="17"/>
  <c r="V382" i="17"/>
  <c r="AA18" i="20"/>
  <c r="Z18" i="20" s="1"/>
  <c r="Y18" i="20" s="1"/>
  <c r="AA20" i="20"/>
  <c r="Z20" i="20" s="1"/>
  <c r="Y20" i="20" s="1"/>
  <c r="AA363" i="18"/>
  <c r="Z363" i="18" s="1"/>
  <c r="Y363" i="18" s="1"/>
  <c r="H363" i="18"/>
  <c r="G363" i="18"/>
  <c r="CA363" i="6" s="1"/>
  <c r="G302" i="18"/>
  <c r="CA302" i="6" s="1"/>
  <c r="H302" i="18"/>
  <c r="AA302" i="18"/>
  <c r="Z302" i="18" s="1"/>
  <c r="Y302" i="18" s="1"/>
  <c r="G301" i="20"/>
  <c r="CB301" i="6" s="1"/>
  <c r="H301" i="20"/>
  <c r="AA377" i="20"/>
  <c r="Z377" i="20" s="1"/>
  <c r="Y377" i="20" s="1"/>
  <c r="G377" i="20"/>
  <c r="CB377" i="6" s="1"/>
  <c r="H377" i="20"/>
  <c r="G30" i="20"/>
  <c r="CB30" i="6" s="1"/>
  <c r="G99" i="20"/>
  <c r="CB99" i="6" s="1"/>
  <c r="AA99" i="20"/>
  <c r="Z99" i="20" s="1"/>
  <c r="Y99" i="20" s="1"/>
  <c r="H99" i="20"/>
  <c r="G31" i="20"/>
  <c r="CB31" i="6" s="1"/>
  <c r="H31" i="20"/>
  <c r="D66" i="19"/>
  <c r="AA272" i="18"/>
  <c r="Z272" i="18" s="1"/>
  <c r="Y272" i="18" s="1"/>
  <c r="G272" i="18"/>
  <c r="CA272" i="6" s="1"/>
  <c r="H272" i="18"/>
  <c r="J383" i="16"/>
  <c r="J382" i="16"/>
  <c r="J381" i="16"/>
  <c r="I379" i="18"/>
  <c r="J379" i="18"/>
  <c r="AA119" i="18"/>
  <c r="Z119" i="18" s="1"/>
  <c r="Y119" i="18" s="1"/>
  <c r="G119" i="18"/>
  <c r="CA119" i="6" s="1"/>
  <c r="H119" i="18"/>
  <c r="AL8" i="16"/>
  <c r="Y15" i="16"/>
  <c r="Z383" i="16"/>
  <c r="Z382" i="16"/>
  <c r="Z381" i="16"/>
  <c r="Z9" i="16"/>
  <c r="Q7" i="7"/>
  <c r="C7" i="6"/>
  <c r="Q10" i="23"/>
  <c r="S15" i="20"/>
  <c r="T383" i="20"/>
  <c r="T382" i="20"/>
  <c r="U170" i="22"/>
  <c r="T170" i="22" s="1"/>
  <c r="S170" i="22" s="1"/>
  <c r="R170" i="22" s="1"/>
  <c r="U231" i="22"/>
  <c r="T231" i="22" s="1"/>
  <c r="S231" i="22" s="1"/>
  <c r="R231" i="22" s="1"/>
  <c r="U75" i="22"/>
  <c r="T75" i="22" s="1"/>
  <c r="S75" i="22" s="1"/>
  <c r="R75" i="22" s="1"/>
  <c r="P75" i="22" s="1"/>
  <c r="V75" i="22" s="1"/>
  <c r="U181" i="22"/>
  <c r="T181" i="22" s="1"/>
  <c r="S181" i="22" s="1"/>
  <c r="R181" i="22" s="1"/>
  <c r="U356" i="22"/>
  <c r="T356" i="22" s="1"/>
  <c r="S356" i="22" s="1"/>
  <c r="R356" i="22" s="1"/>
  <c r="U197" i="22"/>
  <c r="T197" i="22" s="1"/>
  <c r="S197" i="22" s="1"/>
  <c r="R197" i="22" s="1"/>
  <c r="P197" i="22" s="1"/>
  <c r="V197" i="22" s="1"/>
  <c r="U179" i="22"/>
  <c r="T179" i="22" s="1"/>
  <c r="S179" i="22" s="1"/>
  <c r="R179" i="22" s="1"/>
  <c r="P179" i="22" s="1"/>
  <c r="V179" i="22" s="1"/>
  <c r="U193" i="22"/>
  <c r="T193" i="22" s="1"/>
  <c r="S193" i="22" s="1"/>
  <c r="R193" i="22" s="1"/>
  <c r="U379" i="22"/>
  <c r="AM16" i="7"/>
  <c r="U109" i="22"/>
  <c r="T109" i="22" s="1"/>
  <c r="S109" i="22" s="1"/>
  <c r="R109" i="22" s="1"/>
  <c r="P109" i="22" s="1"/>
  <c r="V109" i="22" s="1"/>
  <c r="U152" i="22"/>
  <c r="T152" i="22" s="1"/>
  <c r="S152" i="22" s="1"/>
  <c r="R152" i="22" s="1"/>
  <c r="P152" i="22" s="1"/>
  <c r="V152" i="22" s="1"/>
  <c r="U233" i="22"/>
  <c r="T233" i="22" s="1"/>
  <c r="S233" i="22" s="1"/>
  <c r="R233" i="22" s="1"/>
  <c r="U291" i="22"/>
  <c r="T291" i="22" s="1"/>
  <c r="S291" i="22" s="1"/>
  <c r="R291" i="22" s="1"/>
  <c r="P291" i="22" s="1"/>
  <c r="V291" i="22" s="1"/>
  <c r="U74" i="22"/>
  <c r="T74" i="22" s="1"/>
  <c r="S74" i="22" s="1"/>
  <c r="R74" i="22" s="1"/>
  <c r="U273" i="22"/>
  <c r="T273" i="22" s="1"/>
  <c r="S273" i="22" s="1"/>
  <c r="R273" i="22" s="1"/>
  <c r="U369" i="22"/>
  <c r="T369" i="22" s="1"/>
  <c r="S369" i="22" s="1"/>
  <c r="R369" i="22" s="1"/>
  <c r="U71" i="22"/>
  <c r="T71" i="22" s="1"/>
  <c r="S71" i="22" s="1"/>
  <c r="R71" i="22" s="1"/>
  <c r="U187" i="22"/>
  <c r="T187" i="22" s="1"/>
  <c r="S187" i="22" s="1"/>
  <c r="R187" i="22" s="1"/>
  <c r="P187" i="22" s="1"/>
  <c r="V187" i="22" s="1"/>
  <c r="U206" i="22"/>
  <c r="T206" i="22" s="1"/>
  <c r="S206" i="22" s="1"/>
  <c r="R206" i="22" s="1"/>
  <c r="U380" i="22"/>
  <c r="T380" i="22" s="1"/>
  <c r="S380" i="22" s="1"/>
  <c r="R380" i="22" s="1"/>
  <c r="U326" i="22"/>
  <c r="T326" i="22" s="1"/>
  <c r="S326" i="22" s="1"/>
  <c r="R326" i="22" s="1"/>
  <c r="P326" i="22" s="1"/>
  <c r="V326" i="22" s="1"/>
  <c r="B326" i="22" s="1"/>
  <c r="U61" i="22"/>
  <c r="T61" i="22" s="1"/>
  <c r="S61" i="22" s="1"/>
  <c r="R61" i="22" s="1"/>
  <c r="U341" i="22"/>
  <c r="T341" i="22" s="1"/>
  <c r="S341" i="22" s="1"/>
  <c r="R341" i="22" s="1"/>
  <c r="U190" i="22"/>
  <c r="T190" i="22" s="1"/>
  <c r="S190" i="22" s="1"/>
  <c r="R190" i="22" s="1"/>
  <c r="U214" i="22"/>
  <c r="T214" i="22" s="1"/>
  <c r="S214" i="22" s="1"/>
  <c r="R214" i="22" s="1"/>
  <c r="U165" i="22"/>
  <c r="T165" i="22" s="1"/>
  <c r="S165" i="22" s="1"/>
  <c r="R165" i="22" s="1"/>
  <c r="P165" i="22" s="1"/>
  <c r="V165" i="22" s="1"/>
  <c r="U257" i="22"/>
  <c r="T257" i="22" s="1"/>
  <c r="S257" i="22" s="1"/>
  <c r="R257" i="22" s="1"/>
  <c r="P257" i="22" s="1"/>
  <c r="V257" i="22" s="1"/>
  <c r="U276" i="22"/>
  <c r="T276" i="22" s="1"/>
  <c r="S276" i="22" s="1"/>
  <c r="R276" i="22" s="1"/>
  <c r="P276" i="22" s="1"/>
  <c r="V276" i="22" s="1"/>
  <c r="U134" i="22"/>
  <c r="T134" i="22" s="1"/>
  <c r="S134" i="22" s="1"/>
  <c r="R134" i="22" s="1"/>
  <c r="U47" i="22"/>
  <c r="T47" i="22" s="1"/>
  <c r="S47" i="22" s="1"/>
  <c r="R47" i="22" s="1"/>
  <c r="U36" i="22"/>
  <c r="T36" i="22" s="1"/>
  <c r="S36" i="22" s="1"/>
  <c r="R36" i="22" s="1"/>
  <c r="P36" i="22" s="1"/>
  <c r="V36" i="22" s="1"/>
  <c r="U345" i="22"/>
  <c r="T345" i="22" s="1"/>
  <c r="S345" i="22" s="1"/>
  <c r="R345" i="22" s="1"/>
  <c r="P345" i="22" s="1"/>
  <c r="V345" i="22" s="1"/>
  <c r="U217" i="22"/>
  <c r="T217" i="22" s="1"/>
  <c r="S217" i="22" s="1"/>
  <c r="R217" i="22" s="1"/>
  <c r="P217" i="22" s="1"/>
  <c r="V217" i="22" s="1"/>
  <c r="U128" i="22"/>
  <c r="T128" i="22" s="1"/>
  <c r="S128" i="22" s="1"/>
  <c r="R128" i="22" s="1"/>
  <c r="P128" i="22" s="1"/>
  <c r="V128" i="22" s="1"/>
  <c r="U241" i="22"/>
  <c r="T241" i="22" s="1"/>
  <c r="S241" i="22" s="1"/>
  <c r="R241" i="22" s="1"/>
  <c r="P241" i="22" s="1"/>
  <c r="U88" i="22"/>
  <c r="T88" i="22" s="1"/>
  <c r="S88" i="22" s="1"/>
  <c r="R88" i="22" s="1"/>
  <c r="P88" i="22" s="1"/>
  <c r="U150" i="22"/>
  <c r="T150" i="22" s="1"/>
  <c r="S150" i="22" s="1"/>
  <c r="R150" i="22" s="1"/>
  <c r="P150" i="22" s="1"/>
  <c r="V150" i="22" s="1"/>
  <c r="U237" i="22"/>
  <c r="T237" i="22" s="1"/>
  <c r="S237" i="22" s="1"/>
  <c r="R237" i="22" s="1"/>
  <c r="P237" i="22" s="1"/>
  <c r="V237" i="22" s="1"/>
  <c r="U135" i="22"/>
  <c r="T135" i="22" s="1"/>
  <c r="S135" i="22" s="1"/>
  <c r="R135" i="22" s="1"/>
  <c r="P135" i="22" s="1"/>
  <c r="V135" i="22" s="1"/>
  <c r="U42" i="22"/>
  <c r="T42" i="22" s="1"/>
  <c r="S42" i="22" s="1"/>
  <c r="R42" i="22" s="1"/>
  <c r="P42" i="22" s="1"/>
  <c r="V42" i="22" s="1"/>
  <c r="U234" i="22"/>
  <c r="T234" i="22" s="1"/>
  <c r="S234" i="22" s="1"/>
  <c r="R234" i="22" s="1"/>
  <c r="P234" i="22" s="1"/>
  <c r="V234" i="22" s="1"/>
  <c r="B234" i="22" s="1"/>
  <c r="U226" i="22"/>
  <c r="T226" i="22" s="1"/>
  <c r="S226" i="22" s="1"/>
  <c r="R226" i="22" s="1"/>
  <c r="P226" i="22" s="1"/>
  <c r="V226" i="22" s="1"/>
  <c r="U350" i="22"/>
  <c r="T350" i="22" s="1"/>
  <c r="S350" i="22" s="1"/>
  <c r="R350" i="22" s="1"/>
  <c r="P350" i="22" s="1"/>
  <c r="V350" i="22" s="1"/>
  <c r="B350" i="22" s="1"/>
  <c r="U78" i="22"/>
  <c r="T78" i="22" s="1"/>
  <c r="S78" i="22" s="1"/>
  <c r="R78" i="22" s="1"/>
  <c r="P78" i="22" s="1"/>
  <c r="V78" i="22" s="1"/>
  <c r="U220" i="22"/>
  <c r="T220" i="22" s="1"/>
  <c r="S220" i="22" s="1"/>
  <c r="R220" i="22" s="1"/>
  <c r="U84" i="22"/>
  <c r="T84" i="22" s="1"/>
  <c r="S84" i="22" s="1"/>
  <c r="R84" i="22" s="1"/>
  <c r="P84" i="22" s="1"/>
  <c r="V84" i="22" s="1"/>
  <c r="G88" i="18"/>
  <c r="CA88" i="6" s="1"/>
  <c r="AA88" i="18"/>
  <c r="Z88" i="18" s="1"/>
  <c r="Y88" i="18" s="1"/>
  <c r="H88" i="18"/>
  <c r="G60" i="18"/>
  <c r="CA60" i="6" s="1"/>
  <c r="H60" i="18"/>
  <c r="AA60" i="18"/>
  <c r="Z60" i="18" s="1"/>
  <c r="Y60" i="18" s="1"/>
  <c r="AA149" i="18"/>
  <c r="Z149" i="18" s="1"/>
  <c r="Y149" i="18" s="1"/>
  <c r="G149" i="18"/>
  <c r="CA149" i="6" s="1"/>
  <c r="H149" i="18"/>
  <c r="AA241" i="18"/>
  <c r="Z241" i="18" s="1"/>
  <c r="Y241" i="18" s="1"/>
  <c r="G241" i="18"/>
  <c r="CA241" i="6" s="1"/>
  <c r="H241" i="18"/>
  <c r="G180" i="18"/>
  <c r="CA180" i="6" s="1"/>
  <c r="AA180" i="18"/>
  <c r="Z180" i="18" s="1"/>
  <c r="Y180" i="18" s="1"/>
  <c r="H180" i="18"/>
  <c r="AI381" i="20"/>
  <c r="AH15" i="20"/>
  <c r="AI383" i="20"/>
  <c r="AI382" i="20"/>
  <c r="AI12" i="22"/>
  <c r="AH379" i="20"/>
  <c r="AG379" i="20" s="1"/>
  <c r="AF379" i="20" s="1"/>
  <c r="AD379" i="20" s="1"/>
  <c r="AA210" i="18"/>
  <c r="Z210" i="18" s="1"/>
  <c r="Y210" i="18" s="1"/>
  <c r="G210" i="18"/>
  <c r="CA210" i="6" s="1"/>
  <c r="H210" i="18"/>
  <c r="I29" i="18"/>
  <c r="J29" i="18"/>
  <c r="E66" i="19"/>
  <c r="G90" i="20"/>
  <c r="CB90" i="6" s="1"/>
  <c r="H90" i="20"/>
  <c r="AA27" i="20"/>
  <c r="Z27" i="20" s="1"/>
  <c r="Y27" i="20" s="1"/>
  <c r="G27" i="20"/>
  <c r="CB27" i="6" s="1"/>
  <c r="H27" i="20"/>
  <c r="G32" i="20"/>
  <c r="CB32" i="6" s="1"/>
  <c r="AA32" i="20"/>
  <c r="Z32" i="20" s="1"/>
  <c r="Y32" i="20" s="1"/>
  <c r="H32" i="20"/>
  <c r="W363" i="20"/>
  <c r="D363" i="20"/>
  <c r="E363" i="20" s="1"/>
  <c r="F363" i="20" s="1"/>
  <c r="G33" i="20"/>
  <c r="CB33" i="6" s="1"/>
  <c r="H33" i="20"/>
  <c r="AA33" i="20"/>
  <c r="Z33" i="20" s="1"/>
  <c r="Y33" i="20" s="1"/>
  <c r="H333" i="18"/>
  <c r="AA333" i="18"/>
  <c r="Z333" i="18" s="1"/>
  <c r="Y333" i="18" s="1"/>
  <c r="G333" i="18"/>
  <c r="CA333" i="6" s="1"/>
  <c r="R381" i="18"/>
  <c r="R383" i="18"/>
  <c r="R382" i="18"/>
  <c r="P15" i="18"/>
  <c r="I383" i="16"/>
  <c r="I381" i="16"/>
  <c r="I382" i="16"/>
  <c r="AA104" i="18"/>
  <c r="Z104" i="18" s="1"/>
  <c r="Y104" i="18" s="1"/>
  <c r="AD381" i="18"/>
  <c r="AD382" i="18"/>
  <c r="AD383" i="18"/>
  <c r="AJ3" i="16"/>
  <c r="O13" i="19" s="1"/>
  <c r="AE383" i="22" l="1"/>
  <c r="D167" i="20"/>
  <c r="E167" i="20" s="1"/>
  <c r="F167" i="20" s="1"/>
  <c r="W364" i="20"/>
  <c r="W318" i="20"/>
  <c r="W259" i="20"/>
  <c r="W206" i="20"/>
  <c r="W306" i="20"/>
  <c r="W220" i="20"/>
  <c r="D218" i="20"/>
  <c r="E218" i="20" s="1"/>
  <c r="F218" i="20" s="1"/>
  <c r="W362" i="20"/>
  <c r="D101" i="20"/>
  <c r="E101" i="20" s="1"/>
  <c r="F101" i="20" s="1"/>
  <c r="D304" i="20"/>
  <c r="E304" i="20" s="1"/>
  <c r="F304" i="20" s="1"/>
  <c r="W284" i="20"/>
  <c r="W152" i="20"/>
  <c r="B152" i="22"/>
  <c r="D305" i="20"/>
  <c r="E305" i="20" s="1"/>
  <c r="F305" i="20" s="1"/>
  <c r="W46" i="20"/>
  <c r="W371" i="20"/>
  <c r="W45" i="20"/>
  <c r="W41" i="20"/>
  <c r="D79" i="20"/>
  <c r="E79" i="20" s="1"/>
  <c r="F79" i="20" s="1"/>
  <c r="W343" i="20"/>
  <c r="D346" i="20"/>
  <c r="E346" i="20" s="1"/>
  <c r="F346" i="20" s="1"/>
  <c r="W168" i="20"/>
  <c r="W63" i="20"/>
  <c r="D290" i="20"/>
  <c r="E290" i="20" s="1"/>
  <c r="F290" i="20" s="1"/>
  <c r="D309" i="20"/>
  <c r="E309" i="20" s="1"/>
  <c r="F309" i="20" s="1"/>
  <c r="D81" i="20"/>
  <c r="E81" i="20" s="1"/>
  <c r="F81" i="20" s="1"/>
  <c r="D72" i="20"/>
  <c r="E72" i="20" s="1"/>
  <c r="F72" i="20" s="1"/>
  <c r="D253" i="20"/>
  <c r="E253" i="20" s="1"/>
  <c r="F253" i="20" s="1"/>
  <c r="W57" i="20"/>
  <c r="D56" i="20"/>
  <c r="E56" i="20" s="1"/>
  <c r="F56" i="20" s="1"/>
  <c r="W146" i="20"/>
  <c r="W297" i="20"/>
  <c r="D280" i="20"/>
  <c r="E280" i="20" s="1"/>
  <c r="F280" i="20" s="1"/>
  <c r="B84" i="22"/>
  <c r="D43" i="20"/>
  <c r="E43" i="20" s="1"/>
  <c r="F43" i="20" s="1"/>
  <c r="B179" i="22"/>
  <c r="D254" i="20"/>
  <c r="E254" i="20" s="1"/>
  <c r="F254" i="20" s="1"/>
  <c r="D177" i="20"/>
  <c r="E177" i="20" s="1"/>
  <c r="F177" i="20" s="1"/>
  <c r="D59" i="20"/>
  <c r="E59" i="20" s="1"/>
  <c r="F59" i="20" s="1"/>
  <c r="D376" i="20"/>
  <c r="E376" i="20" s="1"/>
  <c r="F376" i="20" s="1"/>
  <c r="D194" i="20"/>
  <c r="E194" i="20" s="1"/>
  <c r="F194" i="20" s="1"/>
  <c r="W127" i="20"/>
  <c r="D50" i="20"/>
  <c r="E50" i="20" s="1"/>
  <c r="F50" i="20" s="1"/>
  <c r="W378" i="20"/>
  <c r="W276" i="20"/>
  <c r="B276" i="22"/>
  <c r="D261" i="20"/>
  <c r="E261" i="20" s="1"/>
  <c r="F261" i="20" s="1"/>
  <c r="D134" i="20"/>
  <c r="E134" i="20" s="1"/>
  <c r="F134" i="20" s="1"/>
  <c r="W67" i="20"/>
  <c r="D229" i="20"/>
  <c r="E229" i="20" s="1"/>
  <c r="F229" i="20" s="1"/>
  <c r="D66" i="20"/>
  <c r="E66" i="20" s="1"/>
  <c r="F66" i="20" s="1"/>
  <c r="W317" i="20"/>
  <c r="D223" i="20"/>
  <c r="E223" i="20" s="1"/>
  <c r="F223" i="20" s="1"/>
  <c r="W275" i="20"/>
  <c r="D212" i="20"/>
  <c r="E212" i="20" s="1"/>
  <c r="F212" i="20" s="1"/>
  <c r="D235" i="20"/>
  <c r="E235" i="20" s="1"/>
  <c r="F235" i="20" s="1"/>
  <c r="D287" i="20"/>
  <c r="E287" i="20" s="1"/>
  <c r="F287" i="20" s="1"/>
  <c r="W291" i="20"/>
  <c r="B291" i="22"/>
  <c r="D245" i="20"/>
  <c r="E245" i="20" s="1"/>
  <c r="F245" i="20" s="1"/>
  <c r="W159" i="20"/>
  <c r="D196" i="20"/>
  <c r="E196" i="20" s="1"/>
  <c r="F196" i="20" s="1"/>
  <c r="D230" i="20"/>
  <c r="E230" i="20" s="1"/>
  <c r="F230" i="20" s="1"/>
  <c r="D296" i="20"/>
  <c r="E296" i="20" s="1"/>
  <c r="F296" i="20" s="1"/>
  <c r="W36" i="20"/>
  <c r="B36" i="22"/>
  <c r="D227" i="20"/>
  <c r="E227" i="20" s="1"/>
  <c r="F227" i="20" s="1"/>
  <c r="W107" i="20"/>
  <c r="D373" i="20"/>
  <c r="E373" i="20" s="1"/>
  <c r="F373" i="20" s="1"/>
  <c r="D123" i="20"/>
  <c r="E123" i="20" s="1"/>
  <c r="F123" i="20" s="1"/>
  <c r="W185" i="20"/>
  <c r="W257" i="20"/>
  <c r="B257" i="22"/>
  <c r="W83" i="20"/>
  <c r="W313" i="20"/>
  <c r="B42" i="22"/>
  <c r="D288" i="20"/>
  <c r="E288" i="20" s="1"/>
  <c r="F288" i="20" s="1"/>
  <c r="W171" i="20"/>
  <c r="D300" i="20"/>
  <c r="E300" i="20" s="1"/>
  <c r="F300" i="20" s="1"/>
  <c r="D48" i="20"/>
  <c r="E48" i="20" s="1"/>
  <c r="F48" i="20" s="1"/>
  <c r="D139" i="20"/>
  <c r="E139" i="20" s="1"/>
  <c r="F139" i="20" s="1"/>
  <c r="D360" i="20"/>
  <c r="E360" i="20" s="1"/>
  <c r="F360" i="20" s="1"/>
  <c r="W368" i="20"/>
  <c r="D112" i="20"/>
  <c r="E112" i="20" s="1"/>
  <c r="F112" i="20" s="1"/>
  <c r="W334" i="20"/>
  <c r="D116" i="20"/>
  <c r="E116" i="20" s="1"/>
  <c r="F116" i="20" s="1"/>
  <c r="W269" i="20"/>
  <c r="D61" i="20"/>
  <c r="E61" i="20" s="1"/>
  <c r="F61" i="20" s="1"/>
  <c r="D111" i="20"/>
  <c r="E111" i="20" s="1"/>
  <c r="F111" i="20" s="1"/>
  <c r="W49" i="20"/>
  <c r="W76" i="20"/>
  <c r="W358" i="20"/>
  <c r="D38" i="20"/>
  <c r="E38" i="20" s="1"/>
  <c r="F38" i="20" s="1"/>
  <c r="D39" i="20"/>
  <c r="E39" i="20" s="1"/>
  <c r="F39" i="20" s="1"/>
  <c r="D281" i="20"/>
  <c r="E281" i="20" s="1"/>
  <c r="F281" i="20" s="1"/>
  <c r="D121" i="20"/>
  <c r="E121" i="20" s="1"/>
  <c r="F121" i="20" s="1"/>
  <c r="W250" i="20"/>
  <c r="D98" i="20"/>
  <c r="E98" i="20" s="1"/>
  <c r="F98" i="20" s="1"/>
  <c r="D216" i="20"/>
  <c r="E216" i="20" s="1"/>
  <c r="F216" i="20" s="1"/>
  <c r="B135" i="22"/>
  <c r="D150" i="20"/>
  <c r="E150" i="20" s="1"/>
  <c r="F150" i="20" s="1"/>
  <c r="B150" i="22"/>
  <c r="D189" i="20"/>
  <c r="E189" i="20" s="1"/>
  <c r="F189" i="20" s="1"/>
  <c r="W268" i="20"/>
  <c r="D75" i="20"/>
  <c r="E75" i="20" s="1"/>
  <c r="F75" i="20" s="1"/>
  <c r="B75" i="22"/>
  <c r="D145" i="20"/>
  <c r="E145" i="20" s="1"/>
  <c r="F145" i="20" s="1"/>
  <c r="U156" i="22"/>
  <c r="T156" i="22" s="1"/>
  <c r="S156" i="22" s="1"/>
  <c r="R156" i="22" s="1"/>
  <c r="P156" i="22" s="1"/>
  <c r="V156" i="22" s="1"/>
  <c r="B156" i="22" s="1"/>
  <c r="U114" i="22"/>
  <c r="T114" i="22" s="1"/>
  <c r="S114" i="22" s="1"/>
  <c r="R114" i="22" s="1"/>
  <c r="P114" i="22" s="1"/>
  <c r="V114" i="22" s="1"/>
  <c r="U235" i="22"/>
  <c r="T235" i="22" s="1"/>
  <c r="S235" i="22" s="1"/>
  <c r="R235" i="22" s="1"/>
  <c r="P235" i="22" s="1"/>
  <c r="V235" i="22" s="1"/>
  <c r="B235" i="22" s="1"/>
  <c r="U368" i="22"/>
  <c r="T368" i="22" s="1"/>
  <c r="S368" i="22" s="1"/>
  <c r="R368" i="22" s="1"/>
  <c r="P368" i="22" s="1"/>
  <c r="V368" i="22" s="1"/>
  <c r="B368" i="22" s="1"/>
  <c r="U323" i="22"/>
  <c r="T323" i="22" s="1"/>
  <c r="S323" i="22" s="1"/>
  <c r="R323" i="22" s="1"/>
  <c r="P323" i="22" s="1"/>
  <c r="V323" i="22" s="1"/>
  <c r="B323" i="22" s="1"/>
  <c r="U162" i="22"/>
  <c r="T162" i="22" s="1"/>
  <c r="S162" i="22" s="1"/>
  <c r="R162" i="22" s="1"/>
  <c r="P162" i="22" s="1"/>
  <c r="V162" i="22" s="1"/>
  <c r="B162" i="22" s="1"/>
  <c r="U332" i="22"/>
  <c r="T332" i="22" s="1"/>
  <c r="S332" i="22" s="1"/>
  <c r="R332" i="22" s="1"/>
  <c r="P332" i="22" s="1"/>
  <c r="V332" i="22" s="1"/>
  <c r="U248" i="22"/>
  <c r="T248" i="22" s="1"/>
  <c r="S248" i="22" s="1"/>
  <c r="R248" i="22" s="1"/>
  <c r="P248" i="22" s="1"/>
  <c r="V248" i="22" s="1"/>
  <c r="B248" i="22" s="1"/>
  <c r="U63" i="22"/>
  <c r="T63" i="22" s="1"/>
  <c r="S63" i="22" s="1"/>
  <c r="R63" i="22" s="1"/>
  <c r="P63" i="22" s="1"/>
  <c r="V63" i="22" s="1"/>
  <c r="B63" i="22" s="1"/>
  <c r="U342" i="22"/>
  <c r="T342" i="22" s="1"/>
  <c r="S342" i="22" s="1"/>
  <c r="R342" i="22" s="1"/>
  <c r="P342" i="22" s="1"/>
  <c r="V342" i="22" s="1"/>
  <c r="B342" i="22" s="1"/>
  <c r="U95" i="22"/>
  <c r="T95" i="22" s="1"/>
  <c r="S95" i="22" s="1"/>
  <c r="R95" i="22" s="1"/>
  <c r="P95" i="22" s="1"/>
  <c r="V95" i="22" s="1"/>
  <c r="B95" i="22" s="1"/>
  <c r="U66" i="22"/>
  <c r="T66" i="22" s="1"/>
  <c r="S66" i="22" s="1"/>
  <c r="R66" i="22" s="1"/>
  <c r="P66" i="22" s="1"/>
  <c r="V66" i="22" s="1"/>
  <c r="B66" i="22" s="1"/>
  <c r="U216" i="22"/>
  <c r="T216" i="22" s="1"/>
  <c r="S216" i="22" s="1"/>
  <c r="R216" i="22" s="1"/>
  <c r="P216" i="22" s="1"/>
  <c r="V216" i="22" s="1"/>
  <c r="B216" i="22" s="1"/>
  <c r="U264" i="22"/>
  <c r="T264" i="22" s="1"/>
  <c r="S264" i="22" s="1"/>
  <c r="R264" i="22" s="1"/>
  <c r="P264" i="22" s="1"/>
  <c r="V264" i="22" s="1"/>
  <c r="U352" i="22"/>
  <c r="T352" i="22" s="1"/>
  <c r="S352" i="22" s="1"/>
  <c r="R352" i="22" s="1"/>
  <c r="U80" i="22"/>
  <c r="T80" i="22" s="1"/>
  <c r="S80" i="22" s="1"/>
  <c r="R80" i="22" s="1"/>
  <c r="P80" i="22" s="1"/>
  <c r="V80" i="22" s="1"/>
  <c r="U227" i="22"/>
  <c r="T227" i="22" s="1"/>
  <c r="S227" i="22" s="1"/>
  <c r="R227" i="22" s="1"/>
  <c r="P227" i="22" s="1"/>
  <c r="V227" i="22" s="1"/>
  <c r="B227" i="22" s="1"/>
  <c r="U26" i="22"/>
  <c r="T26" i="22" s="1"/>
  <c r="S26" i="22" s="1"/>
  <c r="R26" i="22" s="1"/>
  <c r="U360" i="22"/>
  <c r="T360" i="22" s="1"/>
  <c r="S360" i="22" s="1"/>
  <c r="R360" i="22" s="1"/>
  <c r="U348" i="22"/>
  <c r="T348" i="22" s="1"/>
  <c r="S348" i="22" s="1"/>
  <c r="R348" i="22" s="1"/>
  <c r="U32" i="22"/>
  <c r="T32" i="22" s="1"/>
  <c r="S32" i="22" s="1"/>
  <c r="R32" i="22" s="1"/>
  <c r="U331" i="22"/>
  <c r="T331" i="22" s="1"/>
  <c r="S331" i="22" s="1"/>
  <c r="R331" i="22" s="1"/>
  <c r="U127" i="22"/>
  <c r="T127" i="22" s="1"/>
  <c r="S127" i="22" s="1"/>
  <c r="R127" i="22" s="1"/>
  <c r="U58" i="22"/>
  <c r="T58" i="22" s="1"/>
  <c r="S58" i="22" s="1"/>
  <c r="R58" i="22" s="1"/>
  <c r="P58" i="22" s="1"/>
  <c r="V58" i="22" s="1"/>
  <c r="U25" i="22"/>
  <c r="T25" i="22" s="1"/>
  <c r="S25" i="22" s="1"/>
  <c r="R25" i="22" s="1"/>
  <c r="P25" i="22" s="1"/>
  <c r="V25" i="22" s="1"/>
  <c r="B25" i="22" s="1"/>
  <c r="U370" i="22"/>
  <c r="T370" i="22" s="1"/>
  <c r="S370" i="22" s="1"/>
  <c r="R370" i="22" s="1"/>
  <c r="P370" i="22" s="1"/>
  <c r="V370" i="22" s="1"/>
  <c r="B370" i="22" s="1"/>
  <c r="U72" i="22"/>
  <c r="T72" i="22" s="1"/>
  <c r="S72" i="22" s="1"/>
  <c r="R72" i="22" s="1"/>
  <c r="P72" i="22" s="1"/>
  <c r="V72" i="22" s="1"/>
  <c r="B72" i="22" s="1"/>
  <c r="U45" i="22"/>
  <c r="T45" i="22" s="1"/>
  <c r="S45" i="22" s="1"/>
  <c r="R45" i="22" s="1"/>
  <c r="P45" i="22" s="1"/>
  <c r="V45" i="22" s="1"/>
  <c r="B45" i="22" s="1"/>
  <c r="U116" i="22"/>
  <c r="T116" i="22" s="1"/>
  <c r="S116" i="22" s="1"/>
  <c r="R116" i="22" s="1"/>
  <c r="U315" i="22"/>
  <c r="T315" i="22" s="1"/>
  <c r="S315" i="22" s="1"/>
  <c r="R315" i="22" s="1"/>
  <c r="P315" i="22" s="1"/>
  <c r="V315" i="22" s="1"/>
  <c r="U174" i="22"/>
  <c r="T174" i="22" s="1"/>
  <c r="S174" i="22" s="1"/>
  <c r="R174" i="22" s="1"/>
  <c r="U249" i="22"/>
  <c r="T249" i="22" s="1"/>
  <c r="S249" i="22" s="1"/>
  <c r="R249" i="22" s="1"/>
  <c r="P249" i="22" s="1"/>
  <c r="V249" i="22" s="1"/>
  <c r="U40" i="22"/>
  <c r="T40" i="22" s="1"/>
  <c r="S40" i="22" s="1"/>
  <c r="R40" i="22" s="1"/>
  <c r="U244" i="22"/>
  <c r="T244" i="22" s="1"/>
  <c r="S244" i="22" s="1"/>
  <c r="R244" i="22" s="1"/>
  <c r="P244" i="22" s="1"/>
  <c r="V244" i="22" s="1"/>
  <c r="U260" i="22"/>
  <c r="T260" i="22" s="1"/>
  <c r="S260" i="22" s="1"/>
  <c r="R260" i="22" s="1"/>
  <c r="P260" i="22" s="1"/>
  <c r="V260" i="22" s="1"/>
  <c r="B260" i="22" s="1"/>
  <c r="U251" i="22"/>
  <c r="T251" i="22" s="1"/>
  <c r="S251" i="22" s="1"/>
  <c r="R251" i="22" s="1"/>
  <c r="P251" i="22" s="1"/>
  <c r="V251" i="22" s="1"/>
  <c r="U199" i="22"/>
  <c r="T199" i="22" s="1"/>
  <c r="S199" i="22" s="1"/>
  <c r="R199" i="22" s="1"/>
  <c r="U97" i="22"/>
  <c r="T97" i="22" s="1"/>
  <c r="S97" i="22" s="1"/>
  <c r="R97" i="22" s="1"/>
  <c r="P97" i="22" s="1"/>
  <c r="V97" i="22" s="1"/>
  <c r="U351" i="22"/>
  <c r="T351" i="22" s="1"/>
  <c r="S351" i="22" s="1"/>
  <c r="R351" i="22" s="1"/>
  <c r="U178" i="22"/>
  <c r="T178" i="22" s="1"/>
  <c r="S178" i="22" s="1"/>
  <c r="R178" i="22" s="1"/>
  <c r="P178" i="22" s="1"/>
  <c r="V178" i="22" s="1"/>
  <c r="B178" i="22" s="1"/>
  <c r="U247" i="22"/>
  <c r="T247" i="22" s="1"/>
  <c r="S247" i="22" s="1"/>
  <c r="R247" i="22" s="1"/>
  <c r="U154" i="22"/>
  <c r="T154" i="22" s="1"/>
  <c r="S154" i="22" s="1"/>
  <c r="R154" i="22" s="1"/>
  <c r="P154" i="22" s="1"/>
  <c r="V154" i="22" s="1"/>
  <c r="U309" i="22"/>
  <c r="T309" i="22" s="1"/>
  <c r="S309" i="22" s="1"/>
  <c r="R309" i="22" s="1"/>
  <c r="U65" i="22"/>
  <c r="T65" i="22" s="1"/>
  <c r="S65" i="22" s="1"/>
  <c r="R65" i="22" s="1"/>
  <c r="P65" i="22" s="1"/>
  <c r="V65" i="22" s="1"/>
  <c r="U195" i="22"/>
  <c r="T195" i="22" s="1"/>
  <c r="S195" i="22" s="1"/>
  <c r="R195" i="22" s="1"/>
  <c r="D29" i="20"/>
  <c r="E29" i="20" s="1"/>
  <c r="F29" i="20" s="1"/>
  <c r="D87" i="20"/>
  <c r="E87" i="20" s="1"/>
  <c r="F87" i="20" s="1"/>
  <c r="B114" i="22"/>
  <c r="W173" i="20"/>
  <c r="W58" i="20"/>
  <c r="B58" i="22"/>
  <c r="B244" i="22"/>
  <c r="D310" i="20"/>
  <c r="E310" i="20" s="1"/>
  <c r="F310" i="20" s="1"/>
  <c r="W375" i="20"/>
  <c r="D69" i="20"/>
  <c r="E69" i="20" s="1"/>
  <c r="F69" i="20" s="1"/>
  <c r="D357" i="20"/>
  <c r="E357" i="20" s="1"/>
  <c r="F357" i="20" s="1"/>
  <c r="W225" i="20"/>
  <c r="W311" i="20"/>
  <c r="W68" i="20"/>
  <c r="W129" i="20"/>
  <c r="W351" i="20"/>
  <c r="W327" i="20"/>
  <c r="D285" i="20"/>
  <c r="E285" i="20" s="1"/>
  <c r="F285" i="20" s="1"/>
  <c r="W277" i="20"/>
  <c r="W174" i="20"/>
  <c r="B226" i="22"/>
  <c r="W354" i="20"/>
  <c r="D155" i="20"/>
  <c r="E155" i="20" s="1"/>
  <c r="F155" i="20" s="1"/>
  <c r="D197" i="20"/>
  <c r="E197" i="20" s="1"/>
  <c r="F197" i="20" s="1"/>
  <c r="B197" i="22"/>
  <c r="W124" i="20"/>
  <c r="W246" i="20"/>
  <c r="D191" i="20"/>
  <c r="E191" i="20" s="1"/>
  <c r="F191" i="20" s="1"/>
  <c r="D118" i="20"/>
  <c r="E118" i="20" s="1"/>
  <c r="F118" i="20" s="1"/>
  <c r="B251" i="22"/>
  <c r="W170" i="20"/>
  <c r="W328" i="20"/>
  <c r="W188" i="20"/>
  <c r="W154" i="20"/>
  <c r="B154" i="22"/>
  <c r="D315" i="20"/>
  <c r="E315" i="20" s="1"/>
  <c r="F315" i="20" s="1"/>
  <c r="B315" i="22"/>
  <c r="D265" i="20"/>
  <c r="E265" i="20" s="1"/>
  <c r="F265" i="20" s="1"/>
  <c r="W105" i="20"/>
  <c r="D77" i="20"/>
  <c r="E77" i="20" s="1"/>
  <c r="F77" i="20" s="1"/>
  <c r="W157" i="20"/>
  <c r="W128" i="20"/>
  <c r="B128" i="22"/>
  <c r="W316" i="20"/>
  <c r="D335" i="20"/>
  <c r="E335" i="20" s="1"/>
  <c r="F335" i="20" s="1"/>
  <c r="D78" i="20"/>
  <c r="E78" i="20" s="1"/>
  <c r="F78" i="20" s="1"/>
  <c r="B78" i="22"/>
  <c r="D367" i="20"/>
  <c r="E367" i="20" s="1"/>
  <c r="F367" i="20" s="1"/>
  <c r="D181" i="20"/>
  <c r="E181" i="20" s="1"/>
  <c r="F181" i="20" s="1"/>
  <c r="W165" i="20"/>
  <c r="B165" i="22"/>
  <c r="W272" i="20"/>
  <c r="D113" i="20"/>
  <c r="E113" i="20" s="1"/>
  <c r="F113" i="20" s="1"/>
  <c r="B237" i="22"/>
  <c r="W355" i="20"/>
  <c r="D106" i="20"/>
  <c r="E106" i="20" s="1"/>
  <c r="F106" i="20" s="1"/>
  <c r="W243" i="20"/>
  <c r="D151" i="20"/>
  <c r="E151" i="20" s="1"/>
  <c r="F151" i="20" s="1"/>
  <c r="D273" i="20"/>
  <c r="E273" i="20" s="1"/>
  <c r="F273" i="20" s="1"/>
  <c r="D138" i="20"/>
  <c r="E138" i="20" s="1"/>
  <c r="F138" i="20" s="1"/>
  <c r="W330" i="20"/>
  <c r="W332" i="20"/>
  <c r="B332" i="22"/>
  <c r="D337" i="20"/>
  <c r="E337" i="20" s="1"/>
  <c r="F337" i="20" s="1"/>
  <c r="D97" i="20"/>
  <c r="E97" i="20" s="1"/>
  <c r="F97" i="20" s="1"/>
  <c r="B97" i="22"/>
  <c r="W65" i="20"/>
  <c r="B65" i="22"/>
  <c r="W345" i="20"/>
  <c r="B345" i="22"/>
  <c r="W336" i="20"/>
  <c r="W73" i="20"/>
  <c r="B264" i="22"/>
  <c r="D293" i="20"/>
  <c r="E293" i="20" s="1"/>
  <c r="F293" i="20" s="1"/>
  <c r="W192" i="20"/>
  <c r="D267" i="20"/>
  <c r="E267" i="20" s="1"/>
  <c r="F267" i="20" s="1"/>
  <c r="D163" i="20"/>
  <c r="E163" i="20" s="1"/>
  <c r="F163" i="20" s="1"/>
  <c r="D228" i="20"/>
  <c r="E228" i="20" s="1"/>
  <c r="F228" i="20" s="1"/>
  <c r="D153" i="20"/>
  <c r="E153" i="20" s="1"/>
  <c r="F153" i="20" s="1"/>
  <c r="W74" i="20"/>
  <c r="W374" i="20"/>
  <c r="W200" i="20"/>
  <c r="W80" i="20"/>
  <c r="B80" i="22"/>
  <c r="D85" i="20"/>
  <c r="E85" i="20" s="1"/>
  <c r="F85" i="20" s="1"/>
  <c r="W184" i="20"/>
  <c r="W201" i="20"/>
  <c r="W338" i="20"/>
  <c r="W312" i="20"/>
  <c r="W89" i="20"/>
  <c r="D164" i="20"/>
  <c r="E164" i="20" s="1"/>
  <c r="F164" i="20" s="1"/>
  <c r="D137" i="20"/>
  <c r="E137" i="20" s="1"/>
  <c r="F137" i="20" s="1"/>
  <c r="D341" i="20"/>
  <c r="E341" i="20" s="1"/>
  <c r="F341" i="20" s="1"/>
  <c r="D308" i="20"/>
  <c r="E308" i="20" s="1"/>
  <c r="F308" i="20" s="1"/>
  <c r="W279" i="20"/>
  <c r="D144" i="20"/>
  <c r="E144" i="20" s="1"/>
  <c r="F144" i="20" s="1"/>
  <c r="W64" i="20"/>
  <c r="D109" i="20"/>
  <c r="E109" i="20" s="1"/>
  <c r="F109" i="20" s="1"/>
  <c r="B109" i="22"/>
  <c r="D263" i="20"/>
  <c r="E263" i="20" s="1"/>
  <c r="F263" i="20" s="1"/>
  <c r="W186" i="20"/>
  <c r="W347" i="20"/>
  <c r="W169" i="20"/>
  <c r="W217" i="20"/>
  <c r="B217" i="22"/>
  <c r="W278" i="20"/>
  <c r="D187" i="20"/>
  <c r="E187" i="20" s="1"/>
  <c r="F187" i="20" s="1"/>
  <c r="B187" i="22"/>
  <c r="D195" i="20"/>
  <c r="E195" i="20" s="1"/>
  <c r="F195" i="20" s="1"/>
  <c r="B249" i="22"/>
  <c r="B379" i="20"/>
  <c r="W44" i="20"/>
  <c r="D44" i="20"/>
  <c r="E44" i="20" s="1"/>
  <c r="F44" i="20" s="1"/>
  <c r="G44" i="20" s="1"/>
  <c r="CB44" i="6" s="1"/>
  <c r="D349" i="20"/>
  <c r="E349" i="20" s="1"/>
  <c r="F349" i="20" s="1"/>
  <c r="W349" i="20"/>
  <c r="W51" i="20"/>
  <c r="D51" i="20"/>
  <c r="E51" i="20" s="1"/>
  <c r="F51" i="20" s="1"/>
  <c r="W125" i="20"/>
  <c r="D125" i="20"/>
  <c r="E125" i="20" s="1"/>
  <c r="F125" i="20" s="1"/>
  <c r="G125" i="20" s="1"/>
  <c r="CB125" i="6" s="1"/>
  <c r="D314" i="20"/>
  <c r="E314" i="20" s="1"/>
  <c r="F314" i="20" s="1"/>
  <c r="W314" i="20"/>
  <c r="D54" i="20"/>
  <c r="E54" i="20" s="1"/>
  <c r="F54" i="20" s="1"/>
  <c r="W54" i="20"/>
  <c r="D283" i="20"/>
  <c r="E283" i="20" s="1"/>
  <c r="F283" i="20" s="1"/>
  <c r="W283" i="20"/>
  <c r="W240" i="20"/>
  <c r="D240" i="20"/>
  <c r="E240" i="20" s="1"/>
  <c r="F240" i="20" s="1"/>
  <c r="G240" i="20" s="1"/>
  <c r="CB240" i="6" s="1"/>
  <c r="D236" i="20"/>
  <c r="E236" i="20" s="1"/>
  <c r="F236" i="20" s="1"/>
  <c r="W236" i="20"/>
  <c r="D198" i="20"/>
  <c r="E198" i="20" s="1"/>
  <c r="F198" i="20" s="1"/>
  <c r="W198" i="20"/>
  <c r="D209" i="20"/>
  <c r="E209" i="20" s="1"/>
  <c r="F209" i="20" s="1"/>
  <c r="W209" i="20"/>
  <c r="D372" i="20"/>
  <c r="E372" i="20" s="1"/>
  <c r="F372" i="20" s="1"/>
  <c r="W372" i="20"/>
  <c r="D348" i="20"/>
  <c r="E348" i="20" s="1"/>
  <c r="F348" i="20" s="1"/>
  <c r="W348" i="20"/>
  <c r="D331" i="20"/>
  <c r="E331" i="20" s="1"/>
  <c r="F331" i="20" s="1"/>
  <c r="W331" i="20"/>
  <c r="D324" i="20"/>
  <c r="E324" i="20" s="1"/>
  <c r="F324" i="20" s="1"/>
  <c r="W324" i="20"/>
  <c r="W84" i="20"/>
  <c r="D84" i="20"/>
  <c r="E84" i="20" s="1"/>
  <c r="F84" i="20" s="1"/>
  <c r="G84" i="20" s="1"/>
  <c r="CB84" i="6" s="1"/>
  <c r="D179" i="20"/>
  <c r="E179" i="20" s="1"/>
  <c r="F179" i="20" s="1"/>
  <c r="W179" i="20"/>
  <c r="D321" i="20"/>
  <c r="E321" i="20" s="1"/>
  <c r="F321" i="20" s="1"/>
  <c r="W321" i="20"/>
  <c r="D203" i="20"/>
  <c r="E203" i="20" s="1"/>
  <c r="F203" i="20" s="1"/>
  <c r="W203" i="20"/>
  <c r="W307" i="20"/>
  <c r="D307" i="20"/>
  <c r="E307" i="20" s="1"/>
  <c r="F307" i="20" s="1"/>
  <c r="D369" i="20"/>
  <c r="E369" i="20" s="1"/>
  <c r="F369" i="20" s="1"/>
  <c r="W369" i="20"/>
  <c r="D40" i="20"/>
  <c r="E40" i="20" s="1"/>
  <c r="F40" i="20" s="1"/>
  <c r="W40" i="20"/>
  <c r="D156" i="20"/>
  <c r="E156" i="20" s="1"/>
  <c r="F156" i="20" s="1"/>
  <c r="W156" i="20"/>
  <c r="W274" i="20"/>
  <c r="D274" i="20"/>
  <c r="E274" i="20" s="1"/>
  <c r="F274" i="20" s="1"/>
  <c r="D122" i="20"/>
  <c r="E122" i="20" s="1"/>
  <c r="F122" i="20" s="1"/>
  <c r="W122" i="20"/>
  <c r="W86" i="20"/>
  <c r="D86" i="20"/>
  <c r="E86" i="20" s="1"/>
  <c r="F86" i="20" s="1"/>
  <c r="W96" i="20"/>
  <c r="D96" i="20"/>
  <c r="E96" i="20" s="1"/>
  <c r="F96" i="20" s="1"/>
  <c r="W208" i="20"/>
  <c r="D208" i="20"/>
  <c r="E208" i="20" s="1"/>
  <c r="F208" i="20" s="1"/>
  <c r="AA208" i="20" s="1"/>
  <c r="Z208" i="20" s="1"/>
  <c r="Y208" i="20" s="1"/>
  <c r="D370" i="20"/>
  <c r="E370" i="20" s="1"/>
  <c r="F370" i="20" s="1"/>
  <c r="W370" i="20"/>
  <c r="D104" i="20"/>
  <c r="E104" i="20" s="1"/>
  <c r="F104" i="20" s="1"/>
  <c r="W104" i="20"/>
  <c r="W42" i="20"/>
  <c r="D42" i="20"/>
  <c r="E42" i="20" s="1"/>
  <c r="F42" i="20" s="1"/>
  <c r="AA42" i="20" s="1"/>
  <c r="Z42" i="20" s="1"/>
  <c r="Y42" i="20" s="1"/>
  <c r="D182" i="20"/>
  <c r="E182" i="20" s="1"/>
  <c r="F182" i="20" s="1"/>
  <c r="W182" i="20"/>
  <c r="W162" i="20"/>
  <c r="D162" i="20"/>
  <c r="E162" i="20" s="1"/>
  <c r="F162" i="20" s="1"/>
  <c r="G162" i="20" s="1"/>
  <c r="CB162" i="6" s="1"/>
  <c r="D158" i="20"/>
  <c r="E158" i="20" s="1"/>
  <c r="F158" i="20" s="1"/>
  <c r="W158" i="20"/>
  <c r="W232" i="20"/>
  <c r="D232" i="20"/>
  <c r="E232" i="20" s="1"/>
  <c r="F232" i="20" s="1"/>
  <c r="AA232" i="20" s="1"/>
  <c r="Z232" i="20" s="1"/>
  <c r="Y232" i="20" s="1"/>
  <c r="W135" i="20"/>
  <c r="D135" i="20"/>
  <c r="E135" i="20" s="1"/>
  <c r="F135" i="20" s="1"/>
  <c r="H135" i="20" s="1"/>
  <c r="I135" i="20" s="1"/>
  <c r="B135" i="6" s="1"/>
  <c r="BA135" i="6" s="1"/>
  <c r="D135" i="6" s="1"/>
  <c r="D340" i="20"/>
  <c r="E340" i="20" s="1"/>
  <c r="F340" i="20" s="1"/>
  <c r="W340" i="20"/>
  <c r="W239" i="20"/>
  <c r="D239" i="20"/>
  <c r="E239" i="20" s="1"/>
  <c r="F239" i="20" s="1"/>
  <c r="AA239" i="20" s="1"/>
  <c r="Z239" i="20" s="1"/>
  <c r="Y239" i="20" s="1"/>
  <c r="U130" i="22"/>
  <c r="T130" i="22" s="1"/>
  <c r="S130" i="22" s="1"/>
  <c r="R130" i="22" s="1"/>
  <c r="U101" i="22"/>
  <c r="T101" i="22" s="1"/>
  <c r="S101" i="22" s="1"/>
  <c r="R101" i="22" s="1"/>
  <c r="P101" i="22" s="1"/>
  <c r="V101" i="22" s="1"/>
  <c r="B101" i="22" s="1"/>
  <c r="U338" i="22"/>
  <c r="T338" i="22" s="1"/>
  <c r="S338" i="22" s="1"/>
  <c r="R338" i="22" s="1"/>
  <c r="P338" i="22" s="1"/>
  <c r="V338" i="22" s="1"/>
  <c r="B338" i="22" s="1"/>
  <c r="U136" i="22"/>
  <c r="T136" i="22" s="1"/>
  <c r="S136" i="22" s="1"/>
  <c r="R136" i="22" s="1"/>
  <c r="U186" i="22"/>
  <c r="T186" i="22" s="1"/>
  <c r="S186" i="22" s="1"/>
  <c r="R186" i="22" s="1"/>
  <c r="P186" i="22" s="1"/>
  <c r="V186" i="22" s="1"/>
  <c r="B186" i="22" s="1"/>
  <c r="U126" i="22"/>
  <c r="T126" i="22" s="1"/>
  <c r="S126" i="22" s="1"/>
  <c r="R126" i="22" s="1"/>
  <c r="U105" i="22"/>
  <c r="T105" i="22" s="1"/>
  <c r="S105" i="22" s="1"/>
  <c r="R105" i="22" s="1"/>
  <c r="P105" i="22" s="1"/>
  <c r="V105" i="22" s="1"/>
  <c r="B105" i="22" s="1"/>
  <c r="U207" i="22"/>
  <c r="T207" i="22" s="1"/>
  <c r="S207" i="22" s="1"/>
  <c r="R207" i="22" s="1"/>
  <c r="P207" i="22" s="1"/>
  <c r="V207" i="22" s="1"/>
  <c r="B207" i="22" s="1"/>
  <c r="U77" i="22"/>
  <c r="T77" i="22" s="1"/>
  <c r="S77" i="22" s="1"/>
  <c r="R77" i="22" s="1"/>
  <c r="U35" i="22"/>
  <c r="T35" i="22" s="1"/>
  <c r="S35" i="22" s="1"/>
  <c r="R35" i="22" s="1"/>
  <c r="P35" i="22" s="1"/>
  <c r="V35" i="22" s="1"/>
  <c r="B35" i="22" s="1"/>
  <c r="U308" i="22"/>
  <c r="T308" i="22" s="1"/>
  <c r="S308" i="22" s="1"/>
  <c r="R308" i="22" s="1"/>
  <c r="P308" i="22" s="1"/>
  <c r="V308" i="22" s="1"/>
  <c r="B308" i="22" s="1"/>
  <c r="U37" i="22"/>
  <c r="T37" i="22" s="1"/>
  <c r="S37" i="22" s="1"/>
  <c r="R37" i="22" s="1"/>
  <c r="P37" i="22" s="1"/>
  <c r="V37" i="22" s="1"/>
  <c r="B37" i="22" s="1"/>
  <c r="U262" i="22"/>
  <c r="T262" i="22" s="1"/>
  <c r="S262" i="22" s="1"/>
  <c r="R262" i="22" s="1"/>
  <c r="U21" i="22"/>
  <c r="T21" i="22" s="1"/>
  <c r="S21" i="22" s="1"/>
  <c r="R21" i="22" s="1"/>
  <c r="P21" i="22" s="1"/>
  <c r="V21" i="22" s="1"/>
  <c r="B21" i="22" s="1"/>
  <c r="U232" i="22"/>
  <c r="T232" i="22" s="1"/>
  <c r="S232" i="22" s="1"/>
  <c r="R232" i="22" s="1"/>
  <c r="U344" i="22"/>
  <c r="T344" i="22" s="1"/>
  <c r="S344" i="22" s="1"/>
  <c r="R344" i="22" s="1"/>
  <c r="U340" i="22"/>
  <c r="T340" i="22" s="1"/>
  <c r="S340" i="22" s="1"/>
  <c r="R340" i="22" s="1"/>
  <c r="P340" i="22" s="1"/>
  <c r="V340" i="22" s="1"/>
  <c r="B340" i="22" s="1"/>
  <c r="U29" i="22"/>
  <c r="T29" i="22" s="1"/>
  <c r="S29" i="22" s="1"/>
  <c r="R29" i="22" s="1"/>
  <c r="U79" i="22"/>
  <c r="T79" i="22" s="1"/>
  <c r="S79" i="22" s="1"/>
  <c r="R79" i="22" s="1"/>
  <c r="U149" i="22"/>
  <c r="T149" i="22" s="1"/>
  <c r="S149" i="22" s="1"/>
  <c r="R149" i="22" s="1"/>
  <c r="P149" i="22" s="1"/>
  <c r="U358" i="22"/>
  <c r="T358" i="22" s="1"/>
  <c r="S358" i="22" s="1"/>
  <c r="R358" i="22" s="1"/>
  <c r="P358" i="22" s="1"/>
  <c r="V358" i="22" s="1"/>
  <c r="B358" i="22" s="1"/>
  <c r="U346" i="22"/>
  <c r="T346" i="22" s="1"/>
  <c r="S346" i="22" s="1"/>
  <c r="R346" i="22" s="1"/>
  <c r="P346" i="22" s="1"/>
  <c r="V346" i="22" s="1"/>
  <c r="B346" i="22" s="1"/>
  <c r="U334" i="22"/>
  <c r="T334" i="22" s="1"/>
  <c r="S334" i="22" s="1"/>
  <c r="R334" i="22" s="1"/>
  <c r="U39" i="22"/>
  <c r="T39" i="22" s="1"/>
  <c r="S39" i="22" s="1"/>
  <c r="R39" i="22" s="1"/>
  <c r="U82" i="22"/>
  <c r="T82" i="22" s="1"/>
  <c r="S82" i="22" s="1"/>
  <c r="R82" i="22" s="1"/>
  <c r="U284" i="22"/>
  <c r="T284" i="22" s="1"/>
  <c r="S284" i="22" s="1"/>
  <c r="R284" i="22" s="1"/>
  <c r="P284" i="22" s="1"/>
  <c r="V284" i="22" s="1"/>
  <c r="B284" i="22" s="1"/>
  <c r="U289" i="22"/>
  <c r="T289" i="22" s="1"/>
  <c r="S289" i="22" s="1"/>
  <c r="R289" i="22" s="1"/>
  <c r="P289" i="22" s="1"/>
  <c r="V289" i="22" s="1"/>
  <c r="B289" i="22" s="1"/>
  <c r="U378" i="22"/>
  <c r="T378" i="22" s="1"/>
  <c r="S378" i="22" s="1"/>
  <c r="R378" i="22" s="1"/>
  <c r="P378" i="22" s="1"/>
  <c r="V378" i="22" s="1"/>
  <c r="B378" i="22" s="1"/>
  <c r="U292" i="22"/>
  <c r="T292" i="22" s="1"/>
  <c r="S292" i="22" s="1"/>
  <c r="R292" i="22" s="1"/>
  <c r="U184" i="22"/>
  <c r="T184" i="22" s="1"/>
  <c r="S184" i="22" s="1"/>
  <c r="R184" i="22" s="1"/>
  <c r="U222" i="22"/>
  <c r="T222" i="22" s="1"/>
  <c r="S222" i="22" s="1"/>
  <c r="R222" i="22" s="1"/>
  <c r="U267" i="22"/>
  <c r="T267" i="22" s="1"/>
  <c r="S267" i="22" s="1"/>
  <c r="R267" i="22" s="1"/>
  <c r="P267" i="22" s="1"/>
  <c r="V267" i="22" s="1"/>
  <c r="B267" i="22" s="1"/>
  <c r="U357" i="22"/>
  <c r="T357" i="22" s="1"/>
  <c r="S357" i="22" s="1"/>
  <c r="R357" i="22" s="1"/>
  <c r="U141" i="22"/>
  <c r="T141" i="22" s="1"/>
  <c r="S141" i="22" s="1"/>
  <c r="R141" i="22" s="1"/>
  <c r="U121" i="22"/>
  <c r="T121" i="22" s="1"/>
  <c r="S121" i="22" s="1"/>
  <c r="R121" i="22" s="1"/>
  <c r="U28" i="22"/>
  <c r="T28" i="22" s="1"/>
  <c r="S28" i="22" s="1"/>
  <c r="R28" i="22" s="1"/>
  <c r="U163" i="22"/>
  <c r="T163" i="22" s="1"/>
  <c r="S163" i="22" s="1"/>
  <c r="R163" i="22" s="1"/>
  <c r="P163" i="22" s="1"/>
  <c r="V163" i="22" s="1"/>
  <c r="B163" i="22" s="1"/>
  <c r="U43" i="22"/>
  <c r="T43" i="22" s="1"/>
  <c r="S43" i="22" s="1"/>
  <c r="R43" i="22" s="1"/>
  <c r="U147" i="22"/>
  <c r="T147" i="22" s="1"/>
  <c r="S147" i="22" s="1"/>
  <c r="R147" i="22" s="1"/>
  <c r="P147" i="22" s="1"/>
  <c r="V147" i="22" s="1"/>
  <c r="B147" i="22" s="1"/>
  <c r="U143" i="22"/>
  <c r="T143" i="22" s="1"/>
  <c r="S143" i="22" s="1"/>
  <c r="R143" i="22" s="1"/>
  <c r="P143" i="22" s="1"/>
  <c r="V143" i="22" s="1"/>
  <c r="B143" i="22" s="1"/>
  <c r="U120" i="22"/>
  <c r="T120" i="22" s="1"/>
  <c r="S120" i="22" s="1"/>
  <c r="R120" i="22" s="1"/>
  <c r="U269" i="22"/>
  <c r="T269" i="22" s="1"/>
  <c r="S269" i="22" s="1"/>
  <c r="R269" i="22" s="1"/>
  <c r="P269" i="22" s="1"/>
  <c r="V269" i="22" s="1"/>
  <c r="B269" i="22" s="1"/>
  <c r="U290" i="22"/>
  <c r="T290" i="22" s="1"/>
  <c r="S290" i="22" s="1"/>
  <c r="R290" i="22" s="1"/>
  <c r="P290" i="22" s="1"/>
  <c r="V290" i="22" s="1"/>
  <c r="B290" i="22" s="1"/>
  <c r="U52" i="22"/>
  <c r="T52" i="22" s="1"/>
  <c r="S52" i="22" s="1"/>
  <c r="R52" i="22" s="1"/>
  <c r="U271" i="22"/>
  <c r="T271" i="22" s="1"/>
  <c r="S271" i="22" s="1"/>
  <c r="R271" i="22" s="1"/>
  <c r="U219" i="22"/>
  <c r="T219" i="22" s="1"/>
  <c r="S219" i="22" s="1"/>
  <c r="R219" i="22" s="1"/>
  <c r="P219" i="22" s="1"/>
  <c r="V219" i="22" s="1"/>
  <c r="B219" i="22" s="1"/>
  <c r="U19" i="22"/>
  <c r="T19" i="22" s="1"/>
  <c r="S19" i="22" s="1"/>
  <c r="R19" i="22" s="1"/>
  <c r="U117" i="22"/>
  <c r="T117" i="22" s="1"/>
  <c r="S117" i="22" s="1"/>
  <c r="R117" i="22" s="1"/>
  <c r="P117" i="22" s="1"/>
  <c r="V117" i="22" s="1"/>
  <c r="B117" i="22" s="1"/>
  <c r="U104" i="22"/>
  <c r="T104" i="22" s="1"/>
  <c r="S104" i="22" s="1"/>
  <c r="R104" i="22" s="1"/>
  <c r="U372" i="22"/>
  <c r="T372" i="22" s="1"/>
  <c r="S372" i="22" s="1"/>
  <c r="R372" i="22" s="1"/>
  <c r="P372" i="22" s="1"/>
  <c r="V372" i="22" s="1"/>
  <c r="B372" i="22" s="1"/>
  <c r="U119" i="22"/>
  <c r="T119" i="22" s="1"/>
  <c r="S119" i="22" s="1"/>
  <c r="R119" i="22" s="1"/>
  <c r="U194" i="22"/>
  <c r="T194" i="22" s="1"/>
  <c r="S194" i="22" s="1"/>
  <c r="R194" i="22" s="1"/>
  <c r="P194" i="22" s="1"/>
  <c r="V194" i="22" s="1"/>
  <c r="B194" i="22" s="1"/>
  <c r="U159" i="22"/>
  <c r="T159" i="22" s="1"/>
  <c r="S159" i="22" s="1"/>
  <c r="R159" i="22" s="1"/>
  <c r="P159" i="22" s="1"/>
  <c r="V159" i="22" s="1"/>
  <c r="B159" i="22" s="1"/>
  <c r="U188" i="22"/>
  <c r="T188" i="22" s="1"/>
  <c r="S188" i="22" s="1"/>
  <c r="R188" i="22" s="1"/>
  <c r="U224" i="22"/>
  <c r="T224" i="22" s="1"/>
  <c r="S224" i="22" s="1"/>
  <c r="R224" i="22" s="1"/>
  <c r="U15" i="22"/>
  <c r="U146" i="22"/>
  <c r="T146" i="22" s="1"/>
  <c r="S146" i="22" s="1"/>
  <c r="R146" i="22" s="1"/>
  <c r="U51" i="22"/>
  <c r="T51" i="22" s="1"/>
  <c r="S51" i="22" s="1"/>
  <c r="R51" i="22" s="1"/>
  <c r="U138" i="22"/>
  <c r="T138" i="22" s="1"/>
  <c r="S138" i="22" s="1"/>
  <c r="R138" i="22" s="1"/>
  <c r="P138" i="22" s="1"/>
  <c r="V138" i="22" s="1"/>
  <c r="U148" i="22"/>
  <c r="T148" i="22" s="1"/>
  <c r="S148" i="22" s="1"/>
  <c r="R148" i="22" s="1"/>
  <c r="P148" i="22" s="1"/>
  <c r="V148" i="22" s="1"/>
  <c r="B148" i="22" s="1"/>
  <c r="U198" i="22"/>
  <c r="T198" i="22" s="1"/>
  <c r="S198" i="22" s="1"/>
  <c r="R198" i="22" s="1"/>
  <c r="P198" i="22" s="1"/>
  <c r="V198" i="22" s="1"/>
  <c r="B198" i="22" s="1"/>
  <c r="U142" i="22"/>
  <c r="T142" i="22" s="1"/>
  <c r="S142" i="22" s="1"/>
  <c r="R142" i="22" s="1"/>
  <c r="P142" i="22" s="1"/>
  <c r="V142" i="22" s="1"/>
  <c r="B142" i="22" s="1"/>
  <c r="U343" i="22"/>
  <c r="T343" i="22" s="1"/>
  <c r="S343" i="22" s="1"/>
  <c r="R343" i="22" s="1"/>
  <c r="U245" i="22"/>
  <c r="T245" i="22" s="1"/>
  <c r="S245" i="22" s="1"/>
  <c r="R245" i="22" s="1"/>
  <c r="U145" i="22"/>
  <c r="T145" i="22" s="1"/>
  <c r="S145" i="22" s="1"/>
  <c r="R145" i="22" s="1"/>
  <c r="P145" i="22" s="1"/>
  <c r="V145" i="22" s="1"/>
  <c r="B145" i="22" s="1"/>
  <c r="U361" i="22"/>
  <c r="T361" i="22" s="1"/>
  <c r="S361" i="22" s="1"/>
  <c r="R361" i="22" s="1"/>
  <c r="U205" i="22"/>
  <c r="T205" i="22" s="1"/>
  <c r="S205" i="22" s="1"/>
  <c r="R205" i="22" s="1"/>
  <c r="U44" i="22"/>
  <c r="T44" i="22" s="1"/>
  <c r="S44" i="22" s="1"/>
  <c r="R44" i="22" s="1"/>
  <c r="P44" i="22" s="1"/>
  <c r="V44" i="22" s="1"/>
  <c r="B44" i="22" s="1"/>
  <c r="U277" i="22"/>
  <c r="T277" i="22" s="1"/>
  <c r="S277" i="22" s="1"/>
  <c r="R277" i="22" s="1"/>
  <c r="P277" i="22" s="1"/>
  <c r="V277" i="22" s="1"/>
  <c r="B277" i="22" s="1"/>
  <c r="U67" i="22"/>
  <c r="T67" i="22" s="1"/>
  <c r="S67" i="22" s="1"/>
  <c r="R67" i="22" s="1"/>
  <c r="U196" i="22"/>
  <c r="T196" i="22" s="1"/>
  <c r="S196" i="22" s="1"/>
  <c r="R196" i="22" s="1"/>
  <c r="P196" i="22" s="1"/>
  <c r="V196" i="22" s="1"/>
  <c r="B196" i="22" s="1"/>
  <c r="U62" i="22"/>
  <c r="T62" i="22" s="1"/>
  <c r="S62" i="22" s="1"/>
  <c r="R62" i="22" s="1"/>
  <c r="P62" i="22" s="1"/>
  <c r="V62" i="22" s="1"/>
  <c r="B62" i="22" s="1"/>
  <c r="U182" i="22"/>
  <c r="T182" i="22" s="1"/>
  <c r="S182" i="22" s="1"/>
  <c r="R182" i="22" s="1"/>
  <c r="U366" i="22"/>
  <c r="T366" i="22" s="1"/>
  <c r="S366" i="22" s="1"/>
  <c r="R366" i="22" s="1"/>
  <c r="U371" i="22"/>
  <c r="T371" i="22" s="1"/>
  <c r="S371" i="22" s="1"/>
  <c r="R371" i="22" s="1"/>
  <c r="P371" i="22" s="1"/>
  <c r="V371" i="22" s="1"/>
  <c r="B371" i="22" s="1"/>
  <c r="U286" i="22"/>
  <c r="T286" i="22" s="1"/>
  <c r="S286" i="22" s="1"/>
  <c r="R286" i="22" s="1"/>
  <c r="U76" i="22"/>
  <c r="T76" i="22" s="1"/>
  <c r="S76" i="22" s="1"/>
  <c r="R76" i="22" s="1"/>
  <c r="U155" i="22"/>
  <c r="T155" i="22" s="1"/>
  <c r="S155" i="22" s="1"/>
  <c r="R155" i="22" s="1"/>
  <c r="U270" i="22"/>
  <c r="T270" i="22" s="1"/>
  <c r="S270" i="22" s="1"/>
  <c r="R270" i="22" s="1"/>
  <c r="U90" i="22"/>
  <c r="T90" i="22" s="1"/>
  <c r="S90" i="22" s="1"/>
  <c r="R90" i="22" s="1"/>
  <c r="P90" i="22" s="1"/>
  <c r="V90" i="22" s="1"/>
  <c r="B90" i="22" s="1"/>
  <c r="U354" i="22"/>
  <c r="T354" i="22" s="1"/>
  <c r="S354" i="22" s="1"/>
  <c r="R354" i="22" s="1"/>
  <c r="P354" i="22" s="1"/>
  <c r="V354" i="22" s="1"/>
  <c r="B354" i="22" s="1"/>
  <c r="U106" i="22"/>
  <c r="T106" i="22" s="1"/>
  <c r="S106" i="22" s="1"/>
  <c r="R106" i="22" s="1"/>
  <c r="U250" i="22"/>
  <c r="T250" i="22" s="1"/>
  <c r="S250" i="22" s="1"/>
  <c r="R250" i="22" s="1"/>
  <c r="U364" i="22"/>
  <c r="T364" i="22" s="1"/>
  <c r="S364" i="22" s="1"/>
  <c r="R364" i="22" s="1"/>
  <c r="P364" i="22" s="1"/>
  <c r="V364" i="22" s="1"/>
  <c r="B364" i="22" s="1"/>
  <c r="U50" i="22"/>
  <c r="T50" i="22" s="1"/>
  <c r="S50" i="22" s="1"/>
  <c r="R50" i="22" s="1"/>
  <c r="U311" i="22"/>
  <c r="T311" i="22" s="1"/>
  <c r="S311" i="22" s="1"/>
  <c r="R311" i="22" s="1"/>
  <c r="P311" i="22" s="1"/>
  <c r="V311" i="22" s="1"/>
  <c r="B311" i="22" s="1"/>
  <c r="U304" i="22"/>
  <c r="T304" i="22" s="1"/>
  <c r="S304" i="22" s="1"/>
  <c r="R304" i="22" s="1"/>
  <c r="P304" i="22" s="1"/>
  <c r="V304" i="22" s="1"/>
  <c r="B304" i="22" s="1"/>
  <c r="U180" i="22"/>
  <c r="T180" i="22" s="1"/>
  <c r="S180" i="22" s="1"/>
  <c r="R180" i="22" s="1"/>
  <c r="P180" i="22" s="1"/>
  <c r="U288" i="22"/>
  <c r="T288" i="22" s="1"/>
  <c r="S288" i="22" s="1"/>
  <c r="R288" i="22" s="1"/>
  <c r="P288" i="22" s="1"/>
  <c r="V288" i="22" s="1"/>
  <c r="B288" i="22" s="1"/>
  <c r="U48" i="22"/>
  <c r="T48" i="22" s="1"/>
  <c r="S48" i="22" s="1"/>
  <c r="R48" i="22" s="1"/>
  <c r="U166" i="22"/>
  <c r="T166" i="22" s="1"/>
  <c r="S166" i="22" s="1"/>
  <c r="R166" i="22" s="1"/>
  <c r="U321" i="22"/>
  <c r="T321" i="22" s="1"/>
  <c r="S321" i="22" s="1"/>
  <c r="R321" i="22" s="1"/>
  <c r="H167" i="20"/>
  <c r="AA79" i="20"/>
  <c r="Z79" i="20" s="1"/>
  <c r="Y79" i="20" s="1"/>
  <c r="H253" i="20"/>
  <c r="AA194" i="20"/>
  <c r="Z194" i="20" s="1"/>
  <c r="Y194" i="20" s="1"/>
  <c r="H66" i="20"/>
  <c r="D334" i="20"/>
  <c r="E334" i="20" s="1"/>
  <c r="F334" i="20" s="1"/>
  <c r="G334" i="20" s="1"/>
  <c r="CB334" i="6" s="1"/>
  <c r="W139" i="20"/>
  <c r="D368" i="20"/>
  <c r="E368" i="20" s="1"/>
  <c r="F368" i="20" s="1"/>
  <c r="G368" i="20" s="1"/>
  <c r="CB368" i="6" s="1"/>
  <c r="W116" i="20"/>
  <c r="W61" i="20"/>
  <c r="D168" i="20"/>
  <c r="E168" i="20" s="1"/>
  <c r="F168" i="20" s="1"/>
  <c r="H168" i="20" s="1"/>
  <c r="W290" i="20"/>
  <c r="W81" i="20"/>
  <c r="W177" i="20"/>
  <c r="W376" i="20"/>
  <c r="D127" i="20"/>
  <c r="E127" i="20" s="1"/>
  <c r="F127" i="20" s="1"/>
  <c r="H127" i="20" s="1"/>
  <c r="D378" i="20"/>
  <c r="E378" i="20" s="1"/>
  <c r="F378" i="20" s="1"/>
  <c r="AA378" i="20" s="1"/>
  <c r="Z378" i="20" s="1"/>
  <c r="Y378" i="20" s="1"/>
  <c r="W261" i="20"/>
  <c r="D67" i="20"/>
  <c r="E67" i="20" s="1"/>
  <c r="F67" i="20" s="1"/>
  <c r="G67" i="20" s="1"/>
  <c r="CB67" i="6" s="1"/>
  <c r="W48" i="20"/>
  <c r="W373" i="20"/>
  <c r="W123" i="20"/>
  <c r="D185" i="20"/>
  <c r="E185" i="20" s="1"/>
  <c r="F185" i="20" s="1"/>
  <c r="AA185" i="20" s="1"/>
  <c r="Z185" i="20" s="1"/>
  <c r="Y185" i="20" s="1"/>
  <c r="D257" i="20"/>
  <c r="E257" i="20" s="1"/>
  <c r="F257" i="20" s="1"/>
  <c r="AA257" i="20" s="1"/>
  <c r="Z257" i="20" s="1"/>
  <c r="Y257" i="20" s="1"/>
  <c r="D83" i="20"/>
  <c r="E83" i="20" s="1"/>
  <c r="F83" i="20" s="1"/>
  <c r="AA83" i="20" s="1"/>
  <c r="Z83" i="20" s="1"/>
  <c r="Y83" i="20" s="1"/>
  <c r="W288" i="20"/>
  <c r="D171" i="20"/>
  <c r="E171" i="20" s="1"/>
  <c r="F171" i="20" s="1"/>
  <c r="AA171" i="20" s="1"/>
  <c r="Z171" i="20" s="1"/>
  <c r="Y171" i="20" s="1"/>
  <c r="W300" i="20"/>
  <c r="W245" i="20"/>
  <c r="D343" i="20"/>
  <c r="E343" i="20" s="1"/>
  <c r="F343" i="20" s="1"/>
  <c r="G343" i="20" s="1"/>
  <c r="CB343" i="6" s="1"/>
  <c r="W72" i="20"/>
  <c r="W56" i="20"/>
  <c r="W280" i="20"/>
  <c r="W254" i="20"/>
  <c r="D317" i="20"/>
  <c r="E317" i="20" s="1"/>
  <c r="F317" i="20" s="1"/>
  <c r="AA317" i="20" s="1"/>
  <c r="Z317" i="20" s="1"/>
  <c r="Y317" i="20" s="1"/>
  <c r="W212" i="20"/>
  <c r="D152" i="20"/>
  <c r="E152" i="20" s="1"/>
  <c r="F152" i="20" s="1"/>
  <c r="G152" i="20" s="1"/>
  <c r="CB152" i="6" s="1"/>
  <c r="D46" i="20"/>
  <c r="E46" i="20" s="1"/>
  <c r="F46" i="20" s="1"/>
  <c r="G46" i="20" s="1"/>
  <c r="CB46" i="6" s="1"/>
  <c r="D49" i="20"/>
  <c r="E49" i="20" s="1"/>
  <c r="F49" i="20" s="1"/>
  <c r="G49" i="20" s="1"/>
  <c r="CB49" i="6" s="1"/>
  <c r="W38" i="20"/>
  <c r="W121" i="20"/>
  <c r="W216" i="20"/>
  <c r="W145" i="20"/>
  <c r="W189" i="20"/>
  <c r="D36" i="20"/>
  <c r="E36" i="20" s="1"/>
  <c r="F36" i="20" s="1"/>
  <c r="H36" i="20" s="1"/>
  <c r="W223" i="20"/>
  <c r="D45" i="20"/>
  <c r="E45" i="20" s="1"/>
  <c r="F45" i="20" s="1"/>
  <c r="H45" i="20" s="1"/>
  <c r="D57" i="20"/>
  <c r="E57" i="20" s="1"/>
  <c r="F57" i="20" s="1"/>
  <c r="AA57" i="20" s="1"/>
  <c r="Z57" i="20" s="1"/>
  <c r="Y57" i="20" s="1"/>
  <c r="W305" i="20"/>
  <c r="D358" i="20"/>
  <c r="E358" i="20" s="1"/>
  <c r="F358" i="20" s="1"/>
  <c r="G358" i="20" s="1"/>
  <c r="CB358" i="6" s="1"/>
  <c r="D268" i="20"/>
  <c r="E268" i="20" s="1"/>
  <c r="F268" i="20" s="1"/>
  <c r="H268" i="20" s="1"/>
  <c r="D284" i="20"/>
  <c r="E284" i="20" s="1"/>
  <c r="F284" i="20" s="1"/>
  <c r="G284" i="20" s="1"/>
  <c r="CB284" i="6" s="1"/>
  <c r="W98" i="20"/>
  <c r="W150" i="20"/>
  <c r="D259" i="20"/>
  <c r="E259" i="20" s="1"/>
  <c r="F259" i="20" s="1"/>
  <c r="AA259" i="20" s="1"/>
  <c r="Z259" i="20" s="1"/>
  <c r="Y259" i="20" s="1"/>
  <c r="D318" i="20"/>
  <c r="E318" i="20" s="1"/>
  <c r="F318" i="20" s="1"/>
  <c r="G318" i="20" s="1"/>
  <c r="CB318" i="6" s="1"/>
  <c r="D364" i="20"/>
  <c r="E364" i="20" s="1"/>
  <c r="F364" i="20" s="1"/>
  <c r="H364" i="20" s="1"/>
  <c r="D206" i="20"/>
  <c r="E206" i="20" s="1"/>
  <c r="F206" i="20" s="1"/>
  <c r="H206" i="20" s="1"/>
  <c r="D114" i="20"/>
  <c r="E114" i="20" s="1"/>
  <c r="F114" i="20" s="1"/>
  <c r="W114" i="20"/>
  <c r="D207" i="20"/>
  <c r="E207" i="20" s="1"/>
  <c r="F207" i="20" s="1"/>
  <c r="W207" i="20"/>
  <c r="W53" i="20"/>
  <c r="D53" i="20"/>
  <c r="E53" i="20" s="1"/>
  <c r="F53" i="20" s="1"/>
  <c r="D244" i="20"/>
  <c r="E244" i="20" s="1"/>
  <c r="F244" i="20" s="1"/>
  <c r="W244" i="20"/>
  <c r="D266" i="20"/>
  <c r="E266" i="20" s="1"/>
  <c r="F266" i="20" s="1"/>
  <c r="W266" i="20"/>
  <c r="D255" i="20"/>
  <c r="E255" i="20" s="1"/>
  <c r="F255" i="20" s="1"/>
  <c r="W255" i="20"/>
  <c r="W352" i="20"/>
  <c r="D352" i="20"/>
  <c r="E352" i="20" s="1"/>
  <c r="F352" i="20" s="1"/>
  <c r="AA352" i="20" s="1"/>
  <c r="Z352" i="20" s="1"/>
  <c r="Y352" i="20" s="1"/>
  <c r="D233" i="20"/>
  <c r="E233" i="20" s="1"/>
  <c r="F233" i="20" s="1"/>
  <c r="W233" i="20"/>
  <c r="W344" i="20"/>
  <c r="D344" i="20"/>
  <c r="E344" i="20" s="1"/>
  <c r="F344" i="20" s="1"/>
  <c r="AA344" i="20" s="1"/>
  <c r="Z344" i="20" s="1"/>
  <c r="Y344" i="20" s="1"/>
  <c r="W226" i="20"/>
  <c r="D226" i="20"/>
  <c r="E226" i="20" s="1"/>
  <c r="F226" i="20" s="1"/>
  <c r="G226" i="20" s="1"/>
  <c r="CB226" i="6" s="1"/>
  <c r="D353" i="20"/>
  <c r="E353" i="20" s="1"/>
  <c r="F353" i="20" s="1"/>
  <c r="W353" i="20"/>
  <c r="W303" i="20"/>
  <c r="D303" i="20"/>
  <c r="E303" i="20" s="1"/>
  <c r="F303" i="20" s="1"/>
  <c r="G303" i="20" s="1"/>
  <c r="CB303" i="6" s="1"/>
  <c r="D365" i="20"/>
  <c r="E365" i="20" s="1"/>
  <c r="F365" i="20" s="1"/>
  <c r="W365" i="20"/>
  <c r="D251" i="20"/>
  <c r="E251" i="20" s="1"/>
  <c r="F251" i="20" s="1"/>
  <c r="W251" i="20"/>
  <c r="W82" i="20"/>
  <c r="D82" i="20"/>
  <c r="E82" i="20" s="1"/>
  <c r="F82" i="20" s="1"/>
  <c r="AA82" i="20" s="1"/>
  <c r="Z82" i="20" s="1"/>
  <c r="Y82" i="20" s="1"/>
  <c r="W237" i="20"/>
  <c r="D237" i="20"/>
  <c r="E237" i="20" s="1"/>
  <c r="F237" i="20" s="1"/>
  <c r="G237" i="20" s="1"/>
  <c r="CB237" i="6" s="1"/>
  <c r="W211" i="20"/>
  <c r="D211" i="20"/>
  <c r="E211" i="20" s="1"/>
  <c r="F211" i="20" s="1"/>
  <c r="G211" i="20" s="1"/>
  <c r="CB211" i="6" s="1"/>
  <c r="W136" i="20"/>
  <c r="D136" i="20"/>
  <c r="E136" i="20" s="1"/>
  <c r="F136" i="20" s="1"/>
  <c r="AA136" i="20" s="1"/>
  <c r="Z136" i="20" s="1"/>
  <c r="Y136" i="20" s="1"/>
  <c r="W193" i="20"/>
  <c r="D193" i="20"/>
  <c r="E193" i="20" s="1"/>
  <c r="F193" i="20" s="1"/>
  <c r="D130" i="20"/>
  <c r="E130" i="20" s="1"/>
  <c r="F130" i="20" s="1"/>
  <c r="W130" i="20"/>
  <c r="D204" i="20"/>
  <c r="E204" i="20" s="1"/>
  <c r="F204" i="20" s="1"/>
  <c r="W204" i="20"/>
  <c r="D103" i="20"/>
  <c r="E103" i="20" s="1"/>
  <c r="F103" i="20" s="1"/>
  <c r="W103" i="20"/>
  <c r="W264" i="20"/>
  <c r="D264" i="20"/>
  <c r="E264" i="20" s="1"/>
  <c r="F264" i="20" s="1"/>
  <c r="D62" i="20"/>
  <c r="E62" i="20" s="1"/>
  <c r="F62" i="20" s="1"/>
  <c r="W62" i="20"/>
  <c r="W91" i="20"/>
  <c r="D91" i="20"/>
  <c r="E91" i="20" s="1"/>
  <c r="F91" i="20" s="1"/>
  <c r="W166" i="20"/>
  <c r="D166" i="20"/>
  <c r="E166" i="20" s="1"/>
  <c r="F166" i="20" s="1"/>
  <c r="W71" i="20"/>
  <c r="D71" i="20"/>
  <c r="E71" i="20" s="1"/>
  <c r="F71" i="20" s="1"/>
  <c r="D221" i="20"/>
  <c r="E221" i="20" s="1"/>
  <c r="F221" i="20" s="1"/>
  <c r="W221" i="20"/>
  <c r="W93" i="20"/>
  <c r="D93" i="20"/>
  <c r="E93" i="20" s="1"/>
  <c r="F93" i="20" s="1"/>
  <c r="G93" i="20" s="1"/>
  <c r="CB93" i="6" s="1"/>
  <c r="D294" i="20"/>
  <c r="E294" i="20" s="1"/>
  <c r="F294" i="20" s="1"/>
  <c r="W294" i="20"/>
  <c r="D356" i="20"/>
  <c r="E356" i="20" s="1"/>
  <c r="F356" i="20" s="1"/>
  <c r="W356" i="20"/>
  <c r="W143" i="20"/>
  <c r="D143" i="20"/>
  <c r="E143" i="20" s="1"/>
  <c r="F143" i="20" s="1"/>
  <c r="AA143" i="20" s="1"/>
  <c r="Z143" i="20" s="1"/>
  <c r="Y143" i="20" s="1"/>
  <c r="W160" i="20"/>
  <c r="D160" i="20"/>
  <c r="E160" i="20" s="1"/>
  <c r="F160" i="20" s="1"/>
  <c r="G160" i="20" s="1"/>
  <c r="CB160" i="6" s="1"/>
  <c r="W224" i="20"/>
  <c r="D224" i="20"/>
  <c r="E224" i="20" s="1"/>
  <c r="F224" i="20" s="1"/>
  <c r="G224" i="20" s="1"/>
  <c r="CB224" i="6" s="1"/>
  <c r="W161" i="20"/>
  <c r="D161" i="20"/>
  <c r="E161" i="20" s="1"/>
  <c r="F161" i="20" s="1"/>
  <c r="G161" i="20" s="1"/>
  <c r="CB161" i="6" s="1"/>
  <c r="D298" i="20"/>
  <c r="E298" i="20" s="1"/>
  <c r="F298" i="20" s="1"/>
  <c r="W298" i="20"/>
  <c r="W258" i="20"/>
  <c r="D258" i="20"/>
  <c r="E258" i="20" s="1"/>
  <c r="F258" i="20" s="1"/>
  <c r="H258" i="20" s="1"/>
  <c r="I258" i="20" s="1"/>
  <c r="B258" i="6" s="1"/>
  <c r="BA258" i="6" s="1"/>
  <c r="D258" i="6" s="1"/>
  <c r="D320" i="20"/>
  <c r="E320" i="20" s="1"/>
  <c r="F320" i="20" s="1"/>
  <c r="W320" i="20"/>
  <c r="W247" i="20"/>
  <c r="D247" i="20"/>
  <c r="E247" i="20" s="1"/>
  <c r="F247" i="20" s="1"/>
  <c r="G247" i="20" s="1"/>
  <c r="CB247" i="6" s="1"/>
  <c r="D133" i="20"/>
  <c r="E133" i="20" s="1"/>
  <c r="F133" i="20" s="1"/>
  <c r="W133" i="20"/>
  <c r="W292" i="20"/>
  <c r="D292" i="20"/>
  <c r="E292" i="20" s="1"/>
  <c r="F292" i="20" s="1"/>
  <c r="AA292" i="20" s="1"/>
  <c r="Z292" i="20" s="1"/>
  <c r="Y292" i="20" s="1"/>
  <c r="W131" i="20"/>
  <c r="D131" i="20"/>
  <c r="E131" i="20" s="1"/>
  <c r="F131" i="20" s="1"/>
  <c r="AA131" i="20" s="1"/>
  <c r="Z131" i="20" s="1"/>
  <c r="Y131" i="20" s="1"/>
  <c r="W270" i="20"/>
  <c r="D270" i="20"/>
  <c r="E270" i="20" s="1"/>
  <c r="F270" i="20" s="1"/>
  <c r="G270" i="20" s="1"/>
  <c r="CB270" i="6" s="1"/>
  <c r="W339" i="20"/>
  <c r="D339" i="20"/>
  <c r="E339" i="20" s="1"/>
  <c r="F339" i="20" s="1"/>
  <c r="H339" i="20" s="1"/>
  <c r="D47" i="20"/>
  <c r="E47" i="20" s="1"/>
  <c r="F47" i="20" s="1"/>
  <c r="W47" i="20"/>
  <c r="W366" i="20"/>
  <c r="D366" i="20"/>
  <c r="E366" i="20" s="1"/>
  <c r="F366" i="20" s="1"/>
  <c r="H366" i="20" s="1"/>
  <c r="W249" i="20"/>
  <c r="D249" i="20"/>
  <c r="E249" i="20" s="1"/>
  <c r="F249" i="20" s="1"/>
  <c r="G249" i="20" s="1"/>
  <c r="CB249" i="6" s="1"/>
  <c r="D329" i="20"/>
  <c r="E329" i="20" s="1"/>
  <c r="F329" i="20" s="1"/>
  <c r="W329" i="20"/>
  <c r="D361" i="20"/>
  <c r="E361" i="20" s="1"/>
  <c r="F361" i="20" s="1"/>
  <c r="W361" i="20"/>
  <c r="F66" i="19"/>
  <c r="B149" i="20"/>
  <c r="L66" i="19"/>
  <c r="B333" i="20"/>
  <c r="G58" i="20"/>
  <c r="CB58" i="6" s="1"/>
  <c r="H375" i="20"/>
  <c r="AA44" i="20"/>
  <c r="Z44" i="20" s="1"/>
  <c r="Y44" i="20" s="1"/>
  <c r="H294" i="20"/>
  <c r="G259" i="20"/>
  <c r="CB259" i="6" s="1"/>
  <c r="AA173" i="20"/>
  <c r="Z173" i="20" s="1"/>
  <c r="Y173" i="20" s="1"/>
  <c r="AA206" i="20"/>
  <c r="Z206" i="20" s="1"/>
  <c r="Y206" i="20" s="1"/>
  <c r="AA364" i="20"/>
  <c r="Z364" i="20" s="1"/>
  <c r="Y364" i="20" s="1"/>
  <c r="H259" i="20"/>
  <c r="J259" i="20" s="1"/>
  <c r="C259" i="6" s="1"/>
  <c r="G364" i="20"/>
  <c r="CB364" i="6" s="1"/>
  <c r="G306" i="20"/>
  <c r="CB306" i="6" s="1"/>
  <c r="H58" i="20"/>
  <c r="J58" i="20" s="1"/>
  <c r="C58" i="6" s="1"/>
  <c r="AA318" i="20"/>
  <c r="Z318" i="20" s="1"/>
  <c r="Y318" i="20" s="1"/>
  <c r="H300" i="20"/>
  <c r="I300" i="20" s="1"/>
  <c r="B300" i="6" s="1"/>
  <c r="BA300" i="6" s="1"/>
  <c r="D300" i="6" s="1"/>
  <c r="W29" i="20"/>
  <c r="P130" i="22"/>
  <c r="V130" i="22" s="1"/>
  <c r="P136" i="22"/>
  <c r="V136" i="22" s="1"/>
  <c r="P126" i="22"/>
  <c r="V126" i="22" s="1"/>
  <c r="P77" i="22"/>
  <c r="V77" i="22" s="1"/>
  <c r="P262" i="22"/>
  <c r="V262" i="22" s="1"/>
  <c r="P232" i="22"/>
  <c r="V232" i="22" s="1"/>
  <c r="P344" i="22"/>
  <c r="V344" i="22" s="1"/>
  <c r="B344" i="22" s="1"/>
  <c r="P29" i="22"/>
  <c r="P79" i="22"/>
  <c r="V79" i="22" s="1"/>
  <c r="P334" i="22"/>
  <c r="V334" i="22" s="1"/>
  <c r="P39" i="22"/>
  <c r="V39" i="22" s="1"/>
  <c r="P82" i="22"/>
  <c r="V82" i="22" s="1"/>
  <c r="P292" i="22"/>
  <c r="V292" i="22" s="1"/>
  <c r="B292" i="22" s="1"/>
  <c r="P184" i="22"/>
  <c r="V184" i="22" s="1"/>
  <c r="P222" i="22"/>
  <c r="V222" i="22" s="1"/>
  <c r="P357" i="22"/>
  <c r="V357" i="22" s="1"/>
  <c r="P141" i="22"/>
  <c r="V141" i="22" s="1"/>
  <c r="P121" i="22"/>
  <c r="V121" i="22" s="1"/>
  <c r="P28" i="22"/>
  <c r="V28" i="22" s="1"/>
  <c r="P43" i="22"/>
  <c r="V43" i="22" s="1"/>
  <c r="P120" i="22"/>
  <c r="V120" i="22" s="1"/>
  <c r="P52" i="22"/>
  <c r="V52" i="22" s="1"/>
  <c r="P271" i="22"/>
  <c r="V271" i="22" s="1"/>
  <c r="P19" i="22"/>
  <c r="V19" i="22" s="1"/>
  <c r="P104" i="22"/>
  <c r="V104" i="22" s="1"/>
  <c r="P119" i="22"/>
  <c r="P188" i="22"/>
  <c r="V188" i="22" s="1"/>
  <c r="B188" i="22" s="1"/>
  <c r="P224" i="22"/>
  <c r="V224" i="22" s="1"/>
  <c r="P146" i="22"/>
  <c r="V146" i="22" s="1"/>
  <c r="B146" i="22" s="1"/>
  <c r="P51" i="22"/>
  <c r="V51" i="22" s="1"/>
  <c r="P343" i="22"/>
  <c r="V343" i="22" s="1"/>
  <c r="P245" i="22"/>
  <c r="V245" i="22" s="1"/>
  <c r="P361" i="22"/>
  <c r="V361" i="22" s="1"/>
  <c r="B361" i="22" s="1"/>
  <c r="P205" i="22"/>
  <c r="V205" i="22" s="1"/>
  <c r="P182" i="22"/>
  <c r="V182" i="22" s="1"/>
  <c r="P366" i="22"/>
  <c r="V366" i="22" s="1"/>
  <c r="P286" i="22"/>
  <c r="V286" i="22" s="1"/>
  <c r="P76" i="22"/>
  <c r="V76" i="22" s="1"/>
  <c r="P155" i="22"/>
  <c r="V155" i="22" s="1"/>
  <c r="B155" i="22" s="1"/>
  <c r="P106" i="22"/>
  <c r="V106" i="22" s="1"/>
  <c r="P250" i="22"/>
  <c r="V250" i="22" s="1"/>
  <c r="P50" i="22"/>
  <c r="V50" i="22" s="1"/>
  <c r="P48" i="22"/>
  <c r="V48" i="22" s="1"/>
  <c r="B48" i="22" s="1"/>
  <c r="P166" i="22"/>
  <c r="V166" i="22" s="1"/>
  <c r="H44" i="20"/>
  <c r="I44" i="20" s="1"/>
  <c r="B44" i="6" s="1"/>
  <c r="BA44" i="6" s="1"/>
  <c r="D44" i="6" s="1"/>
  <c r="H51" i="20"/>
  <c r="J51" i="20" s="1"/>
  <c r="C51" i="6" s="1"/>
  <c r="AE382" i="22"/>
  <c r="AE381" i="22"/>
  <c r="H318" i="20"/>
  <c r="J318" i="20" s="1"/>
  <c r="C318" i="6" s="1"/>
  <c r="H367" i="20"/>
  <c r="I367" i="20" s="1"/>
  <c r="B367" i="6" s="1"/>
  <c r="BA367" i="6" s="1"/>
  <c r="D367" i="6" s="1"/>
  <c r="AA323" i="20"/>
  <c r="Z323" i="20" s="1"/>
  <c r="Y323" i="20" s="1"/>
  <c r="P220" i="22"/>
  <c r="V220" i="22" s="1"/>
  <c r="P352" i="22"/>
  <c r="V352" i="22" s="1"/>
  <c r="B352" i="22" s="1"/>
  <c r="P47" i="22"/>
  <c r="V47" i="22" s="1"/>
  <c r="P26" i="22"/>
  <c r="V26" i="22" s="1"/>
  <c r="P134" i="22"/>
  <c r="V134" i="22" s="1"/>
  <c r="P360" i="22"/>
  <c r="V360" i="22" s="1"/>
  <c r="B360" i="22" s="1"/>
  <c r="P348" i="22"/>
  <c r="V348" i="22" s="1"/>
  <c r="P32" i="22"/>
  <c r="V32" i="22" s="1"/>
  <c r="P331" i="22"/>
  <c r="V331" i="22" s="1"/>
  <c r="P214" i="22"/>
  <c r="V214" i="22" s="1"/>
  <c r="P127" i="22"/>
  <c r="V127" i="22" s="1"/>
  <c r="P190" i="22"/>
  <c r="V190" i="22" s="1"/>
  <c r="P341" i="22"/>
  <c r="V341" i="22" s="1"/>
  <c r="P61" i="22"/>
  <c r="V61" i="22" s="1"/>
  <c r="B61" i="22" s="1"/>
  <c r="P380" i="22"/>
  <c r="V380" i="22" s="1"/>
  <c r="P206" i="22"/>
  <c r="V206" i="22" s="1"/>
  <c r="B206" i="22" s="1"/>
  <c r="P116" i="22"/>
  <c r="V116" i="22" s="1"/>
  <c r="P71" i="22"/>
  <c r="V71" i="22" s="1"/>
  <c r="B71" i="22" s="1"/>
  <c r="P174" i="22"/>
  <c r="V174" i="22" s="1"/>
  <c r="P369" i="22"/>
  <c r="V369" i="22" s="1"/>
  <c r="B369" i="22" s="1"/>
  <c r="P273" i="22"/>
  <c r="V273" i="22" s="1"/>
  <c r="P40" i="22"/>
  <c r="V40" i="22" s="1"/>
  <c r="P74" i="22"/>
  <c r="V74" i="22" s="1"/>
  <c r="B74" i="22" s="1"/>
  <c r="P233" i="22"/>
  <c r="V233" i="22" s="1"/>
  <c r="P199" i="22"/>
  <c r="V199" i="22" s="1"/>
  <c r="P193" i="22"/>
  <c r="V193" i="22" s="1"/>
  <c r="B193" i="22" s="1"/>
  <c r="P351" i="22"/>
  <c r="V351" i="22" s="1"/>
  <c r="P247" i="22"/>
  <c r="V247" i="22" s="1"/>
  <c r="B247" i="22" s="1"/>
  <c r="P356" i="22"/>
  <c r="V356" i="22" s="1"/>
  <c r="P181" i="22"/>
  <c r="V181" i="22" s="1"/>
  <c r="B181" i="22" s="1"/>
  <c r="P309" i="22"/>
  <c r="V309" i="22" s="1"/>
  <c r="P231" i="22"/>
  <c r="V231" i="22" s="1"/>
  <c r="P195" i="22"/>
  <c r="V195" i="22" s="1"/>
  <c r="P170" i="22"/>
  <c r="V170" i="22" s="1"/>
  <c r="T381" i="20"/>
  <c r="G375" i="20"/>
  <c r="CB375" i="6" s="1"/>
  <c r="H323" i="20"/>
  <c r="I323" i="20" s="1"/>
  <c r="B323" i="6" s="1"/>
  <c r="BA323" i="6" s="1"/>
  <c r="D323" i="6" s="1"/>
  <c r="H239" i="20"/>
  <c r="J239" i="20" s="1"/>
  <c r="C239" i="6" s="1"/>
  <c r="G344" i="20"/>
  <c r="CB344" i="6" s="1"/>
  <c r="H283" i="20"/>
  <c r="J283" i="20" s="1"/>
  <c r="C283" i="6" s="1"/>
  <c r="H248" i="20"/>
  <c r="I248" i="20" s="1"/>
  <c r="B248" i="6" s="1"/>
  <c r="BA248" i="6" s="1"/>
  <c r="D248" i="6" s="1"/>
  <c r="U124" i="22"/>
  <c r="T124" i="22" s="1"/>
  <c r="S124" i="22" s="1"/>
  <c r="R124" i="22" s="1"/>
  <c r="P124" i="22" s="1"/>
  <c r="V124" i="22" s="1"/>
  <c r="B124" i="22" s="1"/>
  <c r="U327" i="22"/>
  <c r="T327" i="22" s="1"/>
  <c r="S327" i="22" s="1"/>
  <c r="R327" i="22" s="1"/>
  <c r="P327" i="22" s="1"/>
  <c r="V327" i="22" s="1"/>
  <c r="U298" i="22"/>
  <c r="T298" i="22" s="1"/>
  <c r="S298" i="22" s="1"/>
  <c r="R298" i="22" s="1"/>
  <c r="P298" i="22" s="1"/>
  <c r="V298" i="22" s="1"/>
  <c r="U265" i="22"/>
  <c r="T265" i="22" s="1"/>
  <c r="S265" i="22" s="1"/>
  <c r="R265" i="22" s="1"/>
  <c r="P265" i="22" s="1"/>
  <c r="V265" i="22" s="1"/>
  <c r="U118" i="22"/>
  <c r="T118" i="22" s="1"/>
  <c r="S118" i="22" s="1"/>
  <c r="R118" i="22" s="1"/>
  <c r="P118" i="22" s="1"/>
  <c r="V118" i="22" s="1"/>
  <c r="B118" i="22" s="1"/>
  <c r="U259" i="22"/>
  <c r="T259" i="22" s="1"/>
  <c r="S259" i="22" s="1"/>
  <c r="R259" i="22" s="1"/>
  <c r="P259" i="22" s="1"/>
  <c r="V259" i="22" s="1"/>
  <c r="U377" i="22"/>
  <c r="T377" i="22" s="1"/>
  <c r="S377" i="22" s="1"/>
  <c r="R377" i="22" s="1"/>
  <c r="P377" i="22" s="1"/>
  <c r="V377" i="22" s="1"/>
  <c r="U295" i="22"/>
  <c r="T295" i="22" s="1"/>
  <c r="S295" i="22" s="1"/>
  <c r="R295" i="22" s="1"/>
  <c r="P295" i="22" s="1"/>
  <c r="V295" i="22" s="1"/>
  <c r="U183" i="22"/>
  <c r="T183" i="22" s="1"/>
  <c r="S183" i="22" s="1"/>
  <c r="R183" i="22" s="1"/>
  <c r="P183" i="22" s="1"/>
  <c r="V183" i="22" s="1"/>
  <c r="U140" i="22"/>
  <c r="T140" i="22" s="1"/>
  <c r="S140" i="22" s="1"/>
  <c r="R140" i="22" s="1"/>
  <c r="P140" i="22" s="1"/>
  <c r="V140" i="22" s="1"/>
  <c r="U275" i="22"/>
  <c r="T275" i="22" s="1"/>
  <c r="S275" i="22" s="1"/>
  <c r="R275" i="22" s="1"/>
  <c r="P275" i="22" s="1"/>
  <c r="V275" i="22" s="1"/>
  <c r="B275" i="22" s="1"/>
  <c r="U24" i="22"/>
  <c r="T24" i="22" s="1"/>
  <c r="S24" i="22" s="1"/>
  <c r="R24" i="22" s="1"/>
  <c r="P24" i="22" s="1"/>
  <c r="V24" i="22" s="1"/>
  <c r="U191" i="22"/>
  <c r="T191" i="22" s="1"/>
  <c r="S191" i="22" s="1"/>
  <c r="R191" i="22" s="1"/>
  <c r="P191" i="22" s="1"/>
  <c r="V191" i="22" s="1"/>
  <c r="B191" i="22" s="1"/>
  <c r="U131" i="22"/>
  <c r="T131" i="22" s="1"/>
  <c r="S131" i="22" s="1"/>
  <c r="R131" i="22" s="1"/>
  <c r="P131" i="22" s="1"/>
  <c r="V131" i="22" s="1"/>
  <c r="U125" i="22"/>
  <c r="T125" i="22" s="1"/>
  <c r="S125" i="22" s="1"/>
  <c r="R125" i="22" s="1"/>
  <c r="P125" i="22" s="1"/>
  <c r="V125" i="22" s="1"/>
  <c r="U158" i="22"/>
  <c r="T158" i="22" s="1"/>
  <c r="S158" i="22" s="1"/>
  <c r="R158" i="22" s="1"/>
  <c r="P158" i="22" s="1"/>
  <c r="V158" i="22" s="1"/>
  <c r="U278" i="22"/>
  <c r="T278" i="22" s="1"/>
  <c r="S278" i="22" s="1"/>
  <c r="R278" i="22" s="1"/>
  <c r="P278" i="22" s="1"/>
  <c r="V278" i="22" s="1"/>
  <c r="U347" i="22"/>
  <c r="T347" i="22" s="1"/>
  <c r="S347" i="22" s="1"/>
  <c r="R347" i="22" s="1"/>
  <c r="P347" i="22" s="1"/>
  <c r="V347" i="22" s="1"/>
  <c r="U314" i="22"/>
  <c r="T314" i="22" s="1"/>
  <c r="S314" i="22" s="1"/>
  <c r="R314" i="22" s="1"/>
  <c r="P314" i="22" s="1"/>
  <c r="V314" i="22" s="1"/>
  <c r="B314" i="22" s="1"/>
  <c r="U133" i="22"/>
  <c r="T133" i="22" s="1"/>
  <c r="S133" i="22" s="1"/>
  <c r="R133" i="22" s="1"/>
  <c r="P133" i="22" s="1"/>
  <c r="V133" i="22" s="1"/>
  <c r="U129" i="22"/>
  <c r="T129" i="22" s="1"/>
  <c r="S129" i="22" s="1"/>
  <c r="R129" i="22" s="1"/>
  <c r="P129" i="22" s="1"/>
  <c r="V129" i="22" s="1"/>
  <c r="U157" i="22"/>
  <c r="T157" i="22" s="1"/>
  <c r="S157" i="22" s="1"/>
  <c r="R157" i="22" s="1"/>
  <c r="P157" i="22" s="1"/>
  <c r="V157" i="22" s="1"/>
  <c r="U230" i="22"/>
  <c r="T230" i="22" s="1"/>
  <c r="S230" i="22" s="1"/>
  <c r="R230" i="22" s="1"/>
  <c r="P230" i="22" s="1"/>
  <c r="V230" i="22" s="1"/>
  <c r="B230" i="22" s="1"/>
  <c r="U252" i="22"/>
  <c r="T252" i="22" s="1"/>
  <c r="S252" i="22" s="1"/>
  <c r="R252" i="22" s="1"/>
  <c r="P252" i="22" s="1"/>
  <c r="V252" i="22" s="1"/>
  <c r="U239" i="22"/>
  <c r="T239" i="22" s="1"/>
  <c r="S239" i="22" s="1"/>
  <c r="R239" i="22" s="1"/>
  <c r="P239" i="22" s="1"/>
  <c r="V239" i="22" s="1"/>
  <c r="U316" i="22"/>
  <c r="T316" i="22" s="1"/>
  <c r="S316" i="22" s="1"/>
  <c r="R316" i="22" s="1"/>
  <c r="P316" i="22" s="1"/>
  <c r="V316" i="22" s="1"/>
  <c r="U258" i="22"/>
  <c r="T258" i="22" s="1"/>
  <c r="S258" i="22" s="1"/>
  <c r="R258" i="22" s="1"/>
  <c r="P258" i="22" s="1"/>
  <c r="V258" i="22" s="1"/>
  <c r="B258" i="22" s="1"/>
  <c r="U373" i="22"/>
  <c r="T373" i="22" s="1"/>
  <c r="S373" i="22" s="1"/>
  <c r="R373" i="22" s="1"/>
  <c r="P373" i="22" s="1"/>
  <c r="V373" i="22" s="1"/>
  <c r="U16" i="22"/>
  <c r="T16" i="22" s="1"/>
  <c r="S16" i="22" s="1"/>
  <c r="R16" i="22" s="1"/>
  <c r="P16" i="22" s="1"/>
  <c r="V16" i="22" s="1"/>
  <c r="U223" i="22"/>
  <c r="T223" i="22" s="1"/>
  <c r="S223" i="22" s="1"/>
  <c r="R223" i="22" s="1"/>
  <c r="P223" i="22" s="1"/>
  <c r="V223" i="22" s="1"/>
  <c r="U38" i="22"/>
  <c r="T38" i="22" s="1"/>
  <c r="S38" i="22" s="1"/>
  <c r="R38" i="22" s="1"/>
  <c r="P38" i="22" s="1"/>
  <c r="V38" i="22" s="1"/>
  <c r="U255" i="22"/>
  <c r="T255" i="22" s="1"/>
  <c r="S255" i="22" s="1"/>
  <c r="R255" i="22" s="1"/>
  <c r="P255" i="22" s="1"/>
  <c r="V255" i="22" s="1"/>
  <c r="U300" i="22"/>
  <c r="T300" i="22" s="1"/>
  <c r="S300" i="22" s="1"/>
  <c r="R300" i="22" s="1"/>
  <c r="P300" i="22" s="1"/>
  <c r="V300" i="22" s="1"/>
  <c r="B300" i="22" s="1"/>
  <c r="U68" i="22"/>
  <c r="T68" i="22" s="1"/>
  <c r="S68" i="22" s="1"/>
  <c r="R68" i="22" s="1"/>
  <c r="P68" i="22" s="1"/>
  <c r="V68" i="22" s="1"/>
  <c r="U202" i="22"/>
  <c r="T202" i="22" s="1"/>
  <c r="S202" i="22" s="1"/>
  <c r="R202" i="22" s="1"/>
  <c r="P202" i="22" s="1"/>
  <c r="V202" i="22" s="1"/>
  <c r="U56" i="22"/>
  <c r="T56" i="22" s="1"/>
  <c r="S56" i="22" s="1"/>
  <c r="R56" i="22" s="1"/>
  <c r="P56" i="22" s="1"/>
  <c r="V56" i="22" s="1"/>
  <c r="U374" i="22"/>
  <c r="T374" i="22" s="1"/>
  <c r="S374" i="22" s="1"/>
  <c r="R374" i="22" s="1"/>
  <c r="P374" i="22" s="1"/>
  <c r="V374" i="22" s="1"/>
  <c r="U367" i="22"/>
  <c r="T367" i="22" s="1"/>
  <c r="S367" i="22" s="1"/>
  <c r="R367" i="22" s="1"/>
  <c r="P367" i="22" s="1"/>
  <c r="V367" i="22" s="1"/>
  <c r="U312" i="22"/>
  <c r="T312" i="22" s="1"/>
  <c r="S312" i="22" s="1"/>
  <c r="R312" i="22" s="1"/>
  <c r="P312" i="22" s="1"/>
  <c r="V312" i="22" s="1"/>
  <c r="U225" i="22"/>
  <c r="T225" i="22" s="1"/>
  <c r="S225" i="22" s="1"/>
  <c r="R225" i="22" s="1"/>
  <c r="P225" i="22" s="1"/>
  <c r="V225" i="22" s="1"/>
  <c r="U17" i="22"/>
  <c r="T17" i="22" s="1"/>
  <c r="S17" i="22" s="1"/>
  <c r="R17" i="22" s="1"/>
  <c r="P17" i="22" s="1"/>
  <c r="V17" i="22" s="1"/>
  <c r="U137" i="22"/>
  <c r="T137" i="22" s="1"/>
  <c r="S137" i="22" s="1"/>
  <c r="R137" i="22" s="1"/>
  <c r="P137" i="22" s="1"/>
  <c r="V137" i="22" s="1"/>
  <c r="U376" i="22"/>
  <c r="T376" i="22" s="1"/>
  <c r="S376" i="22" s="1"/>
  <c r="R376" i="22" s="1"/>
  <c r="P376" i="22" s="1"/>
  <c r="V376" i="22" s="1"/>
  <c r="B376" i="22" s="1"/>
  <c r="U317" i="22"/>
  <c r="T317" i="22" s="1"/>
  <c r="S317" i="22" s="1"/>
  <c r="R317" i="22" s="1"/>
  <c r="P317" i="22" s="1"/>
  <c r="V317" i="22" s="1"/>
  <c r="U306" i="22"/>
  <c r="T306" i="22" s="1"/>
  <c r="S306" i="22" s="1"/>
  <c r="R306" i="22" s="1"/>
  <c r="P306" i="22" s="1"/>
  <c r="V306" i="22" s="1"/>
  <c r="U228" i="22"/>
  <c r="T228" i="22" s="1"/>
  <c r="S228" i="22" s="1"/>
  <c r="R228" i="22" s="1"/>
  <c r="P228" i="22" s="1"/>
  <c r="V228" i="22" s="1"/>
  <c r="U93" i="22"/>
  <c r="T93" i="22" s="1"/>
  <c r="S93" i="22" s="1"/>
  <c r="R93" i="22" s="1"/>
  <c r="P93" i="22" s="1"/>
  <c r="V93" i="22" s="1"/>
  <c r="B93" i="22" s="1"/>
  <c r="U87" i="22"/>
  <c r="T87" i="22" s="1"/>
  <c r="S87" i="22" s="1"/>
  <c r="R87" i="22" s="1"/>
  <c r="P87" i="22" s="1"/>
  <c r="V87" i="22" s="1"/>
  <c r="U329" i="22"/>
  <c r="T329" i="22" s="1"/>
  <c r="S329" i="22" s="1"/>
  <c r="R329" i="22" s="1"/>
  <c r="P329" i="22" s="1"/>
  <c r="V329" i="22" s="1"/>
  <c r="U96" i="22"/>
  <c r="T96" i="22" s="1"/>
  <c r="S96" i="22" s="1"/>
  <c r="R96" i="22" s="1"/>
  <c r="P96" i="22" s="1"/>
  <c r="V96" i="22" s="1"/>
  <c r="U282" i="22"/>
  <c r="T282" i="22" s="1"/>
  <c r="S282" i="22" s="1"/>
  <c r="R282" i="22" s="1"/>
  <c r="P282" i="22" s="1"/>
  <c r="V282" i="22" s="1"/>
  <c r="U337" i="22"/>
  <c r="T337" i="22" s="1"/>
  <c r="S337" i="22" s="1"/>
  <c r="R337" i="22" s="1"/>
  <c r="P337" i="22" s="1"/>
  <c r="V337" i="22" s="1"/>
  <c r="U153" i="22"/>
  <c r="T153" i="22" s="1"/>
  <c r="S153" i="22" s="1"/>
  <c r="R153" i="22" s="1"/>
  <c r="P153" i="22" s="1"/>
  <c r="V153" i="22" s="1"/>
  <c r="B153" i="22" s="1"/>
  <c r="U132" i="22"/>
  <c r="T132" i="22" s="1"/>
  <c r="S132" i="22" s="1"/>
  <c r="R132" i="22" s="1"/>
  <c r="P132" i="22" s="1"/>
  <c r="V132" i="22" s="1"/>
  <c r="U123" i="22"/>
  <c r="T123" i="22" s="1"/>
  <c r="S123" i="22" s="1"/>
  <c r="R123" i="22" s="1"/>
  <c r="P123" i="22" s="1"/>
  <c r="V123" i="22" s="1"/>
  <c r="B123" i="22" s="1"/>
  <c r="U279" i="22"/>
  <c r="T279" i="22" s="1"/>
  <c r="S279" i="22" s="1"/>
  <c r="R279" i="22" s="1"/>
  <c r="P279" i="22" s="1"/>
  <c r="V279" i="22" s="1"/>
  <c r="U285" i="22"/>
  <c r="T285" i="22" s="1"/>
  <c r="S285" i="22" s="1"/>
  <c r="R285" i="22" s="1"/>
  <c r="P285" i="22" s="1"/>
  <c r="V285" i="22" s="1"/>
  <c r="B285" i="22" s="1"/>
  <c r="U297" i="22"/>
  <c r="T297" i="22" s="1"/>
  <c r="S297" i="22" s="1"/>
  <c r="R297" i="22" s="1"/>
  <c r="P297" i="22" s="1"/>
  <c r="V297" i="22" s="1"/>
  <c r="U151" i="22"/>
  <c r="T151" i="22" s="1"/>
  <c r="S151" i="22" s="1"/>
  <c r="R151" i="22" s="1"/>
  <c r="P151" i="22" s="1"/>
  <c r="V151" i="22" s="1"/>
  <c r="B151" i="22" s="1"/>
  <c r="U83" i="22"/>
  <c r="T83" i="22" s="1"/>
  <c r="S83" i="22" s="1"/>
  <c r="R83" i="22" s="1"/>
  <c r="P83" i="22" s="1"/>
  <c r="V83" i="22" s="1"/>
  <c r="U30" i="22"/>
  <c r="T30" i="22" s="1"/>
  <c r="S30" i="22" s="1"/>
  <c r="R30" i="22" s="1"/>
  <c r="P30" i="22" s="1"/>
  <c r="V30" i="22" s="1"/>
  <c r="U81" i="22"/>
  <c r="T81" i="22" s="1"/>
  <c r="S81" i="22" s="1"/>
  <c r="R81" i="22" s="1"/>
  <c r="P81" i="22" s="1"/>
  <c r="V81" i="22" s="1"/>
  <c r="U243" i="22"/>
  <c r="T243" i="22" s="1"/>
  <c r="S243" i="22" s="1"/>
  <c r="R243" i="22" s="1"/>
  <c r="P243" i="22" s="1"/>
  <c r="V243" i="22" s="1"/>
  <c r="U172" i="22"/>
  <c r="T172" i="22" s="1"/>
  <c r="S172" i="22" s="1"/>
  <c r="R172" i="22" s="1"/>
  <c r="P172" i="22" s="1"/>
  <c r="V172" i="22" s="1"/>
  <c r="U53" i="22"/>
  <c r="T53" i="22" s="1"/>
  <c r="S53" i="22" s="1"/>
  <c r="R53" i="22" s="1"/>
  <c r="P53" i="22" s="1"/>
  <c r="V53" i="22" s="1"/>
  <c r="B53" i="22" s="1"/>
  <c r="U246" i="22"/>
  <c r="T246" i="22" s="1"/>
  <c r="S246" i="22" s="1"/>
  <c r="R246" i="22" s="1"/>
  <c r="P246" i="22" s="1"/>
  <c r="V246" i="22" s="1"/>
  <c r="U362" i="22"/>
  <c r="T362" i="22" s="1"/>
  <c r="S362" i="22" s="1"/>
  <c r="R362" i="22" s="1"/>
  <c r="P362" i="22" s="1"/>
  <c r="V362" i="22" s="1"/>
  <c r="B362" i="22" s="1"/>
  <c r="U281" i="22"/>
  <c r="T281" i="22" s="1"/>
  <c r="S281" i="22" s="1"/>
  <c r="R281" i="22" s="1"/>
  <c r="P281" i="22" s="1"/>
  <c r="V281" i="22" s="1"/>
  <c r="U20" i="22"/>
  <c r="T20" i="22" s="1"/>
  <c r="S20" i="22" s="1"/>
  <c r="R20" i="22" s="1"/>
  <c r="P20" i="22" s="1"/>
  <c r="V20" i="22" s="1"/>
  <c r="U57" i="22"/>
  <c r="T57" i="22" s="1"/>
  <c r="S57" i="22" s="1"/>
  <c r="R57" i="22" s="1"/>
  <c r="P57" i="22" s="1"/>
  <c r="V57" i="22" s="1"/>
  <c r="U238" i="22"/>
  <c r="T238" i="22" s="1"/>
  <c r="S238" i="22" s="1"/>
  <c r="R238" i="22" s="1"/>
  <c r="P238" i="22" s="1"/>
  <c r="V238" i="22" s="1"/>
  <c r="U54" i="22"/>
  <c r="T54" i="22" s="1"/>
  <c r="S54" i="22" s="1"/>
  <c r="R54" i="22" s="1"/>
  <c r="P54" i="22" s="1"/>
  <c r="V54" i="22" s="1"/>
  <c r="U144" i="22"/>
  <c r="T144" i="22" s="1"/>
  <c r="S144" i="22" s="1"/>
  <c r="R144" i="22" s="1"/>
  <c r="P144" i="22" s="1"/>
  <c r="V144" i="22" s="1"/>
  <c r="U211" i="22"/>
  <c r="T211" i="22" s="1"/>
  <c r="S211" i="22" s="1"/>
  <c r="R211" i="22" s="1"/>
  <c r="P211" i="22" s="1"/>
  <c r="V211" i="22" s="1"/>
  <c r="U339" i="22"/>
  <c r="T339" i="22" s="1"/>
  <c r="S339" i="22" s="1"/>
  <c r="R339" i="22" s="1"/>
  <c r="P339" i="22" s="1"/>
  <c r="V339" i="22" s="1"/>
  <c r="U305" i="22"/>
  <c r="T305" i="22" s="1"/>
  <c r="S305" i="22" s="1"/>
  <c r="R305" i="22" s="1"/>
  <c r="P305" i="22" s="1"/>
  <c r="V305" i="22" s="1"/>
  <c r="U103" i="22"/>
  <c r="T103" i="22" s="1"/>
  <c r="S103" i="22" s="1"/>
  <c r="R103" i="22" s="1"/>
  <c r="P103" i="22" s="1"/>
  <c r="V103" i="22" s="1"/>
  <c r="U261" i="22"/>
  <c r="T261" i="22" s="1"/>
  <c r="S261" i="22" s="1"/>
  <c r="R261" i="22" s="1"/>
  <c r="P261" i="22" s="1"/>
  <c r="V261" i="22" s="1"/>
  <c r="U110" i="22"/>
  <c r="T110" i="22" s="1"/>
  <c r="S110" i="22" s="1"/>
  <c r="R110" i="22" s="1"/>
  <c r="P110" i="22" s="1"/>
  <c r="V110" i="22" s="1"/>
  <c r="U102" i="22"/>
  <c r="T102" i="22" s="1"/>
  <c r="S102" i="22" s="1"/>
  <c r="R102" i="22" s="1"/>
  <c r="P102" i="22" s="1"/>
  <c r="V102" i="22" s="1"/>
  <c r="U218" i="22"/>
  <c r="T218" i="22" s="1"/>
  <c r="S218" i="22" s="1"/>
  <c r="R218" i="22" s="1"/>
  <c r="P218" i="22" s="1"/>
  <c r="V218" i="22" s="1"/>
  <c r="U293" i="22"/>
  <c r="T293" i="22" s="1"/>
  <c r="S293" i="22" s="1"/>
  <c r="R293" i="22" s="1"/>
  <c r="P293" i="22" s="1"/>
  <c r="V293" i="22" s="1"/>
  <c r="U272" i="22"/>
  <c r="T272" i="22" s="1"/>
  <c r="S272" i="22" s="1"/>
  <c r="R272" i="22" s="1"/>
  <c r="P272" i="22" s="1"/>
  <c r="AH40" i="7" s="1"/>
  <c r="U185" i="22"/>
  <c r="T185" i="22" s="1"/>
  <c r="S185" i="22" s="1"/>
  <c r="R185" i="22" s="1"/>
  <c r="P185" i="22" s="1"/>
  <c r="V185" i="22" s="1"/>
  <c r="U160" i="22"/>
  <c r="T160" i="22" s="1"/>
  <c r="S160" i="22" s="1"/>
  <c r="R160" i="22" s="1"/>
  <c r="P160" i="22" s="1"/>
  <c r="V160" i="22" s="1"/>
  <c r="B160" i="22" s="1"/>
  <c r="U86" i="22"/>
  <c r="T86" i="22" s="1"/>
  <c r="S86" i="22" s="1"/>
  <c r="R86" i="22" s="1"/>
  <c r="P86" i="22" s="1"/>
  <c r="V86" i="22" s="1"/>
  <c r="U27" i="22"/>
  <c r="T27" i="22" s="1"/>
  <c r="S27" i="22" s="1"/>
  <c r="R27" i="22" s="1"/>
  <c r="P27" i="22" s="1"/>
  <c r="V27" i="22" s="1"/>
  <c r="U60" i="22"/>
  <c r="T60" i="22" s="1"/>
  <c r="S60" i="22" s="1"/>
  <c r="R60" i="22" s="1"/>
  <c r="P60" i="22" s="1"/>
  <c r="AH33" i="7" s="1"/>
  <c r="U91" i="22"/>
  <c r="T91" i="22" s="1"/>
  <c r="S91" i="22" s="1"/>
  <c r="R91" i="22" s="1"/>
  <c r="P91" i="22" s="1"/>
  <c r="V91" i="22" s="1"/>
  <c r="B91" i="22" s="1"/>
  <c r="U99" i="22"/>
  <c r="T99" i="22" s="1"/>
  <c r="S99" i="22" s="1"/>
  <c r="R99" i="22" s="1"/>
  <c r="P99" i="22" s="1"/>
  <c r="V99" i="22" s="1"/>
  <c r="U303" i="22"/>
  <c r="T303" i="22" s="1"/>
  <c r="S303" i="22" s="1"/>
  <c r="R303" i="22" s="1"/>
  <c r="P303" i="22" s="1"/>
  <c r="V303" i="22" s="1"/>
  <c r="U209" i="22"/>
  <c r="T209" i="22" s="1"/>
  <c r="S209" i="22" s="1"/>
  <c r="R209" i="22" s="1"/>
  <c r="P209" i="22" s="1"/>
  <c r="V209" i="22" s="1"/>
  <c r="U301" i="22"/>
  <c r="T301" i="22" s="1"/>
  <c r="S301" i="22" s="1"/>
  <c r="R301" i="22" s="1"/>
  <c r="P301" i="22" s="1"/>
  <c r="V301" i="22" s="1"/>
  <c r="U92" i="22"/>
  <c r="T92" i="22" s="1"/>
  <c r="S92" i="22" s="1"/>
  <c r="R92" i="22" s="1"/>
  <c r="P92" i="22" s="1"/>
  <c r="V92" i="22" s="1"/>
  <c r="U176" i="22"/>
  <c r="T176" i="22" s="1"/>
  <c r="S176" i="22" s="1"/>
  <c r="R176" i="22" s="1"/>
  <c r="P176" i="22" s="1"/>
  <c r="V176" i="22" s="1"/>
  <c r="U69" i="22"/>
  <c r="T69" i="22" s="1"/>
  <c r="S69" i="22" s="1"/>
  <c r="R69" i="22" s="1"/>
  <c r="P69" i="22" s="1"/>
  <c r="V69" i="22" s="1"/>
  <c r="U221" i="22"/>
  <c r="T221" i="22" s="1"/>
  <c r="S221" i="22" s="1"/>
  <c r="R221" i="22" s="1"/>
  <c r="P221" i="22" s="1"/>
  <c r="V221" i="22" s="1"/>
  <c r="U89" i="22"/>
  <c r="T89" i="22" s="1"/>
  <c r="S89" i="22" s="1"/>
  <c r="R89" i="22" s="1"/>
  <c r="P89" i="22" s="1"/>
  <c r="V89" i="22" s="1"/>
  <c r="U325" i="22"/>
  <c r="T325" i="22" s="1"/>
  <c r="S325" i="22" s="1"/>
  <c r="R325" i="22" s="1"/>
  <c r="P325" i="22" s="1"/>
  <c r="V325" i="22" s="1"/>
  <c r="U299" i="22"/>
  <c r="T299" i="22" s="1"/>
  <c r="S299" i="22" s="1"/>
  <c r="R299" i="22" s="1"/>
  <c r="P299" i="22" s="1"/>
  <c r="V299" i="22" s="1"/>
  <c r="G292" i="20"/>
  <c r="CB292" i="6" s="1"/>
  <c r="U280" i="22"/>
  <c r="T280" i="22" s="1"/>
  <c r="S280" i="22" s="1"/>
  <c r="R280" i="22" s="1"/>
  <c r="P280" i="22" s="1"/>
  <c r="V280" i="22" s="1"/>
  <c r="U335" i="22"/>
  <c r="T335" i="22" s="1"/>
  <c r="S335" i="22" s="1"/>
  <c r="R335" i="22" s="1"/>
  <c r="P335" i="22" s="1"/>
  <c r="V335" i="22" s="1"/>
  <c r="B335" i="22" s="1"/>
  <c r="U64" i="22"/>
  <c r="T64" i="22" s="1"/>
  <c r="S64" i="22" s="1"/>
  <c r="R64" i="22" s="1"/>
  <c r="P64" i="22" s="1"/>
  <c r="V64" i="22" s="1"/>
  <c r="U115" i="22"/>
  <c r="T115" i="22" s="1"/>
  <c r="S115" i="22" s="1"/>
  <c r="R115" i="22" s="1"/>
  <c r="P115" i="22" s="1"/>
  <c r="V115" i="22" s="1"/>
  <c r="U263" i="22"/>
  <c r="T263" i="22" s="1"/>
  <c r="S263" i="22" s="1"/>
  <c r="R263" i="22" s="1"/>
  <c r="P263" i="22" s="1"/>
  <c r="V263" i="22" s="1"/>
  <c r="U266" i="22"/>
  <c r="T266" i="22" s="1"/>
  <c r="S266" i="22" s="1"/>
  <c r="R266" i="22" s="1"/>
  <c r="P266" i="22" s="1"/>
  <c r="V266" i="22" s="1"/>
  <c r="B266" i="22" s="1"/>
  <c r="U287" i="22"/>
  <c r="T287" i="22" s="1"/>
  <c r="S287" i="22" s="1"/>
  <c r="R287" i="22" s="1"/>
  <c r="P287" i="22" s="1"/>
  <c r="V287" i="22" s="1"/>
  <c r="U336" i="22"/>
  <c r="T336" i="22" s="1"/>
  <c r="S336" i="22" s="1"/>
  <c r="R336" i="22" s="1"/>
  <c r="P336" i="22" s="1"/>
  <c r="V336" i="22" s="1"/>
  <c r="U70" i="22"/>
  <c r="T70" i="22" s="1"/>
  <c r="S70" i="22" s="1"/>
  <c r="R70" i="22" s="1"/>
  <c r="P70" i="22" s="1"/>
  <c r="V70" i="22" s="1"/>
  <c r="U192" i="22"/>
  <c r="T192" i="22" s="1"/>
  <c r="S192" i="22" s="1"/>
  <c r="R192" i="22" s="1"/>
  <c r="P192" i="22" s="1"/>
  <c r="V192" i="22" s="1"/>
  <c r="B192" i="22" s="1"/>
  <c r="U253" i="22"/>
  <c r="T253" i="22" s="1"/>
  <c r="S253" i="22" s="1"/>
  <c r="R253" i="22" s="1"/>
  <c r="P253" i="22" s="1"/>
  <c r="V253" i="22" s="1"/>
  <c r="U324" i="22"/>
  <c r="T324" i="22" s="1"/>
  <c r="S324" i="22" s="1"/>
  <c r="R324" i="22" s="1"/>
  <c r="P324" i="22" s="1"/>
  <c r="V324" i="22" s="1"/>
  <c r="B324" i="22" s="1"/>
  <c r="U46" i="22"/>
  <c r="T46" i="22" s="1"/>
  <c r="S46" i="22" s="1"/>
  <c r="R46" i="22" s="1"/>
  <c r="P46" i="22" s="1"/>
  <c r="V46" i="22" s="1"/>
  <c r="U139" i="22"/>
  <c r="T139" i="22" s="1"/>
  <c r="S139" i="22" s="1"/>
  <c r="R139" i="22" s="1"/>
  <c r="P139" i="22" s="1"/>
  <c r="V139" i="22" s="1"/>
  <c r="B139" i="22" s="1"/>
  <c r="U236" i="22"/>
  <c r="T236" i="22" s="1"/>
  <c r="S236" i="22" s="1"/>
  <c r="R236" i="22" s="1"/>
  <c r="P236" i="22" s="1"/>
  <c r="V236" i="22" s="1"/>
  <c r="U49" i="22"/>
  <c r="T49" i="22" s="1"/>
  <c r="S49" i="22" s="1"/>
  <c r="R49" i="22" s="1"/>
  <c r="P49" i="22" s="1"/>
  <c r="V49" i="22" s="1"/>
  <c r="B49" i="22" s="1"/>
  <c r="U330" i="22"/>
  <c r="T330" i="22" s="1"/>
  <c r="S330" i="22" s="1"/>
  <c r="R330" i="22" s="1"/>
  <c r="P330" i="22" s="1"/>
  <c r="V330" i="22" s="1"/>
  <c r="U320" i="22"/>
  <c r="T320" i="22" s="1"/>
  <c r="S320" i="22" s="1"/>
  <c r="R320" i="22" s="1"/>
  <c r="P320" i="22" s="1"/>
  <c r="V320" i="22" s="1"/>
  <c r="U215" i="22"/>
  <c r="T215" i="22" s="1"/>
  <c r="S215" i="22" s="1"/>
  <c r="R215" i="22" s="1"/>
  <c r="P215" i="22" s="1"/>
  <c r="V215" i="22" s="1"/>
  <c r="U349" i="22"/>
  <c r="T349" i="22" s="1"/>
  <c r="S349" i="22" s="1"/>
  <c r="R349" i="22" s="1"/>
  <c r="P349" i="22" s="1"/>
  <c r="V349" i="22" s="1"/>
  <c r="U268" i="22"/>
  <c r="T268" i="22" s="1"/>
  <c r="S268" i="22" s="1"/>
  <c r="R268" i="22" s="1"/>
  <c r="P268" i="22" s="1"/>
  <c r="V268" i="22" s="1"/>
  <c r="U22" i="22"/>
  <c r="T22" i="22" s="1"/>
  <c r="S22" i="22" s="1"/>
  <c r="R22" i="22" s="1"/>
  <c r="P22" i="22" s="1"/>
  <c r="V22" i="22" s="1"/>
  <c r="U328" i="22"/>
  <c r="T328" i="22" s="1"/>
  <c r="S328" i="22" s="1"/>
  <c r="R328" i="22" s="1"/>
  <c r="P328" i="22" s="1"/>
  <c r="V328" i="22" s="1"/>
  <c r="U294" i="22"/>
  <c r="T294" i="22" s="1"/>
  <c r="S294" i="22" s="1"/>
  <c r="R294" i="22" s="1"/>
  <c r="P294" i="22" s="1"/>
  <c r="V294" i="22" s="1"/>
  <c r="U212" i="22"/>
  <c r="T212" i="22" s="1"/>
  <c r="S212" i="22" s="1"/>
  <c r="R212" i="22" s="1"/>
  <c r="P212" i="22" s="1"/>
  <c r="V212" i="22" s="1"/>
  <c r="U171" i="22"/>
  <c r="T171" i="22" s="1"/>
  <c r="S171" i="22" s="1"/>
  <c r="R171" i="22" s="1"/>
  <c r="P171" i="22" s="1"/>
  <c r="V171" i="22" s="1"/>
  <c r="B171" i="22" s="1"/>
  <c r="U175" i="22"/>
  <c r="T175" i="22" s="1"/>
  <c r="S175" i="22" s="1"/>
  <c r="R175" i="22" s="1"/>
  <c r="P175" i="22" s="1"/>
  <c r="V175" i="22" s="1"/>
  <c r="U208" i="22"/>
  <c r="T208" i="22" s="1"/>
  <c r="S208" i="22" s="1"/>
  <c r="R208" i="22" s="1"/>
  <c r="P208" i="22" s="1"/>
  <c r="V208" i="22" s="1"/>
  <c r="U242" i="22"/>
  <c r="T242" i="22" s="1"/>
  <c r="S242" i="22" s="1"/>
  <c r="R242" i="22" s="1"/>
  <c r="P242" i="22" s="1"/>
  <c r="V242" i="22" s="1"/>
  <c r="U307" i="22"/>
  <c r="T307" i="22" s="1"/>
  <c r="S307" i="22" s="1"/>
  <c r="R307" i="22" s="1"/>
  <c r="P307" i="22" s="1"/>
  <c r="V307" i="22" s="1"/>
  <c r="U213" i="22"/>
  <c r="T213" i="22" s="1"/>
  <c r="S213" i="22" s="1"/>
  <c r="R213" i="22" s="1"/>
  <c r="P213" i="22" s="1"/>
  <c r="V213" i="22" s="1"/>
  <c r="U169" i="22"/>
  <c r="T169" i="22" s="1"/>
  <c r="S169" i="22" s="1"/>
  <c r="R169" i="22" s="1"/>
  <c r="P169" i="22" s="1"/>
  <c r="V169" i="22" s="1"/>
  <c r="U23" i="22"/>
  <c r="T23" i="22" s="1"/>
  <c r="S23" i="22" s="1"/>
  <c r="R23" i="22" s="1"/>
  <c r="P23" i="22" s="1"/>
  <c r="V23" i="22" s="1"/>
  <c r="U296" i="22"/>
  <c r="T296" i="22" s="1"/>
  <c r="S296" i="22" s="1"/>
  <c r="R296" i="22" s="1"/>
  <c r="P296" i="22" s="1"/>
  <c r="V296" i="22" s="1"/>
  <c r="B296" i="22" s="1"/>
  <c r="U107" i="22"/>
  <c r="T107" i="22" s="1"/>
  <c r="S107" i="22" s="1"/>
  <c r="R107" i="22" s="1"/>
  <c r="P107" i="22" s="1"/>
  <c r="V107" i="22" s="1"/>
  <c r="U322" i="22"/>
  <c r="T322" i="22" s="1"/>
  <c r="S322" i="22" s="1"/>
  <c r="R322" i="22" s="1"/>
  <c r="P322" i="22" s="1"/>
  <c r="V322" i="22" s="1"/>
  <c r="U59" i="22"/>
  <c r="T59" i="22" s="1"/>
  <c r="S59" i="22" s="1"/>
  <c r="R59" i="22" s="1"/>
  <c r="P59" i="22" s="1"/>
  <c r="V59" i="22" s="1"/>
  <c r="U168" i="22"/>
  <c r="T168" i="22" s="1"/>
  <c r="S168" i="22" s="1"/>
  <c r="R168" i="22" s="1"/>
  <c r="P168" i="22" s="1"/>
  <c r="V168" i="22" s="1"/>
  <c r="B168" i="22" s="1"/>
  <c r="U164" i="22"/>
  <c r="T164" i="22" s="1"/>
  <c r="S164" i="22" s="1"/>
  <c r="R164" i="22" s="1"/>
  <c r="P164" i="22" s="1"/>
  <c r="V164" i="22" s="1"/>
  <c r="U313" i="22"/>
  <c r="T313" i="22" s="1"/>
  <c r="S313" i="22" s="1"/>
  <c r="R313" i="22" s="1"/>
  <c r="P313" i="22" s="1"/>
  <c r="V313" i="22" s="1"/>
  <c r="U122" i="22"/>
  <c r="T122" i="22" s="1"/>
  <c r="S122" i="22" s="1"/>
  <c r="R122" i="22" s="1"/>
  <c r="P122" i="22" s="1"/>
  <c r="V122" i="22" s="1"/>
  <c r="U365" i="22"/>
  <c r="T365" i="22" s="1"/>
  <c r="S365" i="22" s="1"/>
  <c r="R365" i="22" s="1"/>
  <c r="P365" i="22" s="1"/>
  <c r="V365" i="22" s="1"/>
  <c r="B365" i="22" s="1"/>
  <c r="U240" i="22"/>
  <c r="T240" i="22" s="1"/>
  <c r="S240" i="22" s="1"/>
  <c r="R240" i="22" s="1"/>
  <c r="P240" i="22" s="1"/>
  <c r="V240" i="22" s="1"/>
  <c r="U229" i="22"/>
  <c r="T229" i="22" s="1"/>
  <c r="S229" i="22" s="1"/>
  <c r="R229" i="22" s="1"/>
  <c r="P229" i="22" s="1"/>
  <c r="V229" i="22" s="1"/>
  <c r="B229" i="22" s="1"/>
  <c r="U167" i="22"/>
  <c r="T167" i="22" s="1"/>
  <c r="S167" i="22" s="1"/>
  <c r="R167" i="22" s="1"/>
  <c r="P167" i="22" s="1"/>
  <c r="V167" i="22" s="1"/>
  <c r="U310" i="22"/>
  <c r="T310" i="22" s="1"/>
  <c r="S310" i="22" s="1"/>
  <c r="R310" i="22" s="1"/>
  <c r="P310" i="22" s="1"/>
  <c r="V310" i="22" s="1"/>
  <c r="B310" i="22" s="1"/>
  <c r="U98" i="22"/>
  <c r="T98" i="22" s="1"/>
  <c r="S98" i="22" s="1"/>
  <c r="R98" i="22" s="1"/>
  <c r="P98" i="22" s="1"/>
  <c r="V98" i="22" s="1"/>
  <c r="U318" i="22"/>
  <c r="T318" i="22" s="1"/>
  <c r="S318" i="22" s="1"/>
  <c r="R318" i="22" s="1"/>
  <c r="P318" i="22" s="1"/>
  <c r="V318" i="22" s="1"/>
  <c r="B318" i="22" s="1"/>
  <c r="U355" i="22"/>
  <c r="T355" i="22" s="1"/>
  <c r="S355" i="22" s="1"/>
  <c r="R355" i="22" s="1"/>
  <c r="P355" i="22" s="1"/>
  <c r="V355" i="22" s="1"/>
  <c r="U359" i="22"/>
  <c r="T359" i="22" s="1"/>
  <c r="S359" i="22" s="1"/>
  <c r="R359" i="22" s="1"/>
  <c r="P359" i="22" s="1"/>
  <c r="V359" i="22" s="1"/>
  <c r="U18" i="22"/>
  <c r="T18" i="22" s="1"/>
  <c r="S18" i="22" s="1"/>
  <c r="R18" i="22" s="1"/>
  <c r="P18" i="22" s="1"/>
  <c r="V18" i="22" s="1"/>
  <c r="U73" i="22"/>
  <c r="T73" i="22" s="1"/>
  <c r="S73" i="22" s="1"/>
  <c r="R73" i="22" s="1"/>
  <c r="P73" i="22" s="1"/>
  <c r="V73" i="22" s="1"/>
  <c r="U189" i="22"/>
  <c r="T189" i="22" s="1"/>
  <c r="S189" i="22" s="1"/>
  <c r="R189" i="22" s="1"/>
  <c r="P189" i="22" s="1"/>
  <c r="V189" i="22" s="1"/>
  <c r="B189" i="22" s="1"/>
  <c r="U319" i="22"/>
  <c r="T319" i="22" s="1"/>
  <c r="S319" i="22" s="1"/>
  <c r="R319" i="22" s="1"/>
  <c r="P319" i="22" s="1"/>
  <c r="V319" i="22" s="1"/>
  <c r="B319" i="22" s="1"/>
  <c r="U353" i="22"/>
  <c r="T353" i="22" s="1"/>
  <c r="S353" i="22" s="1"/>
  <c r="R353" i="22" s="1"/>
  <c r="P353" i="22" s="1"/>
  <c r="V353" i="22" s="1"/>
  <c r="U94" i="22"/>
  <c r="T94" i="22" s="1"/>
  <c r="S94" i="22" s="1"/>
  <c r="R94" i="22" s="1"/>
  <c r="P94" i="22" s="1"/>
  <c r="V94" i="22" s="1"/>
  <c r="U100" i="22"/>
  <c r="T100" i="22" s="1"/>
  <c r="S100" i="22" s="1"/>
  <c r="R100" i="22" s="1"/>
  <c r="P100" i="22" s="1"/>
  <c r="V100" i="22" s="1"/>
  <c r="U274" i="22"/>
  <c r="T274" i="22" s="1"/>
  <c r="S274" i="22" s="1"/>
  <c r="R274" i="22" s="1"/>
  <c r="P274" i="22" s="1"/>
  <c r="V274" i="22" s="1"/>
  <c r="U161" i="22"/>
  <c r="T161" i="22" s="1"/>
  <c r="S161" i="22" s="1"/>
  <c r="R161" i="22" s="1"/>
  <c r="P161" i="22" s="1"/>
  <c r="V161" i="22" s="1"/>
  <c r="U333" i="22"/>
  <c r="T333" i="22" s="1"/>
  <c r="S333" i="22" s="1"/>
  <c r="R333" i="22" s="1"/>
  <c r="P333" i="22" s="1"/>
  <c r="V333" i="22" s="1"/>
  <c r="U363" i="22"/>
  <c r="T363" i="22" s="1"/>
  <c r="S363" i="22" s="1"/>
  <c r="R363" i="22" s="1"/>
  <c r="P363" i="22" s="1"/>
  <c r="V363" i="22" s="1"/>
  <c r="B363" i="22" s="1"/>
  <c r="U112" i="22"/>
  <c r="T112" i="22" s="1"/>
  <c r="S112" i="22" s="1"/>
  <c r="R112" i="22" s="1"/>
  <c r="P112" i="22" s="1"/>
  <c r="V112" i="22" s="1"/>
  <c r="B112" i="22" s="1"/>
  <c r="U113" i="22"/>
  <c r="T113" i="22" s="1"/>
  <c r="S113" i="22" s="1"/>
  <c r="R113" i="22" s="1"/>
  <c r="P113" i="22" s="1"/>
  <c r="V113" i="22" s="1"/>
  <c r="U283" i="22"/>
  <c r="T283" i="22" s="1"/>
  <c r="S283" i="22" s="1"/>
  <c r="R283" i="22" s="1"/>
  <c r="P283" i="22" s="1"/>
  <c r="V283" i="22" s="1"/>
  <c r="B283" i="22" s="1"/>
  <c r="U203" i="22"/>
  <c r="T203" i="22" s="1"/>
  <c r="S203" i="22" s="1"/>
  <c r="R203" i="22" s="1"/>
  <c r="P203" i="22" s="1"/>
  <c r="V203" i="22" s="1"/>
  <c r="U375" i="22"/>
  <c r="T375" i="22" s="1"/>
  <c r="S375" i="22" s="1"/>
  <c r="R375" i="22" s="1"/>
  <c r="P375" i="22" s="1"/>
  <c r="V375" i="22" s="1"/>
  <c r="B375" i="22" s="1"/>
  <c r="U55" i="22"/>
  <c r="T55" i="22" s="1"/>
  <c r="S55" i="22" s="1"/>
  <c r="R55" i="22" s="1"/>
  <c r="P55" i="22" s="1"/>
  <c r="V55" i="22" s="1"/>
  <c r="U34" i="22"/>
  <c r="T34" i="22" s="1"/>
  <c r="S34" i="22" s="1"/>
  <c r="R34" i="22" s="1"/>
  <c r="P34" i="22" s="1"/>
  <c r="V34" i="22" s="1"/>
  <c r="U111" i="22"/>
  <c r="T111" i="22" s="1"/>
  <c r="S111" i="22" s="1"/>
  <c r="R111" i="22" s="1"/>
  <c r="P111" i="22" s="1"/>
  <c r="V111" i="22" s="1"/>
  <c r="U256" i="22"/>
  <c r="T256" i="22" s="1"/>
  <c r="S256" i="22" s="1"/>
  <c r="R256" i="22" s="1"/>
  <c r="P256" i="22" s="1"/>
  <c r="V256" i="22" s="1"/>
  <c r="U200" i="22"/>
  <c r="T200" i="22" s="1"/>
  <c r="S200" i="22" s="1"/>
  <c r="R200" i="22" s="1"/>
  <c r="P200" i="22" s="1"/>
  <c r="V200" i="22" s="1"/>
  <c r="U33" i="22"/>
  <c r="T33" i="22" s="1"/>
  <c r="S33" i="22" s="1"/>
  <c r="R33" i="22" s="1"/>
  <c r="P33" i="22" s="1"/>
  <c r="V33" i="22" s="1"/>
  <c r="U41" i="22"/>
  <c r="T41" i="22" s="1"/>
  <c r="S41" i="22" s="1"/>
  <c r="R41" i="22" s="1"/>
  <c r="P41" i="22" s="1"/>
  <c r="V41" i="22" s="1"/>
  <c r="U177" i="22"/>
  <c r="T177" i="22" s="1"/>
  <c r="S177" i="22" s="1"/>
  <c r="R177" i="22" s="1"/>
  <c r="P177" i="22" s="1"/>
  <c r="V177" i="22" s="1"/>
  <c r="B177" i="22" s="1"/>
  <c r="U204" i="22"/>
  <c r="T204" i="22" s="1"/>
  <c r="S204" i="22" s="1"/>
  <c r="R204" i="22" s="1"/>
  <c r="P204" i="22" s="1"/>
  <c r="V204" i="22" s="1"/>
  <c r="U108" i="22"/>
  <c r="T108" i="22" s="1"/>
  <c r="S108" i="22" s="1"/>
  <c r="R108" i="22" s="1"/>
  <c r="P108" i="22" s="1"/>
  <c r="V108" i="22" s="1"/>
  <c r="U201" i="22"/>
  <c r="T201" i="22" s="1"/>
  <c r="S201" i="22" s="1"/>
  <c r="R201" i="22" s="1"/>
  <c r="P201" i="22" s="1"/>
  <c r="V201" i="22" s="1"/>
  <c r="U31" i="22"/>
  <c r="T31" i="22" s="1"/>
  <c r="S31" i="22" s="1"/>
  <c r="R31" i="22" s="1"/>
  <c r="P31" i="22" s="1"/>
  <c r="V31" i="22" s="1"/>
  <c r="U173" i="22"/>
  <c r="T173" i="22" s="1"/>
  <c r="S173" i="22" s="1"/>
  <c r="R173" i="22" s="1"/>
  <c r="P173" i="22" s="1"/>
  <c r="V173" i="22" s="1"/>
  <c r="U254" i="22"/>
  <c r="T254" i="22" s="1"/>
  <c r="S254" i="22" s="1"/>
  <c r="R254" i="22" s="1"/>
  <c r="P254" i="22" s="1"/>
  <c r="V254" i="22" s="1"/>
  <c r="B254" i="22" s="1"/>
  <c r="U85" i="22"/>
  <c r="T85" i="22" s="1"/>
  <c r="S85" i="22" s="1"/>
  <c r="R85" i="22" s="1"/>
  <c r="P85" i="22" s="1"/>
  <c r="V85" i="22" s="1"/>
  <c r="U302" i="22"/>
  <c r="T302" i="22" s="1"/>
  <c r="S302" i="22" s="1"/>
  <c r="R302" i="22" s="1"/>
  <c r="P302" i="22" s="1"/>
  <c r="V302" i="22" s="1"/>
  <c r="B302" i="22" s="1"/>
  <c r="U210" i="22"/>
  <c r="T210" i="22" s="1"/>
  <c r="S210" i="22" s="1"/>
  <c r="R210" i="22" s="1"/>
  <c r="P210" i="22" s="1"/>
  <c r="AH38" i="7" s="1"/>
  <c r="Q381" i="22"/>
  <c r="H26" i="20"/>
  <c r="I26" i="20" s="1"/>
  <c r="B26" i="6" s="1"/>
  <c r="BA26" i="6" s="1"/>
  <c r="D26" i="6" s="1"/>
  <c r="P67" i="22"/>
  <c r="V67" i="22" s="1"/>
  <c r="B67" i="22" s="1"/>
  <c r="P270" i="22"/>
  <c r="V270" i="22" s="1"/>
  <c r="P321" i="22"/>
  <c r="V321" i="22" s="1"/>
  <c r="Q382" i="22"/>
  <c r="H229" i="20"/>
  <c r="J229" i="20" s="1"/>
  <c r="C229" i="6" s="1"/>
  <c r="H211" i="20"/>
  <c r="J211" i="20" s="1"/>
  <c r="C211" i="6" s="1"/>
  <c r="G339" i="20"/>
  <c r="CB339" i="6" s="1"/>
  <c r="H21" i="20"/>
  <c r="I21" i="20" s="1"/>
  <c r="B21" i="6" s="1"/>
  <c r="BA21" i="6" s="1"/>
  <c r="D21" i="6" s="1"/>
  <c r="H289" i="20"/>
  <c r="I289" i="20" s="1"/>
  <c r="B289" i="6" s="1"/>
  <c r="BA289" i="6" s="1"/>
  <c r="D289" i="6" s="1"/>
  <c r="H260" i="20"/>
  <c r="J260" i="20" s="1"/>
  <c r="C260" i="6" s="1"/>
  <c r="H196" i="20"/>
  <c r="I196" i="20" s="1"/>
  <c r="B196" i="6" s="1"/>
  <c r="BA196" i="6" s="1"/>
  <c r="D196" i="6" s="1"/>
  <c r="H156" i="20"/>
  <c r="I156" i="20" s="1"/>
  <c r="B156" i="6" s="1"/>
  <c r="BA156" i="6" s="1"/>
  <c r="D156" i="6" s="1"/>
  <c r="H20" i="20"/>
  <c r="J20" i="20" s="1"/>
  <c r="C20" i="6" s="1"/>
  <c r="H203" i="20"/>
  <c r="J203" i="20" s="1"/>
  <c r="C203" i="6" s="1"/>
  <c r="H173" i="20"/>
  <c r="I173" i="20" s="1"/>
  <c r="B173" i="6" s="1"/>
  <c r="BA173" i="6" s="1"/>
  <c r="D173" i="6" s="1"/>
  <c r="H296" i="20"/>
  <c r="I296" i="20" s="1"/>
  <c r="B296" i="6" s="1"/>
  <c r="BA296" i="6" s="1"/>
  <c r="D296" i="6" s="1"/>
  <c r="H218" i="20"/>
  <c r="I218" i="20" s="1"/>
  <c r="B218" i="6" s="1"/>
  <c r="BA218" i="6" s="1"/>
  <c r="D218" i="6" s="1"/>
  <c r="AA34" i="20"/>
  <c r="Z34" i="20" s="1"/>
  <c r="Y34" i="20" s="1"/>
  <c r="G297" i="20"/>
  <c r="CB297" i="6" s="1"/>
  <c r="H187" i="20"/>
  <c r="J187" i="20" s="1"/>
  <c r="C187" i="6" s="1"/>
  <c r="H91" i="20"/>
  <c r="J91" i="20" s="1"/>
  <c r="C91" i="6" s="1"/>
  <c r="H204" i="20"/>
  <c r="I204" i="20" s="1"/>
  <c r="B204" i="6" s="1"/>
  <c r="BA204" i="6" s="1"/>
  <c r="D204" i="6" s="1"/>
  <c r="H16" i="20"/>
  <c r="I16" i="20" s="1"/>
  <c r="B16" i="6" s="1"/>
  <c r="BA16" i="6" s="1"/>
  <c r="D16" i="6" s="1"/>
  <c r="H352" i="20"/>
  <c r="J352" i="20" s="1"/>
  <c r="C352" i="6" s="1"/>
  <c r="H255" i="20"/>
  <c r="J255" i="20" s="1"/>
  <c r="C255" i="6" s="1"/>
  <c r="AA303" i="20"/>
  <c r="Z303" i="20" s="1"/>
  <c r="Y303" i="20" s="1"/>
  <c r="G232" i="20"/>
  <c r="CB232" i="6" s="1"/>
  <c r="H346" i="20"/>
  <c r="J346" i="20" s="1"/>
  <c r="C346" i="6" s="1"/>
  <c r="H81" i="20"/>
  <c r="I81" i="20" s="1"/>
  <c r="B81" i="6" s="1"/>
  <c r="BA81" i="6" s="1"/>
  <c r="D81" i="6" s="1"/>
  <c r="G239" i="20"/>
  <c r="CB239" i="6" s="1"/>
  <c r="AA240" i="20"/>
  <c r="Z240" i="20" s="1"/>
  <c r="Y240" i="20" s="1"/>
  <c r="G352" i="20"/>
  <c r="CB352" i="6" s="1"/>
  <c r="H144" i="20"/>
  <c r="I144" i="20" s="1"/>
  <c r="B144" i="6" s="1"/>
  <c r="BA144" i="6" s="1"/>
  <c r="D144" i="6" s="1"/>
  <c r="AA84" i="20"/>
  <c r="Z84" i="20" s="1"/>
  <c r="Y84" i="20" s="1"/>
  <c r="H247" i="20"/>
  <c r="I247" i="20" s="1"/>
  <c r="B247" i="6" s="1"/>
  <c r="BA247" i="6" s="1"/>
  <c r="D247" i="6" s="1"/>
  <c r="H84" i="20"/>
  <c r="I84" i="20" s="1"/>
  <c r="B84" i="6" s="1"/>
  <c r="BA84" i="6" s="1"/>
  <c r="D84" i="6" s="1"/>
  <c r="H232" i="20"/>
  <c r="J232" i="20" s="1"/>
  <c r="C232" i="6" s="1"/>
  <c r="AA237" i="20"/>
  <c r="Z237" i="20" s="1"/>
  <c r="Y237" i="20" s="1"/>
  <c r="H62" i="20"/>
  <c r="I62" i="20" s="1"/>
  <c r="B62" i="6" s="1"/>
  <c r="BA62" i="6" s="1"/>
  <c r="D62" i="6" s="1"/>
  <c r="G66" i="19"/>
  <c r="H125" i="20"/>
  <c r="J125" i="20" s="1"/>
  <c r="C125" i="6" s="1"/>
  <c r="AA247" i="20"/>
  <c r="Z247" i="20" s="1"/>
  <c r="Y247" i="20" s="1"/>
  <c r="AA224" i="20"/>
  <c r="Z224" i="20" s="1"/>
  <c r="Y224" i="20" s="1"/>
  <c r="H292" i="20"/>
  <c r="J292" i="20" s="1"/>
  <c r="C292" i="6" s="1"/>
  <c r="H177" i="20"/>
  <c r="J177" i="20" s="1"/>
  <c r="C177" i="6" s="1"/>
  <c r="AA339" i="20"/>
  <c r="Z339" i="20" s="1"/>
  <c r="Y339" i="20" s="1"/>
  <c r="H249" i="20"/>
  <c r="J249" i="20" s="1"/>
  <c r="C249" i="6" s="1"/>
  <c r="AA125" i="20"/>
  <c r="Z125" i="20" s="1"/>
  <c r="Y125" i="20" s="1"/>
  <c r="H205" i="20"/>
  <c r="I205" i="20" s="1"/>
  <c r="B205" i="6" s="1"/>
  <c r="BA205" i="6" s="1"/>
  <c r="D205" i="6" s="1"/>
  <c r="AA17" i="20"/>
  <c r="Z17" i="20" s="1"/>
  <c r="Y17" i="20" s="1"/>
  <c r="H317" i="20"/>
  <c r="J317" i="20" s="1"/>
  <c r="C317" i="6" s="1"/>
  <c r="H102" i="20"/>
  <c r="J102" i="20" s="1"/>
  <c r="C102" i="6" s="1"/>
  <c r="AA93" i="20"/>
  <c r="Z93" i="20" s="1"/>
  <c r="Y93" i="20" s="1"/>
  <c r="H320" i="20"/>
  <c r="I320" i="20" s="1"/>
  <c r="B320" i="6" s="1"/>
  <c r="BA320" i="6" s="1"/>
  <c r="D320" i="6" s="1"/>
  <c r="H303" i="20"/>
  <c r="J303" i="20" s="1"/>
  <c r="C303" i="6" s="1"/>
  <c r="AA249" i="20"/>
  <c r="Z249" i="20" s="1"/>
  <c r="Y249" i="20" s="1"/>
  <c r="AA211" i="20"/>
  <c r="Z211" i="20" s="1"/>
  <c r="Y211" i="20" s="1"/>
  <c r="H237" i="20"/>
  <c r="I237" i="20" s="1"/>
  <c r="B237" i="6" s="1"/>
  <c r="BA237" i="6" s="1"/>
  <c r="D237" i="6" s="1"/>
  <c r="G136" i="20"/>
  <c r="CB136" i="6" s="1"/>
  <c r="H101" i="20"/>
  <c r="I101" i="20" s="1"/>
  <c r="B101" i="6" s="1"/>
  <c r="BA101" i="6" s="1"/>
  <c r="D101" i="6" s="1"/>
  <c r="H344" i="20"/>
  <c r="I344" i="20" s="1"/>
  <c r="B344" i="6" s="1"/>
  <c r="BA344" i="6" s="1"/>
  <c r="D344" i="6" s="1"/>
  <c r="H274" i="20"/>
  <c r="J274" i="20" s="1"/>
  <c r="C274" i="6" s="1"/>
  <c r="G42" i="20"/>
  <c r="CB42" i="6" s="1"/>
  <c r="H230" i="20"/>
  <c r="J230" i="20" s="1"/>
  <c r="C230" i="6" s="1"/>
  <c r="H353" i="20"/>
  <c r="I353" i="20" s="1"/>
  <c r="B353" i="6" s="1"/>
  <c r="BA353" i="6" s="1"/>
  <c r="D353" i="6" s="1"/>
  <c r="H197" i="20"/>
  <c r="J197" i="20" s="1"/>
  <c r="C197" i="6" s="1"/>
  <c r="H224" i="20"/>
  <c r="I224" i="20" s="1"/>
  <c r="B224" i="6" s="1"/>
  <c r="BA224" i="6" s="1"/>
  <c r="D224" i="6" s="1"/>
  <c r="H281" i="20"/>
  <c r="J281" i="20" s="1"/>
  <c r="C281" i="6" s="1"/>
  <c r="H335" i="20"/>
  <c r="I335" i="20" s="1"/>
  <c r="B335" i="6" s="1"/>
  <c r="BA335" i="6" s="1"/>
  <c r="D335" i="6" s="1"/>
  <c r="G131" i="20"/>
  <c r="CB131" i="6" s="1"/>
  <c r="H151" i="20"/>
  <c r="J151" i="20" s="1"/>
  <c r="C151" i="6" s="1"/>
  <c r="AA371" i="20"/>
  <c r="Z371" i="20" s="1"/>
  <c r="Y371" i="20" s="1"/>
  <c r="AA284" i="20"/>
  <c r="Z284" i="20" s="1"/>
  <c r="Y284" i="20" s="1"/>
  <c r="AA328" i="20"/>
  <c r="Z328" i="20" s="1"/>
  <c r="Y328" i="20" s="1"/>
  <c r="AA358" i="20"/>
  <c r="Z358" i="20" s="1"/>
  <c r="Y358" i="20" s="1"/>
  <c r="AA92" i="20"/>
  <c r="Z92" i="20" s="1"/>
  <c r="Y92" i="20" s="1"/>
  <c r="AA188" i="20"/>
  <c r="Z188" i="20" s="1"/>
  <c r="Y188" i="20" s="1"/>
  <c r="AA234" i="20"/>
  <c r="Z234" i="20" s="1"/>
  <c r="Y234" i="20" s="1"/>
  <c r="H328" i="20"/>
  <c r="J328" i="20" s="1"/>
  <c r="C328" i="6" s="1"/>
  <c r="G107" i="20"/>
  <c r="CB107" i="6" s="1"/>
  <c r="H357" i="20"/>
  <c r="J357" i="20" s="1"/>
  <c r="C357" i="6" s="1"/>
  <c r="AA217" i="20"/>
  <c r="Z217" i="20" s="1"/>
  <c r="Y217" i="20" s="1"/>
  <c r="H284" i="20"/>
  <c r="I284" i="20" s="1"/>
  <c r="B284" i="6" s="1"/>
  <c r="BA284" i="6" s="1"/>
  <c r="D284" i="6" s="1"/>
  <c r="G359" i="20"/>
  <c r="CB359" i="6" s="1"/>
  <c r="G23" i="20"/>
  <c r="CB23" i="6" s="1"/>
  <c r="H358" i="20"/>
  <c r="I358" i="20" s="1"/>
  <c r="B358" i="6" s="1"/>
  <c r="BA358" i="6" s="1"/>
  <c r="D358" i="6" s="1"/>
  <c r="G57" i="20"/>
  <c r="CB57" i="6" s="1"/>
  <c r="AA268" i="20"/>
  <c r="Z268" i="20" s="1"/>
  <c r="Y268" i="20" s="1"/>
  <c r="H17" i="20"/>
  <c r="I17" i="20" s="1"/>
  <c r="B17" i="6" s="1"/>
  <c r="BA17" i="6" s="1"/>
  <c r="D17" i="6" s="1"/>
  <c r="AA277" i="20"/>
  <c r="Z277" i="20" s="1"/>
  <c r="Y277" i="20" s="1"/>
  <c r="G225" i="20"/>
  <c r="CB225" i="6" s="1"/>
  <c r="AA35" i="20"/>
  <c r="Z35" i="20" s="1"/>
  <c r="Y35" i="20" s="1"/>
  <c r="H35" i="20"/>
  <c r="I35" i="20" s="1"/>
  <c r="B35" i="6" s="1"/>
  <c r="BA35" i="6" s="1"/>
  <c r="D35" i="6" s="1"/>
  <c r="G268" i="20"/>
  <c r="CB268" i="6" s="1"/>
  <c r="H277" i="20"/>
  <c r="I277" i="20" s="1"/>
  <c r="B277" i="6" s="1"/>
  <c r="BA277" i="6" s="1"/>
  <c r="D277" i="6" s="1"/>
  <c r="H30" i="20"/>
  <c r="I30" i="20" s="1"/>
  <c r="B30" i="6" s="1"/>
  <c r="BA30" i="6" s="1"/>
  <c r="D30" i="6" s="1"/>
  <c r="H279" i="20"/>
  <c r="J279" i="20" s="1"/>
  <c r="C279" i="6" s="1"/>
  <c r="H225" i="20"/>
  <c r="I225" i="20" s="1"/>
  <c r="B225" i="6" s="1"/>
  <c r="BA225" i="6" s="1"/>
  <c r="D225" i="6" s="1"/>
  <c r="G220" i="20"/>
  <c r="CB220" i="6" s="1"/>
  <c r="AA169" i="20"/>
  <c r="Z169" i="20" s="1"/>
  <c r="Y169" i="20" s="1"/>
  <c r="AA140" i="20"/>
  <c r="Z140" i="20" s="1"/>
  <c r="Y140" i="20" s="1"/>
  <c r="H217" i="20"/>
  <c r="I217" i="20" s="1"/>
  <c r="B217" i="6" s="1"/>
  <c r="BA217" i="6" s="1"/>
  <c r="D217" i="6" s="1"/>
  <c r="AA252" i="20"/>
  <c r="Z252" i="20" s="1"/>
  <c r="Y252" i="20" s="1"/>
  <c r="AA297" i="20"/>
  <c r="Z297" i="20" s="1"/>
  <c r="Y297" i="20" s="1"/>
  <c r="H23" i="20"/>
  <c r="I23" i="20" s="1"/>
  <c r="B23" i="6" s="1"/>
  <c r="BA23" i="6" s="1"/>
  <c r="D23" i="6" s="1"/>
  <c r="G326" i="20"/>
  <c r="CB326" i="6" s="1"/>
  <c r="H107" i="20"/>
  <c r="I107" i="20" s="1"/>
  <c r="B107" i="6" s="1"/>
  <c r="BA107" i="6" s="1"/>
  <c r="D107" i="6" s="1"/>
  <c r="H201" i="20"/>
  <c r="I201" i="20" s="1"/>
  <c r="B201" i="6" s="1"/>
  <c r="BA201" i="6" s="1"/>
  <c r="D201" i="6" s="1"/>
  <c r="H77" i="20"/>
  <c r="J77" i="20" s="1"/>
  <c r="C77" i="6" s="1"/>
  <c r="G175" i="20"/>
  <c r="CB175" i="6" s="1"/>
  <c r="G115" i="20"/>
  <c r="CB115" i="6" s="1"/>
  <c r="H169" i="20"/>
  <c r="I169" i="20" s="1"/>
  <c r="B169" i="6" s="1"/>
  <c r="BA169" i="6" s="1"/>
  <c r="D169" i="6" s="1"/>
  <c r="G178" i="20"/>
  <c r="CB178" i="6" s="1"/>
  <c r="H214" i="20"/>
  <c r="I214" i="20" s="1"/>
  <c r="B214" i="6" s="1"/>
  <c r="BA214" i="6" s="1"/>
  <c r="D214" i="6" s="1"/>
  <c r="AA36" i="20"/>
  <c r="Z36" i="20" s="1"/>
  <c r="Y36" i="20" s="1"/>
  <c r="G215" i="20"/>
  <c r="CB215" i="6" s="1"/>
  <c r="H327" i="20"/>
  <c r="I327" i="20" s="1"/>
  <c r="B327" i="6" s="1"/>
  <c r="BA327" i="6" s="1"/>
  <c r="D327" i="6" s="1"/>
  <c r="G248" i="20"/>
  <c r="CB248" i="6" s="1"/>
  <c r="G205" i="20"/>
  <c r="CB205" i="6" s="1"/>
  <c r="G45" i="20"/>
  <c r="CB45" i="6" s="1"/>
  <c r="AA26" i="20"/>
  <c r="Z26" i="20" s="1"/>
  <c r="Y26" i="20" s="1"/>
  <c r="AA327" i="20"/>
  <c r="Z327" i="20" s="1"/>
  <c r="Y327" i="20" s="1"/>
  <c r="AA45" i="20"/>
  <c r="Z45" i="20" s="1"/>
  <c r="Y45" i="20" s="1"/>
  <c r="H143" i="20"/>
  <c r="J143" i="20" s="1"/>
  <c r="C143" i="6" s="1"/>
  <c r="H220" i="20"/>
  <c r="J220" i="20" s="1"/>
  <c r="C220" i="6" s="1"/>
  <c r="G26" i="20"/>
  <c r="CB26" i="6" s="1"/>
  <c r="AA120" i="20"/>
  <c r="Z120" i="20" s="1"/>
  <c r="Y120" i="20" s="1"/>
  <c r="G126" i="20"/>
  <c r="CB126" i="6" s="1"/>
  <c r="AA289" i="20"/>
  <c r="Z289" i="20" s="1"/>
  <c r="Y289" i="20" s="1"/>
  <c r="G168" i="20"/>
  <c r="CB168" i="6" s="1"/>
  <c r="H37" i="20"/>
  <c r="I37" i="20" s="1"/>
  <c r="B37" i="6" s="1"/>
  <c r="BA37" i="6" s="1"/>
  <c r="D37" i="6" s="1"/>
  <c r="H325" i="20"/>
  <c r="I325" i="20" s="1"/>
  <c r="B325" i="6" s="1"/>
  <c r="BA325" i="6" s="1"/>
  <c r="D325" i="6" s="1"/>
  <c r="G82" i="20"/>
  <c r="CB82" i="6" s="1"/>
  <c r="G135" i="20"/>
  <c r="CB135" i="6" s="1"/>
  <c r="H351" i="20"/>
  <c r="I351" i="20" s="1"/>
  <c r="B351" i="6" s="1"/>
  <c r="BA351" i="6" s="1"/>
  <c r="D351" i="6" s="1"/>
  <c r="G374" i="20"/>
  <c r="CB374" i="6" s="1"/>
  <c r="H68" i="20"/>
  <c r="J68" i="20" s="1"/>
  <c r="C68" i="6" s="1"/>
  <c r="AA260" i="20"/>
  <c r="Z260" i="20" s="1"/>
  <c r="Y260" i="20" s="1"/>
  <c r="H136" i="20"/>
  <c r="J136" i="20" s="1"/>
  <c r="C136" i="6" s="1"/>
  <c r="G80" i="20"/>
  <c r="CB80" i="6" s="1"/>
  <c r="G208" i="20"/>
  <c r="CB208" i="6" s="1"/>
  <c r="H93" i="20"/>
  <c r="I93" i="20" s="1"/>
  <c r="B93" i="6" s="1"/>
  <c r="BA93" i="6" s="1"/>
  <c r="D93" i="6" s="1"/>
  <c r="G143" i="20"/>
  <c r="CB143" i="6" s="1"/>
  <c r="AA95" i="20"/>
  <c r="Z95" i="20" s="1"/>
  <c r="Y95" i="20" s="1"/>
  <c r="H28" i="20"/>
  <c r="J28" i="20" s="1"/>
  <c r="C28" i="6" s="1"/>
  <c r="G311" i="20"/>
  <c r="CB311" i="6" s="1"/>
  <c r="AA74" i="20"/>
  <c r="Z74" i="20" s="1"/>
  <c r="Y74" i="20" s="1"/>
  <c r="H174" i="20"/>
  <c r="I174" i="20" s="1"/>
  <c r="B174" i="6" s="1"/>
  <c r="BA174" i="6" s="1"/>
  <c r="D174" i="6" s="1"/>
  <c r="G172" i="20"/>
  <c r="CB172" i="6" s="1"/>
  <c r="H110" i="20"/>
  <c r="J110" i="20" s="1"/>
  <c r="C110" i="6" s="1"/>
  <c r="H222" i="20"/>
  <c r="I222" i="20" s="1"/>
  <c r="B222" i="6" s="1"/>
  <c r="BA222" i="6" s="1"/>
  <c r="D222" i="6" s="1"/>
  <c r="AA271" i="20"/>
  <c r="Z271" i="20" s="1"/>
  <c r="Y271" i="20" s="1"/>
  <c r="AA278" i="20"/>
  <c r="Z278" i="20" s="1"/>
  <c r="Y278" i="20" s="1"/>
  <c r="AA316" i="20"/>
  <c r="Z316" i="20" s="1"/>
  <c r="Y316" i="20" s="1"/>
  <c r="AA124" i="20"/>
  <c r="Z124" i="20" s="1"/>
  <c r="Y124" i="20" s="1"/>
  <c r="H343" i="20"/>
  <c r="J343" i="20" s="1"/>
  <c r="C343" i="6" s="1"/>
  <c r="H298" i="20"/>
  <c r="J298" i="20" s="1"/>
  <c r="C298" i="6" s="1"/>
  <c r="H271" i="20"/>
  <c r="I271" i="20" s="1"/>
  <c r="B271" i="6" s="1"/>
  <c r="BA271" i="6" s="1"/>
  <c r="D271" i="6" s="1"/>
  <c r="H57" i="20"/>
  <c r="I57" i="20" s="1"/>
  <c r="B57" i="6" s="1"/>
  <c r="BA57" i="6" s="1"/>
  <c r="D57" i="6" s="1"/>
  <c r="G141" i="20"/>
  <c r="CB141" i="6" s="1"/>
  <c r="H216" i="20"/>
  <c r="I216" i="20" s="1"/>
  <c r="B216" i="6" s="1"/>
  <c r="BA216" i="6" s="1"/>
  <c r="D216" i="6" s="1"/>
  <c r="H94" i="20"/>
  <c r="I94" i="20" s="1"/>
  <c r="B94" i="6" s="1"/>
  <c r="BA94" i="6" s="1"/>
  <c r="D94" i="6" s="1"/>
  <c r="H256" i="20"/>
  <c r="J256" i="20" s="1"/>
  <c r="C256" i="6" s="1"/>
  <c r="G83" i="20"/>
  <c r="CB83" i="6" s="1"/>
  <c r="G313" i="20"/>
  <c r="CB313" i="6" s="1"/>
  <c r="G171" i="20"/>
  <c r="CB171" i="6" s="1"/>
  <c r="H186" i="20"/>
  <c r="J186" i="20" s="1"/>
  <c r="C186" i="6" s="1"/>
  <c r="AA49" i="20"/>
  <c r="Z49" i="20" s="1"/>
  <c r="Y49" i="20" s="1"/>
  <c r="AA326" i="20"/>
  <c r="Z326" i="20" s="1"/>
  <c r="Y326" i="20" s="1"/>
  <c r="AA347" i="20"/>
  <c r="Z347" i="20" s="1"/>
  <c r="Y347" i="20" s="1"/>
  <c r="AA183" i="20"/>
  <c r="Z183" i="20" s="1"/>
  <c r="Y183" i="20" s="1"/>
  <c r="AA52" i="20"/>
  <c r="Z52" i="20" s="1"/>
  <c r="Y52" i="20" s="1"/>
  <c r="H286" i="20"/>
  <c r="J286" i="20" s="1"/>
  <c r="C286" i="6" s="1"/>
  <c r="G231" i="20"/>
  <c r="CB231" i="6" s="1"/>
  <c r="AA354" i="20"/>
  <c r="Z354" i="20" s="1"/>
  <c r="Y354" i="20" s="1"/>
  <c r="H82" i="20"/>
  <c r="J82" i="20" s="1"/>
  <c r="C82" i="6" s="1"/>
  <c r="H189" i="20"/>
  <c r="J189" i="20" s="1"/>
  <c r="C189" i="6" s="1"/>
  <c r="J135" i="20"/>
  <c r="C135" i="6" s="1"/>
  <c r="G351" i="20"/>
  <c r="CB351" i="6" s="1"/>
  <c r="G16" i="20"/>
  <c r="CB16" i="6" s="1"/>
  <c r="G129" i="20"/>
  <c r="CB129" i="6" s="1"/>
  <c r="AA152" i="20"/>
  <c r="Z152" i="20" s="1"/>
  <c r="Y152" i="20" s="1"/>
  <c r="H226" i="20"/>
  <c r="I226" i="20" s="1"/>
  <c r="B226" i="6" s="1"/>
  <c r="BA226" i="6" s="1"/>
  <c r="D226" i="6" s="1"/>
  <c r="AA176" i="20"/>
  <c r="Z176" i="20" s="1"/>
  <c r="Y176" i="20" s="1"/>
  <c r="H246" i="20"/>
  <c r="J246" i="20" s="1"/>
  <c r="C246" i="6" s="1"/>
  <c r="H350" i="20"/>
  <c r="I350" i="20" s="1"/>
  <c r="B350" i="6" s="1"/>
  <c r="BA350" i="6" s="1"/>
  <c r="D350" i="6" s="1"/>
  <c r="H165" i="20"/>
  <c r="J165" i="20" s="1"/>
  <c r="C165" i="6" s="1"/>
  <c r="AA355" i="20"/>
  <c r="Z355" i="20" s="1"/>
  <c r="Y355" i="20" s="1"/>
  <c r="G322" i="20"/>
  <c r="CB322" i="6" s="1"/>
  <c r="H208" i="20"/>
  <c r="I208" i="20" s="1"/>
  <c r="B208" i="6" s="1"/>
  <c r="BA208" i="6" s="1"/>
  <c r="D208" i="6" s="1"/>
  <c r="H42" i="20"/>
  <c r="J42" i="20" s="1"/>
  <c r="C42" i="6" s="1"/>
  <c r="AA128" i="20"/>
  <c r="Z128" i="20" s="1"/>
  <c r="Y128" i="20" s="1"/>
  <c r="G258" i="20"/>
  <c r="CB258" i="6" s="1"/>
  <c r="H314" i="20"/>
  <c r="J314" i="20" s="1"/>
  <c r="C314" i="6" s="1"/>
  <c r="H34" i="20"/>
  <c r="I34" i="20" s="1"/>
  <c r="B34" i="6" s="1"/>
  <c r="BA34" i="6" s="1"/>
  <c r="D34" i="6" s="1"/>
  <c r="H123" i="20"/>
  <c r="J123" i="20" s="1"/>
  <c r="C123" i="6" s="1"/>
  <c r="H359" i="20"/>
  <c r="I359" i="20" s="1"/>
  <c r="B359" i="6" s="1"/>
  <c r="BA359" i="6" s="1"/>
  <c r="D359" i="6" s="1"/>
  <c r="AA362" i="20"/>
  <c r="Z362" i="20" s="1"/>
  <c r="Y362" i="20" s="1"/>
  <c r="H311" i="20"/>
  <c r="I311" i="20" s="1"/>
  <c r="B311" i="6" s="1"/>
  <c r="BA311" i="6" s="1"/>
  <c r="D311" i="6" s="1"/>
  <c r="H252" i="20"/>
  <c r="J252" i="20" s="1"/>
  <c r="C252" i="6" s="1"/>
  <c r="G110" i="20"/>
  <c r="CB110" i="6" s="1"/>
  <c r="G222" i="20"/>
  <c r="CB222" i="6" s="1"/>
  <c r="AA178" i="20"/>
  <c r="Z178" i="20" s="1"/>
  <c r="Y178" i="20" s="1"/>
  <c r="H49" i="20"/>
  <c r="I49" i="20" s="1"/>
  <c r="B49" i="6" s="1"/>
  <c r="BA49" i="6" s="1"/>
  <c r="D49" i="6" s="1"/>
  <c r="G124" i="20"/>
  <c r="CB124" i="6" s="1"/>
  <c r="H142" i="20"/>
  <c r="J142" i="20" s="1"/>
  <c r="C142" i="6" s="1"/>
  <c r="G76" i="20"/>
  <c r="CB76" i="6" s="1"/>
  <c r="H347" i="20"/>
  <c r="I347" i="20" s="1"/>
  <c r="B347" i="6" s="1"/>
  <c r="BA347" i="6" s="1"/>
  <c r="D347" i="6" s="1"/>
  <c r="H157" i="20"/>
  <c r="J157" i="20" s="1"/>
  <c r="C157" i="6" s="1"/>
  <c r="H141" i="20"/>
  <c r="I141" i="20" s="1"/>
  <c r="B141" i="6" s="1"/>
  <c r="BA141" i="6" s="1"/>
  <c r="D141" i="6" s="1"/>
  <c r="AA250" i="20"/>
  <c r="Z250" i="20" s="1"/>
  <c r="Y250" i="20" s="1"/>
  <c r="H243" i="20"/>
  <c r="J243" i="20" s="1"/>
  <c r="C243" i="6" s="1"/>
  <c r="AA215" i="20"/>
  <c r="Z215" i="20" s="1"/>
  <c r="Y215" i="20" s="1"/>
  <c r="G317" i="20"/>
  <c r="CB317" i="6" s="1"/>
  <c r="G92" i="20"/>
  <c r="CB92" i="6" s="1"/>
  <c r="AA94" i="20"/>
  <c r="Z94" i="20" s="1"/>
  <c r="Y94" i="20" s="1"/>
  <c r="G345" i="20"/>
  <c r="CB345" i="6" s="1"/>
  <c r="AA73" i="20"/>
  <c r="Z73" i="20" s="1"/>
  <c r="Y73" i="20" s="1"/>
  <c r="H185" i="20"/>
  <c r="I185" i="20" s="1"/>
  <c r="B185" i="6" s="1"/>
  <c r="BA185" i="6" s="1"/>
  <c r="D185" i="6" s="1"/>
  <c r="G257" i="20"/>
  <c r="CB257" i="6" s="1"/>
  <c r="G36" i="20"/>
  <c r="CB36" i="6" s="1"/>
  <c r="G22" i="20"/>
  <c r="CB22" i="6" s="1"/>
  <c r="H46" i="20"/>
  <c r="I46" i="20" s="1"/>
  <c r="B46" i="6" s="1"/>
  <c r="BA46" i="6" s="1"/>
  <c r="D46" i="6" s="1"/>
  <c r="H354" i="20"/>
  <c r="I354" i="20" s="1"/>
  <c r="B354" i="6" s="1"/>
  <c r="BA354" i="6" s="1"/>
  <c r="D354" i="6" s="1"/>
  <c r="G269" i="20"/>
  <c r="CB269" i="6" s="1"/>
  <c r="H41" i="20"/>
  <c r="I41" i="20" s="1"/>
  <c r="B41" i="6" s="1"/>
  <c r="BA41" i="6" s="1"/>
  <c r="D41" i="6" s="1"/>
  <c r="AA214" i="20"/>
  <c r="Z214" i="20" s="1"/>
  <c r="Y214" i="20" s="1"/>
  <c r="AA343" i="20"/>
  <c r="Z343" i="20" s="1"/>
  <c r="Y343" i="20" s="1"/>
  <c r="AA142" i="20"/>
  <c r="Z142" i="20" s="1"/>
  <c r="Y142" i="20" s="1"/>
  <c r="G52" i="20"/>
  <c r="CB52" i="6" s="1"/>
  <c r="H309" i="20"/>
  <c r="I309" i="20" s="1"/>
  <c r="B309" i="6" s="1"/>
  <c r="BA309" i="6" s="1"/>
  <c r="H262" i="20"/>
  <c r="I262" i="20" s="1"/>
  <c r="B262" i="6" s="1"/>
  <c r="BA262" i="6" s="1"/>
  <c r="D262" i="6" s="1"/>
  <c r="AA132" i="20"/>
  <c r="Z132" i="20" s="1"/>
  <c r="Y132" i="20" s="1"/>
  <c r="H175" i="20"/>
  <c r="I175" i="20" s="1"/>
  <c r="B175" i="6" s="1"/>
  <c r="BA175" i="6" s="1"/>
  <c r="D175" i="6" s="1"/>
  <c r="H115" i="20"/>
  <c r="I115" i="20" s="1"/>
  <c r="B115" i="6" s="1"/>
  <c r="BA115" i="6" s="1"/>
  <c r="D115" i="6" s="1"/>
  <c r="H100" i="20"/>
  <c r="J100" i="20" s="1"/>
  <c r="C100" i="6" s="1"/>
  <c r="G286" i="20"/>
  <c r="CB286" i="6" s="1"/>
  <c r="G183" i="20"/>
  <c r="CB183" i="6" s="1"/>
  <c r="H18" i="20"/>
  <c r="J18" i="20" s="1"/>
  <c r="C18" i="6" s="1"/>
  <c r="AA248" i="20"/>
  <c r="Z248" i="20" s="1"/>
  <c r="Y248" i="20" s="1"/>
  <c r="AA205" i="20"/>
  <c r="Z205" i="20" s="1"/>
  <c r="Y205" i="20" s="1"/>
  <c r="AA22" i="20"/>
  <c r="Z22" i="20" s="1"/>
  <c r="Y22" i="20" s="1"/>
  <c r="I74" i="20"/>
  <c r="B74" i="6" s="1"/>
  <c r="BA74" i="6" s="1"/>
  <c r="D74" i="6" s="1"/>
  <c r="H95" i="20"/>
  <c r="J95" i="20" s="1"/>
  <c r="C95" i="6" s="1"/>
  <c r="H362" i="20"/>
  <c r="I362" i="20" s="1"/>
  <c r="B362" i="6" s="1"/>
  <c r="BA362" i="6" s="1"/>
  <c r="D362" i="6" s="1"/>
  <c r="G28" i="20"/>
  <c r="CB28" i="6" s="1"/>
  <c r="G74" i="20"/>
  <c r="CB74" i="6" s="1"/>
  <c r="AA174" i="20"/>
  <c r="Z174" i="20" s="1"/>
  <c r="Y174" i="20" s="1"/>
  <c r="AA172" i="20"/>
  <c r="Z172" i="20" s="1"/>
  <c r="Y172" i="20" s="1"/>
  <c r="AA231" i="20"/>
  <c r="Z231" i="20" s="1"/>
  <c r="Y231" i="20" s="1"/>
  <c r="AA262" i="20"/>
  <c r="Z262" i="20" s="1"/>
  <c r="Y262" i="20" s="1"/>
  <c r="AA350" i="20"/>
  <c r="Z350" i="20" s="1"/>
  <c r="Y350" i="20" s="1"/>
  <c r="H234" i="20"/>
  <c r="I234" i="20" s="1"/>
  <c r="B234" i="6" s="1"/>
  <c r="BA234" i="6" s="1"/>
  <c r="D234" i="6" s="1"/>
  <c r="H76" i="20"/>
  <c r="I76" i="20" s="1"/>
  <c r="B76" i="6" s="1"/>
  <c r="BA76" i="6" s="1"/>
  <c r="D76" i="6" s="1"/>
  <c r="H63" i="20"/>
  <c r="J63" i="20" s="1"/>
  <c r="C63" i="6" s="1"/>
  <c r="H188" i="20"/>
  <c r="I188" i="20" s="1"/>
  <c r="B188" i="6" s="1"/>
  <c r="BA188" i="6" s="1"/>
  <c r="D188" i="6" s="1"/>
  <c r="H105" i="20"/>
  <c r="I105" i="20" s="1"/>
  <c r="B105" i="6" s="1"/>
  <c r="BA105" i="6" s="1"/>
  <c r="D105" i="6" s="1"/>
  <c r="H316" i="20"/>
  <c r="I316" i="20" s="1"/>
  <c r="B316" i="6" s="1"/>
  <c r="BA316" i="6" s="1"/>
  <c r="D316" i="6" s="1"/>
  <c r="H250" i="20"/>
  <c r="I250" i="20" s="1"/>
  <c r="B250" i="6" s="1"/>
  <c r="BA250" i="6" s="1"/>
  <c r="D250" i="6" s="1"/>
  <c r="AA243" i="20"/>
  <c r="Z243" i="20" s="1"/>
  <c r="Y243" i="20" s="1"/>
  <c r="H276" i="20"/>
  <c r="J276" i="20" s="1"/>
  <c r="C276" i="6" s="1"/>
  <c r="G332" i="20"/>
  <c r="CB332" i="6" s="1"/>
  <c r="H345" i="20"/>
  <c r="I345" i="20" s="1"/>
  <c r="B345" i="6" s="1"/>
  <c r="BA345" i="6" s="1"/>
  <c r="D345" i="6" s="1"/>
  <c r="G73" i="20"/>
  <c r="CB73" i="6" s="1"/>
  <c r="AA256" i="20"/>
  <c r="Z256" i="20" s="1"/>
  <c r="Y256" i="20" s="1"/>
  <c r="G185" i="20"/>
  <c r="CB185" i="6" s="1"/>
  <c r="H257" i="20"/>
  <c r="J257" i="20" s="1"/>
  <c r="C257" i="6" s="1"/>
  <c r="H83" i="20"/>
  <c r="J83" i="20" s="1"/>
  <c r="C83" i="6" s="1"/>
  <c r="G312" i="20"/>
  <c r="CB312" i="6" s="1"/>
  <c r="H313" i="20"/>
  <c r="J313" i="20" s="1"/>
  <c r="C313" i="6" s="1"/>
  <c r="H171" i="20"/>
  <c r="J171" i="20" s="1"/>
  <c r="C171" i="6" s="1"/>
  <c r="AA46" i="20"/>
  <c r="Z46" i="20" s="1"/>
  <c r="Y46" i="20" s="1"/>
  <c r="H40" i="20"/>
  <c r="J40" i="20" s="1"/>
  <c r="C40" i="6" s="1"/>
  <c r="G41" i="20"/>
  <c r="CB41" i="6" s="1"/>
  <c r="G186" i="20"/>
  <c r="CB186" i="6" s="1"/>
  <c r="H132" i="20"/>
  <c r="J132" i="20" s="1"/>
  <c r="C132" i="6" s="1"/>
  <c r="AA100" i="20"/>
  <c r="Z100" i="20" s="1"/>
  <c r="Y100" i="20" s="1"/>
  <c r="H337" i="20"/>
  <c r="J337" i="20" s="1"/>
  <c r="C337" i="6" s="1"/>
  <c r="AA279" i="20"/>
  <c r="Z279" i="20" s="1"/>
  <c r="Y279" i="20" s="1"/>
  <c r="H334" i="20"/>
  <c r="J334" i="20" s="1"/>
  <c r="C334" i="6" s="1"/>
  <c r="H371" i="20"/>
  <c r="I371" i="20" s="1"/>
  <c r="B371" i="6" s="1"/>
  <c r="BA371" i="6" s="1"/>
  <c r="D371" i="6" s="1"/>
  <c r="Q12" i="23"/>
  <c r="AS15" i="7" s="1"/>
  <c r="Q383" i="22"/>
  <c r="H236" i="20"/>
  <c r="I236" i="20" s="1"/>
  <c r="B236" i="6" s="1"/>
  <c r="BA236" i="6" s="1"/>
  <c r="D236" i="6" s="1"/>
  <c r="G21" i="20"/>
  <c r="CB21" i="6" s="1"/>
  <c r="H147" i="20"/>
  <c r="J147" i="20" s="1"/>
  <c r="C147" i="6" s="1"/>
  <c r="G19" i="20"/>
  <c r="CB19" i="6" s="1"/>
  <c r="H148" i="20"/>
  <c r="I148" i="20" s="1"/>
  <c r="B148" i="6" s="1"/>
  <c r="BA148" i="6" s="1"/>
  <c r="D148" i="6" s="1"/>
  <c r="AA160" i="20"/>
  <c r="Z160" i="20" s="1"/>
  <c r="Y160" i="20" s="1"/>
  <c r="AA162" i="20"/>
  <c r="Z162" i="20" s="1"/>
  <c r="Y162" i="20" s="1"/>
  <c r="AA270" i="20"/>
  <c r="Z270" i="20" s="1"/>
  <c r="Y270" i="20" s="1"/>
  <c r="H261" i="20"/>
  <c r="I261" i="20" s="1"/>
  <c r="B261" i="6" s="1"/>
  <c r="BA261" i="6" s="1"/>
  <c r="D261" i="6" s="1"/>
  <c r="G366" i="20"/>
  <c r="CB366" i="6" s="1"/>
  <c r="H65" i="20"/>
  <c r="I65" i="20" s="1"/>
  <c r="B65" i="6" s="1"/>
  <c r="BA65" i="6" s="1"/>
  <c r="D65" i="6" s="1"/>
  <c r="G336" i="20"/>
  <c r="CB336" i="6" s="1"/>
  <c r="H184" i="20"/>
  <c r="J184" i="20" s="1"/>
  <c r="C184" i="6" s="1"/>
  <c r="H306" i="20"/>
  <c r="J306" i="20" s="1"/>
  <c r="C306" i="6" s="1"/>
  <c r="H368" i="20"/>
  <c r="I368" i="20" s="1"/>
  <c r="B368" i="6" s="1"/>
  <c r="BA368" i="6" s="1"/>
  <c r="D368" i="6" s="1"/>
  <c r="H140" i="20"/>
  <c r="I140" i="20" s="1"/>
  <c r="B140" i="6" s="1"/>
  <c r="BA140" i="6" s="1"/>
  <c r="D140" i="6" s="1"/>
  <c r="AA154" i="20"/>
  <c r="Z154" i="20" s="1"/>
  <c r="Y154" i="20" s="1"/>
  <c r="AA161" i="20"/>
  <c r="Z161" i="20" s="1"/>
  <c r="Y161" i="20" s="1"/>
  <c r="AA295" i="20"/>
  <c r="Z295" i="20" s="1"/>
  <c r="Y295" i="20" s="1"/>
  <c r="H131" i="20"/>
  <c r="I131" i="20" s="1"/>
  <c r="B131" i="6" s="1"/>
  <c r="BA131" i="6" s="1"/>
  <c r="D131" i="6" s="1"/>
  <c r="AA117" i="20"/>
  <c r="Z117" i="20" s="1"/>
  <c r="Y117" i="20" s="1"/>
  <c r="H278" i="20"/>
  <c r="I278" i="20" s="1"/>
  <c r="B278" i="6" s="1"/>
  <c r="BA278" i="6" s="1"/>
  <c r="D278" i="6" s="1"/>
  <c r="G176" i="20"/>
  <c r="CB176" i="6" s="1"/>
  <c r="H361" i="20"/>
  <c r="I361" i="20" s="1"/>
  <c r="B361" i="6" s="1"/>
  <c r="BA361" i="6" s="1"/>
  <c r="D361" i="6" s="1"/>
  <c r="AA129" i="20"/>
  <c r="Z129" i="20" s="1"/>
  <c r="Y129" i="20" s="1"/>
  <c r="J258" i="20"/>
  <c r="C258" i="6" s="1"/>
  <c r="AA16" i="20"/>
  <c r="Z16" i="20" s="1"/>
  <c r="Y16" i="20" s="1"/>
  <c r="G238" i="20"/>
  <c r="CB238" i="6" s="1"/>
  <c r="H374" i="20"/>
  <c r="J374" i="20" s="1"/>
  <c r="C374" i="6" s="1"/>
  <c r="AA299" i="20"/>
  <c r="Z299" i="20" s="1"/>
  <c r="Y299" i="20" s="1"/>
  <c r="G68" i="20"/>
  <c r="CB68" i="6" s="1"/>
  <c r="H152" i="20"/>
  <c r="J152" i="20" s="1"/>
  <c r="C152" i="6" s="1"/>
  <c r="H240" i="20"/>
  <c r="I240" i="20" s="1"/>
  <c r="B240" i="6" s="1"/>
  <c r="BA240" i="6" s="1"/>
  <c r="D240" i="6" s="1"/>
  <c r="AA226" i="20"/>
  <c r="Z226" i="20" s="1"/>
  <c r="Y226" i="20" s="1"/>
  <c r="G120" i="20"/>
  <c r="CB120" i="6" s="1"/>
  <c r="H126" i="20"/>
  <c r="J126" i="20" s="1"/>
  <c r="C126" i="6" s="1"/>
  <c r="G319" i="20"/>
  <c r="CB319" i="6" s="1"/>
  <c r="AA168" i="20"/>
  <c r="Z168" i="20" s="1"/>
  <c r="Y168" i="20" s="1"/>
  <c r="AA366" i="20"/>
  <c r="Z366" i="20" s="1"/>
  <c r="Y366" i="20" s="1"/>
  <c r="AA67" i="20"/>
  <c r="Z67" i="20" s="1"/>
  <c r="Y67" i="20" s="1"/>
  <c r="H282" i="20"/>
  <c r="J282" i="20" s="1"/>
  <c r="C282" i="6" s="1"/>
  <c r="H108" i="20"/>
  <c r="J108" i="20" s="1"/>
  <c r="C108" i="6" s="1"/>
  <c r="G289" i="20"/>
  <c r="CB289" i="6" s="1"/>
  <c r="H170" i="20"/>
  <c r="J170" i="20" s="1"/>
  <c r="C170" i="6" s="1"/>
  <c r="AA325" i="20"/>
  <c r="Z325" i="20" s="1"/>
  <c r="Y325" i="20" s="1"/>
  <c r="H146" i="20"/>
  <c r="J146" i="20" s="1"/>
  <c r="C146" i="6" s="1"/>
  <c r="H342" i="20"/>
  <c r="I342" i="20" s="1"/>
  <c r="B342" i="6" s="1"/>
  <c r="BA342" i="6" s="1"/>
  <c r="D342" i="6" s="1"/>
  <c r="H25" i="20"/>
  <c r="J25" i="20" s="1"/>
  <c r="C25" i="6" s="1"/>
  <c r="AA127" i="20"/>
  <c r="Z127" i="20" s="1"/>
  <c r="Y127" i="20" s="1"/>
  <c r="G260" i="20"/>
  <c r="CB260" i="6" s="1"/>
  <c r="AA135" i="20"/>
  <c r="Z135" i="20" s="1"/>
  <c r="Y135" i="20" s="1"/>
  <c r="H322" i="20"/>
  <c r="I322" i="20" s="1"/>
  <c r="B322" i="6" s="1"/>
  <c r="BA322" i="6" s="1"/>
  <c r="D322" i="6" s="1"/>
  <c r="G378" i="20"/>
  <c r="CB378" i="6" s="1"/>
  <c r="H67" i="20"/>
  <c r="J67" i="20" s="1"/>
  <c r="C67" i="6" s="1"/>
  <c r="AA275" i="20"/>
  <c r="Z275" i="20" s="1"/>
  <c r="Y275" i="20" s="1"/>
  <c r="AA55" i="20"/>
  <c r="Z55" i="20" s="1"/>
  <c r="Y55" i="20" s="1"/>
  <c r="H200" i="20"/>
  <c r="I200" i="20" s="1"/>
  <c r="B200" i="6" s="1"/>
  <c r="BA200" i="6" s="1"/>
  <c r="D200" i="6" s="1"/>
  <c r="G184" i="20"/>
  <c r="CB184" i="6" s="1"/>
  <c r="G338" i="20"/>
  <c r="CB338" i="6" s="1"/>
  <c r="G89" i="20"/>
  <c r="CB89" i="6" s="1"/>
  <c r="H219" i="20"/>
  <c r="J219" i="20" s="1"/>
  <c r="C219" i="6" s="1"/>
  <c r="G159" i="20"/>
  <c r="CB159" i="6" s="1"/>
  <c r="H291" i="20"/>
  <c r="J291" i="20" s="1"/>
  <c r="C291" i="6" s="1"/>
  <c r="D302" i="20"/>
  <c r="E302" i="20" s="1"/>
  <c r="F302" i="20" s="1"/>
  <c r="G302" i="20" s="1"/>
  <c r="CB302" i="6" s="1"/>
  <c r="AA242" i="20"/>
  <c r="Z242" i="20" s="1"/>
  <c r="Y242" i="20" s="1"/>
  <c r="AA24" i="20"/>
  <c r="Z24" i="20" s="1"/>
  <c r="Y24" i="20" s="1"/>
  <c r="AA330" i="20"/>
  <c r="Z330" i="20" s="1"/>
  <c r="Y330" i="20" s="1"/>
  <c r="H160" i="20"/>
  <c r="J160" i="20" s="1"/>
  <c r="C160" i="6" s="1"/>
  <c r="AA202" i="20"/>
  <c r="Z202" i="20" s="1"/>
  <c r="Y202" i="20" s="1"/>
  <c r="H161" i="20"/>
  <c r="I161" i="20" s="1"/>
  <c r="B161" i="6" s="1"/>
  <c r="BA161" i="6" s="1"/>
  <c r="D161" i="6" s="1"/>
  <c r="AA258" i="20"/>
  <c r="Z258" i="20" s="1"/>
  <c r="Y258" i="20" s="1"/>
  <c r="G295" i="20"/>
  <c r="CB295" i="6" s="1"/>
  <c r="H242" i="20"/>
  <c r="I242" i="20" s="1"/>
  <c r="B242" i="6" s="1"/>
  <c r="BA242" i="6" s="1"/>
  <c r="D242" i="6" s="1"/>
  <c r="H162" i="20"/>
  <c r="I162" i="20" s="1"/>
  <c r="B162" i="6" s="1"/>
  <c r="BA162" i="6" s="1"/>
  <c r="D162" i="6" s="1"/>
  <c r="AA190" i="20"/>
  <c r="Z190" i="20" s="1"/>
  <c r="Y190" i="20" s="1"/>
  <c r="AA70" i="20"/>
  <c r="Z70" i="20" s="1"/>
  <c r="Y70" i="20" s="1"/>
  <c r="G102" i="20"/>
  <c r="CB102" i="6" s="1"/>
  <c r="H270" i="20"/>
  <c r="J270" i="20" s="1"/>
  <c r="C270" i="6" s="1"/>
  <c r="H24" i="20"/>
  <c r="I24" i="20" s="1"/>
  <c r="B24" i="6" s="1"/>
  <c r="BA24" i="6" s="1"/>
  <c r="D24" i="6" s="1"/>
  <c r="G199" i="20"/>
  <c r="CB199" i="6" s="1"/>
  <c r="G213" i="20"/>
  <c r="CB213" i="6" s="1"/>
  <c r="AA147" i="20"/>
  <c r="Z147" i="20" s="1"/>
  <c r="Y147" i="20" s="1"/>
  <c r="AA159" i="20"/>
  <c r="Z159" i="20" s="1"/>
  <c r="Y159" i="20" s="1"/>
  <c r="AA291" i="20"/>
  <c r="Z291" i="20" s="1"/>
  <c r="Y291" i="20" s="1"/>
  <c r="J66" i="20"/>
  <c r="C66" i="6" s="1"/>
  <c r="H192" i="20"/>
  <c r="J192" i="20" s="1"/>
  <c r="C192" i="6" s="1"/>
  <c r="AA192" i="20"/>
  <c r="Z192" i="20" s="1"/>
  <c r="Y192" i="20" s="1"/>
  <c r="H238" i="20"/>
  <c r="I238" i="20" s="1"/>
  <c r="B238" i="6" s="1"/>
  <c r="BA238" i="6" s="1"/>
  <c r="D238" i="6" s="1"/>
  <c r="H299" i="20"/>
  <c r="I299" i="20" s="1"/>
  <c r="B299" i="6" s="1"/>
  <c r="BA299" i="6" s="1"/>
  <c r="D299" i="6" s="1"/>
  <c r="H319" i="20"/>
  <c r="I319" i="20" s="1"/>
  <c r="B319" i="6" s="1"/>
  <c r="BA319" i="6" s="1"/>
  <c r="D319" i="6" s="1"/>
  <c r="AA146" i="20"/>
  <c r="Z146" i="20" s="1"/>
  <c r="Y146" i="20" s="1"/>
  <c r="AA170" i="20"/>
  <c r="Z170" i="20" s="1"/>
  <c r="Y170" i="20" s="1"/>
  <c r="AA213" i="20"/>
  <c r="Z213" i="20" s="1"/>
  <c r="Y213" i="20" s="1"/>
  <c r="AA342" i="20"/>
  <c r="Z342" i="20" s="1"/>
  <c r="Y342" i="20" s="1"/>
  <c r="G282" i="20"/>
  <c r="CB282" i="6" s="1"/>
  <c r="G246" i="20"/>
  <c r="CB246" i="6" s="1"/>
  <c r="G108" i="20"/>
  <c r="CB108" i="6" s="1"/>
  <c r="G37" i="20"/>
  <c r="CB37" i="6" s="1"/>
  <c r="G154" i="20"/>
  <c r="CB154" i="6" s="1"/>
  <c r="H128" i="20"/>
  <c r="I128" i="20" s="1"/>
  <c r="B128" i="6" s="1"/>
  <c r="BA128" i="6" s="1"/>
  <c r="D128" i="6" s="1"/>
  <c r="AA25" i="20"/>
  <c r="Z25" i="20" s="1"/>
  <c r="Y25" i="20" s="1"/>
  <c r="G165" i="20"/>
  <c r="CB165" i="6" s="1"/>
  <c r="G127" i="20"/>
  <c r="CB127" i="6" s="1"/>
  <c r="H355" i="20"/>
  <c r="I355" i="20" s="1"/>
  <c r="B355" i="6" s="1"/>
  <c r="BA355" i="6" s="1"/>
  <c r="D355" i="6" s="1"/>
  <c r="H378" i="20"/>
  <c r="I378" i="20" s="1"/>
  <c r="B378" i="6" s="1"/>
  <c r="BA378" i="6" s="1"/>
  <c r="D378" i="6" s="1"/>
  <c r="G330" i="20"/>
  <c r="CB330" i="6" s="1"/>
  <c r="H275" i="20"/>
  <c r="I275" i="20" s="1"/>
  <c r="B275" i="6" s="1"/>
  <c r="BA275" i="6" s="1"/>
  <c r="D275" i="6" s="1"/>
  <c r="G65" i="20"/>
  <c r="CB65" i="6" s="1"/>
  <c r="H336" i="20"/>
  <c r="J336" i="20" s="1"/>
  <c r="C336" i="6" s="1"/>
  <c r="H55" i="20"/>
  <c r="I55" i="20" s="1"/>
  <c r="B55" i="6" s="1"/>
  <c r="BA55" i="6" s="1"/>
  <c r="D55" i="6" s="1"/>
  <c r="AA200" i="20"/>
  <c r="Z200" i="20" s="1"/>
  <c r="Y200" i="20" s="1"/>
  <c r="G219" i="20"/>
  <c r="CB219" i="6" s="1"/>
  <c r="H19" i="20"/>
  <c r="J19" i="20" s="1"/>
  <c r="C19" i="6" s="1"/>
  <c r="G148" i="20"/>
  <c r="CB148" i="6" s="1"/>
  <c r="AA199" i="20"/>
  <c r="Z199" i="20" s="1"/>
  <c r="Y199" i="20" s="1"/>
  <c r="H202" i="20"/>
  <c r="I202" i="20" s="1"/>
  <c r="B202" i="6" s="1"/>
  <c r="BA202" i="6" s="1"/>
  <c r="D202" i="6" s="1"/>
  <c r="H190" i="20"/>
  <c r="J190" i="20" s="1"/>
  <c r="C190" i="6" s="1"/>
  <c r="H70" i="20"/>
  <c r="J70" i="20" s="1"/>
  <c r="C70" i="6" s="1"/>
  <c r="H117" i="20"/>
  <c r="I117" i="20" s="1"/>
  <c r="B117" i="6" s="1"/>
  <c r="BA117" i="6" s="1"/>
  <c r="D117" i="6" s="1"/>
  <c r="AA368" i="20"/>
  <c r="Z368" i="20" s="1"/>
  <c r="Y368" i="20" s="1"/>
  <c r="AA89" i="20"/>
  <c r="Z89" i="20" s="1"/>
  <c r="Y89" i="20" s="1"/>
  <c r="G201" i="20"/>
  <c r="CB201" i="6" s="1"/>
  <c r="H312" i="20"/>
  <c r="I312" i="20" s="1"/>
  <c r="B312" i="6" s="1"/>
  <c r="BA312" i="6" s="1"/>
  <c r="D312" i="6" s="1"/>
  <c r="H269" i="20"/>
  <c r="J269" i="20" s="1"/>
  <c r="C269" i="6" s="1"/>
  <c r="AA334" i="20"/>
  <c r="Z334" i="20" s="1"/>
  <c r="Y334" i="20" s="1"/>
  <c r="AA21" i="20"/>
  <c r="Z21" i="20" s="1"/>
  <c r="Y21" i="20" s="1"/>
  <c r="AA276" i="20"/>
  <c r="Z276" i="20" s="1"/>
  <c r="Y276" i="20" s="1"/>
  <c r="G63" i="20"/>
  <c r="CB63" i="6" s="1"/>
  <c r="AA105" i="20"/>
  <c r="Z105" i="20" s="1"/>
  <c r="Y105" i="20" s="1"/>
  <c r="G157" i="20"/>
  <c r="CB157" i="6" s="1"/>
  <c r="H332" i="20"/>
  <c r="I332" i="20" s="1"/>
  <c r="B332" i="6" s="1"/>
  <c r="BA332" i="6" s="1"/>
  <c r="D332" i="6" s="1"/>
  <c r="H80" i="20"/>
  <c r="I80" i="20" s="1"/>
  <c r="B80" i="6" s="1"/>
  <c r="BA80" i="6" s="1"/>
  <c r="D80" i="6" s="1"/>
  <c r="H338" i="20"/>
  <c r="J338" i="20" s="1"/>
  <c r="C338" i="6" s="1"/>
  <c r="H64" i="20"/>
  <c r="J64" i="20" s="1"/>
  <c r="C64" i="6" s="1"/>
  <c r="AA64" i="20"/>
  <c r="Z64" i="20" s="1"/>
  <c r="Y64" i="20" s="1"/>
  <c r="AC375" i="24"/>
  <c r="AC310" i="24"/>
  <c r="AC284" i="24"/>
  <c r="AC300" i="24"/>
  <c r="AC317" i="24"/>
  <c r="AC361" i="24"/>
  <c r="AC148" i="24"/>
  <c r="AC303" i="24"/>
  <c r="AC337" i="24"/>
  <c r="AC243" i="24"/>
  <c r="AC264" i="24"/>
  <c r="AC135" i="24"/>
  <c r="AC247" i="24"/>
  <c r="AC263" i="24"/>
  <c r="AC214" i="24"/>
  <c r="AC190" i="24"/>
  <c r="AC161" i="24"/>
  <c r="AC229" i="24"/>
  <c r="AC226" i="24"/>
  <c r="AC368" i="24"/>
  <c r="AC181" i="24"/>
  <c r="AC276" i="24"/>
  <c r="AC353" i="24"/>
  <c r="AC228" i="24"/>
  <c r="AC266" i="24"/>
  <c r="AC355" i="24"/>
  <c r="AC362" i="24"/>
  <c r="AC357" i="24"/>
  <c r="AC257" i="24"/>
  <c r="AC173" i="24"/>
  <c r="AC350" i="24"/>
  <c r="AC376" i="24"/>
  <c r="AC286" i="24"/>
  <c r="AC205" i="24"/>
  <c r="AC364" i="24"/>
  <c r="AC267" i="24"/>
  <c r="AC369" i="24"/>
  <c r="AC338" i="24"/>
  <c r="AC166" i="24"/>
  <c r="AC240" i="24"/>
  <c r="AC184" i="24"/>
  <c r="AC216" i="24"/>
  <c r="AC208" i="24"/>
  <c r="AC168" i="24"/>
  <c r="AC348" i="24"/>
  <c r="AC293" i="24"/>
  <c r="AC336" i="24"/>
  <c r="AC185" i="24"/>
  <c r="AC239" i="24"/>
  <c r="AC334" i="24"/>
  <c r="AC347" i="24"/>
  <c r="AC370" i="24"/>
  <c r="AC196" i="24"/>
  <c r="AC379" i="24"/>
  <c r="AC271" i="24"/>
  <c r="AC254" i="24"/>
  <c r="AC178" i="24"/>
  <c r="AC319" i="24"/>
  <c r="AC315" i="24"/>
  <c r="AC260" i="24"/>
  <c r="AC162" i="24"/>
  <c r="AC249" i="24"/>
  <c r="AC206" i="24"/>
  <c r="AC377" i="24"/>
  <c r="AC186" i="24"/>
  <c r="AC159" i="24"/>
  <c r="AC308" i="24"/>
  <c r="AC153" i="24"/>
  <c r="AC316" i="24"/>
  <c r="AC156" i="24"/>
  <c r="AC209" i="24"/>
  <c r="AC211" i="24"/>
  <c r="AC302" i="24"/>
  <c r="AC280" i="24"/>
  <c r="AC172" i="24"/>
  <c r="AC285" i="24"/>
  <c r="AC358" i="24"/>
  <c r="AC373" i="24"/>
  <c r="AC298" i="24"/>
  <c r="AC290" i="24"/>
  <c r="AC144" i="24"/>
  <c r="AC332" i="24"/>
  <c r="AC241" i="24"/>
  <c r="AC340" i="24"/>
  <c r="AC321" i="24"/>
  <c r="AC268" i="24"/>
  <c r="AC326" i="24"/>
  <c r="AC150" i="24"/>
  <c r="AC231" i="24"/>
  <c r="AC142" i="24"/>
  <c r="AC311" i="24"/>
  <c r="AC259" i="24"/>
  <c r="AC238" i="24"/>
  <c r="AC171" i="24"/>
  <c r="AC143" i="24"/>
  <c r="AC194" i="24"/>
  <c r="AC147" i="24"/>
  <c r="AC201" i="24"/>
  <c r="AC149" i="24"/>
  <c r="AC218" i="24"/>
  <c r="AC230" i="24"/>
  <c r="AC291" i="24"/>
  <c r="AC215" i="24"/>
  <c r="AC269" i="24"/>
  <c r="AC275" i="24"/>
  <c r="AC183" i="24"/>
  <c r="AC265" i="24"/>
  <c r="AC306" i="24"/>
  <c r="AC138" i="24"/>
  <c r="AC217" i="24"/>
  <c r="AC177" i="24"/>
  <c r="AC307" i="24"/>
  <c r="AC360" i="24"/>
  <c r="AC322" i="24"/>
  <c r="AC327" i="24"/>
  <c r="AC314" i="24"/>
  <c r="AC134" i="24"/>
  <c r="AC272" i="24"/>
  <c r="AC288" i="24"/>
  <c r="AC188" i="24"/>
  <c r="AC251" i="24"/>
  <c r="AC145" i="24"/>
  <c r="AC305" i="24"/>
  <c r="AC160" i="24"/>
  <c r="AC237" i="24"/>
  <c r="AC331" i="24"/>
  <c r="AC281" i="24"/>
  <c r="AC313" i="24"/>
  <c r="AC320" i="24"/>
  <c r="AC203" i="24"/>
  <c r="AC182" i="24"/>
  <c r="AC139" i="24"/>
  <c r="AC154" i="24"/>
  <c r="AC366" i="24"/>
  <c r="AC155" i="24"/>
  <c r="AC158" i="24"/>
  <c r="AC292" i="24"/>
  <c r="AC180" i="24"/>
  <c r="AC219" i="24"/>
  <c r="AC187" i="24"/>
  <c r="AC301" i="24"/>
  <c r="AC234" i="24"/>
  <c r="AC346" i="24"/>
  <c r="AC174" i="24"/>
  <c r="AC374" i="24"/>
  <c r="AC222" i="24"/>
  <c r="AC328" i="24"/>
  <c r="AC289" i="24"/>
  <c r="AC170" i="24"/>
  <c r="AC297" i="24"/>
  <c r="AC140" i="24"/>
  <c r="AC146" i="24"/>
  <c r="AC207" i="24"/>
  <c r="AC193" i="24"/>
  <c r="AC371" i="24"/>
  <c r="AC224" i="24"/>
  <c r="AC330" i="24"/>
  <c r="AC372" i="24"/>
  <c r="AC352" i="24"/>
  <c r="AC242" i="24"/>
  <c r="AC279" i="24"/>
  <c r="AC189" i="24"/>
  <c r="AC256" i="24"/>
  <c r="AC333" i="24"/>
  <c r="AC341" i="24"/>
  <c r="AC277" i="24"/>
  <c r="AC210" i="24"/>
  <c r="AC197" i="24"/>
  <c r="AC343" i="24"/>
  <c r="AC258" i="24"/>
  <c r="AC152" i="24"/>
  <c r="AC221" i="24"/>
  <c r="AC225" i="24"/>
  <c r="AC165" i="24"/>
  <c r="AC195" i="24"/>
  <c r="AC212" i="24"/>
  <c r="AC312" i="24"/>
  <c r="AC198" i="24"/>
  <c r="AC246" i="24"/>
  <c r="AC253" i="24"/>
  <c r="AC356" i="24"/>
  <c r="AC324" i="24"/>
  <c r="AC354" i="24"/>
  <c r="AC365" i="24"/>
  <c r="AC344" i="24"/>
  <c r="AC169" i="24"/>
  <c r="AC223" i="24"/>
  <c r="AC232" i="24"/>
  <c r="AC282" i="24"/>
  <c r="AC351" i="24"/>
  <c r="AC296" i="24"/>
  <c r="AC227" i="24"/>
  <c r="AC349" i="24"/>
  <c r="AC213" i="24"/>
  <c r="AC244" i="24"/>
  <c r="AC278" i="24"/>
  <c r="AC200" i="24"/>
  <c r="AC202" i="24"/>
  <c r="AC335" i="24"/>
  <c r="AC233" i="24"/>
  <c r="AC136" i="24"/>
  <c r="AC325" i="24"/>
  <c r="AC270" i="24"/>
  <c r="AC299" i="24"/>
  <c r="AC261" i="24"/>
  <c r="AC151" i="24"/>
  <c r="AC236" i="24"/>
  <c r="AC248" i="24"/>
  <c r="AC329" i="24"/>
  <c r="AC309" i="24"/>
  <c r="AC283" i="24"/>
  <c r="AC164" i="24"/>
  <c r="AC141" i="24"/>
  <c r="AC176" i="24"/>
  <c r="AC235" i="24"/>
  <c r="AC157" i="24"/>
  <c r="AC245" i="24"/>
  <c r="AC191" i="24"/>
  <c r="AC220" i="24"/>
  <c r="AC363" i="24"/>
  <c r="AC359" i="24"/>
  <c r="AC250" i="24"/>
  <c r="AC192" i="24"/>
  <c r="AC342" i="24"/>
  <c r="AC199" i="24"/>
  <c r="AC262" i="24"/>
  <c r="AC137" i="24"/>
  <c r="AC204" i="24"/>
  <c r="AC367" i="24"/>
  <c r="AC175" i="24"/>
  <c r="AC255" i="24"/>
  <c r="AC273" i="24"/>
  <c r="AC274" i="24"/>
  <c r="AC179" i="24"/>
  <c r="AC252" i="24"/>
  <c r="AC295" i="24"/>
  <c r="AC304" i="24"/>
  <c r="AC294" i="24"/>
  <c r="AC378" i="24"/>
  <c r="AC323" i="24"/>
  <c r="AC345" i="24"/>
  <c r="AC339" i="24"/>
  <c r="AC167" i="24"/>
  <c r="AC318" i="24"/>
  <c r="AC287" i="24"/>
  <c r="AC163" i="24"/>
  <c r="AC74" i="25"/>
  <c r="AC113" i="25"/>
  <c r="AC80" i="25"/>
  <c r="AC92" i="25"/>
  <c r="AC127" i="25"/>
  <c r="AC121" i="25"/>
  <c r="AC79" i="25"/>
  <c r="AC62" i="25"/>
  <c r="AC31" i="25"/>
  <c r="AC117" i="25"/>
  <c r="AC22" i="25"/>
  <c r="AC95" i="25"/>
  <c r="AC45" i="25"/>
  <c r="AC133" i="25"/>
  <c r="AC59" i="25"/>
  <c r="AC98" i="25"/>
  <c r="AC101" i="25"/>
  <c r="AC94" i="25"/>
  <c r="AC125" i="25"/>
  <c r="AC118" i="25"/>
  <c r="AC20" i="25"/>
  <c r="AC87" i="25"/>
  <c r="AC23" i="25"/>
  <c r="AC57" i="25"/>
  <c r="AC47" i="25"/>
  <c r="AC18" i="25"/>
  <c r="AC32" i="25"/>
  <c r="AC84" i="25"/>
  <c r="AC71" i="25"/>
  <c r="AC112" i="25"/>
  <c r="AC64" i="25"/>
  <c r="AC93" i="25"/>
  <c r="AC111" i="25"/>
  <c r="AC27" i="25"/>
  <c r="AC103" i="25"/>
  <c r="AC70" i="25"/>
  <c r="AC120" i="25"/>
  <c r="AC39" i="25"/>
  <c r="AC15" i="25"/>
  <c r="AC56" i="25"/>
  <c r="AC90" i="25"/>
  <c r="AC119" i="25"/>
  <c r="AC53" i="25"/>
  <c r="AC42" i="25"/>
  <c r="AC61" i="25"/>
  <c r="AC105" i="25"/>
  <c r="AC33" i="25"/>
  <c r="AC66" i="25"/>
  <c r="AC51" i="25"/>
  <c r="AC29" i="25"/>
  <c r="AC28" i="25"/>
  <c r="AC115" i="25"/>
  <c r="AC52" i="25"/>
  <c r="AC97" i="25"/>
  <c r="AC44" i="25"/>
  <c r="AC86" i="25"/>
  <c r="AC100" i="25"/>
  <c r="AC34" i="25"/>
  <c r="AC50" i="25"/>
  <c r="AC16" i="25"/>
  <c r="AC65" i="25"/>
  <c r="AC17" i="25"/>
  <c r="AC129" i="25"/>
  <c r="AC124" i="25"/>
  <c r="AC104" i="25"/>
  <c r="AC24" i="25"/>
  <c r="AC67" i="25"/>
  <c r="AC76" i="25"/>
  <c r="AC68" i="25"/>
  <c r="AC72" i="25"/>
  <c r="AC21" i="25"/>
  <c r="AC82" i="25"/>
  <c r="AC38" i="25"/>
  <c r="AC130" i="25"/>
  <c r="AC35" i="25"/>
  <c r="AC102" i="25"/>
  <c r="AC91" i="25"/>
  <c r="AC69" i="25"/>
  <c r="AC77" i="25"/>
  <c r="AC122" i="25"/>
  <c r="AC126" i="25"/>
  <c r="AC58" i="25"/>
  <c r="AC30" i="25"/>
  <c r="AC123" i="25"/>
  <c r="AC26" i="25"/>
  <c r="AC43" i="25"/>
  <c r="AC78" i="25"/>
  <c r="AC109" i="25"/>
  <c r="AC128" i="25"/>
  <c r="AC63" i="25"/>
  <c r="AC81" i="25"/>
  <c r="AC36" i="25"/>
  <c r="AC99" i="25"/>
  <c r="AC85" i="25"/>
  <c r="AC41" i="25"/>
  <c r="AC88" i="25"/>
  <c r="AC96" i="25"/>
  <c r="AC73" i="25"/>
  <c r="AC131" i="25"/>
  <c r="AC106" i="25"/>
  <c r="AC116" i="25"/>
  <c r="AC37" i="25"/>
  <c r="AC108" i="25"/>
  <c r="AC25" i="25"/>
  <c r="AC40" i="25"/>
  <c r="AC48" i="25"/>
  <c r="AC46" i="25"/>
  <c r="AC49" i="25"/>
  <c r="AC19" i="25"/>
  <c r="AC83" i="25"/>
  <c r="AC132" i="25"/>
  <c r="AC75" i="25"/>
  <c r="AC60" i="25"/>
  <c r="AC55" i="25"/>
  <c r="AC114" i="25"/>
  <c r="AC107" i="25"/>
  <c r="AC54" i="25"/>
  <c r="AC110" i="25"/>
  <c r="AC89" i="25"/>
  <c r="AY13" i="7"/>
  <c r="BE10" i="7" s="1"/>
  <c r="O125" i="24"/>
  <c r="O213" i="24"/>
  <c r="O81" i="24"/>
  <c r="O217" i="24"/>
  <c r="O376" i="24"/>
  <c r="O216" i="24"/>
  <c r="O168" i="24"/>
  <c r="O289" i="24"/>
  <c r="O93" i="24"/>
  <c r="O87" i="24"/>
  <c r="O302" i="24"/>
  <c r="AG65" i="7" s="1"/>
  <c r="O44" i="24"/>
  <c r="O211" i="24"/>
  <c r="O375" i="24"/>
  <c r="O170" i="24"/>
  <c r="O136" i="24"/>
  <c r="O241" i="24"/>
  <c r="AG63" i="7" s="1"/>
  <c r="O345" i="24"/>
  <c r="O310" i="24"/>
  <c r="O127" i="24"/>
  <c r="O323" i="24"/>
  <c r="O274" i="24"/>
  <c r="O305" i="24"/>
  <c r="O97" i="24"/>
  <c r="O17" i="24"/>
  <c r="O326" i="24"/>
  <c r="O200" i="24"/>
  <c r="O171" i="24"/>
  <c r="O105" i="24"/>
  <c r="O202" i="24"/>
  <c r="O90" i="24"/>
  <c r="O225" i="24"/>
  <c r="O101" i="24"/>
  <c r="O276" i="24"/>
  <c r="O344" i="24"/>
  <c r="O301" i="24"/>
  <c r="O58" i="24"/>
  <c r="O273" i="24"/>
  <c r="O103" i="24"/>
  <c r="O147" i="24"/>
  <c r="O84" i="24"/>
  <c r="O339" i="24"/>
  <c r="O140" i="24"/>
  <c r="O355" i="24"/>
  <c r="O112" i="24"/>
  <c r="O24" i="24"/>
  <c r="O183" i="24"/>
  <c r="O361" i="24"/>
  <c r="O119" i="24"/>
  <c r="AG59" i="7" s="1"/>
  <c r="O325" i="24"/>
  <c r="O128" i="24"/>
  <c r="O328" i="24"/>
  <c r="O298" i="24"/>
  <c r="O297" i="24"/>
  <c r="O19" i="24"/>
  <c r="O149" i="24"/>
  <c r="AG60" i="7" s="1"/>
  <c r="O282" i="24"/>
  <c r="O131" i="24"/>
  <c r="O278" i="24"/>
  <c r="O30" i="24"/>
  <c r="O307" i="24"/>
  <c r="O290" i="24"/>
  <c r="O228" i="24"/>
  <c r="O188" i="24"/>
  <c r="O80" i="24"/>
  <c r="O231" i="24"/>
  <c r="O15" i="24"/>
  <c r="O362" i="24"/>
  <c r="O210" i="24"/>
  <c r="AG62" i="7" s="1"/>
  <c r="O354" i="24"/>
  <c r="O348" i="24"/>
  <c r="O68" i="24"/>
  <c r="O34" i="24"/>
  <c r="O251" i="24"/>
  <c r="O350" i="24"/>
  <c r="O257" i="24"/>
  <c r="O327" i="24"/>
  <c r="O56" i="24"/>
  <c r="O318" i="24"/>
  <c r="O285" i="24"/>
  <c r="O132" i="24"/>
  <c r="O64" i="24"/>
  <c r="O357" i="24"/>
  <c r="O74" i="24"/>
  <c r="O341" i="24"/>
  <c r="O187" i="24"/>
  <c r="O267" i="24"/>
  <c r="O79" i="24"/>
  <c r="O239" i="24"/>
  <c r="O370" i="24"/>
  <c r="O221" i="24"/>
  <c r="O130" i="24"/>
  <c r="O162" i="24"/>
  <c r="O321" i="24"/>
  <c r="O86" i="24"/>
  <c r="O313" i="24"/>
  <c r="O16" i="24"/>
  <c r="O196" i="24"/>
  <c r="O295" i="24"/>
  <c r="O198" i="24"/>
  <c r="O91" i="24"/>
  <c r="O115" i="24"/>
  <c r="O32" i="24"/>
  <c r="O330" i="24"/>
  <c r="O377" i="24"/>
  <c r="O315" i="24"/>
  <c r="O236" i="24"/>
  <c r="O43" i="24"/>
  <c r="O174" i="24"/>
  <c r="O63" i="24"/>
  <c r="O275" i="24"/>
  <c r="O235" i="24"/>
  <c r="O352" i="24"/>
  <c r="O166" i="24"/>
  <c r="O69" i="24"/>
  <c r="O250" i="24"/>
  <c r="O294" i="24"/>
  <c r="O116" i="24"/>
  <c r="O47" i="24"/>
  <c r="O38" i="24"/>
  <c r="O342" i="24"/>
  <c r="O150" i="24"/>
  <c r="O332" i="24"/>
  <c r="O144" i="24"/>
  <c r="O155" i="24"/>
  <c r="O96" i="24"/>
  <c r="O26" i="24"/>
  <c r="O110" i="24"/>
  <c r="O29" i="24"/>
  <c r="AG56" i="7" s="1"/>
  <c r="O185" i="24"/>
  <c r="O244" i="24"/>
  <c r="O99" i="24"/>
  <c r="O311" i="24"/>
  <c r="O39" i="24"/>
  <c r="O333" i="24"/>
  <c r="AG66" i="7" s="1"/>
  <c r="O246" i="24"/>
  <c r="O220" i="24"/>
  <c r="O120" i="24"/>
  <c r="O108" i="24"/>
  <c r="O299" i="24"/>
  <c r="O66" i="24"/>
  <c r="O240" i="24"/>
  <c r="O365" i="24"/>
  <c r="O243" i="24"/>
  <c r="O164" i="24"/>
  <c r="O181" i="24"/>
  <c r="O73" i="24"/>
  <c r="O113" i="24"/>
  <c r="O335" i="24"/>
  <c r="O346" i="24"/>
  <c r="O245" i="24"/>
  <c r="O309" i="24"/>
  <c r="O264" i="24"/>
  <c r="O317" i="24"/>
  <c r="O55" i="24"/>
  <c r="O293" i="24"/>
  <c r="O234" i="24"/>
  <c r="O159" i="24"/>
  <c r="O203" i="24"/>
  <c r="O22" i="24"/>
  <c r="O142" i="24"/>
  <c r="O292" i="24"/>
  <c r="O205" i="24"/>
  <c r="O23" i="24"/>
  <c r="O337" i="24"/>
  <c r="O329" i="24"/>
  <c r="O37" i="24"/>
  <c r="O334" i="24"/>
  <c r="O190" i="24"/>
  <c r="O369" i="24"/>
  <c r="O349" i="24"/>
  <c r="O98" i="24"/>
  <c r="O356" i="24"/>
  <c r="O172" i="24"/>
  <c r="O153" i="24"/>
  <c r="O70" i="24"/>
  <c r="O252" i="24"/>
  <c r="O193" i="24"/>
  <c r="O138" i="24"/>
  <c r="O27" i="24"/>
  <c r="O175" i="24"/>
  <c r="O262" i="24"/>
  <c r="O60" i="24"/>
  <c r="AG57" i="7" s="1"/>
  <c r="O94" i="24"/>
  <c r="O28" i="24"/>
  <c r="O253" i="24"/>
  <c r="O124" i="24"/>
  <c r="O331" i="24"/>
  <c r="O85" i="24"/>
  <c r="O215" i="24"/>
  <c r="O57" i="24"/>
  <c r="O254" i="24"/>
  <c r="O114" i="24"/>
  <c r="O33" i="24"/>
  <c r="O287" i="24"/>
  <c r="O62" i="24"/>
  <c r="O306" i="24"/>
  <c r="O192" i="24"/>
  <c r="O111" i="24"/>
  <c r="O123" i="24"/>
  <c r="O358" i="24"/>
  <c r="O258" i="24"/>
  <c r="O167" i="24"/>
  <c r="O102" i="24"/>
  <c r="O180" i="24"/>
  <c r="AG61" i="7" s="1"/>
  <c r="O156" i="24"/>
  <c r="O363" i="24"/>
  <c r="AG67" i="7" s="1"/>
  <c r="O182" i="24"/>
  <c r="O52" i="24"/>
  <c r="O280" i="24"/>
  <c r="O259" i="24"/>
  <c r="O238" i="24"/>
  <c r="O178" i="24"/>
  <c r="O218" i="24"/>
  <c r="O121" i="24"/>
  <c r="O88" i="24"/>
  <c r="AG58" i="7" s="1"/>
  <c r="O367" i="24"/>
  <c r="O286" i="24"/>
  <c r="O48" i="24"/>
  <c r="O359" i="24"/>
  <c r="O194" i="24"/>
  <c r="O154" i="24"/>
  <c r="O75" i="24"/>
  <c r="O177" i="24"/>
  <c r="O143" i="24"/>
  <c r="O319" i="24"/>
  <c r="O265" i="24"/>
  <c r="O54" i="24"/>
  <c r="O263" i="24"/>
  <c r="O163" i="24"/>
  <c r="O248" i="24"/>
  <c r="O373" i="24"/>
  <c r="O284" i="24"/>
  <c r="O304" i="24"/>
  <c r="O230" i="24"/>
  <c r="O134" i="24"/>
  <c r="O126" i="24"/>
  <c r="O173" i="24"/>
  <c r="O36" i="24"/>
  <c r="O338" i="24"/>
  <c r="O312" i="24"/>
  <c r="O343" i="24"/>
  <c r="O256" i="24"/>
  <c r="O77" i="24"/>
  <c r="O83" i="24"/>
  <c r="O229" i="24"/>
  <c r="O184" i="24"/>
  <c r="O40" i="24"/>
  <c r="O61" i="24"/>
  <c r="O133" i="24"/>
  <c r="O212" i="24"/>
  <c r="O157" i="24"/>
  <c r="O353" i="24"/>
  <c r="O300" i="24"/>
  <c r="O308" i="24"/>
  <c r="O247" i="24"/>
  <c r="O277" i="24"/>
  <c r="O266" i="24"/>
  <c r="O226" i="24"/>
  <c r="O71" i="24"/>
  <c r="O303" i="24"/>
  <c r="O360" i="24"/>
  <c r="O368" i="24"/>
  <c r="O141" i="24"/>
  <c r="O288" i="24"/>
  <c r="O222" i="24"/>
  <c r="O340" i="24"/>
  <c r="O232" i="24"/>
  <c r="O189" i="24"/>
  <c r="O129" i="24"/>
  <c r="O351" i="24"/>
  <c r="O320" i="24"/>
  <c r="O322" i="24"/>
  <c r="O269" i="24"/>
  <c r="O50" i="24"/>
  <c r="O223" i="24"/>
  <c r="O272" i="24"/>
  <c r="AG64" i="7" s="1"/>
  <c r="O118" i="24"/>
  <c r="O20" i="24"/>
  <c r="O51" i="24"/>
  <c r="O72" i="24"/>
  <c r="O314" i="24"/>
  <c r="O316" i="24"/>
  <c r="O371" i="24"/>
  <c r="O151" i="24"/>
  <c r="O107" i="24"/>
  <c r="O197" i="24"/>
  <c r="O270" i="24"/>
  <c r="O281" i="24"/>
  <c r="O296" i="24"/>
  <c r="O260" i="24"/>
  <c r="O261" i="24"/>
  <c r="O195" i="24"/>
  <c r="O137" i="24"/>
  <c r="O59" i="24"/>
  <c r="O35" i="24"/>
  <c r="O336" i="24"/>
  <c r="O207" i="24"/>
  <c r="O18" i="24"/>
  <c r="O291" i="24"/>
  <c r="O201" i="24"/>
  <c r="O158" i="24"/>
  <c r="O279" i="24"/>
  <c r="O160" i="24"/>
  <c r="O89" i="24"/>
  <c r="O199" i="24"/>
  <c r="O139" i="24"/>
  <c r="O224" i="24"/>
  <c r="O208" i="24"/>
  <c r="O135" i="24"/>
  <c r="O45" i="24"/>
  <c r="O347" i="24"/>
  <c r="O95" i="24"/>
  <c r="O378" i="24"/>
  <c r="O186" i="24"/>
  <c r="O191" i="24"/>
  <c r="O169" i="24"/>
  <c r="O31" i="24"/>
  <c r="O379" i="24"/>
  <c r="C43" i="19" s="1"/>
  <c r="O324" i="24"/>
  <c r="O146" i="24"/>
  <c r="O100" i="24"/>
  <c r="O206" i="24"/>
  <c r="O53" i="24"/>
  <c r="O104" i="24"/>
  <c r="O209" i="24"/>
  <c r="O366" i="24"/>
  <c r="O179" i="24"/>
  <c r="O204" i="24"/>
  <c r="O372" i="24"/>
  <c r="O283" i="24"/>
  <c r="O122" i="24"/>
  <c r="O49" i="24"/>
  <c r="O364" i="24"/>
  <c r="O271" i="24"/>
  <c r="O67" i="24"/>
  <c r="O255" i="24"/>
  <c r="O176" i="24"/>
  <c r="O117" i="24"/>
  <c r="O46" i="24"/>
  <c r="O152" i="24"/>
  <c r="O165" i="24"/>
  <c r="O106" i="24"/>
  <c r="O65" i="24"/>
  <c r="O145" i="24"/>
  <c r="O76" i="24"/>
  <c r="O219" i="24"/>
  <c r="O214" i="24"/>
  <c r="O25" i="24"/>
  <c r="O227" i="24"/>
  <c r="O161" i="24"/>
  <c r="O242" i="24"/>
  <c r="O92" i="24"/>
  <c r="O109" i="24"/>
  <c r="O41" i="24"/>
  <c r="O233" i="24"/>
  <c r="O21" i="24"/>
  <c r="O82" i="24"/>
  <c r="O42" i="24"/>
  <c r="O268" i="24"/>
  <c r="O237" i="24"/>
  <c r="O148" i="24"/>
  <c r="O78" i="24"/>
  <c r="O249" i="24"/>
  <c r="O374" i="24"/>
  <c r="F12" i="19"/>
  <c r="W379" i="20"/>
  <c r="M66" i="19"/>
  <c r="E13" i="19"/>
  <c r="F13" i="19" s="1"/>
  <c r="AA272" i="20"/>
  <c r="Z272" i="20" s="1"/>
  <c r="Y272" i="20" s="1"/>
  <c r="D241" i="20"/>
  <c r="E241" i="20" s="1"/>
  <c r="F241" i="20" s="1"/>
  <c r="G241" i="20" s="1"/>
  <c r="CB241" i="6" s="1"/>
  <c r="I66" i="20"/>
  <c r="B66" i="6" s="1"/>
  <c r="BA66" i="6" s="1"/>
  <c r="D66" i="6" s="1"/>
  <c r="W60" i="20"/>
  <c r="D217" i="22"/>
  <c r="E217" i="22" s="1"/>
  <c r="F217" i="22" s="1"/>
  <c r="G217" i="22" s="1"/>
  <c r="CC217" i="6" s="1"/>
  <c r="P381" i="18"/>
  <c r="V15" i="18"/>
  <c r="P383" i="18"/>
  <c r="P382" i="18"/>
  <c r="D333" i="20"/>
  <c r="E333" i="20" s="1"/>
  <c r="F333" i="20" s="1"/>
  <c r="W333" i="20"/>
  <c r="I259" i="20"/>
  <c r="B259" i="6" s="1"/>
  <c r="BA259" i="6" s="1"/>
  <c r="D259" i="6" s="1"/>
  <c r="J206" i="20"/>
  <c r="C206" i="6" s="1"/>
  <c r="I206" i="20"/>
  <c r="B206" i="6" s="1"/>
  <c r="BA206" i="6" s="1"/>
  <c r="D206" i="6" s="1"/>
  <c r="J33" i="20"/>
  <c r="C33" i="6" s="1"/>
  <c r="I33" i="20"/>
  <c r="B33" i="6" s="1"/>
  <c r="BA33" i="6" s="1"/>
  <c r="D33" i="6" s="1"/>
  <c r="J364" i="20"/>
  <c r="C364" i="6" s="1"/>
  <c r="I364" i="20"/>
  <c r="B364" i="6" s="1"/>
  <c r="BA364" i="6" s="1"/>
  <c r="D364" i="6" s="1"/>
  <c r="I172" i="20"/>
  <c r="B172" i="6" s="1"/>
  <c r="BA172" i="6" s="1"/>
  <c r="D172" i="6" s="1"/>
  <c r="J172" i="20"/>
  <c r="C172" i="6" s="1"/>
  <c r="I120" i="20"/>
  <c r="B120" i="6" s="1"/>
  <c r="BA120" i="6" s="1"/>
  <c r="D120" i="6" s="1"/>
  <c r="J120" i="20"/>
  <c r="C120" i="6" s="1"/>
  <c r="AA29" i="20"/>
  <c r="Z29" i="20" s="1"/>
  <c r="Y29" i="20" s="1"/>
  <c r="G29" i="20"/>
  <c r="CB29" i="6" s="1"/>
  <c r="H29" i="20"/>
  <c r="I32" i="20"/>
  <c r="B32" i="6" s="1"/>
  <c r="BA32" i="6" s="1"/>
  <c r="D32" i="6" s="1"/>
  <c r="J32" i="20"/>
  <c r="C32" i="6" s="1"/>
  <c r="I27" i="20"/>
  <c r="B27" i="6" s="1"/>
  <c r="BA27" i="6" s="1"/>
  <c r="D27" i="6" s="1"/>
  <c r="J27" i="20"/>
  <c r="C27" i="6" s="1"/>
  <c r="I210" i="18"/>
  <c r="J210" i="18"/>
  <c r="AH381" i="20"/>
  <c r="AG15" i="20"/>
  <c r="AH383" i="20"/>
  <c r="AH382" i="20"/>
  <c r="I180" i="18"/>
  <c r="J180" i="18"/>
  <c r="J149" i="18"/>
  <c r="I149" i="18"/>
  <c r="I60" i="18"/>
  <c r="J60" i="18"/>
  <c r="I88" i="18"/>
  <c r="J88" i="18"/>
  <c r="I124" i="20"/>
  <c r="B124" i="6" s="1"/>
  <c r="BA124" i="6" s="1"/>
  <c r="D124" i="6" s="1"/>
  <c r="J124" i="20"/>
  <c r="C124" i="6" s="1"/>
  <c r="W35" i="22"/>
  <c r="D35" i="22"/>
  <c r="E35" i="22" s="1"/>
  <c r="F35" i="22" s="1"/>
  <c r="W37" i="22"/>
  <c r="D37" i="22"/>
  <c r="E37" i="22" s="1"/>
  <c r="F37" i="22" s="1"/>
  <c r="W21" i="22"/>
  <c r="D21" i="22"/>
  <c r="E21" i="22" s="1"/>
  <c r="F21" i="22" s="1"/>
  <c r="V29" i="22"/>
  <c r="B29" i="22" s="1"/>
  <c r="AH32" i="7"/>
  <c r="V149" i="22"/>
  <c r="AH36" i="7"/>
  <c r="W289" i="22"/>
  <c r="D289" i="22"/>
  <c r="E289" i="22" s="1"/>
  <c r="F289" i="22" s="1"/>
  <c r="D147" i="22"/>
  <c r="E147" i="22" s="1"/>
  <c r="F147" i="22" s="1"/>
  <c r="W147" i="22"/>
  <c r="V210" i="22"/>
  <c r="B210" i="22" s="1"/>
  <c r="AH41" i="7"/>
  <c r="AH43" i="7"/>
  <c r="AH42" i="7"/>
  <c r="S381" i="20"/>
  <c r="R15" i="20"/>
  <c r="S383" i="20"/>
  <c r="S382" i="20"/>
  <c r="J330" i="20"/>
  <c r="C330" i="6" s="1"/>
  <c r="I330" i="20"/>
  <c r="B330" i="6" s="1"/>
  <c r="BA330" i="6" s="1"/>
  <c r="D330" i="6" s="1"/>
  <c r="I92" i="20"/>
  <c r="B92" i="6" s="1"/>
  <c r="BA92" i="6" s="1"/>
  <c r="D92" i="6" s="1"/>
  <c r="J92" i="20"/>
  <c r="C92" i="6" s="1"/>
  <c r="J73" i="20"/>
  <c r="C73" i="6" s="1"/>
  <c r="I73" i="20"/>
  <c r="B73" i="6" s="1"/>
  <c r="BA73" i="6" s="1"/>
  <c r="D73" i="6" s="1"/>
  <c r="Q322" i="23"/>
  <c r="Q39" i="23"/>
  <c r="Q177" i="23"/>
  <c r="Q111" i="23"/>
  <c r="Q373" i="23"/>
  <c r="Q175" i="23"/>
  <c r="Q350" i="23"/>
  <c r="Q174" i="23"/>
  <c r="Q358" i="23"/>
  <c r="Q105" i="23"/>
  <c r="Q184" i="23"/>
  <c r="Q339" i="23"/>
  <c r="Q256" i="23"/>
  <c r="Q91" i="23"/>
  <c r="Q337" i="23"/>
  <c r="Q326" i="23"/>
  <c r="Q178" i="23"/>
  <c r="Q80" i="23"/>
  <c r="Q266" i="23"/>
  <c r="Q224" i="23"/>
  <c r="Q115" i="23"/>
  <c r="Q32" i="23"/>
  <c r="Q136" i="23"/>
  <c r="Q284" i="23"/>
  <c r="Q246" i="23"/>
  <c r="Q295" i="23"/>
  <c r="Q323" i="23"/>
  <c r="Q255" i="23"/>
  <c r="Q65" i="23"/>
  <c r="Q307" i="23"/>
  <c r="Q294" i="23"/>
  <c r="Q240" i="23"/>
  <c r="Q226" i="23"/>
  <c r="Q310" i="23"/>
  <c r="Q329" i="23"/>
  <c r="Q230" i="23"/>
  <c r="Q348" i="23"/>
  <c r="Q201" i="23"/>
  <c r="Q263" i="23"/>
  <c r="Q202" i="23"/>
  <c r="Q152" i="23"/>
  <c r="Q217" i="23"/>
  <c r="Q336" i="23"/>
  <c r="Q147" i="23"/>
  <c r="Q108" i="23"/>
  <c r="Q271" i="23"/>
  <c r="Q222" i="23"/>
  <c r="Q362" i="23"/>
  <c r="Q76" i="23"/>
  <c r="Q130" i="23"/>
  <c r="Q276" i="23"/>
  <c r="Q170" i="23"/>
  <c r="Q244" i="23"/>
  <c r="Q179" i="23"/>
  <c r="Q143" i="23"/>
  <c r="Q311" i="23"/>
  <c r="Q320" i="23"/>
  <c r="Q265" i="23"/>
  <c r="Q262" i="23"/>
  <c r="Q157" i="23"/>
  <c r="Q270" i="23"/>
  <c r="Q186" i="23"/>
  <c r="Q279" i="23"/>
  <c r="Q215" i="23"/>
  <c r="Q28" i="23"/>
  <c r="Q113" i="23"/>
  <c r="Q343" i="23"/>
  <c r="Q288" i="23"/>
  <c r="Q223" i="23"/>
  <c r="Q250" i="23"/>
  <c r="Q149" i="23"/>
  <c r="Q252" i="23"/>
  <c r="Q142" i="23"/>
  <c r="Q195" i="23"/>
  <c r="Q41" i="23"/>
  <c r="Q298" i="23"/>
  <c r="Q188" i="23"/>
  <c r="Q261" i="23"/>
  <c r="Q125" i="23"/>
  <c r="AE87" i="23"/>
  <c r="AE91" i="23"/>
  <c r="AE46" i="23"/>
  <c r="AE53" i="23"/>
  <c r="AE50" i="23"/>
  <c r="AE32" i="23"/>
  <c r="AE22" i="23"/>
  <c r="AE75" i="23"/>
  <c r="AE51" i="23"/>
  <c r="AE80" i="23"/>
  <c r="AE81" i="23"/>
  <c r="AE40" i="23"/>
  <c r="AE92" i="23"/>
  <c r="AE96" i="23"/>
  <c r="AE67" i="23"/>
  <c r="AE89" i="23"/>
  <c r="AE38" i="23"/>
  <c r="AE24" i="23"/>
  <c r="AE15" i="23"/>
  <c r="AE44" i="23"/>
  <c r="AE42" i="23"/>
  <c r="AE37" i="23"/>
  <c r="AE98" i="23"/>
  <c r="AE79" i="23"/>
  <c r="AE82" i="23"/>
  <c r="AE66" i="23"/>
  <c r="AE72" i="23"/>
  <c r="AE83" i="23"/>
  <c r="AE30" i="23"/>
  <c r="AE39" i="23"/>
  <c r="AE73" i="23"/>
  <c r="AE33" i="23"/>
  <c r="AE16" i="23"/>
  <c r="AE85" i="23"/>
  <c r="AE36" i="23"/>
  <c r="AE64" i="23"/>
  <c r="AE49" i="23"/>
  <c r="AE78" i="23"/>
  <c r="AE69" i="23"/>
  <c r="AE76" i="23"/>
  <c r="AE25" i="23"/>
  <c r="AE74" i="23"/>
  <c r="AE45" i="23"/>
  <c r="AE56" i="23"/>
  <c r="AE71" i="23"/>
  <c r="AE52" i="23"/>
  <c r="Q319" i="23"/>
  <c r="Q214" i="23"/>
  <c r="Q173" i="23"/>
  <c r="Q106" i="23"/>
  <c r="Q363" i="23"/>
  <c r="Q301" i="23"/>
  <c r="Q236" i="23"/>
  <c r="Q237" i="23"/>
  <c r="Q199" i="23"/>
  <c r="Q122" i="23"/>
  <c r="Q30" i="23"/>
  <c r="Q351" i="23"/>
  <c r="Q70" i="23"/>
  <c r="Q81" i="23"/>
  <c r="Q198" i="23"/>
  <c r="Q303" i="23"/>
  <c r="Q305" i="23"/>
  <c r="Q300" i="23"/>
  <c r="Q251" i="23"/>
  <c r="Q321" i="23"/>
  <c r="Q289" i="23"/>
  <c r="Q316" i="23"/>
  <c r="Q124" i="23"/>
  <c r="Q360" i="23"/>
  <c r="Q160" i="23"/>
  <c r="Q116" i="23"/>
  <c r="Q285" i="23"/>
  <c r="Q71" i="23"/>
  <c r="Q258" i="23"/>
  <c r="Q204" i="23"/>
  <c r="Q114" i="23"/>
  <c r="Q364" i="23"/>
  <c r="Q127" i="23"/>
  <c r="Q34" i="23"/>
  <c r="Q141" i="23"/>
  <c r="Q167" i="23"/>
  <c r="Q318" i="23"/>
  <c r="Q249" i="23"/>
  <c r="Q346" i="23"/>
  <c r="Q278" i="23"/>
  <c r="Q308" i="23"/>
  <c r="Q135" i="23"/>
  <c r="Q203" i="23"/>
  <c r="Q61" i="23"/>
  <c r="Q117" i="23"/>
  <c r="Q313" i="23"/>
  <c r="Q353" i="23"/>
  <c r="Q121" i="23"/>
  <c r="Q126" i="23"/>
  <c r="Q51" i="23"/>
  <c r="Q291" i="23"/>
  <c r="Q264" i="23"/>
  <c r="Q209" i="23"/>
  <c r="Q317" i="23"/>
  <c r="Q355" i="23"/>
  <c r="Q45" i="23"/>
  <c r="Q257" i="23"/>
  <c r="Q248" i="23"/>
  <c r="Q296" i="23"/>
  <c r="Q15" i="23"/>
  <c r="Q349" i="23"/>
  <c r="Q286" i="23"/>
  <c r="Q140" i="23"/>
  <c r="Q56" i="23"/>
  <c r="Q24" i="23"/>
  <c r="Q207" i="23"/>
  <c r="Q75" i="23"/>
  <c r="Q325" i="23"/>
  <c r="Q290" i="23"/>
  <c r="Q287" i="23"/>
  <c r="Q64" i="23"/>
  <c r="Q312" i="23"/>
  <c r="Q79" i="23"/>
  <c r="Q333" i="23"/>
  <c r="Q212" i="23"/>
  <c r="Q133" i="23"/>
  <c r="Q245" i="23"/>
  <c r="Q277" i="23"/>
  <c r="Q231" i="23"/>
  <c r="Q283" i="23"/>
  <c r="Q153" i="23"/>
  <c r="Q183" i="23"/>
  <c r="Q282" i="23"/>
  <c r="Q344" i="23"/>
  <c r="Q306" i="23"/>
  <c r="Q155" i="23"/>
  <c r="Q238" i="23"/>
  <c r="Q297" i="23"/>
  <c r="Q205" i="23"/>
  <c r="Q254" i="23"/>
  <c r="Q235" i="23"/>
  <c r="Q206" i="23"/>
  <c r="Q268" i="23"/>
  <c r="Q138" i="23"/>
  <c r="Q359" i="23"/>
  <c r="Q52" i="23"/>
  <c r="Q180" i="23"/>
  <c r="Q150" i="23"/>
  <c r="Q218" i="23"/>
  <c r="Q347" i="23"/>
  <c r="Q196" i="23"/>
  <c r="Q162" i="23"/>
  <c r="Q379" i="23"/>
  <c r="Q247" i="23"/>
  <c r="Q370" i="23"/>
  <c r="Q96" i="23"/>
  <c r="Q361" i="23"/>
  <c r="Q27" i="23"/>
  <c r="Q219" i="23"/>
  <c r="Q87" i="23"/>
  <c r="Q134" i="23"/>
  <c r="Q120" i="23"/>
  <c r="Q139" i="23"/>
  <c r="Q185" i="23"/>
  <c r="Q243" i="23"/>
  <c r="Q242" i="23"/>
  <c r="Q172" i="23"/>
  <c r="Q128" i="23"/>
  <c r="Q168" i="23"/>
  <c r="Q163" i="23"/>
  <c r="Q216" i="23"/>
  <c r="Q132" i="23"/>
  <c r="Q154" i="23"/>
  <c r="Q104" i="23"/>
  <c r="Q109" i="23"/>
  <c r="Q60" i="23"/>
  <c r="Q328" i="23"/>
  <c r="Q176" i="23"/>
  <c r="Q165" i="23"/>
  <c r="Q182" i="23"/>
  <c r="Q112" i="23"/>
  <c r="Q225" i="23"/>
  <c r="Q274" i="23"/>
  <c r="Q145" i="23"/>
  <c r="Q375" i="23"/>
  <c r="Q144" i="23"/>
  <c r="Q194" i="23"/>
  <c r="Q137" i="23"/>
  <c r="Q241" i="23"/>
  <c r="Q378" i="23"/>
  <c r="Q187" i="23"/>
  <c r="Q148" i="23"/>
  <c r="Q29" i="23"/>
  <c r="Q83" i="23"/>
  <c r="Q233" i="23"/>
  <c r="Q342" i="23"/>
  <c r="Q253" i="23"/>
  <c r="Q374" i="23"/>
  <c r="Q371" i="23"/>
  <c r="Q324" i="23"/>
  <c r="Q99" i="23"/>
  <c r="Q281" i="23"/>
  <c r="Q331" i="23"/>
  <c r="Q158" i="23"/>
  <c r="Q365" i="23"/>
  <c r="Q239" i="23"/>
  <c r="Q22" i="23"/>
  <c r="Q210" i="23"/>
  <c r="Q94" i="23"/>
  <c r="Q267" i="23"/>
  <c r="Q200" i="23"/>
  <c r="Q110" i="23"/>
  <c r="Q356" i="23"/>
  <c r="AU15" i="7"/>
  <c r="AE17" i="23"/>
  <c r="AE35" i="23"/>
  <c r="AE21" i="23"/>
  <c r="AE47" i="23"/>
  <c r="AE84" i="23"/>
  <c r="AE54" i="23"/>
  <c r="AE99" i="23"/>
  <c r="AE34" i="23"/>
  <c r="AE103" i="23"/>
  <c r="AE63" i="23"/>
  <c r="AE59" i="23"/>
  <c r="AE18" i="23"/>
  <c r="AE70" i="23"/>
  <c r="AE58" i="23"/>
  <c r="AE29" i="23"/>
  <c r="AE68" i="23"/>
  <c r="AE41" i="23"/>
  <c r="AE101" i="23"/>
  <c r="AE61" i="23"/>
  <c r="AE90" i="23"/>
  <c r="AE23" i="23"/>
  <c r="AE26" i="23"/>
  <c r="AE60" i="23"/>
  <c r="AE65" i="23"/>
  <c r="AE19" i="23"/>
  <c r="AE86" i="23"/>
  <c r="AE55" i="23"/>
  <c r="AE62" i="23"/>
  <c r="AE95" i="23"/>
  <c r="AE88" i="23"/>
  <c r="AE28" i="23"/>
  <c r="AE93" i="23"/>
  <c r="AE100" i="23"/>
  <c r="AE27" i="23"/>
  <c r="AE77" i="23"/>
  <c r="AE20" i="23"/>
  <c r="AE48" i="23"/>
  <c r="AE43" i="23"/>
  <c r="AE57" i="23"/>
  <c r="AE31" i="23"/>
  <c r="AE102" i="23"/>
  <c r="AE94" i="23"/>
  <c r="AE97" i="23"/>
  <c r="Q171" i="23"/>
  <c r="Q341" i="23"/>
  <c r="Q220" i="23"/>
  <c r="Q97" i="23"/>
  <c r="Q151" i="23"/>
  <c r="Q338" i="23"/>
  <c r="Q304" i="23"/>
  <c r="Q59" i="23"/>
  <c r="Q166" i="23"/>
  <c r="Q68" i="23"/>
  <c r="Q193" i="23"/>
  <c r="Q269" i="23"/>
  <c r="Q259" i="23"/>
  <c r="Q221" i="23"/>
  <c r="Q272" i="23"/>
  <c r="Q372" i="23"/>
  <c r="Q197" i="23"/>
  <c r="Q107" i="23"/>
  <c r="Q357" i="23"/>
  <c r="Q227" i="23"/>
  <c r="Q156" i="23"/>
  <c r="Q131" i="23"/>
  <c r="Q354" i="23"/>
  <c r="Q368" i="23"/>
  <c r="Q191" i="23"/>
  <c r="Q84" i="23"/>
  <c r="Q280" i="23"/>
  <c r="Q19" i="23"/>
  <c r="Q119" i="23"/>
  <c r="Q164" i="23"/>
  <c r="Q315" i="23"/>
  <c r="Q192" i="23"/>
  <c r="Q118" i="23"/>
  <c r="Q31" i="23"/>
  <c r="Q369" i="23"/>
  <c r="Q275" i="23"/>
  <c r="Q302" i="23"/>
  <c r="Q161" i="23"/>
  <c r="Q299" i="23"/>
  <c r="Q208" i="23"/>
  <c r="Q330" i="23"/>
  <c r="Q123" i="23"/>
  <c r="Q18" i="23"/>
  <c r="Q260" i="23"/>
  <c r="Q181" i="23"/>
  <c r="Q234" i="23"/>
  <c r="Q190" i="23"/>
  <c r="Q366" i="23"/>
  <c r="Q314" i="23"/>
  <c r="Q129" i="23"/>
  <c r="Q35" i="23"/>
  <c r="Q229" i="23"/>
  <c r="Q377" i="23"/>
  <c r="Q332" i="23"/>
  <c r="Q159" i="23"/>
  <c r="Q228" i="23"/>
  <c r="Q327" i="23"/>
  <c r="Q103" i="23"/>
  <c r="Q89" i="23"/>
  <c r="Q293" i="23"/>
  <c r="Q340" i="23"/>
  <c r="Q146" i="23"/>
  <c r="Q335" i="23"/>
  <c r="Q232" i="23"/>
  <c r="Q309" i="23"/>
  <c r="Q345" i="23"/>
  <c r="Q189" i="23"/>
  <c r="Q292" i="23"/>
  <c r="Q43" i="23"/>
  <c r="Q334" i="23"/>
  <c r="Q213" i="23"/>
  <c r="Q273" i="23"/>
  <c r="Q21" i="23"/>
  <c r="Q352" i="23"/>
  <c r="Q211" i="23"/>
  <c r="Q367" i="23"/>
  <c r="Q376" i="23"/>
  <c r="Q169" i="23"/>
  <c r="J272" i="18"/>
  <c r="I272" i="18"/>
  <c r="W88" i="20"/>
  <c r="D88" i="20"/>
  <c r="E88" i="20" s="1"/>
  <c r="F88" i="20" s="1"/>
  <c r="D180" i="20"/>
  <c r="E180" i="20" s="1"/>
  <c r="F180" i="20" s="1"/>
  <c r="W180" i="20"/>
  <c r="I377" i="20"/>
  <c r="B377" i="6" s="1"/>
  <c r="BA377" i="6" s="1"/>
  <c r="D377" i="6" s="1"/>
  <c r="J377" i="20"/>
  <c r="C377" i="6" s="1"/>
  <c r="J302" i="18"/>
  <c r="I302" i="18"/>
  <c r="AA60" i="20"/>
  <c r="Z60" i="20" s="1"/>
  <c r="Y60" i="20" s="1"/>
  <c r="G60" i="20"/>
  <c r="CB60" i="6" s="1"/>
  <c r="AL13" i="15"/>
  <c r="AJ3" i="15"/>
  <c r="O12" i="19" s="1"/>
  <c r="M12" i="19" s="1"/>
  <c r="M13" i="19" s="1"/>
  <c r="J12" i="19"/>
  <c r="AA11" i="15"/>
  <c r="AA5" i="15" s="1"/>
  <c r="I12" i="19" s="1"/>
  <c r="I52" i="20"/>
  <c r="B52" i="6" s="1"/>
  <c r="BA52" i="6" s="1"/>
  <c r="D52" i="6" s="1"/>
  <c r="J52" i="20"/>
  <c r="C52" i="6" s="1"/>
  <c r="J253" i="20"/>
  <c r="C253" i="6" s="1"/>
  <c r="I253" i="20"/>
  <c r="B253" i="6" s="1"/>
  <c r="BA253" i="6" s="1"/>
  <c r="D253" i="6" s="1"/>
  <c r="I339" i="20"/>
  <c r="B339" i="6" s="1"/>
  <c r="BA339" i="6" s="1"/>
  <c r="D339" i="6" s="1"/>
  <c r="J339" i="20"/>
  <c r="C339" i="6" s="1"/>
  <c r="I333" i="18"/>
  <c r="J333" i="18"/>
  <c r="I129" i="20"/>
  <c r="B129" i="6" s="1"/>
  <c r="BA129" i="6" s="1"/>
  <c r="D129" i="6" s="1"/>
  <c r="J129" i="20"/>
  <c r="C129" i="6" s="1"/>
  <c r="AA363" i="20"/>
  <c r="Z363" i="20" s="1"/>
  <c r="Y363" i="20" s="1"/>
  <c r="G363" i="20"/>
  <c r="CB363" i="6" s="1"/>
  <c r="J44" i="20"/>
  <c r="C44" i="6" s="1"/>
  <c r="J294" i="20"/>
  <c r="C294" i="6" s="1"/>
  <c r="I294" i="20"/>
  <c r="B294" i="6" s="1"/>
  <c r="BA294" i="6" s="1"/>
  <c r="D294" i="6" s="1"/>
  <c r="J90" i="20"/>
  <c r="C90" i="6" s="1"/>
  <c r="I90" i="20"/>
  <c r="B90" i="6" s="1"/>
  <c r="BA90" i="6" s="1"/>
  <c r="D90" i="6" s="1"/>
  <c r="W119" i="20"/>
  <c r="D119" i="20"/>
  <c r="E119" i="20" s="1"/>
  <c r="F119" i="20" s="1"/>
  <c r="AI377" i="22"/>
  <c r="AH377" i="22" s="1"/>
  <c r="AG377" i="22" s="1"/>
  <c r="AF377" i="22" s="1"/>
  <c r="AD377" i="22" s="1"/>
  <c r="AI24" i="22"/>
  <c r="AH24" i="22" s="1"/>
  <c r="AG24" i="22" s="1"/>
  <c r="AF24" i="22" s="1"/>
  <c r="AD24" i="22" s="1"/>
  <c r="AI276" i="22"/>
  <c r="AH276" i="22" s="1"/>
  <c r="AG276" i="22" s="1"/>
  <c r="AF276" i="22" s="1"/>
  <c r="AD276" i="22" s="1"/>
  <c r="AI293" i="22"/>
  <c r="AH293" i="22" s="1"/>
  <c r="AG293" i="22" s="1"/>
  <c r="AF293" i="22" s="1"/>
  <c r="AD293" i="22" s="1"/>
  <c r="AI46" i="22"/>
  <c r="AH46" i="22" s="1"/>
  <c r="AG46" i="22" s="1"/>
  <c r="AF46" i="22" s="1"/>
  <c r="AD46" i="22" s="1"/>
  <c r="AI49" i="22"/>
  <c r="AH49" i="22" s="1"/>
  <c r="AG49" i="22" s="1"/>
  <c r="AF49" i="22" s="1"/>
  <c r="AD49" i="22" s="1"/>
  <c r="AI75" i="22"/>
  <c r="AH75" i="22" s="1"/>
  <c r="AG75" i="22" s="1"/>
  <c r="AF75" i="22" s="1"/>
  <c r="AD75" i="22" s="1"/>
  <c r="AI344" i="22"/>
  <c r="AH344" i="22" s="1"/>
  <c r="AG344" i="22" s="1"/>
  <c r="AF344" i="22" s="1"/>
  <c r="AD344" i="22" s="1"/>
  <c r="AI117" i="22"/>
  <c r="AH117" i="22" s="1"/>
  <c r="AG117" i="22" s="1"/>
  <c r="AF117" i="22" s="1"/>
  <c r="AD117" i="22" s="1"/>
  <c r="AI59" i="22"/>
  <c r="AH59" i="22" s="1"/>
  <c r="AG59" i="22" s="1"/>
  <c r="AF59" i="22" s="1"/>
  <c r="AD59" i="22" s="1"/>
  <c r="AI137" i="22"/>
  <c r="AH137" i="22" s="1"/>
  <c r="AG137" i="22" s="1"/>
  <c r="AF137" i="22" s="1"/>
  <c r="AD137" i="22" s="1"/>
  <c r="AI95" i="22"/>
  <c r="AH95" i="22" s="1"/>
  <c r="AG95" i="22" s="1"/>
  <c r="AF95" i="22" s="1"/>
  <c r="AD95" i="22" s="1"/>
  <c r="AI64" i="22"/>
  <c r="AH64" i="22" s="1"/>
  <c r="AG64" i="22" s="1"/>
  <c r="AF64" i="22" s="1"/>
  <c r="AD64" i="22" s="1"/>
  <c r="AI327" i="22"/>
  <c r="AH327" i="22" s="1"/>
  <c r="AG327" i="22" s="1"/>
  <c r="AF327" i="22" s="1"/>
  <c r="AD327" i="22" s="1"/>
  <c r="AI236" i="22"/>
  <c r="AH236" i="22" s="1"/>
  <c r="AG236" i="22" s="1"/>
  <c r="AF236" i="22" s="1"/>
  <c r="AD236" i="22" s="1"/>
  <c r="AI321" i="22"/>
  <c r="AH321" i="22" s="1"/>
  <c r="AG321" i="22" s="1"/>
  <c r="AF321" i="22" s="1"/>
  <c r="AD321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284" i="22"/>
  <c r="AH284" i="22" s="1"/>
  <c r="AG284" i="22" s="1"/>
  <c r="AF284" i="22" s="1"/>
  <c r="AD284" i="22" s="1"/>
  <c r="AI242" i="22"/>
  <c r="AH242" i="22" s="1"/>
  <c r="AG242" i="22" s="1"/>
  <c r="AF242" i="22" s="1"/>
  <c r="AD242" i="22" s="1"/>
  <c r="AI162" i="22"/>
  <c r="AH162" i="22" s="1"/>
  <c r="AG162" i="22" s="1"/>
  <c r="AF162" i="22" s="1"/>
  <c r="AD162" i="22" s="1"/>
  <c r="AI357" i="22"/>
  <c r="AH357" i="22" s="1"/>
  <c r="AG357" i="22" s="1"/>
  <c r="AF357" i="22" s="1"/>
  <c r="AD357" i="22" s="1"/>
  <c r="AI131" i="22"/>
  <c r="AH131" i="22" s="1"/>
  <c r="AG131" i="22" s="1"/>
  <c r="AF131" i="22" s="1"/>
  <c r="AD131" i="22" s="1"/>
  <c r="AI98" i="22"/>
  <c r="AH98" i="22" s="1"/>
  <c r="AG98" i="22" s="1"/>
  <c r="AF98" i="22" s="1"/>
  <c r="AD98" i="22" s="1"/>
  <c r="AI67" i="22"/>
  <c r="AH67" i="22" s="1"/>
  <c r="AG67" i="22" s="1"/>
  <c r="AF67" i="22" s="1"/>
  <c r="AD67" i="22" s="1"/>
  <c r="AI330" i="22"/>
  <c r="AH330" i="22" s="1"/>
  <c r="AG330" i="22" s="1"/>
  <c r="AF330" i="22" s="1"/>
  <c r="AD330" i="22" s="1"/>
  <c r="AI233" i="22"/>
  <c r="AH233" i="22" s="1"/>
  <c r="AG233" i="22" s="1"/>
  <c r="AF233" i="22" s="1"/>
  <c r="AD233" i="22" s="1"/>
  <c r="AI318" i="22"/>
  <c r="AH318" i="22" s="1"/>
  <c r="AG318" i="22" s="1"/>
  <c r="AF318" i="22" s="1"/>
  <c r="AD318" i="22" s="1"/>
  <c r="AI190" i="22"/>
  <c r="AH190" i="22" s="1"/>
  <c r="AG190" i="22" s="1"/>
  <c r="AF190" i="22" s="1"/>
  <c r="AD190" i="22" s="1"/>
  <c r="AI125" i="22"/>
  <c r="AH125" i="22" s="1"/>
  <c r="AG125" i="22" s="1"/>
  <c r="AF125" i="22" s="1"/>
  <c r="AD125" i="22" s="1"/>
  <c r="AI370" i="22"/>
  <c r="AH370" i="22" s="1"/>
  <c r="AG370" i="22" s="1"/>
  <c r="AF370" i="22" s="1"/>
  <c r="AD370" i="22" s="1"/>
  <c r="AI161" i="22"/>
  <c r="AH161" i="22" s="1"/>
  <c r="AG161" i="22" s="1"/>
  <c r="AF161" i="22" s="1"/>
  <c r="AD161" i="22" s="1"/>
  <c r="AI250" i="22"/>
  <c r="AH250" i="22" s="1"/>
  <c r="AG250" i="22" s="1"/>
  <c r="AF250" i="22" s="1"/>
  <c r="AD250" i="22" s="1"/>
  <c r="AI76" i="22"/>
  <c r="AH76" i="22" s="1"/>
  <c r="AG76" i="22" s="1"/>
  <c r="AF76" i="22" s="1"/>
  <c r="AD76" i="22" s="1"/>
  <c r="AI297" i="22"/>
  <c r="AH297" i="22" s="1"/>
  <c r="AG297" i="22" s="1"/>
  <c r="AF297" i="22" s="1"/>
  <c r="AD297" i="22" s="1"/>
  <c r="AI110" i="22"/>
  <c r="AH110" i="22" s="1"/>
  <c r="AG110" i="22" s="1"/>
  <c r="AF110" i="22" s="1"/>
  <c r="AD110" i="22" s="1"/>
  <c r="AI29" i="22"/>
  <c r="AH29" i="22" s="1"/>
  <c r="AG29" i="22" s="1"/>
  <c r="AF29" i="22" s="1"/>
  <c r="AD29" i="22" s="1"/>
  <c r="AI281" i="22"/>
  <c r="AH281" i="22" s="1"/>
  <c r="AG281" i="22" s="1"/>
  <c r="AF281" i="22" s="1"/>
  <c r="AD281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154" i="22"/>
  <c r="AH154" i="22" s="1"/>
  <c r="AG154" i="22" s="1"/>
  <c r="AF154" i="22" s="1"/>
  <c r="AD154" i="22" s="1"/>
  <c r="AI56" i="22"/>
  <c r="AH56" i="22" s="1"/>
  <c r="AG56" i="22" s="1"/>
  <c r="AF56" i="22" s="1"/>
  <c r="AD56" i="22" s="1"/>
  <c r="AI132" i="22"/>
  <c r="AH132" i="22" s="1"/>
  <c r="AG132" i="22" s="1"/>
  <c r="AF132" i="22" s="1"/>
  <c r="AD132" i="22" s="1"/>
  <c r="AI203" i="22"/>
  <c r="AH203" i="22" s="1"/>
  <c r="AG203" i="22" s="1"/>
  <c r="AF203" i="22" s="1"/>
  <c r="AD203" i="22" s="1"/>
  <c r="AI262" i="22"/>
  <c r="AH262" i="22" s="1"/>
  <c r="AG262" i="22" s="1"/>
  <c r="AF262" i="22" s="1"/>
  <c r="AD262" i="22" s="1"/>
  <c r="AI322" i="22"/>
  <c r="AH322" i="22" s="1"/>
  <c r="AG322" i="22" s="1"/>
  <c r="AF322" i="22" s="1"/>
  <c r="AD322" i="22" s="1"/>
  <c r="AI172" i="22"/>
  <c r="AH172" i="22" s="1"/>
  <c r="AG172" i="22" s="1"/>
  <c r="AF172" i="22" s="1"/>
  <c r="AD172" i="22" s="1"/>
  <c r="AI333" i="22"/>
  <c r="AH333" i="22" s="1"/>
  <c r="AG333" i="22" s="1"/>
  <c r="AF333" i="22" s="1"/>
  <c r="AD333" i="22" s="1"/>
  <c r="AI18" i="22"/>
  <c r="AH18" i="22" s="1"/>
  <c r="AG18" i="22" s="1"/>
  <c r="AF18" i="22" s="1"/>
  <c r="AD18" i="22" s="1"/>
  <c r="AI15" i="22"/>
  <c r="AI239" i="22"/>
  <c r="AH239" i="22" s="1"/>
  <c r="AG239" i="22" s="1"/>
  <c r="AF239" i="22" s="1"/>
  <c r="AD239" i="22" s="1"/>
  <c r="AI301" i="22"/>
  <c r="AH301" i="22" s="1"/>
  <c r="AG301" i="22" s="1"/>
  <c r="AF301" i="22" s="1"/>
  <c r="AD301" i="22" s="1"/>
  <c r="AI352" i="22"/>
  <c r="AH352" i="22" s="1"/>
  <c r="AG352" i="22" s="1"/>
  <c r="AF352" i="22" s="1"/>
  <c r="AD352" i="22" s="1"/>
  <c r="AI155" i="22"/>
  <c r="AH155" i="22" s="1"/>
  <c r="AG155" i="22" s="1"/>
  <c r="AF155" i="22" s="1"/>
  <c r="AD155" i="22" s="1"/>
  <c r="AI146" i="22"/>
  <c r="AH146" i="22" s="1"/>
  <c r="AG146" i="22" s="1"/>
  <c r="AF146" i="22" s="1"/>
  <c r="AD146" i="22" s="1"/>
  <c r="AI44" i="22"/>
  <c r="AH44" i="22" s="1"/>
  <c r="AG44" i="22" s="1"/>
  <c r="AF44" i="22" s="1"/>
  <c r="AD44" i="22" s="1"/>
  <c r="AI147" i="22"/>
  <c r="AH147" i="22" s="1"/>
  <c r="AG147" i="22" s="1"/>
  <c r="AF147" i="22" s="1"/>
  <c r="AD147" i="22" s="1"/>
  <c r="AI265" i="22"/>
  <c r="AH265" i="22" s="1"/>
  <c r="AG265" i="22" s="1"/>
  <c r="AF265" i="22" s="1"/>
  <c r="AD265" i="22" s="1"/>
  <c r="AI260" i="22"/>
  <c r="AH260" i="22" s="1"/>
  <c r="AG260" i="22" s="1"/>
  <c r="AF260" i="22" s="1"/>
  <c r="AD260" i="22" s="1"/>
  <c r="AI187" i="22"/>
  <c r="AH187" i="22" s="1"/>
  <c r="AG187" i="22" s="1"/>
  <c r="AF187" i="22" s="1"/>
  <c r="AD187" i="22" s="1"/>
  <c r="AI111" i="22"/>
  <c r="AH111" i="22" s="1"/>
  <c r="AG111" i="22" s="1"/>
  <c r="AF111" i="22" s="1"/>
  <c r="AD111" i="22" s="1"/>
  <c r="AI367" i="22"/>
  <c r="AH367" i="22" s="1"/>
  <c r="AG367" i="22" s="1"/>
  <c r="AF367" i="22" s="1"/>
  <c r="AD367" i="22" s="1"/>
  <c r="AI74" i="22"/>
  <c r="AH74" i="22" s="1"/>
  <c r="AG74" i="22" s="1"/>
  <c r="AF74" i="22" s="1"/>
  <c r="AD74" i="22" s="1"/>
  <c r="AI115" i="22"/>
  <c r="AH115" i="22" s="1"/>
  <c r="AG115" i="22" s="1"/>
  <c r="AF115" i="22" s="1"/>
  <c r="AD115" i="22" s="1"/>
  <c r="AI171" i="22"/>
  <c r="AH171" i="22" s="1"/>
  <c r="AG171" i="22" s="1"/>
  <c r="AF171" i="22" s="1"/>
  <c r="AD171" i="22" s="1"/>
  <c r="AI207" i="22"/>
  <c r="AH207" i="22" s="1"/>
  <c r="AG207" i="22" s="1"/>
  <c r="AF207" i="22" s="1"/>
  <c r="AD207" i="22" s="1"/>
  <c r="AI378" i="22"/>
  <c r="AH378" i="22" s="1"/>
  <c r="AG378" i="22" s="1"/>
  <c r="AF378" i="22" s="1"/>
  <c r="AD378" i="22" s="1"/>
  <c r="AI38" i="22"/>
  <c r="AH38" i="22" s="1"/>
  <c r="AG38" i="22" s="1"/>
  <c r="AF38" i="22" s="1"/>
  <c r="AD38" i="22" s="1"/>
  <c r="AI182" i="22"/>
  <c r="AH182" i="22" s="1"/>
  <c r="AG182" i="22" s="1"/>
  <c r="AF182" i="22" s="1"/>
  <c r="AD182" i="22" s="1"/>
  <c r="AI362" i="22"/>
  <c r="AH362" i="22" s="1"/>
  <c r="AG362" i="22" s="1"/>
  <c r="AF362" i="22" s="1"/>
  <c r="AD362" i="22" s="1"/>
  <c r="AI60" i="22"/>
  <c r="AH60" i="22" s="1"/>
  <c r="AG60" i="22" s="1"/>
  <c r="AF60" i="22" s="1"/>
  <c r="AD60" i="22" s="1"/>
  <c r="AI246" i="22"/>
  <c r="AH246" i="22" s="1"/>
  <c r="AG246" i="22" s="1"/>
  <c r="AF246" i="22" s="1"/>
  <c r="AD246" i="22" s="1"/>
  <c r="AI374" i="22"/>
  <c r="AH374" i="22" s="1"/>
  <c r="AG374" i="22" s="1"/>
  <c r="AF374" i="22" s="1"/>
  <c r="AD374" i="22" s="1"/>
  <c r="AI200" i="22"/>
  <c r="AH200" i="22" s="1"/>
  <c r="AG200" i="22" s="1"/>
  <c r="AF200" i="22" s="1"/>
  <c r="AD200" i="22" s="1"/>
  <c r="AI127" i="22"/>
  <c r="AH127" i="22" s="1"/>
  <c r="AG127" i="22" s="1"/>
  <c r="AF127" i="22" s="1"/>
  <c r="AD127" i="22" s="1"/>
  <c r="AI339" i="22"/>
  <c r="AH339" i="22" s="1"/>
  <c r="AG339" i="22" s="1"/>
  <c r="AF339" i="22" s="1"/>
  <c r="AD339" i="22" s="1"/>
  <c r="AI166" i="22"/>
  <c r="AH166" i="22" s="1"/>
  <c r="AG166" i="22" s="1"/>
  <c r="AF166" i="22" s="1"/>
  <c r="AD166" i="22" s="1"/>
  <c r="AI238" i="22"/>
  <c r="AH238" i="22" s="1"/>
  <c r="AG238" i="22" s="1"/>
  <c r="AF238" i="22" s="1"/>
  <c r="AD238" i="22" s="1"/>
  <c r="AI288" i="22"/>
  <c r="AH288" i="22" s="1"/>
  <c r="AG288" i="22" s="1"/>
  <c r="AF288" i="22" s="1"/>
  <c r="AD288" i="22" s="1"/>
  <c r="AI20" i="22"/>
  <c r="AH20" i="22" s="1"/>
  <c r="AG20" i="22" s="1"/>
  <c r="AF20" i="22" s="1"/>
  <c r="AD20" i="22" s="1"/>
  <c r="AI48" i="22"/>
  <c r="AH48" i="22" s="1"/>
  <c r="AG48" i="22" s="1"/>
  <c r="AF48" i="22" s="1"/>
  <c r="AD48" i="22" s="1"/>
  <c r="AI45" i="22"/>
  <c r="AH45" i="22" s="1"/>
  <c r="AG45" i="22" s="1"/>
  <c r="AF45" i="22" s="1"/>
  <c r="AD45" i="22" s="1"/>
  <c r="AI292" i="22"/>
  <c r="AH292" i="22" s="1"/>
  <c r="AG292" i="22" s="1"/>
  <c r="AF292" i="22" s="1"/>
  <c r="AD292" i="22" s="1"/>
  <c r="AI145" i="22"/>
  <c r="AH145" i="22" s="1"/>
  <c r="AG145" i="22" s="1"/>
  <c r="AF145" i="22" s="1"/>
  <c r="AD145" i="22" s="1"/>
  <c r="AI219" i="22"/>
  <c r="AH219" i="22" s="1"/>
  <c r="AG219" i="22" s="1"/>
  <c r="AF219" i="22" s="1"/>
  <c r="AD219" i="22" s="1"/>
  <c r="AI179" i="22"/>
  <c r="AH179" i="22" s="1"/>
  <c r="AG179" i="22" s="1"/>
  <c r="AF179" i="22" s="1"/>
  <c r="AD179" i="22" s="1"/>
  <c r="AI356" i="22"/>
  <c r="AH356" i="22" s="1"/>
  <c r="AG356" i="22" s="1"/>
  <c r="AF356" i="22" s="1"/>
  <c r="AD356" i="22" s="1"/>
  <c r="AI63" i="22"/>
  <c r="AH63" i="22" s="1"/>
  <c r="AG63" i="22" s="1"/>
  <c r="AF63" i="22" s="1"/>
  <c r="AD63" i="22" s="1"/>
  <c r="AI113" i="22"/>
  <c r="AH113" i="22" s="1"/>
  <c r="AG113" i="22" s="1"/>
  <c r="AF113" i="22" s="1"/>
  <c r="AD113" i="22" s="1"/>
  <c r="AI335" i="22"/>
  <c r="AH335" i="22" s="1"/>
  <c r="AG335" i="22" s="1"/>
  <c r="AF335" i="22" s="1"/>
  <c r="AD335" i="22" s="1"/>
  <c r="AI87" i="22"/>
  <c r="AH87" i="22" s="1"/>
  <c r="AG87" i="22" s="1"/>
  <c r="AF87" i="22" s="1"/>
  <c r="AD87" i="22" s="1"/>
  <c r="AI151" i="22"/>
  <c r="AH151" i="22" s="1"/>
  <c r="AG151" i="22" s="1"/>
  <c r="AF151" i="22" s="1"/>
  <c r="AD151" i="22" s="1"/>
  <c r="AI57" i="22"/>
  <c r="AH57" i="22" s="1"/>
  <c r="AG57" i="22" s="1"/>
  <c r="AF57" i="22" s="1"/>
  <c r="AD57" i="22" s="1"/>
  <c r="AI51" i="22"/>
  <c r="AH51" i="22" s="1"/>
  <c r="AG51" i="22" s="1"/>
  <c r="AF51" i="22" s="1"/>
  <c r="AD51" i="22" s="1"/>
  <c r="AI202" i="22"/>
  <c r="AH202" i="22" s="1"/>
  <c r="AG202" i="22" s="1"/>
  <c r="AF202" i="22" s="1"/>
  <c r="AD202" i="22" s="1"/>
  <c r="AI274" i="22"/>
  <c r="AH274" i="22" s="1"/>
  <c r="AG274" i="22" s="1"/>
  <c r="AF274" i="22" s="1"/>
  <c r="AD274" i="22" s="1"/>
  <c r="AI380" i="22"/>
  <c r="AH380" i="22" s="1"/>
  <c r="AG380" i="22" s="1"/>
  <c r="AF380" i="22" s="1"/>
  <c r="AD380" i="22" s="1"/>
  <c r="AI278" i="22"/>
  <c r="AH278" i="22" s="1"/>
  <c r="AG278" i="22" s="1"/>
  <c r="AF278" i="22" s="1"/>
  <c r="AD278" i="22" s="1"/>
  <c r="AI140" i="22"/>
  <c r="AH140" i="22" s="1"/>
  <c r="AG140" i="22" s="1"/>
  <c r="AF140" i="22" s="1"/>
  <c r="AD140" i="22" s="1"/>
  <c r="AI279" i="22"/>
  <c r="AH279" i="22" s="1"/>
  <c r="AG279" i="22" s="1"/>
  <c r="AF279" i="22" s="1"/>
  <c r="AD279" i="22" s="1"/>
  <c r="AI234" i="22"/>
  <c r="AH234" i="22" s="1"/>
  <c r="AG234" i="22" s="1"/>
  <c r="AF234" i="22" s="1"/>
  <c r="AD234" i="22" s="1"/>
  <c r="AI268" i="22"/>
  <c r="AH268" i="22" s="1"/>
  <c r="AG268" i="22" s="1"/>
  <c r="AF268" i="22" s="1"/>
  <c r="AD268" i="22" s="1"/>
  <c r="AI73" i="22"/>
  <c r="AH73" i="22" s="1"/>
  <c r="AG73" i="22" s="1"/>
  <c r="AF73" i="22" s="1"/>
  <c r="AD73" i="22" s="1"/>
  <c r="AI174" i="22"/>
  <c r="AH174" i="22" s="1"/>
  <c r="AG174" i="22" s="1"/>
  <c r="AF174" i="22" s="1"/>
  <c r="AD174" i="22" s="1"/>
  <c r="AI91" i="22"/>
  <c r="AH91" i="22" s="1"/>
  <c r="AG91" i="22" s="1"/>
  <c r="AF91" i="22" s="1"/>
  <c r="AD91" i="22" s="1"/>
  <c r="AI351" i="22"/>
  <c r="AH351" i="22" s="1"/>
  <c r="AG351" i="22" s="1"/>
  <c r="AF351" i="22" s="1"/>
  <c r="AD351" i="22" s="1"/>
  <c r="AI198" i="22"/>
  <c r="AH198" i="22" s="1"/>
  <c r="AG198" i="22" s="1"/>
  <c r="AF198" i="22" s="1"/>
  <c r="AD198" i="22" s="1"/>
  <c r="AI302" i="22"/>
  <c r="AH302" i="22" s="1"/>
  <c r="AG302" i="22" s="1"/>
  <c r="AF302" i="22" s="1"/>
  <c r="AD302" i="22" s="1"/>
  <c r="AI303" i="22"/>
  <c r="AH303" i="22" s="1"/>
  <c r="AG303" i="22" s="1"/>
  <c r="AF303" i="22" s="1"/>
  <c r="AD303" i="22" s="1"/>
  <c r="AI118" i="22"/>
  <c r="AH118" i="22" s="1"/>
  <c r="AG118" i="22" s="1"/>
  <c r="AF118" i="22" s="1"/>
  <c r="AD118" i="22" s="1"/>
  <c r="AI360" i="22"/>
  <c r="AH360" i="22" s="1"/>
  <c r="AG360" i="22" s="1"/>
  <c r="AF360" i="22" s="1"/>
  <c r="AD360" i="22" s="1"/>
  <c r="AI369" i="22"/>
  <c r="AH369" i="22" s="1"/>
  <c r="AG369" i="22" s="1"/>
  <c r="AF369" i="22" s="1"/>
  <c r="AD369" i="22" s="1"/>
  <c r="AI259" i="22"/>
  <c r="AH259" i="22" s="1"/>
  <c r="AG259" i="22" s="1"/>
  <c r="AF259" i="22" s="1"/>
  <c r="AD259" i="22" s="1"/>
  <c r="AI266" i="22"/>
  <c r="AH266" i="22" s="1"/>
  <c r="AG266" i="22" s="1"/>
  <c r="AF266" i="22" s="1"/>
  <c r="AD266" i="22" s="1"/>
  <c r="AI223" i="22"/>
  <c r="AH223" i="22" s="1"/>
  <c r="AG223" i="22" s="1"/>
  <c r="AF223" i="22" s="1"/>
  <c r="AD223" i="22" s="1"/>
  <c r="AI177" i="22"/>
  <c r="AH177" i="22" s="1"/>
  <c r="AG177" i="22" s="1"/>
  <c r="AF177" i="22" s="1"/>
  <c r="AD177" i="22" s="1"/>
  <c r="AI94" i="22"/>
  <c r="AH94" i="22" s="1"/>
  <c r="AG94" i="22" s="1"/>
  <c r="AF94" i="22" s="1"/>
  <c r="AD94" i="22" s="1"/>
  <c r="AI114" i="22"/>
  <c r="AH114" i="22" s="1"/>
  <c r="AG114" i="22" s="1"/>
  <c r="AF114" i="22" s="1"/>
  <c r="AD114" i="22" s="1"/>
  <c r="AI195" i="22"/>
  <c r="AH195" i="22" s="1"/>
  <c r="AG195" i="22" s="1"/>
  <c r="AF195" i="22" s="1"/>
  <c r="AD195" i="22" s="1"/>
  <c r="AI283" i="22"/>
  <c r="AH283" i="22" s="1"/>
  <c r="AG283" i="22" s="1"/>
  <c r="AF283" i="22" s="1"/>
  <c r="AD283" i="22" s="1"/>
  <c r="AI218" i="22"/>
  <c r="AH218" i="22" s="1"/>
  <c r="AG218" i="22" s="1"/>
  <c r="AF218" i="22" s="1"/>
  <c r="AD218" i="22" s="1"/>
  <c r="AI144" i="22"/>
  <c r="AH144" i="22" s="1"/>
  <c r="AG144" i="22" s="1"/>
  <c r="AF144" i="22" s="1"/>
  <c r="AD144" i="22" s="1"/>
  <c r="AI31" i="22"/>
  <c r="AH31" i="22" s="1"/>
  <c r="AG31" i="22" s="1"/>
  <c r="AF31" i="22" s="1"/>
  <c r="AD31" i="22" s="1"/>
  <c r="AI142" i="22"/>
  <c r="AH142" i="22" s="1"/>
  <c r="AG142" i="22" s="1"/>
  <c r="AF142" i="22" s="1"/>
  <c r="AD142" i="22" s="1"/>
  <c r="AI216" i="22"/>
  <c r="AH216" i="22" s="1"/>
  <c r="AG216" i="22" s="1"/>
  <c r="AF216" i="22" s="1"/>
  <c r="AD216" i="22" s="1"/>
  <c r="AI185" i="22"/>
  <c r="AH185" i="22" s="1"/>
  <c r="AG185" i="22" s="1"/>
  <c r="AF185" i="22" s="1"/>
  <c r="AD185" i="22" s="1"/>
  <c r="AI244" i="22"/>
  <c r="AH244" i="22" s="1"/>
  <c r="AG244" i="22" s="1"/>
  <c r="AF244" i="22" s="1"/>
  <c r="AD244" i="22" s="1"/>
  <c r="AI54" i="22"/>
  <c r="AH54" i="22" s="1"/>
  <c r="AG54" i="22" s="1"/>
  <c r="AF54" i="22" s="1"/>
  <c r="AD54" i="22" s="1"/>
  <c r="AI119" i="22"/>
  <c r="AH119" i="22" s="1"/>
  <c r="AG119" i="22" s="1"/>
  <c r="AF119" i="22" s="1"/>
  <c r="AD119" i="22" s="1"/>
  <c r="AI363" i="22"/>
  <c r="AH363" i="22" s="1"/>
  <c r="AG363" i="22" s="1"/>
  <c r="AF363" i="22" s="1"/>
  <c r="AD363" i="22" s="1"/>
  <c r="AI183" i="22"/>
  <c r="AH183" i="22" s="1"/>
  <c r="AG183" i="22" s="1"/>
  <c r="AF183" i="22" s="1"/>
  <c r="AD183" i="22" s="1"/>
  <c r="AI270" i="22"/>
  <c r="AH270" i="22" s="1"/>
  <c r="AG270" i="22" s="1"/>
  <c r="AF270" i="22" s="1"/>
  <c r="AD270" i="22" s="1"/>
  <c r="AI194" i="22"/>
  <c r="AH194" i="22" s="1"/>
  <c r="AG194" i="22" s="1"/>
  <c r="AF194" i="22" s="1"/>
  <c r="AD194" i="22" s="1"/>
  <c r="AI355" i="22"/>
  <c r="AH355" i="22" s="1"/>
  <c r="AG355" i="22" s="1"/>
  <c r="AF355" i="22" s="1"/>
  <c r="AD355" i="22" s="1"/>
  <c r="AI102" i="22"/>
  <c r="AH102" i="22" s="1"/>
  <c r="AG102" i="22" s="1"/>
  <c r="AF102" i="22" s="1"/>
  <c r="AD102" i="22" s="1"/>
  <c r="AI178" i="22"/>
  <c r="AH178" i="22" s="1"/>
  <c r="AG178" i="22" s="1"/>
  <c r="AF178" i="22" s="1"/>
  <c r="AD178" i="22" s="1"/>
  <c r="AI159" i="22"/>
  <c r="AH159" i="22" s="1"/>
  <c r="AG159" i="22" s="1"/>
  <c r="AF159" i="22" s="1"/>
  <c r="AD159" i="22" s="1"/>
  <c r="AI62" i="22"/>
  <c r="AH62" i="22" s="1"/>
  <c r="AG62" i="22" s="1"/>
  <c r="AF62" i="22" s="1"/>
  <c r="AD62" i="22" s="1"/>
  <c r="AI134" i="22"/>
  <c r="AH134" i="22" s="1"/>
  <c r="AG134" i="22" s="1"/>
  <c r="AF134" i="22" s="1"/>
  <c r="AD134" i="22" s="1"/>
  <c r="AI306" i="22"/>
  <c r="AH306" i="22" s="1"/>
  <c r="AG306" i="22" s="1"/>
  <c r="AF306" i="22" s="1"/>
  <c r="AD306" i="22" s="1"/>
  <c r="AI228" i="22"/>
  <c r="AH228" i="22" s="1"/>
  <c r="AG228" i="22" s="1"/>
  <c r="AF228" i="22" s="1"/>
  <c r="AD228" i="22" s="1"/>
  <c r="AI354" i="22"/>
  <c r="AH354" i="22" s="1"/>
  <c r="AG354" i="22" s="1"/>
  <c r="AF354" i="22" s="1"/>
  <c r="AD354" i="22" s="1"/>
  <c r="AI138" i="22"/>
  <c r="AH138" i="22" s="1"/>
  <c r="AG138" i="22" s="1"/>
  <c r="AF138" i="22" s="1"/>
  <c r="AD138" i="22" s="1"/>
  <c r="AI148" i="22"/>
  <c r="AH148" i="22" s="1"/>
  <c r="AG148" i="22" s="1"/>
  <c r="AF148" i="22" s="1"/>
  <c r="AD148" i="22" s="1"/>
  <c r="AI30" i="22"/>
  <c r="AH30" i="22" s="1"/>
  <c r="AG30" i="22" s="1"/>
  <c r="AF30" i="22" s="1"/>
  <c r="AD30" i="22" s="1"/>
  <c r="AI350" i="22"/>
  <c r="AH350" i="22" s="1"/>
  <c r="AG350" i="22" s="1"/>
  <c r="AF350" i="22" s="1"/>
  <c r="AD350" i="22" s="1"/>
  <c r="AI224" i="22"/>
  <c r="AH224" i="22" s="1"/>
  <c r="AG224" i="22" s="1"/>
  <c r="AF224" i="22" s="1"/>
  <c r="AD224" i="22" s="1"/>
  <c r="AI310" i="22"/>
  <c r="AH310" i="22" s="1"/>
  <c r="AG310" i="22" s="1"/>
  <c r="AF310" i="22" s="1"/>
  <c r="AD310" i="22" s="1"/>
  <c r="AI130" i="22"/>
  <c r="AH130" i="22" s="1"/>
  <c r="AG130" i="22" s="1"/>
  <c r="AF130" i="22" s="1"/>
  <c r="AD130" i="22" s="1"/>
  <c r="AI66" i="22"/>
  <c r="AH66" i="22" s="1"/>
  <c r="AG66" i="22" s="1"/>
  <c r="AF66" i="22" s="1"/>
  <c r="AD66" i="22" s="1"/>
  <c r="AI163" i="22"/>
  <c r="AH163" i="22" s="1"/>
  <c r="AG163" i="22" s="1"/>
  <c r="AF163" i="22" s="1"/>
  <c r="AD163" i="22" s="1"/>
  <c r="AI215" i="22"/>
  <c r="AH215" i="22" s="1"/>
  <c r="AG215" i="22" s="1"/>
  <c r="AF215" i="22" s="1"/>
  <c r="AD215" i="22" s="1"/>
  <c r="AI141" i="22"/>
  <c r="AH141" i="22" s="1"/>
  <c r="AG141" i="22" s="1"/>
  <c r="AF141" i="22" s="1"/>
  <c r="AD141" i="22" s="1"/>
  <c r="AI296" i="22"/>
  <c r="AH296" i="22" s="1"/>
  <c r="AG296" i="22" s="1"/>
  <c r="AF296" i="22" s="1"/>
  <c r="AD296" i="22" s="1"/>
  <c r="AI52" i="22"/>
  <c r="AH52" i="22" s="1"/>
  <c r="AG52" i="22" s="1"/>
  <c r="AF52" i="22" s="1"/>
  <c r="AD52" i="22" s="1"/>
  <c r="AI58" i="22"/>
  <c r="AH58" i="22" s="1"/>
  <c r="AG58" i="22" s="1"/>
  <c r="AF58" i="22" s="1"/>
  <c r="AD58" i="22" s="1"/>
  <c r="AI69" i="22"/>
  <c r="AH69" i="22" s="1"/>
  <c r="AG69" i="22" s="1"/>
  <c r="AF69" i="22" s="1"/>
  <c r="AD69" i="22" s="1"/>
  <c r="AI264" i="22"/>
  <c r="AH264" i="22" s="1"/>
  <c r="AG264" i="22" s="1"/>
  <c r="AF264" i="22" s="1"/>
  <c r="AD264" i="22" s="1"/>
  <c r="AI173" i="22"/>
  <c r="AH173" i="22" s="1"/>
  <c r="AG173" i="22" s="1"/>
  <c r="AF173" i="22" s="1"/>
  <c r="AD173" i="22" s="1"/>
  <c r="AI50" i="22"/>
  <c r="AH50" i="22" s="1"/>
  <c r="AG50" i="22" s="1"/>
  <c r="AF50" i="22" s="1"/>
  <c r="AD50" i="22" s="1"/>
  <c r="AI240" i="22"/>
  <c r="AH240" i="22" s="1"/>
  <c r="AG240" i="22" s="1"/>
  <c r="AF240" i="22" s="1"/>
  <c r="AD240" i="22" s="1"/>
  <c r="AI189" i="22"/>
  <c r="AH189" i="22" s="1"/>
  <c r="AG189" i="22" s="1"/>
  <c r="AF189" i="22" s="1"/>
  <c r="AD189" i="22" s="1"/>
  <c r="AI108" i="22"/>
  <c r="AH108" i="22" s="1"/>
  <c r="AG108" i="22" s="1"/>
  <c r="AF108" i="22" s="1"/>
  <c r="AD108" i="22" s="1"/>
  <c r="AI316" i="22"/>
  <c r="AH316" i="22" s="1"/>
  <c r="AG316" i="22" s="1"/>
  <c r="AF316" i="22" s="1"/>
  <c r="AD316" i="22" s="1"/>
  <c r="AI328" i="22"/>
  <c r="AH328" i="22" s="1"/>
  <c r="AG328" i="22" s="1"/>
  <c r="AF328" i="22" s="1"/>
  <c r="AD328" i="22" s="1"/>
  <c r="AI175" i="22"/>
  <c r="AH175" i="22" s="1"/>
  <c r="AG175" i="22" s="1"/>
  <c r="AF175" i="22" s="1"/>
  <c r="AD175" i="22" s="1"/>
  <c r="AI165" i="22"/>
  <c r="AH165" i="22" s="1"/>
  <c r="AG165" i="22" s="1"/>
  <c r="AF165" i="22" s="1"/>
  <c r="AD165" i="22" s="1"/>
  <c r="AI358" i="22"/>
  <c r="AH358" i="22" s="1"/>
  <c r="AG358" i="22" s="1"/>
  <c r="AF358" i="22" s="1"/>
  <c r="AD358" i="22" s="1"/>
  <c r="AI93" i="22"/>
  <c r="AH93" i="22" s="1"/>
  <c r="AG93" i="22" s="1"/>
  <c r="AF93" i="22" s="1"/>
  <c r="AD93" i="22" s="1"/>
  <c r="AI308" i="22"/>
  <c r="AH308" i="22" s="1"/>
  <c r="AG308" i="22" s="1"/>
  <c r="AF308" i="22" s="1"/>
  <c r="AD308" i="22" s="1"/>
  <c r="AI222" i="22"/>
  <c r="AH222" i="22" s="1"/>
  <c r="AG222" i="22" s="1"/>
  <c r="AF222" i="22" s="1"/>
  <c r="AD222" i="22" s="1"/>
  <c r="AI167" i="22"/>
  <c r="AH167" i="22" s="1"/>
  <c r="AG167" i="22" s="1"/>
  <c r="AF167" i="22" s="1"/>
  <c r="AD167" i="22" s="1"/>
  <c r="AI101" i="22"/>
  <c r="AH101" i="22" s="1"/>
  <c r="AG101" i="22" s="1"/>
  <c r="AF101" i="22" s="1"/>
  <c r="AD101" i="22" s="1"/>
  <c r="AI70" i="22"/>
  <c r="AH70" i="22" s="1"/>
  <c r="AG70" i="22" s="1"/>
  <c r="AF70" i="22" s="1"/>
  <c r="AD70" i="22" s="1"/>
  <c r="AI371" i="22"/>
  <c r="AH371" i="22" s="1"/>
  <c r="AG371" i="22" s="1"/>
  <c r="AF371" i="22" s="1"/>
  <c r="AD371" i="22" s="1"/>
  <c r="AI126" i="22"/>
  <c r="AH126" i="22" s="1"/>
  <c r="AG126" i="22" s="1"/>
  <c r="AF126" i="22" s="1"/>
  <c r="AD126" i="22" s="1"/>
  <c r="AI191" i="22"/>
  <c r="AH191" i="22" s="1"/>
  <c r="AG191" i="22" s="1"/>
  <c r="AF191" i="22" s="1"/>
  <c r="AD191" i="22" s="1"/>
  <c r="AI241" i="22"/>
  <c r="AH241" i="22" s="1"/>
  <c r="AG241" i="22" s="1"/>
  <c r="AF241" i="22" s="1"/>
  <c r="AD241" i="22" s="1"/>
  <c r="AI188" i="22"/>
  <c r="AH188" i="22" s="1"/>
  <c r="AG188" i="22" s="1"/>
  <c r="AF188" i="22" s="1"/>
  <c r="AD188" i="22" s="1"/>
  <c r="AI338" i="22"/>
  <c r="AH338" i="22" s="1"/>
  <c r="AG338" i="22" s="1"/>
  <c r="AF338" i="22" s="1"/>
  <c r="AD338" i="22" s="1"/>
  <c r="AI210" i="22"/>
  <c r="AH210" i="22" s="1"/>
  <c r="AG210" i="22" s="1"/>
  <c r="AF210" i="22" s="1"/>
  <c r="AD210" i="22" s="1"/>
  <c r="AI213" i="22"/>
  <c r="AH213" i="22" s="1"/>
  <c r="AG213" i="22" s="1"/>
  <c r="AF213" i="22" s="1"/>
  <c r="AD213" i="22" s="1"/>
  <c r="AI35" i="22"/>
  <c r="AH35" i="22" s="1"/>
  <c r="AG35" i="22" s="1"/>
  <c r="AF35" i="22" s="1"/>
  <c r="AD35" i="22" s="1"/>
  <c r="AI267" i="22"/>
  <c r="AH267" i="22" s="1"/>
  <c r="AG267" i="22" s="1"/>
  <c r="AF267" i="22" s="1"/>
  <c r="AD267" i="22" s="1"/>
  <c r="AI170" i="22"/>
  <c r="AH170" i="22" s="1"/>
  <c r="AG170" i="22" s="1"/>
  <c r="AF170" i="22" s="1"/>
  <c r="AD170" i="22" s="1"/>
  <c r="AI100" i="22"/>
  <c r="AH100" i="22" s="1"/>
  <c r="AG100" i="22" s="1"/>
  <c r="AF100" i="22" s="1"/>
  <c r="AD100" i="22" s="1"/>
  <c r="AI105" i="22"/>
  <c r="AH105" i="22" s="1"/>
  <c r="AG105" i="22" s="1"/>
  <c r="AF105" i="22" s="1"/>
  <c r="AD105" i="22" s="1"/>
  <c r="AI181" i="22"/>
  <c r="AH181" i="22" s="1"/>
  <c r="AG181" i="22" s="1"/>
  <c r="AF181" i="22" s="1"/>
  <c r="AD181" i="22" s="1"/>
  <c r="AI227" i="22"/>
  <c r="AH227" i="22" s="1"/>
  <c r="AG227" i="22" s="1"/>
  <c r="AF227" i="22" s="1"/>
  <c r="AD227" i="22" s="1"/>
  <c r="AI116" i="22"/>
  <c r="AH116" i="22" s="1"/>
  <c r="AG116" i="22" s="1"/>
  <c r="AF116" i="22" s="1"/>
  <c r="AD116" i="22" s="1"/>
  <c r="AI343" i="22"/>
  <c r="AH343" i="22" s="1"/>
  <c r="AG343" i="22" s="1"/>
  <c r="AF343" i="22" s="1"/>
  <c r="AD343" i="22" s="1"/>
  <c r="AI84" i="22"/>
  <c r="AH84" i="22" s="1"/>
  <c r="AG84" i="22" s="1"/>
  <c r="AF84" i="22" s="1"/>
  <c r="AD84" i="22" s="1"/>
  <c r="AI79" i="22"/>
  <c r="AH79" i="22" s="1"/>
  <c r="AG79" i="22" s="1"/>
  <c r="AF79" i="22" s="1"/>
  <c r="AD79" i="22" s="1"/>
  <c r="AI300" i="22"/>
  <c r="AH300" i="22" s="1"/>
  <c r="AG300" i="22" s="1"/>
  <c r="AF300" i="22" s="1"/>
  <c r="AD300" i="22" s="1"/>
  <c r="AI211" i="22"/>
  <c r="AH211" i="22" s="1"/>
  <c r="AG211" i="22" s="1"/>
  <c r="AF211" i="22" s="1"/>
  <c r="AD211" i="22" s="1"/>
  <c r="AI258" i="22"/>
  <c r="AH258" i="22" s="1"/>
  <c r="AG258" i="22" s="1"/>
  <c r="AF258" i="22" s="1"/>
  <c r="AD258" i="22" s="1"/>
  <c r="AI193" i="22"/>
  <c r="AH193" i="22" s="1"/>
  <c r="AG193" i="22" s="1"/>
  <c r="AF193" i="22" s="1"/>
  <c r="AD193" i="22" s="1"/>
  <c r="AI128" i="22"/>
  <c r="AH128" i="22" s="1"/>
  <c r="AG128" i="22" s="1"/>
  <c r="AF128" i="22" s="1"/>
  <c r="AD128" i="22" s="1"/>
  <c r="AI77" i="22"/>
  <c r="AH77" i="22" s="1"/>
  <c r="AG77" i="22" s="1"/>
  <c r="AF77" i="22" s="1"/>
  <c r="AD77" i="22" s="1"/>
  <c r="AI158" i="22"/>
  <c r="AH158" i="22" s="1"/>
  <c r="AG158" i="22" s="1"/>
  <c r="AF158" i="22" s="1"/>
  <c r="AD158" i="22" s="1"/>
  <c r="AI247" i="22"/>
  <c r="AH247" i="22" s="1"/>
  <c r="AG247" i="22" s="1"/>
  <c r="AF247" i="22" s="1"/>
  <c r="AD247" i="22" s="1"/>
  <c r="AI37" i="22"/>
  <c r="AH37" i="22" s="1"/>
  <c r="AG37" i="22" s="1"/>
  <c r="AF37" i="22" s="1"/>
  <c r="AD37" i="22" s="1"/>
  <c r="AI153" i="22"/>
  <c r="AH153" i="22" s="1"/>
  <c r="AG153" i="22" s="1"/>
  <c r="AF153" i="22" s="1"/>
  <c r="AD153" i="22" s="1"/>
  <c r="AI251" i="22"/>
  <c r="AH251" i="22" s="1"/>
  <c r="AG251" i="22" s="1"/>
  <c r="AF251" i="22" s="1"/>
  <c r="AD251" i="22" s="1"/>
  <c r="AI81" i="22"/>
  <c r="AH81" i="22" s="1"/>
  <c r="AG81" i="22" s="1"/>
  <c r="AF81" i="22" s="1"/>
  <c r="AD81" i="22" s="1"/>
  <c r="AI376" i="22"/>
  <c r="AH376" i="22" s="1"/>
  <c r="AG376" i="22" s="1"/>
  <c r="AF376" i="22" s="1"/>
  <c r="AD376" i="22" s="1"/>
  <c r="AI342" i="22"/>
  <c r="AH342" i="22" s="1"/>
  <c r="AG342" i="22" s="1"/>
  <c r="AF342" i="22" s="1"/>
  <c r="AD342" i="22" s="1"/>
  <c r="AI261" i="22"/>
  <c r="AH261" i="22" s="1"/>
  <c r="AG261" i="22" s="1"/>
  <c r="AF261" i="22" s="1"/>
  <c r="AD261" i="22" s="1"/>
  <c r="AI192" i="22"/>
  <c r="AH192" i="22" s="1"/>
  <c r="AG192" i="22" s="1"/>
  <c r="AF192" i="22" s="1"/>
  <c r="AD192" i="22" s="1"/>
  <c r="AI55" i="22"/>
  <c r="AH55" i="22" s="1"/>
  <c r="AG55" i="22" s="1"/>
  <c r="AF55" i="22" s="1"/>
  <c r="AD55" i="22" s="1"/>
  <c r="AI78" i="22"/>
  <c r="AH78" i="22" s="1"/>
  <c r="AG78" i="22" s="1"/>
  <c r="AF78" i="22" s="1"/>
  <c r="AD78" i="22" s="1"/>
  <c r="AI61" i="22"/>
  <c r="AH61" i="22" s="1"/>
  <c r="AG61" i="22" s="1"/>
  <c r="AF61" i="22" s="1"/>
  <c r="AD61" i="22" s="1"/>
  <c r="AI324" i="22"/>
  <c r="AH324" i="22" s="1"/>
  <c r="AG324" i="22" s="1"/>
  <c r="AF324" i="22" s="1"/>
  <c r="AD324" i="22" s="1"/>
  <c r="AI248" i="22"/>
  <c r="AH248" i="22" s="1"/>
  <c r="AG248" i="22" s="1"/>
  <c r="AF248" i="22" s="1"/>
  <c r="AD248" i="22" s="1"/>
  <c r="AI320" i="22"/>
  <c r="AH320" i="22" s="1"/>
  <c r="AG320" i="22" s="1"/>
  <c r="AF320" i="22" s="1"/>
  <c r="AD320" i="22" s="1"/>
  <c r="AI368" i="22"/>
  <c r="AH368" i="22" s="1"/>
  <c r="AG368" i="22" s="1"/>
  <c r="AF368" i="22" s="1"/>
  <c r="AD368" i="22" s="1"/>
  <c r="AI123" i="22"/>
  <c r="AH123" i="22" s="1"/>
  <c r="AG123" i="22" s="1"/>
  <c r="AF123" i="22" s="1"/>
  <c r="AD123" i="22" s="1"/>
  <c r="AI53" i="22"/>
  <c r="AH53" i="22" s="1"/>
  <c r="AG53" i="22" s="1"/>
  <c r="AF53" i="22" s="1"/>
  <c r="AD53" i="22" s="1"/>
  <c r="AI366" i="22"/>
  <c r="AH366" i="22" s="1"/>
  <c r="AG366" i="22" s="1"/>
  <c r="AF366" i="22" s="1"/>
  <c r="AD366" i="22" s="1"/>
  <c r="AI186" i="22"/>
  <c r="AH186" i="22" s="1"/>
  <c r="AG186" i="22" s="1"/>
  <c r="AF186" i="22" s="1"/>
  <c r="AD186" i="22" s="1"/>
  <c r="AI34" i="22"/>
  <c r="AH34" i="22" s="1"/>
  <c r="AG34" i="22" s="1"/>
  <c r="AF34" i="22" s="1"/>
  <c r="AD34" i="22" s="1"/>
  <c r="AI156" i="22"/>
  <c r="AH156" i="22" s="1"/>
  <c r="AG156" i="22" s="1"/>
  <c r="AF156" i="22" s="1"/>
  <c r="AD156" i="22" s="1"/>
  <c r="AI295" i="22"/>
  <c r="AH295" i="22" s="1"/>
  <c r="AG295" i="22" s="1"/>
  <c r="AF295" i="22" s="1"/>
  <c r="AD295" i="22" s="1"/>
  <c r="AI361" i="22"/>
  <c r="AH361" i="22" s="1"/>
  <c r="AG361" i="22" s="1"/>
  <c r="AF361" i="22" s="1"/>
  <c r="AD361" i="22" s="1"/>
  <c r="AI317" i="22"/>
  <c r="AH317" i="22" s="1"/>
  <c r="AG317" i="22" s="1"/>
  <c r="AF317" i="22" s="1"/>
  <c r="AD317" i="22" s="1"/>
  <c r="AI232" i="22"/>
  <c r="AH232" i="22" s="1"/>
  <c r="AG232" i="22" s="1"/>
  <c r="AF232" i="22" s="1"/>
  <c r="AD232" i="22" s="1"/>
  <c r="AI331" i="22"/>
  <c r="AH331" i="22" s="1"/>
  <c r="AG331" i="22" s="1"/>
  <c r="AF331" i="22" s="1"/>
  <c r="AD331" i="22" s="1"/>
  <c r="AI68" i="22"/>
  <c r="AH68" i="22" s="1"/>
  <c r="AG68" i="22" s="1"/>
  <c r="AF68" i="22" s="1"/>
  <c r="AD68" i="22" s="1"/>
  <c r="AI99" i="22"/>
  <c r="AH99" i="22" s="1"/>
  <c r="AG99" i="22" s="1"/>
  <c r="AF99" i="22" s="1"/>
  <c r="AD99" i="22" s="1"/>
  <c r="AI256" i="22"/>
  <c r="AH256" i="22" s="1"/>
  <c r="AG256" i="22" s="1"/>
  <c r="AF256" i="22" s="1"/>
  <c r="AD256" i="22" s="1"/>
  <c r="AI269" i="22"/>
  <c r="AH269" i="22" s="1"/>
  <c r="AG269" i="22" s="1"/>
  <c r="AF269" i="22" s="1"/>
  <c r="AD269" i="22" s="1"/>
  <c r="AI143" i="22"/>
  <c r="AH143" i="22" s="1"/>
  <c r="AG143" i="22" s="1"/>
  <c r="AF143" i="22" s="1"/>
  <c r="AD143" i="22" s="1"/>
  <c r="AI40" i="22"/>
  <c r="AH40" i="22" s="1"/>
  <c r="AG40" i="22" s="1"/>
  <c r="AF40" i="22" s="1"/>
  <c r="AD40" i="22" s="1"/>
  <c r="AI150" i="22"/>
  <c r="AH150" i="22" s="1"/>
  <c r="AG150" i="22" s="1"/>
  <c r="AF150" i="22" s="1"/>
  <c r="AD150" i="22" s="1"/>
  <c r="AI337" i="22"/>
  <c r="AH337" i="22" s="1"/>
  <c r="AG337" i="22" s="1"/>
  <c r="AF337" i="22" s="1"/>
  <c r="AD337" i="22" s="1"/>
  <c r="AI197" i="22"/>
  <c r="AH197" i="22" s="1"/>
  <c r="AG197" i="22" s="1"/>
  <c r="AF197" i="22" s="1"/>
  <c r="AD197" i="22" s="1"/>
  <c r="AI92" i="22"/>
  <c r="AH92" i="22" s="1"/>
  <c r="AG92" i="22" s="1"/>
  <c r="AF92" i="22" s="1"/>
  <c r="AD92" i="22" s="1"/>
  <c r="AI220" i="22"/>
  <c r="AH220" i="22" s="1"/>
  <c r="AG220" i="22" s="1"/>
  <c r="AF220" i="22" s="1"/>
  <c r="AD220" i="22" s="1"/>
  <c r="AI21" i="22"/>
  <c r="AH21" i="22" s="1"/>
  <c r="AG21" i="22" s="1"/>
  <c r="AF21" i="22" s="1"/>
  <c r="AD21" i="22" s="1"/>
  <c r="AI47" i="22"/>
  <c r="AH47" i="22" s="1"/>
  <c r="AG47" i="22" s="1"/>
  <c r="AF47" i="22" s="1"/>
  <c r="AD47" i="22" s="1"/>
  <c r="AI329" i="22"/>
  <c r="AH329" i="22" s="1"/>
  <c r="AG329" i="22" s="1"/>
  <c r="AF329" i="22" s="1"/>
  <c r="AD329" i="22" s="1"/>
  <c r="AI168" i="22"/>
  <c r="AH168" i="22" s="1"/>
  <c r="AG168" i="22" s="1"/>
  <c r="AF168" i="22" s="1"/>
  <c r="AD168" i="22" s="1"/>
  <c r="AI341" i="22"/>
  <c r="AH341" i="22" s="1"/>
  <c r="AG341" i="22" s="1"/>
  <c r="AF341" i="22" s="1"/>
  <c r="AD341" i="22" s="1"/>
  <c r="AI299" i="22"/>
  <c r="AH299" i="22" s="1"/>
  <c r="AG299" i="22" s="1"/>
  <c r="AF299" i="22" s="1"/>
  <c r="AD299" i="22" s="1"/>
  <c r="AI249" i="22"/>
  <c r="AH249" i="22" s="1"/>
  <c r="AG249" i="22" s="1"/>
  <c r="AF249" i="22" s="1"/>
  <c r="AD249" i="22" s="1"/>
  <c r="AI160" i="22"/>
  <c r="AH160" i="22" s="1"/>
  <c r="AG160" i="22" s="1"/>
  <c r="AF160" i="22" s="1"/>
  <c r="AD160" i="22" s="1"/>
  <c r="AI277" i="22"/>
  <c r="AH277" i="22" s="1"/>
  <c r="AG277" i="22" s="1"/>
  <c r="AF277" i="22" s="1"/>
  <c r="AD277" i="22" s="1"/>
  <c r="AI27" i="22"/>
  <c r="AH27" i="22" s="1"/>
  <c r="AG27" i="22" s="1"/>
  <c r="AF27" i="22" s="1"/>
  <c r="AD27" i="22" s="1"/>
  <c r="AI26" i="22"/>
  <c r="AH26" i="22" s="1"/>
  <c r="AG26" i="22" s="1"/>
  <c r="AF26" i="22" s="1"/>
  <c r="AD26" i="22" s="1"/>
  <c r="AI133" i="22"/>
  <c r="AH133" i="22" s="1"/>
  <c r="AG133" i="22" s="1"/>
  <c r="AF133" i="22" s="1"/>
  <c r="AD133" i="22" s="1"/>
  <c r="AI285" i="22"/>
  <c r="AH285" i="22" s="1"/>
  <c r="AG285" i="22" s="1"/>
  <c r="AF285" i="22" s="1"/>
  <c r="AD285" i="22" s="1"/>
  <c r="AI16" i="22"/>
  <c r="AH16" i="22" s="1"/>
  <c r="AG16" i="22" s="1"/>
  <c r="AF16" i="22" s="1"/>
  <c r="AD16" i="22" s="1"/>
  <c r="AI106" i="22"/>
  <c r="AH106" i="22" s="1"/>
  <c r="AG106" i="22" s="1"/>
  <c r="AF106" i="22" s="1"/>
  <c r="AD106" i="22" s="1"/>
  <c r="AI323" i="22"/>
  <c r="AH323" i="22" s="1"/>
  <c r="AG323" i="22" s="1"/>
  <c r="AF323" i="22" s="1"/>
  <c r="AD323" i="22" s="1"/>
  <c r="AI80" i="22"/>
  <c r="AH80" i="22" s="1"/>
  <c r="AG80" i="22" s="1"/>
  <c r="AF80" i="22" s="1"/>
  <c r="AD80" i="22" s="1"/>
  <c r="AI157" i="22"/>
  <c r="AH157" i="22" s="1"/>
  <c r="AG157" i="22" s="1"/>
  <c r="AF157" i="22" s="1"/>
  <c r="AD157" i="22" s="1"/>
  <c r="AI129" i="22"/>
  <c r="AH129" i="22" s="1"/>
  <c r="AG129" i="22" s="1"/>
  <c r="AF129" i="22" s="1"/>
  <c r="AD129" i="22" s="1"/>
  <c r="AI65" i="22"/>
  <c r="AH65" i="22" s="1"/>
  <c r="AG65" i="22" s="1"/>
  <c r="AF65" i="22" s="1"/>
  <c r="AD65" i="22" s="1"/>
  <c r="AI372" i="22"/>
  <c r="AH372" i="22" s="1"/>
  <c r="AG372" i="22" s="1"/>
  <c r="AF372" i="22" s="1"/>
  <c r="AD372" i="22" s="1"/>
  <c r="AI96" i="22"/>
  <c r="AH96" i="22" s="1"/>
  <c r="AG96" i="22" s="1"/>
  <c r="AF96" i="22" s="1"/>
  <c r="AD96" i="22" s="1"/>
  <c r="AI255" i="22"/>
  <c r="AH255" i="22" s="1"/>
  <c r="AG255" i="22" s="1"/>
  <c r="AF255" i="22" s="1"/>
  <c r="AD255" i="22" s="1"/>
  <c r="AI149" i="22"/>
  <c r="AH149" i="22" s="1"/>
  <c r="AG149" i="22" s="1"/>
  <c r="AF149" i="22" s="1"/>
  <c r="AD149" i="22" s="1"/>
  <c r="AI41" i="22"/>
  <c r="AH41" i="22" s="1"/>
  <c r="AG41" i="22" s="1"/>
  <c r="AF41" i="22" s="1"/>
  <c r="AD41" i="22" s="1"/>
  <c r="AI311" i="22"/>
  <c r="AH311" i="22" s="1"/>
  <c r="AG311" i="22" s="1"/>
  <c r="AF311" i="22" s="1"/>
  <c r="AD311" i="22" s="1"/>
  <c r="AI226" i="22"/>
  <c r="AH226" i="22" s="1"/>
  <c r="AG226" i="22" s="1"/>
  <c r="AF226" i="22" s="1"/>
  <c r="AD226" i="22" s="1"/>
  <c r="AI176" i="22"/>
  <c r="AH176" i="22" s="1"/>
  <c r="AG176" i="22" s="1"/>
  <c r="AF176" i="22" s="1"/>
  <c r="AD176" i="22" s="1"/>
  <c r="AI304" i="22"/>
  <c r="AH304" i="22" s="1"/>
  <c r="AG304" i="22" s="1"/>
  <c r="AF304" i="22" s="1"/>
  <c r="AD304" i="22" s="1"/>
  <c r="AI349" i="22"/>
  <c r="AH349" i="22" s="1"/>
  <c r="AG349" i="22" s="1"/>
  <c r="AF349" i="22" s="1"/>
  <c r="AD349" i="22" s="1"/>
  <c r="AI89" i="22"/>
  <c r="AH89" i="22" s="1"/>
  <c r="AG89" i="22" s="1"/>
  <c r="AF89" i="22" s="1"/>
  <c r="AD89" i="22" s="1"/>
  <c r="AI103" i="22"/>
  <c r="AH103" i="22" s="1"/>
  <c r="AG103" i="22" s="1"/>
  <c r="AF103" i="22" s="1"/>
  <c r="AD103" i="22" s="1"/>
  <c r="AI326" i="22"/>
  <c r="AH326" i="22" s="1"/>
  <c r="AG326" i="22" s="1"/>
  <c r="AF326" i="22" s="1"/>
  <c r="AD326" i="22" s="1"/>
  <c r="AI83" i="22"/>
  <c r="AH83" i="22" s="1"/>
  <c r="AG83" i="22" s="1"/>
  <c r="AF83" i="22" s="1"/>
  <c r="AD83" i="22" s="1"/>
  <c r="AI72" i="22"/>
  <c r="AH72" i="22" s="1"/>
  <c r="AG72" i="22" s="1"/>
  <c r="AF72" i="22" s="1"/>
  <c r="AD72" i="22" s="1"/>
  <c r="AI347" i="22"/>
  <c r="AH347" i="22" s="1"/>
  <c r="AG347" i="22" s="1"/>
  <c r="AF347" i="22" s="1"/>
  <c r="AD347" i="22" s="1"/>
  <c r="AI120" i="22"/>
  <c r="AH120" i="22" s="1"/>
  <c r="AG120" i="22" s="1"/>
  <c r="AF120" i="22" s="1"/>
  <c r="AD120" i="22" s="1"/>
  <c r="AI314" i="22"/>
  <c r="AH314" i="22" s="1"/>
  <c r="AG314" i="22" s="1"/>
  <c r="AF314" i="22" s="1"/>
  <c r="AD314" i="22" s="1"/>
  <c r="AI229" i="22"/>
  <c r="AH229" i="22" s="1"/>
  <c r="AG229" i="22" s="1"/>
  <c r="AF229" i="22" s="1"/>
  <c r="AD229" i="22" s="1"/>
  <c r="AI334" i="22"/>
  <c r="AH334" i="22" s="1"/>
  <c r="AG334" i="22" s="1"/>
  <c r="AF334" i="22" s="1"/>
  <c r="AD334" i="22" s="1"/>
  <c r="AI71" i="22"/>
  <c r="AH71" i="22" s="1"/>
  <c r="AG71" i="22" s="1"/>
  <c r="AF71" i="22" s="1"/>
  <c r="AD71" i="22" s="1"/>
  <c r="AI112" i="22"/>
  <c r="AH112" i="22" s="1"/>
  <c r="AG112" i="22" s="1"/>
  <c r="AF112" i="22" s="1"/>
  <c r="AD112" i="22" s="1"/>
  <c r="AI23" i="22"/>
  <c r="AH23" i="22" s="1"/>
  <c r="AG23" i="22" s="1"/>
  <c r="AF23" i="22" s="1"/>
  <c r="AD23" i="22" s="1"/>
  <c r="AI209" i="22"/>
  <c r="AH209" i="22" s="1"/>
  <c r="AG209" i="22" s="1"/>
  <c r="AF209" i="22" s="1"/>
  <c r="AD209" i="22" s="1"/>
  <c r="AI214" i="22"/>
  <c r="AH214" i="22" s="1"/>
  <c r="AG214" i="22" s="1"/>
  <c r="AF214" i="22" s="1"/>
  <c r="AD214" i="22" s="1"/>
  <c r="AI319" i="22"/>
  <c r="AH319" i="22" s="1"/>
  <c r="AG319" i="22" s="1"/>
  <c r="AF319" i="22" s="1"/>
  <c r="AD319" i="22" s="1"/>
  <c r="AI184" i="22"/>
  <c r="AH184" i="22" s="1"/>
  <c r="AG184" i="22" s="1"/>
  <c r="AF184" i="22" s="1"/>
  <c r="AD184" i="22" s="1"/>
  <c r="AI336" i="22"/>
  <c r="AH336" i="22" s="1"/>
  <c r="AG336" i="22" s="1"/>
  <c r="AF336" i="22" s="1"/>
  <c r="AD336" i="22" s="1"/>
  <c r="AI39" i="22"/>
  <c r="AH39" i="22" s="1"/>
  <c r="AG39" i="22" s="1"/>
  <c r="AF39" i="22" s="1"/>
  <c r="AD39" i="22" s="1"/>
  <c r="AI286" i="22"/>
  <c r="AH286" i="22" s="1"/>
  <c r="AG286" i="22" s="1"/>
  <c r="AF286" i="22" s="1"/>
  <c r="AD286" i="22" s="1"/>
  <c r="AI217" i="22"/>
  <c r="AH217" i="22" s="1"/>
  <c r="AG217" i="22" s="1"/>
  <c r="AF217" i="22" s="1"/>
  <c r="AD217" i="22" s="1"/>
  <c r="AI36" i="22"/>
  <c r="AH36" i="22" s="1"/>
  <c r="AG36" i="22" s="1"/>
  <c r="AF36" i="22" s="1"/>
  <c r="AD36" i="22" s="1"/>
  <c r="AI28" i="22"/>
  <c r="AH28" i="22" s="1"/>
  <c r="AG28" i="22" s="1"/>
  <c r="AF28" i="22" s="1"/>
  <c r="AD28" i="22" s="1"/>
  <c r="AI139" i="22"/>
  <c r="AH139" i="22" s="1"/>
  <c r="AG139" i="22" s="1"/>
  <c r="AF139" i="22" s="1"/>
  <c r="AD139" i="22" s="1"/>
  <c r="AI199" i="22"/>
  <c r="AH199" i="22" s="1"/>
  <c r="AG199" i="22" s="1"/>
  <c r="AF199" i="22" s="1"/>
  <c r="AD199" i="22" s="1"/>
  <c r="AI312" i="22"/>
  <c r="AH312" i="22" s="1"/>
  <c r="AG312" i="22" s="1"/>
  <c r="AF312" i="22" s="1"/>
  <c r="AD312" i="22" s="1"/>
  <c r="AI104" i="22"/>
  <c r="AH104" i="22" s="1"/>
  <c r="AG104" i="22" s="1"/>
  <c r="AF104" i="22" s="1"/>
  <c r="AD104" i="22" s="1"/>
  <c r="AI340" i="22"/>
  <c r="AH340" i="22" s="1"/>
  <c r="AG340" i="22" s="1"/>
  <c r="AF340" i="22" s="1"/>
  <c r="AD340" i="22" s="1"/>
  <c r="AI169" i="22"/>
  <c r="AH169" i="22" s="1"/>
  <c r="AG169" i="22" s="1"/>
  <c r="AF169" i="22" s="1"/>
  <c r="AD169" i="22" s="1"/>
  <c r="AI25" i="22"/>
  <c r="AH25" i="22" s="1"/>
  <c r="AG25" i="22" s="1"/>
  <c r="AF25" i="22" s="1"/>
  <c r="AD25" i="22" s="1"/>
  <c r="AI42" i="22"/>
  <c r="AH42" i="22" s="1"/>
  <c r="AG42" i="22" s="1"/>
  <c r="AF42" i="22" s="1"/>
  <c r="AD42" i="22" s="1"/>
  <c r="AI289" i="22"/>
  <c r="AH289" i="22" s="1"/>
  <c r="AG289" i="22" s="1"/>
  <c r="AF289" i="22" s="1"/>
  <c r="AD289" i="22" s="1"/>
  <c r="AI280" i="22"/>
  <c r="AH280" i="22" s="1"/>
  <c r="AG280" i="22" s="1"/>
  <c r="AF280" i="22" s="1"/>
  <c r="AD280" i="22" s="1"/>
  <c r="AI33" i="22"/>
  <c r="AH33" i="22" s="1"/>
  <c r="AG33" i="22" s="1"/>
  <c r="AF33" i="22" s="1"/>
  <c r="AD33" i="22" s="1"/>
  <c r="AI121" i="22"/>
  <c r="AH121" i="22" s="1"/>
  <c r="AG121" i="22" s="1"/>
  <c r="AF121" i="22" s="1"/>
  <c r="AD121" i="22" s="1"/>
  <c r="AI88" i="22"/>
  <c r="AH88" i="22" s="1"/>
  <c r="AG88" i="22" s="1"/>
  <c r="AF88" i="22" s="1"/>
  <c r="AD88" i="22" s="1"/>
  <c r="AI348" i="22"/>
  <c r="AH348" i="22" s="1"/>
  <c r="AG348" i="22" s="1"/>
  <c r="AF348" i="22" s="1"/>
  <c r="AD348" i="22" s="1"/>
  <c r="AI205" i="22"/>
  <c r="AH205" i="22" s="1"/>
  <c r="AG205" i="22" s="1"/>
  <c r="AF205" i="22" s="1"/>
  <c r="AD205" i="22" s="1"/>
  <c r="AI305" i="22"/>
  <c r="AH305" i="22" s="1"/>
  <c r="AG305" i="22" s="1"/>
  <c r="AF305" i="22" s="1"/>
  <c r="AD305" i="22" s="1"/>
  <c r="AI346" i="22"/>
  <c r="AH346" i="22" s="1"/>
  <c r="AG346" i="22" s="1"/>
  <c r="AF346" i="22" s="1"/>
  <c r="AD346" i="22" s="1"/>
  <c r="AI231" i="22"/>
  <c r="AH231" i="22" s="1"/>
  <c r="AG231" i="22" s="1"/>
  <c r="AF231" i="22" s="1"/>
  <c r="AD231" i="22" s="1"/>
  <c r="AI109" i="22"/>
  <c r="AH109" i="22" s="1"/>
  <c r="AG109" i="22" s="1"/>
  <c r="AF109" i="22" s="1"/>
  <c r="AD109" i="22" s="1"/>
  <c r="AI298" i="22"/>
  <c r="AH298" i="22" s="1"/>
  <c r="AG298" i="22" s="1"/>
  <c r="AF298" i="22" s="1"/>
  <c r="AD298" i="22" s="1"/>
  <c r="AI196" i="22"/>
  <c r="AH196" i="22" s="1"/>
  <c r="AG196" i="22" s="1"/>
  <c r="AF196" i="22" s="1"/>
  <c r="AD196" i="22" s="1"/>
  <c r="AI86" i="22"/>
  <c r="AH86" i="22" s="1"/>
  <c r="AG86" i="22" s="1"/>
  <c r="AF86" i="22" s="1"/>
  <c r="AD86" i="22" s="1"/>
  <c r="AI107" i="22"/>
  <c r="AH107" i="22" s="1"/>
  <c r="AG107" i="22" s="1"/>
  <c r="AF107" i="22" s="1"/>
  <c r="AD107" i="22" s="1"/>
  <c r="AI135" i="22"/>
  <c r="AH135" i="22" s="1"/>
  <c r="AG135" i="22" s="1"/>
  <c r="AF135" i="22" s="1"/>
  <c r="AD135" i="22" s="1"/>
  <c r="AI22" i="22"/>
  <c r="AH22" i="22" s="1"/>
  <c r="AG22" i="22" s="1"/>
  <c r="AF22" i="22" s="1"/>
  <c r="AD22" i="22" s="1"/>
  <c r="AI32" i="22"/>
  <c r="AH32" i="22" s="1"/>
  <c r="AG32" i="22" s="1"/>
  <c r="AF32" i="22" s="1"/>
  <c r="AD32" i="22" s="1"/>
  <c r="AI221" i="22"/>
  <c r="AH221" i="22" s="1"/>
  <c r="AG221" i="22" s="1"/>
  <c r="AF221" i="22" s="1"/>
  <c r="AD221" i="22" s="1"/>
  <c r="AI290" i="22"/>
  <c r="AH290" i="22" s="1"/>
  <c r="AG290" i="22" s="1"/>
  <c r="AF290" i="22" s="1"/>
  <c r="AD290" i="22" s="1"/>
  <c r="AI43" i="22"/>
  <c r="AH43" i="22" s="1"/>
  <c r="AG43" i="22" s="1"/>
  <c r="AF43" i="22" s="1"/>
  <c r="AD43" i="22" s="1"/>
  <c r="AI82" i="22"/>
  <c r="AH82" i="22" s="1"/>
  <c r="AG82" i="22" s="1"/>
  <c r="AF82" i="22" s="1"/>
  <c r="AD82" i="22" s="1"/>
  <c r="AI379" i="22"/>
  <c r="AI208" i="22"/>
  <c r="AH208" i="22" s="1"/>
  <c r="AG208" i="22" s="1"/>
  <c r="AF208" i="22" s="1"/>
  <c r="AD208" i="22" s="1"/>
  <c r="AI206" i="22"/>
  <c r="AH206" i="22" s="1"/>
  <c r="AG206" i="22" s="1"/>
  <c r="AF206" i="22" s="1"/>
  <c r="AD206" i="22" s="1"/>
  <c r="AI313" i="22"/>
  <c r="AH313" i="22" s="1"/>
  <c r="AG313" i="22" s="1"/>
  <c r="AF313" i="22" s="1"/>
  <c r="AD313" i="22" s="1"/>
  <c r="AI212" i="22"/>
  <c r="AH212" i="22" s="1"/>
  <c r="AG212" i="22" s="1"/>
  <c r="AF212" i="22" s="1"/>
  <c r="AD212" i="22" s="1"/>
  <c r="AI17" i="22"/>
  <c r="AH17" i="22" s="1"/>
  <c r="AG17" i="22" s="1"/>
  <c r="AF17" i="22" s="1"/>
  <c r="AD17" i="22" s="1"/>
  <c r="AI237" i="22"/>
  <c r="AH237" i="22" s="1"/>
  <c r="AG237" i="22" s="1"/>
  <c r="AF237" i="22" s="1"/>
  <c r="AD237" i="22" s="1"/>
  <c r="AI271" i="22"/>
  <c r="AH271" i="22" s="1"/>
  <c r="AG271" i="22" s="1"/>
  <c r="AF271" i="22" s="1"/>
  <c r="AD271" i="22" s="1"/>
  <c r="AI309" i="22"/>
  <c r="AH309" i="22" s="1"/>
  <c r="AG309" i="22" s="1"/>
  <c r="AF309" i="22" s="1"/>
  <c r="AD309" i="22" s="1"/>
  <c r="AI225" i="22"/>
  <c r="AH225" i="22" s="1"/>
  <c r="AG225" i="22" s="1"/>
  <c r="AF225" i="22" s="1"/>
  <c r="AD225" i="22" s="1"/>
  <c r="AI201" i="22"/>
  <c r="AH201" i="22" s="1"/>
  <c r="AG201" i="22" s="1"/>
  <c r="AF201" i="22" s="1"/>
  <c r="AD201" i="22" s="1"/>
  <c r="AI375" i="22"/>
  <c r="AH375" i="22" s="1"/>
  <c r="AG375" i="22" s="1"/>
  <c r="AF375" i="22" s="1"/>
  <c r="AD375" i="22" s="1"/>
  <c r="AI97" i="22"/>
  <c r="AH97" i="22" s="1"/>
  <c r="AG97" i="22" s="1"/>
  <c r="AF97" i="22" s="1"/>
  <c r="AD97" i="22" s="1"/>
  <c r="AI85" i="22"/>
  <c r="AH85" i="22" s="1"/>
  <c r="AG85" i="22" s="1"/>
  <c r="AF85" i="22" s="1"/>
  <c r="AD85" i="22" s="1"/>
  <c r="AI345" i="22"/>
  <c r="AH345" i="22" s="1"/>
  <c r="AG345" i="22" s="1"/>
  <c r="AF345" i="22" s="1"/>
  <c r="AD345" i="22" s="1"/>
  <c r="AI272" i="22"/>
  <c r="AH272" i="22" s="1"/>
  <c r="AG272" i="22" s="1"/>
  <c r="AF272" i="22" s="1"/>
  <c r="AD272" i="22" s="1"/>
  <c r="AI180" i="22"/>
  <c r="AH180" i="22" s="1"/>
  <c r="AG180" i="22" s="1"/>
  <c r="AF180" i="22" s="1"/>
  <c r="AD180" i="22" s="1"/>
  <c r="AI230" i="22"/>
  <c r="AH230" i="22" s="1"/>
  <c r="AG230" i="22" s="1"/>
  <c r="AF230" i="22" s="1"/>
  <c r="AD230" i="22" s="1"/>
  <c r="AI315" i="22"/>
  <c r="AH315" i="22" s="1"/>
  <c r="AG315" i="22" s="1"/>
  <c r="AF315" i="22" s="1"/>
  <c r="AD315" i="22" s="1"/>
  <c r="AI332" i="22"/>
  <c r="AH332" i="22" s="1"/>
  <c r="AG332" i="22" s="1"/>
  <c r="AF332" i="22" s="1"/>
  <c r="AD332" i="22" s="1"/>
  <c r="AI90" i="22"/>
  <c r="AH90" i="22" s="1"/>
  <c r="AG90" i="22" s="1"/>
  <c r="AF90" i="22" s="1"/>
  <c r="AD90" i="22" s="1"/>
  <c r="AI204" i="22"/>
  <c r="AH204" i="22" s="1"/>
  <c r="AG204" i="22" s="1"/>
  <c r="AF204" i="22" s="1"/>
  <c r="AD204" i="22" s="1"/>
  <c r="AI294" i="22"/>
  <c r="AH294" i="22" s="1"/>
  <c r="AG294" i="22" s="1"/>
  <c r="AF294" i="22" s="1"/>
  <c r="AD294" i="22" s="1"/>
  <c r="AI124" i="22"/>
  <c r="AH124" i="22" s="1"/>
  <c r="AG124" i="22" s="1"/>
  <c r="AF124" i="22" s="1"/>
  <c r="AD124" i="22" s="1"/>
  <c r="AI235" i="22"/>
  <c r="AH235" i="22" s="1"/>
  <c r="AG235" i="22" s="1"/>
  <c r="AF235" i="22" s="1"/>
  <c r="AD235" i="22" s="1"/>
  <c r="AI364" i="22"/>
  <c r="AH364" i="22" s="1"/>
  <c r="AG364" i="22" s="1"/>
  <c r="AF364" i="22" s="1"/>
  <c r="AD364" i="22" s="1"/>
  <c r="AI252" i="22"/>
  <c r="AH252" i="22" s="1"/>
  <c r="AG252" i="22" s="1"/>
  <c r="AF252" i="22" s="1"/>
  <c r="AD252" i="22" s="1"/>
  <c r="AI287" i="22"/>
  <c r="AH287" i="22" s="1"/>
  <c r="AG287" i="22" s="1"/>
  <c r="AF287" i="22" s="1"/>
  <c r="AD287" i="22" s="1"/>
  <c r="AI254" i="22"/>
  <c r="AH254" i="22" s="1"/>
  <c r="AG254" i="22" s="1"/>
  <c r="AF254" i="22" s="1"/>
  <c r="AD254" i="22" s="1"/>
  <c r="AI263" i="22"/>
  <c r="AH263" i="22" s="1"/>
  <c r="AG263" i="22" s="1"/>
  <c r="AF263" i="22" s="1"/>
  <c r="AD263" i="22" s="1"/>
  <c r="AI373" i="22"/>
  <c r="AH373" i="22" s="1"/>
  <c r="AG373" i="22" s="1"/>
  <c r="AF373" i="22" s="1"/>
  <c r="AD373" i="22" s="1"/>
  <c r="AI353" i="22"/>
  <c r="AH353" i="22" s="1"/>
  <c r="AG353" i="22" s="1"/>
  <c r="AF353" i="22" s="1"/>
  <c r="AD353" i="22" s="1"/>
  <c r="AI122" i="22"/>
  <c r="AH122" i="22" s="1"/>
  <c r="AG122" i="22" s="1"/>
  <c r="AF122" i="22" s="1"/>
  <c r="AD122" i="22" s="1"/>
  <c r="AI307" i="22"/>
  <c r="AH307" i="22" s="1"/>
  <c r="AG307" i="22" s="1"/>
  <c r="AF307" i="22" s="1"/>
  <c r="AD307" i="22" s="1"/>
  <c r="AI359" i="22"/>
  <c r="AH359" i="22" s="1"/>
  <c r="AG359" i="22" s="1"/>
  <c r="AF359" i="22" s="1"/>
  <c r="AD359" i="22" s="1"/>
  <c r="AI273" i="22"/>
  <c r="AH273" i="22" s="1"/>
  <c r="AG273" i="22" s="1"/>
  <c r="AF273" i="22" s="1"/>
  <c r="AD273" i="22" s="1"/>
  <c r="AI164" i="22"/>
  <c r="AH164" i="22" s="1"/>
  <c r="AG164" i="22" s="1"/>
  <c r="AF164" i="22" s="1"/>
  <c r="AD164" i="22" s="1"/>
  <c r="AI253" i="22"/>
  <c r="AH253" i="22" s="1"/>
  <c r="AG253" i="22" s="1"/>
  <c r="AF253" i="22" s="1"/>
  <c r="AD253" i="22" s="1"/>
  <c r="AI325" i="22"/>
  <c r="AH325" i="22" s="1"/>
  <c r="AG325" i="22" s="1"/>
  <c r="AF325" i="22" s="1"/>
  <c r="AD325" i="22" s="1"/>
  <c r="AI291" i="22"/>
  <c r="AH291" i="22" s="1"/>
  <c r="AG291" i="22" s="1"/>
  <c r="AF291" i="22" s="1"/>
  <c r="AD291" i="22" s="1"/>
  <c r="AI152" i="22"/>
  <c r="AH152" i="22" s="1"/>
  <c r="AG152" i="22" s="1"/>
  <c r="AF152" i="22" s="1"/>
  <c r="AD152" i="22" s="1"/>
  <c r="AI257" i="22"/>
  <c r="AH257" i="22" s="1"/>
  <c r="AG257" i="22" s="1"/>
  <c r="AF257" i="22" s="1"/>
  <c r="AD257" i="22" s="1"/>
  <c r="AI275" i="22"/>
  <c r="AH275" i="22" s="1"/>
  <c r="AG275" i="22" s="1"/>
  <c r="AF275" i="22" s="1"/>
  <c r="AD275" i="22" s="1"/>
  <c r="AI136" i="22"/>
  <c r="AH136" i="22" s="1"/>
  <c r="AG136" i="22" s="1"/>
  <c r="AF136" i="22" s="1"/>
  <c r="AD136" i="22" s="1"/>
  <c r="AI282" i="22"/>
  <c r="AH282" i="22" s="1"/>
  <c r="AG282" i="22" s="1"/>
  <c r="AF282" i="22" s="1"/>
  <c r="AD282" i="22" s="1"/>
  <c r="I241" i="18"/>
  <c r="J241" i="18"/>
  <c r="J168" i="20"/>
  <c r="C168" i="6" s="1"/>
  <c r="I168" i="20"/>
  <c r="B168" i="6" s="1"/>
  <c r="BA168" i="6" s="1"/>
  <c r="D168" i="6" s="1"/>
  <c r="J154" i="20"/>
  <c r="C154" i="6" s="1"/>
  <c r="I154" i="20"/>
  <c r="B154" i="6" s="1"/>
  <c r="BA154" i="6" s="1"/>
  <c r="D154" i="6" s="1"/>
  <c r="J297" i="20"/>
  <c r="C297" i="6" s="1"/>
  <c r="I297" i="20"/>
  <c r="B297" i="6" s="1"/>
  <c r="BA297" i="6" s="1"/>
  <c r="D297" i="6" s="1"/>
  <c r="J326" i="20"/>
  <c r="C326" i="6" s="1"/>
  <c r="I326" i="20"/>
  <c r="B326" i="6" s="1"/>
  <c r="BA326" i="6" s="1"/>
  <c r="D326" i="6" s="1"/>
  <c r="D149" i="20"/>
  <c r="E149" i="20" s="1"/>
  <c r="F149" i="20" s="1"/>
  <c r="D156" i="22"/>
  <c r="E156" i="22" s="1"/>
  <c r="F156" i="22" s="1"/>
  <c r="W156" i="22"/>
  <c r="D84" i="22"/>
  <c r="E84" i="22" s="1"/>
  <c r="F84" i="22" s="1"/>
  <c r="W84" i="22"/>
  <c r="W114" i="22"/>
  <c r="D114" i="22"/>
  <c r="E114" i="22" s="1"/>
  <c r="F114" i="22" s="1"/>
  <c r="D235" i="22"/>
  <c r="E235" i="22" s="1"/>
  <c r="F235" i="22" s="1"/>
  <c r="G235" i="22" s="1"/>
  <c r="CC235" i="6" s="1"/>
  <c r="W235" i="22"/>
  <c r="W78" i="22"/>
  <c r="D78" i="22"/>
  <c r="E78" i="22" s="1"/>
  <c r="F78" i="22" s="1"/>
  <c r="W368" i="22"/>
  <c r="D368" i="22"/>
  <c r="E368" i="22" s="1"/>
  <c r="F368" i="22" s="1"/>
  <c r="W350" i="22"/>
  <c r="D350" i="22"/>
  <c r="E350" i="22" s="1"/>
  <c r="F350" i="22" s="1"/>
  <c r="W323" i="22"/>
  <c r="D323" i="22"/>
  <c r="E323" i="22" s="1"/>
  <c r="F323" i="22" s="1"/>
  <c r="D226" i="22"/>
  <c r="E226" i="22" s="1"/>
  <c r="F226" i="22" s="1"/>
  <c r="W226" i="22"/>
  <c r="W162" i="22"/>
  <c r="D162" i="22"/>
  <c r="E162" i="22" s="1"/>
  <c r="F162" i="22" s="1"/>
  <c r="W234" i="22"/>
  <c r="D234" i="22"/>
  <c r="E234" i="22" s="1"/>
  <c r="F234" i="22" s="1"/>
  <c r="D332" i="22"/>
  <c r="E332" i="22" s="1"/>
  <c r="F332" i="22" s="1"/>
  <c r="G332" i="22" s="1"/>
  <c r="CC332" i="6" s="1"/>
  <c r="W332" i="22"/>
  <c r="W42" i="22"/>
  <c r="D42" i="22"/>
  <c r="E42" i="22" s="1"/>
  <c r="F42" i="22" s="1"/>
  <c r="D248" i="22"/>
  <c r="E248" i="22" s="1"/>
  <c r="F248" i="22" s="1"/>
  <c r="W248" i="22"/>
  <c r="W63" i="22"/>
  <c r="D63" i="22"/>
  <c r="E63" i="22" s="1"/>
  <c r="F63" i="22" s="1"/>
  <c r="D237" i="22"/>
  <c r="E237" i="22" s="1"/>
  <c r="F237" i="22" s="1"/>
  <c r="W237" i="22"/>
  <c r="W342" i="22"/>
  <c r="D342" i="22"/>
  <c r="E342" i="22" s="1"/>
  <c r="F342" i="22" s="1"/>
  <c r="W150" i="22"/>
  <c r="D150" i="22"/>
  <c r="E150" i="22" s="1"/>
  <c r="F150" i="22" s="1"/>
  <c r="D95" i="22"/>
  <c r="E95" i="22" s="1"/>
  <c r="F95" i="22" s="1"/>
  <c r="G95" i="22" s="1"/>
  <c r="CC95" i="6" s="1"/>
  <c r="W95" i="22"/>
  <c r="V88" i="22"/>
  <c r="B88" i="22" s="1"/>
  <c r="AH34" i="7"/>
  <c r="D66" i="22"/>
  <c r="E66" i="22" s="1"/>
  <c r="F66" i="22" s="1"/>
  <c r="G66" i="22" s="1"/>
  <c r="CC66" i="6" s="1"/>
  <c r="W66" i="22"/>
  <c r="V241" i="22"/>
  <c r="B241" i="22" s="1"/>
  <c r="AH39" i="7"/>
  <c r="W216" i="22"/>
  <c r="D216" i="22"/>
  <c r="E216" i="22" s="1"/>
  <c r="F216" i="22" s="1"/>
  <c r="D128" i="22"/>
  <c r="E128" i="22" s="1"/>
  <c r="F128" i="22" s="1"/>
  <c r="G128" i="22" s="1"/>
  <c r="CC128" i="6" s="1"/>
  <c r="W128" i="22"/>
  <c r="W264" i="22"/>
  <c r="D264" i="22"/>
  <c r="E264" i="22" s="1"/>
  <c r="F264" i="22" s="1"/>
  <c r="W352" i="22"/>
  <c r="W345" i="22"/>
  <c r="D345" i="22"/>
  <c r="E345" i="22" s="1"/>
  <c r="F345" i="22" s="1"/>
  <c r="W80" i="22"/>
  <c r="D80" i="22"/>
  <c r="E80" i="22" s="1"/>
  <c r="F80" i="22" s="1"/>
  <c r="D36" i="22"/>
  <c r="E36" i="22" s="1"/>
  <c r="F36" i="22" s="1"/>
  <c r="W36" i="22"/>
  <c r="D276" i="22"/>
  <c r="E276" i="22" s="1"/>
  <c r="F276" i="22" s="1"/>
  <c r="W276" i="22"/>
  <c r="W257" i="22"/>
  <c r="D257" i="22"/>
  <c r="E257" i="22" s="1"/>
  <c r="F257" i="22" s="1"/>
  <c r="D165" i="22"/>
  <c r="E165" i="22" s="1"/>
  <c r="F165" i="22" s="1"/>
  <c r="G165" i="22" s="1"/>
  <c r="CC165" i="6" s="1"/>
  <c r="W165" i="22"/>
  <c r="D290" i="22"/>
  <c r="E290" i="22" s="1"/>
  <c r="F290" i="22" s="1"/>
  <c r="G290" i="22" s="1"/>
  <c r="CC290" i="6" s="1"/>
  <c r="W290" i="22"/>
  <c r="D219" i="22"/>
  <c r="E219" i="22" s="1"/>
  <c r="F219" i="22" s="1"/>
  <c r="W219" i="22"/>
  <c r="W58" i="22"/>
  <c r="D58" i="22"/>
  <c r="E58" i="22" s="1"/>
  <c r="F58" i="22" s="1"/>
  <c r="W117" i="22"/>
  <c r="D117" i="22"/>
  <c r="E117" i="22" s="1"/>
  <c r="F117" i="22" s="1"/>
  <c r="D25" i="22"/>
  <c r="E25" i="22" s="1"/>
  <c r="F25" i="22" s="1"/>
  <c r="G25" i="22" s="1"/>
  <c r="CC25" i="6" s="1"/>
  <c r="W25" i="22"/>
  <c r="W372" i="22"/>
  <c r="D372" i="22"/>
  <c r="E372" i="22" s="1"/>
  <c r="F372" i="22" s="1"/>
  <c r="AH35" i="7"/>
  <c r="V119" i="22"/>
  <c r="B119" i="22" s="1"/>
  <c r="D194" i="22"/>
  <c r="E194" i="22" s="1"/>
  <c r="F194" i="22" s="1"/>
  <c r="W194" i="22"/>
  <c r="W326" i="22"/>
  <c r="D326" i="22"/>
  <c r="E326" i="22" s="1"/>
  <c r="F326" i="22" s="1"/>
  <c r="D159" i="22"/>
  <c r="E159" i="22" s="1"/>
  <c r="F159" i="22" s="1"/>
  <c r="G159" i="22" s="1"/>
  <c r="CC159" i="6" s="1"/>
  <c r="W159" i="22"/>
  <c r="D72" i="22"/>
  <c r="E72" i="22" s="1"/>
  <c r="F72" i="22" s="1"/>
  <c r="W72" i="22"/>
  <c r="D188" i="22"/>
  <c r="E188" i="22" s="1"/>
  <c r="F188" i="22" s="1"/>
  <c r="G188" i="22" s="1"/>
  <c r="CC188" i="6" s="1"/>
  <c r="D45" i="22"/>
  <c r="E45" i="22" s="1"/>
  <c r="F45" i="22" s="1"/>
  <c r="W45" i="22"/>
  <c r="T15" i="22"/>
  <c r="U381" i="22"/>
  <c r="D146" i="22"/>
  <c r="E146" i="22" s="1"/>
  <c r="F146" i="22" s="1"/>
  <c r="W187" i="22"/>
  <c r="D187" i="22"/>
  <c r="E187" i="22" s="1"/>
  <c r="F187" i="22" s="1"/>
  <c r="D315" i="22"/>
  <c r="E315" i="22" s="1"/>
  <c r="F315" i="22" s="1"/>
  <c r="W315" i="22"/>
  <c r="D148" i="22"/>
  <c r="E148" i="22" s="1"/>
  <c r="F148" i="22" s="1"/>
  <c r="W148" i="22"/>
  <c r="D198" i="22"/>
  <c r="E198" i="22" s="1"/>
  <c r="F198" i="22" s="1"/>
  <c r="W198" i="22"/>
  <c r="D142" i="22"/>
  <c r="E142" i="22" s="1"/>
  <c r="F142" i="22" s="1"/>
  <c r="W142" i="22"/>
  <c r="W369" i="22"/>
  <c r="W249" i="22"/>
  <c r="D249" i="22"/>
  <c r="E249" i="22" s="1"/>
  <c r="F249" i="22" s="1"/>
  <c r="D145" i="22"/>
  <c r="E145" i="22" s="1"/>
  <c r="F145" i="22" s="1"/>
  <c r="W145" i="22"/>
  <c r="W361" i="22"/>
  <c r="D244" i="22"/>
  <c r="E244" i="22" s="1"/>
  <c r="F244" i="22" s="1"/>
  <c r="W244" i="22"/>
  <c r="W44" i="22"/>
  <c r="D44" i="22"/>
  <c r="E44" i="22" s="1"/>
  <c r="F44" i="22" s="1"/>
  <c r="D291" i="22"/>
  <c r="E291" i="22" s="1"/>
  <c r="F291" i="22" s="1"/>
  <c r="W291" i="22"/>
  <c r="D277" i="22"/>
  <c r="E277" i="22" s="1"/>
  <c r="F277" i="22" s="1"/>
  <c r="G277" i="22" s="1"/>
  <c r="CC277" i="6" s="1"/>
  <c r="W277" i="22"/>
  <c r="D260" i="22"/>
  <c r="E260" i="22" s="1"/>
  <c r="F260" i="22" s="1"/>
  <c r="W260" i="22"/>
  <c r="W67" i="22"/>
  <c r="W196" i="22"/>
  <c r="D196" i="22"/>
  <c r="E196" i="22" s="1"/>
  <c r="F196" i="22" s="1"/>
  <c r="W251" i="22"/>
  <c r="D251" i="22"/>
  <c r="E251" i="22" s="1"/>
  <c r="F251" i="22" s="1"/>
  <c r="D62" i="22"/>
  <c r="E62" i="22" s="1"/>
  <c r="F62" i="22" s="1"/>
  <c r="W62" i="22"/>
  <c r="D152" i="22"/>
  <c r="E152" i="22" s="1"/>
  <c r="F152" i="22" s="1"/>
  <c r="G152" i="22" s="1"/>
  <c r="CC152" i="6" s="1"/>
  <c r="W152" i="22"/>
  <c r="W109" i="22"/>
  <c r="D109" i="22"/>
  <c r="E109" i="22" s="1"/>
  <c r="F109" i="22" s="1"/>
  <c r="W371" i="22"/>
  <c r="D371" i="22"/>
  <c r="E371" i="22" s="1"/>
  <c r="F371" i="22" s="1"/>
  <c r="D362" i="22"/>
  <c r="E362" i="22" s="1"/>
  <c r="F362" i="22" s="1"/>
  <c r="T379" i="22"/>
  <c r="S379" i="22" s="1"/>
  <c r="R379" i="22" s="1"/>
  <c r="P379" i="22" s="1"/>
  <c r="AN16" i="7"/>
  <c r="AT11" i="7" s="1"/>
  <c r="U11" i="23" s="1"/>
  <c r="U12" i="23"/>
  <c r="AS16" i="7" s="1"/>
  <c r="D97" i="22"/>
  <c r="E97" i="22" s="1"/>
  <c r="F97" i="22" s="1"/>
  <c r="G97" i="22" s="1"/>
  <c r="CC97" i="6" s="1"/>
  <c r="W97" i="22"/>
  <c r="W90" i="22"/>
  <c r="D90" i="22"/>
  <c r="E90" i="22" s="1"/>
  <c r="F90" i="22" s="1"/>
  <c r="D179" i="22"/>
  <c r="E179" i="22" s="1"/>
  <c r="F179" i="22" s="1"/>
  <c r="W179" i="22"/>
  <c r="W354" i="22"/>
  <c r="D354" i="22"/>
  <c r="E354" i="22" s="1"/>
  <c r="F354" i="22" s="1"/>
  <c r="D178" i="22"/>
  <c r="E178" i="22" s="1"/>
  <c r="F178" i="22" s="1"/>
  <c r="G178" i="22" s="1"/>
  <c r="CC178" i="6" s="1"/>
  <c r="W178" i="22"/>
  <c r="D197" i="22"/>
  <c r="E197" i="22" s="1"/>
  <c r="F197" i="22" s="1"/>
  <c r="W197" i="22"/>
  <c r="V272" i="22"/>
  <c r="B272" i="22" s="1"/>
  <c r="D364" i="22"/>
  <c r="E364" i="22" s="1"/>
  <c r="F364" i="22" s="1"/>
  <c r="W364" i="22"/>
  <c r="W154" i="22"/>
  <c r="D154" i="22"/>
  <c r="E154" i="22" s="1"/>
  <c r="F154" i="22" s="1"/>
  <c r="W311" i="22"/>
  <c r="D311" i="22"/>
  <c r="E311" i="22" s="1"/>
  <c r="F311" i="22" s="1"/>
  <c r="V60" i="22"/>
  <c r="B60" i="22" s="1"/>
  <c r="D304" i="22"/>
  <c r="E304" i="22" s="1"/>
  <c r="F304" i="22" s="1"/>
  <c r="G304" i="22" s="1"/>
  <c r="CC304" i="6" s="1"/>
  <c r="W304" i="22"/>
  <c r="AH37" i="7"/>
  <c r="V180" i="22"/>
  <c r="B180" i="22" s="1"/>
  <c r="W75" i="22"/>
  <c r="D75" i="22"/>
  <c r="E75" i="22" s="1"/>
  <c r="F75" i="22" s="1"/>
  <c r="D65" i="22"/>
  <c r="E65" i="22" s="1"/>
  <c r="F65" i="22" s="1"/>
  <c r="G65" i="22" s="1"/>
  <c r="CC65" i="6" s="1"/>
  <c r="W65" i="22"/>
  <c r="I127" i="20"/>
  <c r="B127" i="6" s="1"/>
  <c r="BA127" i="6" s="1"/>
  <c r="D127" i="6" s="1"/>
  <c r="J127" i="20"/>
  <c r="C127" i="6" s="1"/>
  <c r="I215" i="20"/>
  <c r="B215" i="6" s="1"/>
  <c r="BA215" i="6" s="1"/>
  <c r="D215" i="6" s="1"/>
  <c r="J215" i="20"/>
  <c r="C215" i="6" s="1"/>
  <c r="J268" i="20"/>
  <c r="C268" i="6" s="1"/>
  <c r="I268" i="20"/>
  <c r="B268" i="6" s="1"/>
  <c r="BA268" i="6" s="1"/>
  <c r="D268" i="6" s="1"/>
  <c r="AL6" i="16"/>
  <c r="AL12" i="16" s="1"/>
  <c r="Y383" i="16"/>
  <c r="X9" i="16"/>
  <c r="AM6" i="16"/>
  <c r="AM12" i="16" s="1"/>
  <c r="Y381" i="16"/>
  <c r="Y382" i="16"/>
  <c r="I119" i="18"/>
  <c r="J119" i="18"/>
  <c r="J167" i="20"/>
  <c r="C167" i="6" s="1"/>
  <c r="I167" i="20"/>
  <c r="B167" i="6" s="1"/>
  <c r="BA167" i="6" s="1"/>
  <c r="D167" i="6" s="1"/>
  <c r="I89" i="20"/>
  <c r="B89" i="6" s="1"/>
  <c r="BA89" i="6" s="1"/>
  <c r="D89" i="6" s="1"/>
  <c r="J89" i="20"/>
  <c r="C89" i="6" s="1"/>
  <c r="J31" i="20"/>
  <c r="C31" i="6" s="1"/>
  <c r="I31" i="20"/>
  <c r="B31" i="6" s="1"/>
  <c r="BA31" i="6" s="1"/>
  <c r="D31" i="6" s="1"/>
  <c r="J99" i="20"/>
  <c r="C99" i="6" s="1"/>
  <c r="I99" i="20"/>
  <c r="B99" i="6" s="1"/>
  <c r="BA99" i="6" s="1"/>
  <c r="D99" i="6" s="1"/>
  <c r="I36" i="20"/>
  <c r="B36" i="6" s="1"/>
  <c r="BA36" i="6" s="1"/>
  <c r="D36" i="6" s="1"/>
  <c r="J36" i="20"/>
  <c r="C36" i="6" s="1"/>
  <c r="J22" i="20"/>
  <c r="C22" i="6" s="1"/>
  <c r="I22" i="20"/>
  <c r="B22" i="6" s="1"/>
  <c r="BA22" i="6" s="1"/>
  <c r="D22" i="6" s="1"/>
  <c r="J159" i="20"/>
  <c r="C159" i="6" s="1"/>
  <c r="I159" i="20"/>
  <c r="B159" i="6" s="1"/>
  <c r="BA159" i="6" s="1"/>
  <c r="D159" i="6" s="1"/>
  <c r="I45" i="20"/>
  <c r="B45" i="6" s="1"/>
  <c r="BA45" i="6" s="1"/>
  <c r="D45" i="6" s="1"/>
  <c r="J45" i="20"/>
  <c r="C45" i="6" s="1"/>
  <c r="I58" i="20"/>
  <c r="B58" i="6" s="1"/>
  <c r="BA58" i="6" s="1"/>
  <c r="D58" i="6" s="1"/>
  <c r="J375" i="20"/>
  <c r="C375" i="6" s="1"/>
  <c r="I375" i="20"/>
  <c r="B375" i="6" s="1"/>
  <c r="BA375" i="6" s="1"/>
  <c r="D375" i="6" s="1"/>
  <c r="J301" i="20"/>
  <c r="C301" i="6" s="1"/>
  <c r="I301" i="20"/>
  <c r="B301" i="6" s="1"/>
  <c r="BA301" i="6" s="1"/>
  <c r="D301" i="6" s="1"/>
  <c r="J363" i="18"/>
  <c r="I363" i="18"/>
  <c r="W210" i="20"/>
  <c r="D210" i="20"/>
  <c r="E210" i="20" s="1"/>
  <c r="F210" i="20" s="1"/>
  <c r="F383" i="17"/>
  <c r="AA15" i="17"/>
  <c r="H15" i="17"/>
  <c r="AM10" i="17"/>
  <c r="AK10" i="17"/>
  <c r="AK12" i="17" s="1"/>
  <c r="AK13" i="17" s="1"/>
  <c r="F9" i="17"/>
  <c r="F382" i="17"/>
  <c r="F381" i="17"/>
  <c r="G15" i="17"/>
  <c r="BZ15" i="6" s="1"/>
  <c r="AK4" i="15"/>
  <c r="R12" i="19" s="1"/>
  <c r="N13" i="19" s="1"/>
  <c r="AM13" i="15"/>
  <c r="I295" i="20"/>
  <c r="B295" i="6" s="1"/>
  <c r="BA295" i="6" s="1"/>
  <c r="D295" i="6" s="1"/>
  <c r="J295" i="20"/>
  <c r="C295" i="6" s="1"/>
  <c r="J367" i="20"/>
  <c r="C367" i="6" s="1"/>
  <c r="I199" i="20"/>
  <c r="B199" i="6" s="1"/>
  <c r="BA199" i="6" s="1"/>
  <c r="D199" i="6" s="1"/>
  <c r="J199" i="20"/>
  <c r="C199" i="6" s="1"/>
  <c r="I183" i="20"/>
  <c r="B183" i="6" s="1"/>
  <c r="BA183" i="6" s="1"/>
  <c r="J183" i="20"/>
  <c r="C183" i="6" s="1"/>
  <c r="I231" i="20"/>
  <c r="B231" i="6" s="1"/>
  <c r="BA231" i="6" s="1"/>
  <c r="D231" i="6" s="1"/>
  <c r="J231" i="20"/>
  <c r="C231" i="6" s="1"/>
  <c r="J176" i="20"/>
  <c r="C176" i="6" s="1"/>
  <c r="I176" i="20"/>
  <c r="B176" i="6" s="1"/>
  <c r="BA176" i="6" s="1"/>
  <c r="D176" i="6" s="1"/>
  <c r="J366" i="20"/>
  <c r="C366" i="6" s="1"/>
  <c r="I366" i="20"/>
  <c r="B366" i="6" s="1"/>
  <c r="BA366" i="6" s="1"/>
  <c r="D366" i="6" s="1"/>
  <c r="I213" i="20"/>
  <c r="B213" i="6" s="1"/>
  <c r="BA213" i="6" s="1"/>
  <c r="D213" i="6" s="1"/>
  <c r="J213" i="20"/>
  <c r="C213" i="6" s="1"/>
  <c r="J178" i="20"/>
  <c r="C178" i="6" s="1"/>
  <c r="I178" i="20"/>
  <c r="B178" i="6" s="1"/>
  <c r="BA178" i="6" s="1"/>
  <c r="D178" i="6" s="1"/>
  <c r="Z11" i="15"/>
  <c r="Z5" i="15" s="1"/>
  <c r="H12" i="19" s="1"/>
  <c r="AK5" i="18"/>
  <c r="D163" i="22" l="1"/>
  <c r="E163" i="22" s="1"/>
  <c r="F163" i="22" s="1"/>
  <c r="G163" i="22" s="1"/>
  <c r="CC163" i="6" s="1"/>
  <c r="W163" i="22"/>
  <c r="W358" i="22"/>
  <c r="D358" i="22"/>
  <c r="E358" i="22" s="1"/>
  <c r="F358" i="22" s="1"/>
  <c r="AA358" i="22" s="1"/>
  <c r="Z358" i="22" s="1"/>
  <c r="Y358" i="22" s="1"/>
  <c r="D340" i="22"/>
  <c r="E340" i="22" s="1"/>
  <c r="F340" i="22" s="1"/>
  <c r="W340" i="22"/>
  <c r="W308" i="22"/>
  <c r="D308" i="22"/>
  <c r="E308" i="22" s="1"/>
  <c r="F308" i="22" s="1"/>
  <c r="AA308" i="22" s="1"/>
  <c r="Z308" i="22" s="1"/>
  <c r="Y308" i="22" s="1"/>
  <c r="W105" i="22"/>
  <c r="D105" i="22"/>
  <c r="E105" i="22" s="1"/>
  <c r="F105" i="22" s="1"/>
  <c r="G105" i="22" s="1"/>
  <c r="CC105" i="6" s="1"/>
  <c r="W186" i="22"/>
  <c r="D186" i="22"/>
  <c r="E186" i="22" s="1"/>
  <c r="F186" i="22" s="1"/>
  <c r="G186" i="22" s="1"/>
  <c r="CC186" i="6" s="1"/>
  <c r="W338" i="22"/>
  <c r="D338" i="22"/>
  <c r="E338" i="22" s="1"/>
  <c r="F338" i="22" s="1"/>
  <c r="AA338" i="22" s="1"/>
  <c r="Z338" i="22" s="1"/>
  <c r="Y338" i="22" s="1"/>
  <c r="D254" i="22"/>
  <c r="E254" i="22" s="1"/>
  <c r="F254" i="22" s="1"/>
  <c r="D177" i="22"/>
  <c r="E177" i="22" s="1"/>
  <c r="F177" i="22" s="1"/>
  <c r="AA177" i="22" s="1"/>
  <c r="Z177" i="22" s="1"/>
  <c r="Y177" i="22" s="1"/>
  <c r="D375" i="22"/>
  <c r="E375" i="22" s="1"/>
  <c r="F375" i="22" s="1"/>
  <c r="W229" i="22"/>
  <c r="D171" i="22"/>
  <c r="E171" i="22" s="1"/>
  <c r="F171" i="22" s="1"/>
  <c r="W49" i="22"/>
  <c r="D266" i="22"/>
  <c r="E266" i="22" s="1"/>
  <c r="F266" i="22" s="1"/>
  <c r="W285" i="22"/>
  <c r="D314" i="22"/>
  <c r="E314" i="22" s="1"/>
  <c r="F314" i="22" s="1"/>
  <c r="G314" i="22" s="1"/>
  <c r="CC314" i="6" s="1"/>
  <c r="D191" i="22"/>
  <c r="E191" i="22" s="1"/>
  <c r="F191" i="22" s="1"/>
  <c r="G191" i="22" s="1"/>
  <c r="CC191" i="6" s="1"/>
  <c r="W292" i="22"/>
  <c r="D344" i="22"/>
  <c r="E344" i="22" s="1"/>
  <c r="F344" i="22" s="1"/>
  <c r="AA344" i="22" s="1"/>
  <c r="Z344" i="22" s="1"/>
  <c r="Y344" i="22" s="1"/>
  <c r="D269" i="22"/>
  <c r="E269" i="22" s="1"/>
  <c r="F269" i="22" s="1"/>
  <c r="W269" i="22"/>
  <c r="D143" i="22"/>
  <c r="E143" i="22" s="1"/>
  <c r="F143" i="22" s="1"/>
  <c r="W143" i="22"/>
  <c r="D267" i="22"/>
  <c r="E267" i="22" s="1"/>
  <c r="F267" i="22" s="1"/>
  <c r="W267" i="22"/>
  <c r="W378" i="22"/>
  <c r="D378" i="22"/>
  <c r="E378" i="22" s="1"/>
  <c r="F378" i="22" s="1"/>
  <c r="G378" i="22" s="1"/>
  <c r="CC378" i="6" s="1"/>
  <c r="W284" i="22"/>
  <c r="D284" i="22"/>
  <c r="E284" i="22" s="1"/>
  <c r="F284" i="22" s="1"/>
  <c r="AA284" i="22" s="1"/>
  <c r="Z284" i="22" s="1"/>
  <c r="Y284" i="22" s="1"/>
  <c r="W346" i="22"/>
  <c r="D346" i="22"/>
  <c r="E346" i="22" s="1"/>
  <c r="F346" i="22" s="1"/>
  <c r="AA346" i="22" s="1"/>
  <c r="Z346" i="22" s="1"/>
  <c r="Y346" i="22" s="1"/>
  <c r="D207" i="22"/>
  <c r="E207" i="22" s="1"/>
  <c r="F207" i="22" s="1"/>
  <c r="W207" i="22"/>
  <c r="D101" i="22"/>
  <c r="E101" i="22" s="1"/>
  <c r="F101" i="22" s="1"/>
  <c r="G101" i="22" s="1"/>
  <c r="CC101" i="6" s="1"/>
  <c r="W101" i="22"/>
  <c r="W370" i="22"/>
  <c r="B55" i="22"/>
  <c r="W55" i="22" s="1"/>
  <c r="B100" i="22"/>
  <c r="W100" i="22" s="1"/>
  <c r="D18" i="22"/>
  <c r="E18" i="22" s="1"/>
  <c r="F18" i="22" s="1"/>
  <c r="AA18" i="22" s="1"/>
  <c r="Z18" i="22" s="1"/>
  <c r="Y18" i="22" s="1"/>
  <c r="B18" i="22"/>
  <c r="W23" i="22"/>
  <c r="B23" i="22"/>
  <c r="W213" i="22"/>
  <c r="B213" i="22"/>
  <c r="D242" i="22"/>
  <c r="E242" i="22" s="1"/>
  <c r="F242" i="22" s="1"/>
  <c r="H242" i="22" s="1"/>
  <c r="B242" i="22"/>
  <c r="W175" i="22"/>
  <c r="B175" i="22"/>
  <c r="B215" i="22"/>
  <c r="D215" i="22" s="1"/>
  <c r="E215" i="22" s="1"/>
  <c r="F215" i="22" s="1"/>
  <c r="B70" i="22"/>
  <c r="D70" i="22" s="1"/>
  <c r="E70" i="22" s="1"/>
  <c r="F70" i="22" s="1"/>
  <c r="B299" i="22"/>
  <c r="D299" i="22" s="1"/>
  <c r="E299" i="22" s="1"/>
  <c r="F299" i="22" s="1"/>
  <c r="B92" i="22"/>
  <c r="D92" i="22" s="1"/>
  <c r="E92" i="22" s="1"/>
  <c r="F92" i="22" s="1"/>
  <c r="D99" i="22"/>
  <c r="E99" i="22" s="1"/>
  <c r="F99" i="22" s="1"/>
  <c r="G99" i="22" s="1"/>
  <c r="CC99" i="6" s="1"/>
  <c r="B99" i="22"/>
  <c r="B102" i="22"/>
  <c r="W102" i="22" s="1"/>
  <c r="W172" i="22"/>
  <c r="B172" i="22"/>
  <c r="W132" i="22"/>
  <c r="B132" i="22"/>
  <c r="W252" i="22"/>
  <c r="B252" i="22"/>
  <c r="B24" i="22"/>
  <c r="W24" i="22" s="1"/>
  <c r="B140" i="22"/>
  <c r="D140" i="22" s="1"/>
  <c r="E140" i="22" s="1"/>
  <c r="F140" i="22" s="1"/>
  <c r="B295" i="22"/>
  <c r="D295" i="22" s="1"/>
  <c r="E295" i="22" s="1"/>
  <c r="F295" i="22" s="1"/>
  <c r="D199" i="22"/>
  <c r="E199" i="22" s="1"/>
  <c r="F199" i="22" s="1"/>
  <c r="G199" i="22" s="1"/>
  <c r="CC199" i="6" s="1"/>
  <c r="B199" i="22"/>
  <c r="B205" i="22"/>
  <c r="D205" i="22" s="1"/>
  <c r="E205" i="22" s="1"/>
  <c r="F205" i="22" s="1"/>
  <c r="W19" i="22"/>
  <c r="B19" i="22"/>
  <c r="W52" i="22"/>
  <c r="B52" i="22"/>
  <c r="B195" i="22"/>
  <c r="B47" i="22"/>
  <c r="AA187" i="20"/>
  <c r="Z187" i="20" s="1"/>
  <c r="Y187" i="20" s="1"/>
  <c r="G187" i="20"/>
  <c r="CB187" i="6" s="1"/>
  <c r="B270" i="22"/>
  <c r="D270" i="22" s="1"/>
  <c r="E270" i="22" s="1"/>
  <c r="F270" i="22" s="1"/>
  <c r="B347" i="22"/>
  <c r="B161" i="22"/>
  <c r="B263" i="22"/>
  <c r="B64" i="22"/>
  <c r="B356" i="22"/>
  <c r="AA144" i="20"/>
  <c r="Z144" i="20" s="1"/>
  <c r="Y144" i="20" s="1"/>
  <c r="G144" i="20"/>
  <c r="CB144" i="6" s="1"/>
  <c r="G308" i="20"/>
  <c r="CB308" i="6" s="1"/>
  <c r="H308" i="20"/>
  <c r="AA308" i="20"/>
  <c r="Z308" i="20" s="1"/>
  <c r="Y308" i="20" s="1"/>
  <c r="H341" i="20"/>
  <c r="AA341" i="20"/>
  <c r="Z341" i="20" s="1"/>
  <c r="Y341" i="20" s="1"/>
  <c r="G341" i="20"/>
  <c r="CB341" i="6" s="1"/>
  <c r="G137" i="20"/>
  <c r="CB137" i="6" s="1"/>
  <c r="AA137" i="20"/>
  <c r="Z137" i="20" s="1"/>
  <c r="Y137" i="20" s="1"/>
  <c r="H137" i="20"/>
  <c r="H164" i="20"/>
  <c r="G164" i="20"/>
  <c r="CB164" i="6" s="1"/>
  <c r="AA164" i="20"/>
  <c r="Z164" i="20" s="1"/>
  <c r="Y164" i="20" s="1"/>
  <c r="H85" i="20"/>
  <c r="AA85" i="20"/>
  <c r="Z85" i="20" s="1"/>
  <c r="Y85" i="20" s="1"/>
  <c r="G85" i="20"/>
  <c r="CB85" i="6" s="1"/>
  <c r="B228" i="22"/>
  <c r="W228" i="22" s="1"/>
  <c r="B293" i="22"/>
  <c r="B204" i="22"/>
  <c r="G97" i="20"/>
  <c r="CB97" i="6" s="1"/>
  <c r="H97" i="20"/>
  <c r="AA97" i="20"/>
  <c r="Z97" i="20" s="1"/>
  <c r="Y97" i="20" s="1"/>
  <c r="AA337" i="20"/>
  <c r="Z337" i="20" s="1"/>
  <c r="Y337" i="20" s="1"/>
  <c r="G337" i="20"/>
  <c r="CB337" i="6" s="1"/>
  <c r="H138" i="20"/>
  <c r="AA138" i="20"/>
  <c r="Z138" i="20" s="1"/>
  <c r="Y138" i="20" s="1"/>
  <c r="G138" i="20"/>
  <c r="CB138" i="6" s="1"/>
  <c r="G273" i="20"/>
  <c r="CB273" i="6" s="1"/>
  <c r="AA273" i="20"/>
  <c r="Z273" i="20" s="1"/>
  <c r="Y273" i="20" s="1"/>
  <c r="H273" i="20"/>
  <c r="B211" i="22"/>
  <c r="G106" i="20"/>
  <c r="CB106" i="6" s="1"/>
  <c r="H106" i="20"/>
  <c r="AA106" i="20"/>
  <c r="Z106" i="20" s="1"/>
  <c r="Y106" i="20" s="1"/>
  <c r="B113" i="22"/>
  <c r="B367" i="22"/>
  <c r="B316" i="22"/>
  <c r="B157" i="22"/>
  <c r="B77" i="22"/>
  <c r="W77" i="22" s="1"/>
  <c r="B265" i="22"/>
  <c r="B82" i="22"/>
  <c r="B246" i="22"/>
  <c r="B353" i="22"/>
  <c r="B174" i="22"/>
  <c r="W174" i="22" s="1"/>
  <c r="B357" i="22"/>
  <c r="B69" i="22"/>
  <c r="B173" i="22"/>
  <c r="AA87" i="20"/>
  <c r="Z87" i="20" s="1"/>
  <c r="Y87" i="20" s="1"/>
  <c r="G87" i="20"/>
  <c r="CB87" i="6" s="1"/>
  <c r="H87" i="20"/>
  <c r="H145" i="20"/>
  <c r="G145" i="20"/>
  <c r="CB145" i="6" s="1"/>
  <c r="AA145" i="20"/>
  <c r="Z145" i="20" s="1"/>
  <c r="Y145" i="20" s="1"/>
  <c r="G75" i="20"/>
  <c r="CB75" i="6" s="1"/>
  <c r="H75" i="20"/>
  <c r="AA75" i="20"/>
  <c r="Z75" i="20" s="1"/>
  <c r="Y75" i="20" s="1"/>
  <c r="G150" i="20"/>
  <c r="CB150" i="6" s="1"/>
  <c r="H150" i="20"/>
  <c r="AA150" i="20"/>
  <c r="Z150" i="20" s="1"/>
  <c r="Y150" i="20" s="1"/>
  <c r="B232" i="22"/>
  <c r="AA216" i="20"/>
  <c r="Z216" i="20" s="1"/>
  <c r="Y216" i="20" s="1"/>
  <c r="G216" i="20"/>
  <c r="CB216" i="6" s="1"/>
  <c r="H98" i="20"/>
  <c r="AA98" i="20"/>
  <c r="Z98" i="20" s="1"/>
  <c r="Y98" i="20" s="1"/>
  <c r="G98" i="20"/>
  <c r="CB98" i="6" s="1"/>
  <c r="B121" i="22"/>
  <c r="B281" i="22"/>
  <c r="AA39" i="20"/>
  <c r="Z39" i="20" s="1"/>
  <c r="Y39" i="20" s="1"/>
  <c r="H39" i="20"/>
  <c r="G39" i="20"/>
  <c r="CB39" i="6" s="1"/>
  <c r="H38" i="20"/>
  <c r="G38" i="20"/>
  <c r="CB38" i="6" s="1"/>
  <c r="AA38" i="20"/>
  <c r="Z38" i="20" s="1"/>
  <c r="Y38" i="20" s="1"/>
  <c r="B111" i="22"/>
  <c r="B116" i="22"/>
  <c r="B334" i="22"/>
  <c r="B83" i="22"/>
  <c r="B185" i="22"/>
  <c r="B373" i="22"/>
  <c r="B107" i="22"/>
  <c r="B245" i="22"/>
  <c r="B96" i="22"/>
  <c r="B122" i="22"/>
  <c r="B203" i="22"/>
  <c r="H287" i="20"/>
  <c r="AA287" i="20"/>
  <c r="Z287" i="20" s="1"/>
  <c r="Y287" i="20" s="1"/>
  <c r="G287" i="20"/>
  <c r="CB287" i="6" s="1"/>
  <c r="H235" i="20"/>
  <c r="G235" i="20"/>
  <c r="CB235" i="6" s="1"/>
  <c r="AA235" i="20"/>
  <c r="Z235" i="20" s="1"/>
  <c r="Y235" i="20" s="1"/>
  <c r="H212" i="20"/>
  <c r="AA212" i="20"/>
  <c r="Z212" i="20" s="1"/>
  <c r="Y212" i="20" s="1"/>
  <c r="G212" i="20"/>
  <c r="CB212" i="6" s="1"/>
  <c r="B223" i="22"/>
  <c r="B317" i="22"/>
  <c r="B134" i="22"/>
  <c r="B261" i="22"/>
  <c r="D261" i="22" s="1"/>
  <c r="E261" i="22" s="1"/>
  <c r="F261" i="22" s="1"/>
  <c r="B50" i="22"/>
  <c r="D50" i="22" s="1"/>
  <c r="E50" i="22" s="1"/>
  <c r="F50" i="22" s="1"/>
  <c r="B127" i="22"/>
  <c r="B59" i="22"/>
  <c r="H43" i="20"/>
  <c r="G43" i="20"/>
  <c r="CB43" i="6" s="1"/>
  <c r="AA43" i="20"/>
  <c r="Z43" i="20" s="1"/>
  <c r="Y43" i="20" s="1"/>
  <c r="B280" i="22"/>
  <c r="B297" i="22"/>
  <c r="H56" i="20"/>
  <c r="AA56" i="20"/>
  <c r="Z56" i="20" s="1"/>
  <c r="Y56" i="20" s="1"/>
  <c r="G56" i="20"/>
  <c r="CB56" i="6" s="1"/>
  <c r="G253" i="20"/>
  <c r="CB253" i="6" s="1"/>
  <c r="AA253" i="20"/>
  <c r="Z253" i="20" s="1"/>
  <c r="Y253" i="20" s="1"/>
  <c r="B81" i="22"/>
  <c r="B309" i="22"/>
  <c r="B348" i="22"/>
  <c r="G79" i="20"/>
  <c r="CB79" i="6" s="1"/>
  <c r="H79" i="20"/>
  <c r="B46" i="22"/>
  <c r="B305" i="22"/>
  <c r="B209" i="22"/>
  <c r="B236" i="22"/>
  <c r="G218" i="20"/>
  <c r="CB218" i="6" s="1"/>
  <c r="AA218" i="20"/>
  <c r="Z218" i="20" s="1"/>
  <c r="Y218" i="20" s="1"/>
  <c r="B220" i="22"/>
  <c r="B51" i="22"/>
  <c r="B259" i="22"/>
  <c r="B167" i="22"/>
  <c r="D67" i="22"/>
  <c r="E67" i="22" s="1"/>
  <c r="F67" i="22" s="1"/>
  <c r="G67" i="22" s="1"/>
  <c r="CC67" i="6" s="1"/>
  <c r="W254" i="22"/>
  <c r="D31" i="22"/>
  <c r="E31" i="22" s="1"/>
  <c r="F31" i="22" s="1"/>
  <c r="G31" i="22" s="1"/>
  <c r="CC31" i="6" s="1"/>
  <c r="B31" i="22"/>
  <c r="W108" i="22"/>
  <c r="B108" i="22"/>
  <c r="W177" i="22"/>
  <c r="B33" i="22"/>
  <c r="B256" i="22"/>
  <c r="B34" i="22"/>
  <c r="W375" i="22"/>
  <c r="W283" i="22"/>
  <c r="D112" i="22"/>
  <c r="E112" i="22" s="1"/>
  <c r="F112" i="22" s="1"/>
  <c r="G112" i="22" s="1"/>
  <c r="CC112" i="6" s="1"/>
  <c r="B94" i="22"/>
  <c r="B359" i="22"/>
  <c r="D318" i="22"/>
  <c r="E318" i="22" s="1"/>
  <c r="F318" i="22" s="1"/>
  <c r="AA318" i="22" s="1"/>
  <c r="Z318" i="22" s="1"/>
  <c r="Y318" i="22" s="1"/>
  <c r="D310" i="22"/>
  <c r="E310" i="22" s="1"/>
  <c r="F310" i="22" s="1"/>
  <c r="D229" i="22"/>
  <c r="E229" i="22" s="1"/>
  <c r="F229" i="22" s="1"/>
  <c r="G229" i="22" s="1"/>
  <c r="CC229" i="6" s="1"/>
  <c r="W365" i="22"/>
  <c r="W168" i="22"/>
  <c r="B322" i="22"/>
  <c r="W296" i="22"/>
  <c r="W171" i="22"/>
  <c r="B22" i="22"/>
  <c r="D49" i="22"/>
  <c r="E49" i="22" s="1"/>
  <c r="F49" i="22" s="1"/>
  <c r="W139" i="22"/>
  <c r="D324" i="22"/>
  <c r="E324" i="22" s="1"/>
  <c r="F324" i="22" s="1"/>
  <c r="W192" i="22"/>
  <c r="W266" i="22"/>
  <c r="B115" i="22"/>
  <c r="W335" i="22"/>
  <c r="W325" i="22"/>
  <c r="B325" i="22"/>
  <c r="B176" i="22"/>
  <c r="B301" i="22"/>
  <c r="D91" i="22"/>
  <c r="E91" i="22" s="1"/>
  <c r="F91" i="22" s="1"/>
  <c r="G91" i="22" s="1"/>
  <c r="CC91" i="6" s="1"/>
  <c r="B27" i="22"/>
  <c r="W160" i="22"/>
  <c r="B110" i="22"/>
  <c r="D238" i="22"/>
  <c r="E238" i="22" s="1"/>
  <c r="F238" i="22" s="1"/>
  <c r="G238" i="22" s="1"/>
  <c r="CC238" i="6" s="1"/>
  <c r="B238" i="22"/>
  <c r="W20" i="22"/>
  <c r="B20" i="22"/>
  <c r="W362" i="22"/>
  <c r="D53" i="22"/>
  <c r="E53" i="22" s="1"/>
  <c r="F53" i="22" s="1"/>
  <c r="B30" i="22"/>
  <c r="W151" i="22"/>
  <c r="D285" i="22"/>
  <c r="E285" i="22" s="1"/>
  <c r="F285" i="22" s="1"/>
  <c r="AA285" i="22" s="1"/>
  <c r="Z285" i="22" s="1"/>
  <c r="Y285" i="22" s="1"/>
  <c r="D123" i="22"/>
  <c r="E123" i="22" s="1"/>
  <c r="F123" i="22" s="1"/>
  <c r="D153" i="22"/>
  <c r="E153" i="22" s="1"/>
  <c r="F153" i="22" s="1"/>
  <c r="AA153" i="22" s="1"/>
  <c r="Z153" i="22" s="1"/>
  <c r="Y153" i="22" s="1"/>
  <c r="B282" i="22"/>
  <c r="D93" i="22"/>
  <c r="E93" i="22" s="1"/>
  <c r="F93" i="22" s="1"/>
  <c r="G93" i="22" s="1"/>
  <c r="CC93" i="6" s="1"/>
  <c r="D376" i="22"/>
  <c r="E376" i="22" s="1"/>
  <c r="F376" i="22" s="1"/>
  <c r="B17" i="22"/>
  <c r="B202" i="22"/>
  <c r="D300" i="22"/>
  <c r="E300" i="22" s="1"/>
  <c r="F300" i="22" s="1"/>
  <c r="AA300" i="22" s="1"/>
  <c r="Z300" i="22" s="1"/>
  <c r="Y300" i="22" s="1"/>
  <c r="B16" i="22"/>
  <c r="D230" i="22"/>
  <c r="E230" i="22" s="1"/>
  <c r="F230" i="22" s="1"/>
  <c r="AA230" i="22" s="1"/>
  <c r="Z230" i="22" s="1"/>
  <c r="Y230" i="22" s="1"/>
  <c r="W314" i="22"/>
  <c r="W191" i="22"/>
  <c r="D275" i="22"/>
  <c r="E275" i="22" s="1"/>
  <c r="F275" i="22" s="1"/>
  <c r="B183" i="22"/>
  <c r="B377" i="22"/>
  <c r="W118" i="22"/>
  <c r="D124" i="22"/>
  <c r="E124" i="22" s="1"/>
  <c r="F124" i="22" s="1"/>
  <c r="B231" i="22"/>
  <c r="W181" i="22"/>
  <c r="W247" i="22"/>
  <c r="W193" i="22"/>
  <c r="D369" i="22"/>
  <c r="E369" i="22" s="1"/>
  <c r="F369" i="22" s="1"/>
  <c r="AA369" i="22" s="1"/>
  <c r="Z369" i="22" s="1"/>
  <c r="Y369" i="22" s="1"/>
  <c r="W71" i="22"/>
  <c r="D206" i="22"/>
  <c r="E206" i="22" s="1"/>
  <c r="F206" i="22" s="1"/>
  <c r="AA206" i="22" s="1"/>
  <c r="Z206" i="22" s="1"/>
  <c r="Y206" i="22" s="1"/>
  <c r="D61" i="22"/>
  <c r="E61" i="22" s="1"/>
  <c r="F61" i="22" s="1"/>
  <c r="D190" i="22"/>
  <c r="E190" i="22" s="1"/>
  <c r="F190" i="22" s="1"/>
  <c r="AA190" i="22" s="1"/>
  <c r="Z190" i="22" s="1"/>
  <c r="Y190" i="22" s="1"/>
  <c r="B190" i="22"/>
  <c r="D214" i="22"/>
  <c r="E214" i="22" s="1"/>
  <c r="F214" i="22" s="1"/>
  <c r="G214" i="22" s="1"/>
  <c r="CC214" i="6" s="1"/>
  <c r="B214" i="22"/>
  <c r="D32" i="22"/>
  <c r="E32" i="22" s="1"/>
  <c r="F32" i="22" s="1"/>
  <c r="G32" i="22" s="1"/>
  <c r="CC32" i="6" s="1"/>
  <c r="B32" i="22"/>
  <c r="D360" i="22"/>
  <c r="E360" i="22" s="1"/>
  <c r="F360" i="22" s="1"/>
  <c r="AA360" i="22" s="1"/>
  <c r="Z360" i="22" s="1"/>
  <c r="Y360" i="22" s="1"/>
  <c r="B26" i="22"/>
  <c r="D352" i="22"/>
  <c r="E352" i="22" s="1"/>
  <c r="F352" i="22" s="1"/>
  <c r="G352" i="22" s="1"/>
  <c r="CC352" i="6" s="1"/>
  <c r="D48" i="22"/>
  <c r="E48" i="22" s="1"/>
  <c r="F48" i="22" s="1"/>
  <c r="W155" i="22"/>
  <c r="B286" i="22"/>
  <c r="D361" i="22"/>
  <c r="E361" i="22" s="1"/>
  <c r="F361" i="22" s="1"/>
  <c r="H361" i="22" s="1"/>
  <c r="W146" i="22"/>
  <c r="W188" i="22"/>
  <c r="B271" i="22"/>
  <c r="B120" i="22"/>
  <c r="B28" i="22"/>
  <c r="B141" i="22"/>
  <c r="B222" i="22"/>
  <c r="D292" i="22"/>
  <c r="E292" i="22" s="1"/>
  <c r="F292" i="22" s="1"/>
  <c r="AA292" i="22" s="1"/>
  <c r="Z292" i="22" s="1"/>
  <c r="Y292" i="22" s="1"/>
  <c r="W344" i="22"/>
  <c r="B262" i="22"/>
  <c r="B126" i="22"/>
  <c r="B333" i="22"/>
  <c r="W149" i="20"/>
  <c r="B149" i="22"/>
  <c r="D379" i="20"/>
  <c r="E379" i="20" s="1"/>
  <c r="F379" i="20" s="1"/>
  <c r="B329" i="22"/>
  <c r="B366" i="22"/>
  <c r="G195" i="20"/>
  <c r="CB195" i="6" s="1"/>
  <c r="H195" i="20"/>
  <c r="AA195" i="20"/>
  <c r="Z195" i="20" s="1"/>
  <c r="Y195" i="20" s="1"/>
  <c r="B278" i="22"/>
  <c r="B339" i="22"/>
  <c r="B169" i="22"/>
  <c r="W169" i="22" s="1"/>
  <c r="B131" i="22"/>
  <c r="B133" i="22"/>
  <c r="D133" i="22" s="1"/>
  <c r="E133" i="22" s="1"/>
  <c r="F133" i="22" s="1"/>
  <c r="B320" i="22"/>
  <c r="B298" i="22"/>
  <c r="D298" i="22" s="1"/>
  <c r="E298" i="22" s="1"/>
  <c r="F298" i="22" s="1"/>
  <c r="B224" i="22"/>
  <c r="H263" i="20"/>
  <c r="AA263" i="20"/>
  <c r="Z263" i="20" s="1"/>
  <c r="Y263" i="20" s="1"/>
  <c r="G263" i="20"/>
  <c r="CB263" i="6" s="1"/>
  <c r="G109" i="20"/>
  <c r="CB109" i="6" s="1"/>
  <c r="H109" i="20"/>
  <c r="AA109" i="20"/>
  <c r="Z109" i="20" s="1"/>
  <c r="Y109" i="20" s="1"/>
  <c r="B144" i="22"/>
  <c r="B294" i="22"/>
  <c r="B279" i="22"/>
  <c r="D279" i="22" s="1"/>
  <c r="E279" i="22" s="1"/>
  <c r="F279" i="22" s="1"/>
  <c r="B341" i="22"/>
  <c r="B137" i="22"/>
  <c r="W137" i="22" s="1"/>
  <c r="B164" i="22"/>
  <c r="B89" i="22"/>
  <c r="W89" i="22" s="1"/>
  <c r="B312" i="22"/>
  <c r="B201" i="22"/>
  <c r="B184" i="22"/>
  <c r="B85" i="22"/>
  <c r="B200" i="22"/>
  <c r="W200" i="22" s="1"/>
  <c r="B374" i="22"/>
  <c r="B221" i="22"/>
  <c r="W221" i="22" s="1"/>
  <c r="AA153" i="20"/>
  <c r="Z153" i="20" s="1"/>
  <c r="Y153" i="20" s="1"/>
  <c r="H153" i="20"/>
  <c r="G153" i="20"/>
  <c r="CB153" i="6" s="1"/>
  <c r="H228" i="20"/>
  <c r="AA228" i="20"/>
  <c r="Z228" i="20" s="1"/>
  <c r="Y228" i="20" s="1"/>
  <c r="G228" i="20"/>
  <c r="CB228" i="6" s="1"/>
  <c r="H163" i="20"/>
  <c r="AA163" i="20"/>
  <c r="Z163" i="20" s="1"/>
  <c r="Y163" i="20" s="1"/>
  <c r="G163" i="20"/>
  <c r="CB163" i="6" s="1"/>
  <c r="AA267" i="20"/>
  <c r="Z267" i="20" s="1"/>
  <c r="Y267" i="20" s="1"/>
  <c r="G267" i="20"/>
  <c r="CB267" i="6" s="1"/>
  <c r="H267" i="20"/>
  <c r="AA293" i="20"/>
  <c r="Z293" i="20" s="1"/>
  <c r="Y293" i="20" s="1"/>
  <c r="H293" i="20"/>
  <c r="G293" i="20"/>
  <c r="CB293" i="6" s="1"/>
  <c r="B166" i="22"/>
  <c r="B103" i="22"/>
  <c r="B130" i="22"/>
  <c r="B73" i="22"/>
  <c r="B336" i="22"/>
  <c r="B337" i="22"/>
  <c r="B330" i="22"/>
  <c r="W330" i="22" s="1"/>
  <c r="B138" i="22"/>
  <c r="B273" i="22"/>
  <c r="B136" i="22"/>
  <c r="AA151" i="20"/>
  <c r="Z151" i="20" s="1"/>
  <c r="Y151" i="20" s="1"/>
  <c r="G151" i="20"/>
  <c r="CB151" i="6" s="1"/>
  <c r="B243" i="22"/>
  <c r="D243" i="22" s="1"/>
  <c r="E243" i="22" s="1"/>
  <c r="F243" i="22" s="1"/>
  <c r="B106" i="22"/>
  <c r="B355" i="22"/>
  <c r="H113" i="20"/>
  <c r="G113" i="20"/>
  <c r="CB113" i="6" s="1"/>
  <c r="AA113" i="20"/>
  <c r="Z113" i="20" s="1"/>
  <c r="Y113" i="20" s="1"/>
  <c r="H181" i="20"/>
  <c r="G181" i="20"/>
  <c r="CB181" i="6" s="1"/>
  <c r="AA181" i="20"/>
  <c r="Z181" i="20" s="1"/>
  <c r="Y181" i="20" s="1"/>
  <c r="AA367" i="20"/>
  <c r="Z367" i="20" s="1"/>
  <c r="Y367" i="20" s="1"/>
  <c r="G367" i="20"/>
  <c r="CB367" i="6" s="1"/>
  <c r="AA78" i="20"/>
  <c r="Z78" i="20" s="1"/>
  <c r="Y78" i="20" s="1"/>
  <c r="G78" i="20"/>
  <c r="CB78" i="6" s="1"/>
  <c r="H78" i="20"/>
  <c r="G335" i="20"/>
  <c r="CB335" i="6" s="1"/>
  <c r="AA335" i="20"/>
  <c r="Z335" i="20" s="1"/>
  <c r="Y335" i="20" s="1"/>
  <c r="AA77" i="20"/>
  <c r="Z77" i="20" s="1"/>
  <c r="Y77" i="20" s="1"/>
  <c r="G77" i="20"/>
  <c r="CB77" i="6" s="1"/>
  <c r="AA265" i="20"/>
  <c r="Z265" i="20" s="1"/>
  <c r="Y265" i="20" s="1"/>
  <c r="G265" i="20"/>
  <c r="CB265" i="6" s="1"/>
  <c r="H265" i="20"/>
  <c r="G315" i="20"/>
  <c r="CB315" i="6" s="1"/>
  <c r="H315" i="20"/>
  <c r="AA315" i="20"/>
  <c r="Z315" i="20" s="1"/>
  <c r="Y315" i="20" s="1"/>
  <c r="B328" i="22"/>
  <c r="B170" i="22"/>
  <c r="D170" i="22" s="1"/>
  <c r="E170" i="22" s="1"/>
  <c r="F170" i="22" s="1"/>
  <c r="AA118" i="20"/>
  <c r="Z118" i="20" s="1"/>
  <c r="Y118" i="20" s="1"/>
  <c r="G118" i="20"/>
  <c r="CB118" i="6" s="1"/>
  <c r="H118" i="20"/>
  <c r="G191" i="20"/>
  <c r="CB191" i="6" s="1"/>
  <c r="H191" i="20"/>
  <c r="AA191" i="20"/>
  <c r="Z191" i="20" s="1"/>
  <c r="Y191" i="20" s="1"/>
  <c r="G197" i="20"/>
  <c r="CB197" i="6" s="1"/>
  <c r="AA197" i="20"/>
  <c r="Z197" i="20" s="1"/>
  <c r="Y197" i="20" s="1"/>
  <c r="H155" i="20"/>
  <c r="AA155" i="20"/>
  <c r="Z155" i="20" s="1"/>
  <c r="Y155" i="20" s="1"/>
  <c r="G155" i="20"/>
  <c r="CB155" i="6" s="1"/>
  <c r="B303" i="22"/>
  <c r="AA285" i="20"/>
  <c r="Z285" i="20" s="1"/>
  <c r="Y285" i="20" s="1"/>
  <c r="H285" i="20"/>
  <c r="G285" i="20"/>
  <c r="CB285" i="6" s="1"/>
  <c r="B327" i="22"/>
  <c r="W327" i="22" s="1"/>
  <c r="B351" i="22"/>
  <c r="B129" i="22"/>
  <c r="B68" i="22"/>
  <c r="B233" i="22"/>
  <c r="D233" i="22" s="1"/>
  <c r="E233" i="22" s="1"/>
  <c r="F233" i="22" s="1"/>
  <c r="B225" i="22"/>
  <c r="B255" i="22"/>
  <c r="AA357" i="20"/>
  <c r="Z357" i="20" s="1"/>
  <c r="Y357" i="20" s="1"/>
  <c r="G357" i="20"/>
  <c r="CB357" i="6" s="1"/>
  <c r="H69" i="20"/>
  <c r="AA69" i="20"/>
  <c r="Z69" i="20" s="1"/>
  <c r="Y69" i="20" s="1"/>
  <c r="G69" i="20"/>
  <c r="CB69" i="6" s="1"/>
  <c r="AA310" i="20"/>
  <c r="Z310" i="20" s="1"/>
  <c r="Y310" i="20" s="1"/>
  <c r="G310" i="20"/>
  <c r="CB310" i="6" s="1"/>
  <c r="H310" i="20"/>
  <c r="B87" i="22"/>
  <c r="D370" i="22"/>
  <c r="E370" i="22" s="1"/>
  <c r="F370" i="22" s="1"/>
  <c r="G370" i="22" s="1"/>
  <c r="CC370" i="6" s="1"/>
  <c r="B268" i="22"/>
  <c r="B239" i="22"/>
  <c r="G189" i="20"/>
  <c r="CB189" i="6" s="1"/>
  <c r="AA189" i="20"/>
  <c r="Z189" i="20" s="1"/>
  <c r="Y189" i="20" s="1"/>
  <c r="B98" i="22"/>
  <c r="B250" i="22"/>
  <c r="B158" i="22"/>
  <c r="G121" i="20"/>
  <c r="CB121" i="6" s="1"/>
  <c r="H121" i="20"/>
  <c r="AA121" i="20"/>
  <c r="Z121" i="20" s="1"/>
  <c r="Y121" i="20" s="1"/>
  <c r="AA281" i="20"/>
  <c r="Z281" i="20" s="1"/>
  <c r="Y281" i="20" s="1"/>
  <c r="G281" i="20"/>
  <c r="CB281" i="6" s="1"/>
  <c r="B39" i="22"/>
  <c r="B38" i="22"/>
  <c r="D38" i="22" s="1"/>
  <c r="E38" i="22" s="1"/>
  <c r="F38" i="22" s="1"/>
  <c r="B76" i="22"/>
  <c r="B182" i="22"/>
  <c r="AA111" i="20"/>
  <c r="Z111" i="20" s="1"/>
  <c r="Y111" i="20" s="1"/>
  <c r="H111" i="20"/>
  <c r="G111" i="20"/>
  <c r="CB111" i="6" s="1"/>
  <c r="G61" i="20"/>
  <c r="CB61" i="6" s="1"/>
  <c r="H61" i="20"/>
  <c r="AA61" i="20"/>
  <c r="Z61" i="20" s="1"/>
  <c r="Y61" i="20" s="1"/>
  <c r="AA116" i="20"/>
  <c r="Z116" i="20" s="1"/>
  <c r="Y116" i="20" s="1"/>
  <c r="G116" i="20"/>
  <c r="CB116" i="6" s="1"/>
  <c r="H116" i="20"/>
  <c r="G112" i="20"/>
  <c r="CB112" i="6" s="1"/>
  <c r="AA112" i="20"/>
  <c r="Z112" i="20" s="1"/>
  <c r="Y112" i="20" s="1"/>
  <c r="H112" i="20"/>
  <c r="G360" i="20"/>
  <c r="CB360" i="6" s="1"/>
  <c r="H360" i="20"/>
  <c r="AA360" i="20"/>
  <c r="Z360" i="20" s="1"/>
  <c r="Y360" i="20" s="1"/>
  <c r="H139" i="20"/>
  <c r="G139" i="20"/>
  <c r="CB139" i="6" s="1"/>
  <c r="AA139" i="20"/>
  <c r="Z139" i="20" s="1"/>
  <c r="Y139" i="20" s="1"/>
  <c r="AA48" i="20"/>
  <c r="Z48" i="20" s="1"/>
  <c r="Y48" i="20" s="1"/>
  <c r="H48" i="20"/>
  <c r="G48" i="20"/>
  <c r="CB48" i="6" s="1"/>
  <c r="G300" i="20"/>
  <c r="CB300" i="6" s="1"/>
  <c r="AA300" i="20"/>
  <c r="Z300" i="20" s="1"/>
  <c r="Y300" i="20" s="1"/>
  <c r="G288" i="20"/>
  <c r="CB288" i="6" s="1"/>
  <c r="H288" i="20"/>
  <c r="AA288" i="20"/>
  <c r="Z288" i="20" s="1"/>
  <c r="Y288" i="20" s="1"/>
  <c r="B313" i="22"/>
  <c r="B104" i="22"/>
  <c r="W104" i="22" s="1"/>
  <c r="AA123" i="20"/>
  <c r="Z123" i="20" s="1"/>
  <c r="Y123" i="20" s="1"/>
  <c r="G123" i="20"/>
  <c r="CB123" i="6" s="1"/>
  <c r="G373" i="20"/>
  <c r="CB373" i="6" s="1"/>
  <c r="H373" i="20"/>
  <c r="AA373" i="20"/>
  <c r="Z373" i="20" s="1"/>
  <c r="Y373" i="20" s="1"/>
  <c r="AA227" i="20"/>
  <c r="Z227" i="20" s="1"/>
  <c r="Y227" i="20" s="1"/>
  <c r="H227" i="20"/>
  <c r="G227" i="20"/>
  <c r="CB227" i="6" s="1"/>
  <c r="B208" i="22"/>
  <c r="AA296" i="20"/>
  <c r="Z296" i="20" s="1"/>
  <c r="Y296" i="20" s="1"/>
  <c r="G296" i="20"/>
  <c r="CB296" i="6" s="1"/>
  <c r="AA230" i="20"/>
  <c r="Z230" i="20" s="1"/>
  <c r="Y230" i="20" s="1"/>
  <c r="G230" i="20"/>
  <c r="CB230" i="6" s="1"/>
  <c r="G196" i="20"/>
  <c r="CB196" i="6" s="1"/>
  <c r="AA196" i="20"/>
  <c r="Z196" i="20" s="1"/>
  <c r="Y196" i="20" s="1"/>
  <c r="G245" i="20"/>
  <c r="CB245" i="6" s="1"/>
  <c r="AA245" i="20"/>
  <c r="Z245" i="20" s="1"/>
  <c r="Y245" i="20" s="1"/>
  <c r="H245" i="20"/>
  <c r="B86" i="22"/>
  <c r="B274" i="22"/>
  <c r="D274" i="22" s="1"/>
  <c r="E274" i="22" s="1"/>
  <c r="F274" i="22" s="1"/>
  <c r="B40" i="22"/>
  <c r="B307" i="22"/>
  <c r="B287" i="22"/>
  <c r="B212" i="22"/>
  <c r="B321" i="22"/>
  <c r="H223" i="20"/>
  <c r="G223" i="20"/>
  <c r="CB223" i="6" s="1"/>
  <c r="AA223" i="20"/>
  <c r="Z223" i="20" s="1"/>
  <c r="Y223" i="20" s="1"/>
  <c r="G66" i="20"/>
  <c r="CB66" i="6" s="1"/>
  <c r="AA66" i="20"/>
  <c r="Z66" i="20" s="1"/>
  <c r="Y66" i="20" s="1"/>
  <c r="G229" i="20"/>
  <c r="CB229" i="6" s="1"/>
  <c r="AA229" i="20"/>
  <c r="Z229" i="20" s="1"/>
  <c r="Y229" i="20" s="1"/>
  <c r="H134" i="20"/>
  <c r="G134" i="20"/>
  <c r="CB134" i="6" s="1"/>
  <c r="AA134" i="20"/>
  <c r="Z134" i="20" s="1"/>
  <c r="Y134" i="20" s="1"/>
  <c r="G261" i="20"/>
  <c r="CB261" i="6" s="1"/>
  <c r="AA261" i="20"/>
  <c r="Z261" i="20" s="1"/>
  <c r="Y261" i="20" s="1"/>
  <c r="H50" i="20"/>
  <c r="G50" i="20"/>
  <c r="CB50" i="6" s="1"/>
  <c r="AA50" i="20"/>
  <c r="Z50" i="20" s="1"/>
  <c r="Y50" i="20" s="1"/>
  <c r="G194" i="20"/>
  <c r="CB194" i="6" s="1"/>
  <c r="H194" i="20"/>
  <c r="H376" i="20"/>
  <c r="AA376" i="20"/>
  <c r="Z376" i="20" s="1"/>
  <c r="Y376" i="20" s="1"/>
  <c r="G376" i="20"/>
  <c r="CB376" i="6" s="1"/>
  <c r="AA59" i="20"/>
  <c r="Z59" i="20" s="1"/>
  <c r="Y59" i="20" s="1"/>
  <c r="H59" i="20"/>
  <c r="G59" i="20"/>
  <c r="CB59" i="6" s="1"/>
  <c r="G177" i="20"/>
  <c r="CB177" i="6" s="1"/>
  <c r="AA177" i="20"/>
  <c r="Z177" i="20" s="1"/>
  <c r="Y177" i="20" s="1"/>
  <c r="H254" i="20"/>
  <c r="G254" i="20"/>
  <c r="CB254" i="6" s="1"/>
  <c r="AA254" i="20"/>
  <c r="Z254" i="20" s="1"/>
  <c r="Y254" i="20" s="1"/>
  <c r="B43" i="22"/>
  <c r="H280" i="20"/>
  <c r="AA280" i="20"/>
  <c r="Z280" i="20" s="1"/>
  <c r="Y280" i="20" s="1"/>
  <c r="G280" i="20"/>
  <c r="CB280" i="6" s="1"/>
  <c r="B56" i="22"/>
  <c r="B57" i="22"/>
  <c r="W57" i="22" s="1"/>
  <c r="B253" i="22"/>
  <c r="B331" i="22"/>
  <c r="D331" i="22" s="1"/>
  <c r="E331" i="22" s="1"/>
  <c r="F331" i="22" s="1"/>
  <c r="G72" i="20"/>
  <c r="CB72" i="6" s="1"/>
  <c r="H72" i="20"/>
  <c r="AA72" i="20"/>
  <c r="Z72" i="20" s="1"/>
  <c r="Y72" i="20" s="1"/>
  <c r="AA81" i="20"/>
  <c r="Z81" i="20" s="1"/>
  <c r="Y81" i="20" s="1"/>
  <c r="G81" i="20"/>
  <c r="CB81" i="6" s="1"/>
  <c r="G309" i="20"/>
  <c r="CB309" i="6" s="1"/>
  <c r="AA309" i="20"/>
  <c r="Z309" i="20" s="1"/>
  <c r="Y309" i="20" s="1"/>
  <c r="G290" i="20"/>
  <c r="CB290" i="6" s="1"/>
  <c r="H290" i="20"/>
  <c r="AA290" i="20"/>
  <c r="Z290" i="20" s="1"/>
  <c r="Y290" i="20" s="1"/>
  <c r="G346" i="20"/>
  <c r="CB346" i="6" s="1"/>
  <c r="AA346" i="20"/>
  <c r="Z346" i="20" s="1"/>
  <c r="Y346" i="20" s="1"/>
  <c r="B343" i="22"/>
  <c r="B79" i="22"/>
  <c r="B41" i="22"/>
  <c r="G305" i="20"/>
  <c r="CB305" i="6" s="1"/>
  <c r="H305" i="20"/>
  <c r="AA305" i="20"/>
  <c r="Z305" i="20" s="1"/>
  <c r="Y305" i="20" s="1"/>
  <c r="AA304" i="20"/>
  <c r="Z304" i="20" s="1"/>
  <c r="Y304" i="20" s="1"/>
  <c r="G304" i="20"/>
  <c r="CB304" i="6" s="1"/>
  <c r="H304" i="20"/>
  <c r="AA101" i="20"/>
  <c r="Z101" i="20" s="1"/>
  <c r="Y101" i="20" s="1"/>
  <c r="G101" i="20"/>
  <c r="CB101" i="6" s="1"/>
  <c r="B240" i="22"/>
  <c r="B218" i="22"/>
  <c r="W218" i="22" s="1"/>
  <c r="B54" i="22"/>
  <c r="B125" i="22"/>
  <c r="W125" i="22" s="1"/>
  <c r="B306" i="22"/>
  <c r="B349" i="22"/>
  <c r="G167" i="20"/>
  <c r="CB167" i="6" s="1"/>
  <c r="AA167" i="20"/>
  <c r="Z167" i="20" s="1"/>
  <c r="Y167" i="20" s="1"/>
  <c r="W217" i="22"/>
  <c r="G379" i="20"/>
  <c r="CB379" i="6" s="1"/>
  <c r="AA379" i="20"/>
  <c r="Z379" i="20" s="1"/>
  <c r="Y379" i="20" s="1"/>
  <c r="H379" i="20"/>
  <c r="H71" i="20"/>
  <c r="AA71" i="20"/>
  <c r="Z71" i="20" s="1"/>
  <c r="Y71" i="20" s="1"/>
  <c r="G71" i="20"/>
  <c r="CB71" i="6" s="1"/>
  <c r="H166" i="20"/>
  <c r="G166" i="20"/>
  <c r="CB166" i="6" s="1"/>
  <c r="AA166" i="20"/>
  <c r="Z166" i="20" s="1"/>
  <c r="Y166" i="20" s="1"/>
  <c r="G91" i="20"/>
  <c r="CB91" i="6" s="1"/>
  <c r="AA91" i="20"/>
  <c r="Z91" i="20" s="1"/>
  <c r="Y91" i="20" s="1"/>
  <c r="H264" i="20"/>
  <c r="G264" i="20"/>
  <c r="CB264" i="6" s="1"/>
  <c r="AA264" i="20"/>
  <c r="Z264" i="20" s="1"/>
  <c r="Y264" i="20" s="1"/>
  <c r="H193" i="20"/>
  <c r="G193" i="20"/>
  <c r="CB193" i="6" s="1"/>
  <c r="AA193" i="20"/>
  <c r="Z193" i="20" s="1"/>
  <c r="Y193" i="20" s="1"/>
  <c r="AA53" i="20"/>
  <c r="Z53" i="20" s="1"/>
  <c r="Y53" i="20" s="1"/>
  <c r="H53" i="20"/>
  <c r="G96" i="20"/>
  <c r="CB96" i="6" s="1"/>
  <c r="H96" i="20"/>
  <c r="AA96" i="20"/>
  <c r="Z96" i="20" s="1"/>
  <c r="Y96" i="20" s="1"/>
  <c r="H86" i="20"/>
  <c r="G86" i="20"/>
  <c r="CB86" i="6" s="1"/>
  <c r="AA86" i="20"/>
  <c r="Z86" i="20" s="1"/>
  <c r="Y86" i="20" s="1"/>
  <c r="AA274" i="20"/>
  <c r="Z274" i="20" s="1"/>
  <c r="Y274" i="20" s="1"/>
  <c r="G274" i="20"/>
  <c r="CB274" i="6" s="1"/>
  <c r="G307" i="20"/>
  <c r="CB307" i="6" s="1"/>
  <c r="H307" i="20"/>
  <c r="AA307" i="20"/>
  <c r="Z307" i="20" s="1"/>
  <c r="Y307" i="20" s="1"/>
  <c r="AA51" i="20"/>
  <c r="Z51" i="20" s="1"/>
  <c r="Y51" i="20" s="1"/>
  <c r="G51" i="20"/>
  <c r="CB51" i="6" s="1"/>
  <c r="G53" i="20"/>
  <c r="CB53" i="6" s="1"/>
  <c r="G206" i="20"/>
  <c r="CB206" i="6" s="1"/>
  <c r="G361" i="20"/>
  <c r="CB361" i="6" s="1"/>
  <c r="AA361" i="20"/>
  <c r="Z361" i="20" s="1"/>
  <c r="Y361" i="20" s="1"/>
  <c r="AA329" i="20"/>
  <c r="Z329" i="20" s="1"/>
  <c r="Y329" i="20" s="1"/>
  <c r="G329" i="20"/>
  <c r="CB329" i="6" s="1"/>
  <c r="H329" i="20"/>
  <c r="G47" i="20"/>
  <c r="CB47" i="6" s="1"/>
  <c r="AA47" i="20"/>
  <c r="Z47" i="20" s="1"/>
  <c r="Y47" i="20" s="1"/>
  <c r="H47" i="20"/>
  <c r="H133" i="20"/>
  <c r="AA133" i="20"/>
  <c r="Z133" i="20" s="1"/>
  <c r="Y133" i="20" s="1"/>
  <c r="G133" i="20"/>
  <c r="CB133" i="6" s="1"/>
  <c r="G320" i="20"/>
  <c r="CB320" i="6" s="1"/>
  <c r="AA320" i="20"/>
  <c r="Z320" i="20" s="1"/>
  <c r="Y320" i="20" s="1"/>
  <c r="AA298" i="20"/>
  <c r="Z298" i="20" s="1"/>
  <c r="Y298" i="20" s="1"/>
  <c r="G298" i="20"/>
  <c r="CB298" i="6" s="1"/>
  <c r="H356" i="20"/>
  <c r="AA356" i="20"/>
  <c r="Z356" i="20" s="1"/>
  <c r="Y356" i="20" s="1"/>
  <c r="G356" i="20"/>
  <c r="CB356" i="6" s="1"/>
  <c r="AA294" i="20"/>
  <c r="Z294" i="20" s="1"/>
  <c r="Y294" i="20" s="1"/>
  <c r="G294" i="20"/>
  <c r="CB294" i="6" s="1"/>
  <c r="H221" i="20"/>
  <c r="AA221" i="20"/>
  <c r="Z221" i="20" s="1"/>
  <c r="Y221" i="20" s="1"/>
  <c r="G221" i="20"/>
  <c r="CB221" i="6" s="1"/>
  <c r="AA62" i="20"/>
  <c r="Z62" i="20" s="1"/>
  <c r="Y62" i="20" s="1"/>
  <c r="G62" i="20"/>
  <c r="CB62" i="6" s="1"/>
  <c r="G103" i="20"/>
  <c r="CB103" i="6" s="1"/>
  <c r="AA103" i="20"/>
  <c r="Z103" i="20" s="1"/>
  <c r="Y103" i="20" s="1"/>
  <c r="H103" i="20"/>
  <c r="G204" i="20"/>
  <c r="CB204" i="6" s="1"/>
  <c r="AA204" i="20"/>
  <c r="Z204" i="20" s="1"/>
  <c r="Y204" i="20" s="1"/>
  <c r="AA130" i="20"/>
  <c r="Z130" i="20" s="1"/>
  <c r="Y130" i="20" s="1"/>
  <c r="H130" i="20"/>
  <c r="G130" i="20"/>
  <c r="CB130" i="6" s="1"/>
  <c r="G251" i="20"/>
  <c r="CB251" i="6" s="1"/>
  <c r="AA251" i="20"/>
  <c r="Z251" i="20" s="1"/>
  <c r="Y251" i="20" s="1"/>
  <c r="H251" i="20"/>
  <c r="AA365" i="20"/>
  <c r="Z365" i="20" s="1"/>
  <c r="Y365" i="20" s="1"/>
  <c r="H365" i="20"/>
  <c r="G365" i="20"/>
  <c r="CB365" i="6" s="1"/>
  <c r="AA353" i="20"/>
  <c r="Z353" i="20" s="1"/>
  <c r="Y353" i="20" s="1"/>
  <c r="G353" i="20"/>
  <c r="CB353" i="6" s="1"/>
  <c r="AA233" i="20"/>
  <c r="Z233" i="20" s="1"/>
  <c r="Y233" i="20" s="1"/>
  <c r="G233" i="20"/>
  <c r="CB233" i="6" s="1"/>
  <c r="H233" i="20"/>
  <c r="AA255" i="20"/>
  <c r="Z255" i="20" s="1"/>
  <c r="Y255" i="20" s="1"/>
  <c r="G255" i="20"/>
  <c r="CB255" i="6" s="1"/>
  <c r="AA266" i="20"/>
  <c r="Z266" i="20" s="1"/>
  <c r="Y266" i="20" s="1"/>
  <c r="H266" i="20"/>
  <c r="G266" i="20"/>
  <c r="CB266" i="6" s="1"/>
  <c r="H244" i="20"/>
  <c r="AA244" i="20"/>
  <c r="Z244" i="20" s="1"/>
  <c r="Y244" i="20" s="1"/>
  <c r="G244" i="20"/>
  <c r="CB244" i="6" s="1"/>
  <c r="AA207" i="20"/>
  <c r="Z207" i="20" s="1"/>
  <c r="Y207" i="20" s="1"/>
  <c r="G207" i="20"/>
  <c r="CB207" i="6" s="1"/>
  <c r="H207" i="20"/>
  <c r="H114" i="20"/>
  <c r="AA114" i="20"/>
  <c r="Z114" i="20" s="1"/>
  <c r="Y114" i="20" s="1"/>
  <c r="G114" i="20"/>
  <c r="CB114" i="6" s="1"/>
  <c r="H340" i="20"/>
  <c r="G340" i="20"/>
  <c r="CB340" i="6" s="1"/>
  <c r="AA340" i="20"/>
  <c r="Z340" i="20" s="1"/>
  <c r="Y340" i="20" s="1"/>
  <c r="H158" i="20"/>
  <c r="G158" i="20"/>
  <c r="CB158" i="6" s="1"/>
  <c r="AA158" i="20"/>
  <c r="Z158" i="20" s="1"/>
  <c r="Y158" i="20" s="1"/>
  <c r="G182" i="20"/>
  <c r="CB182" i="6" s="1"/>
  <c r="AA182" i="20"/>
  <c r="Z182" i="20" s="1"/>
  <c r="Y182" i="20" s="1"/>
  <c r="H182" i="20"/>
  <c r="G104" i="20"/>
  <c r="CB104" i="6" s="1"/>
  <c r="AA104" i="20"/>
  <c r="Z104" i="20" s="1"/>
  <c r="Y104" i="20" s="1"/>
  <c r="H104" i="20"/>
  <c r="G370" i="20"/>
  <c r="CB370" i="6" s="1"/>
  <c r="AA370" i="20"/>
  <c r="Z370" i="20" s="1"/>
  <c r="Y370" i="20" s="1"/>
  <c r="H370" i="20"/>
  <c r="H122" i="20"/>
  <c r="G122" i="20"/>
  <c r="CB122" i="6" s="1"/>
  <c r="AA122" i="20"/>
  <c r="Z122" i="20" s="1"/>
  <c r="Y122" i="20" s="1"/>
  <c r="AA156" i="20"/>
  <c r="Z156" i="20" s="1"/>
  <c r="Y156" i="20" s="1"/>
  <c r="G156" i="20"/>
  <c r="CB156" i="6" s="1"/>
  <c r="AA40" i="20"/>
  <c r="Z40" i="20" s="1"/>
  <c r="Y40" i="20" s="1"/>
  <c r="G40" i="20"/>
  <c r="CB40" i="6" s="1"/>
  <c r="H369" i="20"/>
  <c r="AA369" i="20"/>
  <c r="Z369" i="20" s="1"/>
  <c r="Y369" i="20" s="1"/>
  <c r="G369" i="20"/>
  <c r="CB369" i="6" s="1"/>
  <c r="AA203" i="20"/>
  <c r="Z203" i="20" s="1"/>
  <c r="Y203" i="20" s="1"/>
  <c r="G203" i="20"/>
  <c r="CB203" i="6" s="1"/>
  <c r="G321" i="20"/>
  <c r="CB321" i="6" s="1"/>
  <c r="AA321" i="20"/>
  <c r="Z321" i="20" s="1"/>
  <c r="Y321" i="20" s="1"/>
  <c r="H321" i="20"/>
  <c r="H179" i="20"/>
  <c r="G179" i="20"/>
  <c r="CB179" i="6" s="1"/>
  <c r="AA179" i="20"/>
  <c r="Z179" i="20" s="1"/>
  <c r="Y179" i="20" s="1"/>
  <c r="G324" i="20"/>
  <c r="CB324" i="6" s="1"/>
  <c r="H324" i="20"/>
  <c r="AA324" i="20"/>
  <c r="Z324" i="20" s="1"/>
  <c r="Y324" i="20" s="1"/>
  <c r="AA331" i="20"/>
  <c r="Z331" i="20" s="1"/>
  <c r="Y331" i="20" s="1"/>
  <c r="G331" i="20"/>
  <c r="CB331" i="6" s="1"/>
  <c r="H331" i="20"/>
  <c r="AA348" i="20"/>
  <c r="Z348" i="20" s="1"/>
  <c r="Y348" i="20" s="1"/>
  <c r="G348" i="20"/>
  <c r="CB348" i="6" s="1"/>
  <c r="H348" i="20"/>
  <c r="AA372" i="20"/>
  <c r="Z372" i="20" s="1"/>
  <c r="Y372" i="20" s="1"/>
  <c r="G372" i="20"/>
  <c r="CB372" i="6" s="1"/>
  <c r="H372" i="20"/>
  <c r="AA209" i="20"/>
  <c r="Z209" i="20" s="1"/>
  <c r="Y209" i="20" s="1"/>
  <c r="H209" i="20"/>
  <c r="G209" i="20"/>
  <c r="CB209" i="6" s="1"/>
  <c r="AA198" i="20"/>
  <c r="Z198" i="20" s="1"/>
  <c r="Y198" i="20" s="1"/>
  <c r="H198" i="20"/>
  <c r="G198" i="20"/>
  <c r="CB198" i="6" s="1"/>
  <c r="AA236" i="20"/>
  <c r="Z236" i="20" s="1"/>
  <c r="Y236" i="20" s="1"/>
  <c r="G236" i="20"/>
  <c r="CB236" i="6" s="1"/>
  <c r="AA283" i="20"/>
  <c r="Z283" i="20" s="1"/>
  <c r="Y283" i="20" s="1"/>
  <c r="G283" i="20"/>
  <c r="CB283" i="6" s="1"/>
  <c r="G54" i="20"/>
  <c r="CB54" i="6" s="1"/>
  <c r="H54" i="20"/>
  <c r="AA54" i="20"/>
  <c r="Z54" i="20" s="1"/>
  <c r="Y54" i="20" s="1"/>
  <c r="AA314" i="20"/>
  <c r="Z314" i="20" s="1"/>
  <c r="Y314" i="20" s="1"/>
  <c r="G314" i="20"/>
  <c r="CB314" i="6" s="1"/>
  <c r="H349" i="20"/>
  <c r="G349" i="20"/>
  <c r="CB349" i="6" s="1"/>
  <c r="AA349" i="20"/>
  <c r="Z349" i="20" s="1"/>
  <c r="Y349" i="20" s="1"/>
  <c r="I51" i="20"/>
  <c r="B51" i="6" s="1"/>
  <c r="BA51" i="6" s="1"/>
  <c r="D51" i="6" s="1"/>
  <c r="W48" i="22"/>
  <c r="W309" i="22"/>
  <c r="D305" i="22"/>
  <c r="E305" i="22" s="1"/>
  <c r="F305" i="22" s="1"/>
  <c r="G305" i="22" s="1"/>
  <c r="CC305" i="6" s="1"/>
  <c r="D351" i="22"/>
  <c r="E351" i="22" s="1"/>
  <c r="F351" i="22" s="1"/>
  <c r="G351" i="22" s="1"/>
  <c r="CC351" i="6" s="1"/>
  <c r="D155" i="22"/>
  <c r="E155" i="22" s="1"/>
  <c r="F155" i="22" s="1"/>
  <c r="AA155" i="22" s="1"/>
  <c r="Z155" i="22" s="1"/>
  <c r="Y155" i="22" s="1"/>
  <c r="W281" i="22"/>
  <c r="W182" i="22"/>
  <c r="W343" i="22"/>
  <c r="D104" i="22"/>
  <c r="E104" i="22" s="1"/>
  <c r="F104" i="22" s="1"/>
  <c r="G104" i="22" s="1"/>
  <c r="CC104" i="6" s="1"/>
  <c r="W271" i="22"/>
  <c r="W331" i="22"/>
  <c r="J300" i="20"/>
  <c r="C300" i="6" s="1"/>
  <c r="W39" i="22"/>
  <c r="D79" i="22"/>
  <c r="E79" i="22" s="1"/>
  <c r="F79" i="22" s="1"/>
  <c r="AA79" i="22" s="1"/>
  <c r="Z79" i="22" s="1"/>
  <c r="Y79" i="22" s="1"/>
  <c r="D183" i="6"/>
  <c r="D309" i="6"/>
  <c r="I239" i="20"/>
  <c r="B239" i="6" s="1"/>
  <c r="BA239" i="6" s="1"/>
  <c r="D239" i="6" s="1"/>
  <c r="I229" i="20"/>
  <c r="B229" i="6" s="1"/>
  <c r="BA229" i="6" s="1"/>
  <c r="D229" i="6" s="1"/>
  <c r="I318" i="20"/>
  <c r="B318" i="6" s="1"/>
  <c r="BA318" i="6" s="1"/>
  <c r="D318" i="6" s="1"/>
  <c r="D325" i="22"/>
  <c r="E325" i="22" s="1"/>
  <c r="F325" i="22" s="1"/>
  <c r="H325" i="22" s="1"/>
  <c r="W303" i="22"/>
  <c r="W91" i="22"/>
  <c r="W27" i="22"/>
  <c r="D218" i="22"/>
  <c r="E218" i="22" s="1"/>
  <c r="F218" i="22" s="1"/>
  <c r="G218" i="22" s="1"/>
  <c r="CC218" i="6" s="1"/>
  <c r="W243" i="22"/>
  <c r="W30" i="22"/>
  <c r="D71" i="22"/>
  <c r="E71" i="22" s="1"/>
  <c r="F71" i="22" s="1"/>
  <c r="W206" i="22"/>
  <c r="D335" i="22"/>
  <c r="E335" i="22" s="1"/>
  <c r="F335" i="22" s="1"/>
  <c r="AA335" i="22" s="1"/>
  <c r="Z335" i="22" s="1"/>
  <c r="Y335" i="22" s="1"/>
  <c r="W324" i="22"/>
  <c r="W22" i="22"/>
  <c r="W307" i="22"/>
  <c r="W313" i="22"/>
  <c r="W318" i="22"/>
  <c r="W112" i="22"/>
  <c r="W256" i="22"/>
  <c r="D108" i="22"/>
  <c r="E108" i="22" s="1"/>
  <c r="F108" i="22" s="1"/>
  <c r="AA108" i="22" s="1"/>
  <c r="Z108" i="22" s="1"/>
  <c r="Y108" i="22" s="1"/>
  <c r="D151" i="22"/>
  <c r="E151" i="22" s="1"/>
  <c r="F151" i="22" s="1"/>
  <c r="AA151" i="22" s="1"/>
  <c r="Z151" i="22" s="1"/>
  <c r="Y151" i="22" s="1"/>
  <c r="W153" i="22"/>
  <c r="W306" i="22"/>
  <c r="D202" i="22"/>
  <c r="E202" i="22" s="1"/>
  <c r="F202" i="22" s="1"/>
  <c r="G202" i="22" s="1"/>
  <c r="CC202" i="6" s="1"/>
  <c r="D278" i="22"/>
  <c r="E278" i="22" s="1"/>
  <c r="F278" i="22" s="1"/>
  <c r="AA278" i="22" s="1"/>
  <c r="Z278" i="22" s="1"/>
  <c r="Y278" i="22" s="1"/>
  <c r="W275" i="22"/>
  <c r="W298" i="22"/>
  <c r="W82" i="22"/>
  <c r="W273" i="22"/>
  <c r="D174" i="22"/>
  <c r="E174" i="22" s="1"/>
  <c r="F174" i="22" s="1"/>
  <c r="G174" i="22" s="1"/>
  <c r="CC174" i="6" s="1"/>
  <c r="D116" i="22"/>
  <c r="E116" i="22" s="1"/>
  <c r="F116" i="22" s="1"/>
  <c r="G116" i="22" s="1"/>
  <c r="CC116" i="6" s="1"/>
  <c r="D341" i="22"/>
  <c r="E341" i="22" s="1"/>
  <c r="F341" i="22" s="1"/>
  <c r="AA341" i="22" s="1"/>
  <c r="Z341" i="22" s="1"/>
  <c r="Y341" i="22" s="1"/>
  <c r="W348" i="22"/>
  <c r="D47" i="22"/>
  <c r="E47" i="22" s="1"/>
  <c r="F47" i="22" s="1"/>
  <c r="AA47" i="22" s="1"/>
  <c r="Z47" i="22" s="1"/>
  <c r="Y47" i="22" s="1"/>
  <c r="W220" i="22"/>
  <c r="W70" i="22"/>
  <c r="D23" i="22"/>
  <c r="E23" i="22" s="1"/>
  <c r="F23" i="22" s="1"/>
  <c r="AA23" i="22" s="1"/>
  <c r="Z23" i="22" s="1"/>
  <c r="Y23" i="22" s="1"/>
  <c r="D204" i="22"/>
  <c r="E204" i="22" s="1"/>
  <c r="F204" i="22" s="1"/>
  <c r="AA204" i="22" s="1"/>
  <c r="Z204" i="22" s="1"/>
  <c r="Y204" i="22" s="1"/>
  <c r="D137" i="22"/>
  <c r="E137" i="22" s="1"/>
  <c r="F137" i="22" s="1"/>
  <c r="G137" i="22" s="1"/>
  <c r="CC137" i="6" s="1"/>
  <c r="W133" i="22"/>
  <c r="W195" i="22"/>
  <c r="W69" i="22"/>
  <c r="W356" i="22"/>
  <c r="W199" i="22"/>
  <c r="W127" i="22"/>
  <c r="Q72" i="23"/>
  <c r="Q48" i="23"/>
  <c r="Q49" i="23"/>
  <c r="Q55" i="23"/>
  <c r="Q102" i="23"/>
  <c r="Q20" i="23"/>
  <c r="Q77" i="23"/>
  <c r="Q44" i="23"/>
  <c r="Q73" i="23"/>
  <c r="Q67" i="23"/>
  <c r="Q93" i="23"/>
  <c r="Q101" i="23"/>
  <c r="Q54" i="23"/>
  <c r="Q47" i="23"/>
  <c r="Q57" i="23"/>
  <c r="Q85" i="23"/>
  <c r="Q100" i="23"/>
  <c r="Q82" i="23"/>
  <c r="Q50" i="23"/>
  <c r="Q17" i="23"/>
  <c r="Q36" i="23"/>
  <c r="Q62" i="23"/>
  <c r="Q90" i="23"/>
  <c r="Q53" i="23"/>
  <c r="Q25" i="23"/>
  <c r="Q78" i="23"/>
  <c r="Q38" i="23"/>
  <c r="Q46" i="23"/>
  <c r="Q26" i="23"/>
  <c r="Q88" i="23"/>
  <c r="Q16" i="23"/>
  <c r="Q92" i="23"/>
  <c r="Q37" i="23"/>
  <c r="Q69" i="23"/>
  <c r="Q58" i="23"/>
  <c r="Q66" i="23"/>
  <c r="Q42" i="23"/>
  <c r="Q95" i="23"/>
  <c r="Q98" i="23"/>
  <c r="Q63" i="23"/>
  <c r="Q86" i="23"/>
  <c r="Q40" i="23"/>
  <c r="Q33" i="23"/>
  <c r="Q74" i="23"/>
  <c r="Q23" i="23"/>
  <c r="W355" i="22"/>
  <c r="D297" i="22"/>
  <c r="E297" i="22" s="1"/>
  <c r="F297" i="22" s="1"/>
  <c r="G297" i="22" s="1"/>
  <c r="CC297" i="6" s="1"/>
  <c r="D24" i="22"/>
  <c r="E24" i="22" s="1"/>
  <c r="F24" i="22" s="1"/>
  <c r="G24" i="22" s="1"/>
  <c r="CC24" i="6" s="1"/>
  <c r="I283" i="20"/>
  <c r="B283" i="6" s="1"/>
  <c r="BA283" i="6" s="1"/>
  <c r="D283" i="6" s="1"/>
  <c r="D321" i="22"/>
  <c r="E321" i="22" s="1"/>
  <c r="F321" i="22" s="1"/>
  <c r="G321" i="22" s="1"/>
  <c r="CC321" i="6" s="1"/>
  <c r="W231" i="22"/>
  <c r="W176" i="22"/>
  <c r="D301" i="22"/>
  <c r="E301" i="22" s="1"/>
  <c r="F301" i="22" s="1"/>
  <c r="G301" i="22" s="1"/>
  <c r="CC301" i="6" s="1"/>
  <c r="D181" i="22"/>
  <c r="E181" i="22" s="1"/>
  <c r="F181" i="22" s="1"/>
  <c r="G181" i="22" s="1"/>
  <c r="CC181" i="6" s="1"/>
  <c r="D160" i="22"/>
  <c r="E160" i="22" s="1"/>
  <c r="F160" i="22" s="1"/>
  <c r="AA160" i="22" s="1"/>
  <c r="Z160" i="22" s="1"/>
  <c r="Y160" i="22" s="1"/>
  <c r="D247" i="22"/>
  <c r="E247" i="22" s="1"/>
  <c r="F247" i="22" s="1"/>
  <c r="G247" i="22" s="1"/>
  <c r="CC247" i="6" s="1"/>
  <c r="D110" i="22"/>
  <c r="E110" i="22" s="1"/>
  <c r="F110" i="22" s="1"/>
  <c r="G110" i="22" s="1"/>
  <c r="CC110" i="6" s="1"/>
  <c r="D193" i="22"/>
  <c r="E193" i="22" s="1"/>
  <c r="F193" i="22" s="1"/>
  <c r="D20" i="22"/>
  <c r="E20" i="22" s="1"/>
  <c r="F20" i="22" s="1"/>
  <c r="G20" i="22" s="1"/>
  <c r="CC20" i="6" s="1"/>
  <c r="W53" i="22"/>
  <c r="W233" i="22"/>
  <c r="W61" i="22"/>
  <c r="W190" i="22"/>
  <c r="W214" i="22"/>
  <c r="W32" i="22"/>
  <c r="W360" i="22"/>
  <c r="D26" i="22"/>
  <c r="E26" i="22" s="1"/>
  <c r="F26" i="22" s="1"/>
  <c r="G26" i="22" s="1"/>
  <c r="CC26" i="6" s="1"/>
  <c r="W115" i="22"/>
  <c r="D336" i="22"/>
  <c r="E336" i="22" s="1"/>
  <c r="F336" i="22" s="1"/>
  <c r="G336" i="22" s="1"/>
  <c r="CC336" i="6" s="1"/>
  <c r="D192" i="22"/>
  <c r="E192" i="22" s="1"/>
  <c r="F192" i="22" s="1"/>
  <c r="G192" i="22" s="1"/>
  <c r="CC192" i="6" s="1"/>
  <c r="D139" i="22"/>
  <c r="E139" i="22" s="1"/>
  <c r="F139" i="22" s="1"/>
  <c r="G139" i="22" s="1"/>
  <c r="CC139" i="6" s="1"/>
  <c r="W349" i="22"/>
  <c r="D294" i="22"/>
  <c r="E294" i="22" s="1"/>
  <c r="F294" i="22" s="1"/>
  <c r="G294" i="22" s="1"/>
  <c r="CC294" i="6" s="1"/>
  <c r="W208" i="22"/>
  <c r="D169" i="22"/>
  <c r="E169" i="22" s="1"/>
  <c r="F169" i="22" s="1"/>
  <c r="AA169" i="22" s="1"/>
  <c r="Z169" i="22" s="1"/>
  <c r="Y169" i="22" s="1"/>
  <c r="D296" i="22"/>
  <c r="E296" i="22" s="1"/>
  <c r="F296" i="22" s="1"/>
  <c r="G296" i="22" s="1"/>
  <c r="CC296" i="6" s="1"/>
  <c r="D168" i="22"/>
  <c r="E168" i="22" s="1"/>
  <c r="F168" i="22" s="1"/>
  <c r="G168" i="22" s="1"/>
  <c r="CC168" i="6" s="1"/>
  <c r="D365" i="22"/>
  <c r="E365" i="22" s="1"/>
  <c r="F365" i="22" s="1"/>
  <c r="W310" i="22"/>
  <c r="W73" i="22"/>
  <c r="W94" i="22"/>
  <c r="D283" i="22"/>
  <c r="E283" i="22" s="1"/>
  <c r="F283" i="22" s="1"/>
  <c r="AA283" i="22" s="1"/>
  <c r="Z283" i="22" s="1"/>
  <c r="Y283" i="22" s="1"/>
  <c r="W34" i="22"/>
  <c r="D33" i="22"/>
  <c r="E33" i="22" s="1"/>
  <c r="F33" i="22" s="1"/>
  <c r="H33" i="22" s="1"/>
  <c r="W31" i="22"/>
  <c r="W123" i="22"/>
  <c r="D282" i="22"/>
  <c r="E282" i="22" s="1"/>
  <c r="F282" i="22" s="1"/>
  <c r="AA282" i="22" s="1"/>
  <c r="Z282" i="22" s="1"/>
  <c r="Y282" i="22" s="1"/>
  <c r="W93" i="22"/>
  <c r="W376" i="22"/>
  <c r="D17" i="22"/>
  <c r="E17" i="22" s="1"/>
  <c r="F17" i="22" s="1"/>
  <c r="G17" i="22" s="1"/>
  <c r="CC17" i="6" s="1"/>
  <c r="D374" i="22"/>
  <c r="E374" i="22" s="1"/>
  <c r="F374" i="22" s="1"/>
  <c r="AA374" i="22" s="1"/>
  <c r="Z374" i="22" s="1"/>
  <c r="Y374" i="22" s="1"/>
  <c r="W300" i="22"/>
  <c r="D16" i="22"/>
  <c r="E16" i="22" s="1"/>
  <c r="F16" i="22" s="1"/>
  <c r="H16" i="22" s="1"/>
  <c r="W230" i="22"/>
  <c r="D125" i="22"/>
  <c r="E125" i="22" s="1"/>
  <c r="F125" i="22" s="1"/>
  <c r="AA125" i="22" s="1"/>
  <c r="Z125" i="22" s="1"/>
  <c r="Y125" i="22" s="1"/>
  <c r="D183" i="22"/>
  <c r="E183" i="22" s="1"/>
  <c r="F183" i="22" s="1"/>
  <c r="AA183" i="22" s="1"/>
  <c r="Z183" i="22" s="1"/>
  <c r="Y183" i="22" s="1"/>
  <c r="D118" i="22"/>
  <c r="E118" i="22" s="1"/>
  <c r="F118" i="22" s="1"/>
  <c r="G118" i="22" s="1"/>
  <c r="CC118" i="6" s="1"/>
  <c r="W124" i="22"/>
  <c r="W149" i="22"/>
  <c r="J248" i="20"/>
  <c r="C248" i="6" s="1"/>
  <c r="W299" i="22"/>
  <c r="W99" i="22"/>
  <c r="D57" i="22"/>
  <c r="E57" i="22" s="1"/>
  <c r="F57" i="22" s="1"/>
  <c r="H57" i="22" s="1"/>
  <c r="D83" i="22"/>
  <c r="E83" i="22" s="1"/>
  <c r="F83" i="22" s="1"/>
  <c r="G83" i="22" s="1"/>
  <c r="CC83" i="6" s="1"/>
  <c r="W280" i="22"/>
  <c r="D330" i="22"/>
  <c r="E330" i="22" s="1"/>
  <c r="F330" i="22" s="1"/>
  <c r="G330" i="22" s="1"/>
  <c r="CC330" i="6" s="1"/>
  <c r="W212" i="22"/>
  <c r="W122" i="22"/>
  <c r="D100" i="22"/>
  <c r="E100" i="22" s="1"/>
  <c r="F100" i="22" s="1"/>
  <c r="G100" i="22" s="1"/>
  <c r="CC100" i="6" s="1"/>
  <c r="D55" i="22"/>
  <c r="E55" i="22" s="1"/>
  <c r="F55" i="22" s="1"/>
  <c r="G55" i="22" s="1"/>
  <c r="CC55" i="6" s="1"/>
  <c r="D96" i="22"/>
  <c r="E96" i="22" s="1"/>
  <c r="F96" i="22" s="1"/>
  <c r="G96" i="22" s="1"/>
  <c r="CC96" i="6" s="1"/>
  <c r="W68" i="22"/>
  <c r="W265" i="22"/>
  <c r="J323" i="20"/>
  <c r="C323" i="6" s="1"/>
  <c r="U382" i="22"/>
  <c r="U383" i="22"/>
  <c r="J289" i="20"/>
  <c r="C289" i="6" s="1"/>
  <c r="J16" i="20"/>
  <c r="C16" i="6" s="1"/>
  <c r="D239" i="22"/>
  <c r="E239" i="22" s="1"/>
  <c r="F239" i="22" s="1"/>
  <c r="G239" i="22" s="1"/>
  <c r="CC239" i="6" s="1"/>
  <c r="D320" i="22"/>
  <c r="E320" i="22" s="1"/>
  <c r="F320" i="22" s="1"/>
  <c r="G320" i="22" s="1"/>
  <c r="CC320" i="6" s="1"/>
  <c r="I211" i="20"/>
  <c r="D89" i="22"/>
  <c r="E89" i="22" s="1"/>
  <c r="F89" i="22" s="1"/>
  <c r="AA89" i="22" s="1"/>
  <c r="Z89" i="22" s="1"/>
  <c r="Y89" i="22" s="1"/>
  <c r="W92" i="22"/>
  <c r="D209" i="22"/>
  <c r="E209" i="22" s="1"/>
  <c r="F209" i="22" s="1"/>
  <c r="AA209" i="22" s="1"/>
  <c r="Z209" i="22" s="1"/>
  <c r="Y209" i="22" s="1"/>
  <c r="W86" i="22"/>
  <c r="D102" i="22"/>
  <c r="E102" i="22" s="1"/>
  <c r="F102" i="22" s="1"/>
  <c r="AA102" i="22" s="1"/>
  <c r="Z102" i="22" s="1"/>
  <c r="Y102" i="22" s="1"/>
  <c r="W270" i="22"/>
  <c r="D172" i="22"/>
  <c r="E172" i="22" s="1"/>
  <c r="F172" i="22" s="1"/>
  <c r="H172" i="22" s="1"/>
  <c r="D263" i="22"/>
  <c r="E263" i="22" s="1"/>
  <c r="F263" i="22" s="1"/>
  <c r="G263" i="22" s="1"/>
  <c r="CC263" i="6" s="1"/>
  <c r="W46" i="22"/>
  <c r="D268" i="22"/>
  <c r="E268" i="22" s="1"/>
  <c r="F268" i="22" s="1"/>
  <c r="G268" i="22" s="1"/>
  <c r="CC268" i="6" s="1"/>
  <c r="W242" i="22"/>
  <c r="W59" i="22"/>
  <c r="W167" i="22"/>
  <c r="D113" i="22"/>
  <c r="E113" i="22" s="1"/>
  <c r="F113" i="22" s="1"/>
  <c r="D200" i="22"/>
  <c r="E200" i="22" s="1"/>
  <c r="F200" i="22" s="1"/>
  <c r="G200" i="22" s="1"/>
  <c r="CC200" i="6" s="1"/>
  <c r="D173" i="22"/>
  <c r="E173" i="22" s="1"/>
  <c r="F173" i="22" s="1"/>
  <c r="AA173" i="22" s="1"/>
  <c r="Z173" i="22" s="1"/>
  <c r="Y173" i="22" s="1"/>
  <c r="D132" i="22"/>
  <c r="E132" i="22" s="1"/>
  <c r="F132" i="22" s="1"/>
  <c r="G132" i="22" s="1"/>
  <c r="CC132" i="6" s="1"/>
  <c r="D228" i="22"/>
  <c r="E228" i="22" s="1"/>
  <c r="F228" i="22" s="1"/>
  <c r="W367" i="22"/>
  <c r="W223" i="22"/>
  <c r="D252" i="22"/>
  <c r="E252" i="22" s="1"/>
  <c r="F252" i="22" s="1"/>
  <c r="G252" i="22" s="1"/>
  <c r="CC252" i="6" s="1"/>
  <c r="W158" i="22"/>
  <c r="W295" i="22"/>
  <c r="D189" i="22"/>
  <c r="E189" i="22" s="1"/>
  <c r="F189" i="22" s="1"/>
  <c r="G189" i="22" s="1"/>
  <c r="CC189" i="6" s="1"/>
  <c r="W189" i="22"/>
  <c r="J21" i="20"/>
  <c r="C21" i="6" s="1"/>
  <c r="D293" i="22"/>
  <c r="E293" i="22" s="1"/>
  <c r="F293" i="22" s="1"/>
  <c r="G293" i="22" s="1"/>
  <c r="CC293" i="6" s="1"/>
  <c r="W261" i="22"/>
  <c r="W211" i="22"/>
  <c r="D54" i="22"/>
  <c r="E54" i="22" s="1"/>
  <c r="F54" i="22" s="1"/>
  <c r="D246" i="22"/>
  <c r="E246" i="22" s="1"/>
  <c r="F246" i="22" s="1"/>
  <c r="G246" i="22" s="1"/>
  <c r="CC246" i="6" s="1"/>
  <c r="D81" i="22"/>
  <c r="E81" i="22" s="1"/>
  <c r="F81" i="22" s="1"/>
  <c r="G81" i="22" s="1"/>
  <c r="CC81" i="6" s="1"/>
  <c r="J26" i="20"/>
  <c r="C26" i="6" s="1"/>
  <c r="I260" i="20"/>
  <c r="B260" i="6" s="1"/>
  <c r="BA260" i="6" s="1"/>
  <c r="D260" i="6" s="1"/>
  <c r="W64" i="22"/>
  <c r="W287" i="22"/>
  <c r="W253" i="22"/>
  <c r="D236" i="22"/>
  <c r="E236" i="22" s="1"/>
  <c r="F236" i="22" s="1"/>
  <c r="H236" i="22" s="1"/>
  <c r="W215" i="22"/>
  <c r="W328" i="22"/>
  <c r="D175" i="22"/>
  <c r="E175" i="22" s="1"/>
  <c r="F175" i="22" s="1"/>
  <c r="G175" i="22" s="1"/>
  <c r="CC175" i="6" s="1"/>
  <c r="D213" i="22"/>
  <c r="E213" i="22" s="1"/>
  <c r="F213" i="22" s="1"/>
  <c r="H213" i="22" s="1"/>
  <c r="W107" i="22"/>
  <c r="D164" i="22"/>
  <c r="E164" i="22" s="1"/>
  <c r="F164" i="22" s="1"/>
  <c r="G164" i="22" s="1"/>
  <c r="CC164" i="6" s="1"/>
  <c r="D240" i="22"/>
  <c r="E240" i="22" s="1"/>
  <c r="F240" i="22" s="1"/>
  <c r="AA240" i="22" s="1"/>
  <c r="Z240" i="22" s="1"/>
  <c r="Y240" i="22" s="1"/>
  <c r="W98" i="22"/>
  <c r="W18" i="22"/>
  <c r="W353" i="22"/>
  <c r="D161" i="22"/>
  <c r="E161" i="22" s="1"/>
  <c r="F161" i="22" s="1"/>
  <c r="H161" i="22" s="1"/>
  <c r="W203" i="22"/>
  <c r="W111" i="22"/>
  <c r="W41" i="22"/>
  <c r="D201" i="22"/>
  <c r="E201" i="22" s="1"/>
  <c r="F201" i="22" s="1"/>
  <c r="AA201" i="22" s="1"/>
  <c r="Z201" i="22" s="1"/>
  <c r="Y201" i="22" s="1"/>
  <c r="W85" i="22"/>
  <c r="W279" i="22"/>
  <c r="W337" i="22"/>
  <c r="D87" i="22"/>
  <c r="E87" i="22" s="1"/>
  <c r="F87" i="22" s="1"/>
  <c r="AA87" i="22" s="1"/>
  <c r="Z87" i="22" s="1"/>
  <c r="Y87" i="22" s="1"/>
  <c r="W317" i="22"/>
  <c r="D225" i="22"/>
  <c r="E225" i="22" s="1"/>
  <c r="F225" i="22" s="1"/>
  <c r="G225" i="22" s="1"/>
  <c r="CC225" i="6" s="1"/>
  <c r="W56" i="22"/>
  <c r="D255" i="22"/>
  <c r="E255" i="22" s="1"/>
  <c r="F255" i="22" s="1"/>
  <c r="AA255" i="22" s="1"/>
  <c r="Z255" i="22" s="1"/>
  <c r="Y255" i="22" s="1"/>
  <c r="W373" i="22"/>
  <c r="D316" i="22"/>
  <c r="E316" i="22" s="1"/>
  <c r="F316" i="22" s="1"/>
  <c r="G316" i="22" s="1"/>
  <c r="CC316" i="6" s="1"/>
  <c r="D157" i="22"/>
  <c r="E157" i="22" s="1"/>
  <c r="F157" i="22" s="1"/>
  <c r="G157" i="22" s="1"/>
  <c r="CC157" i="6" s="1"/>
  <c r="D347" i="22"/>
  <c r="E347" i="22" s="1"/>
  <c r="F347" i="22" s="1"/>
  <c r="G347" i="22" s="1"/>
  <c r="CC347" i="6" s="1"/>
  <c r="D131" i="22"/>
  <c r="E131" i="22" s="1"/>
  <c r="F131" i="22" s="1"/>
  <c r="G131" i="22" s="1"/>
  <c r="CC131" i="6" s="1"/>
  <c r="W140" i="22"/>
  <c r="W259" i="22"/>
  <c r="D327" i="22"/>
  <c r="E327" i="22" s="1"/>
  <c r="F327" i="22" s="1"/>
  <c r="AA327" i="22" s="1"/>
  <c r="Z327" i="22" s="1"/>
  <c r="Y327" i="22" s="1"/>
  <c r="J173" i="20"/>
  <c r="C173" i="6" s="1"/>
  <c r="J218" i="20"/>
  <c r="C218" i="6" s="1"/>
  <c r="J156" i="20"/>
  <c r="C156" i="6" s="1"/>
  <c r="I20" i="20"/>
  <c r="J344" i="20"/>
  <c r="C344" i="6" s="1"/>
  <c r="I203" i="20"/>
  <c r="J196" i="20"/>
  <c r="C196" i="6" s="1"/>
  <c r="I352" i="20"/>
  <c r="I346" i="20"/>
  <c r="J296" i="20"/>
  <c r="C296" i="6" s="1"/>
  <c r="I187" i="20"/>
  <c r="I151" i="20"/>
  <c r="J350" i="20"/>
  <c r="C350" i="6" s="1"/>
  <c r="I292" i="20"/>
  <c r="J224" i="20"/>
  <c r="C224" i="6" s="1"/>
  <c r="J204" i="20"/>
  <c r="C204" i="6" s="1"/>
  <c r="J84" i="20"/>
  <c r="C84" i="6" s="1"/>
  <c r="I249" i="20"/>
  <c r="I177" i="20"/>
  <c r="I91" i="20"/>
  <c r="I232" i="20"/>
  <c r="J216" i="20"/>
  <c r="C216" i="6" s="1"/>
  <c r="I157" i="20"/>
  <c r="B157" i="6" s="1"/>
  <c r="BA157" i="6" s="1"/>
  <c r="D157" i="6" s="1"/>
  <c r="J222" i="20"/>
  <c r="C222" i="6" s="1"/>
  <c r="I279" i="20"/>
  <c r="J81" i="20"/>
  <c r="C81" i="6" s="1"/>
  <c r="J205" i="20"/>
  <c r="C205" i="6" s="1"/>
  <c r="J271" i="20"/>
  <c r="C271" i="6" s="1"/>
  <c r="I255" i="20"/>
  <c r="B255" i="6" s="1"/>
  <c r="BA255" i="6" s="1"/>
  <c r="D255" i="6" s="1"/>
  <c r="J62" i="20"/>
  <c r="C62" i="6" s="1"/>
  <c r="I317" i="20"/>
  <c r="J325" i="20"/>
  <c r="C325" i="6" s="1"/>
  <c r="J247" i="20"/>
  <c r="C247" i="6" s="1"/>
  <c r="I125" i="20"/>
  <c r="J144" i="20"/>
  <c r="C144" i="6" s="1"/>
  <c r="I197" i="20"/>
  <c r="I19" i="20"/>
  <c r="J201" i="20"/>
  <c r="C201" i="6" s="1"/>
  <c r="I303" i="20"/>
  <c r="I281" i="20"/>
  <c r="J353" i="20"/>
  <c r="C353" i="6" s="1"/>
  <c r="J30" i="20"/>
  <c r="C30" i="6" s="1"/>
  <c r="I143" i="20"/>
  <c r="J262" i="20"/>
  <c r="C262" i="6" s="1"/>
  <c r="I220" i="20"/>
  <c r="I357" i="20"/>
  <c r="J208" i="20"/>
  <c r="C208" i="6" s="1"/>
  <c r="J101" i="20"/>
  <c r="C101" i="6" s="1"/>
  <c r="J37" i="20"/>
  <c r="C37" i="6" s="1"/>
  <c r="J358" i="20"/>
  <c r="C358" i="6" s="1"/>
  <c r="I102" i="20"/>
  <c r="B102" i="6" s="1"/>
  <c r="BA102" i="6" s="1"/>
  <c r="D102" i="6" s="1"/>
  <c r="J46" i="20"/>
  <c r="C46" i="6" s="1"/>
  <c r="J320" i="20"/>
  <c r="C320" i="6" s="1"/>
  <c r="J335" i="20"/>
  <c r="C335" i="6" s="1"/>
  <c r="I274" i="20"/>
  <c r="J185" i="20"/>
  <c r="C185" i="6" s="1"/>
  <c r="J237" i="20"/>
  <c r="C237" i="6" s="1"/>
  <c r="I328" i="20"/>
  <c r="I298" i="20"/>
  <c r="I286" i="20"/>
  <c r="I77" i="20"/>
  <c r="I230" i="20"/>
  <c r="J277" i="20"/>
  <c r="C277" i="6" s="1"/>
  <c r="I136" i="20"/>
  <c r="I28" i="20"/>
  <c r="J175" i="20"/>
  <c r="C175" i="6" s="1"/>
  <c r="I186" i="20"/>
  <c r="I256" i="20"/>
  <c r="J57" i="20"/>
  <c r="C57" i="6" s="1"/>
  <c r="J23" i="20"/>
  <c r="C23" i="6" s="1"/>
  <c r="I68" i="20"/>
  <c r="I100" i="20"/>
  <c r="J327" i="20"/>
  <c r="C327" i="6" s="1"/>
  <c r="J107" i="20"/>
  <c r="C107" i="6" s="1"/>
  <c r="J351" i="20"/>
  <c r="C351" i="6" s="1"/>
  <c r="J225" i="20"/>
  <c r="C225" i="6" s="1"/>
  <c r="J169" i="20"/>
  <c r="C169" i="6" s="1"/>
  <c r="J35" i="20"/>
  <c r="C35" i="6" s="1"/>
  <c r="J17" i="20"/>
  <c r="C17" i="6" s="1"/>
  <c r="J284" i="20"/>
  <c r="C284" i="6" s="1"/>
  <c r="J217" i="20"/>
  <c r="C217" i="6" s="1"/>
  <c r="I190" i="20"/>
  <c r="J214" i="20"/>
  <c r="C214" i="6" s="1"/>
  <c r="I291" i="20"/>
  <c r="I306" i="20"/>
  <c r="I282" i="20"/>
  <c r="J354" i="20"/>
  <c r="C354" i="6" s="1"/>
  <c r="J49" i="20"/>
  <c r="C49" i="6" s="1"/>
  <c r="J174" i="20"/>
  <c r="C174" i="6" s="1"/>
  <c r="I95" i="20"/>
  <c r="I189" i="20"/>
  <c r="B189" i="6" s="1"/>
  <c r="BA189" i="6" s="1"/>
  <c r="D189" i="6" s="1"/>
  <c r="I171" i="20"/>
  <c r="I257" i="20"/>
  <c r="J345" i="20"/>
  <c r="C345" i="6" s="1"/>
  <c r="J250" i="20"/>
  <c r="C250" i="6" s="1"/>
  <c r="J226" i="20"/>
  <c r="C226" i="6" s="1"/>
  <c r="J311" i="20"/>
  <c r="C311" i="6" s="1"/>
  <c r="J359" i="20"/>
  <c r="C359" i="6" s="1"/>
  <c r="J34" i="20"/>
  <c r="C34" i="6" s="1"/>
  <c r="I82" i="20"/>
  <c r="I165" i="20"/>
  <c r="J261" i="20"/>
  <c r="C261" i="6" s="1"/>
  <c r="I108" i="20"/>
  <c r="I110" i="20"/>
  <c r="I270" i="20"/>
  <c r="J115" i="20"/>
  <c r="C115" i="6" s="1"/>
  <c r="J94" i="20"/>
  <c r="C94" i="6" s="1"/>
  <c r="I246" i="20"/>
  <c r="B246" i="6" s="1"/>
  <c r="BA246" i="6" s="1"/>
  <c r="D246" i="6" s="1"/>
  <c r="I337" i="20"/>
  <c r="I132" i="20"/>
  <c r="B132" i="6" s="1"/>
  <c r="BA132" i="6" s="1"/>
  <c r="D132" i="6" s="1"/>
  <c r="J202" i="20"/>
  <c r="C202" i="6" s="1"/>
  <c r="AA302" i="20"/>
  <c r="Z302" i="20" s="1"/>
  <c r="Y302" i="20" s="1"/>
  <c r="J41" i="20"/>
  <c r="C41" i="6" s="1"/>
  <c r="I42" i="20"/>
  <c r="J236" i="20"/>
  <c r="C236" i="6" s="1"/>
  <c r="J322" i="20"/>
  <c r="C322" i="6" s="1"/>
  <c r="J347" i="20"/>
  <c r="C347" i="6" s="1"/>
  <c r="J188" i="20"/>
  <c r="C188" i="6" s="1"/>
  <c r="J76" i="20"/>
  <c r="C76" i="6" s="1"/>
  <c r="I126" i="20"/>
  <c r="I252" i="20"/>
  <c r="B252" i="6" s="1"/>
  <c r="BA252" i="6" s="1"/>
  <c r="D252" i="6" s="1"/>
  <c r="J148" i="20"/>
  <c r="C148" i="6" s="1"/>
  <c r="J93" i="20"/>
  <c r="C93" i="6" s="1"/>
  <c r="J65" i="20"/>
  <c r="C65" i="6" s="1"/>
  <c r="J141" i="20"/>
  <c r="C141" i="6" s="1"/>
  <c r="I343" i="20"/>
  <c r="I314" i="20"/>
  <c r="I18" i="20"/>
  <c r="I70" i="20"/>
  <c r="J162" i="20"/>
  <c r="C162" i="6" s="1"/>
  <c r="J161" i="20"/>
  <c r="C161" i="6" s="1"/>
  <c r="I160" i="20"/>
  <c r="AA241" i="20"/>
  <c r="Z241" i="20" s="1"/>
  <c r="Y241" i="20" s="1"/>
  <c r="I313" i="20"/>
  <c r="I83" i="20"/>
  <c r="B83" i="6" s="1"/>
  <c r="BA83" i="6" s="1"/>
  <c r="D83" i="6" s="1"/>
  <c r="I67" i="20"/>
  <c r="J316" i="20"/>
  <c r="C316" i="6" s="1"/>
  <c r="I146" i="20"/>
  <c r="I170" i="20"/>
  <c r="I142" i="20"/>
  <c r="I123" i="20"/>
  <c r="J309" i="20"/>
  <c r="C309" i="6" s="1"/>
  <c r="J368" i="20"/>
  <c r="C368" i="6" s="1"/>
  <c r="I147" i="20"/>
  <c r="I184" i="20"/>
  <c r="J55" i="20"/>
  <c r="C55" i="6" s="1"/>
  <c r="I243" i="20"/>
  <c r="I25" i="20"/>
  <c r="I152" i="20"/>
  <c r="J117" i="20"/>
  <c r="C117" i="6" s="1"/>
  <c r="I374" i="20"/>
  <c r="J24" i="20"/>
  <c r="C24" i="6" s="1"/>
  <c r="J242" i="20"/>
  <c r="C242" i="6" s="1"/>
  <c r="J342" i="20"/>
  <c r="C342" i="6" s="1"/>
  <c r="J361" i="20"/>
  <c r="C361" i="6" s="1"/>
  <c r="J278" i="20"/>
  <c r="C278" i="6" s="1"/>
  <c r="J140" i="20"/>
  <c r="C140" i="6" s="1"/>
  <c r="I40" i="20"/>
  <c r="I219" i="20"/>
  <c r="J312" i="20"/>
  <c r="C312" i="6" s="1"/>
  <c r="I338" i="20"/>
  <c r="I336" i="20"/>
  <c r="J275" i="20"/>
  <c r="C275" i="6" s="1"/>
  <c r="I276" i="20"/>
  <c r="J105" i="20"/>
  <c r="C105" i="6" s="1"/>
  <c r="I63" i="20"/>
  <c r="J234" i="20"/>
  <c r="C234" i="6" s="1"/>
  <c r="J362" i="20"/>
  <c r="C362" i="6" s="1"/>
  <c r="J131" i="20"/>
  <c r="C131" i="6" s="1"/>
  <c r="J200" i="20"/>
  <c r="C200" i="6" s="1"/>
  <c r="J332" i="20"/>
  <c r="C332" i="6" s="1"/>
  <c r="J378" i="20"/>
  <c r="C378" i="6" s="1"/>
  <c r="J240" i="20"/>
  <c r="C240" i="6" s="1"/>
  <c r="J299" i="20"/>
  <c r="C299" i="6" s="1"/>
  <c r="H371" i="22"/>
  <c r="I371" i="22" s="1"/>
  <c r="J128" i="20"/>
  <c r="C128" i="6" s="1"/>
  <c r="I269" i="20"/>
  <c r="J355" i="20"/>
  <c r="C355" i="6" s="1"/>
  <c r="J319" i="20"/>
  <c r="C319" i="6" s="1"/>
  <c r="J238" i="20"/>
  <c r="C238" i="6" s="1"/>
  <c r="J371" i="20"/>
  <c r="C371" i="6" s="1"/>
  <c r="I192" i="20"/>
  <c r="I334" i="20"/>
  <c r="AE11" i="23"/>
  <c r="J80" i="20"/>
  <c r="C80" i="6" s="1"/>
  <c r="H24" i="22"/>
  <c r="I24" i="22" s="1"/>
  <c r="I64" i="20"/>
  <c r="H178" i="22"/>
  <c r="I178" i="22" s="1"/>
  <c r="E7" i="25"/>
  <c r="E8" i="25"/>
  <c r="K20" i="19" s="1"/>
  <c r="K44" i="19" s="1"/>
  <c r="O381" i="24"/>
  <c r="O383" i="24"/>
  <c r="O382" i="24"/>
  <c r="AC381" i="24"/>
  <c r="AC383" i="24"/>
  <c r="AC382" i="24"/>
  <c r="H36" i="19"/>
  <c r="I36" i="19"/>
  <c r="V379" i="22"/>
  <c r="D41" i="19"/>
  <c r="U10" i="23"/>
  <c r="AA124" i="22"/>
  <c r="Z124" i="22" s="1"/>
  <c r="Y124" i="22" s="1"/>
  <c r="AA269" i="22"/>
  <c r="Z269" i="22" s="1"/>
  <c r="Y269" i="22" s="1"/>
  <c r="AA101" i="22"/>
  <c r="Z101" i="22" s="1"/>
  <c r="Y101" i="22" s="1"/>
  <c r="AA163" i="22"/>
  <c r="Z163" i="22" s="1"/>
  <c r="Y163" i="22" s="1"/>
  <c r="AA171" i="22"/>
  <c r="Z171" i="22" s="1"/>
  <c r="Y171" i="22" s="1"/>
  <c r="AA365" i="22"/>
  <c r="Z365" i="22" s="1"/>
  <c r="Y365" i="22" s="1"/>
  <c r="AA314" i="22"/>
  <c r="Z314" i="22" s="1"/>
  <c r="Y314" i="22" s="1"/>
  <c r="H217" i="22"/>
  <c r="I217" i="22" s="1"/>
  <c r="AA217" i="22"/>
  <c r="Z217" i="22" s="1"/>
  <c r="Y217" i="22" s="1"/>
  <c r="H31" i="22"/>
  <c r="I31" i="22" s="1"/>
  <c r="K67" i="19"/>
  <c r="AA33" i="22"/>
  <c r="Z33" i="22" s="1"/>
  <c r="Y33" i="22" s="1"/>
  <c r="AA112" i="22"/>
  <c r="Z112" i="22" s="1"/>
  <c r="Y112" i="22" s="1"/>
  <c r="AA17" i="22"/>
  <c r="Z17" i="22" s="1"/>
  <c r="Y17" i="22" s="1"/>
  <c r="AA31" i="22"/>
  <c r="Z31" i="22" s="1"/>
  <c r="Y31" i="22" s="1"/>
  <c r="H159" i="22"/>
  <c r="J159" i="22" s="1"/>
  <c r="H101" i="22"/>
  <c r="I101" i="22" s="1"/>
  <c r="D67" i="19"/>
  <c r="I67" i="19"/>
  <c r="F67" i="19"/>
  <c r="H128" i="22"/>
  <c r="H188" i="22"/>
  <c r="AA235" i="22"/>
  <c r="Z235" i="22" s="1"/>
  <c r="Y235" i="22" s="1"/>
  <c r="AA139" i="22"/>
  <c r="Z139" i="22" s="1"/>
  <c r="Y139" i="22" s="1"/>
  <c r="AA267" i="22"/>
  <c r="Z267" i="22" s="1"/>
  <c r="Y267" i="22" s="1"/>
  <c r="AA118" i="22"/>
  <c r="Z118" i="22" s="1"/>
  <c r="Y118" i="22" s="1"/>
  <c r="AA330" i="22"/>
  <c r="Z330" i="22" s="1"/>
  <c r="Y330" i="22" s="1"/>
  <c r="AA24" i="22"/>
  <c r="Z24" i="22" s="1"/>
  <c r="Y24" i="22" s="1"/>
  <c r="G14" i="19"/>
  <c r="AB9" i="17"/>
  <c r="F11" i="17"/>
  <c r="AM8" i="17"/>
  <c r="AA382" i="17"/>
  <c r="Z15" i="17"/>
  <c r="AL9" i="17"/>
  <c r="AA381" i="17"/>
  <c r="AA9" i="17"/>
  <c r="AA383" i="17"/>
  <c r="AA210" i="20"/>
  <c r="Z210" i="20" s="1"/>
  <c r="Y210" i="20" s="1"/>
  <c r="G210" i="20"/>
  <c r="CB210" i="6" s="1"/>
  <c r="H210" i="20"/>
  <c r="AK4" i="16"/>
  <c r="R13" i="19" s="1"/>
  <c r="N14" i="19" s="1"/>
  <c r="AM13" i="16"/>
  <c r="G75" i="22"/>
  <c r="CC75" i="6" s="1"/>
  <c r="AA75" i="22"/>
  <c r="Z75" i="22" s="1"/>
  <c r="Y75" i="22" s="1"/>
  <c r="G67" i="19"/>
  <c r="C67" i="19"/>
  <c r="H311" i="22"/>
  <c r="G311" i="22"/>
  <c r="CC311" i="6" s="1"/>
  <c r="AA311" i="22"/>
  <c r="Z311" i="22" s="1"/>
  <c r="Y311" i="22" s="1"/>
  <c r="AA154" i="22"/>
  <c r="Z154" i="22" s="1"/>
  <c r="Y154" i="22" s="1"/>
  <c r="G154" i="22"/>
  <c r="CC154" i="6" s="1"/>
  <c r="H154" i="22"/>
  <c r="H354" i="22"/>
  <c r="AA354" i="22"/>
  <c r="Z354" i="22" s="1"/>
  <c r="Y354" i="22" s="1"/>
  <c r="G354" i="22"/>
  <c r="CC354" i="6" s="1"/>
  <c r="AA90" i="22"/>
  <c r="Z90" i="22" s="1"/>
  <c r="Y90" i="22" s="1"/>
  <c r="H90" i="22"/>
  <c r="G90" i="22"/>
  <c r="CC90" i="6" s="1"/>
  <c r="G362" i="22"/>
  <c r="CC362" i="6" s="1"/>
  <c r="H362" i="22"/>
  <c r="H199" i="22"/>
  <c r="G62" i="22"/>
  <c r="CC62" i="6" s="1"/>
  <c r="H62" i="22"/>
  <c r="G260" i="22"/>
  <c r="CC260" i="6" s="1"/>
  <c r="G291" i="22"/>
  <c r="CC291" i="6" s="1"/>
  <c r="G244" i="22"/>
  <c r="CC244" i="6" s="1"/>
  <c r="D74" i="22"/>
  <c r="E74" i="22" s="1"/>
  <c r="F74" i="22" s="1"/>
  <c r="W74" i="22"/>
  <c r="G361" i="22"/>
  <c r="CC361" i="6" s="1"/>
  <c r="G145" i="22"/>
  <c r="CC145" i="6" s="1"/>
  <c r="AA142" i="22"/>
  <c r="Z142" i="22" s="1"/>
  <c r="Y142" i="22" s="1"/>
  <c r="G142" i="22"/>
  <c r="CC142" i="6" s="1"/>
  <c r="AA198" i="22"/>
  <c r="Z198" i="22" s="1"/>
  <c r="Y198" i="22" s="1"/>
  <c r="G198" i="22"/>
  <c r="CC198" i="6" s="1"/>
  <c r="G71" i="22"/>
  <c r="CC71" i="6" s="1"/>
  <c r="AA148" i="22"/>
  <c r="Z148" i="22" s="1"/>
  <c r="Y148" i="22" s="1"/>
  <c r="G148" i="22"/>
  <c r="CC148" i="6" s="1"/>
  <c r="H148" i="22"/>
  <c r="G315" i="22"/>
  <c r="CC315" i="6" s="1"/>
  <c r="AA315" i="22"/>
  <c r="Z315" i="22" s="1"/>
  <c r="Y315" i="22" s="1"/>
  <c r="T382" i="22"/>
  <c r="T381" i="22"/>
  <c r="S15" i="22"/>
  <c r="T383" i="22"/>
  <c r="H45" i="22"/>
  <c r="AA45" i="22"/>
  <c r="Z45" i="22" s="1"/>
  <c r="Y45" i="22" s="1"/>
  <c r="G45" i="22"/>
  <c r="CC45" i="6" s="1"/>
  <c r="G72" i="22"/>
  <c r="CC72" i="6" s="1"/>
  <c r="G194" i="22"/>
  <c r="CC194" i="6" s="1"/>
  <c r="G219" i="22"/>
  <c r="CC219" i="6" s="1"/>
  <c r="G276" i="22"/>
  <c r="CC276" i="6" s="1"/>
  <c r="H26" i="22"/>
  <c r="W227" i="22"/>
  <c r="D227" i="22"/>
  <c r="E227" i="22" s="1"/>
  <c r="F227" i="22" s="1"/>
  <c r="AA36" i="22"/>
  <c r="Z36" i="22" s="1"/>
  <c r="Y36" i="22" s="1"/>
  <c r="G36" i="22"/>
  <c r="CC36" i="6" s="1"/>
  <c r="H36" i="22"/>
  <c r="D241" i="22"/>
  <c r="E241" i="22" s="1"/>
  <c r="F241" i="22" s="1"/>
  <c r="W241" i="22"/>
  <c r="W88" i="22"/>
  <c r="D88" i="22"/>
  <c r="E88" i="22" s="1"/>
  <c r="F88" i="22" s="1"/>
  <c r="H237" i="22"/>
  <c r="AA237" i="22"/>
  <c r="Z237" i="22" s="1"/>
  <c r="Y237" i="22" s="1"/>
  <c r="G237" i="22"/>
  <c r="CC237" i="6" s="1"/>
  <c r="W135" i="22"/>
  <c r="D135" i="22"/>
  <c r="E135" i="22" s="1"/>
  <c r="F135" i="22" s="1"/>
  <c r="H248" i="22"/>
  <c r="G248" i="22"/>
  <c r="CC248" i="6" s="1"/>
  <c r="H226" i="22"/>
  <c r="G226" i="22"/>
  <c r="CC226" i="6" s="1"/>
  <c r="H84" i="22"/>
  <c r="G84" i="22"/>
  <c r="CC84" i="6" s="1"/>
  <c r="G156" i="22"/>
  <c r="CC156" i="6" s="1"/>
  <c r="H156" i="22"/>
  <c r="AA149" i="20"/>
  <c r="Z149" i="20" s="1"/>
  <c r="Y149" i="20" s="1"/>
  <c r="G149" i="20"/>
  <c r="CB149" i="6" s="1"/>
  <c r="H149" i="20"/>
  <c r="H241" i="20"/>
  <c r="AA291" i="22"/>
  <c r="Z291" i="22" s="1"/>
  <c r="Y291" i="22" s="1"/>
  <c r="AA364" i="22"/>
  <c r="Z364" i="22" s="1"/>
  <c r="Y364" i="22" s="1"/>
  <c r="AA332" i="22"/>
  <c r="Z332" i="22" s="1"/>
  <c r="Y332" i="22" s="1"/>
  <c r="AA290" i="22"/>
  <c r="Z290" i="22" s="1"/>
  <c r="Y290" i="22" s="1"/>
  <c r="AA72" i="22"/>
  <c r="Z72" i="22" s="1"/>
  <c r="Y72" i="22" s="1"/>
  <c r="AA304" i="22"/>
  <c r="Z304" i="22" s="1"/>
  <c r="Y304" i="22" s="1"/>
  <c r="AA226" i="22"/>
  <c r="Z226" i="22" s="1"/>
  <c r="Y226" i="22" s="1"/>
  <c r="AA277" i="22"/>
  <c r="Z277" i="22" s="1"/>
  <c r="Y277" i="22" s="1"/>
  <c r="AA99" i="22"/>
  <c r="Z99" i="22" s="1"/>
  <c r="Y99" i="22" s="1"/>
  <c r="AA188" i="22"/>
  <c r="Z188" i="22" s="1"/>
  <c r="Y188" i="22" s="1"/>
  <c r="AA165" i="22"/>
  <c r="Z165" i="22" s="1"/>
  <c r="Y165" i="22" s="1"/>
  <c r="AA159" i="22"/>
  <c r="Z159" i="22" s="1"/>
  <c r="Y159" i="22" s="1"/>
  <c r="AA194" i="22"/>
  <c r="Z194" i="22" s="1"/>
  <c r="Y194" i="22" s="1"/>
  <c r="AA244" i="22"/>
  <c r="Z244" i="22" s="1"/>
  <c r="Y244" i="22" s="1"/>
  <c r="AA219" i="22"/>
  <c r="Z219" i="22" s="1"/>
  <c r="Y219" i="22" s="1"/>
  <c r="AA260" i="22"/>
  <c r="Z260" i="22" s="1"/>
  <c r="Y260" i="22" s="1"/>
  <c r="AA352" i="22"/>
  <c r="Z352" i="22" s="1"/>
  <c r="Y352" i="22" s="1"/>
  <c r="AA67" i="22"/>
  <c r="Z67" i="22" s="1"/>
  <c r="Y67" i="22" s="1"/>
  <c r="AA276" i="22"/>
  <c r="Z276" i="22" s="1"/>
  <c r="Y276" i="22" s="1"/>
  <c r="AA180" i="20"/>
  <c r="Z180" i="20" s="1"/>
  <c r="Y180" i="20" s="1"/>
  <c r="G180" i="20"/>
  <c r="CB180" i="6" s="1"/>
  <c r="H180" i="20"/>
  <c r="Q12" i="24"/>
  <c r="AT15" i="7"/>
  <c r="H65" i="22"/>
  <c r="P15" i="20"/>
  <c r="R383" i="20"/>
  <c r="R381" i="20"/>
  <c r="R382" i="20"/>
  <c r="G266" i="22"/>
  <c r="CC266" i="6" s="1"/>
  <c r="AA266" i="22"/>
  <c r="Z266" i="22" s="1"/>
  <c r="Y266" i="22" s="1"/>
  <c r="AA324" i="22"/>
  <c r="Z324" i="22" s="1"/>
  <c r="Y324" i="22" s="1"/>
  <c r="G324" i="22"/>
  <c r="CC324" i="6" s="1"/>
  <c r="H49" i="22"/>
  <c r="AA49" i="22"/>
  <c r="Z49" i="22" s="1"/>
  <c r="Y49" i="22" s="1"/>
  <c r="G49" i="22"/>
  <c r="CC49" i="6" s="1"/>
  <c r="G242" i="22"/>
  <c r="CC242" i="6" s="1"/>
  <c r="AA242" i="22"/>
  <c r="Z242" i="22" s="1"/>
  <c r="Y242" i="22" s="1"/>
  <c r="AA229" i="22"/>
  <c r="Z229" i="22" s="1"/>
  <c r="Y229" i="22" s="1"/>
  <c r="G310" i="22"/>
  <c r="CC310" i="6" s="1"/>
  <c r="AA310" i="22"/>
  <c r="Z310" i="22" s="1"/>
  <c r="Y310" i="22" s="1"/>
  <c r="G318" i="22"/>
  <c r="CC318" i="6" s="1"/>
  <c r="G18" i="22"/>
  <c r="CC18" i="6" s="1"/>
  <c r="L67" i="19"/>
  <c r="G375" i="22"/>
  <c r="CC375" i="6" s="1"/>
  <c r="H375" i="22"/>
  <c r="AA375" i="22"/>
  <c r="Z375" i="22" s="1"/>
  <c r="Y375" i="22" s="1"/>
  <c r="H173" i="22"/>
  <c r="AA254" i="22"/>
  <c r="Z254" i="22" s="1"/>
  <c r="Y254" i="22" s="1"/>
  <c r="G254" i="22"/>
  <c r="CC254" i="6" s="1"/>
  <c r="H67" i="19"/>
  <c r="G151" i="22"/>
  <c r="CC151" i="6" s="1"/>
  <c r="G285" i="22"/>
  <c r="CC285" i="6" s="1"/>
  <c r="AA123" i="22"/>
  <c r="Z123" i="22" s="1"/>
  <c r="Y123" i="22" s="1"/>
  <c r="G123" i="22"/>
  <c r="CC123" i="6" s="1"/>
  <c r="G153" i="22"/>
  <c r="CC153" i="6" s="1"/>
  <c r="G228" i="22"/>
  <c r="CC228" i="6" s="1"/>
  <c r="AA137" i="22"/>
  <c r="Z137" i="22" s="1"/>
  <c r="Y137" i="22" s="1"/>
  <c r="J67" i="19"/>
  <c r="G230" i="22"/>
  <c r="CC230" i="6" s="1"/>
  <c r="G278" i="22"/>
  <c r="CC278" i="6" s="1"/>
  <c r="H278" i="22"/>
  <c r="AA191" i="22"/>
  <c r="Z191" i="22" s="1"/>
  <c r="Y191" i="22" s="1"/>
  <c r="H275" i="22"/>
  <c r="AA275" i="22"/>
  <c r="Z275" i="22" s="1"/>
  <c r="Y275" i="22" s="1"/>
  <c r="G275" i="22"/>
  <c r="CC275" i="6" s="1"/>
  <c r="G143" i="22"/>
  <c r="CC143" i="6" s="1"/>
  <c r="AA143" i="22"/>
  <c r="Z143" i="22" s="1"/>
  <c r="Y143" i="22" s="1"/>
  <c r="G292" i="22"/>
  <c r="CC292" i="6" s="1"/>
  <c r="AA289" i="22"/>
  <c r="Z289" i="22" s="1"/>
  <c r="Y289" i="22" s="1"/>
  <c r="G289" i="22"/>
  <c r="CC289" i="6" s="1"/>
  <c r="H289" i="22"/>
  <c r="G346" i="22"/>
  <c r="CC346" i="6" s="1"/>
  <c r="G358" i="22"/>
  <c r="CC358" i="6" s="1"/>
  <c r="G21" i="22"/>
  <c r="CC21" i="6" s="1"/>
  <c r="AA21" i="22"/>
  <c r="Z21" i="22" s="1"/>
  <c r="Y21" i="22" s="1"/>
  <c r="H21" i="22"/>
  <c r="H37" i="22"/>
  <c r="AA37" i="22"/>
  <c r="Z37" i="22" s="1"/>
  <c r="Y37" i="22" s="1"/>
  <c r="G37" i="22"/>
  <c r="CC37" i="6" s="1"/>
  <c r="H35" i="22"/>
  <c r="AA35" i="22"/>
  <c r="Z35" i="22" s="1"/>
  <c r="Y35" i="22" s="1"/>
  <c r="G35" i="22"/>
  <c r="CC35" i="6" s="1"/>
  <c r="AA105" i="22"/>
  <c r="Z105" i="22" s="1"/>
  <c r="Y105" i="22" s="1"/>
  <c r="G338" i="22"/>
  <c r="CC338" i="6" s="1"/>
  <c r="AG382" i="20"/>
  <c r="AF15" i="20"/>
  <c r="AG383" i="20"/>
  <c r="AG381" i="20"/>
  <c r="I29" i="20"/>
  <c r="B29" i="6" s="1"/>
  <c r="BA29" i="6" s="1"/>
  <c r="J29" i="20"/>
  <c r="C29" i="6" s="1"/>
  <c r="G333" i="20"/>
  <c r="CB333" i="6" s="1"/>
  <c r="AA333" i="20"/>
  <c r="Z333" i="20" s="1"/>
  <c r="Y333" i="20" s="1"/>
  <c r="H333" i="20"/>
  <c r="H66" i="22"/>
  <c r="G383" i="17"/>
  <c r="G12" i="17" s="1"/>
  <c r="G381" i="17"/>
  <c r="G382" i="17"/>
  <c r="I15" i="17"/>
  <c r="J15" i="17"/>
  <c r="Y11" i="16"/>
  <c r="AA11" i="16"/>
  <c r="AA5" i="16" s="1"/>
  <c r="I13" i="19" s="1"/>
  <c r="I37" i="19" s="1"/>
  <c r="J13" i="19"/>
  <c r="Z11" i="16"/>
  <c r="Z5" i="16" s="1"/>
  <c r="H13" i="19" s="1"/>
  <c r="H37" i="19" s="1"/>
  <c r="AJ4" i="16"/>
  <c r="P13" i="19" s="1"/>
  <c r="AL13" i="16"/>
  <c r="G325" i="22"/>
  <c r="CC325" i="6" s="1"/>
  <c r="G48" i="22"/>
  <c r="CC48" i="6" s="1"/>
  <c r="AA48" i="22"/>
  <c r="Z48" i="22" s="1"/>
  <c r="Y48" i="22" s="1"/>
  <c r="W288" i="22"/>
  <c r="D288" i="22"/>
  <c r="E288" i="22" s="1"/>
  <c r="F288" i="22" s="1"/>
  <c r="H99" i="22"/>
  <c r="H364" i="22"/>
  <c r="G364" i="22"/>
  <c r="CC364" i="6" s="1"/>
  <c r="D272" i="22"/>
  <c r="E272" i="22" s="1"/>
  <c r="F272" i="22" s="1"/>
  <c r="W272" i="22"/>
  <c r="G197" i="22"/>
  <c r="CC197" i="6" s="1"/>
  <c r="G179" i="22"/>
  <c r="CC179" i="6" s="1"/>
  <c r="H238" i="22"/>
  <c r="G371" i="22"/>
  <c r="CC371" i="6" s="1"/>
  <c r="AA371" i="22"/>
  <c r="Z371" i="22" s="1"/>
  <c r="Y371" i="22" s="1"/>
  <c r="AA53" i="22"/>
  <c r="Z53" i="22" s="1"/>
  <c r="Y53" i="22" s="1"/>
  <c r="G53" i="22"/>
  <c r="CC53" i="6" s="1"/>
  <c r="G109" i="22"/>
  <c r="CC109" i="6" s="1"/>
  <c r="AA109" i="22"/>
  <c r="Z109" i="22" s="1"/>
  <c r="Y109" i="22" s="1"/>
  <c r="AA251" i="22"/>
  <c r="Z251" i="22" s="1"/>
  <c r="Y251" i="22" s="1"/>
  <c r="G251" i="22"/>
  <c r="CC251" i="6" s="1"/>
  <c r="AA196" i="22"/>
  <c r="Z196" i="22" s="1"/>
  <c r="Y196" i="22" s="1"/>
  <c r="G196" i="22"/>
  <c r="CC196" i="6" s="1"/>
  <c r="H196" i="22"/>
  <c r="AA44" i="22"/>
  <c r="Z44" i="22" s="1"/>
  <c r="Y44" i="22" s="1"/>
  <c r="H44" i="22"/>
  <c r="G44" i="22"/>
  <c r="CC44" i="6" s="1"/>
  <c r="G249" i="22"/>
  <c r="CC249" i="6" s="1"/>
  <c r="AA249" i="22"/>
  <c r="Z249" i="22" s="1"/>
  <c r="Y249" i="22" s="1"/>
  <c r="G369" i="22"/>
  <c r="CC369" i="6" s="1"/>
  <c r="G187" i="22"/>
  <c r="CC187" i="6" s="1"/>
  <c r="AA187" i="22"/>
  <c r="Z187" i="22" s="1"/>
  <c r="Y187" i="22" s="1"/>
  <c r="AA116" i="22"/>
  <c r="Z116" i="22" s="1"/>
  <c r="Y116" i="22" s="1"/>
  <c r="G146" i="22"/>
  <c r="CC146" i="6" s="1"/>
  <c r="AA146" i="22"/>
  <c r="Z146" i="22" s="1"/>
  <c r="Y146" i="22" s="1"/>
  <c r="G206" i="22"/>
  <c r="CC206" i="6" s="1"/>
  <c r="AA326" i="22"/>
  <c r="Z326" i="22" s="1"/>
  <c r="Y326" i="22" s="1"/>
  <c r="H326" i="22"/>
  <c r="G326" i="22"/>
  <c r="CC326" i="6" s="1"/>
  <c r="E67" i="19"/>
  <c r="G61" i="22"/>
  <c r="CC61" i="6" s="1"/>
  <c r="AA61" i="22"/>
  <c r="Z61" i="22" s="1"/>
  <c r="Y61" i="22" s="1"/>
  <c r="G372" i="22"/>
  <c r="CC372" i="6" s="1"/>
  <c r="AA372" i="22"/>
  <c r="Z372" i="22" s="1"/>
  <c r="Y372" i="22" s="1"/>
  <c r="AA117" i="22"/>
  <c r="Z117" i="22" s="1"/>
  <c r="Y117" i="22" s="1"/>
  <c r="H117" i="22"/>
  <c r="G117" i="22"/>
  <c r="CC117" i="6" s="1"/>
  <c r="G58" i="22"/>
  <c r="CC58" i="6" s="1"/>
  <c r="H58" i="22"/>
  <c r="AA58" i="22"/>
  <c r="Z58" i="22" s="1"/>
  <c r="Y58" i="22" s="1"/>
  <c r="G190" i="22"/>
  <c r="CC190" i="6" s="1"/>
  <c r="H214" i="22"/>
  <c r="AA214" i="22"/>
  <c r="Z214" i="22" s="1"/>
  <c r="Y214" i="22" s="1"/>
  <c r="AA32" i="22"/>
  <c r="Z32" i="22" s="1"/>
  <c r="Y32" i="22" s="1"/>
  <c r="G257" i="22"/>
  <c r="CC257" i="6" s="1"/>
  <c r="AA257" i="22"/>
  <c r="Z257" i="22" s="1"/>
  <c r="Y257" i="22" s="1"/>
  <c r="G360" i="22"/>
  <c r="CC360" i="6" s="1"/>
  <c r="H80" i="22"/>
  <c r="AA80" i="22"/>
  <c r="Z80" i="22" s="1"/>
  <c r="Y80" i="22" s="1"/>
  <c r="G80" i="22"/>
  <c r="CC80" i="6" s="1"/>
  <c r="AA345" i="22"/>
  <c r="Z345" i="22" s="1"/>
  <c r="Y345" i="22" s="1"/>
  <c r="G345" i="22"/>
  <c r="CC345" i="6" s="1"/>
  <c r="H345" i="22"/>
  <c r="AA264" i="22"/>
  <c r="Z264" i="22" s="1"/>
  <c r="Y264" i="22" s="1"/>
  <c r="G264" i="22"/>
  <c r="CC264" i="6" s="1"/>
  <c r="H216" i="22"/>
  <c r="G216" i="22"/>
  <c r="CC216" i="6" s="1"/>
  <c r="AA216" i="22"/>
  <c r="Z216" i="22" s="1"/>
  <c r="Y216" i="22" s="1"/>
  <c r="G150" i="22"/>
  <c r="CC150" i="6" s="1"/>
  <c r="AA150" i="22"/>
  <c r="Z150" i="22" s="1"/>
  <c r="Y150" i="22" s="1"/>
  <c r="H342" i="22"/>
  <c r="G342" i="22"/>
  <c r="CC342" i="6" s="1"/>
  <c r="AA342" i="22"/>
  <c r="Z342" i="22" s="1"/>
  <c r="Y342" i="22" s="1"/>
  <c r="G63" i="22"/>
  <c r="CC63" i="6" s="1"/>
  <c r="AA63" i="22"/>
  <c r="Z63" i="22" s="1"/>
  <c r="Y63" i="22" s="1"/>
  <c r="AA42" i="22"/>
  <c r="Z42" i="22" s="1"/>
  <c r="Y42" i="22" s="1"/>
  <c r="G42" i="22"/>
  <c r="CC42" i="6" s="1"/>
  <c r="AA234" i="22"/>
  <c r="Z234" i="22" s="1"/>
  <c r="Y234" i="22" s="1"/>
  <c r="H234" i="22"/>
  <c r="G234" i="22"/>
  <c r="CC234" i="6" s="1"/>
  <c r="H162" i="22"/>
  <c r="AA162" i="22"/>
  <c r="Z162" i="22" s="1"/>
  <c r="Y162" i="22" s="1"/>
  <c r="G162" i="22"/>
  <c r="CC162" i="6" s="1"/>
  <c r="G323" i="22"/>
  <c r="CC323" i="6" s="1"/>
  <c r="AA323" i="22"/>
  <c r="Z323" i="22" s="1"/>
  <c r="Y323" i="22" s="1"/>
  <c r="H350" i="22"/>
  <c r="G350" i="22"/>
  <c r="CC350" i="6" s="1"/>
  <c r="AA350" i="22"/>
  <c r="Z350" i="22" s="1"/>
  <c r="Y350" i="22" s="1"/>
  <c r="H368" i="22"/>
  <c r="G368" i="22"/>
  <c r="CC368" i="6" s="1"/>
  <c r="AA368" i="22"/>
  <c r="Z368" i="22" s="1"/>
  <c r="Y368" i="22" s="1"/>
  <c r="G78" i="22"/>
  <c r="CC78" i="6" s="1"/>
  <c r="AA78" i="22"/>
  <c r="Z78" i="22" s="1"/>
  <c r="Y78" i="22" s="1"/>
  <c r="G114" i="22"/>
  <c r="CC114" i="6" s="1"/>
  <c r="AA114" i="22"/>
  <c r="Z114" i="22" s="1"/>
  <c r="Y114" i="22" s="1"/>
  <c r="AA152" i="22"/>
  <c r="Z152" i="22" s="1"/>
  <c r="Y152" i="22" s="1"/>
  <c r="AA97" i="22"/>
  <c r="Z97" i="22" s="1"/>
  <c r="Y97" i="22" s="1"/>
  <c r="AH379" i="22"/>
  <c r="AG379" i="22" s="1"/>
  <c r="AF379" i="22" s="1"/>
  <c r="AD379" i="22" s="1"/>
  <c r="AI12" i="23"/>
  <c r="AA25" i="22"/>
  <c r="Z25" i="22" s="1"/>
  <c r="Y25" i="22" s="1"/>
  <c r="AA65" i="22"/>
  <c r="Z65" i="22" s="1"/>
  <c r="Y65" i="22" s="1"/>
  <c r="AA197" i="22"/>
  <c r="Z197" i="22" s="1"/>
  <c r="Y197" i="22" s="1"/>
  <c r="AA361" i="22"/>
  <c r="Z361" i="22" s="1"/>
  <c r="Y361" i="22" s="1"/>
  <c r="AA156" i="22"/>
  <c r="Z156" i="22" s="1"/>
  <c r="Y156" i="22" s="1"/>
  <c r="AA248" i="22"/>
  <c r="Z248" i="22" s="1"/>
  <c r="Y248" i="22" s="1"/>
  <c r="AA128" i="22"/>
  <c r="Z128" i="22" s="1"/>
  <c r="Y128" i="22" s="1"/>
  <c r="AA84" i="22"/>
  <c r="Z84" i="22" s="1"/>
  <c r="Y84" i="22" s="1"/>
  <c r="AA66" i="22"/>
  <c r="Z66" i="22" s="1"/>
  <c r="Y66" i="22" s="1"/>
  <c r="AA62" i="22"/>
  <c r="Z62" i="22" s="1"/>
  <c r="Y62" i="22" s="1"/>
  <c r="AA178" i="22"/>
  <c r="Z178" i="22" s="1"/>
  <c r="Y178" i="22" s="1"/>
  <c r="AA179" i="22"/>
  <c r="Z179" i="22" s="1"/>
  <c r="Y179" i="22" s="1"/>
  <c r="AA145" i="22"/>
  <c r="Z145" i="22" s="1"/>
  <c r="Y145" i="22" s="1"/>
  <c r="AA238" i="22"/>
  <c r="Z238" i="22" s="1"/>
  <c r="Y238" i="22" s="1"/>
  <c r="AA362" i="22"/>
  <c r="Z362" i="22" s="1"/>
  <c r="Y362" i="22" s="1"/>
  <c r="AI383" i="22"/>
  <c r="AH15" i="22"/>
  <c r="AI382" i="22"/>
  <c r="AI381" i="22"/>
  <c r="AA321" i="22"/>
  <c r="Z321" i="22" s="1"/>
  <c r="Y321" i="22" s="1"/>
  <c r="AA95" i="22"/>
  <c r="Z95" i="22" s="1"/>
  <c r="Y95" i="22" s="1"/>
  <c r="AA119" i="20"/>
  <c r="Z119" i="20" s="1"/>
  <c r="Y119" i="20" s="1"/>
  <c r="G119" i="20"/>
  <c r="CB119" i="6" s="1"/>
  <c r="H119" i="20"/>
  <c r="H363" i="20"/>
  <c r="H302" i="20"/>
  <c r="H277" i="22"/>
  <c r="AA88" i="20"/>
  <c r="Z88" i="20" s="1"/>
  <c r="Y88" i="20" s="1"/>
  <c r="G88" i="20"/>
  <c r="CB88" i="6" s="1"/>
  <c r="H88" i="20"/>
  <c r="H272" i="20"/>
  <c r="Q383" i="23"/>
  <c r="Q381" i="23"/>
  <c r="Q382" i="23"/>
  <c r="H332" i="22"/>
  <c r="G171" i="22"/>
  <c r="CC171" i="6" s="1"/>
  <c r="H169" i="22"/>
  <c r="H23" i="22"/>
  <c r="G365" i="22"/>
  <c r="CC365" i="6" s="1"/>
  <c r="W319" i="22"/>
  <c r="D319" i="22"/>
  <c r="E319" i="22" s="1"/>
  <c r="F319" i="22" s="1"/>
  <c r="D333" i="22"/>
  <c r="E333" i="22" s="1"/>
  <c r="F333" i="22" s="1"/>
  <c r="W333" i="22"/>
  <c r="G33" i="22"/>
  <c r="CC33" i="6" s="1"/>
  <c r="G177" i="22"/>
  <c r="CC177" i="6" s="1"/>
  <c r="D302" i="22"/>
  <c r="E302" i="22" s="1"/>
  <c r="F302" i="22" s="1"/>
  <c r="W302" i="22"/>
  <c r="AA376" i="22"/>
  <c r="Z376" i="22" s="1"/>
  <c r="Y376" i="22" s="1"/>
  <c r="G376" i="22"/>
  <c r="CC376" i="6" s="1"/>
  <c r="G374" i="22"/>
  <c r="CC374" i="6" s="1"/>
  <c r="G300" i="22"/>
  <c r="CC300" i="6" s="1"/>
  <c r="H300" i="22"/>
  <c r="D258" i="22"/>
  <c r="E258" i="22" s="1"/>
  <c r="F258" i="22" s="1"/>
  <c r="W258" i="22"/>
  <c r="H124" i="22"/>
  <c r="G124" i="22"/>
  <c r="CC124" i="6" s="1"/>
  <c r="G269" i="22"/>
  <c r="CC269" i="6" s="1"/>
  <c r="AA147" i="22"/>
  <c r="Z147" i="22" s="1"/>
  <c r="Y147" i="22" s="1"/>
  <c r="G147" i="22"/>
  <c r="CC147" i="6" s="1"/>
  <c r="G267" i="22"/>
  <c r="CC267" i="6" s="1"/>
  <c r="G284" i="22"/>
  <c r="CC284" i="6" s="1"/>
  <c r="D149" i="22"/>
  <c r="E149" i="22" s="1"/>
  <c r="F149" i="22" s="1"/>
  <c r="D29" i="22"/>
  <c r="E29" i="22" s="1"/>
  <c r="F29" i="22" s="1"/>
  <c r="W29" i="22"/>
  <c r="AA340" i="22"/>
  <c r="Z340" i="22" s="1"/>
  <c r="Y340" i="22" s="1"/>
  <c r="G340" i="22"/>
  <c r="CC340" i="6" s="1"/>
  <c r="H344" i="22"/>
  <c r="G308" i="22"/>
  <c r="CC308" i="6" s="1"/>
  <c r="AA207" i="22"/>
  <c r="Z207" i="22" s="1"/>
  <c r="Y207" i="22" s="1"/>
  <c r="G207" i="22"/>
  <c r="CC207" i="6" s="1"/>
  <c r="H60" i="20"/>
  <c r="H206" i="22"/>
  <c r="V381" i="18"/>
  <c r="V382" i="18"/>
  <c r="AJ5" i="18"/>
  <c r="V383" i="18"/>
  <c r="B65" i="19"/>
  <c r="N65" i="19" s="1"/>
  <c r="H323" i="22"/>
  <c r="AE11" i="24"/>
  <c r="J379" i="20"/>
  <c r="C379" i="6" s="1"/>
  <c r="I379" i="20"/>
  <c r="B379" i="6" s="1"/>
  <c r="BA379" i="6" s="1"/>
  <c r="D379" i="6" s="1"/>
  <c r="G344" i="22" l="1"/>
  <c r="CC344" i="6" s="1"/>
  <c r="H284" i="22"/>
  <c r="J284" i="22" s="1"/>
  <c r="G183" i="22"/>
  <c r="CC183" i="6" s="1"/>
  <c r="H240" i="22"/>
  <c r="I240" i="22" s="1"/>
  <c r="G23" i="22"/>
  <c r="CC23" i="6" s="1"/>
  <c r="H330" i="22"/>
  <c r="J330" i="22" s="1"/>
  <c r="H218" i="22"/>
  <c r="AA325" i="22"/>
  <c r="Z325" i="22" s="1"/>
  <c r="Y325" i="22" s="1"/>
  <c r="H32" i="22"/>
  <c r="H247" i="22"/>
  <c r="I247" i="22" s="1"/>
  <c r="H105" i="22"/>
  <c r="H358" i="22"/>
  <c r="I358" i="22" s="1"/>
  <c r="H229" i="22"/>
  <c r="H17" i="22"/>
  <c r="I17" i="22" s="1"/>
  <c r="AA172" i="22"/>
  <c r="Z172" i="22" s="1"/>
  <c r="Y172" i="22" s="1"/>
  <c r="AA91" i="22"/>
  <c r="Z91" i="22" s="1"/>
  <c r="Y91" i="22" s="1"/>
  <c r="AA247" i="22"/>
  <c r="Z247" i="22" s="1"/>
  <c r="Y247" i="22" s="1"/>
  <c r="AA199" i="22"/>
  <c r="Z199" i="22" s="1"/>
  <c r="Y199" i="22" s="1"/>
  <c r="H351" i="22"/>
  <c r="H378" i="22"/>
  <c r="J378" i="22" s="1"/>
  <c r="AA186" i="22"/>
  <c r="Z186" i="22" s="1"/>
  <c r="Y186" i="22" s="1"/>
  <c r="H93" i="22"/>
  <c r="I93" i="22" s="1"/>
  <c r="AA93" i="22"/>
  <c r="Z93" i="22" s="1"/>
  <c r="Y93" i="22" s="1"/>
  <c r="AA378" i="22"/>
  <c r="Z378" i="22" s="1"/>
  <c r="Y378" i="22" s="1"/>
  <c r="H320" i="22"/>
  <c r="I320" i="22" s="1"/>
  <c r="G331" i="22"/>
  <c r="CC331" i="6" s="1"/>
  <c r="AA331" i="22"/>
  <c r="Z331" i="22" s="1"/>
  <c r="Y331" i="22" s="1"/>
  <c r="G243" i="22"/>
  <c r="CC243" i="6" s="1"/>
  <c r="AA243" i="22"/>
  <c r="Z243" i="22" s="1"/>
  <c r="Y243" i="22" s="1"/>
  <c r="G261" i="22"/>
  <c r="CC261" i="6" s="1"/>
  <c r="AA261" i="22"/>
  <c r="Z261" i="22" s="1"/>
  <c r="Y261" i="22" s="1"/>
  <c r="H261" i="22"/>
  <c r="I261" i="22" s="1"/>
  <c r="G205" i="22"/>
  <c r="CC205" i="6" s="1"/>
  <c r="H205" i="22"/>
  <c r="J205" i="22" s="1"/>
  <c r="AA205" i="22"/>
  <c r="Z205" i="22" s="1"/>
  <c r="Y205" i="22" s="1"/>
  <c r="H140" i="22"/>
  <c r="J140" i="22" s="1"/>
  <c r="G140" i="22"/>
  <c r="CC140" i="6" s="1"/>
  <c r="AA140" i="22"/>
  <c r="Z140" i="22" s="1"/>
  <c r="Y140" i="22" s="1"/>
  <c r="H299" i="22"/>
  <c r="AA299" i="22"/>
  <c r="Z299" i="22" s="1"/>
  <c r="Y299" i="22" s="1"/>
  <c r="G299" i="22"/>
  <c r="CC299" i="6" s="1"/>
  <c r="H215" i="22"/>
  <c r="I215" i="22" s="1"/>
  <c r="G215" i="22"/>
  <c r="CC215" i="6" s="1"/>
  <c r="AA215" i="22"/>
  <c r="Z215" i="22" s="1"/>
  <c r="Y215" i="22" s="1"/>
  <c r="AA274" i="22"/>
  <c r="Z274" i="22" s="1"/>
  <c r="Y274" i="22" s="1"/>
  <c r="G274" i="22"/>
  <c r="CC274" i="6" s="1"/>
  <c r="G38" i="22"/>
  <c r="CC38" i="6" s="1"/>
  <c r="AA38" i="22"/>
  <c r="Z38" i="22" s="1"/>
  <c r="Y38" i="22" s="1"/>
  <c r="G233" i="22"/>
  <c r="CC233" i="6" s="1"/>
  <c r="AA233" i="22"/>
  <c r="Z233" i="22" s="1"/>
  <c r="Y233" i="22" s="1"/>
  <c r="AA170" i="22"/>
  <c r="Z170" i="22" s="1"/>
  <c r="Y170" i="22" s="1"/>
  <c r="G170" i="22"/>
  <c r="CC170" i="6" s="1"/>
  <c r="AA279" i="22"/>
  <c r="Z279" i="22" s="1"/>
  <c r="Y279" i="22" s="1"/>
  <c r="G279" i="22"/>
  <c r="CC279" i="6" s="1"/>
  <c r="G298" i="22"/>
  <c r="CC298" i="6" s="1"/>
  <c r="AA298" i="22"/>
  <c r="Z298" i="22" s="1"/>
  <c r="Y298" i="22" s="1"/>
  <c r="AA133" i="22"/>
  <c r="Z133" i="22" s="1"/>
  <c r="Y133" i="22" s="1"/>
  <c r="G133" i="22"/>
  <c r="CC133" i="6" s="1"/>
  <c r="G50" i="22"/>
  <c r="CC50" i="6" s="1"/>
  <c r="AA50" i="22"/>
  <c r="Z50" i="22" s="1"/>
  <c r="Y50" i="22" s="1"/>
  <c r="G270" i="22"/>
  <c r="CC270" i="6" s="1"/>
  <c r="AA270" i="22"/>
  <c r="Z270" i="22" s="1"/>
  <c r="Y270" i="22" s="1"/>
  <c r="G295" i="22"/>
  <c r="CC295" i="6" s="1"/>
  <c r="AA295" i="22"/>
  <c r="Z295" i="22" s="1"/>
  <c r="Y295" i="22" s="1"/>
  <c r="H295" i="22"/>
  <c r="AA92" i="22"/>
  <c r="Z92" i="22" s="1"/>
  <c r="Y92" i="22" s="1"/>
  <c r="G92" i="22"/>
  <c r="CC92" i="6" s="1"/>
  <c r="H92" i="22"/>
  <c r="I92" i="22" s="1"/>
  <c r="G70" i="22"/>
  <c r="CC70" i="6" s="1"/>
  <c r="AA70" i="22"/>
  <c r="Z70" i="22" s="1"/>
  <c r="Y70" i="22" s="1"/>
  <c r="J305" i="20"/>
  <c r="C305" i="6" s="1"/>
  <c r="I305" i="20"/>
  <c r="B305" i="6" s="1"/>
  <c r="BA305" i="6" s="1"/>
  <c r="D305" i="6" s="1"/>
  <c r="J290" i="20"/>
  <c r="C290" i="6" s="1"/>
  <c r="I290" i="20"/>
  <c r="I254" i="20"/>
  <c r="J254" i="20"/>
  <c r="C254" i="6" s="1"/>
  <c r="I59" i="20"/>
  <c r="B59" i="6" s="1"/>
  <c r="BA59" i="6" s="1"/>
  <c r="D59" i="6" s="1"/>
  <c r="J59" i="20"/>
  <c r="C59" i="6" s="1"/>
  <c r="J376" i="20"/>
  <c r="C376" i="6" s="1"/>
  <c r="I376" i="20"/>
  <c r="I134" i="20"/>
  <c r="B134" i="6" s="1"/>
  <c r="BA134" i="6" s="1"/>
  <c r="D134" i="6" s="1"/>
  <c r="J134" i="20"/>
  <c r="C134" i="6" s="1"/>
  <c r="W40" i="22"/>
  <c r="J227" i="20"/>
  <c r="C227" i="6" s="1"/>
  <c r="I227" i="20"/>
  <c r="B227" i="6" s="1"/>
  <c r="BA227" i="6" s="1"/>
  <c r="D227" i="6" s="1"/>
  <c r="J288" i="20"/>
  <c r="C288" i="6" s="1"/>
  <c r="I288" i="20"/>
  <c r="B288" i="6" s="1"/>
  <c r="BA288" i="6" s="1"/>
  <c r="D288" i="6" s="1"/>
  <c r="J116" i="20"/>
  <c r="C116" i="6" s="1"/>
  <c r="I116" i="20"/>
  <c r="J61" i="20"/>
  <c r="C61" i="6" s="1"/>
  <c r="I61" i="20"/>
  <c r="D76" i="22"/>
  <c r="E76" i="22" s="1"/>
  <c r="F76" i="22" s="1"/>
  <c r="J121" i="20"/>
  <c r="C121" i="6" s="1"/>
  <c r="I121" i="20"/>
  <c r="B121" i="6" s="1"/>
  <c r="BA121" i="6" s="1"/>
  <c r="D121" i="6" s="1"/>
  <c r="I69" i="20"/>
  <c r="B69" i="6" s="1"/>
  <c r="BA69" i="6" s="1"/>
  <c r="D69" i="6" s="1"/>
  <c r="J69" i="20"/>
  <c r="C69" i="6" s="1"/>
  <c r="J315" i="20"/>
  <c r="C315" i="6" s="1"/>
  <c r="I315" i="20"/>
  <c r="I265" i="20"/>
  <c r="B265" i="6" s="1"/>
  <c r="BA265" i="6" s="1"/>
  <c r="D265" i="6" s="1"/>
  <c r="J265" i="20"/>
  <c r="C265" i="6" s="1"/>
  <c r="I181" i="20"/>
  <c r="B181" i="6" s="1"/>
  <c r="BA181" i="6" s="1"/>
  <c r="D181" i="6" s="1"/>
  <c r="J181" i="20"/>
  <c r="C181" i="6" s="1"/>
  <c r="W106" i="22"/>
  <c r="D136" i="22"/>
  <c r="E136" i="22" s="1"/>
  <c r="F136" i="22" s="1"/>
  <c r="D138" i="22"/>
  <c r="E138" i="22" s="1"/>
  <c r="F138" i="22" s="1"/>
  <c r="D103" i="22"/>
  <c r="E103" i="22" s="1"/>
  <c r="F103" i="22" s="1"/>
  <c r="J163" i="20"/>
  <c r="C163" i="6" s="1"/>
  <c r="I163" i="20"/>
  <c r="W184" i="22"/>
  <c r="W312" i="22"/>
  <c r="D224" i="22"/>
  <c r="E224" i="22" s="1"/>
  <c r="F224" i="22" s="1"/>
  <c r="W339" i="22"/>
  <c r="I195" i="20"/>
  <c r="B195" i="6" s="1"/>
  <c r="BA195" i="6" s="1"/>
  <c r="D195" i="6" s="1"/>
  <c r="J195" i="20"/>
  <c r="C195" i="6" s="1"/>
  <c r="D366" i="22"/>
  <c r="E366" i="22" s="1"/>
  <c r="F366" i="22" s="1"/>
  <c r="B379" i="22"/>
  <c r="W126" i="22"/>
  <c r="W262" i="22"/>
  <c r="D39" i="22"/>
  <c r="E39" i="22" s="1"/>
  <c r="F39" i="22" s="1"/>
  <c r="W222" i="22"/>
  <c r="W141" i="22"/>
  <c r="D28" i="22"/>
  <c r="E28" i="22" s="1"/>
  <c r="F28" i="22" s="1"/>
  <c r="W120" i="22"/>
  <c r="W286" i="22"/>
  <c r="W377" i="22"/>
  <c r="W374" i="22"/>
  <c r="D339" i="22"/>
  <c r="E339" i="22" s="1"/>
  <c r="F339" i="22" s="1"/>
  <c r="W320" i="22"/>
  <c r="W294" i="22"/>
  <c r="D208" i="22"/>
  <c r="E208" i="22" s="1"/>
  <c r="F208" i="22" s="1"/>
  <c r="D322" i="22"/>
  <c r="E322" i="22" s="1"/>
  <c r="F322" i="22" s="1"/>
  <c r="D359" i="22"/>
  <c r="E359" i="22" s="1"/>
  <c r="F359" i="22" s="1"/>
  <c r="D73" i="22"/>
  <c r="E73" i="22" s="1"/>
  <c r="F73" i="22" s="1"/>
  <c r="W321" i="22"/>
  <c r="J56" i="20"/>
  <c r="C56" i="6" s="1"/>
  <c r="I56" i="20"/>
  <c r="B56" i="6" s="1"/>
  <c r="BA56" i="6" s="1"/>
  <c r="D56" i="6" s="1"/>
  <c r="W134" i="22"/>
  <c r="J235" i="20"/>
  <c r="C235" i="6" s="1"/>
  <c r="I235" i="20"/>
  <c r="W245" i="22"/>
  <c r="D185" i="22"/>
  <c r="E185" i="22" s="1"/>
  <c r="F185" i="22" s="1"/>
  <c r="D334" i="22"/>
  <c r="E334" i="22" s="1"/>
  <c r="F334" i="22" s="1"/>
  <c r="W121" i="22"/>
  <c r="W232" i="22"/>
  <c r="I150" i="20"/>
  <c r="J150" i="20"/>
  <c r="C150" i="6" s="1"/>
  <c r="I87" i="20"/>
  <c r="B87" i="6" s="1"/>
  <c r="BA87" i="6" s="1"/>
  <c r="D87" i="6" s="1"/>
  <c r="J87" i="20"/>
  <c r="C87" i="6" s="1"/>
  <c r="W357" i="22"/>
  <c r="I106" i="20"/>
  <c r="B106" i="6" s="1"/>
  <c r="BA106" i="6" s="1"/>
  <c r="D106" i="6" s="1"/>
  <c r="J106" i="20"/>
  <c r="C106" i="6" s="1"/>
  <c r="I138" i="20"/>
  <c r="B138" i="6" s="1"/>
  <c r="BA138" i="6" s="1"/>
  <c r="D138" i="6" s="1"/>
  <c r="J138" i="20"/>
  <c r="C138" i="6" s="1"/>
  <c r="I97" i="20"/>
  <c r="J97" i="20"/>
  <c r="C97" i="6" s="1"/>
  <c r="I85" i="20"/>
  <c r="B85" i="6" s="1"/>
  <c r="BA85" i="6" s="1"/>
  <c r="D85" i="6" s="1"/>
  <c r="J85" i="20"/>
  <c r="C85" i="6" s="1"/>
  <c r="I137" i="20"/>
  <c r="J137" i="20"/>
  <c r="C137" i="6" s="1"/>
  <c r="W138" i="22"/>
  <c r="W334" i="22"/>
  <c r="D184" i="22"/>
  <c r="E184" i="22" s="1"/>
  <c r="F184" i="22" s="1"/>
  <c r="D121" i="22"/>
  <c r="E121" i="22" s="1"/>
  <c r="F121" i="22" s="1"/>
  <c r="D52" i="22"/>
  <c r="E52" i="22" s="1"/>
  <c r="F52" i="22" s="1"/>
  <c r="D19" i="22"/>
  <c r="E19" i="22" s="1"/>
  <c r="F19" i="22" s="1"/>
  <c r="W224" i="22"/>
  <c r="D245" i="22"/>
  <c r="E245" i="22" s="1"/>
  <c r="F245" i="22" s="1"/>
  <c r="W76" i="22"/>
  <c r="D220" i="22"/>
  <c r="E220" i="22" s="1"/>
  <c r="F220" i="22" s="1"/>
  <c r="D134" i="22"/>
  <c r="E134" i="22" s="1"/>
  <c r="F134" i="22" s="1"/>
  <c r="W341" i="22"/>
  <c r="W351" i="22"/>
  <c r="D309" i="22"/>
  <c r="E309" i="22" s="1"/>
  <c r="F309" i="22" s="1"/>
  <c r="D259" i="22"/>
  <c r="E259" i="22" s="1"/>
  <c r="F259" i="22" s="1"/>
  <c r="D158" i="22"/>
  <c r="E158" i="22" s="1"/>
  <c r="F158" i="22" s="1"/>
  <c r="W316" i="22"/>
  <c r="D223" i="22"/>
  <c r="E223" i="22" s="1"/>
  <c r="F223" i="22" s="1"/>
  <c r="D68" i="22"/>
  <c r="E68" i="22" s="1"/>
  <c r="F68" i="22" s="1"/>
  <c r="D367" i="22"/>
  <c r="E367" i="22" s="1"/>
  <c r="F367" i="22" s="1"/>
  <c r="W96" i="22"/>
  <c r="W83" i="22"/>
  <c r="W246" i="22"/>
  <c r="D211" i="22"/>
  <c r="E211" i="22" s="1"/>
  <c r="F211" i="22" s="1"/>
  <c r="W185" i="22"/>
  <c r="W209" i="22"/>
  <c r="D64" i="22"/>
  <c r="E64" i="22" s="1"/>
  <c r="F64" i="22" s="1"/>
  <c r="D287" i="22"/>
  <c r="E287" i="22" s="1"/>
  <c r="F287" i="22" s="1"/>
  <c r="D46" i="22"/>
  <c r="E46" i="22" s="1"/>
  <c r="F46" i="22" s="1"/>
  <c r="D328" i="22"/>
  <c r="E328" i="22" s="1"/>
  <c r="F328" i="22" s="1"/>
  <c r="D107" i="22"/>
  <c r="E107" i="22" s="1"/>
  <c r="F107" i="22" s="1"/>
  <c r="W164" i="22"/>
  <c r="W240" i="22"/>
  <c r="D98" i="22"/>
  <c r="E98" i="22" s="1"/>
  <c r="F98" i="22" s="1"/>
  <c r="D353" i="22"/>
  <c r="E353" i="22" s="1"/>
  <c r="F353" i="22" s="1"/>
  <c r="D203" i="22"/>
  <c r="E203" i="22" s="1"/>
  <c r="F203" i="22" s="1"/>
  <c r="W204" i="22"/>
  <c r="W173" i="22"/>
  <c r="I304" i="20"/>
  <c r="J304" i="20"/>
  <c r="C304" i="6" s="1"/>
  <c r="J72" i="20"/>
  <c r="C72" i="6" s="1"/>
  <c r="I72" i="20"/>
  <c r="J280" i="20"/>
  <c r="C280" i="6" s="1"/>
  <c r="I280" i="20"/>
  <c r="B280" i="6" s="1"/>
  <c r="BA280" i="6" s="1"/>
  <c r="D280" i="6" s="1"/>
  <c r="W43" i="22"/>
  <c r="J194" i="20"/>
  <c r="C194" i="6" s="1"/>
  <c r="I194" i="20"/>
  <c r="J50" i="20"/>
  <c r="C50" i="6" s="1"/>
  <c r="I50" i="20"/>
  <c r="B50" i="6" s="1"/>
  <c r="BA50" i="6" s="1"/>
  <c r="D50" i="6" s="1"/>
  <c r="J223" i="20"/>
  <c r="C223" i="6" s="1"/>
  <c r="I223" i="20"/>
  <c r="B223" i="6" s="1"/>
  <c r="BA223" i="6" s="1"/>
  <c r="D223" i="6" s="1"/>
  <c r="W274" i="22"/>
  <c r="J245" i="20"/>
  <c r="C245" i="6" s="1"/>
  <c r="I245" i="20"/>
  <c r="B245" i="6" s="1"/>
  <c r="BA245" i="6" s="1"/>
  <c r="D245" i="6" s="1"/>
  <c r="J373" i="20"/>
  <c r="C373" i="6" s="1"/>
  <c r="I373" i="20"/>
  <c r="B373" i="6" s="1"/>
  <c r="BA373" i="6" s="1"/>
  <c r="D373" i="6" s="1"/>
  <c r="J48" i="20"/>
  <c r="C48" i="6" s="1"/>
  <c r="I48" i="20"/>
  <c r="I139" i="20"/>
  <c r="B139" i="6" s="1"/>
  <c r="BA139" i="6" s="1"/>
  <c r="D139" i="6" s="1"/>
  <c r="J139" i="20"/>
  <c r="C139" i="6" s="1"/>
  <c r="J360" i="20"/>
  <c r="C360" i="6" s="1"/>
  <c r="I360" i="20"/>
  <c r="I112" i="20"/>
  <c r="J112" i="20"/>
  <c r="C112" i="6" s="1"/>
  <c r="I111" i="20"/>
  <c r="B111" i="6" s="1"/>
  <c r="BA111" i="6" s="1"/>
  <c r="D111" i="6" s="1"/>
  <c r="J111" i="20"/>
  <c r="C111" i="6" s="1"/>
  <c r="W38" i="22"/>
  <c r="D250" i="22"/>
  <c r="E250" i="22" s="1"/>
  <c r="F250" i="22" s="1"/>
  <c r="I310" i="20"/>
  <c r="J310" i="20"/>
  <c r="C310" i="6" s="1"/>
  <c r="W129" i="22"/>
  <c r="J285" i="20"/>
  <c r="C285" i="6" s="1"/>
  <c r="I285" i="20"/>
  <c r="J155" i="20"/>
  <c r="C155" i="6" s="1"/>
  <c r="I155" i="20"/>
  <c r="B155" i="6" s="1"/>
  <c r="BA155" i="6" s="1"/>
  <c r="D155" i="6" s="1"/>
  <c r="I191" i="20"/>
  <c r="J191" i="20"/>
  <c r="C191" i="6" s="1"/>
  <c r="J118" i="20"/>
  <c r="C118" i="6" s="1"/>
  <c r="I118" i="20"/>
  <c r="B118" i="6" s="1"/>
  <c r="BA118" i="6" s="1"/>
  <c r="D118" i="6" s="1"/>
  <c r="W170" i="22"/>
  <c r="I78" i="20"/>
  <c r="J78" i="20"/>
  <c r="C78" i="6" s="1"/>
  <c r="I113" i="20"/>
  <c r="B113" i="6" s="1"/>
  <c r="BA113" i="6" s="1"/>
  <c r="D113" i="6" s="1"/>
  <c r="J113" i="20"/>
  <c r="C113" i="6" s="1"/>
  <c r="W130" i="22"/>
  <c r="D166" i="22"/>
  <c r="E166" i="22" s="1"/>
  <c r="F166" i="22" s="1"/>
  <c r="J293" i="20"/>
  <c r="C293" i="6" s="1"/>
  <c r="I293" i="20"/>
  <c r="B293" i="6" s="1"/>
  <c r="BA293" i="6" s="1"/>
  <c r="D293" i="6" s="1"/>
  <c r="J267" i="20"/>
  <c r="C267" i="6" s="1"/>
  <c r="I267" i="20"/>
  <c r="I228" i="20"/>
  <c r="B228" i="6" s="1"/>
  <c r="BA228" i="6" s="1"/>
  <c r="D228" i="6" s="1"/>
  <c r="J228" i="20"/>
  <c r="C228" i="6" s="1"/>
  <c r="J153" i="20"/>
  <c r="C153" i="6" s="1"/>
  <c r="I153" i="20"/>
  <c r="D221" i="22"/>
  <c r="E221" i="22" s="1"/>
  <c r="F221" i="22" s="1"/>
  <c r="D144" i="22"/>
  <c r="E144" i="22" s="1"/>
  <c r="F144" i="22" s="1"/>
  <c r="I109" i="20"/>
  <c r="J109" i="20"/>
  <c r="C109" i="6" s="1"/>
  <c r="I263" i="20"/>
  <c r="B263" i="6" s="1"/>
  <c r="BA263" i="6" s="1"/>
  <c r="D263" i="6" s="1"/>
  <c r="J263" i="20"/>
  <c r="C263" i="6" s="1"/>
  <c r="W329" i="22"/>
  <c r="D130" i="22"/>
  <c r="E130" i="22" s="1"/>
  <c r="F130" i="22" s="1"/>
  <c r="D126" i="22"/>
  <c r="E126" i="22" s="1"/>
  <c r="F126" i="22" s="1"/>
  <c r="D262" i="22"/>
  <c r="E262" i="22" s="1"/>
  <c r="F262" i="22" s="1"/>
  <c r="W79" i="22"/>
  <c r="D222" i="22"/>
  <c r="E222" i="22" s="1"/>
  <c r="F222" i="22" s="1"/>
  <c r="D141" i="22"/>
  <c r="E141" i="22" s="1"/>
  <c r="F141" i="22" s="1"/>
  <c r="W28" i="22"/>
  <c r="D120" i="22"/>
  <c r="E120" i="22" s="1"/>
  <c r="F120" i="22" s="1"/>
  <c r="D271" i="22"/>
  <c r="E271" i="22" s="1"/>
  <c r="F271" i="22" s="1"/>
  <c r="D343" i="22"/>
  <c r="E343" i="22" s="1"/>
  <c r="F343" i="22" s="1"/>
  <c r="D182" i="22"/>
  <c r="E182" i="22" s="1"/>
  <c r="F182" i="22" s="1"/>
  <c r="D286" i="22"/>
  <c r="E286" i="22" s="1"/>
  <c r="F286" i="22" s="1"/>
  <c r="W250" i="22"/>
  <c r="W26" i="22"/>
  <c r="D40" i="22"/>
  <c r="E40" i="22" s="1"/>
  <c r="F40" i="22" s="1"/>
  <c r="D231" i="22"/>
  <c r="E231" i="22" s="1"/>
  <c r="F231" i="22" s="1"/>
  <c r="D377" i="22"/>
  <c r="E377" i="22" s="1"/>
  <c r="F377" i="22" s="1"/>
  <c r="W183" i="22"/>
  <c r="W278" i="22"/>
  <c r="D129" i="22"/>
  <c r="E129" i="22" s="1"/>
  <c r="F129" i="22" s="1"/>
  <c r="W239" i="22"/>
  <c r="W16" i="22"/>
  <c r="W202" i="22"/>
  <c r="D312" i="22"/>
  <c r="E312" i="22" s="1"/>
  <c r="F312" i="22" s="1"/>
  <c r="W17" i="22"/>
  <c r="D306" i="22"/>
  <c r="E306" i="22" s="1"/>
  <c r="F306" i="22" s="1"/>
  <c r="D329" i="22"/>
  <c r="E329" i="22" s="1"/>
  <c r="F329" i="22" s="1"/>
  <c r="W282" i="22"/>
  <c r="D30" i="22"/>
  <c r="E30" i="22" s="1"/>
  <c r="F30" i="22" s="1"/>
  <c r="W238" i="22"/>
  <c r="W144" i="22"/>
  <c r="W103" i="22"/>
  <c r="W110" i="22"/>
  <c r="D27" i="22"/>
  <c r="E27" i="22" s="1"/>
  <c r="F27" i="22" s="1"/>
  <c r="D303" i="22"/>
  <c r="E303" i="22" s="1"/>
  <c r="F303" i="22" s="1"/>
  <c r="W301" i="22"/>
  <c r="D176" i="22"/>
  <c r="E176" i="22" s="1"/>
  <c r="F176" i="22" s="1"/>
  <c r="D115" i="22"/>
  <c r="E115" i="22" s="1"/>
  <c r="F115" i="22" s="1"/>
  <c r="W336" i="22"/>
  <c r="D349" i="22"/>
  <c r="E349" i="22" s="1"/>
  <c r="F349" i="22" s="1"/>
  <c r="D22" i="22"/>
  <c r="E22" i="22" s="1"/>
  <c r="F22" i="22" s="1"/>
  <c r="D307" i="22"/>
  <c r="E307" i="22" s="1"/>
  <c r="F307" i="22" s="1"/>
  <c r="W322" i="22"/>
  <c r="D313" i="22"/>
  <c r="E313" i="22" s="1"/>
  <c r="F313" i="22" s="1"/>
  <c r="W359" i="22"/>
  <c r="D94" i="22"/>
  <c r="E94" i="22" s="1"/>
  <c r="F94" i="22" s="1"/>
  <c r="D34" i="22"/>
  <c r="E34" i="22" s="1"/>
  <c r="F34" i="22" s="1"/>
  <c r="D256" i="22"/>
  <c r="E256" i="22" s="1"/>
  <c r="F256" i="22" s="1"/>
  <c r="W33" i="22"/>
  <c r="W51" i="22"/>
  <c r="J79" i="20"/>
  <c r="C79" i="6" s="1"/>
  <c r="I79" i="20"/>
  <c r="J43" i="20"/>
  <c r="C43" i="6" s="1"/>
  <c r="I43" i="20"/>
  <c r="B43" i="6" s="1"/>
  <c r="BA43" i="6" s="1"/>
  <c r="D43" i="6" s="1"/>
  <c r="W50" i="22"/>
  <c r="I212" i="20"/>
  <c r="B212" i="6" s="1"/>
  <c r="BA212" i="6" s="1"/>
  <c r="D212" i="6" s="1"/>
  <c r="J212" i="20"/>
  <c r="C212" i="6" s="1"/>
  <c r="I287" i="20"/>
  <c r="B287" i="6" s="1"/>
  <c r="BA287" i="6" s="1"/>
  <c r="D287" i="6" s="1"/>
  <c r="J287" i="20"/>
  <c r="C287" i="6" s="1"/>
  <c r="I38" i="20"/>
  <c r="B38" i="6" s="1"/>
  <c r="BA38" i="6" s="1"/>
  <c r="D38" i="6" s="1"/>
  <c r="J38" i="20"/>
  <c r="C38" i="6" s="1"/>
  <c r="J39" i="20"/>
  <c r="C39" i="6" s="1"/>
  <c r="I39" i="20"/>
  <c r="B39" i="6" s="1"/>
  <c r="BA39" i="6" s="1"/>
  <c r="D39" i="6" s="1"/>
  <c r="J98" i="20"/>
  <c r="C98" i="6" s="1"/>
  <c r="I98" i="20"/>
  <c r="B98" i="6" s="1"/>
  <c r="BA98" i="6" s="1"/>
  <c r="D98" i="6" s="1"/>
  <c r="J75" i="20"/>
  <c r="C75" i="6" s="1"/>
  <c r="I75" i="20"/>
  <c r="J145" i="20"/>
  <c r="C145" i="6" s="1"/>
  <c r="I145" i="20"/>
  <c r="D77" i="22"/>
  <c r="E77" i="22" s="1"/>
  <c r="F77" i="22" s="1"/>
  <c r="I273" i="20"/>
  <c r="B273" i="6" s="1"/>
  <c r="BA273" i="6" s="1"/>
  <c r="D273" i="6" s="1"/>
  <c r="J273" i="20"/>
  <c r="C273" i="6" s="1"/>
  <c r="J164" i="20"/>
  <c r="C164" i="6" s="1"/>
  <c r="I164" i="20"/>
  <c r="I341" i="20"/>
  <c r="J341" i="20"/>
  <c r="C341" i="6" s="1"/>
  <c r="J308" i="20"/>
  <c r="C308" i="6" s="1"/>
  <c r="I308" i="20"/>
  <c r="W136" i="22"/>
  <c r="D232" i="22"/>
  <c r="E232" i="22" s="1"/>
  <c r="F232" i="22" s="1"/>
  <c r="D82" i="22"/>
  <c r="E82" i="22" s="1"/>
  <c r="F82" i="22" s="1"/>
  <c r="D357" i="22"/>
  <c r="E357" i="22" s="1"/>
  <c r="F357" i="22" s="1"/>
  <c r="D43" i="22"/>
  <c r="E43" i="22" s="1"/>
  <c r="F43" i="22" s="1"/>
  <c r="D51" i="22"/>
  <c r="E51" i="22" s="1"/>
  <c r="F51" i="22" s="1"/>
  <c r="W205" i="22"/>
  <c r="W366" i="22"/>
  <c r="D106" i="22"/>
  <c r="E106" i="22" s="1"/>
  <c r="F106" i="22" s="1"/>
  <c r="W166" i="22"/>
  <c r="W47" i="22"/>
  <c r="D348" i="22"/>
  <c r="E348" i="22" s="1"/>
  <c r="F348" i="22" s="1"/>
  <c r="D127" i="22"/>
  <c r="E127" i="22" s="1"/>
  <c r="F127" i="22" s="1"/>
  <c r="W116" i="22"/>
  <c r="D273" i="22"/>
  <c r="E273" i="22" s="1"/>
  <c r="F273" i="22" s="1"/>
  <c r="D356" i="22"/>
  <c r="E356" i="22" s="1"/>
  <c r="F356" i="22" s="1"/>
  <c r="D195" i="22"/>
  <c r="E195" i="22" s="1"/>
  <c r="F195" i="22" s="1"/>
  <c r="D265" i="22"/>
  <c r="E265" i="22" s="1"/>
  <c r="F265" i="22" s="1"/>
  <c r="W131" i="22"/>
  <c r="W347" i="22"/>
  <c r="W157" i="22"/>
  <c r="D373" i="22"/>
  <c r="E373" i="22" s="1"/>
  <c r="F373" i="22" s="1"/>
  <c r="W255" i="22"/>
  <c r="D56" i="22"/>
  <c r="E56" i="22" s="1"/>
  <c r="F56" i="22" s="1"/>
  <c r="W225" i="22"/>
  <c r="D317" i="22"/>
  <c r="E317" i="22" s="1"/>
  <c r="F317" i="22" s="1"/>
  <c r="W87" i="22"/>
  <c r="D337" i="22"/>
  <c r="E337" i="22" s="1"/>
  <c r="F337" i="22" s="1"/>
  <c r="W297" i="22"/>
  <c r="W81" i="22"/>
  <c r="D281" i="22"/>
  <c r="E281" i="22" s="1"/>
  <c r="F281" i="22" s="1"/>
  <c r="W54" i="22"/>
  <c r="W305" i="22"/>
  <c r="W293" i="22"/>
  <c r="D86" i="22"/>
  <c r="E86" i="22" s="1"/>
  <c r="F86" i="22" s="1"/>
  <c r="D69" i="22"/>
  <c r="E69" i="22" s="1"/>
  <c r="F69" i="22" s="1"/>
  <c r="D280" i="22"/>
  <c r="E280" i="22" s="1"/>
  <c r="F280" i="22" s="1"/>
  <c r="W263" i="22"/>
  <c r="D253" i="22"/>
  <c r="E253" i="22" s="1"/>
  <c r="F253" i="22" s="1"/>
  <c r="W236" i="22"/>
  <c r="W268" i="22"/>
  <c r="D212" i="22"/>
  <c r="E212" i="22" s="1"/>
  <c r="F212" i="22" s="1"/>
  <c r="D59" i="22"/>
  <c r="E59" i="22" s="1"/>
  <c r="F59" i="22" s="1"/>
  <c r="D122" i="22"/>
  <c r="E122" i="22" s="1"/>
  <c r="F122" i="22" s="1"/>
  <c r="D167" i="22"/>
  <c r="E167" i="22" s="1"/>
  <c r="F167" i="22" s="1"/>
  <c r="D355" i="22"/>
  <c r="E355" i="22" s="1"/>
  <c r="F355" i="22" s="1"/>
  <c r="W161" i="22"/>
  <c r="W113" i="22"/>
  <c r="D111" i="22"/>
  <c r="E111" i="22" s="1"/>
  <c r="F111" i="22" s="1"/>
  <c r="D41" i="22"/>
  <c r="E41" i="22" s="1"/>
  <c r="F41" i="22" s="1"/>
  <c r="W201" i="22"/>
  <c r="D85" i="22"/>
  <c r="E85" i="22" s="1"/>
  <c r="F85" i="22" s="1"/>
  <c r="AA370" i="22"/>
  <c r="Z370" i="22" s="1"/>
  <c r="Y370" i="22" s="1"/>
  <c r="AA301" i="22"/>
  <c r="Z301" i="22" s="1"/>
  <c r="Y301" i="22" s="1"/>
  <c r="AA20" i="22"/>
  <c r="Z20" i="22" s="1"/>
  <c r="Y20" i="22" s="1"/>
  <c r="G125" i="22"/>
  <c r="CC125" i="6" s="1"/>
  <c r="AA16" i="22"/>
  <c r="Z16" i="22" s="1"/>
  <c r="Y16" i="22" s="1"/>
  <c r="AA297" i="22"/>
  <c r="Z297" i="22" s="1"/>
  <c r="Y297" i="22" s="1"/>
  <c r="H204" i="22"/>
  <c r="G335" i="22"/>
  <c r="CC335" i="6" s="1"/>
  <c r="AA174" i="22"/>
  <c r="Z174" i="22" s="1"/>
  <c r="Y174" i="22" s="1"/>
  <c r="G155" i="22"/>
  <c r="CC155" i="6" s="1"/>
  <c r="AA305" i="22"/>
  <c r="Z305" i="22" s="1"/>
  <c r="Y305" i="22" s="1"/>
  <c r="G160" i="22"/>
  <c r="CC160" i="6" s="1"/>
  <c r="I198" i="20"/>
  <c r="J198" i="20"/>
  <c r="C198" i="6" s="1"/>
  <c r="I348" i="20"/>
  <c r="J348" i="20"/>
  <c r="C348" i="6" s="1"/>
  <c r="I321" i="20"/>
  <c r="J321" i="20"/>
  <c r="C321" i="6" s="1"/>
  <c r="J122" i="20"/>
  <c r="C122" i="6" s="1"/>
  <c r="I122" i="20"/>
  <c r="I104" i="20"/>
  <c r="B104" i="6" s="1"/>
  <c r="BA104" i="6" s="1"/>
  <c r="D104" i="6" s="1"/>
  <c r="J104" i="20"/>
  <c r="C104" i="6" s="1"/>
  <c r="I158" i="20"/>
  <c r="J158" i="20"/>
  <c r="C158" i="6" s="1"/>
  <c r="J114" i="20"/>
  <c r="C114" i="6" s="1"/>
  <c r="I114" i="20"/>
  <c r="I244" i="20"/>
  <c r="J244" i="20"/>
  <c r="C244" i="6" s="1"/>
  <c r="I266" i="20"/>
  <c r="J266" i="20"/>
  <c r="C266" i="6" s="1"/>
  <c r="I233" i="20"/>
  <c r="J233" i="20"/>
  <c r="C233" i="6" s="1"/>
  <c r="J365" i="20"/>
  <c r="C365" i="6" s="1"/>
  <c r="I365" i="20"/>
  <c r="B365" i="6" s="1"/>
  <c r="BA365" i="6" s="1"/>
  <c r="D365" i="6" s="1"/>
  <c r="J251" i="20"/>
  <c r="C251" i="6" s="1"/>
  <c r="I251" i="20"/>
  <c r="J130" i="20"/>
  <c r="C130" i="6" s="1"/>
  <c r="I130" i="20"/>
  <c r="I103" i="20"/>
  <c r="J103" i="20"/>
  <c r="C103" i="6" s="1"/>
  <c r="J356" i="20"/>
  <c r="C356" i="6" s="1"/>
  <c r="I356" i="20"/>
  <c r="J47" i="20"/>
  <c r="C47" i="6" s="1"/>
  <c r="I47" i="20"/>
  <c r="B47" i="6" s="1"/>
  <c r="BA47" i="6" s="1"/>
  <c r="D47" i="6" s="1"/>
  <c r="J264" i="20"/>
  <c r="C264" i="6" s="1"/>
  <c r="I264" i="20"/>
  <c r="J71" i="20"/>
  <c r="C71" i="6" s="1"/>
  <c r="I71" i="20"/>
  <c r="B71" i="6" s="1"/>
  <c r="BA71" i="6" s="1"/>
  <c r="D71" i="6" s="1"/>
  <c r="H47" i="22"/>
  <c r="J349" i="20"/>
  <c r="C349" i="6" s="1"/>
  <c r="I349" i="20"/>
  <c r="J54" i="20"/>
  <c r="C54" i="6" s="1"/>
  <c r="I54" i="20"/>
  <c r="B54" i="6" s="1"/>
  <c r="BA54" i="6" s="1"/>
  <c r="D54" i="6" s="1"/>
  <c r="I209" i="20"/>
  <c r="B209" i="6" s="1"/>
  <c r="BA209" i="6" s="1"/>
  <c r="D209" i="6" s="1"/>
  <c r="J209" i="20"/>
  <c r="C209" i="6" s="1"/>
  <c r="I372" i="20"/>
  <c r="J372" i="20"/>
  <c r="C372" i="6" s="1"/>
  <c r="I331" i="20"/>
  <c r="J331" i="20"/>
  <c r="C331" i="6" s="1"/>
  <c r="I324" i="20"/>
  <c r="J324" i="20"/>
  <c r="C324" i="6" s="1"/>
  <c r="I179" i="20"/>
  <c r="J179" i="20"/>
  <c r="C179" i="6" s="1"/>
  <c r="I369" i="20"/>
  <c r="J369" i="20"/>
  <c r="C369" i="6" s="1"/>
  <c r="I370" i="20"/>
  <c r="J370" i="20"/>
  <c r="C370" i="6" s="1"/>
  <c r="J182" i="20"/>
  <c r="C182" i="6" s="1"/>
  <c r="I182" i="20"/>
  <c r="I340" i="20"/>
  <c r="J340" i="20"/>
  <c r="C340" i="6" s="1"/>
  <c r="I207" i="20"/>
  <c r="J207" i="20"/>
  <c r="C207" i="6" s="1"/>
  <c r="J221" i="20"/>
  <c r="C221" i="6" s="1"/>
  <c r="I221" i="20"/>
  <c r="I133" i="20"/>
  <c r="J133" i="20"/>
  <c r="C133" i="6" s="1"/>
  <c r="I329" i="20"/>
  <c r="J329" i="20"/>
  <c r="C329" i="6" s="1"/>
  <c r="J307" i="20"/>
  <c r="C307" i="6" s="1"/>
  <c r="I307" i="20"/>
  <c r="I86" i="20"/>
  <c r="J86" i="20"/>
  <c r="C86" i="6" s="1"/>
  <c r="J96" i="20"/>
  <c r="C96" i="6" s="1"/>
  <c r="I96" i="20"/>
  <c r="B96" i="6" s="1"/>
  <c r="BA96" i="6" s="1"/>
  <c r="D96" i="6" s="1"/>
  <c r="I53" i="20"/>
  <c r="J53" i="20"/>
  <c r="C53" i="6" s="1"/>
  <c r="I193" i="20"/>
  <c r="B193" i="6" s="1"/>
  <c r="BA193" i="6" s="1"/>
  <c r="D193" i="6" s="1"/>
  <c r="J193" i="20"/>
  <c r="C193" i="6" s="1"/>
  <c r="I166" i="20"/>
  <c r="J166" i="20"/>
  <c r="C166" i="6" s="1"/>
  <c r="G236" i="22"/>
  <c r="CC236" i="6" s="1"/>
  <c r="G341" i="22"/>
  <c r="CC341" i="6" s="1"/>
  <c r="G16" i="22"/>
  <c r="CC16" i="6" s="1"/>
  <c r="H96" i="22"/>
  <c r="I96" i="22" s="1"/>
  <c r="G108" i="22"/>
  <c r="CC108" i="6" s="1"/>
  <c r="AA113" i="22"/>
  <c r="Z113" i="22" s="1"/>
  <c r="Y113" i="22" s="1"/>
  <c r="AA168" i="22"/>
  <c r="Z168" i="22" s="1"/>
  <c r="Y168" i="22" s="1"/>
  <c r="H294" i="22"/>
  <c r="J294" i="22" s="1"/>
  <c r="AA336" i="22"/>
  <c r="Z336" i="22" s="1"/>
  <c r="Y336" i="22" s="1"/>
  <c r="H335" i="22"/>
  <c r="I335" i="22" s="1"/>
  <c r="AA104" i="22"/>
  <c r="Z104" i="22" s="1"/>
  <c r="Y104" i="22" s="1"/>
  <c r="G47" i="22"/>
  <c r="CC47" i="6" s="1"/>
  <c r="AA71" i="22"/>
  <c r="Z71" i="22" s="1"/>
  <c r="Y71" i="22" s="1"/>
  <c r="H174" i="22"/>
  <c r="J174" i="22" s="1"/>
  <c r="H81" i="22"/>
  <c r="I81" i="22" s="1"/>
  <c r="G79" i="22"/>
  <c r="CC79" i="6" s="1"/>
  <c r="G282" i="22"/>
  <c r="CC282" i="6" s="1"/>
  <c r="G169" i="22"/>
  <c r="CC169" i="6" s="1"/>
  <c r="G213" i="22"/>
  <c r="CC213" i="6" s="1"/>
  <c r="AA110" i="22"/>
  <c r="Z110" i="22" s="1"/>
  <c r="Y110" i="22" s="1"/>
  <c r="H139" i="22"/>
  <c r="J139" i="22" s="1"/>
  <c r="AA228" i="22"/>
  <c r="Z228" i="22" s="1"/>
  <c r="Y228" i="22" s="1"/>
  <c r="AA96" i="22"/>
  <c r="Z96" i="22" s="1"/>
  <c r="Y96" i="22" s="1"/>
  <c r="H297" i="22"/>
  <c r="J297" i="22" s="1"/>
  <c r="G173" i="22"/>
  <c r="CC173" i="6" s="1"/>
  <c r="G204" i="22"/>
  <c r="CC204" i="6" s="1"/>
  <c r="AA100" i="22"/>
  <c r="Z100" i="22" s="1"/>
  <c r="Y100" i="22" s="1"/>
  <c r="H168" i="22"/>
  <c r="I168" i="22" s="1"/>
  <c r="AA294" i="22"/>
  <c r="Z294" i="22" s="1"/>
  <c r="Y294" i="22" s="1"/>
  <c r="AA26" i="22"/>
  <c r="Z26" i="22" s="1"/>
  <c r="Y26" i="22" s="1"/>
  <c r="G57" i="22"/>
  <c r="CC57" i="6" s="1"/>
  <c r="AA54" i="22"/>
  <c r="Z54" i="22" s="1"/>
  <c r="Y54" i="22" s="1"/>
  <c r="AA351" i="22"/>
  <c r="Z351" i="22" s="1"/>
  <c r="Y351" i="22" s="1"/>
  <c r="H301" i="22"/>
  <c r="J301" i="22" s="1"/>
  <c r="H202" i="22"/>
  <c r="I202" i="22" s="1"/>
  <c r="AA239" i="22"/>
  <c r="Z239" i="22" s="1"/>
  <c r="Y239" i="22" s="1"/>
  <c r="AA236" i="22"/>
  <c r="Z236" i="22" s="1"/>
  <c r="Y236" i="22" s="1"/>
  <c r="H87" i="22"/>
  <c r="AA132" i="22"/>
  <c r="Z132" i="22" s="1"/>
  <c r="Y132" i="22" s="1"/>
  <c r="G201" i="22"/>
  <c r="CC201" i="6" s="1"/>
  <c r="AA200" i="22"/>
  <c r="Z200" i="22" s="1"/>
  <c r="Y200" i="22" s="1"/>
  <c r="AA55" i="22"/>
  <c r="Z55" i="22" s="1"/>
  <c r="Y55" i="22" s="1"/>
  <c r="AA296" i="22"/>
  <c r="Z296" i="22" s="1"/>
  <c r="Y296" i="22" s="1"/>
  <c r="H104" i="22"/>
  <c r="AA218" i="22"/>
  <c r="Z218" i="22" s="1"/>
  <c r="Y218" i="22" s="1"/>
  <c r="H155" i="22"/>
  <c r="AA193" i="22"/>
  <c r="Z193" i="22" s="1"/>
  <c r="Y193" i="22" s="1"/>
  <c r="H305" i="22"/>
  <c r="AA181" i="22"/>
  <c r="Z181" i="22" s="1"/>
  <c r="Y181" i="22" s="1"/>
  <c r="H209" i="22"/>
  <c r="H318" i="22"/>
  <c r="J318" i="22" s="1"/>
  <c r="H260" i="22"/>
  <c r="H239" i="22"/>
  <c r="I239" i="22" s="1"/>
  <c r="AA57" i="22"/>
  <c r="Z57" i="22" s="1"/>
  <c r="Y57" i="22" s="1"/>
  <c r="G54" i="22"/>
  <c r="CC54" i="6" s="1"/>
  <c r="H263" i="22"/>
  <c r="J263" i="22" s="1"/>
  <c r="AA213" i="22"/>
  <c r="Z213" i="22" s="1"/>
  <c r="Y213" i="22" s="1"/>
  <c r="AA157" i="22"/>
  <c r="Z157" i="22" s="1"/>
  <c r="Y157" i="22" s="1"/>
  <c r="AA164" i="22"/>
  <c r="Z164" i="22" s="1"/>
  <c r="Y164" i="22" s="1"/>
  <c r="H118" i="22"/>
  <c r="J118" i="22" s="1"/>
  <c r="H268" i="22"/>
  <c r="I268" i="22" s="1"/>
  <c r="AA202" i="22"/>
  <c r="Z202" i="22" s="1"/>
  <c r="Y202" i="22" s="1"/>
  <c r="AA263" i="22"/>
  <c r="Z263" i="22" s="1"/>
  <c r="Y263" i="22" s="1"/>
  <c r="D29" i="6"/>
  <c r="H64" i="22"/>
  <c r="J64" i="22" s="1"/>
  <c r="B64" i="6"/>
  <c r="BA64" i="6" s="1"/>
  <c r="D64" i="6" s="1"/>
  <c r="H192" i="22"/>
  <c r="I192" i="22" s="1"/>
  <c r="B192" i="6"/>
  <c r="BA192" i="6" s="1"/>
  <c r="D192" i="6" s="1"/>
  <c r="H63" i="22"/>
  <c r="J63" i="22" s="1"/>
  <c r="B63" i="6"/>
  <c r="BA63" i="6" s="1"/>
  <c r="D63" i="6" s="1"/>
  <c r="H276" i="22"/>
  <c r="J276" i="22" s="1"/>
  <c r="B276" i="6"/>
  <c r="BA276" i="6" s="1"/>
  <c r="D276" i="6" s="1"/>
  <c r="H336" i="22"/>
  <c r="I336" i="22" s="1"/>
  <c r="B336" i="6"/>
  <c r="BA336" i="6" s="1"/>
  <c r="D336" i="6" s="1"/>
  <c r="H40" i="22"/>
  <c r="J40" i="22" s="1"/>
  <c r="B40" i="6"/>
  <c r="BA40" i="6" s="1"/>
  <c r="D40" i="6" s="1"/>
  <c r="H25" i="22"/>
  <c r="I25" i="22" s="1"/>
  <c r="B25" i="6"/>
  <c r="BA25" i="6" s="1"/>
  <c r="D25" i="6" s="1"/>
  <c r="H147" i="22"/>
  <c r="I147" i="22" s="1"/>
  <c r="B147" i="6"/>
  <c r="BA147" i="6" s="1"/>
  <c r="D147" i="6" s="1"/>
  <c r="H142" i="22"/>
  <c r="I142" i="22" s="1"/>
  <c r="B142" i="6"/>
  <c r="BA142" i="6" s="1"/>
  <c r="H146" i="22"/>
  <c r="J146" i="22" s="1"/>
  <c r="B146" i="6"/>
  <c r="BA146" i="6" s="1"/>
  <c r="D146" i="6" s="1"/>
  <c r="H67" i="22"/>
  <c r="J67" i="22" s="1"/>
  <c r="B67" i="6"/>
  <c r="BA67" i="6" s="1"/>
  <c r="D67" i="6" s="1"/>
  <c r="H313" i="22"/>
  <c r="I313" i="22" s="1"/>
  <c r="B313" i="6"/>
  <c r="BA313" i="6" s="1"/>
  <c r="H160" i="22"/>
  <c r="J160" i="22" s="1"/>
  <c r="B160" i="6"/>
  <c r="BA160" i="6" s="1"/>
  <c r="D160" i="6" s="1"/>
  <c r="H18" i="22"/>
  <c r="J18" i="22" s="1"/>
  <c r="B18" i="6"/>
  <c r="BA18" i="6" s="1"/>
  <c r="D18" i="6" s="1"/>
  <c r="H343" i="22"/>
  <c r="I343" i="22" s="1"/>
  <c r="B343" i="6"/>
  <c r="BA343" i="6" s="1"/>
  <c r="D343" i="6" s="1"/>
  <c r="H126" i="22"/>
  <c r="I126" i="22" s="1"/>
  <c r="B126" i="6"/>
  <c r="BA126" i="6" s="1"/>
  <c r="D126" i="6" s="1"/>
  <c r="H42" i="22"/>
  <c r="J42" i="22" s="1"/>
  <c r="B42" i="6"/>
  <c r="BA42" i="6" s="1"/>
  <c r="D42" i="6" s="1"/>
  <c r="H110" i="22"/>
  <c r="J110" i="22" s="1"/>
  <c r="B110" i="6"/>
  <c r="BA110" i="6" s="1"/>
  <c r="D110" i="6" s="1"/>
  <c r="H82" i="22"/>
  <c r="J82" i="22" s="1"/>
  <c r="B82" i="6"/>
  <c r="BA82" i="6" s="1"/>
  <c r="D82" i="6" s="1"/>
  <c r="H171" i="22"/>
  <c r="I171" i="22" s="1"/>
  <c r="B171" i="6"/>
  <c r="BA171" i="6" s="1"/>
  <c r="D171" i="6" s="1"/>
  <c r="H95" i="22"/>
  <c r="J95" i="22" s="1"/>
  <c r="B95" i="6"/>
  <c r="BA95" i="6" s="1"/>
  <c r="D95" i="6" s="1"/>
  <c r="H282" i="22"/>
  <c r="I282" i="22" s="1"/>
  <c r="B282" i="6"/>
  <c r="BA282" i="6" s="1"/>
  <c r="D282" i="6" s="1"/>
  <c r="H291" i="22"/>
  <c r="J291" i="22" s="1"/>
  <c r="B291" i="6"/>
  <c r="BA291" i="6" s="1"/>
  <c r="D291" i="6" s="1"/>
  <c r="H190" i="22"/>
  <c r="I190" i="22" s="1"/>
  <c r="B190" i="6"/>
  <c r="BA190" i="6" s="1"/>
  <c r="D190" i="6" s="1"/>
  <c r="H100" i="22"/>
  <c r="J100" i="22" s="1"/>
  <c r="B100" i="6"/>
  <c r="BA100" i="6" s="1"/>
  <c r="H256" i="22"/>
  <c r="I256" i="22" s="1"/>
  <c r="B256" i="6"/>
  <c r="BA256" i="6" s="1"/>
  <c r="D256" i="6" s="1"/>
  <c r="H136" i="22"/>
  <c r="J136" i="22" s="1"/>
  <c r="B136" i="6"/>
  <c r="BA136" i="6" s="1"/>
  <c r="D136" i="6" s="1"/>
  <c r="H230" i="22"/>
  <c r="I230" i="22" s="1"/>
  <c r="B230" i="6"/>
  <c r="BA230" i="6" s="1"/>
  <c r="D230" i="6" s="1"/>
  <c r="H286" i="22"/>
  <c r="J286" i="22" s="1"/>
  <c r="B286" i="6"/>
  <c r="BA286" i="6" s="1"/>
  <c r="D286" i="6" s="1"/>
  <c r="H328" i="22"/>
  <c r="I328" i="22" s="1"/>
  <c r="B328" i="6"/>
  <c r="BA328" i="6" s="1"/>
  <c r="H357" i="22"/>
  <c r="I357" i="22" s="1"/>
  <c r="B357" i="6"/>
  <c r="BA357" i="6" s="1"/>
  <c r="D357" i="6" s="1"/>
  <c r="H281" i="22"/>
  <c r="I281" i="22" s="1"/>
  <c r="B281" i="6"/>
  <c r="BA281" i="6" s="1"/>
  <c r="H197" i="22"/>
  <c r="J197" i="22" s="1"/>
  <c r="B197" i="6"/>
  <c r="BA197" i="6" s="1"/>
  <c r="D197" i="6" s="1"/>
  <c r="H125" i="22"/>
  <c r="J125" i="22" s="1"/>
  <c r="B125" i="6"/>
  <c r="BA125" i="6" s="1"/>
  <c r="D125" i="6" s="1"/>
  <c r="H91" i="22"/>
  <c r="J91" i="22" s="1"/>
  <c r="B91" i="6"/>
  <c r="BA91" i="6" s="1"/>
  <c r="D91" i="6" s="1"/>
  <c r="H249" i="22"/>
  <c r="I249" i="22" s="1"/>
  <c r="B249" i="6"/>
  <c r="BA249" i="6" s="1"/>
  <c r="D249" i="6" s="1"/>
  <c r="H292" i="22"/>
  <c r="I292" i="22" s="1"/>
  <c r="B292" i="6"/>
  <c r="BA292" i="6" s="1"/>
  <c r="D292" i="6" s="1"/>
  <c r="H151" i="22"/>
  <c r="I151" i="22" s="1"/>
  <c r="B151" i="6"/>
  <c r="BA151" i="6" s="1"/>
  <c r="D151" i="6" s="1"/>
  <c r="H352" i="22"/>
  <c r="J352" i="22" s="1"/>
  <c r="B352" i="6"/>
  <c r="BA352" i="6" s="1"/>
  <c r="H203" i="22"/>
  <c r="I203" i="22" s="1"/>
  <c r="B203" i="6"/>
  <c r="BA203" i="6" s="1"/>
  <c r="D203" i="6" s="1"/>
  <c r="H20" i="22"/>
  <c r="J20" i="22" s="1"/>
  <c r="B20" i="6"/>
  <c r="BA20" i="6" s="1"/>
  <c r="D20" i="6" s="1"/>
  <c r="H334" i="22"/>
  <c r="J334" i="22" s="1"/>
  <c r="B334" i="6"/>
  <c r="BA334" i="6" s="1"/>
  <c r="D334" i="6" s="1"/>
  <c r="H269" i="22"/>
  <c r="I269" i="22" s="1"/>
  <c r="B269" i="6"/>
  <c r="BA269" i="6" s="1"/>
  <c r="D269" i="6" s="1"/>
  <c r="H338" i="22"/>
  <c r="I338" i="22" s="1"/>
  <c r="B338" i="6"/>
  <c r="BA338" i="6" s="1"/>
  <c r="D338" i="6" s="1"/>
  <c r="H219" i="22"/>
  <c r="I219" i="22" s="1"/>
  <c r="B219" i="6"/>
  <c r="BA219" i="6" s="1"/>
  <c r="D219" i="6" s="1"/>
  <c r="H374" i="22"/>
  <c r="J374" i="22" s="1"/>
  <c r="B374" i="6"/>
  <c r="BA374" i="6" s="1"/>
  <c r="D374" i="6" s="1"/>
  <c r="H152" i="22"/>
  <c r="J152" i="22" s="1"/>
  <c r="B152" i="6"/>
  <c r="BA152" i="6" s="1"/>
  <c r="D152" i="6" s="1"/>
  <c r="H243" i="22"/>
  <c r="I243" i="22" s="1"/>
  <c r="B243" i="6"/>
  <c r="BA243" i="6" s="1"/>
  <c r="D243" i="6" s="1"/>
  <c r="H184" i="22"/>
  <c r="I184" i="22" s="1"/>
  <c r="B184" i="6"/>
  <c r="BA184" i="6" s="1"/>
  <c r="H123" i="22"/>
  <c r="I123" i="22" s="1"/>
  <c r="B123" i="6"/>
  <c r="BA123" i="6" s="1"/>
  <c r="D123" i="6" s="1"/>
  <c r="H170" i="22"/>
  <c r="I170" i="22" s="1"/>
  <c r="B170" i="6"/>
  <c r="BA170" i="6" s="1"/>
  <c r="H70" i="22"/>
  <c r="J70" i="22" s="1"/>
  <c r="B70" i="6"/>
  <c r="BA70" i="6" s="1"/>
  <c r="D70" i="6" s="1"/>
  <c r="H314" i="22"/>
  <c r="I314" i="22" s="1"/>
  <c r="B314" i="6"/>
  <c r="BA314" i="6" s="1"/>
  <c r="D314" i="6" s="1"/>
  <c r="H337" i="22"/>
  <c r="I337" i="22" s="1"/>
  <c r="B337" i="6"/>
  <c r="BA337" i="6" s="1"/>
  <c r="H270" i="22"/>
  <c r="J270" i="22" s="1"/>
  <c r="B270" i="6"/>
  <c r="BA270" i="6" s="1"/>
  <c r="D270" i="6" s="1"/>
  <c r="H108" i="22"/>
  <c r="J108" i="22" s="1"/>
  <c r="B108" i="6"/>
  <c r="BA108" i="6" s="1"/>
  <c r="D108" i="6" s="1"/>
  <c r="H165" i="22"/>
  <c r="I165" i="22" s="1"/>
  <c r="B165" i="6"/>
  <c r="BA165" i="6" s="1"/>
  <c r="D165" i="6" s="1"/>
  <c r="H257" i="22"/>
  <c r="I257" i="22" s="1"/>
  <c r="B257" i="6"/>
  <c r="BA257" i="6" s="1"/>
  <c r="D257" i="6" s="1"/>
  <c r="H306" i="22"/>
  <c r="J306" i="22" s="1"/>
  <c r="B306" i="6"/>
  <c r="BA306" i="6" s="1"/>
  <c r="D306" i="6" s="1"/>
  <c r="H68" i="22"/>
  <c r="I68" i="22" s="1"/>
  <c r="B68" i="6"/>
  <c r="BA68" i="6" s="1"/>
  <c r="D68" i="6" s="1"/>
  <c r="H186" i="22"/>
  <c r="I186" i="22" s="1"/>
  <c r="B186" i="6"/>
  <c r="BA186" i="6" s="1"/>
  <c r="D186" i="6" s="1"/>
  <c r="H28" i="22"/>
  <c r="I28" i="22" s="1"/>
  <c r="B28" i="6"/>
  <c r="BA28" i="6" s="1"/>
  <c r="D28" i="6" s="1"/>
  <c r="H77" i="22"/>
  <c r="I77" i="22" s="1"/>
  <c r="B77" i="6"/>
  <c r="BA77" i="6" s="1"/>
  <c r="H298" i="22"/>
  <c r="J298" i="22" s="1"/>
  <c r="B298" i="6"/>
  <c r="BA298" i="6" s="1"/>
  <c r="D298" i="6" s="1"/>
  <c r="H274" i="22"/>
  <c r="I274" i="22" s="1"/>
  <c r="B274" i="6"/>
  <c r="BA274" i="6" s="1"/>
  <c r="D274" i="6" s="1"/>
  <c r="H220" i="22"/>
  <c r="I220" i="22" s="1"/>
  <c r="B220" i="6"/>
  <c r="BA220" i="6" s="1"/>
  <c r="D220" i="6" s="1"/>
  <c r="H143" i="22"/>
  <c r="J143" i="22" s="1"/>
  <c r="B143" i="6"/>
  <c r="BA143" i="6" s="1"/>
  <c r="D143" i="6" s="1"/>
  <c r="H303" i="22"/>
  <c r="J303" i="22" s="1"/>
  <c r="B303" i="6"/>
  <c r="BA303" i="6" s="1"/>
  <c r="D303" i="6" s="1"/>
  <c r="H19" i="22"/>
  <c r="J19" i="22" s="1"/>
  <c r="B19" i="6"/>
  <c r="BA19" i="6" s="1"/>
  <c r="D19" i="6" s="1"/>
  <c r="H317" i="22"/>
  <c r="I317" i="22" s="1"/>
  <c r="B317" i="6"/>
  <c r="BA317" i="6" s="1"/>
  <c r="D317" i="6" s="1"/>
  <c r="H279" i="22"/>
  <c r="I279" i="22" s="1"/>
  <c r="B279" i="6"/>
  <c r="BA279" i="6" s="1"/>
  <c r="D279" i="6" s="1"/>
  <c r="H232" i="22"/>
  <c r="I232" i="22" s="1"/>
  <c r="B232" i="6"/>
  <c r="BA232" i="6" s="1"/>
  <c r="D232" i="6" s="1"/>
  <c r="H177" i="22"/>
  <c r="I177" i="22" s="1"/>
  <c r="B177" i="6"/>
  <c r="BA177" i="6" s="1"/>
  <c r="D177" i="6" s="1"/>
  <c r="H187" i="22"/>
  <c r="J187" i="22" s="1"/>
  <c r="B187" i="6"/>
  <c r="BA187" i="6" s="1"/>
  <c r="D187" i="6" s="1"/>
  <c r="H346" i="22"/>
  <c r="J346" i="22" s="1"/>
  <c r="B346" i="6"/>
  <c r="BA346" i="6" s="1"/>
  <c r="D346" i="6" s="1"/>
  <c r="H211" i="22"/>
  <c r="J211" i="22" s="1"/>
  <c r="B211" i="6"/>
  <c r="BA211" i="6" s="1"/>
  <c r="H283" i="22"/>
  <c r="J283" i="22" s="1"/>
  <c r="G327" i="22"/>
  <c r="CC327" i="6" s="1"/>
  <c r="H183" i="22"/>
  <c r="J183" i="22" s="1"/>
  <c r="H175" i="22"/>
  <c r="J175" i="22" s="1"/>
  <c r="AA83" i="22"/>
  <c r="Z83" i="22" s="1"/>
  <c r="Y83" i="22" s="1"/>
  <c r="H89" i="22"/>
  <c r="I89" i="22" s="1"/>
  <c r="H200" i="22"/>
  <c r="J200" i="22" s="1"/>
  <c r="H55" i="22"/>
  <c r="J55" i="22" s="1"/>
  <c r="G283" i="22"/>
  <c r="CC283" i="6" s="1"/>
  <c r="AA161" i="22"/>
  <c r="Z161" i="22" s="1"/>
  <c r="Y161" i="22" s="1"/>
  <c r="H296" i="22"/>
  <c r="I296" i="22" s="1"/>
  <c r="G172" i="22"/>
  <c r="CC172" i="6" s="1"/>
  <c r="G193" i="22"/>
  <c r="CC193" i="6" s="1"/>
  <c r="G102" i="22"/>
  <c r="CC102" i="6" s="1"/>
  <c r="AA293" i="22"/>
  <c r="Z293" i="22" s="1"/>
  <c r="Y293" i="22" s="1"/>
  <c r="H181" i="22"/>
  <c r="J181" i="22" s="1"/>
  <c r="G209" i="22"/>
  <c r="CC209" i="6" s="1"/>
  <c r="AA175" i="22"/>
  <c r="Z175" i="22" s="1"/>
  <c r="Y175" i="22" s="1"/>
  <c r="AA347" i="22"/>
  <c r="Z347" i="22" s="1"/>
  <c r="Y347" i="22" s="1"/>
  <c r="AA252" i="22"/>
  <c r="Z252" i="22" s="1"/>
  <c r="Y252" i="22" s="1"/>
  <c r="AA192" i="22"/>
  <c r="Z192" i="22" s="1"/>
  <c r="Y192" i="22" s="1"/>
  <c r="AA320" i="22"/>
  <c r="Z320" i="22" s="1"/>
  <c r="Y320" i="22" s="1"/>
  <c r="H83" i="22"/>
  <c r="I83" i="22" s="1"/>
  <c r="H252" i="22"/>
  <c r="I252" i="22" s="1"/>
  <c r="H102" i="22"/>
  <c r="J102" i="22" s="1"/>
  <c r="H255" i="22"/>
  <c r="J255" i="22" s="1"/>
  <c r="G113" i="22"/>
  <c r="CC113" i="6" s="1"/>
  <c r="AA81" i="22"/>
  <c r="Z81" i="22" s="1"/>
  <c r="Y81" i="22" s="1"/>
  <c r="AA268" i="22"/>
  <c r="Z268" i="22" s="1"/>
  <c r="Y268" i="22" s="1"/>
  <c r="AA131" i="22"/>
  <c r="Z131" i="22" s="1"/>
  <c r="Y131" i="22" s="1"/>
  <c r="H131" i="22"/>
  <c r="J131" i="22" s="1"/>
  <c r="H189" i="22"/>
  <c r="I189" i="22" s="1"/>
  <c r="H157" i="22"/>
  <c r="J157" i="22" s="1"/>
  <c r="AA189" i="22"/>
  <c r="Z189" i="22" s="1"/>
  <c r="Y189" i="22" s="1"/>
  <c r="H327" i="22"/>
  <c r="J327" i="22" s="1"/>
  <c r="G240" i="22"/>
  <c r="CC240" i="6" s="1"/>
  <c r="AA246" i="22"/>
  <c r="Z246" i="22" s="1"/>
  <c r="Y246" i="22" s="1"/>
  <c r="G89" i="22"/>
  <c r="CC89" i="6" s="1"/>
  <c r="G255" i="22"/>
  <c r="CC255" i="6" s="1"/>
  <c r="H225" i="22"/>
  <c r="I225" i="22" s="1"/>
  <c r="G87" i="22"/>
  <c r="CC87" i="6" s="1"/>
  <c r="H316" i="22"/>
  <c r="I316" i="22" s="1"/>
  <c r="H132" i="22"/>
  <c r="I132" i="22" s="1"/>
  <c r="AA225" i="22"/>
  <c r="Z225" i="22" s="1"/>
  <c r="Y225" i="22" s="1"/>
  <c r="H201" i="22"/>
  <c r="J201" i="22" s="1"/>
  <c r="G161" i="22"/>
  <c r="CC161" i="6" s="1"/>
  <c r="H293" i="22"/>
  <c r="J293" i="22" s="1"/>
  <c r="AA316" i="22"/>
  <c r="Z316" i="22" s="1"/>
  <c r="Y316" i="22" s="1"/>
  <c r="H347" i="22"/>
  <c r="I347" i="22" s="1"/>
  <c r="H246" i="22"/>
  <c r="I246" i="22" s="1"/>
  <c r="J184" i="22"/>
  <c r="J178" i="22"/>
  <c r="J24" i="22"/>
  <c r="J188" i="22"/>
  <c r="J320" i="22"/>
  <c r="J371" i="22"/>
  <c r="J128" i="22"/>
  <c r="AE257" i="23"/>
  <c r="AE339" i="23"/>
  <c r="AE118" i="23"/>
  <c r="AE327" i="23"/>
  <c r="AE308" i="23"/>
  <c r="AE132" i="23"/>
  <c r="AE294" i="23"/>
  <c r="AE368" i="23"/>
  <c r="AE291" i="23"/>
  <c r="AE143" i="23"/>
  <c r="AE278" i="23"/>
  <c r="AE247" i="23"/>
  <c r="AE238" i="23"/>
  <c r="AE292" i="23"/>
  <c r="AE165" i="23"/>
  <c r="AE137" i="23"/>
  <c r="AE148" i="23"/>
  <c r="AE117" i="23"/>
  <c r="AE325" i="23"/>
  <c r="AE210" i="23"/>
  <c r="AE235" i="23"/>
  <c r="AE198" i="23"/>
  <c r="AE200" i="23"/>
  <c r="AE124" i="23"/>
  <c r="AE126" i="23"/>
  <c r="AE295" i="23"/>
  <c r="AE370" i="23"/>
  <c r="AE160" i="23"/>
  <c r="AE360" i="23"/>
  <c r="AE159" i="23"/>
  <c r="AE249" i="23"/>
  <c r="AE284" i="23"/>
  <c r="AE269" i="23"/>
  <c r="AE233" i="23"/>
  <c r="AE286" i="23"/>
  <c r="AE248" i="23"/>
  <c r="AE319" i="23"/>
  <c r="AE334" i="23"/>
  <c r="AE204" i="23"/>
  <c r="AE219" i="23"/>
  <c r="AE157" i="23"/>
  <c r="AE276" i="23"/>
  <c r="AE202" i="23"/>
  <c r="AE364" i="23"/>
  <c r="AE312" i="23"/>
  <c r="AE186" i="23"/>
  <c r="AE163" i="23"/>
  <c r="AE256" i="23"/>
  <c r="AE243" i="23"/>
  <c r="AE317" i="23"/>
  <c r="AE112" i="23"/>
  <c r="AE161" i="23"/>
  <c r="AE369" i="23"/>
  <c r="AE250" i="23"/>
  <c r="AE362" i="23"/>
  <c r="AE182" i="23"/>
  <c r="AE272" i="23"/>
  <c r="AE355" i="23"/>
  <c r="AE315" i="23"/>
  <c r="AE151" i="23"/>
  <c r="AE321" i="23"/>
  <c r="AE322" i="23"/>
  <c r="AE342" i="23"/>
  <c r="AE311" i="23"/>
  <c r="AE277" i="23"/>
  <c r="AE196" i="23"/>
  <c r="AE273" i="23"/>
  <c r="AE367" i="23"/>
  <c r="AE115" i="23"/>
  <c r="AE189" i="23"/>
  <c r="AE351" i="23"/>
  <c r="AE113" i="23"/>
  <c r="AE349" i="23"/>
  <c r="AE361" i="23"/>
  <c r="AE234" i="23"/>
  <c r="AE275" i="23"/>
  <c r="AE144" i="23"/>
  <c r="AE320" i="23"/>
  <c r="AE305" i="23"/>
  <c r="AE304" i="23"/>
  <c r="AE193" i="23"/>
  <c r="AE207" i="23"/>
  <c r="AE214" i="23"/>
  <c r="AE152" i="23"/>
  <c r="AE183" i="23"/>
  <c r="AE251" i="23"/>
  <c r="AE265" i="23"/>
  <c r="AE353" i="23"/>
  <c r="AE130" i="23"/>
  <c r="AE379" i="23"/>
  <c r="AE12" i="24" s="1"/>
  <c r="AE199" i="23"/>
  <c r="AE343" i="23"/>
  <c r="AE146" i="23"/>
  <c r="AE228" i="23"/>
  <c r="AE374" i="23"/>
  <c r="AE109" i="23"/>
  <c r="AE195" i="23"/>
  <c r="AE261" i="23"/>
  <c r="AE359" i="23"/>
  <c r="AE306" i="23"/>
  <c r="AE288" i="23"/>
  <c r="AE171" i="23"/>
  <c r="AE173" i="23"/>
  <c r="AE136" i="23"/>
  <c r="AE185" i="23"/>
  <c r="AE331" i="23"/>
  <c r="AE282" i="23"/>
  <c r="AE366" i="23"/>
  <c r="AE335" i="23"/>
  <c r="AE226" i="23"/>
  <c r="AE222" i="23"/>
  <c r="AE296" i="23"/>
  <c r="AE245" i="23"/>
  <c r="AE140" i="23"/>
  <c r="AE347" i="23"/>
  <c r="AE212" i="23"/>
  <c r="AE345" i="23"/>
  <c r="AE192" i="23"/>
  <c r="AE255" i="23"/>
  <c r="AE309" i="23"/>
  <c r="AE175" i="23"/>
  <c r="AE156" i="23"/>
  <c r="AE253" i="23"/>
  <c r="AE138" i="23"/>
  <c r="AE300" i="23"/>
  <c r="AE155" i="23"/>
  <c r="AE120" i="23"/>
  <c r="AE378" i="23"/>
  <c r="AE298" i="23"/>
  <c r="AE239" i="23"/>
  <c r="AE179" i="23"/>
  <c r="AE208" i="23"/>
  <c r="AE116" i="23"/>
  <c r="AE348" i="23"/>
  <c r="AE230" i="23"/>
  <c r="AE344" i="23"/>
  <c r="AE363" i="23"/>
  <c r="AE328" i="23"/>
  <c r="AE323" i="23"/>
  <c r="AE217" i="23"/>
  <c r="AE162" i="23"/>
  <c r="AE254" i="23"/>
  <c r="AE184" i="23"/>
  <c r="AE127" i="23"/>
  <c r="AE145" i="23"/>
  <c r="AE134" i="23"/>
  <c r="AE125" i="23"/>
  <c r="AE287" i="23"/>
  <c r="AE377" i="23"/>
  <c r="AE172" i="23"/>
  <c r="AE376" i="23"/>
  <c r="AE122" i="23"/>
  <c r="AE170" i="23"/>
  <c r="AE354" i="23"/>
  <c r="AE358" i="23"/>
  <c r="AE227" i="23"/>
  <c r="AE332" i="23"/>
  <c r="AE285" i="23"/>
  <c r="AE314" i="23"/>
  <c r="AE330" i="23"/>
  <c r="AE129" i="23"/>
  <c r="AE211" i="23"/>
  <c r="AE205" i="23"/>
  <c r="AE297" i="23"/>
  <c r="AE270" i="23"/>
  <c r="AE149" i="23"/>
  <c r="AE371" i="23"/>
  <c r="AE240" i="23"/>
  <c r="AE180" i="23"/>
  <c r="AE289" i="23"/>
  <c r="AE258" i="23"/>
  <c r="AE150" i="23"/>
  <c r="AE135" i="23"/>
  <c r="AE119" i="23"/>
  <c r="AE131" i="23"/>
  <c r="AE164" i="23"/>
  <c r="AE310" i="23"/>
  <c r="AE244" i="23"/>
  <c r="AE110" i="23"/>
  <c r="AE188" i="23"/>
  <c r="AE197" i="23"/>
  <c r="AE279" i="23"/>
  <c r="AE107" i="23"/>
  <c r="AE301" i="23"/>
  <c r="AE174" i="23"/>
  <c r="AE324" i="23"/>
  <c r="AE357" i="23"/>
  <c r="AE242" i="23"/>
  <c r="AE271" i="23"/>
  <c r="AE290" i="23"/>
  <c r="AE283" i="23"/>
  <c r="AE232" i="23"/>
  <c r="AE121" i="23"/>
  <c r="AE267" i="23"/>
  <c r="AE262" i="23"/>
  <c r="AE231" i="23"/>
  <c r="AE340" i="23"/>
  <c r="AE281" i="23"/>
  <c r="AE209" i="23"/>
  <c r="AE158" i="23"/>
  <c r="AE218" i="23"/>
  <c r="AE191" i="23"/>
  <c r="AE326" i="23"/>
  <c r="AE169" i="23"/>
  <c r="AE236" i="23"/>
  <c r="AE318" i="23"/>
  <c r="AE229" i="23"/>
  <c r="AE154" i="23"/>
  <c r="AE114" i="23"/>
  <c r="AE252" i="23"/>
  <c r="AE237" i="23"/>
  <c r="AE104" i="23"/>
  <c r="AE274" i="23"/>
  <c r="AE356" i="23"/>
  <c r="AE139" i="23"/>
  <c r="AE216" i="23"/>
  <c r="AE201" i="23"/>
  <c r="AE153" i="23"/>
  <c r="AE316" i="23"/>
  <c r="AE181" i="23"/>
  <c r="AE299" i="23"/>
  <c r="AE264" i="23"/>
  <c r="AE313" i="23"/>
  <c r="AE108" i="23"/>
  <c r="AE190" i="23"/>
  <c r="AE167" i="23"/>
  <c r="AE373" i="23"/>
  <c r="AE111" i="23"/>
  <c r="AE350" i="23"/>
  <c r="AE223" i="23"/>
  <c r="AE352" i="23"/>
  <c r="AE268" i="23"/>
  <c r="AE220" i="23"/>
  <c r="AE221" i="23"/>
  <c r="AE105" i="23"/>
  <c r="AE106" i="23"/>
  <c r="AE303" i="23"/>
  <c r="AE147" i="23"/>
  <c r="AE333" i="23"/>
  <c r="AE206" i="23"/>
  <c r="AE213" i="23"/>
  <c r="AE194" i="23"/>
  <c r="AE166" i="23"/>
  <c r="AE176" i="23"/>
  <c r="AE266" i="23"/>
  <c r="AE177" i="23"/>
  <c r="AE263" i="23"/>
  <c r="AE128" i="23"/>
  <c r="AE307" i="23"/>
  <c r="AE141" i="23"/>
  <c r="AE336" i="23"/>
  <c r="AE372" i="23"/>
  <c r="AE225" i="23"/>
  <c r="AE241" i="23"/>
  <c r="AE123" i="23"/>
  <c r="AE215" i="23"/>
  <c r="AE246" i="23"/>
  <c r="AE365" i="23"/>
  <c r="AE346" i="23"/>
  <c r="AE302" i="23"/>
  <c r="AE260" i="23"/>
  <c r="AE187" i="23"/>
  <c r="AE133" i="23"/>
  <c r="AE329" i="23"/>
  <c r="AE178" i="23"/>
  <c r="AE280" i="23"/>
  <c r="AE375" i="23"/>
  <c r="AE341" i="23"/>
  <c r="AE203" i="23"/>
  <c r="AE293" i="23"/>
  <c r="AE259" i="23"/>
  <c r="AE224" i="23"/>
  <c r="AE337" i="23"/>
  <c r="AE168" i="23"/>
  <c r="AE338" i="23"/>
  <c r="AE142" i="23"/>
  <c r="AI11" i="23"/>
  <c r="AI277" i="23" s="1"/>
  <c r="AH277" i="23" s="1"/>
  <c r="AG277" i="23" s="1"/>
  <c r="AF277" i="23" s="1"/>
  <c r="AD277" i="23" s="1"/>
  <c r="O10" i="25"/>
  <c r="AC10" i="25"/>
  <c r="L43" i="19"/>
  <c r="J38" i="19"/>
  <c r="I188" i="22"/>
  <c r="I118" i="22"/>
  <c r="I298" i="22"/>
  <c r="I128" i="22"/>
  <c r="M67" i="19"/>
  <c r="J31" i="22"/>
  <c r="B380" i="22"/>
  <c r="D380" i="22" s="1"/>
  <c r="E380" i="22" s="1"/>
  <c r="F380" i="22" s="1"/>
  <c r="W379" i="22"/>
  <c r="D14" i="19"/>
  <c r="G38" i="19"/>
  <c r="I378" i="22"/>
  <c r="I301" i="22"/>
  <c r="AU16" i="7"/>
  <c r="U334" i="23"/>
  <c r="T334" i="23" s="1"/>
  <c r="S334" i="23" s="1"/>
  <c r="R334" i="23" s="1"/>
  <c r="P334" i="23" s="1"/>
  <c r="V334" i="23" s="1"/>
  <c r="B334" i="23" s="1"/>
  <c r="U167" i="23"/>
  <c r="T167" i="23" s="1"/>
  <c r="S167" i="23" s="1"/>
  <c r="R167" i="23" s="1"/>
  <c r="P167" i="23" s="1"/>
  <c r="V167" i="23" s="1"/>
  <c r="B167" i="23" s="1"/>
  <c r="U45" i="23"/>
  <c r="T45" i="23" s="1"/>
  <c r="S45" i="23" s="1"/>
  <c r="R45" i="23" s="1"/>
  <c r="P45" i="23" s="1"/>
  <c r="V45" i="23" s="1"/>
  <c r="B45" i="23" s="1"/>
  <c r="U362" i="23"/>
  <c r="T362" i="23" s="1"/>
  <c r="S362" i="23" s="1"/>
  <c r="R362" i="23" s="1"/>
  <c r="P362" i="23" s="1"/>
  <c r="V362" i="23" s="1"/>
  <c r="B362" i="23" s="1"/>
  <c r="U207" i="23"/>
  <c r="T207" i="23" s="1"/>
  <c r="S207" i="23" s="1"/>
  <c r="R207" i="23" s="1"/>
  <c r="P207" i="23" s="1"/>
  <c r="V207" i="23" s="1"/>
  <c r="B207" i="23" s="1"/>
  <c r="U255" i="23"/>
  <c r="T255" i="23" s="1"/>
  <c r="S255" i="23" s="1"/>
  <c r="R255" i="23" s="1"/>
  <c r="P255" i="23" s="1"/>
  <c r="V255" i="23" s="1"/>
  <c r="U26" i="23"/>
  <c r="T26" i="23" s="1"/>
  <c r="S26" i="23" s="1"/>
  <c r="R26" i="23" s="1"/>
  <c r="P26" i="23" s="1"/>
  <c r="V26" i="23" s="1"/>
  <c r="U243" i="23"/>
  <c r="T243" i="23" s="1"/>
  <c r="S243" i="23" s="1"/>
  <c r="R243" i="23" s="1"/>
  <c r="P243" i="23" s="1"/>
  <c r="V243" i="23" s="1"/>
  <c r="B243" i="23" s="1"/>
  <c r="U103" i="23"/>
  <c r="T103" i="23" s="1"/>
  <c r="S103" i="23" s="1"/>
  <c r="R103" i="23" s="1"/>
  <c r="P103" i="23" s="1"/>
  <c r="V103" i="23" s="1"/>
  <c r="B103" i="23" s="1"/>
  <c r="U38" i="23"/>
  <c r="T38" i="23" s="1"/>
  <c r="S38" i="23" s="1"/>
  <c r="R38" i="23" s="1"/>
  <c r="P38" i="23" s="1"/>
  <c r="V38" i="23" s="1"/>
  <c r="B38" i="23" s="1"/>
  <c r="U171" i="23"/>
  <c r="T171" i="23" s="1"/>
  <c r="S171" i="23" s="1"/>
  <c r="R171" i="23" s="1"/>
  <c r="P171" i="23" s="1"/>
  <c r="V171" i="23" s="1"/>
  <c r="B171" i="23" s="1"/>
  <c r="U115" i="23"/>
  <c r="T115" i="23" s="1"/>
  <c r="S115" i="23" s="1"/>
  <c r="R115" i="23" s="1"/>
  <c r="P115" i="23" s="1"/>
  <c r="V115" i="23" s="1"/>
  <c r="U40" i="23"/>
  <c r="T40" i="23" s="1"/>
  <c r="S40" i="23" s="1"/>
  <c r="R40" i="23" s="1"/>
  <c r="P40" i="23" s="1"/>
  <c r="V40" i="23" s="1"/>
  <c r="B40" i="23" s="1"/>
  <c r="U196" i="23"/>
  <c r="T196" i="23" s="1"/>
  <c r="S196" i="23" s="1"/>
  <c r="R196" i="23" s="1"/>
  <c r="P196" i="23" s="1"/>
  <c r="V196" i="23" s="1"/>
  <c r="B196" i="23" s="1"/>
  <c r="U162" i="23"/>
  <c r="T162" i="23" s="1"/>
  <c r="S162" i="23" s="1"/>
  <c r="R162" i="23" s="1"/>
  <c r="P162" i="23" s="1"/>
  <c r="V162" i="23" s="1"/>
  <c r="U267" i="23"/>
  <c r="T267" i="23" s="1"/>
  <c r="S267" i="23" s="1"/>
  <c r="R267" i="23" s="1"/>
  <c r="P267" i="23" s="1"/>
  <c r="V267" i="23" s="1"/>
  <c r="U199" i="23"/>
  <c r="T199" i="23" s="1"/>
  <c r="S199" i="23" s="1"/>
  <c r="R199" i="23" s="1"/>
  <c r="P199" i="23" s="1"/>
  <c r="V199" i="23" s="1"/>
  <c r="B199" i="23" s="1"/>
  <c r="U248" i="23"/>
  <c r="T248" i="23" s="1"/>
  <c r="S248" i="23" s="1"/>
  <c r="R248" i="23" s="1"/>
  <c r="P248" i="23" s="1"/>
  <c r="V248" i="23" s="1"/>
  <c r="U327" i="23"/>
  <c r="T327" i="23" s="1"/>
  <c r="S327" i="23" s="1"/>
  <c r="R327" i="23" s="1"/>
  <c r="P327" i="23" s="1"/>
  <c r="V327" i="23" s="1"/>
  <c r="U34" i="23"/>
  <c r="T34" i="23" s="1"/>
  <c r="S34" i="23" s="1"/>
  <c r="R34" i="23" s="1"/>
  <c r="P34" i="23" s="1"/>
  <c r="V34" i="23" s="1"/>
  <c r="U263" i="23"/>
  <c r="T263" i="23" s="1"/>
  <c r="S263" i="23" s="1"/>
  <c r="R263" i="23" s="1"/>
  <c r="P263" i="23" s="1"/>
  <c r="V263" i="23" s="1"/>
  <c r="B263" i="23" s="1"/>
  <c r="U190" i="23"/>
  <c r="T190" i="23" s="1"/>
  <c r="S190" i="23" s="1"/>
  <c r="R190" i="23" s="1"/>
  <c r="P190" i="23" s="1"/>
  <c r="V190" i="23" s="1"/>
  <c r="B190" i="23" s="1"/>
  <c r="U191" i="23"/>
  <c r="T191" i="23" s="1"/>
  <c r="S191" i="23" s="1"/>
  <c r="R191" i="23" s="1"/>
  <c r="P191" i="23" s="1"/>
  <c r="V191" i="23" s="1"/>
  <c r="U56" i="23"/>
  <c r="T56" i="23" s="1"/>
  <c r="S56" i="23" s="1"/>
  <c r="R56" i="23" s="1"/>
  <c r="P56" i="23" s="1"/>
  <c r="V56" i="23" s="1"/>
  <c r="U148" i="23"/>
  <c r="T148" i="23" s="1"/>
  <c r="S148" i="23" s="1"/>
  <c r="R148" i="23" s="1"/>
  <c r="P148" i="23" s="1"/>
  <c r="V148" i="23" s="1"/>
  <c r="B148" i="23" s="1"/>
  <c r="U58" i="23"/>
  <c r="T58" i="23" s="1"/>
  <c r="S58" i="23" s="1"/>
  <c r="R58" i="23" s="1"/>
  <c r="P58" i="23" s="1"/>
  <c r="V58" i="23" s="1"/>
  <c r="B58" i="23" s="1"/>
  <c r="U361" i="23"/>
  <c r="T361" i="23" s="1"/>
  <c r="S361" i="23" s="1"/>
  <c r="R361" i="23" s="1"/>
  <c r="P361" i="23" s="1"/>
  <c r="V361" i="23" s="1"/>
  <c r="B361" i="23" s="1"/>
  <c r="U298" i="23"/>
  <c r="T298" i="23" s="1"/>
  <c r="S298" i="23" s="1"/>
  <c r="R298" i="23" s="1"/>
  <c r="P298" i="23" s="1"/>
  <c r="V298" i="23" s="1"/>
  <c r="B298" i="23" s="1"/>
  <c r="U222" i="23"/>
  <c r="T222" i="23" s="1"/>
  <c r="S222" i="23" s="1"/>
  <c r="R222" i="23" s="1"/>
  <c r="P222" i="23" s="1"/>
  <c r="V222" i="23" s="1"/>
  <c r="B222" i="23" s="1"/>
  <c r="U170" i="23"/>
  <c r="T170" i="23" s="1"/>
  <c r="S170" i="23" s="1"/>
  <c r="R170" i="23" s="1"/>
  <c r="P170" i="23" s="1"/>
  <c r="V170" i="23" s="1"/>
  <c r="B170" i="23" s="1"/>
  <c r="U29" i="23"/>
  <c r="T29" i="23" s="1"/>
  <c r="S29" i="23" s="1"/>
  <c r="R29" i="23" s="1"/>
  <c r="P29" i="23" s="1"/>
  <c r="V29" i="23" s="1"/>
  <c r="B29" i="23" s="1"/>
  <c r="U376" i="23"/>
  <c r="T376" i="23" s="1"/>
  <c r="S376" i="23" s="1"/>
  <c r="R376" i="23" s="1"/>
  <c r="P376" i="23" s="1"/>
  <c r="V376" i="23" s="1"/>
  <c r="U62" i="23"/>
  <c r="T62" i="23" s="1"/>
  <c r="S62" i="23" s="1"/>
  <c r="R62" i="23" s="1"/>
  <c r="P62" i="23" s="1"/>
  <c r="V62" i="23" s="1"/>
  <c r="U236" i="23"/>
  <c r="T236" i="23" s="1"/>
  <c r="S236" i="23" s="1"/>
  <c r="R236" i="23" s="1"/>
  <c r="P236" i="23" s="1"/>
  <c r="V236" i="23" s="1"/>
  <c r="U51" i="23"/>
  <c r="T51" i="23" s="1"/>
  <c r="S51" i="23" s="1"/>
  <c r="R51" i="23" s="1"/>
  <c r="P51" i="23" s="1"/>
  <c r="V51" i="23" s="1"/>
  <c r="B51" i="23" s="1"/>
  <c r="U109" i="23"/>
  <c r="T109" i="23" s="1"/>
  <c r="S109" i="23" s="1"/>
  <c r="R109" i="23" s="1"/>
  <c r="P109" i="23" s="1"/>
  <c r="V109" i="23" s="1"/>
  <c r="B109" i="23" s="1"/>
  <c r="U279" i="23"/>
  <c r="T279" i="23" s="1"/>
  <c r="S279" i="23" s="1"/>
  <c r="R279" i="23" s="1"/>
  <c r="P279" i="23" s="1"/>
  <c r="V279" i="23" s="1"/>
  <c r="U280" i="23"/>
  <c r="T280" i="23" s="1"/>
  <c r="S280" i="23" s="1"/>
  <c r="R280" i="23" s="1"/>
  <c r="P280" i="23" s="1"/>
  <c r="V280" i="23" s="1"/>
  <c r="U206" i="23"/>
  <c r="T206" i="23" s="1"/>
  <c r="S206" i="23" s="1"/>
  <c r="R206" i="23" s="1"/>
  <c r="P206" i="23" s="1"/>
  <c r="V206" i="23" s="1"/>
  <c r="U326" i="23"/>
  <c r="T326" i="23" s="1"/>
  <c r="S326" i="23" s="1"/>
  <c r="R326" i="23" s="1"/>
  <c r="P326" i="23" s="1"/>
  <c r="V326" i="23" s="1"/>
  <c r="B326" i="23" s="1"/>
  <c r="U81" i="23"/>
  <c r="T81" i="23" s="1"/>
  <c r="S81" i="23" s="1"/>
  <c r="R81" i="23" s="1"/>
  <c r="P81" i="23" s="1"/>
  <c r="V81" i="23" s="1"/>
  <c r="B81" i="23" s="1"/>
  <c r="U268" i="23"/>
  <c r="T268" i="23" s="1"/>
  <c r="S268" i="23" s="1"/>
  <c r="R268" i="23" s="1"/>
  <c r="P268" i="23" s="1"/>
  <c r="V268" i="23" s="1"/>
  <c r="U193" i="23"/>
  <c r="T193" i="23" s="1"/>
  <c r="S193" i="23" s="1"/>
  <c r="R193" i="23" s="1"/>
  <c r="P193" i="23" s="1"/>
  <c r="V193" i="23" s="1"/>
  <c r="B193" i="23" s="1"/>
  <c r="U323" i="23"/>
  <c r="T323" i="23" s="1"/>
  <c r="S323" i="23" s="1"/>
  <c r="R323" i="23" s="1"/>
  <c r="P323" i="23" s="1"/>
  <c r="V323" i="23" s="1"/>
  <c r="B323" i="23" s="1"/>
  <c r="U359" i="23"/>
  <c r="T359" i="23" s="1"/>
  <c r="S359" i="23" s="1"/>
  <c r="R359" i="23" s="1"/>
  <c r="P359" i="23" s="1"/>
  <c r="V359" i="23" s="1"/>
  <c r="B359" i="23" s="1"/>
  <c r="U256" i="23"/>
  <c r="T256" i="23" s="1"/>
  <c r="S256" i="23" s="1"/>
  <c r="R256" i="23" s="1"/>
  <c r="P256" i="23" s="1"/>
  <c r="V256" i="23" s="1"/>
  <c r="B256" i="23" s="1"/>
  <c r="U377" i="23"/>
  <c r="T377" i="23" s="1"/>
  <c r="S377" i="23" s="1"/>
  <c r="R377" i="23" s="1"/>
  <c r="P377" i="23" s="1"/>
  <c r="V377" i="23" s="1"/>
  <c r="B377" i="23" s="1"/>
  <c r="U173" i="23"/>
  <c r="T173" i="23" s="1"/>
  <c r="S173" i="23" s="1"/>
  <c r="R173" i="23" s="1"/>
  <c r="P173" i="23" s="1"/>
  <c r="V173" i="23" s="1"/>
  <c r="B173" i="23" s="1"/>
  <c r="U345" i="23"/>
  <c r="T345" i="23" s="1"/>
  <c r="S345" i="23" s="1"/>
  <c r="R345" i="23" s="1"/>
  <c r="P345" i="23" s="1"/>
  <c r="V345" i="23" s="1"/>
  <c r="B345" i="23" s="1"/>
  <c r="U108" i="23"/>
  <c r="T108" i="23" s="1"/>
  <c r="S108" i="23" s="1"/>
  <c r="R108" i="23" s="1"/>
  <c r="P108" i="23" s="1"/>
  <c r="V108" i="23" s="1"/>
  <c r="B108" i="23" s="1"/>
  <c r="U189" i="23"/>
  <c r="T189" i="23" s="1"/>
  <c r="S189" i="23" s="1"/>
  <c r="R189" i="23" s="1"/>
  <c r="P189" i="23" s="1"/>
  <c r="V189" i="23" s="1"/>
  <c r="B189" i="23" s="1"/>
  <c r="U379" i="23"/>
  <c r="U66" i="23"/>
  <c r="T66" i="23" s="1"/>
  <c r="S66" i="23" s="1"/>
  <c r="R66" i="23" s="1"/>
  <c r="P66" i="23" s="1"/>
  <c r="V66" i="23" s="1"/>
  <c r="B66" i="23" s="1"/>
  <c r="U177" i="23"/>
  <c r="T177" i="23" s="1"/>
  <c r="S177" i="23" s="1"/>
  <c r="R177" i="23" s="1"/>
  <c r="P177" i="23" s="1"/>
  <c r="V177" i="23" s="1"/>
  <c r="B177" i="23" s="1"/>
  <c r="U104" i="23"/>
  <c r="T104" i="23" s="1"/>
  <c r="S104" i="23" s="1"/>
  <c r="R104" i="23" s="1"/>
  <c r="P104" i="23" s="1"/>
  <c r="V104" i="23" s="1"/>
  <c r="B104" i="23" s="1"/>
  <c r="U133" i="23"/>
  <c r="T133" i="23" s="1"/>
  <c r="S133" i="23" s="1"/>
  <c r="R133" i="23" s="1"/>
  <c r="P133" i="23" s="1"/>
  <c r="V133" i="23" s="1"/>
  <c r="B133" i="23" s="1"/>
  <c r="U36" i="23"/>
  <c r="T36" i="23" s="1"/>
  <c r="S36" i="23" s="1"/>
  <c r="R36" i="23" s="1"/>
  <c r="P36" i="23" s="1"/>
  <c r="V36" i="23" s="1"/>
  <c r="B36" i="23" s="1"/>
  <c r="U57" i="23"/>
  <c r="T57" i="23" s="1"/>
  <c r="S57" i="23" s="1"/>
  <c r="R57" i="23" s="1"/>
  <c r="P57" i="23" s="1"/>
  <c r="V57" i="23" s="1"/>
  <c r="B57" i="23" s="1"/>
  <c r="U253" i="23"/>
  <c r="T253" i="23" s="1"/>
  <c r="S253" i="23" s="1"/>
  <c r="R253" i="23" s="1"/>
  <c r="P253" i="23" s="1"/>
  <c r="V253" i="23" s="1"/>
  <c r="B253" i="23" s="1"/>
  <c r="U254" i="23"/>
  <c r="T254" i="23" s="1"/>
  <c r="S254" i="23" s="1"/>
  <c r="R254" i="23" s="1"/>
  <c r="P254" i="23" s="1"/>
  <c r="V254" i="23" s="1"/>
  <c r="B254" i="23" s="1"/>
  <c r="U368" i="23"/>
  <c r="T368" i="23" s="1"/>
  <c r="S368" i="23" s="1"/>
  <c r="R368" i="23" s="1"/>
  <c r="P368" i="23" s="1"/>
  <c r="V368" i="23" s="1"/>
  <c r="B368" i="23" s="1"/>
  <c r="U168" i="23"/>
  <c r="T168" i="23" s="1"/>
  <c r="S168" i="23" s="1"/>
  <c r="R168" i="23" s="1"/>
  <c r="P168" i="23" s="1"/>
  <c r="V168" i="23" s="1"/>
  <c r="B168" i="23" s="1"/>
  <c r="U78" i="23"/>
  <c r="T78" i="23" s="1"/>
  <c r="S78" i="23" s="1"/>
  <c r="R78" i="23" s="1"/>
  <c r="P78" i="23" s="1"/>
  <c r="V78" i="23" s="1"/>
  <c r="B78" i="23" s="1"/>
  <c r="U239" i="23"/>
  <c r="T239" i="23" s="1"/>
  <c r="S239" i="23" s="1"/>
  <c r="R239" i="23" s="1"/>
  <c r="P239" i="23" s="1"/>
  <c r="V239" i="23" s="1"/>
  <c r="B239" i="23" s="1"/>
  <c r="U354" i="23"/>
  <c r="T354" i="23" s="1"/>
  <c r="S354" i="23" s="1"/>
  <c r="R354" i="23" s="1"/>
  <c r="P354" i="23" s="1"/>
  <c r="V354" i="23" s="1"/>
  <c r="B354" i="23" s="1"/>
  <c r="U296" i="23"/>
  <c r="T296" i="23" s="1"/>
  <c r="S296" i="23" s="1"/>
  <c r="R296" i="23" s="1"/>
  <c r="P296" i="23" s="1"/>
  <c r="V296" i="23" s="1"/>
  <c r="B296" i="23" s="1"/>
  <c r="U322" i="23"/>
  <c r="T322" i="23" s="1"/>
  <c r="S322" i="23" s="1"/>
  <c r="R322" i="23" s="1"/>
  <c r="P322" i="23" s="1"/>
  <c r="V322" i="23" s="1"/>
  <c r="B322" i="23" s="1"/>
  <c r="U126" i="23"/>
  <c r="T126" i="23" s="1"/>
  <c r="S126" i="23" s="1"/>
  <c r="R126" i="23" s="1"/>
  <c r="P126" i="23" s="1"/>
  <c r="V126" i="23" s="1"/>
  <c r="B126" i="23" s="1"/>
  <c r="U39" i="23"/>
  <c r="T39" i="23" s="1"/>
  <c r="S39" i="23" s="1"/>
  <c r="R39" i="23" s="1"/>
  <c r="P39" i="23" s="1"/>
  <c r="V39" i="23" s="1"/>
  <c r="B39" i="23" s="1"/>
  <c r="U246" i="23"/>
  <c r="T246" i="23" s="1"/>
  <c r="S246" i="23" s="1"/>
  <c r="R246" i="23" s="1"/>
  <c r="P246" i="23" s="1"/>
  <c r="V246" i="23" s="1"/>
  <c r="B246" i="23" s="1"/>
  <c r="U176" i="23"/>
  <c r="T176" i="23" s="1"/>
  <c r="S176" i="23" s="1"/>
  <c r="R176" i="23" s="1"/>
  <c r="P176" i="23" s="1"/>
  <c r="V176" i="23" s="1"/>
  <c r="B176" i="23" s="1"/>
  <c r="U219" i="23"/>
  <c r="T219" i="23" s="1"/>
  <c r="S219" i="23" s="1"/>
  <c r="R219" i="23" s="1"/>
  <c r="P219" i="23" s="1"/>
  <c r="V219" i="23" s="1"/>
  <c r="B219" i="23" s="1"/>
  <c r="U336" i="23"/>
  <c r="T336" i="23" s="1"/>
  <c r="S336" i="23" s="1"/>
  <c r="R336" i="23" s="1"/>
  <c r="P336" i="23" s="1"/>
  <c r="V336" i="23" s="1"/>
  <c r="B336" i="23" s="1"/>
  <c r="U72" i="23"/>
  <c r="T72" i="23" s="1"/>
  <c r="S72" i="23" s="1"/>
  <c r="R72" i="23" s="1"/>
  <c r="P72" i="23" s="1"/>
  <c r="V72" i="23" s="1"/>
  <c r="B72" i="23" s="1"/>
  <c r="U313" i="23"/>
  <c r="T313" i="23" s="1"/>
  <c r="S313" i="23" s="1"/>
  <c r="R313" i="23" s="1"/>
  <c r="P313" i="23" s="1"/>
  <c r="V313" i="23" s="1"/>
  <c r="B313" i="23" s="1"/>
  <c r="U144" i="23"/>
  <c r="T144" i="23" s="1"/>
  <c r="S144" i="23" s="1"/>
  <c r="R144" i="23" s="1"/>
  <c r="P144" i="23" s="1"/>
  <c r="V144" i="23" s="1"/>
  <c r="B144" i="23" s="1"/>
  <c r="U47" i="23"/>
  <c r="T47" i="23" s="1"/>
  <c r="S47" i="23" s="1"/>
  <c r="R47" i="23" s="1"/>
  <c r="P47" i="23" s="1"/>
  <c r="V47" i="23" s="1"/>
  <c r="B47" i="23" s="1"/>
  <c r="U339" i="23"/>
  <c r="T339" i="23" s="1"/>
  <c r="S339" i="23" s="1"/>
  <c r="R339" i="23" s="1"/>
  <c r="P339" i="23" s="1"/>
  <c r="V339" i="23" s="1"/>
  <c r="B339" i="23" s="1"/>
  <c r="U114" i="23"/>
  <c r="T114" i="23" s="1"/>
  <c r="S114" i="23" s="1"/>
  <c r="R114" i="23" s="1"/>
  <c r="P114" i="23" s="1"/>
  <c r="V114" i="23" s="1"/>
  <c r="B114" i="23" s="1"/>
  <c r="U369" i="23"/>
  <c r="T369" i="23" s="1"/>
  <c r="S369" i="23" s="1"/>
  <c r="R369" i="23" s="1"/>
  <c r="P369" i="23" s="1"/>
  <c r="V369" i="23" s="1"/>
  <c r="B369" i="23" s="1"/>
  <c r="U90" i="23"/>
  <c r="T90" i="23" s="1"/>
  <c r="S90" i="23" s="1"/>
  <c r="R90" i="23" s="1"/>
  <c r="P90" i="23" s="1"/>
  <c r="V90" i="23" s="1"/>
  <c r="B90" i="23" s="1"/>
  <c r="U157" i="23"/>
  <c r="T157" i="23" s="1"/>
  <c r="S157" i="23" s="1"/>
  <c r="R157" i="23" s="1"/>
  <c r="P157" i="23" s="1"/>
  <c r="V157" i="23" s="1"/>
  <c r="B157" i="23" s="1"/>
  <c r="U163" i="23"/>
  <c r="T163" i="23" s="1"/>
  <c r="S163" i="23" s="1"/>
  <c r="R163" i="23" s="1"/>
  <c r="P163" i="23" s="1"/>
  <c r="V163" i="23" s="1"/>
  <c r="B163" i="23" s="1"/>
  <c r="U306" i="23"/>
  <c r="T306" i="23" s="1"/>
  <c r="S306" i="23" s="1"/>
  <c r="R306" i="23" s="1"/>
  <c r="P306" i="23" s="1"/>
  <c r="V306" i="23" s="1"/>
  <c r="B306" i="23" s="1"/>
  <c r="U342" i="23"/>
  <c r="T342" i="23" s="1"/>
  <c r="S342" i="23" s="1"/>
  <c r="R342" i="23" s="1"/>
  <c r="P342" i="23" s="1"/>
  <c r="V342" i="23" s="1"/>
  <c r="B342" i="23" s="1"/>
  <c r="U287" i="23"/>
  <c r="T287" i="23" s="1"/>
  <c r="S287" i="23" s="1"/>
  <c r="R287" i="23" s="1"/>
  <c r="P287" i="23" s="1"/>
  <c r="V287" i="23" s="1"/>
  <c r="B287" i="23" s="1"/>
  <c r="U166" i="23"/>
  <c r="T166" i="23" s="1"/>
  <c r="S166" i="23" s="1"/>
  <c r="R166" i="23" s="1"/>
  <c r="P166" i="23" s="1"/>
  <c r="V166" i="23" s="1"/>
  <c r="B166" i="23" s="1"/>
  <c r="U228" i="23"/>
  <c r="T228" i="23" s="1"/>
  <c r="S228" i="23" s="1"/>
  <c r="R228" i="23" s="1"/>
  <c r="P228" i="23" s="1"/>
  <c r="V228" i="23" s="1"/>
  <c r="B228" i="23" s="1"/>
  <c r="U233" i="23"/>
  <c r="T233" i="23" s="1"/>
  <c r="S233" i="23" s="1"/>
  <c r="R233" i="23" s="1"/>
  <c r="P233" i="23" s="1"/>
  <c r="V233" i="23" s="1"/>
  <c r="B233" i="23" s="1"/>
  <c r="U258" i="23"/>
  <c r="T258" i="23" s="1"/>
  <c r="S258" i="23" s="1"/>
  <c r="R258" i="23" s="1"/>
  <c r="P258" i="23" s="1"/>
  <c r="V258" i="23" s="1"/>
  <c r="U372" i="23"/>
  <c r="T372" i="23" s="1"/>
  <c r="S372" i="23" s="1"/>
  <c r="R372" i="23" s="1"/>
  <c r="P372" i="23" s="1"/>
  <c r="V372" i="23" s="1"/>
  <c r="B372" i="23" s="1"/>
  <c r="U338" i="23"/>
  <c r="T338" i="23" s="1"/>
  <c r="S338" i="23" s="1"/>
  <c r="R338" i="23" s="1"/>
  <c r="P338" i="23" s="1"/>
  <c r="V338" i="23" s="1"/>
  <c r="B338" i="23" s="1"/>
  <c r="U308" i="23"/>
  <c r="T308" i="23" s="1"/>
  <c r="S308" i="23" s="1"/>
  <c r="R308" i="23" s="1"/>
  <c r="P308" i="23" s="1"/>
  <c r="V308" i="23" s="1"/>
  <c r="B308" i="23" s="1"/>
  <c r="U285" i="23"/>
  <c r="T285" i="23" s="1"/>
  <c r="S285" i="23" s="1"/>
  <c r="R285" i="23" s="1"/>
  <c r="P285" i="23" s="1"/>
  <c r="V285" i="23" s="1"/>
  <c r="B285" i="23" s="1"/>
  <c r="U143" i="23"/>
  <c r="T143" i="23" s="1"/>
  <c r="S143" i="23" s="1"/>
  <c r="R143" i="23" s="1"/>
  <c r="P143" i="23" s="1"/>
  <c r="V143" i="23" s="1"/>
  <c r="B143" i="23" s="1"/>
  <c r="U209" i="23"/>
  <c r="T209" i="23" s="1"/>
  <c r="S209" i="23" s="1"/>
  <c r="R209" i="23" s="1"/>
  <c r="P209" i="23" s="1"/>
  <c r="V209" i="23" s="1"/>
  <c r="B209" i="23" s="1"/>
  <c r="U181" i="23"/>
  <c r="T181" i="23" s="1"/>
  <c r="S181" i="23" s="1"/>
  <c r="R181" i="23" s="1"/>
  <c r="P181" i="23" s="1"/>
  <c r="V181" i="23" s="1"/>
  <c r="B181" i="23" s="1"/>
  <c r="U341" i="23"/>
  <c r="T341" i="23" s="1"/>
  <c r="S341" i="23" s="1"/>
  <c r="R341" i="23" s="1"/>
  <c r="P341" i="23" s="1"/>
  <c r="V341" i="23" s="1"/>
  <c r="U112" i="23"/>
  <c r="T112" i="23" s="1"/>
  <c r="S112" i="23" s="1"/>
  <c r="R112" i="23" s="1"/>
  <c r="P112" i="23" s="1"/>
  <c r="V112" i="23" s="1"/>
  <c r="B112" i="23" s="1"/>
  <c r="U277" i="23"/>
  <c r="T277" i="23" s="1"/>
  <c r="S277" i="23" s="1"/>
  <c r="R277" i="23" s="1"/>
  <c r="P277" i="23" s="1"/>
  <c r="V277" i="23" s="1"/>
  <c r="B277" i="23" s="1"/>
  <c r="U269" i="23"/>
  <c r="T269" i="23" s="1"/>
  <c r="S269" i="23" s="1"/>
  <c r="R269" i="23" s="1"/>
  <c r="P269" i="23" s="1"/>
  <c r="V269" i="23" s="1"/>
  <c r="B269" i="23" s="1"/>
  <c r="U74" i="23"/>
  <c r="T74" i="23" s="1"/>
  <c r="S74" i="23" s="1"/>
  <c r="R74" i="23" s="1"/>
  <c r="P74" i="23" s="1"/>
  <c r="V74" i="23" s="1"/>
  <c r="B74" i="23" s="1"/>
  <c r="U284" i="23"/>
  <c r="T284" i="23" s="1"/>
  <c r="S284" i="23" s="1"/>
  <c r="R284" i="23" s="1"/>
  <c r="P284" i="23" s="1"/>
  <c r="V284" i="23" s="1"/>
  <c r="U63" i="23"/>
  <c r="T63" i="23" s="1"/>
  <c r="S63" i="23" s="1"/>
  <c r="R63" i="23" s="1"/>
  <c r="P63" i="23" s="1"/>
  <c r="V63" i="23" s="1"/>
  <c r="U172" i="23"/>
  <c r="T172" i="23" s="1"/>
  <c r="S172" i="23" s="1"/>
  <c r="R172" i="23" s="1"/>
  <c r="P172" i="23" s="1"/>
  <c r="V172" i="23" s="1"/>
  <c r="U20" i="23"/>
  <c r="T20" i="23" s="1"/>
  <c r="S20" i="23" s="1"/>
  <c r="R20" i="23" s="1"/>
  <c r="P20" i="23" s="1"/>
  <c r="V20" i="23" s="1"/>
  <c r="U218" i="23"/>
  <c r="T218" i="23" s="1"/>
  <c r="S218" i="23" s="1"/>
  <c r="R218" i="23" s="1"/>
  <c r="P218" i="23" s="1"/>
  <c r="V218" i="23" s="1"/>
  <c r="B218" i="23" s="1"/>
  <c r="U234" i="23"/>
  <c r="T234" i="23" s="1"/>
  <c r="S234" i="23" s="1"/>
  <c r="R234" i="23" s="1"/>
  <c r="P234" i="23" s="1"/>
  <c r="V234" i="23" s="1"/>
  <c r="B234" i="23" s="1"/>
  <c r="U200" i="23"/>
  <c r="T200" i="23" s="1"/>
  <c r="S200" i="23" s="1"/>
  <c r="R200" i="23" s="1"/>
  <c r="P200" i="23" s="1"/>
  <c r="V200" i="23" s="1"/>
  <c r="B200" i="23" s="1"/>
  <c r="U289" i="23"/>
  <c r="T289" i="23" s="1"/>
  <c r="S289" i="23" s="1"/>
  <c r="R289" i="23" s="1"/>
  <c r="P289" i="23" s="1"/>
  <c r="V289" i="23" s="1"/>
  <c r="B289" i="23" s="1"/>
  <c r="U367" i="23"/>
  <c r="T367" i="23" s="1"/>
  <c r="S367" i="23" s="1"/>
  <c r="R367" i="23" s="1"/>
  <c r="P367" i="23" s="1"/>
  <c r="V367" i="23" s="1"/>
  <c r="B367" i="23" s="1"/>
  <c r="U105" i="23"/>
  <c r="T105" i="23" s="1"/>
  <c r="S105" i="23" s="1"/>
  <c r="R105" i="23" s="1"/>
  <c r="P105" i="23" s="1"/>
  <c r="V105" i="23" s="1"/>
  <c r="B105" i="23" s="1"/>
  <c r="U282" i="23"/>
  <c r="T282" i="23" s="1"/>
  <c r="S282" i="23" s="1"/>
  <c r="R282" i="23" s="1"/>
  <c r="P282" i="23" s="1"/>
  <c r="V282" i="23" s="1"/>
  <c r="B282" i="23" s="1"/>
  <c r="U142" i="23"/>
  <c r="T142" i="23" s="1"/>
  <c r="S142" i="23" s="1"/>
  <c r="R142" i="23" s="1"/>
  <c r="P142" i="23" s="1"/>
  <c r="V142" i="23" s="1"/>
  <c r="U135" i="23"/>
  <c r="T135" i="23" s="1"/>
  <c r="S135" i="23" s="1"/>
  <c r="R135" i="23" s="1"/>
  <c r="P135" i="23" s="1"/>
  <c r="V135" i="23" s="1"/>
  <c r="U232" i="23"/>
  <c r="T232" i="23" s="1"/>
  <c r="S232" i="23" s="1"/>
  <c r="R232" i="23" s="1"/>
  <c r="P232" i="23" s="1"/>
  <c r="V232" i="23" s="1"/>
  <c r="B232" i="23" s="1"/>
  <c r="U188" i="23"/>
  <c r="T188" i="23" s="1"/>
  <c r="S188" i="23" s="1"/>
  <c r="R188" i="23" s="1"/>
  <c r="P188" i="23" s="1"/>
  <c r="V188" i="23" s="1"/>
  <c r="B188" i="23" s="1"/>
  <c r="U325" i="23"/>
  <c r="T325" i="23" s="1"/>
  <c r="S325" i="23" s="1"/>
  <c r="R325" i="23" s="1"/>
  <c r="P325" i="23" s="1"/>
  <c r="V325" i="23" s="1"/>
  <c r="B325" i="23" s="1"/>
  <c r="U147" i="23"/>
  <c r="T147" i="23" s="1"/>
  <c r="S147" i="23" s="1"/>
  <c r="R147" i="23" s="1"/>
  <c r="P147" i="23" s="1"/>
  <c r="V147" i="23" s="1"/>
  <c r="B147" i="23" s="1"/>
  <c r="U223" i="23"/>
  <c r="T223" i="23" s="1"/>
  <c r="S223" i="23" s="1"/>
  <c r="R223" i="23" s="1"/>
  <c r="P223" i="23" s="1"/>
  <c r="V223" i="23" s="1"/>
  <c r="U337" i="23"/>
  <c r="T337" i="23" s="1"/>
  <c r="S337" i="23" s="1"/>
  <c r="R337" i="23" s="1"/>
  <c r="P337" i="23" s="1"/>
  <c r="V337" i="23" s="1"/>
  <c r="B337" i="23" s="1"/>
  <c r="U375" i="23"/>
  <c r="T375" i="23" s="1"/>
  <c r="S375" i="23" s="1"/>
  <c r="R375" i="23" s="1"/>
  <c r="P375" i="23" s="1"/>
  <c r="V375" i="23" s="1"/>
  <c r="B375" i="23" s="1"/>
  <c r="U101" i="23"/>
  <c r="T101" i="23" s="1"/>
  <c r="S101" i="23" s="1"/>
  <c r="R101" i="23" s="1"/>
  <c r="P101" i="23" s="1"/>
  <c r="V101" i="23" s="1"/>
  <c r="B101" i="23" s="1"/>
  <c r="U302" i="23"/>
  <c r="T302" i="23" s="1"/>
  <c r="S302" i="23" s="1"/>
  <c r="R302" i="23" s="1"/>
  <c r="P302" i="23" s="1"/>
  <c r="U152" i="23"/>
  <c r="T152" i="23" s="1"/>
  <c r="S152" i="23" s="1"/>
  <c r="R152" i="23" s="1"/>
  <c r="P152" i="23" s="1"/>
  <c r="V152" i="23" s="1"/>
  <c r="B152" i="23" s="1"/>
  <c r="U210" i="23"/>
  <c r="T210" i="23" s="1"/>
  <c r="S210" i="23" s="1"/>
  <c r="R210" i="23" s="1"/>
  <c r="P210" i="23" s="1"/>
  <c r="U76" i="23"/>
  <c r="T76" i="23" s="1"/>
  <c r="S76" i="23" s="1"/>
  <c r="R76" i="23" s="1"/>
  <c r="P76" i="23" s="1"/>
  <c r="V76" i="23" s="1"/>
  <c r="B76" i="23" s="1"/>
  <c r="U49" i="23"/>
  <c r="T49" i="23" s="1"/>
  <c r="S49" i="23" s="1"/>
  <c r="R49" i="23" s="1"/>
  <c r="P49" i="23" s="1"/>
  <c r="V49" i="23" s="1"/>
  <c r="B49" i="23" s="1"/>
  <c r="U215" i="23"/>
  <c r="T215" i="23" s="1"/>
  <c r="S215" i="23" s="1"/>
  <c r="R215" i="23" s="1"/>
  <c r="P215" i="23" s="1"/>
  <c r="V215" i="23" s="1"/>
  <c r="B215" i="23" s="1"/>
  <c r="U242" i="23"/>
  <c r="T242" i="23" s="1"/>
  <c r="S242" i="23" s="1"/>
  <c r="R242" i="23" s="1"/>
  <c r="P242" i="23" s="1"/>
  <c r="V242" i="23" s="1"/>
  <c r="B242" i="23" s="1"/>
  <c r="U356" i="23"/>
  <c r="T356" i="23" s="1"/>
  <c r="S356" i="23" s="1"/>
  <c r="R356" i="23" s="1"/>
  <c r="P356" i="23" s="1"/>
  <c r="V356" i="23" s="1"/>
  <c r="B356" i="23" s="1"/>
  <c r="U250" i="23"/>
  <c r="T250" i="23" s="1"/>
  <c r="S250" i="23" s="1"/>
  <c r="R250" i="23" s="1"/>
  <c r="P250" i="23" s="1"/>
  <c r="V250" i="23" s="1"/>
  <c r="U371" i="23"/>
  <c r="T371" i="23" s="1"/>
  <c r="S371" i="23" s="1"/>
  <c r="R371" i="23" s="1"/>
  <c r="P371" i="23" s="1"/>
  <c r="V371" i="23" s="1"/>
  <c r="B371" i="23" s="1"/>
  <c r="U161" i="23"/>
  <c r="T161" i="23" s="1"/>
  <c r="S161" i="23" s="1"/>
  <c r="R161" i="23" s="1"/>
  <c r="P161" i="23" s="1"/>
  <c r="V161" i="23" s="1"/>
  <c r="B161" i="23" s="1"/>
  <c r="U119" i="23"/>
  <c r="T119" i="23" s="1"/>
  <c r="S119" i="23" s="1"/>
  <c r="R119" i="23" s="1"/>
  <c r="P119" i="23" s="1"/>
  <c r="U286" i="23"/>
  <c r="T286" i="23" s="1"/>
  <c r="S286" i="23" s="1"/>
  <c r="R286" i="23" s="1"/>
  <c r="P286" i="23" s="1"/>
  <c r="V286" i="23" s="1"/>
  <c r="B286" i="23" s="1"/>
  <c r="U124" i="23"/>
  <c r="T124" i="23" s="1"/>
  <c r="S124" i="23" s="1"/>
  <c r="R124" i="23" s="1"/>
  <c r="P124" i="23" s="1"/>
  <c r="V124" i="23" s="1"/>
  <c r="B124" i="23" s="1"/>
  <c r="U159" i="23"/>
  <c r="T159" i="23" s="1"/>
  <c r="S159" i="23" s="1"/>
  <c r="R159" i="23" s="1"/>
  <c r="P159" i="23" s="1"/>
  <c r="V159" i="23" s="1"/>
  <c r="B159" i="23" s="1"/>
  <c r="U299" i="23"/>
  <c r="T299" i="23" s="1"/>
  <c r="S299" i="23" s="1"/>
  <c r="R299" i="23" s="1"/>
  <c r="P299" i="23" s="1"/>
  <c r="V299" i="23" s="1"/>
  <c r="B299" i="23" s="1"/>
  <c r="U37" i="23"/>
  <c r="T37" i="23" s="1"/>
  <c r="S37" i="23" s="1"/>
  <c r="R37" i="23" s="1"/>
  <c r="P37" i="23" s="1"/>
  <c r="V37" i="23" s="1"/>
  <c r="B37" i="23" s="1"/>
  <c r="U272" i="23"/>
  <c r="T272" i="23" s="1"/>
  <c r="S272" i="23" s="1"/>
  <c r="R272" i="23" s="1"/>
  <c r="P272" i="23" s="1"/>
  <c r="U165" i="23"/>
  <c r="T165" i="23" s="1"/>
  <c r="S165" i="23" s="1"/>
  <c r="R165" i="23" s="1"/>
  <c r="P165" i="23" s="1"/>
  <c r="V165" i="23" s="1"/>
  <c r="B165" i="23" s="1"/>
  <c r="U120" i="23"/>
  <c r="T120" i="23" s="1"/>
  <c r="S120" i="23" s="1"/>
  <c r="R120" i="23" s="1"/>
  <c r="P120" i="23" s="1"/>
  <c r="V120" i="23" s="1"/>
  <c r="B120" i="23" s="1"/>
  <c r="U311" i="23"/>
  <c r="T311" i="23" s="1"/>
  <c r="S311" i="23" s="1"/>
  <c r="R311" i="23" s="1"/>
  <c r="P311" i="23" s="1"/>
  <c r="V311" i="23" s="1"/>
  <c r="B311" i="23" s="1"/>
  <c r="U149" i="23"/>
  <c r="T149" i="23" s="1"/>
  <c r="S149" i="23" s="1"/>
  <c r="R149" i="23" s="1"/>
  <c r="P149" i="23" s="1"/>
  <c r="U182" i="23"/>
  <c r="T182" i="23" s="1"/>
  <c r="S182" i="23" s="1"/>
  <c r="R182" i="23" s="1"/>
  <c r="P182" i="23" s="1"/>
  <c r="V182" i="23" s="1"/>
  <c r="B182" i="23" s="1"/>
  <c r="U330" i="23"/>
  <c r="T330" i="23" s="1"/>
  <c r="S330" i="23" s="1"/>
  <c r="R330" i="23" s="1"/>
  <c r="P330" i="23" s="1"/>
  <c r="V330" i="23" s="1"/>
  <c r="B330" i="23" s="1"/>
  <c r="U154" i="23"/>
  <c r="T154" i="23" s="1"/>
  <c r="S154" i="23" s="1"/>
  <c r="R154" i="23" s="1"/>
  <c r="P154" i="23" s="1"/>
  <c r="V154" i="23" s="1"/>
  <c r="B154" i="23" s="1"/>
  <c r="U35" i="23"/>
  <c r="T35" i="23" s="1"/>
  <c r="S35" i="23" s="1"/>
  <c r="R35" i="23" s="1"/>
  <c r="P35" i="23" s="1"/>
  <c r="V35" i="23" s="1"/>
  <c r="U275" i="23"/>
  <c r="T275" i="23" s="1"/>
  <c r="S275" i="23" s="1"/>
  <c r="R275" i="23" s="1"/>
  <c r="P275" i="23" s="1"/>
  <c r="V275" i="23" s="1"/>
  <c r="B275" i="23" s="1"/>
  <c r="U278" i="23"/>
  <c r="T278" i="23" s="1"/>
  <c r="S278" i="23" s="1"/>
  <c r="R278" i="23" s="1"/>
  <c r="P278" i="23" s="1"/>
  <c r="V278" i="23" s="1"/>
  <c r="B278" i="23" s="1"/>
  <c r="U117" i="23"/>
  <c r="T117" i="23" s="1"/>
  <c r="S117" i="23" s="1"/>
  <c r="R117" i="23" s="1"/>
  <c r="P117" i="23" s="1"/>
  <c r="V117" i="23" s="1"/>
  <c r="B117" i="23" s="1"/>
  <c r="U113" i="23"/>
  <c r="T113" i="23" s="1"/>
  <c r="S113" i="23" s="1"/>
  <c r="R113" i="23" s="1"/>
  <c r="P113" i="23" s="1"/>
  <c r="V113" i="23" s="1"/>
  <c r="B113" i="23" s="1"/>
  <c r="U317" i="23"/>
  <c r="T317" i="23" s="1"/>
  <c r="S317" i="23" s="1"/>
  <c r="R317" i="23" s="1"/>
  <c r="P317" i="23" s="1"/>
  <c r="V317" i="23" s="1"/>
  <c r="U257" i="23"/>
  <c r="T257" i="23" s="1"/>
  <c r="S257" i="23" s="1"/>
  <c r="R257" i="23" s="1"/>
  <c r="P257" i="23" s="1"/>
  <c r="V257" i="23" s="1"/>
  <c r="U374" i="23"/>
  <c r="T374" i="23" s="1"/>
  <c r="S374" i="23" s="1"/>
  <c r="R374" i="23" s="1"/>
  <c r="P374" i="23" s="1"/>
  <c r="V374" i="23" s="1"/>
  <c r="U16" i="23"/>
  <c r="T16" i="23" s="1"/>
  <c r="S16" i="23" s="1"/>
  <c r="R16" i="23" s="1"/>
  <c r="P16" i="23" s="1"/>
  <c r="V16" i="23" s="1"/>
  <c r="B16" i="23" s="1"/>
  <c r="U84" i="23"/>
  <c r="T84" i="23" s="1"/>
  <c r="S84" i="23" s="1"/>
  <c r="R84" i="23" s="1"/>
  <c r="P84" i="23" s="1"/>
  <c r="V84" i="23" s="1"/>
  <c r="U349" i="23"/>
  <c r="T349" i="23" s="1"/>
  <c r="S349" i="23" s="1"/>
  <c r="R349" i="23" s="1"/>
  <c r="P349" i="23" s="1"/>
  <c r="V349" i="23" s="1"/>
  <c r="B349" i="23" s="1"/>
  <c r="U201" i="23"/>
  <c r="T201" i="23" s="1"/>
  <c r="S201" i="23" s="1"/>
  <c r="R201" i="23" s="1"/>
  <c r="P201" i="23" s="1"/>
  <c r="V201" i="23" s="1"/>
  <c r="U314" i="23"/>
  <c r="T314" i="23" s="1"/>
  <c r="S314" i="23" s="1"/>
  <c r="R314" i="23" s="1"/>
  <c r="P314" i="23" s="1"/>
  <c r="V314" i="23" s="1"/>
  <c r="U303" i="23"/>
  <c r="T303" i="23" s="1"/>
  <c r="S303" i="23" s="1"/>
  <c r="R303" i="23" s="1"/>
  <c r="P303" i="23" s="1"/>
  <c r="V303" i="23" s="1"/>
  <c r="B303" i="23" s="1"/>
  <c r="U378" i="23"/>
  <c r="T378" i="23" s="1"/>
  <c r="S378" i="23" s="1"/>
  <c r="R378" i="23" s="1"/>
  <c r="P378" i="23" s="1"/>
  <c r="V378" i="23" s="1"/>
  <c r="B378" i="23" s="1"/>
  <c r="U60" i="23"/>
  <c r="T60" i="23" s="1"/>
  <c r="S60" i="23" s="1"/>
  <c r="R60" i="23" s="1"/>
  <c r="P60" i="23" s="1"/>
  <c r="V60" i="23" s="1"/>
  <c r="B60" i="23" s="1"/>
  <c r="U350" i="23"/>
  <c r="T350" i="23" s="1"/>
  <c r="S350" i="23" s="1"/>
  <c r="R350" i="23" s="1"/>
  <c r="P350" i="23" s="1"/>
  <c r="V350" i="23" s="1"/>
  <c r="U185" i="23"/>
  <c r="T185" i="23" s="1"/>
  <c r="S185" i="23" s="1"/>
  <c r="R185" i="23" s="1"/>
  <c r="P185" i="23" s="1"/>
  <c r="V185" i="23" s="1"/>
  <c r="B185" i="23" s="1"/>
  <c r="U41" i="23"/>
  <c r="T41" i="23" s="1"/>
  <c r="S41" i="23" s="1"/>
  <c r="R41" i="23" s="1"/>
  <c r="P41" i="23" s="1"/>
  <c r="V41" i="23" s="1"/>
  <c r="B41" i="23" s="1"/>
  <c r="U197" i="23"/>
  <c r="T197" i="23" s="1"/>
  <c r="S197" i="23" s="1"/>
  <c r="R197" i="23" s="1"/>
  <c r="P197" i="23" s="1"/>
  <c r="V197" i="23" s="1"/>
  <c r="B197" i="23" s="1"/>
  <c r="U141" i="23"/>
  <c r="T141" i="23" s="1"/>
  <c r="S141" i="23" s="1"/>
  <c r="R141" i="23" s="1"/>
  <c r="P141" i="23" s="1"/>
  <c r="V141" i="23" s="1"/>
  <c r="B141" i="23" s="1"/>
  <c r="U333" i="23"/>
  <c r="T333" i="23" s="1"/>
  <c r="S333" i="23" s="1"/>
  <c r="R333" i="23" s="1"/>
  <c r="P333" i="23" s="1"/>
  <c r="U151" i="23"/>
  <c r="T151" i="23" s="1"/>
  <c r="S151" i="23" s="1"/>
  <c r="R151" i="23" s="1"/>
  <c r="P151" i="23" s="1"/>
  <c r="V151" i="23" s="1"/>
  <c r="U300" i="23"/>
  <c r="T300" i="23" s="1"/>
  <c r="S300" i="23" s="1"/>
  <c r="R300" i="23" s="1"/>
  <c r="P300" i="23" s="1"/>
  <c r="V300" i="23" s="1"/>
  <c r="U261" i="23"/>
  <c r="T261" i="23" s="1"/>
  <c r="S261" i="23" s="1"/>
  <c r="R261" i="23" s="1"/>
  <c r="P261" i="23" s="1"/>
  <c r="V261" i="23" s="1"/>
  <c r="B261" i="23" s="1"/>
  <c r="U82" i="23"/>
  <c r="T82" i="23" s="1"/>
  <c r="S82" i="23" s="1"/>
  <c r="R82" i="23" s="1"/>
  <c r="P82" i="23" s="1"/>
  <c r="V82" i="23" s="1"/>
  <c r="U187" i="23"/>
  <c r="T187" i="23" s="1"/>
  <c r="S187" i="23" s="1"/>
  <c r="R187" i="23" s="1"/>
  <c r="P187" i="23" s="1"/>
  <c r="V187" i="23" s="1"/>
  <c r="U238" i="23"/>
  <c r="T238" i="23" s="1"/>
  <c r="S238" i="23" s="1"/>
  <c r="R238" i="23" s="1"/>
  <c r="P238" i="23" s="1"/>
  <c r="V238" i="23" s="1"/>
  <c r="U352" i="23"/>
  <c r="T352" i="23" s="1"/>
  <c r="S352" i="23" s="1"/>
  <c r="R352" i="23" s="1"/>
  <c r="P352" i="23" s="1"/>
  <c r="V352" i="23" s="1"/>
  <c r="U184" i="23"/>
  <c r="T184" i="23" s="1"/>
  <c r="S184" i="23" s="1"/>
  <c r="R184" i="23" s="1"/>
  <c r="P184" i="23" s="1"/>
  <c r="V184" i="23" s="1"/>
  <c r="U100" i="23"/>
  <c r="T100" i="23" s="1"/>
  <c r="S100" i="23" s="1"/>
  <c r="R100" i="23" s="1"/>
  <c r="P100" i="23" s="1"/>
  <c r="V100" i="23" s="1"/>
  <c r="U137" i="23"/>
  <c r="T137" i="23" s="1"/>
  <c r="S137" i="23" s="1"/>
  <c r="R137" i="23" s="1"/>
  <c r="P137" i="23" s="1"/>
  <c r="V137" i="23" s="1"/>
  <c r="B137" i="23" s="1"/>
  <c r="U205" i="23"/>
  <c r="T205" i="23" s="1"/>
  <c r="S205" i="23" s="1"/>
  <c r="R205" i="23" s="1"/>
  <c r="P205" i="23" s="1"/>
  <c r="V205" i="23" s="1"/>
  <c r="B205" i="23" s="1"/>
  <c r="U130" i="23"/>
  <c r="T130" i="23" s="1"/>
  <c r="S130" i="23" s="1"/>
  <c r="R130" i="23" s="1"/>
  <c r="P130" i="23" s="1"/>
  <c r="V130" i="23" s="1"/>
  <c r="B130" i="23" s="1"/>
  <c r="U79" i="23"/>
  <c r="T79" i="23" s="1"/>
  <c r="S79" i="23" s="1"/>
  <c r="R79" i="23" s="1"/>
  <c r="P79" i="23" s="1"/>
  <c r="V79" i="23" s="1"/>
  <c r="U301" i="23"/>
  <c r="T301" i="23" s="1"/>
  <c r="S301" i="23" s="1"/>
  <c r="R301" i="23" s="1"/>
  <c r="P301" i="23" s="1"/>
  <c r="V301" i="23" s="1"/>
  <c r="U42" i="23"/>
  <c r="T42" i="23" s="1"/>
  <c r="S42" i="23" s="1"/>
  <c r="R42" i="23" s="1"/>
  <c r="P42" i="23" s="1"/>
  <c r="V42" i="23" s="1"/>
  <c r="B42" i="23" s="1"/>
  <c r="U43" i="23"/>
  <c r="T43" i="23" s="1"/>
  <c r="S43" i="23" s="1"/>
  <c r="R43" i="23" s="1"/>
  <c r="P43" i="23" s="1"/>
  <c r="V43" i="23" s="1"/>
  <c r="B43" i="23" s="1"/>
  <c r="U247" i="23"/>
  <c r="T247" i="23" s="1"/>
  <c r="S247" i="23" s="1"/>
  <c r="R247" i="23" s="1"/>
  <c r="P247" i="23" s="1"/>
  <c r="V247" i="23" s="1"/>
  <c r="B247" i="23" s="1"/>
  <c r="U370" i="23"/>
  <c r="T370" i="23" s="1"/>
  <c r="S370" i="23" s="1"/>
  <c r="R370" i="23" s="1"/>
  <c r="P370" i="23" s="1"/>
  <c r="V370" i="23" s="1"/>
  <c r="B370" i="23" s="1"/>
  <c r="U68" i="23"/>
  <c r="T68" i="23" s="1"/>
  <c r="S68" i="23" s="1"/>
  <c r="R68" i="23" s="1"/>
  <c r="P68" i="23" s="1"/>
  <c r="V68" i="23" s="1"/>
  <c r="B68" i="23" s="1"/>
  <c r="U231" i="23"/>
  <c r="T231" i="23" s="1"/>
  <c r="S231" i="23" s="1"/>
  <c r="R231" i="23" s="1"/>
  <c r="P231" i="23" s="1"/>
  <c r="V231" i="23" s="1"/>
  <c r="B231" i="23" s="1"/>
  <c r="U192" i="23"/>
  <c r="T192" i="23" s="1"/>
  <c r="S192" i="23" s="1"/>
  <c r="R192" i="23" s="1"/>
  <c r="P192" i="23" s="1"/>
  <c r="V192" i="23" s="1"/>
  <c r="B192" i="23" s="1"/>
  <c r="U121" i="23"/>
  <c r="T121" i="23" s="1"/>
  <c r="S121" i="23" s="1"/>
  <c r="R121" i="23" s="1"/>
  <c r="P121" i="23" s="1"/>
  <c r="V121" i="23" s="1"/>
  <c r="B121" i="23" s="1"/>
  <c r="U99" i="23"/>
  <c r="T99" i="23" s="1"/>
  <c r="S99" i="23" s="1"/>
  <c r="R99" i="23" s="1"/>
  <c r="P99" i="23" s="1"/>
  <c r="V99" i="23" s="1"/>
  <c r="B99" i="23" s="1"/>
  <c r="U276" i="23"/>
  <c r="T276" i="23" s="1"/>
  <c r="S276" i="23" s="1"/>
  <c r="R276" i="23" s="1"/>
  <c r="P276" i="23" s="1"/>
  <c r="V276" i="23" s="1"/>
  <c r="B276" i="23" s="1"/>
  <c r="U309" i="23"/>
  <c r="T309" i="23" s="1"/>
  <c r="S309" i="23" s="1"/>
  <c r="R309" i="23" s="1"/>
  <c r="P309" i="23" s="1"/>
  <c r="V309" i="23" s="1"/>
  <c r="B309" i="23" s="1"/>
  <c r="U355" i="23"/>
  <c r="T355" i="23" s="1"/>
  <c r="S355" i="23" s="1"/>
  <c r="R355" i="23" s="1"/>
  <c r="P355" i="23" s="1"/>
  <c r="V355" i="23" s="1"/>
  <c r="B355" i="23" s="1"/>
  <c r="U129" i="23"/>
  <c r="T129" i="23" s="1"/>
  <c r="S129" i="23" s="1"/>
  <c r="R129" i="23" s="1"/>
  <c r="P129" i="23" s="1"/>
  <c r="V129" i="23" s="1"/>
  <c r="B129" i="23" s="1"/>
  <c r="U293" i="23"/>
  <c r="T293" i="23" s="1"/>
  <c r="S293" i="23" s="1"/>
  <c r="R293" i="23" s="1"/>
  <c r="P293" i="23" s="1"/>
  <c r="V293" i="23" s="1"/>
  <c r="B293" i="23" s="1"/>
  <c r="U329" i="23"/>
  <c r="T329" i="23" s="1"/>
  <c r="S329" i="23" s="1"/>
  <c r="R329" i="23" s="1"/>
  <c r="P329" i="23" s="1"/>
  <c r="V329" i="23" s="1"/>
  <c r="B329" i="23" s="1"/>
  <c r="U357" i="23"/>
  <c r="T357" i="23" s="1"/>
  <c r="S357" i="23" s="1"/>
  <c r="R357" i="23" s="1"/>
  <c r="P357" i="23" s="1"/>
  <c r="V357" i="23" s="1"/>
  <c r="B357" i="23" s="1"/>
  <c r="U94" i="23"/>
  <c r="T94" i="23" s="1"/>
  <c r="S94" i="23" s="1"/>
  <c r="R94" i="23" s="1"/>
  <c r="P94" i="23" s="1"/>
  <c r="V94" i="23" s="1"/>
  <c r="B94" i="23" s="1"/>
  <c r="U89" i="23"/>
  <c r="T89" i="23" s="1"/>
  <c r="S89" i="23" s="1"/>
  <c r="R89" i="23" s="1"/>
  <c r="P89" i="23" s="1"/>
  <c r="V89" i="23" s="1"/>
  <c r="B89" i="23" s="1"/>
  <c r="U139" i="23"/>
  <c r="T139" i="23" s="1"/>
  <c r="S139" i="23" s="1"/>
  <c r="R139" i="23" s="1"/>
  <c r="P139" i="23" s="1"/>
  <c r="V139" i="23" s="1"/>
  <c r="B139" i="23" s="1"/>
  <c r="U294" i="23"/>
  <c r="T294" i="23" s="1"/>
  <c r="S294" i="23" s="1"/>
  <c r="R294" i="23" s="1"/>
  <c r="P294" i="23" s="1"/>
  <c r="V294" i="23" s="1"/>
  <c r="B294" i="23" s="1"/>
  <c r="U23" i="23"/>
  <c r="T23" i="23" s="1"/>
  <c r="S23" i="23" s="1"/>
  <c r="R23" i="23" s="1"/>
  <c r="P23" i="23" s="1"/>
  <c r="V23" i="23" s="1"/>
  <c r="B23" i="23" s="1"/>
  <c r="U240" i="23"/>
  <c r="T240" i="23" s="1"/>
  <c r="S240" i="23" s="1"/>
  <c r="R240" i="23" s="1"/>
  <c r="P240" i="23" s="1"/>
  <c r="V240" i="23" s="1"/>
  <c r="B240" i="23" s="1"/>
  <c r="U174" i="23"/>
  <c r="T174" i="23" s="1"/>
  <c r="S174" i="23" s="1"/>
  <c r="R174" i="23" s="1"/>
  <c r="P174" i="23" s="1"/>
  <c r="V174" i="23" s="1"/>
  <c r="B174" i="23" s="1"/>
  <c r="U17" i="23"/>
  <c r="T17" i="23" s="1"/>
  <c r="S17" i="23" s="1"/>
  <c r="R17" i="23" s="1"/>
  <c r="P17" i="23" s="1"/>
  <c r="V17" i="23" s="1"/>
  <c r="B17" i="23" s="1"/>
  <c r="U221" i="23"/>
  <c r="T221" i="23" s="1"/>
  <c r="S221" i="23" s="1"/>
  <c r="R221" i="23" s="1"/>
  <c r="P221" i="23" s="1"/>
  <c r="V221" i="23" s="1"/>
  <c r="B221" i="23" s="1"/>
  <c r="U44" i="23"/>
  <c r="T44" i="23" s="1"/>
  <c r="S44" i="23" s="1"/>
  <c r="R44" i="23" s="1"/>
  <c r="P44" i="23" s="1"/>
  <c r="V44" i="23" s="1"/>
  <c r="B44" i="23" s="1"/>
  <c r="U245" i="23"/>
  <c r="T245" i="23" s="1"/>
  <c r="S245" i="23" s="1"/>
  <c r="R245" i="23" s="1"/>
  <c r="P245" i="23" s="1"/>
  <c r="V245" i="23" s="1"/>
  <c r="B245" i="23" s="1"/>
  <c r="U360" i="23"/>
  <c r="T360" i="23" s="1"/>
  <c r="S360" i="23" s="1"/>
  <c r="R360" i="23" s="1"/>
  <c r="P360" i="23" s="1"/>
  <c r="V360" i="23" s="1"/>
  <c r="B360" i="23" s="1"/>
  <c r="U46" i="23"/>
  <c r="T46" i="23" s="1"/>
  <c r="S46" i="23" s="1"/>
  <c r="R46" i="23" s="1"/>
  <c r="P46" i="23" s="1"/>
  <c r="V46" i="23" s="1"/>
  <c r="B46" i="23" s="1"/>
  <c r="U252" i="23"/>
  <c r="T252" i="23" s="1"/>
  <c r="S252" i="23" s="1"/>
  <c r="R252" i="23" s="1"/>
  <c r="P252" i="23" s="1"/>
  <c r="V252" i="23" s="1"/>
  <c r="B252" i="23" s="1"/>
  <c r="U365" i="23"/>
  <c r="T365" i="23" s="1"/>
  <c r="S365" i="23" s="1"/>
  <c r="R365" i="23" s="1"/>
  <c r="P365" i="23" s="1"/>
  <c r="V365" i="23" s="1"/>
  <c r="B365" i="23" s="1"/>
  <c r="U54" i="23"/>
  <c r="T54" i="23" s="1"/>
  <c r="S54" i="23" s="1"/>
  <c r="R54" i="23" s="1"/>
  <c r="P54" i="23" s="1"/>
  <c r="V54" i="23" s="1"/>
  <c r="B54" i="23" s="1"/>
  <c r="U203" i="23"/>
  <c r="T203" i="23" s="1"/>
  <c r="S203" i="23" s="1"/>
  <c r="R203" i="23" s="1"/>
  <c r="P203" i="23" s="1"/>
  <c r="V203" i="23" s="1"/>
  <c r="B203" i="23" s="1"/>
  <c r="U244" i="23"/>
  <c r="T244" i="23" s="1"/>
  <c r="S244" i="23" s="1"/>
  <c r="R244" i="23" s="1"/>
  <c r="P244" i="23" s="1"/>
  <c r="V244" i="23" s="1"/>
  <c r="B244" i="23" s="1"/>
  <c r="U224" i="23"/>
  <c r="T224" i="23" s="1"/>
  <c r="S224" i="23" s="1"/>
  <c r="R224" i="23" s="1"/>
  <c r="P224" i="23" s="1"/>
  <c r="V224" i="23" s="1"/>
  <c r="B224" i="23" s="1"/>
  <c r="U344" i="23"/>
  <c r="T344" i="23" s="1"/>
  <c r="S344" i="23" s="1"/>
  <c r="R344" i="23" s="1"/>
  <c r="P344" i="23" s="1"/>
  <c r="V344" i="23" s="1"/>
  <c r="B344" i="23" s="1"/>
  <c r="U107" i="23"/>
  <c r="T107" i="23" s="1"/>
  <c r="S107" i="23" s="1"/>
  <c r="R107" i="23" s="1"/>
  <c r="P107" i="23" s="1"/>
  <c r="V107" i="23" s="1"/>
  <c r="B107" i="23" s="1"/>
  <c r="U266" i="23"/>
  <c r="T266" i="23" s="1"/>
  <c r="S266" i="23" s="1"/>
  <c r="R266" i="23" s="1"/>
  <c r="P266" i="23" s="1"/>
  <c r="V266" i="23" s="1"/>
  <c r="B266" i="23" s="1"/>
  <c r="U290" i="23"/>
  <c r="T290" i="23" s="1"/>
  <c r="S290" i="23" s="1"/>
  <c r="R290" i="23" s="1"/>
  <c r="P290" i="23" s="1"/>
  <c r="V290" i="23" s="1"/>
  <c r="B290" i="23" s="1"/>
  <c r="U158" i="23"/>
  <c r="T158" i="23" s="1"/>
  <c r="S158" i="23" s="1"/>
  <c r="R158" i="23" s="1"/>
  <c r="P158" i="23" s="1"/>
  <c r="V158" i="23" s="1"/>
  <c r="B158" i="23" s="1"/>
  <c r="U86" i="23"/>
  <c r="T86" i="23" s="1"/>
  <c r="S86" i="23" s="1"/>
  <c r="R86" i="23" s="1"/>
  <c r="P86" i="23" s="1"/>
  <c r="V86" i="23" s="1"/>
  <c r="B86" i="23" s="1"/>
  <c r="U19" i="23"/>
  <c r="T19" i="23" s="1"/>
  <c r="S19" i="23" s="1"/>
  <c r="R19" i="23" s="1"/>
  <c r="P19" i="23" s="1"/>
  <c r="V19" i="23" s="1"/>
  <c r="B19" i="23" s="1"/>
  <c r="U230" i="23"/>
  <c r="T230" i="23" s="1"/>
  <c r="S230" i="23" s="1"/>
  <c r="R230" i="23" s="1"/>
  <c r="P230" i="23" s="1"/>
  <c r="V230" i="23" s="1"/>
  <c r="B230" i="23" s="1"/>
  <c r="U198" i="23"/>
  <c r="T198" i="23" s="1"/>
  <c r="S198" i="23" s="1"/>
  <c r="R198" i="23" s="1"/>
  <c r="P198" i="23" s="1"/>
  <c r="V198" i="23" s="1"/>
  <c r="B198" i="23" s="1"/>
  <c r="U30" i="23"/>
  <c r="T30" i="23" s="1"/>
  <c r="S30" i="23" s="1"/>
  <c r="R30" i="23" s="1"/>
  <c r="P30" i="23" s="1"/>
  <c r="V30" i="23" s="1"/>
  <c r="B30" i="23" s="1"/>
  <c r="U335" i="23"/>
  <c r="T335" i="23" s="1"/>
  <c r="S335" i="23" s="1"/>
  <c r="R335" i="23" s="1"/>
  <c r="P335" i="23" s="1"/>
  <c r="V335" i="23" s="1"/>
  <c r="B335" i="23" s="1"/>
  <c r="U122" i="23"/>
  <c r="T122" i="23" s="1"/>
  <c r="S122" i="23" s="1"/>
  <c r="R122" i="23" s="1"/>
  <c r="P122" i="23" s="1"/>
  <c r="V122" i="23" s="1"/>
  <c r="B122" i="23" s="1"/>
  <c r="U93" i="23"/>
  <c r="T93" i="23" s="1"/>
  <c r="S93" i="23" s="1"/>
  <c r="R93" i="23" s="1"/>
  <c r="P93" i="23" s="1"/>
  <c r="V93" i="23" s="1"/>
  <c r="B93" i="23" s="1"/>
  <c r="U217" i="23"/>
  <c r="T217" i="23" s="1"/>
  <c r="S217" i="23" s="1"/>
  <c r="R217" i="23" s="1"/>
  <c r="P217" i="23" s="1"/>
  <c r="V217" i="23" s="1"/>
  <c r="B217" i="23" s="1"/>
  <c r="U97" i="23"/>
  <c r="T97" i="23" s="1"/>
  <c r="S97" i="23" s="1"/>
  <c r="R97" i="23" s="1"/>
  <c r="P97" i="23" s="1"/>
  <c r="V97" i="23" s="1"/>
  <c r="B97" i="23" s="1"/>
  <c r="U146" i="23"/>
  <c r="T146" i="23" s="1"/>
  <c r="S146" i="23" s="1"/>
  <c r="R146" i="23" s="1"/>
  <c r="P146" i="23" s="1"/>
  <c r="V146" i="23" s="1"/>
  <c r="B146" i="23" s="1"/>
  <c r="U77" i="23"/>
  <c r="T77" i="23" s="1"/>
  <c r="S77" i="23" s="1"/>
  <c r="R77" i="23" s="1"/>
  <c r="P77" i="23" s="1"/>
  <c r="V77" i="23" s="1"/>
  <c r="B77" i="23" s="1"/>
  <c r="U52" i="23"/>
  <c r="T52" i="23" s="1"/>
  <c r="S52" i="23" s="1"/>
  <c r="R52" i="23" s="1"/>
  <c r="P52" i="23" s="1"/>
  <c r="V52" i="23" s="1"/>
  <c r="B52" i="23" s="1"/>
  <c r="U61" i="23"/>
  <c r="T61" i="23" s="1"/>
  <c r="S61" i="23" s="1"/>
  <c r="R61" i="23" s="1"/>
  <c r="P61" i="23" s="1"/>
  <c r="V61" i="23" s="1"/>
  <c r="U226" i="23"/>
  <c r="T226" i="23" s="1"/>
  <c r="S226" i="23" s="1"/>
  <c r="R226" i="23" s="1"/>
  <c r="P226" i="23" s="1"/>
  <c r="V226" i="23" s="1"/>
  <c r="U346" i="23"/>
  <c r="T346" i="23" s="1"/>
  <c r="S346" i="23" s="1"/>
  <c r="R346" i="23" s="1"/>
  <c r="P346" i="23" s="1"/>
  <c r="V346" i="23" s="1"/>
  <c r="U111" i="23"/>
  <c r="T111" i="23" s="1"/>
  <c r="S111" i="23" s="1"/>
  <c r="R111" i="23" s="1"/>
  <c r="P111" i="23" s="1"/>
  <c r="V111" i="23" s="1"/>
  <c r="B111" i="23" s="1"/>
  <c r="U208" i="23"/>
  <c r="T208" i="23" s="1"/>
  <c r="S208" i="23" s="1"/>
  <c r="R208" i="23" s="1"/>
  <c r="P208" i="23" s="1"/>
  <c r="V208" i="23" s="1"/>
  <c r="B208" i="23" s="1"/>
  <c r="U216" i="23"/>
  <c r="T216" i="23" s="1"/>
  <c r="S216" i="23" s="1"/>
  <c r="R216" i="23" s="1"/>
  <c r="P216" i="23" s="1"/>
  <c r="V216" i="23" s="1"/>
  <c r="B216" i="23" s="1"/>
  <c r="U310" i="23"/>
  <c r="T310" i="23" s="1"/>
  <c r="S310" i="23" s="1"/>
  <c r="R310" i="23" s="1"/>
  <c r="P310" i="23" s="1"/>
  <c r="V310" i="23" s="1"/>
  <c r="U202" i="23"/>
  <c r="T202" i="23" s="1"/>
  <c r="S202" i="23" s="1"/>
  <c r="R202" i="23" s="1"/>
  <c r="P202" i="23" s="1"/>
  <c r="V202" i="23" s="1"/>
  <c r="U281" i="23"/>
  <c r="T281" i="23" s="1"/>
  <c r="S281" i="23" s="1"/>
  <c r="R281" i="23" s="1"/>
  <c r="P281" i="23" s="1"/>
  <c r="V281" i="23" s="1"/>
  <c r="U295" i="23"/>
  <c r="T295" i="23" s="1"/>
  <c r="S295" i="23" s="1"/>
  <c r="R295" i="23" s="1"/>
  <c r="P295" i="23" s="1"/>
  <c r="V295" i="23" s="1"/>
  <c r="U235" i="23"/>
  <c r="T235" i="23" s="1"/>
  <c r="S235" i="23" s="1"/>
  <c r="R235" i="23" s="1"/>
  <c r="P235" i="23" s="1"/>
  <c r="V235" i="23" s="1"/>
  <c r="U31" i="23"/>
  <c r="T31" i="23" s="1"/>
  <c r="S31" i="23" s="1"/>
  <c r="R31" i="23" s="1"/>
  <c r="P31" i="23" s="1"/>
  <c r="V31" i="23" s="1"/>
  <c r="B31" i="23" s="1"/>
  <c r="U132" i="23"/>
  <c r="T132" i="23" s="1"/>
  <c r="S132" i="23" s="1"/>
  <c r="R132" i="23" s="1"/>
  <c r="P132" i="23" s="1"/>
  <c r="V132" i="23" s="1"/>
  <c r="U27" i="23"/>
  <c r="T27" i="23" s="1"/>
  <c r="S27" i="23" s="1"/>
  <c r="R27" i="23" s="1"/>
  <c r="P27" i="23" s="1"/>
  <c r="V27" i="23" s="1"/>
  <c r="B27" i="23" s="1"/>
  <c r="U134" i="23"/>
  <c r="T134" i="23" s="1"/>
  <c r="S134" i="23" s="1"/>
  <c r="R134" i="23" s="1"/>
  <c r="P134" i="23" s="1"/>
  <c r="V134" i="23" s="1"/>
  <c r="U116" i="23"/>
  <c r="T116" i="23" s="1"/>
  <c r="S116" i="23" s="1"/>
  <c r="R116" i="23" s="1"/>
  <c r="P116" i="23" s="1"/>
  <c r="V116" i="23" s="1"/>
  <c r="B116" i="23" s="1"/>
  <c r="U175" i="23"/>
  <c r="T175" i="23" s="1"/>
  <c r="S175" i="23" s="1"/>
  <c r="R175" i="23" s="1"/>
  <c r="P175" i="23" s="1"/>
  <c r="V175" i="23" s="1"/>
  <c r="B175" i="23" s="1"/>
  <c r="U307" i="23"/>
  <c r="T307" i="23" s="1"/>
  <c r="S307" i="23" s="1"/>
  <c r="R307" i="23" s="1"/>
  <c r="P307" i="23" s="1"/>
  <c r="V307" i="23" s="1"/>
  <c r="U194" i="23"/>
  <c r="T194" i="23" s="1"/>
  <c r="S194" i="23" s="1"/>
  <c r="R194" i="23" s="1"/>
  <c r="P194" i="23" s="1"/>
  <c r="V194" i="23" s="1"/>
  <c r="U318" i="23"/>
  <c r="T318" i="23" s="1"/>
  <c r="S318" i="23" s="1"/>
  <c r="R318" i="23" s="1"/>
  <c r="P318" i="23" s="1"/>
  <c r="V318" i="23" s="1"/>
  <c r="B318" i="23" s="1"/>
  <c r="U347" i="23"/>
  <c r="T347" i="23" s="1"/>
  <c r="S347" i="23" s="1"/>
  <c r="R347" i="23" s="1"/>
  <c r="P347" i="23" s="1"/>
  <c r="V347" i="23" s="1"/>
  <c r="B347" i="23" s="1"/>
  <c r="U195" i="23"/>
  <c r="T195" i="23" s="1"/>
  <c r="S195" i="23" s="1"/>
  <c r="R195" i="23" s="1"/>
  <c r="P195" i="23" s="1"/>
  <c r="V195" i="23" s="1"/>
  <c r="B195" i="23" s="1"/>
  <c r="U98" i="23"/>
  <c r="T98" i="23" s="1"/>
  <c r="S98" i="23" s="1"/>
  <c r="R98" i="23" s="1"/>
  <c r="P98" i="23" s="1"/>
  <c r="V98" i="23" s="1"/>
  <c r="B98" i="23" s="1"/>
  <c r="U25" i="23"/>
  <c r="T25" i="23" s="1"/>
  <c r="S25" i="23" s="1"/>
  <c r="R25" i="23" s="1"/>
  <c r="P25" i="23" s="1"/>
  <c r="V25" i="23" s="1"/>
  <c r="U24" i="23"/>
  <c r="T24" i="23" s="1"/>
  <c r="S24" i="23" s="1"/>
  <c r="R24" i="23" s="1"/>
  <c r="P24" i="23" s="1"/>
  <c r="V24" i="23" s="1"/>
  <c r="B24" i="23" s="1"/>
  <c r="U71" i="23"/>
  <c r="T71" i="23" s="1"/>
  <c r="S71" i="23" s="1"/>
  <c r="R71" i="23" s="1"/>
  <c r="P71" i="23" s="1"/>
  <c r="V71" i="23" s="1"/>
  <c r="B71" i="23" s="1"/>
  <c r="U264" i="23"/>
  <c r="T264" i="23" s="1"/>
  <c r="S264" i="23" s="1"/>
  <c r="R264" i="23" s="1"/>
  <c r="P264" i="23" s="1"/>
  <c r="V264" i="23" s="1"/>
  <c r="B264" i="23" s="1"/>
  <c r="U155" i="23"/>
  <c r="T155" i="23" s="1"/>
  <c r="S155" i="23" s="1"/>
  <c r="R155" i="23" s="1"/>
  <c r="P155" i="23" s="1"/>
  <c r="V155" i="23" s="1"/>
  <c r="B155" i="23" s="1"/>
  <c r="U305" i="23"/>
  <c r="T305" i="23" s="1"/>
  <c r="S305" i="23" s="1"/>
  <c r="R305" i="23" s="1"/>
  <c r="P305" i="23" s="1"/>
  <c r="V305" i="23" s="1"/>
  <c r="B305" i="23" s="1"/>
  <c r="U33" i="23"/>
  <c r="T33" i="23" s="1"/>
  <c r="S33" i="23" s="1"/>
  <c r="R33" i="23" s="1"/>
  <c r="P33" i="23" s="1"/>
  <c r="V33" i="23" s="1"/>
  <c r="B33" i="23" s="1"/>
  <c r="U183" i="23"/>
  <c r="T183" i="23" s="1"/>
  <c r="S183" i="23" s="1"/>
  <c r="R183" i="23" s="1"/>
  <c r="P183" i="23" s="1"/>
  <c r="V183" i="23" s="1"/>
  <c r="B183" i="23" s="1"/>
  <c r="U316" i="23"/>
  <c r="T316" i="23" s="1"/>
  <c r="S316" i="23" s="1"/>
  <c r="R316" i="23" s="1"/>
  <c r="P316" i="23" s="1"/>
  <c r="V316" i="23" s="1"/>
  <c r="B316" i="23" s="1"/>
  <c r="U319" i="23"/>
  <c r="T319" i="23" s="1"/>
  <c r="S319" i="23" s="1"/>
  <c r="R319" i="23" s="1"/>
  <c r="P319" i="23" s="1"/>
  <c r="V319" i="23" s="1"/>
  <c r="U138" i="23"/>
  <c r="T138" i="23" s="1"/>
  <c r="S138" i="23" s="1"/>
  <c r="R138" i="23" s="1"/>
  <c r="P138" i="23" s="1"/>
  <c r="V138" i="23" s="1"/>
  <c r="B138" i="23" s="1"/>
  <c r="U59" i="23"/>
  <c r="T59" i="23" s="1"/>
  <c r="S59" i="23" s="1"/>
  <c r="R59" i="23" s="1"/>
  <c r="P59" i="23" s="1"/>
  <c r="V59" i="23" s="1"/>
  <c r="B59" i="23" s="1"/>
  <c r="U225" i="23"/>
  <c r="T225" i="23" s="1"/>
  <c r="S225" i="23" s="1"/>
  <c r="R225" i="23" s="1"/>
  <c r="P225" i="23" s="1"/>
  <c r="V225" i="23" s="1"/>
  <c r="B225" i="23" s="1"/>
  <c r="U364" i="23"/>
  <c r="T364" i="23" s="1"/>
  <c r="S364" i="23" s="1"/>
  <c r="R364" i="23" s="1"/>
  <c r="P364" i="23" s="1"/>
  <c r="V364" i="23" s="1"/>
  <c r="B364" i="23" s="1"/>
  <c r="U88" i="23"/>
  <c r="T88" i="23" s="1"/>
  <c r="S88" i="23" s="1"/>
  <c r="R88" i="23" s="1"/>
  <c r="P88" i="23" s="1"/>
  <c r="U358" i="23"/>
  <c r="T358" i="23" s="1"/>
  <c r="S358" i="23" s="1"/>
  <c r="R358" i="23" s="1"/>
  <c r="P358" i="23" s="1"/>
  <c r="V358" i="23" s="1"/>
  <c r="B358" i="23" s="1"/>
  <c r="U186" i="23"/>
  <c r="T186" i="23" s="1"/>
  <c r="S186" i="23" s="1"/>
  <c r="R186" i="23" s="1"/>
  <c r="P186" i="23" s="1"/>
  <c r="V186" i="23" s="1"/>
  <c r="B186" i="23" s="1"/>
  <c r="U48" i="23"/>
  <c r="T48" i="23" s="1"/>
  <c r="S48" i="23" s="1"/>
  <c r="R48" i="23" s="1"/>
  <c r="P48" i="23" s="1"/>
  <c r="V48" i="23" s="1"/>
  <c r="B48" i="23" s="1"/>
  <c r="U91" i="23"/>
  <c r="T91" i="23" s="1"/>
  <c r="S91" i="23" s="1"/>
  <c r="R91" i="23" s="1"/>
  <c r="P91" i="23" s="1"/>
  <c r="V91" i="23" s="1"/>
  <c r="B91" i="23" s="1"/>
  <c r="U274" i="23"/>
  <c r="T274" i="23" s="1"/>
  <c r="S274" i="23" s="1"/>
  <c r="R274" i="23" s="1"/>
  <c r="P274" i="23" s="1"/>
  <c r="V274" i="23" s="1"/>
  <c r="B274" i="23" s="1"/>
  <c r="U150" i="23"/>
  <c r="T150" i="23" s="1"/>
  <c r="S150" i="23" s="1"/>
  <c r="R150" i="23" s="1"/>
  <c r="P150" i="23" s="1"/>
  <c r="V150" i="23" s="1"/>
  <c r="B150" i="23" s="1"/>
  <c r="U87" i="23"/>
  <c r="T87" i="23" s="1"/>
  <c r="S87" i="23" s="1"/>
  <c r="R87" i="23" s="1"/>
  <c r="P87" i="23" s="1"/>
  <c r="V87" i="23" s="1"/>
  <c r="B87" i="23" s="1"/>
  <c r="U271" i="23"/>
  <c r="T271" i="23" s="1"/>
  <c r="S271" i="23" s="1"/>
  <c r="R271" i="23" s="1"/>
  <c r="P271" i="23" s="1"/>
  <c r="V271" i="23" s="1"/>
  <c r="B271" i="23" s="1"/>
  <c r="U80" i="23"/>
  <c r="T80" i="23" s="1"/>
  <c r="S80" i="23" s="1"/>
  <c r="R80" i="23" s="1"/>
  <c r="P80" i="23" s="1"/>
  <c r="V80" i="23" s="1"/>
  <c r="B80" i="23" s="1"/>
  <c r="U22" i="23"/>
  <c r="T22" i="23" s="1"/>
  <c r="S22" i="23" s="1"/>
  <c r="R22" i="23" s="1"/>
  <c r="P22" i="23" s="1"/>
  <c r="V22" i="23" s="1"/>
  <c r="B22" i="23" s="1"/>
  <c r="U237" i="23"/>
  <c r="T237" i="23" s="1"/>
  <c r="S237" i="23" s="1"/>
  <c r="R237" i="23" s="1"/>
  <c r="P237" i="23" s="1"/>
  <c r="V237" i="23" s="1"/>
  <c r="B237" i="23" s="1"/>
  <c r="U53" i="23"/>
  <c r="T53" i="23" s="1"/>
  <c r="S53" i="23" s="1"/>
  <c r="R53" i="23" s="1"/>
  <c r="P53" i="23" s="1"/>
  <c r="V53" i="23" s="1"/>
  <c r="B53" i="23" s="1"/>
  <c r="U283" i="23"/>
  <c r="T283" i="23" s="1"/>
  <c r="S283" i="23" s="1"/>
  <c r="R283" i="23" s="1"/>
  <c r="P283" i="23" s="1"/>
  <c r="V283" i="23" s="1"/>
  <c r="B283" i="23" s="1"/>
  <c r="U178" i="23"/>
  <c r="T178" i="23" s="1"/>
  <c r="S178" i="23" s="1"/>
  <c r="R178" i="23" s="1"/>
  <c r="P178" i="23" s="1"/>
  <c r="V178" i="23" s="1"/>
  <c r="B178" i="23" s="1"/>
  <c r="U131" i="23"/>
  <c r="T131" i="23" s="1"/>
  <c r="S131" i="23" s="1"/>
  <c r="R131" i="23" s="1"/>
  <c r="P131" i="23" s="1"/>
  <c r="V131" i="23" s="1"/>
  <c r="B131" i="23" s="1"/>
  <c r="U291" i="23"/>
  <c r="T291" i="23" s="1"/>
  <c r="S291" i="23" s="1"/>
  <c r="R291" i="23" s="1"/>
  <c r="P291" i="23" s="1"/>
  <c r="V291" i="23" s="1"/>
  <c r="B291" i="23" s="1"/>
  <c r="U324" i="23"/>
  <c r="T324" i="23" s="1"/>
  <c r="S324" i="23" s="1"/>
  <c r="R324" i="23" s="1"/>
  <c r="P324" i="23" s="1"/>
  <c r="V324" i="23" s="1"/>
  <c r="B324" i="23" s="1"/>
  <c r="U164" i="23"/>
  <c r="T164" i="23" s="1"/>
  <c r="S164" i="23" s="1"/>
  <c r="R164" i="23" s="1"/>
  <c r="P164" i="23" s="1"/>
  <c r="V164" i="23" s="1"/>
  <c r="B164" i="23" s="1"/>
  <c r="U15" i="23"/>
  <c r="U75" i="23"/>
  <c r="T75" i="23" s="1"/>
  <c r="S75" i="23" s="1"/>
  <c r="R75" i="23" s="1"/>
  <c r="P75" i="23" s="1"/>
  <c r="V75" i="23" s="1"/>
  <c r="B75" i="23" s="1"/>
  <c r="U315" i="23"/>
  <c r="T315" i="23" s="1"/>
  <c r="S315" i="23" s="1"/>
  <c r="R315" i="23" s="1"/>
  <c r="P315" i="23" s="1"/>
  <c r="V315" i="23" s="1"/>
  <c r="B315" i="23" s="1"/>
  <c r="U140" i="23"/>
  <c r="T140" i="23" s="1"/>
  <c r="S140" i="23" s="1"/>
  <c r="R140" i="23" s="1"/>
  <c r="P140" i="23" s="1"/>
  <c r="V140" i="23" s="1"/>
  <c r="B140" i="23" s="1"/>
  <c r="U127" i="23"/>
  <c r="T127" i="23" s="1"/>
  <c r="S127" i="23" s="1"/>
  <c r="R127" i="23" s="1"/>
  <c r="P127" i="23" s="1"/>
  <c r="V127" i="23" s="1"/>
  <c r="B127" i="23" s="1"/>
  <c r="U363" i="23"/>
  <c r="T363" i="23" s="1"/>
  <c r="S363" i="23" s="1"/>
  <c r="R363" i="23" s="1"/>
  <c r="P363" i="23" s="1"/>
  <c r="U96" i="23"/>
  <c r="T96" i="23" s="1"/>
  <c r="S96" i="23" s="1"/>
  <c r="R96" i="23" s="1"/>
  <c r="P96" i="23" s="1"/>
  <c r="V96" i="23" s="1"/>
  <c r="B96" i="23" s="1"/>
  <c r="U145" i="23"/>
  <c r="T145" i="23" s="1"/>
  <c r="S145" i="23" s="1"/>
  <c r="R145" i="23" s="1"/>
  <c r="P145" i="23" s="1"/>
  <c r="V145" i="23" s="1"/>
  <c r="B145" i="23" s="1"/>
  <c r="U348" i="23"/>
  <c r="T348" i="23" s="1"/>
  <c r="S348" i="23" s="1"/>
  <c r="R348" i="23" s="1"/>
  <c r="P348" i="23" s="1"/>
  <c r="V348" i="23" s="1"/>
  <c r="B348" i="23" s="1"/>
  <c r="U73" i="23"/>
  <c r="T73" i="23" s="1"/>
  <c r="S73" i="23" s="1"/>
  <c r="R73" i="23" s="1"/>
  <c r="P73" i="23" s="1"/>
  <c r="V73" i="23" s="1"/>
  <c r="B73" i="23" s="1"/>
  <c r="U288" i="23"/>
  <c r="T288" i="23" s="1"/>
  <c r="S288" i="23" s="1"/>
  <c r="R288" i="23" s="1"/>
  <c r="P288" i="23" s="1"/>
  <c r="V288" i="23" s="1"/>
  <c r="U136" i="23"/>
  <c r="T136" i="23" s="1"/>
  <c r="S136" i="23" s="1"/>
  <c r="R136" i="23" s="1"/>
  <c r="P136" i="23" s="1"/>
  <c r="V136" i="23" s="1"/>
  <c r="B136" i="23" s="1"/>
  <c r="U69" i="23"/>
  <c r="T69" i="23" s="1"/>
  <c r="S69" i="23" s="1"/>
  <c r="R69" i="23" s="1"/>
  <c r="P69" i="23" s="1"/>
  <c r="V69" i="23" s="1"/>
  <c r="B69" i="23" s="1"/>
  <c r="U353" i="23"/>
  <c r="T353" i="23" s="1"/>
  <c r="S353" i="23" s="1"/>
  <c r="R353" i="23" s="1"/>
  <c r="P353" i="23" s="1"/>
  <c r="V353" i="23" s="1"/>
  <c r="B353" i="23" s="1"/>
  <c r="U106" i="23"/>
  <c r="T106" i="23" s="1"/>
  <c r="S106" i="23" s="1"/>
  <c r="R106" i="23" s="1"/>
  <c r="P106" i="23" s="1"/>
  <c r="V106" i="23" s="1"/>
  <c r="B106" i="23" s="1"/>
  <c r="U125" i="23"/>
  <c r="T125" i="23" s="1"/>
  <c r="S125" i="23" s="1"/>
  <c r="R125" i="23" s="1"/>
  <c r="P125" i="23" s="1"/>
  <c r="V125" i="23" s="1"/>
  <c r="B125" i="23" s="1"/>
  <c r="U156" i="23"/>
  <c r="T156" i="23" s="1"/>
  <c r="S156" i="23" s="1"/>
  <c r="R156" i="23" s="1"/>
  <c r="P156" i="23" s="1"/>
  <c r="V156" i="23" s="1"/>
  <c r="B156" i="23" s="1"/>
  <c r="U95" i="23"/>
  <c r="T95" i="23" s="1"/>
  <c r="S95" i="23" s="1"/>
  <c r="R95" i="23" s="1"/>
  <c r="P95" i="23" s="1"/>
  <c r="V95" i="23" s="1"/>
  <c r="B95" i="23" s="1"/>
  <c r="U312" i="23"/>
  <c r="T312" i="23" s="1"/>
  <c r="S312" i="23" s="1"/>
  <c r="R312" i="23" s="1"/>
  <c r="P312" i="23" s="1"/>
  <c r="V312" i="23" s="1"/>
  <c r="B312" i="23" s="1"/>
  <c r="U110" i="23"/>
  <c r="T110" i="23" s="1"/>
  <c r="S110" i="23" s="1"/>
  <c r="R110" i="23" s="1"/>
  <c r="P110" i="23" s="1"/>
  <c r="V110" i="23" s="1"/>
  <c r="B110" i="23" s="1"/>
  <c r="U366" i="23"/>
  <c r="T366" i="23" s="1"/>
  <c r="S366" i="23" s="1"/>
  <c r="R366" i="23" s="1"/>
  <c r="P366" i="23" s="1"/>
  <c r="V366" i="23" s="1"/>
  <c r="B366" i="23" s="1"/>
  <c r="U180" i="23"/>
  <c r="T180" i="23" s="1"/>
  <c r="S180" i="23" s="1"/>
  <c r="R180" i="23" s="1"/>
  <c r="P180" i="23" s="1"/>
  <c r="U211" i="23"/>
  <c r="T211" i="23" s="1"/>
  <c r="S211" i="23" s="1"/>
  <c r="R211" i="23" s="1"/>
  <c r="P211" i="23" s="1"/>
  <c r="V211" i="23" s="1"/>
  <c r="B211" i="23" s="1"/>
  <c r="U332" i="23"/>
  <c r="T332" i="23" s="1"/>
  <c r="S332" i="23" s="1"/>
  <c r="R332" i="23" s="1"/>
  <c r="P332" i="23" s="1"/>
  <c r="V332" i="23" s="1"/>
  <c r="B332" i="23" s="1"/>
  <c r="U351" i="23"/>
  <c r="T351" i="23" s="1"/>
  <c r="S351" i="23" s="1"/>
  <c r="R351" i="23" s="1"/>
  <c r="P351" i="23" s="1"/>
  <c r="V351" i="23" s="1"/>
  <c r="B351" i="23" s="1"/>
  <c r="U65" i="23"/>
  <c r="T65" i="23" s="1"/>
  <c r="S65" i="23" s="1"/>
  <c r="R65" i="23" s="1"/>
  <c r="P65" i="23" s="1"/>
  <c r="V65" i="23" s="1"/>
  <c r="B65" i="23" s="1"/>
  <c r="U292" i="23"/>
  <c r="T292" i="23" s="1"/>
  <c r="S292" i="23" s="1"/>
  <c r="R292" i="23" s="1"/>
  <c r="P292" i="23" s="1"/>
  <c r="V292" i="23" s="1"/>
  <c r="B292" i="23" s="1"/>
  <c r="U102" i="23"/>
  <c r="T102" i="23" s="1"/>
  <c r="S102" i="23" s="1"/>
  <c r="R102" i="23" s="1"/>
  <c r="P102" i="23" s="1"/>
  <c r="V102" i="23" s="1"/>
  <c r="B102" i="23" s="1"/>
  <c r="U320" i="23"/>
  <c r="T320" i="23" s="1"/>
  <c r="S320" i="23" s="1"/>
  <c r="R320" i="23" s="1"/>
  <c r="P320" i="23" s="1"/>
  <c r="V320" i="23" s="1"/>
  <c r="B320" i="23" s="1"/>
  <c r="U262" i="23"/>
  <c r="T262" i="23" s="1"/>
  <c r="S262" i="23" s="1"/>
  <c r="R262" i="23" s="1"/>
  <c r="P262" i="23" s="1"/>
  <c r="V262" i="23" s="1"/>
  <c r="B262" i="23" s="1"/>
  <c r="U273" i="23"/>
  <c r="T273" i="23" s="1"/>
  <c r="S273" i="23" s="1"/>
  <c r="R273" i="23" s="1"/>
  <c r="P273" i="23" s="1"/>
  <c r="V273" i="23" s="1"/>
  <c r="B273" i="23" s="1"/>
  <c r="U28" i="23"/>
  <c r="T28" i="23" s="1"/>
  <c r="S28" i="23" s="1"/>
  <c r="R28" i="23" s="1"/>
  <c r="P28" i="23" s="1"/>
  <c r="V28" i="23" s="1"/>
  <c r="B28" i="23" s="1"/>
  <c r="U265" i="23"/>
  <c r="T265" i="23" s="1"/>
  <c r="S265" i="23" s="1"/>
  <c r="R265" i="23" s="1"/>
  <c r="P265" i="23" s="1"/>
  <c r="V265" i="23" s="1"/>
  <c r="B265" i="23" s="1"/>
  <c r="U32" i="23"/>
  <c r="T32" i="23" s="1"/>
  <c r="S32" i="23" s="1"/>
  <c r="R32" i="23" s="1"/>
  <c r="P32" i="23" s="1"/>
  <c r="V32" i="23" s="1"/>
  <c r="B32" i="23" s="1"/>
  <c r="U227" i="23"/>
  <c r="T227" i="23" s="1"/>
  <c r="S227" i="23" s="1"/>
  <c r="R227" i="23" s="1"/>
  <c r="P227" i="23" s="1"/>
  <c r="V227" i="23" s="1"/>
  <c r="U259" i="23"/>
  <c r="T259" i="23" s="1"/>
  <c r="S259" i="23" s="1"/>
  <c r="R259" i="23" s="1"/>
  <c r="P259" i="23" s="1"/>
  <c r="V259" i="23" s="1"/>
  <c r="B259" i="23" s="1"/>
  <c r="U343" i="23"/>
  <c r="T343" i="23" s="1"/>
  <c r="S343" i="23" s="1"/>
  <c r="R343" i="23" s="1"/>
  <c r="P343" i="23" s="1"/>
  <c r="V343" i="23" s="1"/>
  <c r="B343" i="23" s="1"/>
  <c r="U373" i="23"/>
  <c r="T373" i="23" s="1"/>
  <c r="S373" i="23" s="1"/>
  <c r="R373" i="23" s="1"/>
  <c r="P373" i="23" s="1"/>
  <c r="V373" i="23" s="1"/>
  <c r="B373" i="23" s="1"/>
  <c r="U64" i="23"/>
  <c r="T64" i="23" s="1"/>
  <c r="S64" i="23" s="1"/>
  <c r="R64" i="23" s="1"/>
  <c r="P64" i="23" s="1"/>
  <c r="V64" i="23" s="1"/>
  <c r="B64" i="23" s="1"/>
  <c r="U153" i="23"/>
  <c r="T153" i="23" s="1"/>
  <c r="S153" i="23" s="1"/>
  <c r="R153" i="23" s="1"/>
  <c r="P153" i="23" s="1"/>
  <c r="V153" i="23" s="1"/>
  <c r="B153" i="23" s="1"/>
  <c r="U304" i="23"/>
  <c r="T304" i="23" s="1"/>
  <c r="S304" i="23" s="1"/>
  <c r="R304" i="23" s="1"/>
  <c r="P304" i="23" s="1"/>
  <c r="V304" i="23" s="1"/>
  <c r="B304" i="23" s="1"/>
  <c r="U118" i="23"/>
  <c r="T118" i="23" s="1"/>
  <c r="S118" i="23" s="1"/>
  <c r="R118" i="23" s="1"/>
  <c r="P118" i="23" s="1"/>
  <c r="V118" i="23" s="1"/>
  <c r="B118" i="23" s="1"/>
  <c r="U297" i="23"/>
  <c r="T297" i="23" s="1"/>
  <c r="S297" i="23" s="1"/>
  <c r="R297" i="23" s="1"/>
  <c r="P297" i="23" s="1"/>
  <c r="V297" i="23" s="1"/>
  <c r="B297" i="23" s="1"/>
  <c r="U160" i="23"/>
  <c r="T160" i="23" s="1"/>
  <c r="S160" i="23" s="1"/>
  <c r="R160" i="23" s="1"/>
  <c r="P160" i="23" s="1"/>
  <c r="V160" i="23" s="1"/>
  <c r="B160" i="23" s="1"/>
  <c r="U21" i="23"/>
  <c r="T21" i="23" s="1"/>
  <c r="S21" i="23" s="1"/>
  <c r="R21" i="23" s="1"/>
  <c r="P21" i="23" s="1"/>
  <c r="V21" i="23" s="1"/>
  <c r="B21" i="23" s="1"/>
  <c r="U214" i="23"/>
  <c r="T214" i="23" s="1"/>
  <c r="S214" i="23" s="1"/>
  <c r="R214" i="23" s="1"/>
  <c r="P214" i="23" s="1"/>
  <c r="V214" i="23" s="1"/>
  <c r="B214" i="23" s="1"/>
  <c r="U340" i="23"/>
  <c r="T340" i="23" s="1"/>
  <c r="S340" i="23" s="1"/>
  <c r="R340" i="23" s="1"/>
  <c r="P340" i="23" s="1"/>
  <c r="V340" i="23" s="1"/>
  <c r="B340" i="23" s="1"/>
  <c r="U251" i="23"/>
  <c r="T251" i="23" s="1"/>
  <c r="S251" i="23" s="1"/>
  <c r="R251" i="23" s="1"/>
  <c r="P251" i="23" s="1"/>
  <c r="V251" i="23" s="1"/>
  <c r="B251" i="23" s="1"/>
  <c r="U18" i="23"/>
  <c r="T18" i="23" s="1"/>
  <c r="S18" i="23" s="1"/>
  <c r="R18" i="23" s="1"/>
  <c r="P18" i="23" s="1"/>
  <c r="V18" i="23" s="1"/>
  <c r="B18" i="23" s="1"/>
  <c r="U50" i="23"/>
  <c r="T50" i="23" s="1"/>
  <c r="S50" i="23" s="1"/>
  <c r="R50" i="23" s="1"/>
  <c r="P50" i="23" s="1"/>
  <c r="V50" i="23" s="1"/>
  <c r="B50" i="23" s="1"/>
  <c r="U213" i="23"/>
  <c r="T213" i="23" s="1"/>
  <c r="S213" i="23" s="1"/>
  <c r="R213" i="23" s="1"/>
  <c r="P213" i="23" s="1"/>
  <c r="V213" i="23" s="1"/>
  <c r="B213" i="23" s="1"/>
  <c r="U179" i="23"/>
  <c r="T179" i="23" s="1"/>
  <c r="S179" i="23" s="1"/>
  <c r="R179" i="23" s="1"/>
  <c r="P179" i="23" s="1"/>
  <c r="V179" i="23" s="1"/>
  <c r="B179" i="23" s="1"/>
  <c r="U55" i="23"/>
  <c r="T55" i="23" s="1"/>
  <c r="S55" i="23" s="1"/>
  <c r="R55" i="23" s="1"/>
  <c r="P55" i="23" s="1"/>
  <c r="V55" i="23" s="1"/>
  <c r="B55" i="23" s="1"/>
  <c r="U260" i="23"/>
  <c r="T260" i="23" s="1"/>
  <c r="S260" i="23" s="1"/>
  <c r="R260" i="23" s="1"/>
  <c r="P260" i="23" s="1"/>
  <c r="V260" i="23" s="1"/>
  <c r="B260" i="23" s="1"/>
  <c r="U123" i="23"/>
  <c r="T123" i="23" s="1"/>
  <c r="S123" i="23" s="1"/>
  <c r="R123" i="23" s="1"/>
  <c r="P123" i="23" s="1"/>
  <c r="V123" i="23" s="1"/>
  <c r="B123" i="23" s="1"/>
  <c r="U67" i="23"/>
  <c r="T67" i="23" s="1"/>
  <c r="S67" i="23" s="1"/>
  <c r="R67" i="23" s="1"/>
  <c r="P67" i="23" s="1"/>
  <c r="V67" i="23" s="1"/>
  <c r="B67" i="23" s="1"/>
  <c r="U249" i="23"/>
  <c r="T249" i="23" s="1"/>
  <c r="S249" i="23" s="1"/>
  <c r="R249" i="23" s="1"/>
  <c r="P249" i="23" s="1"/>
  <c r="V249" i="23" s="1"/>
  <c r="B249" i="23" s="1"/>
  <c r="U204" i="23"/>
  <c r="T204" i="23" s="1"/>
  <c r="S204" i="23" s="1"/>
  <c r="R204" i="23" s="1"/>
  <c r="P204" i="23" s="1"/>
  <c r="V204" i="23" s="1"/>
  <c r="B204" i="23" s="1"/>
  <c r="U241" i="23"/>
  <c r="T241" i="23" s="1"/>
  <c r="S241" i="23" s="1"/>
  <c r="R241" i="23" s="1"/>
  <c r="P241" i="23" s="1"/>
  <c r="U212" i="23"/>
  <c r="T212" i="23" s="1"/>
  <c r="S212" i="23" s="1"/>
  <c r="R212" i="23" s="1"/>
  <c r="P212" i="23" s="1"/>
  <c r="V212" i="23" s="1"/>
  <c r="B212" i="23" s="1"/>
  <c r="U128" i="23"/>
  <c r="T128" i="23" s="1"/>
  <c r="S128" i="23" s="1"/>
  <c r="R128" i="23" s="1"/>
  <c r="P128" i="23" s="1"/>
  <c r="V128" i="23" s="1"/>
  <c r="B128" i="23" s="1"/>
  <c r="U83" i="23"/>
  <c r="T83" i="23" s="1"/>
  <c r="S83" i="23" s="1"/>
  <c r="R83" i="23" s="1"/>
  <c r="P83" i="23" s="1"/>
  <c r="V83" i="23" s="1"/>
  <c r="B83" i="23" s="1"/>
  <c r="U92" i="23"/>
  <c r="T92" i="23" s="1"/>
  <c r="S92" i="23" s="1"/>
  <c r="R92" i="23" s="1"/>
  <c r="P92" i="23" s="1"/>
  <c r="V92" i="23" s="1"/>
  <c r="B92" i="23" s="1"/>
  <c r="U331" i="23"/>
  <c r="T331" i="23" s="1"/>
  <c r="S331" i="23" s="1"/>
  <c r="R331" i="23" s="1"/>
  <c r="P331" i="23" s="1"/>
  <c r="V331" i="23" s="1"/>
  <c r="B331" i="23" s="1"/>
  <c r="U169" i="23"/>
  <c r="T169" i="23" s="1"/>
  <c r="S169" i="23" s="1"/>
  <c r="R169" i="23" s="1"/>
  <c r="P169" i="23" s="1"/>
  <c r="V169" i="23" s="1"/>
  <c r="B169" i="23" s="1"/>
  <c r="U321" i="23"/>
  <c r="T321" i="23" s="1"/>
  <c r="S321" i="23" s="1"/>
  <c r="R321" i="23" s="1"/>
  <c r="P321" i="23" s="1"/>
  <c r="V321" i="23" s="1"/>
  <c r="B321" i="23" s="1"/>
  <c r="U328" i="23"/>
  <c r="T328" i="23" s="1"/>
  <c r="S328" i="23" s="1"/>
  <c r="R328" i="23" s="1"/>
  <c r="P328" i="23" s="1"/>
  <c r="V328" i="23" s="1"/>
  <c r="B328" i="23" s="1"/>
  <c r="U85" i="23"/>
  <c r="T85" i="23" s="1"/>
  <c r="S85" i="23" s="1"/>
  <c r="R85" i="23" s="1"/>
  <c r="P85" i="23" s="1"/>
  <c r="V85" i="23" s="1"/>
  <c r="B85" i="23" s="1"/>
  <c r="U270" i="23"/>
  <c r="T270" i="23" s="1"/>
  <c r="S270" i="23" s="1"/>
  <c r="R270" i="23" s="1"/>
  <c r="P270" i="23" s="1"/>
  <c r="V270" i="23" s="1"/>
  <c r="B270" i="23" s="1"/>
  <c r="U220" i="23"/>
  <c r="T220" i="23" s="1"/>
  <c r="S220" i="23" s="1"/>
  <c r="R220" i="23" s="1"/>
  <c r="P220" i="23" s="1"/>
  <c r="V220" i="23" s="1"/>
  <c r="B220" i="23" s="1"/>
  <c r="U70" i="23"/>
  <c r="T70" i="23" s="1"/>
  <c r="S70" i="23" s="1"/>
  <c r="R70" i="23" s="1"/>
  <c r="P70" i="23" s="1"/>
  <c r="V70" i="23" s="1"/>
  <c r="B70" i="23" s="1"/>
  <c r="U229" i="23"/>
  <c r="T229" i="23" s="1"/>
  <c r="S229" i="23" s="1"/>
  <c r="R229" i="23" s="1"/>
  <c r="P229" i="23" s="1"/>
  <c r="V229" i="23" s="1"/>
  <c r="B229" i="23" s="1"/>
  <c r="I159" i="22"/>
  <c r="J217" i="22"/>
  <c r="J101" i="22"/>
  <c r="I263" i="22"/>
  <c r="J344" i="22"/>
  <c r="I344" i="22"/>
  <c r="AA29" i="22"/>
  <c r="Z29" i="22" s="1"/>
  <c r="Y29" i="22" s="1"/>
  <c r="H29" i="22"/>
  <c r="G29" i="22"/>
  <c r="CC29" i="6" s="1"/>
  <c r="G149" i="22"/>
  <c r="CC149" i="6" s="1"/>
  <c r="AA149" i="22"/>
  <c r="Z149" i="22" s="1"/>
  <c r="Y149" i="22" s="1"/>
  <c r="J124" i="22"/>
  <c r="I124" i="22"/>
  <c r="G258" i="22"/>
  <c r="CC258" i="6" s="1"/>
  <c r="H258" i="22"/>
  <c r="I300" i="22"/>
  <c r="J300" i="22"/>
  <c r="G302" i="22"/>
  <c r="CC302" i="6" s="1"/>
  <c r="AA302" i="22"/>
  <c r="Z302" i="22" s="1"/>
  <c r="Y302" i="22" s="1"/>
  <c r="J33" i="22"/>
  <c r="I33" i="22"/>
  <c r="J203" i="22"/>
  <c r="D363" i="22"/>
  <c r="E363" i="22" s="1"/>
  <c r="F363" i="22" s="1"/>
  <c r="W363" i="22"/>
  <c r="G333" i="22"/>
  <c r="CC333" i="6" s="1"/>
  <c r="AA333" i="22"/>
  <c r="Z333" i="22" s="1"/>
  <c r="Y333" i="22" s="1"/>
  <c r="J23" i="22"/>
  <c r="I23" i="22"/>
  <c r="J169" i="22"/>
  <c r="I169" i="22"/>
  <c r="I175" i="22"/>
  <c r="I330" i="22"/>
  <c r="I277" i="22"/>
  <c r="J277" i="22"/>
  <c r="J302" i="20"/>
  <c r="C302" i="6" s="1"/>
  <c r="I302" i="20"/>
  <c r="J363" i="20"/>
  <c r="C363" i="6" s="1"/>
  <c r="I363" i="20"/>
  <c r="B363" i="6" s="1"/>
  <c r="BA363" i="6" s="1"/>
  <c r="D363" i="6" s="1"/>
  <c r="J119" i="20"/>
  <c r="C119" i="6" s="1"/>
  <c r="I119" i="20"/>
  <c r="B119" i="6" s="1"/>
  <c r="BA119" i="6" s="1"/>
  <c r="AI96" i="23"/>
  <c r="AH96" i="23" s="1"/>
  <c r="AG96" i="23" s="1"/>
  <c r="AF96" i="23" s="1"/>
  <c r="AD96" i="23" s="1"/>
  <c r="AI32" i="23"/>
  <c r="AH32" i="23" s="1"/>
  <c r="AG32" i="23" s="1"/>
  <c r="AF32" i="23" s="1"/>
  <c r="AD32" i="23" s="1"/>
  <c r="AI64" i="23"/>
  <c r="AH64" i="23" s="1"/>
  <c r="AG64" i="23" s="1"/>
  <c r="AF64" i="23" s="1"/>
  <c r="AD64" i="23" s="1"/>
  <c r="AI85" i="23"/>
  <c r="AH85" i="23" s="1"/>
  <c r="AG85" i="23" s="1"/>
  <c r="AF85" i="23" s="1"/>
  <c r="AD85" i="23" s="1"/>
  <c r="AI58" i="23"/>
  <c r="AH58" i="23" s="1"/>
  <c r="AG58" i="23" s="1"/>
  <c r="AF58" i="23" s="1"/>
  <c r="AD58" i="23" s="1"/>
  <c r="AI16" i="23"/>
  <c r="AH16" i="23" s="1"/>
  <c r="AG16" i="23" s="1"/>
  <c r="AF16" i="23" s="1"/>
  <c r="AD16" i="23" s="1"/>
  <c r="AI27" i="23"/>
  <c r="AH27" i="23" s="1"/>
  <c r="AG27" i="23" s="1"/>
  <c r="AF27" i="23" s="1"/>
  <c r="AD27" i="23" s="1"/>
  <c r="AI77" i="23"/>
  <c r="AH77" i="23" s="1"/>
  <c r="AG77" i="23" s="1"/>
  <c r="AF77" i="23" s="1"/>
  <c r="AD77" i="23" s="1"/>
  <c r="AI17" i="23"/>
  <c r="AH17" i="23" s="1"/>
  <c r="AG17" i="23" s="1"/>
  <c r="AF17" i="23" s="1"/>
  <c r="AD17" i="23" s="1"/>
  <c r="AI29" i="23"/>
  <c r="AH29" i="23" s="1"/>
  <c r="AG29" i="23" s="1"/>
  <c r="AF29" i="23" s="1"/>
  <c r="AD29" i="23" s="1"/>
  <c r="AI83" i="23"/>
  <c r="AH83" i="23" s="1"/>
  <c r="AG83" i="23" s="1"/>
  <c r="AF83" i="23" s="1"/>
  <c r="AD83" i="23" s="1"/>
  <c r="AI344" i="23"/>
  <c r="AH344" i="23" s="1"/>
  <c r="AG344" i="23" s="1"/>
  <c r="AF344" i="23" s="1"/>
  <c r="AD344" i="23" s="1"/>
  <c r="AI65" i="23"/>
  <c r="AH65" i="23" s="1"/>
  <c r="AG65" i="23" s="1"/>
  <c r="AF65" i="23" s="1"/>
  <c r="AD65" i="23" s="1"/>
  <c r="AI128" i="23"/>
  <c r="AH128" i="23" s="1"/>
  <c r="AG128" i="23" s="1"/>
  <c r="AF128" i="23" s="1"/>
  <c r="AD128" i="23" s="1"/>
  <c r="AI50" i="23"/>
  <c r="AH50" i="23" s="1"/>
  <c r="AG50" i="23" s="1"/>
  <c r="AF50" i="23" s="1"/>
  <c r="AD50" i="23" s="1"/>
  <c r="AI346" i="23"/>
  <c r="AH346" i="23" s="1"/>
  <c r="AG346" i="23" s="1"/>
  <c r="AF346" i="23" s="1"/>
  <c r="AD346" i="23" s="1"/>
  <c r="AI59" i="23"/>
  <c r="AH59" i="23" s="1"/>
  <c r="AG59" i="23" s="1"/>
  <c r="AF59" i="23" s="1"/>
  <c r="AD59" i="23" s="1"/>
  <c r="AI124" i="23"/>
  <c r="AH124" i="23" s="1"/>
  <c r="AG124" i="23" s="1"/>
  <c r="AF124" i="23" s="1"/>
  <c r="AD124" i="23" s="1"/>
  <c r="AI36" i="23"/>
  <c r="AH36" i="23" s="1"/>
  <c r="AG36" i="23" s="1"/>
  <c r="AF36" i="23" s="1"/>
  <c r="AD36" i="23" s="1"/>
  <c r="AI340" i="23"/>
  <c r="AH340" i="23" s="1"/>
  <c r="AG340" i="23" s="1"/>
  <c r="AF340" i="23" s="1"/>
  <c r="AD340" i="23" s="1"/>
  <c r="AI144" i="23"/>
  <c r="AH144" i="23" s="1"/>
  <c r="AG144" i="23" s="1"/>
  <c r="AF144" i="23" s="1"/>
  <c r="AD144" i="23" s="1"/>
  <c r="AI81" i="23"/>
  <c r="AH81" i="23" s="1"/>
  <c r="AG81" i="23" s="1"/>
  <c r="AF81" i="23" s="1"/>
  <c r="AD81" i="23" s="1"/>
  <c r="AI351" i="23"/>
  <c r="AH351" i="23" s="1"/>
  <c r="AG351" i="23" s="1"/>
  <c r="AF351" i="23" s="1"/>
  <c r="AD351" i="23" s="1"/>
  <c r="AI63" i="23"/>
  <c r="AH63" i="23" s="1"/>
  <c r="AG63" i="23" s="1"/>
  <c r="AF63" i="23" s="1"/>
  <c r="AD63" i="23" s="1"/>
  <c r="AI125" i="23"/>
  <c r="AH125" i="23" s="1"/>
  <c r="AG125" i="23" s="1"/>
  <c r="AF125" i="23" s="1"/>
  <c r="AD125" i="23" s="1"/>
  <c r="AI78" i="23"/>
  <c r="AH78" i="23" s="1"/>
  <c r="AG78" i="23" s="1"/>
  <c r="AF78" i="23" s="1"/>
  <c r="AD78" i="23" s="1"/>
  <c r="AI362" i="23"/>
  <c r="AH362" i="23" s="1"/>
  <c r="AG362" i="23" s="1"/>
  <c r="AF362" i="23" s="1"/>
  <c r="AD362" i="23" s="1"/>
  <c r="AI279" i="23"/>
  <c r="AH279" i="23" s="1"/>
  <c r="AG279" i="23" s="1"/>
  <c r="AF279" i="23" s="1"/>
  <c r="AD279" i="23" s="1"/>
  <c r="AI55" i="23"/>
  <c r="AH55" i="23" s="1"/>
  <c r="AG55" i="23" s="1"/>
  <c r="AF55" i="23" s="1"/>
  <c r="AD55" i="23" s="1"/>
  <c r="AI190" i="23"/>
  <c r="AH190" i="23" s="1"/>
  <c r="AG190" i="23" s="1"/>
  <c r="AF190" i="23" s="1"/>
  <c r="AD190" i="23" s="1"/>
  <c r="AI26" i="23"/>
  <c r="AH26" i="23" s="1"/>
  <c r="AG26" i="23" s="1"/>
  <c r="AF26" i="23" s="1"/>
  <c r="AD26" i="23" s="1"/>
  <c r="AI187" i="23"/>
  <c r="AH187" i="23" s="1"/>
  <c r="AG187" i="23" s="1"/>
  <c r="AF187" i="23" s="1"/>
  <c r="AD187" i="23" s="1"/>
  <c r="AI97" i="23"/>
  <c r="AH97" i="23" s="1"/>
  <c r="AG97" i="23" s="1"/>
  <c r="AF97" i="23" s="1"/>
  <c r="AD97" i="23" s="1"/>
  <c r="AI20" i="23"/>
  <c r="AH20" i="23" s="1"/>
  <c r="AG20" i="23" s="1"/>
  <c r="AF20" i="23" s="1"/>
  <c r="AD20" i="23" s="1"/>
  <c r="AI229" i="23"/>
  <c r="AH229" i="23" s="1"/>
  <c r="AG229" i="23" s="1"/>
  <c r="AF229" i="23" s="1"/>
  <c r="AD229" i="23" s="1"/>
  <c r="AI21" i="23"/>
  <c r="AH21" i="23" s="1"/>
  <c r="AG21" i="23" s="1"/>
  <c r="AF21" i="23" s="1"/>
  <c r="AD21" i="23" s="1"/>
  <c r="AI178" i="23"/>
  <c r="AH178" i="23" s="1"/>
  <c r="AG178" i="23" s="1"/>
  <c r="AF178" i="23" s="1"/>
  <c r="AD178" i="23" s="1"/>
  <c r="AI87" i="23"/>
  <c r="AH87" i="23" s="1"/>
  <c r="AG87" i="23" s="1"/>
  <c r="AF87" i="23" s="1"/>
  <c r="AD87" i="23" s="1"/>
  <c r="AI28" i="23"/>
  <c r="AH28" i="23" s="1"/>
  <c r="AG28" i="23" s="1"/>
  <c r="AF28" i="23" s="1"/>
  <c r="AD28" i="23" s="1"/>
  <c r="AI98" i="23"/>
  <c r="AH98" i="23" s="1"/>
  <c r="AG98" i="23" s="1"/>
  <c r="AF98" i="23" s="1"/>
  <c r="AD98" i="23" s="1"/>
  <c r="AI30" i="23"/>
  <c r="AH30" i="23" s="1"/>
  <c r="AG30" i="23" s="1"/>
  <c r="AF30" i="23" s="1"/>
  <c r="AD30" i="23" s="1"/>
  <c r="AI37" i="23"/>
  <c r="AH37" i="23" s="1"/>
  <c r="AG37" i="23" s="1"/>
  <c r="AF37" i="23" s="1"/>
  <c r="AD37" i="23" s="1"/>
  <c r="AI278" i="23"/>
  <c r="AH278" i="23" s="1"/>
  <c r="AG278" i="23" s="1"/>
  <c r="AF278" i="23" s="1"/>
  <c r="AD278" i="23" s="1"/>
  <c r="AI35" i="23"/>
  <c r="AH35" i="23" s="1"/>
  <c r="AG35" i="23" s="1"/>
  <c r="AF35" i="23" s="1"/>
  <c r="AD35" i="23" s="1"/>
  <c r="AI170" i="23"/>
  <c r="AH170" i="23" s="1"/>
  <c r="AG170" i="23" s="1"/>
  <c r="AF170" i="23" s="1"/>
  <c r="AD170" i="23" s="1"/>
  <c r="AI40" i="23"/>
  <c r="AH40" i="23" s="1"/>
  <c r="AG40" i="23" s="1"/>
  <c r="AF40" i="23" s="1"/>
  <c r="AD40" i="23" s="1"/>
  <c r="AI99" i="23"/>
  <c r="AH99" i="23" s="1"/>
  <c r="AG99" i="23" s="1"/>
  <c r="AF99" i="23" s="1"/>
  <c r="AD99" i="23" s="1"/>
  <c r="AI44" i="23"/>
  <c r="AH44" i="23" s="1"/>
  <c r="AG44" i="23" s="1"/>
  <c r="AF44" i="23" s="1"/>
  <c r="AD44" i="23" s="1"/>
  <c r="AI19" i="23"/>
  <c r="AH19" i="23" s="1"/>
  <c r="AG19" i="23" s="1"/>
  <c r="AF19" i="23" s="1"/>
  <c r="AD19" i="23" s="1"/>
  <c r="AI91" i="23"/>
  <c r="AH91" i="23" s="1"/>
  <c r="AG91" i="23" s="1"/>
  <c r="AF91" i="23" s="1"/>
  <c r="AD91" i="23" s="1"/>
  <c r="AI80" i="23"/>
  <c r="AH80" i="23" s="1"/>
  <c r="AG80" i="23" s="1"/>
  <c r="AF80" i="23" s="1"/>
  <c r="AD80" i="23" s="1"/>
  <c r="AI367" i="23"/>
  <c r="AH367" i="23" s="1"/>
  <c r="AG367" i="23" s="1"/>
  <c r="AF367" i="23" s="1"/>
  <c r="AD367" i="23" s="1"/>
  <c r="AI73" i="23"/>
  <c r="AH73" i="23" s="1"/>
  <c r="AG73" i="23" s="1"/>
  <c r="AF73" i="23" s="1"/>
  <c r="AD73" i="23" s="1"/>
  <c r="AI122" i="23"/>
  <c r="AH122" i="23" s="1"/>
  <c r="AG122" i="23" s="1"/>
  <c r="AF122" i="23" s="1"/>
  <c r="AD122" i="23" s="1"/>
  <c r="AI76" i="23"/>
  <c r="AH76" i="23" s="1"/>
  <c r="AG76" i="23" s="1"/>
  <c r="AF76" i="23" s="1"/>
  <c r="AD76" i="23" s="1"/>
  <c r="AI359" i="23"/>
  <c r="AH359" i="23" s="1"/>
  <c r="AG359" i="23" s="1"/>
  <c r="AF359" i="23" s="1"/>
  <c r="AD359" i="23" s="1"/>
  <c r="AI69" i="23"/>
  <c r="AH69" i="23" s="1"/>
  <c r="AG69" i="23" s="1"/>
  <c r="AF69" i="23" s="1"/>
  <c r="AD69" i="23" s="1"/>
  <c r="AI116" i="23"/>
  <c r="AH116" i="23" s="1"/>
  <c r="AG116" i="23" s="1"/>
  <c r="AF116" i="23" s="1"/>
  <c r="AD116" i="23" s="1"/>
  <c r="AI67" i="23"/>
  <c r="AH67" i="23" s="1"/>
  <c r="AG67" i="23" s="1"/>
  <c r="AF67" i="23" s="1"/>
  <c r="AD67" i="23" s="1"/>
  <c r="AI353" i="23"/>
  <c r="AH353" i="23" s="1"/>
  <c r="AG353" i="23" s="1"/>
  <c r="AF353" i="23" s="1"/>
  <c r="AD353" i="23" s="1"/>
  <c r="AI103" i="23"/>
  <c r="AH103" i="23" s="1"/>
  <c r="AG103" i="23" s="1"/>
  <c r="AF103" i="23" s="1"/>
  <c r="AD103" i="23" s="1"/>
  <c r="AI218" i="23"/>
  <c r="AH218" i="23" s="1"/>
  <c r="AG218" i="23" s="1"/>
  <c r="AF218" i="23" s="1"/>
  <c r="AD218" i="23" s="1"/>
  <c r="AI25" i="23"/>
  <c r="AH25" i="23" s="1"/>
  <c r="AG25" i="23" s="1"/>
  <c r="AF25" i="23" s="1"/>
  <c r="AD25" i="23" s="1"/>
  <c r="AI171" i="23"/>
  <c r="AH171" i="23" s="1"/>
  <c r="AG171" i="23" s="1"/>
  <c r="AF171" i="23" s="1"/>
  <c r="AD171" i="23" s="1"/>
  <c r="AI90" i="23"/>
  <c r="AH90" i="23" s="1"/>
  <c r="AG90" i="23" s="1"/>
  <c r="AF90" i="23" s="1"/>
  <c r="AD90" i="23" s="1"/>
  <c r="AI368" i="23"/>
  <c r="AH368" i="23" s="1"/>
  <c r="AG368" i="23" s="1"/>
  <c r="AF368" i="23" s="1"/>
  <c r="AD368" i="23" s="1"/>
  <c r="AI94" i="23"/>
  <c r="AH94" i="23" s="1"/>
  <c r="AG94" i="23" s="1"/>
  <c r="AF94" i="23" s="1"/>
  <c r="AD94" i="23" s="1"/>
  <c r="AI164" i="23"/>
  <c r="AH164" i="23" s="1"/>
  <c r="AG164" i="23" s="1"/>
  <c r="AF164" i="23" s="1"/>
  <c r="AD164" i="23" s="1"/>
  <c r="AI86" i="23"/>
  <c r="AH86" i="23" s="1"/>
  <c r="AG86" i="23" s="1"/>
  <c r="AF86" i="23" s="1"/>
  <c r="AD86" i="23" s="1"/>
  <c r="AI74" i="23"/>
  <c r="AH74" i="23" s="1"/>
  <c r="AG74" i="23" s="1"/>
  <c r="AF74" i="23" s="1"/>
  <c r="AD74" i="23" s="1"/>
  <c r="AI285" i="23"/>
  <c r="AH285" i="23" s="1"/>
  <c r="AG285" i="23" s="1"/>
  <c r="AF285" i="23" s="1"/>
  <c r="AD285" i="23" s="1"/>
  <c r="AI68" i="23"/>
  <c r="AH68" i="23" s="1"/>
  <c r="AG68" i="23" s="1"/>
  <c r="AF68" i="23" s="1"/>
  <c r="AD68" i="23" s="1"/>
  <c r="AI276" i="23"/>
  <c r="AH276" i="23" s="1"/>
  <c r="AG276" i="23" s="1"/>
  <c r="AF276" i="23" s="1"/>
  <c r="AD276" i="23" s="1"/>
  <c r="AI48" i="23"/>
  <c r="AH48" i="23" s="1"/>
  <c r="AG48" i="23" s="1"/>
  <c r="AF48" i="23" s="1"/>
  <c r="AD48" i="23" s="1"/>
  <c r="AI181" i="23"/>
  <c r="AH181" i="23" s="1"/>
  <c r="AG181" i="23" s="1"/>
  <c r="AF181" i="23" s="1"/>
  <c r="AD181" i="23" s="1"/>
  <c r="AI23" i="23"/>
  <c r="AH23" i="23" s="1"/>
  <c r="AG23" i="23" s="1"/>
  <c r="AF23" i="23" s="1"/>
  <c r="AD23" i="23" s="1"/>
  <c r="AI102" i="23"/>
  <c r="AH102" i="23" s="1"/>
  <c r="AG102" i="23" s="1"/>
  <c r="AF102" i="23" s="1"/>
  <c r="AD102" i="23" s="1"/>
  <c r="AI43" i="23"/>
  <c r="AH43" i="23" s="1"/>
  <c r="AG43" i="23" s="1"/>
  <c r="AF43" i="23" s="1"/>
  <c r="AD43" i="23" s="1"/>
  <c r="AI127" i="23"/>
  <c r="AH127" i="23" s="1"/>
  <c r="AG127" i="23" s="1"/>
  <c r="AF127" i="23" s="1"/>
  <c r="AD127" i="23" s="1"/>
  <c r="AI49" i="23"/>
  <c r="AH49" i="23" s="1"/>
  <c r="AG49" i="23" s="1"/>
  <c r="AF49" i="23" s="1"/>
  <c r="AD49" i="23" s="1"/>
  <c r="AI319" i="23"/>
  <c r="AH319" i="23" s="1"/>
  <c r="AG319" i="23" s="1"/>
  <c r="AF319" i="23" s="1"/>
  <c r="AD319" i="23" s="1"/>
  <c r="AI92" i="23"/>
  <c r="AH92" i="23" s="1"/>
  <c r="AG92" i="23" s="1"/>
  <c r="AF92" i="23" s="1"/>
  <c r="AD92" i="23" s="1"/>
  <c r="AI263" i="23"/>
  <c r="AH263" i="23" s="1"/>
  <c r="AG263" i="23" s="1"/>
  <c r="AF263" i="23" s="1"/>
  <c r="AD263" i="23" s="1"/>
  <c r="AI38" i="23"/>
  <c r="AH38" i="23" s="1"/>
  <c r="AG38" i="23" s="1"/>
  <c r="AF38" i="23" s="1"/>
  <c r="AD38" i="23" s="1"/>
  <c r="AI177" i="23"/>
  <c r="AH177" i="23" s="1"/>
  <c r="AG177" i="23" s="1"/>
  <c r="AF177" i="23" s="1"/>
  <c r="AD177" i="23" s="1"/>
  <c r="AI72" i="23"/>
  <c r="AH72" i="23" s="1"/>
  <c r="AG72" i="23" s="1"/>
  <c r="AF72" i="23" s="1"/>
  <c r="AD72" i="23" s="1"/>
  <c r="AI355" i="23"/>
  <c r="AH355" i="23" s="1"/>
  <c r="AG355" i="23" s="1"/>
  <c r="AF355" i="23" s="1"/>
  <c r="AD355" i="23" s="1"/>
  <c r="AI47" i="23"/>
  <c r="AH47" i="23" s="1"/>
  <c r="AG47" i="23" s="1"/>
  <c r="AF47" i="23" s="1"/>
  <c r="AD47" i="23" s="1"/>
  <c r="AI120" i="23"/>
  <c r="AH120" i="23" s="1"/>
  <c r="AG120" i="23" s="1"/>
  <c r="AF120" i="23" s="1"/>
  <c r="AD120" i="23" s="1"/>
  <c r="AI62" i="23"/>
  <c r="AH62" i="23" s="1"/>
  <c r="AG62" i="23" s="1"/>
  <c r="AF62" i="23" s="1"/>
  <c r="AD62" i="23" s="1"/>
  <c r="AI350" i="23"/>
  <c r="AH350" i="23" s="1"/>
  <c r="AG350" i="23" s="1"/>
  <c r="AF350" i="23" s="1"/>
  <c r="AD350" i="23" s="1"/>
  <c r="AI60" i="23"/>
  <c r="AH60" i="23" s="1"/>
  <c r="AG60" i="23" s="1"/>
  <c r="AF60" i="23" s="1"/>
  <c r="AD60" i="23" s="1"/>
  <c r="AI42" i="23"/>
  <c r="AH42" i="23" s="1"/>
  <c r="AG42" i="23" s="1"/>
  <c r="AF42" i="23" s="1"/>
  <c r="AD42" i="23" s="1"/>
  <c r="AI126" i="23"/>
  <c r="AH126" i="23" s="1"/>
  <c r="AG126" i="23" s="1"/>
  <c r="AF126" i="23" s="1"/>
  <c r="AD126" i="23" s="1"/>
  <c r="AI82" i="23"/>
  <c r="AH82" i="23" s="1"/>
  <c r="AG82" i="23" s="1"/>
  <c r="AF82" i="23" s="1"/>
  <c r="AD82" i="23" s="1"/>
  <c r="AI31" i="23"/>
  <c r="AH31" i="23" s="1"/>
  <c r="AG31" i="23" s="1"/>
  <c r="AF31" i="23" s="1"/>
  <c r="AD31" i="23" s="1"/>
  <c r="AI317" i="23"/>
  <c r="AH317" i="23" s="1"/>
  <c r="AG317" i="23" s="1"/>
  <c r="AF317" i="23" s="1"/>
  <c r="AD317" i="23" s="1"/>
  <c r="AI89" i="23"/>
  <c r="AH89" i="23" s="1"/>
  <c r="AG89" i="23" s="1"/>
  <c r="AF89" i="23" s="1"/>
  <c r="AD89" i="23" s="1"/>
  <c r="AI208" i="23"/>
  <c r="AH208" i="23" s="1"/>
  <c r="AG208" i="23" s="1"/>
  <c r="AF208" i="23" s="1"/>
  <c r="AD208" i="23" s="1"/>
  <c r="AI161" i="23"/>
  <c r="AH161" i="23" s="1"/>
  <c r="AG161" i="23" s="1"/>
  <c r="AF161" i="23" s="1"/>
  <c r="AD161" i="23" s="1"/>
  <c r="AI84" i="23"/>
  <c r="AH84" i="23" s="1"/>
  <c r="AG84" i="23" s="1"/>
  <c r="AF84" i="23" s="1"/>
  <c r="AD84" i="23" s="1"/>
  <c r="AI375" i="23"/>
  <c r="AH375" i="23" s="1"/>
  <c r="AG375" i="23" s="1"/>
  <c r="AF375" i="23" s="1"/>
  <c r="AD375" i="23" s="1"/>
  <c r="AI313" i="23"/>
  <c r="AH313" i="23" s="1"/>
  <c r="AG313" i="23" s="1"/>
  <c r="AF313" i="23" s="1"/>
  <c r="AD313" i="23" s="1"/>
  <c r="AI228" i="23"/>
  <c r="AH228" i="23" s="1"/>
  <c r="AG228" i="23" s="1"/>
  <c r="AF228" i="23" s="1"/>
  <c r="AD228" i="23" s="1"/>
  <c r="AI150" i="23"/>
  <c r="AH150" i="23" s="1"/>
  <c r="AG150" i="23" s="1"/>
  <c r="AF150" i="23" s="1"/>
  <c r="AD150" i="23" s="1"/>
  <c r="AI75" i="23"/>
  <c r="AH75" i="23" s="1"/>
  <c r="AG75" i="23" s="1"/>
  <c r="AF75" i="23" s="1"/>
  <c r="AD75" i="23" s="1"/>
  <c r="AI377" i="23"/>
  <c r="AH377" i="23" s="1"/>
  <c r="AG377" i="23" s="1"/>
  <c r="AF377" i="23" s="1"/>
  <c r="AD377" i="23" s="1"/>
  <c r="AI93" i="23"/>
  <c r="AH93" i="23" s="1"/>
  <c r="AG93" i="23" s="1"/>
  <c r="AF93" i="23" s="1"/>
  <c r="AD93" i="23" s="1"/>
  <c r="AI266" i="23"/>
  <c r="AH266" i="23" s="1"/>
  <c r="AG266" i="23" s="1"/>
  <c r="AF266" i="23" s="1"/>
  <c r="AD266" i="23" s="1"/>
  <c r="AI39" i="23"/>
  <c r="AH39" i="23" s="1"/>
  <c r="AG39" i="23" s="1"/>
  <c r="AF39" i="23" s="1"/>
  <c r="AD39" i="23" s="1"/>
  <c r="AI179" i="23"/>
  <c r="AH179" i="23" s="1"/>
  <c r="AG179" i="23" s="1"/>
  <c r="AF179" i="23" s="1"/>
  <c r="AD179" i="23" s="1"/>
  <c r="AI108" i="23"/>
  <c r="AH108" i="23" s="1"/>
  <c r="AG108" i="23" s="1"/>
  <c r="AF108" i="23" s="1"/>
  <c r="AD108" i="23" s="1"/>
  <c r="AI22" i="23"/>
  <c r="AH22" i="23" s="1"/>
  <c r="AG22" i="23" s="1"/>
  <c r="AF22" i="23" s="1"/>
  <c r="AD22" i="23" s="1"/>
  <c r="AI322" i="23"/>
  <c r="AH322" i="23" s="1"/>
  <c r="AG322" i="23" s="1"/>
  <c r="AF322" i="23" s="1"/>
  <c r="AD322" i="23" s="1"/>
  <c r="AI95" i="23"/>
  <c r="AH95" i="23" s="1"/>
  <c r="AG95" i="23" s="1"/>
  <c r="AF95" i="23" s="1"/>
  <c r="AD95" i="23" s="1"/>
  <c r="AI260" i="23"/>
  <c r="AH260" i="23" s="1"/>
  <c r="AG260" i="23" s="1"/>
  <c r="AF260" i="23" s="1"/>
  <c r="AD260" i="23" s="1"/>
  <c r="AI34" i="23"/>
  <c r="AH34" i="23" s="1"/>
  <c r="AG34" i="23" s="1"/>
  <c r="AF34" i="23" s="1"/>
  <c r="AD34" i="23" s="1"/>
  <c r="AI168" i="23"/>
  <c r="AH168" i="23" s="1"/>
  <c r="AG168" i="23" s="1"/>
  <c r="AF168" i="23" s="1"/>
  <c r="AD168" i="23" s="1"/>
  <c r="AI119" i="23"/>
  <c r="AH119" i="23" s="1"/>
  <c r="AG119" i="23" s="1"/>
  <c r="AF119" i="23" s="1"/>
  <c r="AD119" i="23" s="1"/>
  <c r="AI71" i="23"/>
  <c r="AH71" i="23" s="1"/>
  <c r="AG71" i="23" s="1"/>
  <c r="AF71" i="23" s="1"/>
  <c r="AD71" i="23" s="1"/>
  <c r="AI373" i="23"/>
  <c r="AH373" i="23" s="1"/>
  <c r="AG373" i="23" s="1"/>
  <c r="AF373" i="23" s="1"/>
  <c r="AD373" i="23" s="1"/>
  <c r="AI312" i="23"/>
  <c r="AH312" i="23" s="1"/>
  <c r="AG312" i="23" s="1"/>
  <c r="AF312" i="23" s="1"/>
  <c r="AD312" i="23" s="1"/>
  <c r="AI268" i="23"/>
  <c r="AH268" i="23" s="1"/>
  <c r="AG268" i="23" s="1"/>
  <c r="AF268" i="23" s="1"/>
  <c r="AD268" i="23" s="1"/>
  <c r="AI57" i="23"/>
  <c r="AH57" i="23" s="1"/>
  <c r="AG57" i="23" s="1"/>
  <c r="AF57" i="23" s="1"/>
  <c r="AD57" i="23" s="1"/>
  <c r="AI226" i="23"/>
  <c r="AH226" i="23" s="1"/>
  <c r="AG226" i="23" s="1"/>
  <c r="AF226" i="23" s="1"/>
  <c r="AD226" i="23" s="1"/>
  <c r="AI147" i="23"/>
  <c r="AH147" i="23" s="1"/>
  <c r="AG147" i="23" s="1"/>
  <c r="AF147" i="23" s="1"/>
  <c r="AD147" i="23" s="1"/>
  <c r="AI61" i="23"/>
  <c r="AH61" i="23" s="1"/>
  <c r="AG61" i="23" s="1"/>
  <c r="AF61" i="23" s="1"/>
  <c r="AD61" i="23" s="1"/>
  <c r="AI349" i="23"/>
  <c r="AH349" i="23" s="1"/>
  <c r="AG349" i="23" s="1"/>
  <c r="AF349" i="23" s="1"/>
  <c r="AD349" i="23" s="1"/>
  <c r="AI269" i="23"/>
  <c r="AH269" i="23" s="1"/>
  <c r="AG269" i="23" s="1"/>
  <c r="AF269" i="23" s="1"/>
  <c r="AD269" i="23" s="1"/>
  <c r="AI53" i="23"/>
  <c r="AH53" i="23" s="1"/>
  <c r="AG53" i="23" s="1"/>
  <c r="AF53" i="23" s="1"/>
  <c r="AD53" i="23" s="1"/>
  <c r="AI221" i="23"/>
  <c r="AH221" i="23" s="1"/>
  <c r="AG221" i="23" s="1"/>
  <c r="AF221" i="23" s="1"/>
  <c r="AD221" i="23" s="1"/>
  <c r="AI134" i="23"/>
  <c r="AH134" i="23" s="1"/>
  <c r="AG134" i="23" s="1"/>
  <c r="AF134" i="23" s="1"/>
  <c r="AD134" i="23" s="1"/>
  <c r="AI51" i="23"/>
  <c r="AH51" i="23" s="1"/>
  <c r="AG51" i="23" s="1"/>
  <c r="AF51" i="23" s="1"/>
  <c r="AD51" i="23" s="1"/>
  <c r="AI343" i="23"/>
  <c r="AH343" i="23" s="1"/>
  <c r="AG343" i="23" s="1"/>
  <c r="AF343" i="23" s="1"/>
  <c r="AD343" i="23" s="1"/>
  <c r="AI265" i="23"/>
  <c r="AH265" i="23" s="1"/>
  <c r="AG265" i="23" s="1"/>
  <c r="AF265" i="23" s="1"/>
  <c r="AD265" i="23" s="1"/>
  <c r="AI54" i="23"/>
  <c r="AH54" i="23" s="1"/>
  <c r="AG54" i="23" s="1"/>
  <c r="AF54" i="23" s="1"/>
  <c r="AD54" i="23" s="1"/>
  <c r="AI152" i="23"/>
  <c r="AH152" i="23" s="1"/>
  <c r="AG152" i="23" s="1"/>
  <c r="AF152" i="23" s="1"/>
  <c r="AD152" i="23" s="1"/>
  <c r="AI70" i="23"/>
  <c r="AH70" i="23" s="1"/>
  <c r="AG70" i="23" s="1"/>
  <c r="AF70" i="23" s="1"/>
  <c r="AD70" i="23" s="1"/>
  <c r="AI379" i="23"/>
  <c r="AI295" i="23"/>
  <c r="AH295" i="23" s="1"/>
  <c r="AG295" i="23" s="1"/>
  <c r="AF295" i="23" s="1"/>
  <c r="AD295" i="23" s="1"/>
  <c r="AI79" i="23"/>
  <c r="AH79" i="23" s="1"/>
  <c r="AG79" i="23" s="1"/>
  <c r="AF79" i="23" s="1"/>
  <c r="AD79" i="23" s="1"/>
  <c r="AI199" i="23"/>
  <c r="AH199" i="23" s="1"/>
  <c r="AG199" i="23" s="1"/>
  <c r="AF199" i="23" s="1"/>
  <c r="AD199" i="23" s="1"/>
  <c r="AI146" i="23"/>
  <c r="AH146" i="23" s="1"/>
  <c r="AG146" i="23" s="1"/>
  <c r="AF146" i="23" s="1"/>
  <c r="AD146" i="23" s="1"/>
  <c r="AI66" i="23"/>
  <c r="AH66" i="23" s="1"/>
  <c r="AG66" i="23" s="1"/>
  <c r="AF66" i="23" s="1"/>
  <c r="AD66" i="23" s="1"/>
  <c r="AI366" i="23"/>
  <c r="AH366" i="23" s="1"/>
  <c r="AG366" i="23" s="1"/>
  <c r="AF366" i="23" s="1"/>
  <c r="AD366" i="23" s="1"/>
  <c r="AI305" i="23"/>
  <c r="AH305" i="23" s="1"/>
  <c r="AG305" i="23" s="1"/>
  <c r="AF305" i="23" s="1"/>
  <c r="AD305" i="23" s="1"/>
  <c r="AI261" i="23"/>
  <c r="AH261" i="23" s="1"/>
  <c r="AG261" i="23" s="1"/>
  <c r="AF261" i="23" s="1"/>
  <c r="AD261" i="23" s="1"/>
  <c r="AI52" i="23"/>
  <c r="AH52" i="23" s="1"/>
  <c r="AG52" i="23" s="1"/>
  <c r="AF52" i="23" s="1"/>
  <c r="AD52" i="23" s="1"/>
  <c r="AI219" i="23"/>
  <c r="AH219" i="23" s="1"/>
  <c r="AG219" i="23" s="1"/>
  <c r="AF219" i="23" s="1"/>
  <c r="AD219" i="23" s="1"/>
  <c r="AI130" i="23"/>
  <c r="AH130" i="23" s="1"/>
  <c r="AG130" i="23" s="1"/>
  <c r="AF130" i="23" s="1"/>
  <c r="AD130" i="23" s="1"/>
  <c r="AI123" i="23"/>
  <c r="AH123" i="23" s="1"/>
  <c r="AG123" i="23" s="1"/>
  <c r="AF123" i="23" s="1"/>
  <c r="AD123" i="23" s="1"/>
  <c r="AI41" i="23"/>
  <c r="AH41" i="23" s="1"/>
  <c r="AG41" i="23" s="1"/>
  <c r="AF41" i="23" s="1"/>
  <c r="AD41" i="23" s="1"/>
  <c r="AI339" i="23"/>
  <c r="AH339" i="23" s="1"/>
  <c r="AG339" i="23" s="1"/>
  <c r="AF339" i="23" s="1"/>
  <c r="AD339" i="23" s="1"/>
  <c r="AI88" i="23"/>
  <c r="AH88" i="23" s="1"/>
  <c r="AG88" i="23" s="1"/>
  <c r="AF88" i="23" s="1"/>
  <c r="AD88" i="23" s="1"/>
  <c r="AI259" i="23"/>
  <c r="AH259" i="23" s="1"/>
  <c r="AG259" i="23" s="1"/>
  <c r="AF259" i="23" s="1"/>
  <c r="AD259" i="23" s="1"/>
  <c r="AI24" i="23"/>
  <c r="AH24" i="23" s="1"/>
  <c r="AG24" i="23" s="1"/>
  <c r="AF24" i="23" s="1"/>
  <c r="AD24" i="23" s="1"/>
  <c r="AI174" i="23"/>
  <c r="AH174" i="23" s="1"/>
  <c r="AG174" i="23" s="1"/>
  <c r="AF174" i="23" s="1"/>
  <c r="AD174" i="23" s="1"/>
  <c r="AI117" i="23"/>
  <c r="AH117" i="23" s="1"/>
  <c r="AG117" i="23" s="1"/>
  <c r="AF117" i="23" s="1"/>
  <c r="AD117" i="23" s="1"/>
  <c r="AI15" i="23"/>
  <c r="AI333" i="23"/>
  <c r="AH333" i="23" s="1"/>
  <c r="AG333" i="23" s="1"/>
  <c r="AF333" i="23" s="1"/>
  <c r="AD333" i="23" s="1"/>
  <c r="AI101" i="23"/>
  <c r="AH101" i="23" s="1"/>
  <c r="AG101" i="23" s="1"/>
  <c r="AF101" i="23" s="1"/>
  <c r="AD101" i="23" s="1"/>
  <c r="AI254" i="23"/>
  <c r="AH254" i="23" s="1"/>
  <c r="AG254" i="23" s="1"/>
  <c r="AF254" i="23" s="1"/>
  <c r="AD254" i="23" s="1"/>
  <c r="AI18" i="23"/>
  <c r="AH18" i="23" s="1"/>
  <c r="AG18" i="23" s="1"/>
  <c r="AF18" i="23" s="1"/>
  <c r="AD18" i="23" s="1"/>
  <c r="AI162" i="23"/>
  <c r="AH162" i="23" s="1"/>
  <c r="AG162" i="23" s="1"/>
  <c r="AF162" i="23" s="1"/>
  <c r="AD162" i="23" s="1"/>
  <c r="AI110" i="23"/>
  <c r="AH110" i="23" s="1"/>
  <c r="AG110" i="23" s="1"/>
  <c r="AF110" i="23" s="1"/>
  <c r="AD110" i="23" s="1"/>
  <c r="AI345" i="23"/>
  <c r="AH345" i="23" s="1"/>
  <c r="AG345" i="23" s="1"/>
  <c r="AF345" i="23" s="1"/>
  <c r="AD345" i="23" s="1"/>
  <c r="AI258" i="23"/>
  <c r="AH258" i="23" s="1"/>
  <c r="AG258" i="23" s="1"/>
  <c r="AF258" i="23" s="1"/>
  <c r="AD258" i="23" s="1"/>
  <c r="AI56" i="23"/>
  <c r="AH56" i="23" s="1"/>
  <c r="AG56" i="23" s="1"/>
  <c r="AF56" i="23" s="1"/>
  <c r="AD56" i="23" s="1"/>
  <c r="AI217" i="23"/>
  <c r="AH217" i="23" s="1"/>
  <c r="AG217" i="23" s="1"/>
  <c r="AF217" i="23" s="1"/>
  <c r="AD217" i="23" s="1"/>
  <c r="AI100" i="23"/>
  <c r="AH100" i="23" s="1"/>
  <c r="AG100" i="23" s="1"/>
  <c r="AF100" i="23" s="1"/>
  <c r="AD100" i="23" s="1"/>
  <c r="AI46" i="23"/>
  <c r="AH46" i="23" s="1"/>
  <c r="AG46" i="23" s="1"/>
  <c r="AF46" i="23" s="1"/>
  <c r="AD46" i="23" s="1"/>
  <c r="AI185" i="23"/>
  <c r="AH185" i="23" s="1"/>
  <c r="AG185" i="23" s="1"/>
  <c r="AF185" i="23" s="1"/>
  <c r="AD185" i="23" s="1"/>
  <c r="AI338" i="23"/>
  <c r="AH338" i="23" s="1"/>
  <c r="AG338" i="23" s="1"/>
  <c r="AF338" i="23" s="1"/>
  <c r="AD338" i="23" s="1"/>
  <c r="AI129" i="23"/>
  <c r="AH129" i="23" s="1"/>
  <c r="AG129" i="23" s="1"/>
  <c r="AF129" i="23" s="1"/>
  <c r="AD129" i="23" s="1"/>
  <c r="AI251" i="23"/>
  <c r="AH251" i="23" s="1"/>
  <c r="AG251" i="23" s="1"/>
  <c r="AF251" i="23" s="1"/>
  <c r="AD251" i="23" s="1"/>
  <c r="AI45" i="23"/>
  <c r="AH45" i="23" s="1"/>
  <c r="AG45" i="23" s="1"/>
  <c r="AF45" i="23" s="1"/>
  <c r="AD45" i="23" s="1"/>
  <c r="AI212" i="23"/>
  <c r="AH212" i="23" s="1"/>
  <c r="AG212" i="23" s="1"/>
  <c r="AF212" i="23" s="1"/>
  <c r="AD212" i="23" s="1"/>
  <c r="AI348" i="23"/>
  <c r="AH348" i="23" s="1"/>
  <c r="AG348" i="23" s="1"/>
  <c r="AF348" i="23" s="1"/>
  <c r="AD348" i="23" s="1"/>
  <c r="AI118" i="23"/>
  <c r="AH118" i="23" s="1"/>
  <c r="AG118" i="23" s="1"/>
  <c r="AF118" i="23" s="1"/>
  <c r="AD118" i="23" s="1"/>
  <c r="AI324" i="23"/>
  <c r="AH324" i="23" s="1"/>
  <c r="AG324" i="23" s="1"/>
  <c r="AF324" i="23" s="1"/>
  <c r="AD324" i="23" s="1"/>
  <c r="AI115" i="23"/>
  <c r="AH115" i="23" s="1"/>
  <c r="AG115" i="23" s="1"/>
  <c r="AF115" i="23" s="1"/>
  <c r="AD115" i="23" s="1"/>
  <c r="AI232" i="23"/>
  <c r="AH232" i="23" s="1"/>
  <c r="AG232" i="23" s="1"/>
  <c r="AF232" i="23" s="1"/>
  <c r="AD232" i="23" s="1"/>
  <c r="AI33" i="23"/>
  <c r="AH33" i="23" s="1"/>
  <c r="AG33" i="23" s="1"/>
  <c r="AF33" i="23" s="1"/>
  <c r="AD33" i="23" s="1"/>
  <c r="AI191" i="23"/>
  <c r="AH191" i="23" s="1"/>
  <c r="AG191" i="23" s="1"/>
  <c r="AF191" i="23" s="1"/>
  <c r="AD191" i="23" s="1"/>
  <c r="AI329" i="23"/>
  <c r="AH329" i="23" s="1"/>
  <c r="AG329" i="23" s="1"/>
  <c r="AF329" i="23" s="1"/>
  <c r="AD329" i="23" s="1"/>
  <c r="J350" i="22"/>
  <c r="I350" i="22"/>
  <c r="I80" i="22"/>
  <c r="J80" i="22"/>
  <c r="J32" i="22"/>
  <c r="I32" i="22"/>
  <c r="J58" i="22"/>
  <c r="I58" i="22"/>
  <c r="I187" i="22"/>
  <c r="I205" i="22"/>
  <c r="J44" i="22"/>
  <c r="I44" i="22"/>
  <c r="J196" i="22"/>
  <c r="I196" i="22"/>
  <c r="I238" i="22"/>
  <c r="J238" i="22"/>
  <c r="I197" i="22"/>
  <c r="J247" i="22"/>
  <c r="AA272" i="22"/>
  <c r="Z272" i="22" s="1"/>
  <c r="Y272" i="22" s="1"/>
  <c r="G272" i="22"/>
  <c r="CC272" i="6" s="1"/>
  <c r="J364" i="22"/>
  <c r="I364" i="22"/>
  <c r="J325" i="22"/>
  <c r="I325" i="22"/>
  <c r="I382" i="17"/>
  <c r="I383" i="17"/>
  <c r="I381" i="17"/>
  <c r="I334" i="22"/>
  <c r="I333" i="20"/>
  <c r="J333" i="20"/>
  <c r="C333" i="6" s="1"/>
  <c r="AF382" i="20"/>
  <c r="AD15" i="20"/>
  <c r="AF383" i="20"/>
  <c r="AF381" i="20"/>
  <c r="I35" i="22"/>
  <c r="J35" i="22"/>
  <c r="J358" i="22"/>
  <c r="J292" i="22"/>
  <c r="J295" i="22"/>
  <c r="I295" i="22"/>
  <c r="J87" i="22"/>
  <c r="I87" i="22"/>
  <c r="D210" i="22"/>
  <c r="E210" i="22" s="1"/>
  <c r="F210" i="22" s="1"/>
  <c r="W210" i="22"/>
  <c r="I173" i="22"/>
  <c r="J173" i="22"/>
  <c r="J256" i="22"/>
  <c r="I55" i="22"/>
  <c r="I375" i="22"/>
  <c r="J375" i="22"/>
  <c r="I283" i="22"/>
  <c r="I161" i="22"/>
  <c r="J161" i="22"/>
  <c r="J242" i="22"/>
  <c r="I242" i="22"/>
  <c r="J335" i="22"/>
  <c r="I65" i="22"/>
  <c r="J65" i="22"/>
  <c r="I104" i="22"/>
  <c r="J104" i="22"/>
  <c r="J241" i="20"/>
  <c r="C241" i="6" s="1"/>
  <c r="I241" i="20"/>
  <c r="I156" i="22"/>
  <c r="J156" i="22"/>
  <c r="G135" i="22"/>
  <c r="CC135" i="6" s="1"/>
  <c r="H135" i="22"/>
  <c r="AA135" i="22"/>
  <c r="Z135" i="22" s="1"/>
  <c r="Y135" i="22" s="1"/>
  <c r="I237" i="22"/>
  <c r="J237" i="22"/>
  <c r="G241" i="22"/>
  <c r="CC241" i="6" s="1"/>
  <c r="AA241" i="22"/>
  <c r="Z241" i="22" s="1"/>
  <c r="Y241" i="22" s="1"/>
  <c r="G227" i="22"/>
  <c r="CC227" i="6" s="1"/>
  <c r="H227" i="22"/>
  <c r="AA227" i="22"/>
  <c r="Z227" i="22" s="1"/>
  <c r="Y227" i="22" s="1"/>
  <c r="I26" i="22"/>
  <c r="J26" i="22"/>
  <c r="I174" i="22"/>
  <c r="I260" i="22"/>
  <c r="J260" i="22"/>
  <c r="I62" i="22"/>
  <c r="J62" i="22"/>
  <c r="I362" i="22"/>
  <c r="J362" i="22"/>
  <c r="I351" i="22"/>
  <c r="J351" i="22"/>
  <c r="I354" i="22"/>
  <c r="J354" i="22"/>
  <c r="I160" i="22"/>
  <c r="J154" i="22"/>
  <c r="I154" i="22"/>
  <c r="I181" i="22"/>
  <c r="I303" i="22"/>
  <c r="W180" i="22"/>
  <c r="D180" i="22"/>
  <c r="E180" i="22" s="1"/>
  <c r="F180" i="22" s="1"/>
  <c r="Y15" i="17"/>
  <c r="Z382" i="17"/>
  <c r="Z383" i="17"/>
  <c r="AL7" i="17"/>
  <c r="Z381" i="17"/>
  <c r="Z9" i="17"/>
  <c r="I323" i="22"/>
  <c r="J323" i="22"/>
  <c r="AK6" i="18"/>
  <c r="B381" i="18"/>
  <c r="B383" i="18"/>
  <c r="D15" i="18"/>
  <c r="H9" i="18"/>
  <c r="B15" i="19" s="1"/>
  <c r="AJ6" i="18"/>
  <c r="B382" i="18"/>
  <c r="J206" i="22"/>
  <c r="I206" i="22"/>
  <c r="J60" i="20"/>
  <c r="C60" i="6" s="1"/>
  <c r="I60" i="20"/>
  <c r="B60" i="6" s="1"/>
  <c r="BA60" i="6" s="1"/>
  <c r="D60" i="6" s="1"/>
  <c r="I284" i="22"/>
  <c r="J252" i="22"/>
  <c r="J279" i="22"/>
  <c r="H319" i="22"/>
  <c r="AA319" i="22"/>
  <c r="Z319" i="22" s="1"/>
  <c r="Y319" i="22" s="1"/>
  <c r="G319" i="22"/>
  <c r="CC319" i="6" s="1"/>
  <c r="J240" i="22"/>
  <c r="I213" i="22"/>
  <c r="J213" i="22"/>
  <c r="J171" i="22"/>
  <c r="J236" i="22"/>
  <c r="I236" i="22"/>
  <c r="J332" i="22"/>
  <c r="I332" i="22"/>
  <c r="I272" i="20"/>
  <c r="J272" i="20"/>
  <c r="C272" i="6" s="1"/>
  <c r="I88" i="20"/>
  <c r="J88" i="20"/>
  <c r="C88" i="6" s="1"/>
  <c r="J218" i="22"/>
  <c r="I218" i="22"/>
  <c r="AH381" i="22"/>
  <c r="AH382" i="22"/>
  <c r="AG15" i="22"/>
  <c r="AH383" i="22"/>
  <c r="AA258" i="22"/>
  <c r="Z258" i="22" s="1"/>
  <c r="Y258" i="22" s="1"/>
  <c r="J368" i="22"/>
  <c r="I368" i="22"/>
  <c r="I162" i="22"/>
  <c r="J162" i="22"/>
  <c r="I234" i="22"/>
  <c r="J234" i="22"/>
  <c r="J342" i="22"/>
  <c r="I342" i="22"/>
  <c r="J216" i="22"/>
  <c r="I216" i="22"/>
  <c r="I345" i="22"/>
  <c r="J345" i="22"/>
  <c r="I214" i="22"/>
  <c r="J214" i="22"/>
  <c r="J190" i="22"/>
  <c r="J117" i="22"/>
  <c r="I117" i="22"/>
  <c r="D119" i="22"/>
  <c r="E119" i="22" s="1"/>
  <c r="F119" i="22" s="1"/>
  <c r="W119" i="22"/>
  <c r="J326" i="22"/>
  <c r="I326" i="22"/>
  <c r="I40" i="22"/>
  <c r="J261" i="22"/>
  <c r="I99" i="22"/>
  <c r="J99" i="22"/>
  <c r="H288" i="22"/>
  <c r="G288" i="22"/>
  <c r="CC288" i="6" s="1"/>
  <c r="AA288" i="22"/>
  <c r="Z288" i="22" s="1"/>
  <c r="Y288" i="22" s="1"/>
  <c r="J89" i="22"/>
  <c r="J383" i="17"/>
  <c r="J381" i="17"/>
  <c r="J382" i="17"/>
  <c r="D7" i="6"/>
  <c r="W7" i="7"/>
  <c r="J66" i="22"/>
  <c r="I66" i="22"/>
  <c r="J25" i="22"/>
  <c r="J105" i="22"/>
  <c r="I105" i="22"/>
  <c r="I37" i="22"/>
  <c r="J37" i="22"/>
  <c r="J21" i="22"/>
  <c r="I21" i="22"/>
  <c r="I289" i="22"/>
  <c r="J289" i="22"/>
  <c r="I140" i="22"/>
  <c r="I275" i="22"/>
  <c r="J275" i="22"/>
  <c r="I125" i="22"/>
  <c r="I278" i="22"/>
  <c r="J278" i="22"/>
  <c r="J16" i="22"/>
  <c r="I16" i="22"/>
  <c r="I255" i="22"/>
  <c r="J96" i="22"/>
  <c r="I297" i="22"/>
  <c r="I204" i="22"/>
  <c r="J204" i="22"/>
  <c r="I100" i="22"/>
  <c r="I229" i="22"/>
  <c r="J229" i="22"/>
  <c r="J168" i="22"/>
  <c r="I294" i="22"/>
  <c r="J215" i="22"/>
  <c r="J49" i="22"/>
  <c r="I49" i="22"/>
  <c r="J336" i="22"/>
  <c r="P382" i="20"/>
  <c r="V15" i="20"/>
  <c r="P381" i="20"/>
  <c r="P383" i="20"/>
  <c r="J17" i="22"/>
  <c r="Q10" i="24"/>
  <c r="AY15" i="7"/>
  <c r="I180" i="20"/>
  <c r="B180" i="6" s="1"/>
  <c r="BA180" i="6" s="1"/>
  <c r="D180" i="6" s="1"/>
  <c r="J180" i="20"/>
  <c r="C180" i="6" s="1"/>
  <c r="J149" i="20"/>
  <c r="C149" i="6" s="1"/>
  <c r="I149" i="20"/>
  <c r="J84" i="22"/>
  <c r="I84" i="22"/>
  <c r="I226" i="22"/>
  <c r="J226" i="22"/>
  <c r="I248" i="22"/>
  <c r="J248" i="22"/>
  <c r="G88" i="22"/>
  <c r="CC88" i="6" s="1"/>
  <c r="AA88" i="22"/>
  <c r="Z88" i="22" s="1"/>
  <c r="Y88" i="22" s="1"/>
  <c r="I36" i="22"/>
  <c r="J36" i="22"/>
  <c r="J47" i="22"/>
  <c r="I47" i="22"/>
  <c r="J45" i="22"/>
  <c r="I45" i="22"/>
  <c r="S383" i="22"/>
  <c r="S381" i="22"/>
  <c r="S382" i="22"/>
  <c r="R15" i="22"/>
  <c r="J148" i="22"/>
  <c r="I148" i="22"/>
  <c r="J343" i="22"/>
  <c r="J361" i="22"/>
  <c r="I361" i="22"/>
  <c r="G74" i="22"/>
  <c r="CC74" i="6" s="1"/>
  <c r="AA74" i="22"/>
  <c r="Z74" i="22" s="1"/>
  <c r="Y74" i="22" s="1"/>
  <c r="H74" i="22"/>
  <c r="J81" i="22"/>
  <c r="J199" i="22"/>
  <c r="I199" i="22"/>
  <c r="J172" i="22"/>
  <c r="I172" i="22"/>
  <c r="J57" i="22"/>
  <c r="I57" i="22"/>
  <c r="I155" i="22"/>
  <c r="J155" i="22"/>
  <c r="J90" i="22"/>
  <c r="I90" i="22"/>
  <c r="I305" i="22"/>
  <c r="J305" i="22"/>
  <c r="J311" i="22"/>
  <c r="I311" i="22"/>
  <c r="D60" i="22"/>
  <c r="E60" i="22" s="1"/>
  <c r="F60" i="22" s="1"/>
  <c r="W60" i="22"/>
  <c r="J209" i="22"/>
  <c r="I209" i="22"/>
  <c r="J92" i="22"/>
  <c r="J299" i="22"/>
  <c r="I299" i="22"/>
  <c r="J210" i="20"/>
  <c r="C210" i="6" s="1"/>
  <c r="I210" i="20"/>
  <c r="B210" i="6" s="1"/>
  <c r="BA210" i="6" s="1"/>
  <c r="AK7" i="18"/>
  <c r="I276" i="22" l="1"/>
  <c r="J328" i="22"/>
  <c r="I136" i="22"/>
  <c r="I139" i="22"/>
  <c r="J170" i="22"/>
  <c r="I146" i="22"/>
  <c r="I306" i="22"/>
  <c r="I152" i="22"/>
  <c r="I64" i="22"/>
  <c r="I291" i="22"/>
  <c r="J123" i="22"/>
  <c r="J126" i="22"/>
  <c r="J281" i="22"/>
  <c r="I63" i="22"/>
  <c r="J269" i="22"/>
  <c r="J28" i="22"/>
  <c r="J202" i="22"/>
  <c r="J93" i="22"/>
  <c r="J337" i="22"/>
  <c r="I108" i="22"/>
  <c r="B227" i="23"/>
  <c r="W227" i="23" s="1"/>
  <c r="B288" i="23"/>
  <c r="D288" i="23" s="1"/>
  <c r="E288" i="23" s="1"/>
  <c r="F288" i="23" s="1"/>
  <c r="G288" i="23" s="1"/>
  <c r="CD288" i="6" s="1"/>
  <c r="B319" i="23"/>
  <c r="W319" i="23" s="1"/>
  <c r="D194" i="23"/>
  <c r="E194" i="23" s="1"/>
  <c r="F194" i="23" s="1"/>
  <c r="G194" i="23" s="1"/>
  <c r="CD194" i="6" s="1"/>
  <c r="B194" i="23"/>
  <c r="W235" i="23"/>
  <c r="B235" i="23"/>
  <c r="B310" i="23"/>
  <c r="W310" i="23" s="1"/>
  <c r="B346" i="23"/>
  <c r="W346" i="23" s="1"/>
  <c r="B61" i="23"/>
  <c r="D61" i="23" s="1"/>
  <c r="E61" i="23" s="1"/>
  <c r="F61" i="23" s="1"/>
  <c r="B300" i="23"/>
  <c r="D300" i="23" s="1"/>
  <c r="E300" i="23" s="1"/>
  <c r="F300" i="23" s="1"/>
  <c r="B84" i="23"/>
  <c r="W84" i="23" s="1"/>
  <c r="W142" i="23"/>
  <c r="B142" i="23"/>
  <c r="W63" i="23"/>
  <c r="B63" i="23"/>
  <c r="B258" i="23"/>
  <c r="D258" i="23" s="1"/>
  <c r="E258" i="23" s="1"/>
  <c r="F258" i="23" s="1"/>
  <c r="B376" i="23"/>
  <c r="W376" i="23" s="1"/>
  <c r="B248" i="23"/>
  <c r="D248" i="23" s="1"/>
  <c r="E248" i="23" s="1"/>
  <c r="F248" i="23" s="1"/>
  <c r="B267" i="23"/>
  <c r="D267" i="23" s="1"/>
  <c r="E267" i="23" s="1"/>
  <c r="F267" i="23" s="1"/>
  <c r="AA85" i="22"/>
  <c r="Z85" i="22" s="1"/>
  <c r="Y85" i="22" s="1"/>
  <c r="G85" i="22"/>
  <c r="CC85" i="6" s="1"/>
  <c r="H85" i="22"/>
  <c r="G41" i="22"/>
  <c r="CC41" i="6" s="1"/>
  <c r="H41" i="22"/>
  <c r="AA41" i="22"/>
  <c r="Z41" i="22" s="1"/>
  <c r="Y41" i="22" s="1"/>
  <c r="G355" i="22"/>
  <c r="CC355" i="6" s="1"/>
  <c r="H355" i="22"/>
  <c r="AA355" i="22"/>
  <c r="Z355" i="22" s="1"/>
  <c r="Y355" i="22" s="1"/>
  <c r="G122" i="22"/>
  <c r="CC122" i="6" s="1"/>
  <c r="AA122" i="22"/>
  <c r="Z122" i="22" s="1"/>
  <c r="Y122" i="22" s="1"/>
  <c r="AA212" i="22"/>
  <c r="Z212" i="22" s="1"/>
  <c r="Y212" i="22" s="1"/>
  <c r="H212" i="22"/>
  <c r="G212" i="22"/>
  <c r="CC212" i="6" s="1"/>
  <c r="AA253" i="22"/>
  <c r="Z253" i="22" s="1"/>
  <c r="Y253" i="22" s="1"/>
  <c r="G253" i="22"/>
  <c r="CC253" i="6" s="1"/>
  <c r="H253" i="22"/>
  <c r="AA281" i="22"/>
  <c r="Z281" i="22" s="1"/>
  <c r="Y281" i="22" s="1"/>
  <c r="G281" i="22"/>
  <c r="CC281" i="6" s="1"/>
  <c r="AA265" i="22"/>
  <c r="Z265" i="22" s="1"/>
  <c r="Y265" i="22" s="1"/>
  <c r="G265" i="22"/>
  <c r="CC265" i="6" s="1"/>
  <c r="H265" i="22"/>
  <c r="AA356" i="22"/>
  <c r="Z356" i="22" s="1"/>
  <c r="Y356" i="22" s="1"/>
  <c r="G356" i="22"/>
  <c r="CC356" i="6" s="1"/>
  <c r="G348" i="22"/>
  <c r="CC348" i="6" s="1"/>
  <c r="AA348" i="22"/>
  <c r="Z348" i="22" s="1"/>
  <c r="Y348" i="22" s="1"/>
  <c r="G43" i="22"/>
  <c r="CC43" i="6" s="1"/>
  <c r="AA43" i="22"/>
  <c r="Z43" i="22" s="1"/>
  <c r="Y43" i="22" s="1"/>
  <c r="H43" i="22"/>
  <c r="G82" i="22"/>
  <c r="CC82" i="6" s="1"/>
  <c r="AA82" i="22"/>
  <c r="Z82" i="22" s="1"/>
  <c r="Y82" i="22" s="1"/>
  <c r="B341" i="6"/>
  <c r="BA341" i="6" s="1"/>
  <c r="D341" i="6" s="1"/>
  <c r="H341" i="22"/>
  <c r="AA77" i="22"/>
  <c r="Z77" i="22" s="1"/>
  <c r="Y77" i="22" s="1"/>
  <c r="G77" i="22"/>
  <c r="CC77" i="6" s="1"/>
  <c r="B82" i="23"/>
  <c r="D82" i="23" s="1"/>
  <c r="E82" i="23" s="1"/>
  <c r="F82" i="23" s="1"/>
  <c r="B236" i="23"/>
  <c r="H34" i="22"/>
  <c r="G34" i="22"/>
  <c r="CC34" i="6" s="1"/>
  <c r="AA34" i="22"/>
  <c r="Z34" i="22" s="1"/>
  <c r="Y34" i="22" s="1"/>
  <c r="G22" i="22"/>
  <c r="CC22" i="6" s="1"/>
  <c r="AA22" i="22"/>
  <c r="Z22" i="22" s="1"/>
  <c r="Y22" i="22" s="1"/>
  <c r="H22" i="22"/>
  <c r="G27" i="22"/>
  <c r="CC27" i="6" s="1"/>
  <c r="AA27" i="22"/>
  <c r="Z27" i="22" s="1"/>
  <c r="Y27" i="22" s="1"/>
  <c r="H27" i="22"/>
  <c r="B20" i="23"/>
  <c r="AA306" i="22"/>
  <c r="Z306" i="22" s="1"/>
  <c r="Y306" i="22" s="1"/>
  <c r="G306" i="22"/>
  <c r="CC306" i="6" s="1"/>
  <c r="AA312" i="22"/>
  <c r="Z312" i="22" s="1"/>
  <c r="Y312" i="22" s="1"/>
  <c r="G312" i="22"/>
  <c r="CC312" i="6" s="1"/>
  <c r="H312" i="22"/>
  <c r="G129" i="22"/>
  <c r="CC129" i="6" s="1"/>
  <c r="H129" i="22"/>
  <c r="AA129" i="22"/>
  <c r="Z129" i="22" s="1"/>
  <c r="Y129" i="22" s="1"/>
  <c r="G231" i="22"/>
  <c r="CC231" i="6" s="1"/>
  <c r="H231" i="22"/>
  <c r="AA231" i="22"/>
  <c r="Z231" i="22" s="1"/>
  <c r="Y231" i="22" s="1"/>
  <c r="AA182" i="22"/>
  <c r="Z182" i="22" s="1"/>
  <c r="Y182" i="22" s="1"/>
  <c r="G182" i="22"/>
  <c r="CC182" i="6" s="1"/>
  <c r="H271" i="22"/>
  <c r="G271" i="22"/>
  <c r="CC271" i="6" s="1"/>
  <c r="AA271" i="22"/>
  <c r="Z271" i="22" s="1"/>
  <c r="Y271" i="22" s="1"/>
  <c r="G222" i="22"/>
  <c r="CC222" i="6" s="1"/>
  <c r="H222" i="22"/>
  <c r="AA222" i="22"/>
  <c r="Z222" i="22" s="1"/>
  <c r="Y222" i="22" s="1"/>
  <c r="H262" i="22"/>
  <c r="G262" i="22"/>
  <c r="CC262" i="6" s="1"/>
  <c r="AA262" i="22"/>
  <c r="Z262" i="22" s="1"/>
  <c r="Y262" i="22" s="1"/>
  <c r="AA130" i="22"/>
  <c r="Z130" i="22" s="1"/>
  <c r="Y130" i="22" s="1"/>
  <c r="G130" i="22"/>
  <c r="CC130" i="6" s="1"/>
  <c r="B109" i="6"/>
  <c r="BA109" i="6" s="1"/>
  <c r="D109" i="6" s="1"/>
  <c r="H109" i="22"/>
  <c r="B201" i="23"/>
  <c r="B78" i="6"/>
  <c r="BA78" i="6" s="1"/>
  <c r="D78" i="6" s="1"/>
  <c r="H78" i="22"/>
  <c r="B191" i="6"/>
  <c r="BA191" i="6" s="1"/>
  <c r="D191" i="6" s="1"/>
  <c r="H191" i="22"/>
  <c r="B250" i="23"/>
  <c r="B360" i="6"/>
  <c r="BA360" i="6" s="1"/>
  <c r="D360" i="6" s="1"/>
  <c r="H360" i="22"/>
  <c r="B48" i="6"/>
  <c r="BA48" i="6" s="1"/>
  <c r="D48" i="6" s="1"/>
  <c r="H48" i="22"/>
  <c r="G353" i="22"/>
  <c r="CC353" i="6" s="1"/>
  <c r="AA353" i="22"/>
  <c r="Z353" i="22" s="1"/>
  <c r="Y353" i="22" s="1"/>
  <c r="H353" i="22"/>
  <c r="G98" i="22"/>
  <c r="CC98" i="6" s="1"/>
  <c r="H98" i="22"/>
  <c r="AA98" i="22"/>
  <c r="Z98" i="22" s="1"/>
  <c r="Y98" i="22" s="1"/>
  <c r="AA328" i="22"/>
  <c r="Z328" i="22" s="1"/>
  <c r="Y328" i="22" s="1"/>
  <c r="G328" i="22"/>
  <c r="CC328" i="6" s="1"/>
  <c r="H287" i="22"/>
  <c r="G287" i="22"/>
  <c r="CC287" i="6" s="1"/>
  <c r="AA287" i="22"/>
  <c r="Z287" i="22" s="1"/>
  <c r="Y287" i="22" s="1"/>
  <c r="G68" i="22"/>
  <c r="CC68" i="6" s="1"/>
  <c r="AA68" i="22"/>
  <c r="Z68" i="22" s="1"/>
  <c r="Y68" i="22" s="1"/>
  <c r="G158" i="22"/>
  <c r="CC158" i="6" s="1"/>
  <c r="AA158" i="22"/>
  <c r="Z158" i="22" s="1"/>
  <c r="Y158" i="22" s="1"/>
  <c r="AA309" i="22"/>
  <c r="Z309" i="22" s="1"/>
  <c r="Y309" i="22" s="1"/>
  <c r="H309" i="22"/>
  <c r="G309" i="22"/>
  <c r="CC309" i="6" s="1"/>
  <c r="G134" i="22"/>
  <c r="CC134" i="6" s="1"/>
  <c r="AA134" i="22"/>
  <c r="Z134" i="22" s="1"/>
  <c r="Y134" i="22" s="1"/>
  <c r="H134" i="22"/>
  <c r="G184" i="22"/>
  <c r="CC184" i="6" s="1"/>
  <c r="AA184" i="22"/>
  <c r="Z184" i="22" s="1"/>
  <c r="Y184" i="22" s="1"/>
  <c r="B137" i="6"/>
  <c r="BA137" i="6" s="1"/>
  <c r="D137" i="6" s="1"/>
  <c r="H137" i="22"/>
  <c r="B97" i="6"/>
  <c r="BA97" i="6" s="1"/>
  <c r="D97" i="6" s="1"/>
  <c r="H97" i="22"/>
  <c r="H185" i="22"/>
  <c r="G185" i="22"/>
  <c r="CC185" i="6" s="1"/>
  <c r="AA185" i="22"/>
  <c r="Z185" i="22" s="1"/>
  <c r="Y185" i="22" s="1"/>
  <c r="B34" i="23"/>
  <c r="G73" i="22"/>
  <c r="CC73" i="6" s="1"/>
  <c r="AA73" i="22"/>
  <c r="Z73" i="22" s="1"/>
  <c r="Y73" i="22" s="1"/>
  <c r="H73" i="22"/>
  <c r="H339" i="22"/>
  <c r="G339" i="22"/>
  <c r="CC339" i="6" s="1"/>
  <c r="AA339" i="22"/>
  <c r="Z339" i="22" s="1"/>
  <c r="Y339" i="22" s="1"/>
  <c r="B341" i="23"/>
  <c r="B374" i="23"/>
  <c r="G138" i="22"/>
  <c r="CC138" i="6" s="1"/>
  <c r="H138" i="22"/>
  <c r="AA138" i="22"/>
  <c r="Z138" i="22" s="1"/>
  <c r="Y138" i="22" s="1"/>
  <c r="AA136" i="22"/>
  <c r="Z136" i="22" s="1"/>
  <c r="Y136" i="22" s="1"/>
  <c r="G136" i="22"/>
  <c r="CC136" i="6" s="1"/>
  <c r="B315" i="6"/>
  <c r="BA315" i="6" s="1"/>
  <c r="D315" i="6" s="1"/>
  <c r="H315" i="22"/>
  <c r="B268" i="23"/>
  <c r="H76" i="22"/>
  <c r="G76" i="22"/>
  <c r="CC76" i="6" s="1"/>
  <c r="AA76" i="22"/>
  <c r="Z76" i="22" s="1"/>
  <c r="Y76" i="22" s="1"/>
  <c r="B61" i="6"/>
  <c r="BA61" i="6" s="1"/>
  <c r="D61" i="6" s="1"/>
  <c r="H61" i="22"/>
  <c r="B116" i="6"/>
  <c r="BA116" i="6" s="1"/>
  <c r="D116" i="6" s="1"/>
  <c r="H116" i="22"/>
  <c r="B254" i="6"/>
  <c r="BA254" i="6" s="1"/>
  <c r="D254" i="6" s="1"/>
  <c r="H254" i="22"/>
  <c r="H113" i="22"/>
  <c r="D379" i="22"/>
  <c r="E379" i="22" s="1"/>
  <c r="F379" i="22" s="1"/>
  <c r="H50" i="22"/>
  <c r="H38" i="22"/>
  <c r="D225" i="23"/>
  <c r="E225" i="23" s="1"/>
  <c r="F225" i="23" s="1"/>
  <c r="G225" i="23" s="1"/>
  <c r="CD225" i="6" s="1"/>
  <c r="B25" i="23"/>
  <c r="W25" i="23" s="1"/>
  <c r="W116" i="23"/>
  <c r="D27" i="23"/>
  <c r="E27" i="23" s="1"/>
  <c r="F27" i="23" s="1"/>
  <c r="D31" i="23"/>
  <c r="E31" i="23" s="1"/>
  <c r="F31" i="23" s="1"/>
  <c r="G31" i="23" s="1"/>
  <c r="CD31" i="6" s="1"/>
  <c r="B226" i="23"/>
  <c r="W226" i="23" s="1"/>
  <c r="W205" i="23"/>
  <c r="B352" i="23"/>
  <c r="D352" i="23" s="1"/>
  <c r="E352" i="23" s="1"/>
  <c r="F352" i="23" s="1"/>
  <c r="G352" i="23" s="1"/>
  <c r="CD352" i="6" s="1"/>
  <c r="B187" i="23"/>
  <c r="W187" i="23" s="1"/>
  <c r="W261" i="23"/>
  <c r="D151" i="23"/>
  <c r="E151" i="23" s="1"/>
  <c r="F151" i="23" s="1"/>
  <c r="H151" i="23" s="1"/>
  <c r="B151" i="23"/>
  <c r="W350" i="23"/>
  <c r="B350" i="23"/>
  <c r="B314" i="23"/>
  <c r="D314" i="23" s="1"/>
  <c r="E314" i="23" s="1"/>
  <c r="F314" i="23" s="1"/>
  <c r="W16" i="23"/>
  <c r="D257" i="23"/>
  <c r="E257" i="23" s="1"/>
  <c r="F257" i="23" s="1"/>
  <c r="H257" i="23" s="1"/>
  <c r="B257" i="23"/>
  <c r="D35" i="23"/>
  <c r="E35" i="23" s="1"/>
  <c r="F35" i="23" s="1"/>
  <c r="AA35" i="23" s="1"/>
  <c r="Z35" i="23" s="1"/>
  <c r="Y35" i="23" s="1"/>
  <c r="B35" i="23"/>
  <c r="W135" i="23"/>
  <c r="B135" i="23"/>
  <c r="W200" i="23"/>
  <c r="D218" i="23"/>
  <c r="E218" i="23" s="1"/>
  <c r="F218" i="23" s="1"/>
  <c r="B284" i="23"/>
  <c r="D284" i="23" s="1"/>
  <c r="E284" i="23" s="1"/>
  <c r="F284" i="23" s="1"/>
  <c r="B206" i="23"/>
  <c r="D206" i="23" s="1"/>
  <c r="E206" i="23" s="1"/>
  <c r="F206" i="23" s="1"/>
  <c r="W62" i="23"/>
  <c r="B62" i="23"/>
  <c r="B191" i="23"/>
  <c r="D191" i="23" s="1"/>
  <c r="E191" i="23" s="1"/>
  <c r="F191" i="23" s="1"/>
  <c r="D199" i="23"/>
  <c r="E199" i="23" s="1"/>
  <c r="F199" i="23" s="1"/>
  <c r="B162" i="23"/>
  <c r="D162" i="23" s="1"/>
  <c r="E162" i="23" s="1"/>
  <c r="F162" i="23" s="1"/>
  <c r="W40" i="23"/>
  <c r="H111" i="22"/>
  <c r="AA111" i="22"/>
  <c r="Z111" i="22" s="1"/>
  <c r="Y111" i="22" s="1"/>
  <c r="G111" i="22"/>
  <c r="CC111" i="6" s="1"/>
  <c r="B100" i="23"/>
  <c r="H167" i="22"/>
  <c r="G167" i="22"/>
  <c r="CC167" i="6" s="1"/>
  <c r="AA167" i="22"/>
  <c r="Z167" i="22" s="1"/>
  <c r="Y167" i="22" s="1"/>
  <c r="AA59" i="22"/>
  <c r="Z59" i="22" s="1"/>
  <c r="Y59" i="22" s="1"/>
  <c r="H59" i="22"/>
  <c r="G59" i="22"/>
  <c r="CC59" i="6" s="1"/>
  <c r="H280" i="22"/>
  <c r="AA280" i="22"/>
  <c r="Z280" i="22" s="1"/>
  <c r="Y280" i="22" s="1"/>
  <c r="G280" i="22"/>
  <c r="CC280" i="6" s="1"/>
  <c r="AA69" i="22"/>
  <c r="Z69" i="22" s="1"/>
  <c r="Y69" i="22" s="1"/>
  <c r="G69" i="22"/>
  <c r="CC69" i="6" s="1"/>
  <c r="H69" i="22"/>
  <c r="G86" i="22"/>
  <c r="CC86" i="6" s="1"/>
  <c r="AA86" i="22"/>
  <c r="Z86" i="22" s="1"/>
  <c r="Y86" i="22" s="1"/>
  <c r="G337" i="22"/>
  <c r="CC337" i="6" s="1"/>
  <c r="AA337" i="22"/>
  <c r="Z337" i="22" s="1"/>
  <c r="Y337" i="22" s="1"/>
  <c r="AA317" i="22"/>
  <c r="Z317" i="22" s="1"/>
  <c r="Y317" i="22" s="1"/>
  <c r="G317" i="22"/>
  <c r="CC317" i="6" s="1"/>
  <c r="G56" i="22"/>
  <c r="CC56" i="6" s="1"/>
  <c r="H56" i="22"/>
  <c r="AA56" i="22"/>
  <c r="Z56" i="22" s="1"/>
  <c r="Y56" i="22" s="1"/>
  <c r="AA373" i="22"/>
  <c r="Z373" i="22" s="1"/>
  <c r="Y373" i="22" s="1"/>
  <c r="G373" i="22"/>
  <c r="CC373" i="6" s="1"/>
  <c r="H373" i="22"/>
  <c r="B295" i="23"/>
  <c r="G195" i="22"/>
  <c r="CC195" i="6" s="1"/>
  <c r="AA195" i="22"/>
  <c r="Z195" i="22" s="1"/>
  <c r="Y195" i="22" s="1"/>
  <c r="H195" i="22"/>
  <c r="G273" i="22"/>
  <c r="CC273" i="6" s="1"/>
  <c r="AA273" i="22"/>
  <c r="Z273" i="22" s="1"/>
  <c r="Y273" i="22" s="1"/>
  <c r="H273" i="22"/>
  <c r="H127" i="22"/>
  <c r="AA127" i="22"/>
  <c r="Z127" i="22" s="1"/>
  <c r="Y127" i="22" s="1"/>
  <c r="G127" i="22"/>
  <c r="CC127" i="6" s="1"/>
  <c r="AA106" i="22"/>
  <c r="Z106" i="22" s="1"/>
  <c r="Y106" i="22" s="1"/>
  <c r="H106" i="22"/>
  <c r="G106" i="22"/>
  <c r="CC106" i="6" s="1"/>
  <c r="AA51" i="22"/>
  <c r="Z51" i="22" s="1"/>
  <c r="Y51" i="22" s="1"/>
  <c r="H51" i="22"/>
  <c r="G51" i="22"/>
  <c r="CC51" i="6" s="1"/>
  <c r="G357" i="22"/>
  <c r="CC357" i="6" s="1"/>
  <c r="AA357" i="22"/>
  <c r="Z357" i="22" s="1"/>
  <c r="Y357" i="22" s="1"/>
  <c r="G232" i="22"/>
  <c r="CC232" i="6" s="1"/>
  <c r="AA232" i="22"/>
  <c r="Z232" i="22" s="1"/>
  <c r="Y232" i="22" s="1"/>
  <c r="B308" i="6"/>
  <c r="BA308" i="6" s="1"/>
  <c r="D308" i="6" s="1"/>
  <c r="H308" i="22"/>
  <c r="B164" i="6"/>
  <c r="BA164" i="6" s="1"/>
  <c r="D164" i="6" s="1"/>
  <c r="H164" i="22"/>
  <c r="B145" i="6"/>
  <c r="BA145" i="6" s="1"/>
  <c r="D145" i="6" s="1"/>
  <c r="H145" i="22"/>
  <c r="B75" i="6"/>
  <c r="BA75" i="6" s="1"/>
  <c r="D75" i="6" s="1"/>
  <c r="H75" i="22"/>
  <c r="B281" i="23"/>
  <c r="B317" i="23"/>
  <c r="B79" i="6"/>
  <c r="BA79" i="6" s="1"/>
  <c r="D79" i="6" s="1"/>
  <c r="H79" i="22"/>
  <c r="G256" i="22"/>
  <c r="CC256" i="6" s="1"/>
  <c r="AA256" i="22"/>
  <c r="Z256" i="22" s="1"/>
  <c r="Y256" i="22" s="1"/>
  <c r="AA94" i="22"/>
  <c r="Z94" i="22" s="1"/>
  <c r="Y94" i="22" s="1"/>
  <c r="H94" i="22"/>
  <c r="G94" i="22"/>
  <c r="CC94" i="6" s="1"/>
  <c r="G313" i="22"/>
  <c r="CC313" i="6" s="1"/>
  <c r="AA313" i="22"/>
  <c r="Z313" i="22" s="1"/>
  <c r="Y313" i="22" s="1"/>
  <c r="AA307" i="22"/>
  <c r="Z307" i="22" s="1"/>
  <c r="Y307" i="22" s="1"/>
  <c r="G307" i="22"/>
  <c r="CC307" i="6" s="1"/>
  <c r="G349" i="22"/>
  <c r="CC349" i="6" s="1"/>
  <c r="AA349" i="22"/>
  <c r="Z349" i="22" s="1"/>
  <c r="Y349" i="22" s="1"/>
  <c r="AA115" i="22"/>
  <c r="Z115" i="22" s="1"/>
  <c r="Y115" i="22" s="1"/>
  <c r="G115" i="22"/>
  <c r="CC115" i="6" s="1"/>
  <c r="H115" i="22"/>
  <c r="G176" i="22"/>
  <c r="CC176" i="6" s="1"/>
  <c r="AA176" i="22"/>
  <c r="Z176" i="22" s="1"/>
  <c r="Y176" i="22" s="1"/>
  <c r="H176" i="22"/>
  <c r="G303" i="22"/>
  <c r="CC303" i="6" s="1"/>
  <c r="AA303" i="22"/>
  <c r="Z303" i="22" s="1"/>
  <c r="Y303" i="22" s="1"/>
  <c r="B238" i="23"/>
  <c r="G30" i="22"/>
  <c r="CC30" i="6" s="1"/>
  <c r="H30" i="22"/>
  <c r="AA30" i="22"/>
  <c r="Z30" i="22" s="1"/>
  <c r="Y30" i="22" s="1"/>
  <c r="G329" i="22"/>
  <c r="CC329" i="6" s="1"/>
  <c r="AA329" i="22"/>
  <c r="Z329" i="22" s="1"/>
  <c r="Y329" i="22" s="1"/>
  <c r="AA377" i="22"/>
  <c r="Z377" i="22" s="1"/>
  <c r="Y377" i="22" s="1"/>
  <c r="H377" i="22"/>
  <c r="G377" i="22"/>
  <c r="CC377" i="6" s="1"/>
  <c r="G40" i="22"/>
  <c r="CC40" i="6" s="1"/>
  <c r="AA40" i="22"/>
  <c r="Z40" i="22" s="1"/>
  <c r="Y40" i="22" s="1"/>
  <c r="G286" i="22"/>
  <c r="CC286" i="6" s="1"/>
  <c r="AA286" i="22"/>
  <c r="Z286" i="22" s="1"/>
  <c r="Y286" i="22" s="1"/>
  <c r="G343" i="22"/>
  <c r="CC343" i="6" s="1"/>
  <c r="AA343" i="22"/>
  <c r="Z343" i="22" s="1"/>
  <c r="Y343" i="22" s="1"/>
  <c r="AA120" i="22"/>
  <c r="Z120" i="22" s="1"/>
  <c r="Y120" i="22" s="1"/>
  <c r="G120" i="22"/>
  <c r="CC120" i="6" s="1"/>
  <c r="H120" i="22"/>
  <c r="G141" i="22"/>
  <c r="CC141" i="6" s="1"/>
  <c r="H141" i="22"/>
  <c r="AA141" i="22"/>
  <c r="Z141" i="22" s="1"/>
  <c r="Y141" i="22" s="1"/>
  <c r="AA126" i="22"/>
  <c r="Z126" i="22" s="1"/>
  <c r="Y126" i="22" s="1"/>
  <c r="G126" i="22"/>
  <c r="CC126" i="6" s="1"/>
  <c r="AA144" i="22"/>
  <c r="Z144" i="22" s="1"/>
  <c r="Y144" i="22" s="1"/>
  <c r="G144" i="22"/>
  <c r="CC144" i="6" s="1"/>
  <c r="H144" i="22"/>
  <c r="B279" i="23"/>
  <c r="G221" i="22"/>
  <c r="CC221" i="6" s="1"/>
  <c r="AA221" i="22"/>
  <c r="Z221" i="22" s="1"/>
  <c r="Y221" i="22" s="1"/>
  <c r="B153" i="6"/>
  <c r="BA153" i="6" s="1"/>
  <c r="D153" i="6" s="1"/>
  <c r="H153" i="22"/>
  <c r="B267" i="6"/>
  <c r="BA267" i="6" s="1"/>
  <c r="D267" i="6" s="1"/>
  <c r="H267" i="22"/>
  <c r="AA166" i="22"/>
  <c r="Z166" i="22" s="1"/>
  <c r="Y166" i="22" s="1"/>
  <c r="G166" i="22"/>
  <c r="CC166" i="6" s="1"/>
  <c r="B285" i="6"/>
  <c r="BA285" i="6" s="1"/>
  <c r="D285" i="6" s="1"/>
  <c r="H285" i="22"/>
  <c r="B327" i="23"/>
  <c r="W327" i="23" s="1"/>
  <c r="B255" i="23"/>
  <c r="B310" i="6"/>
  <c r="BA310" i="6" s="1"/>
  <c r="D310" i="6" s="1"/>
  <c r="H310" i="22"/>
  <c r="AA250" i="22"/>
  <c r="Z250" i="22" s="1"/>
  <c r="Y250" i="22" s="1"/>
  <c r="G250" i="22"/>
  <c r="CC250" i="6" s="1"/>
  <c r="H250" i="22"/>
  <c r="B112" i="6"/>
  <c r="BA112" i="6" s="1"/>
  <c r="D112" i="6" s="1"/>
  <c r="H112" i="22"/>
  <c r="B307" i="23"/>
  <c r="B194" i="6"/>
  <c r="BA194" i="6" s="1"/>
  <c r="D194" i="6" s="1"/>
  <c r="H194" i="22"/>
  <c r="B72" i="6"/>
  <c r="BA72" i="6" s="1"/>
  <c r="D72" i="6" s="1"/>
  <c r="H72" i="22"/>
  <c r="B79" i="23"/>
  <c r="B304" i="6"/>
  <c r="BA304" i="6" s="1"/>
  <c r="D304" i="6" s="1"/>
  <c r="H304" i="22"/>
  <c r="AA203" i="22"/>
  <c r="Z203" i="22" s="1"/>
  <c r="Y203" i="22" s="1"/>
  <c r="G203" i="22"/>
  <c r="CC203" i="6" s="1"/>
  <c r="AA107" i="22"/>
  <c r="Z107" i="22" s="1"/>
  <c r="Y107" i="22" s="1"/>
  <c r="G107" i="22"/>
  <c r="CC107" i="6" s="1"/>
  <c r="H107" i="22"/>
  <c r="AA46" i="22"/>
  <c r="Z46" i="22" s="1"/>
  <c r="Y46" i="22" s="1"/>
  <c r="H46" i="22"/>
  <c r="G46" i="22"/>
  <c r="CC46" i="6" s="1"/>
  <c r="AA64" i="22"/>
  <c r="Z64" i="22" s="1"/>
  <c r="Y64" i="22" s="1"/>
  <c r="G64" i="22"/>
  <c r="CC64" i="6" s="1"/>
  <c r="G211" i="22"/>
  <c r="CC211" i="6" s="1"/>
  <c r="AA211" i="22"/>
  <c r="Z211" i="22" s="1"/>
  <c r="Y211" i="22" s="1"/>
  <c r="B172" i="23"/>
  <c r="B132" i="23"/>
  <c r="W132" i="23" s="1"/>
  <c r="G367" i="22"/>
  <c r="CC367" i="6" s="1"/>
  <c r="AA367" i="22"/>
  <c r="Z367" i="22" s="1"/>
  <c r="Y367" i="22" s="1"/>
  <c r="H367" i="22"/>
  <c r="AA223" i="22"/>
  <c r="Z223" i="22" s="1"/>
  <c r="Y223" i="22" s="1"/>
  <c r="G223" i="22"/>
  <c r="CC223" i="6" s="1"/>
  <c r="H223" i="22"/>
  <c r="G259" i="22"/>
  <c r="CC259" i="6" s="1"/>
  <c r="AA259" i="22"/>
  <c r="Z259" i="22" s="1"/>
  <c r="Y259" i="22" s="1"/>
  <c r="H259" i="22"/>
  <c r="G220" i="22"/>
  <c r="CC220" i="6" s="1"/>
  <c r="AA220" i="22"/>
  <c r="Z220" i="22" s="1"/>
  <c r="Y220" i="22" s="1"/>
  <c r="H245" i="22"/>
  <c r="AA245" i="22"/>
  <c r="Z245" i="22" s="1"/>
  <c r="Y245" i="22" s="1"/>
  <c r="G245" i="22"/>
  <c r="CC245" i="6" s="1"/>
  <c r="G19" i="22"/>
  <c r="CC19" i="6" s="1"/>
  <c r="AA19" i="22"/>
  <c r="Z19" i="22" s="1"/>
  <c r="Y19" i="22" s="1"/>
  <c r="G52" i="22"/>
  <c r="CC52" i="6" s="1"/>
  <c r="H52" i="22"/>
  <c r="AA52" i="22"/>
  <c r="Z52" i="22" s="1"/>
  <c r="Y52" i="22" s="1"/>
  <c r="H121" i="22"/>
  <c r="AA121" i="22"/>
  <c r="Z121" i="22" s="1"/>
  <c r="Y121" i="22" s="1"/>
  <c r="G121" i="22"/>
  <c r="CC121" i="6" s="1"/>
  <c r="B150" i="6"/>
  <c r="BA150" i="6" s="1"/>
  <c r="D150" i="6" s="1"/>
  <c r="H150" i="22"/>
  <c r="AA334" i="22"/>
  <c r="Z334" i="22" s="1"/>
  <c r="Y334" i="22" s="1"/>
  <c r="G334" i="22"/>
  <c r="CC334" i="6" s="1"/>
  <c r="B235" i="6"/>
  <c r="BA235" i="6" s="1"/>
  <c r="D235" i="6" s="1"/>
  <c r="H235" i="22"/>
  <c r="B223" i="23"/>
  <c r="B134" i="23"/>
  <c r="W134" i="23" s="1"/>
  <c r="B280" i="23"/>
  <c r="AA359" i="22"/>
  <c r="Z359" i="22" s="1"/>
  <c r="Y359" i="22" s="1"/>
  <c r="G359" i="22"/>
  <c r="CC359" i="6" s="1"/>
  <c r="H359" i="22"/>
  <c r="AA322" i="22"/>
  <c r="Z322" i="22" s="1"/>
  <c r="Y322" i="22" s="1"/>
  <c r="G322" i="22"/>
  <c r="CC322" i="6" s="1"/>
  <c r="H322" i="22"/>
  <c r="AA208" i="22"/>
  <c r="Z208" i="22" s="1"/>
  <c r="Y208" i="22" s="1"/>
  <c r="H208" i="22"/>
  <c r="G208" i="22"/>
  <c r="CC208" i="6" s="1"/>
  <c r="B115" i="23"/>
  <c r="B301" i="23"/>
  <c r="B202" i="23"/>
  <c r="B26" i="23"/>
  <c r="W26" i="23" s="1"/>
  <c r="G28" i="22"/>
  <c r="CC28" i="6" s="1"/>
  <c r="AA28" i="22"/>
  <c r="Z28" i="22" s="1"/>
  <c r="Y28" i="22" s="1"/>
  <c r="G39" i="22"/>
  <c r="CC39" i="6" s="1"/>
  <c r="H39" i="22"/>
  <c r="AA39" i="22"/>
  <c r="Z39" i="22" s="1"/>
  <c r="Y39" i="22" s="1"/>
  <c r="G366" i="22"/>
  <c r="CC366" i="6" s="1"/>
  <c r="AA366" i="22"/>
  <c r="Z366" i="22" s="1"/>
  <c r="Y366" i="22" s="1"/>
  <c r="H366" i="22"/>
  <c r="AA224" i="22"/>
  <c r="Z224" i="22" s="1"/>
  <c r="Y224" i="22" s="1"/>
  <c r="G224" i="22"/>
  <c r="CC224" i="6" s="1"/>
  <c r="H224" i="22"/>
  <c r="B184" i="23"/>
  <c r="W184" i="23" s="1"/>
  <c r="B163" i="6"/>
  <c r="BA163" i="6" s="1"/>
  <c r="D163" i="6" s="1"/>
  <c r="H163" i="22"/>
  <c r="G103" i="22"/>
  <c r="CC103" i="6" s="1"/>
  <c r="AA103" i="22"/>
  <c r="Z103" i="22" s="1"/>
  <c r="Y103" i="22" s="1"/>
  <c r="B376" i="6"/>
  <c r="BA376" i="6" s="1"/>
  <c r="D376" i="6" s="1"/>
  <c r="H376" i="22"/>
  <c r="B56" i="23"/>
  <c r="B290" i="6"/>
  <c r="BA290" i="6" s="1"/>
  <c r="D290" i="6" s="1"/>
  <c r="H290" i="22"/>
  <c r="H228" i="22"/>
  <c r="I374" i="22"/>
  <c r="J192" i="22"/>
  <c r="J219" i="22"/>
  <c r="I352" i="22"/>
  <c r="I70" i="22"/>
  <c r="I18" i="22"/>
  <c r="I200" i="22"/>
  <c r="J230" i="22"/>
  <c r="J357" i="22"/>
  <c r="J338" i="22"/>
  <c r="I286" i="22"/>
  <c r="J249" i="22"/>
  <c r="I19" i="22"/>
  <c r="I42" i="22"/>
  <c r="I110" i="22"/>
  <c r="J313" i="22"/>
  <c r="J177" i="22"/>
  <c r="J282" i="22"/>
  <c r="I211" i="22"/>
  <c r="I102" i="22"/>
  <c r="J142" i="22"/>
  <c r="I270" i="22"/>
  <c r="I318" i="22"/>
  <c r="J151" i="22"/>
  <c r="I143" i="22"/>
  <c r="I346" i="22"/>
  <c r="J165" i="22"/>
  <c r="I20" i="22"/>
  <c r="J243" i="22"/>
  <c r="J257" i="22"/>
  <c r="J274" i="22"/>
  <c r="J317" i="22"/>
  <c r="I183" i="22"/>
  <c r="J147" i="22"/>
  <c r="J77" i="22"/>
  <c r="I95" i="22"/>
  <c r="J232" i="22"/>
  <c r="D319" i="23"/>
  <c r="E319" i="23" s="1"/>
  <c r="F319" i="23" s="1"/>
  <c r="G319" i="23" s="1"/>
  <c r="CD319" i="6" s="1"/>
  <c r="J132" i="22"/>
  <c r="J314" i="22"/>
  <c r="J68" i="22"/>
  <c r="B166" i="6"/>
  <c r="BA166" i="6" s="1"/>
  <c r="D166" i="6" s="1"/>
  <c r="H166" i="22"/>
  <c r="B53" i="6"/>
  <c r="BA53" i="6" s="1"/>
  <c r="H53" i="22"/>
  <c r="B86" i="6"/>
  <c r="BA86" i="6" s="1"/>
  <c r="D86" i="6" s="1"/>
  <c r="H86" i="22"/>
  <c r="B329" i="6"/>
  <c r="BA329" i="6" s="1"/>
  <c r="D329" i="6" s="1"/>
  <c r="H329" i="22"/>
  <c r="B133" i="6"/>
  <c r="BA133" i="6" s="1"/>
  <c r="D133" i="6" s="1"/>
  <c r="H133" i="22"/>
  <c r="B207" i="6"/>
  <c r="BA207" i="6" s="1"/>
  <c r="D207" i="6" s="1"/>
  <c r="H207" i="22"/>
  <c r="B340" i="6"/>
  <c r="BA340" i="6" s="1"/>
  <c r="D340" i="6" s="1"/>
  <c r="H340" i="22"/>
  <c r="H370" i="22"/>
  <c r="B370" i="6"/>
  <c r="BA370" i="6" s="1"/>
  <c r="D370" i="6" s="1"/>
  <c r="B369" i="6"/>
  <c r="BA369" i="6" s="1"/>
  <c r="D369" i="6" s="1"/>
  <c r="H369" i="22"/>
  <c r="B179" i="6"/>
  <c r="BA179" i="6" s="1"/>
  <c r="D179" i="6" s="1"/>
  <c r="H179" i="22"/>
  <c r="B324" i="6"/>
  <c r="BA324" i="6" s="1"/>
  <c r="D324" i="6" s="1"/>
  <c r="H324" i="22"/>
  <c r="B331" i="6"/>
  <c r="BA331" i="6" s="1"/>
  <c r="D331" i="6" s="1"/>
  <c r="H331" i="22"/>
  <c r="B372" i="6"/>
  <c r="BA372" i="6" s="1"/>
  <c r="D372" i="6" s="1"/>
  <c r="H372" i="22"/>
  <c r="B264" i="6"/>
  <c r="BA264" i="6" s="1"/>
  <c r="D264" i="6" s="1"/>
  <c r="H264" i="22"/>
  <c r="B356" i="6"/>
  <c r="BA356" i="6" s="1"/>
  <c r="D356" i="6" s="1"/>
  <c r="H356" i="22"/>
  <c r="B130" i="6"/>
  <c r="BA130" i="6" s="1"/>
  <c r="D130" i="6" s="1"/>
  <c r="H130" i="22"/>
  <c r="B251" i="6"/>
  <c r="BA251" i="6" s="1"/>
  <c r="D251" i="6" s="1"/>
  <c r="H251" i="22"/>
  <c r="B114" i="6"/>
  <c r="BA114" i="6" s="1"/>
  <c r="D114" i="6" s="1"/>
  <c r="H114" i="22"/>
  <c r="B122" i="6"/>
  <c r="BA122" i="6" s="1"/>
  <c r="D122" i="6" s="1"/>
  <c r="H122" i="22"/>
  <c r="H193" i="22"/>
  <c r="B307" i="6"/>
  <c r="BA307" i="6" s="1"/>
  <c r="D307" i="6" s="1"/>
  <c r="H307" i="22"/>
  <c r="B221" i="6"/>
  <c r="BA221" i="6" s="1"/>
  <c r="D221" i="6" s="1"/>
  <c r="H221" i="22"/>
  <c r="B182" i="6"/>
  <c r="BA182" i="6" s="1"/>
  <c r="D182" i="6" s="1"/>
  <c r="H182" i="22"/>
  <c r="B349" i="6"/>
  <c r="BA349" i="6" s="1"/>
  <c r="D349" i="6" s="1"/>
  <c r="H349" i="22"/>
  <c r="H71" i="22"/>
  <c r="H54" i="22"/>
  <c r="B103" i="6"/>
  <c r="BA103" i="6" s="1"/>
  <c r="D103" i="6" s="1"/>
  <c r="H103" i="22"/>
  <c r="B233" i="6"/>
  <c r="BA233" i="6" s="1"/>
  <c r="D233" i="6" s="1"/>
  <c r="H233" i="22"/>
  <c r="B266" i="6"/>
  <c r="BA266" i="6" s="1"/>
  <c r="D266" i="6" s="1"/>
  <c r="H266" i="22"/>
  <c r="B244" i="6"/>
  <c r="BA244" i="6" s="1"/>
  <c r="D244" i="6" s="1"/>
  <c r="H244" i="22"/>
  <c r="B158" i="6"/>
  <c r="BA158" i="6" s="1"/>
  <c r="D158" i="6" s="1"/>
  <c r="H158" i="22"/>
  <c r="B321" i="6"/>
  <c r="BA321" i="6" s="1"/>
  <c r="D321" i="6" s="1"/>
  <c r="H321" i="22"/>
  <c r="B348" i="6"/>
  <c r="BA348" i="6" s="1"/>
  <c r="D348" i="6" s="1"/>
  <c r="H348" i="22"/>
  <c r="B198" i="6"/>
  <c r="BA198" i="6" s="1"/>
  <c r="D198" i="6" s="1"/>
  <c r="H198" i="22"/>
  <c r="H365" i="22"/>
  <c r="I131" i="22"/>
  <c r="J296" i="22"/>
  <c r="J83" i="22"/>
  <c r="J239" i="22"/>
  <c r="I91" i="22"/>
  <c r="I67" i="22"/>
  <c r="J268" i="22"/>
  <c r="J186" i="22"/>
  <c r="J220" i="22"/>
  <c r="I82" i="22"/>
  <c r="X4" i="6"/>
  <c r="H149" i="22"/>
  <c r="J149" i="22" s="1"/>
  <c r="B149" i="6"/>
  <c r="BA149" i="6" s="1"/>
  <c r="D149" i="6" s="1"/>
  <c r="H88" i="22"/>
  <c r="J88" i="22" s="1"/>
  <c r="B88" i="6"/>
  <c r="BA88" i="6" s="1"/>
  <c r="H272" i="22"/>
  <c r="J272" i="22" s="1"/>
  <c r="B272" i="6"/>
  <c r="BA272" i="6" s="1"/>
  <c r="H241" i="22"/>
  <c r="J241" i="22" s="1"/>
  <c r="B241" i="6"/>
  <c r="BA241" i="6" s="1"/>
  <c r="H333" i="22"/>
  <c r="J333" i="22" s="1"/>
  <c r="B333" i="6"/>
  <c r="BA333" i="6" s="1"/>
  <c r="D333" i="6" s="1"/>
  <c r="AA4" i="6"/>
  <c r="D210" i="6"/>
  <c r="D119" i="6"/>
  <c r="H302" i="22"/>
  <c r="J302" i="22" s="1"/>
  <c r="B302" i="6"/>
  <c r="BA302" i="6" s="1"/>
  <c r="Q4" i="6"/>
  <c r="D211" i="6"/>
  <c r="AB4" i="6"/>
  <c r="D77" i="6"/>
  <c r="R4" i="6"/>
  <c r="D337" i="6"/>
  <c r="AK4" i="6"/>
  <c r="D170" i="6"/>
  <c r="Y4" i="6"/>
  <c r="D184" i="6"/>
  <c r="Z4" i="6"/>
  <c r="AM4" i="6"/>
  <c r="AC4" i="6"/>
  <c r="AE4" i="6"/>
  <c r="D352" i="6"/>
  <c r="AL4" i="6"/>
  <c r="D281" i="6"/>
  <c r="AG4" i="6"/>
  <c r="D328" i="6"/>
  <c r="AJ4" i="6"/>
  <c r="D100" i="6"/>
  <c r="T4" i="6"/>
  <c r="D313" i="6"/>
  <c r="AI4" i="6"/>
  <c r="D142" i="6"/>
  <c r="W4" i="6"/>
  <c r="O4" i="6"/>
  <c r="J347" i="22"/>
  <c r="J246" i="22"/>
  <c r="I327" i="22"/>
  <c r="I157" i="22"/>
  <c r="AI275" i="23"/>
  <c r="AH275" i="23" s="1"/>
  <c r="AG275" i="23" s="1"/>
  <c r="AF275" i="23" s="1"/>
  <c r="AD275" i="23" s="1"/>
  <c r="AI356" i="23"/>
  <c r="AH356" i="23" s="1"/>
  <c r="AG356" i="23" s="1"/>
  <c r="AF356" i="23" s="1"/>
  <c r="AD356" i="23" s="1"/>
  <c r="AI133" i="23"/>
  <c r="AH133" i="23" s="1"/>
  <c r="AG133" i="23" s="1"/>
  <c r="AF133" i="23" s="1"/>
  <c r="AD133" i="23" s="1"/>
  <c r="AI237" i="23"/>
  <c r="AH237" i="23" s="1"/>
  <c r="AG237" i="23" s="1"/>
  <c r="AF237" i="23" s="1"/>
  <c r="AD237" i="23" s="1"/>
  <c r="AI318" i="23"/>
  <c r="AH318" i="23" s="1"/>
  <c r="AG318" i="23" s="1"/>
  <c r="AF318" i="23" s="1"/>
  <c r="AD318" i="23" s="1"/>
  <c r="AI193" i="23"/>
  <c r="AH193" i="23" s="1"/>
  <c r="AG193" i="23" s="1"/>
  <c r="AF193" i="23" s="1"/>
  <c r="AD193" i="23" s="1"/>
  <c r="AI235" i="23"/>
  <c r="AH235" i="23" s="1"/>
  <c r="AG235" i="23" s="1"/>
  <c r="AF235" i="23" s="1"/>
  <c r="AD235" i="23" s="1"/>
  <c r="AI326" i="23"/>
  <c r="AH326" i="23" s="1"/>
  <c r="AG326" i="23" s="1"/>
  <c r="AF326" i="23" s="1"/>
  <c r="AD326" i="23" s="1"/>
  <c r="AI201" i="23"/>
  <c r="AH201" i="23" s="1"/>
  <c r="AG201" i="23" s="1"/>
  <c r="AF201" i="23" s="1"/>
  <c r="AD201" i="23" s="1"/>
  <c r="AI239" i="23"/>
  <c r="AH239" i="23" s="1"/>
  <c r="AG239" i="23" s="1"/>
  <c r="AF239" i="23" s="1"/>
  <c r="AD239" i="23" s="1"/>
  <c r="AI330" i="23"/>
  <c r="AH330" i="23" s="1"/>
  <c r="AG330" i="23" s="1"/>
  <c r="AF330" i="23" s="1"/>
  <c r="AD330" i="23" s="1"/>
  <c r="AI358" i="23"/>
  <c r="AH358" i="23" s="1"/>
  <c r="AG358" i="23" s="1"/>
  <c r="AF358" i="23" s="1"/>
  <c r="AD358" i="23" s="1"/>
  <c r="AI135" i="23"/>
  <c r="AH135" i="23" s="1"/>
  <c r="AG135" i="23" s="1"/>
  <c r="AF135" i="23" s="1"/>
  <c r="AD135" i="23" s="1"/>
  <c r="AI155" i="23"/>
  <c r="AH155" i="23" s="1"/>
  <c r="AG155" i="23" s="1"/>
  <c r="AF155" i="23" s="1"/>
  <c r="AD155" i="23" s="1"/>
  <c r="AI236" i="23"/>
  <c r="AH236" i="23" s="1"/>
  <c r="AG236" i="23" s="1"/>
  <c r="AF236" i="23" s="1"/>
  <c r="AD236" i="23" s="1"/>
  <c r="AI290" i="23"/>
  <c r="AH290" i="23" s="1"/>
  <c r="AG290" i="23" s="1"/>
  <c r="AF290" i="23" s="1"/>
  <c r="AD290" i="23" s="1"/>
  <c r="AI365" i="23"/>
  <c r="AH365" i="23" s="1"/>
  <c r="AG365" i="23" s="1"/>
  <c r="AF365" i="23" s="1"/>
  <c r="AD365" i="23" s="1"/>
  <c r="AI159" i="23"/>
  <c r="AH159" i="23" s="1"/>
  <c r="AG159" i="23" s="1"/>
  <c r="AF159" i="23" s="1"/>
  <c r="AD159" i="23" s="1"/>
  <c r="AI243" i="23"/>
  <c r="AH243" i="23" s="1"/>
  <c r="AG243" i="23" s="1"/>
  <c r="AF243" i="23" s="1"/>
  <c r="AD243" i="23" s="1"/>
  <c r="AI288" i="23"/>
  <c r="AH288" i="23" s="1"/>
  <c r="AG288" i="23" s="1"/>
  <c r="AF288" i="23" s="1"/>
  <c r="AD288" i="23" s="1"/>
  <c r="AI132" i="23"/>
  <c r="AH132" i="23" s="1"/>
  <c r="AG132" i="23" s="1"/>
  <c r="AF132" i="23" s="1"/>
  <c r="AD132" i="23" s="1"/>
  <c r="AI182" i="23"/>
  <c r="AH182" i="23" s="1"/>
  <c r="AG182" i="23" s="1"/>
  <c r="AF182" i="23" s="1"/>
  <c r="AD182" i="23" s="1"/>
  <c r="AI291" i="23"/>
  <c r="AH291" i="23" s="1"/>
  <c r="AG291" i="23" s="1"/>
  <c r="AF291" i="23" s="1"/>
  <c r="AD291" i="23" s="1"/>
  <c r="AI352" i="23"/>
  <c r="AH352" i="23" s="1"/>
  <c r="AG352" i="23" s="1"/>
  <c r="AF352" i="23" s="1"/>
  <c r="AD352" i="23" s="1"/>
  <c r="AI136" i="23"/>
  <c r="AH136" i="23" s="1"/>
  <c r="AG136" i="23" s="1"/>
  <c r="AF136" i="23" s="1"/>
  <c r="AD136" i="23" s="1"/>
  <c r="AI186" i="23"/>
  <c r="AH186" i="23" s="1"/>
  <c r="AG186" i="23" s="1"/>
  <c r="AF186" i="23" s="1"/>
  <c r="AD186" i="23" s="1"/>
  <c r="AI281" i="23"/>
  <c r="AH281" i="23" s="1"/>
  <c r="AG281" i="23" s="1"/>
  <c r="AF281" i="23" s="1"/>
  <c r="AD281" i="23" s="1"/>
  <c r="AI364" i="23"/>
  <c r="AH364" i="23" s="1"/>
  <c r="AG364" i="23" s="1"/>
  <c r="AF364" i="23" s="1"/>
  <c r="AD364" i="23" s="1"/>
  <c r="AI139" i="23"/>
  <c r="AH139" i="23" s="1"/>
  <c r="AG139" i="23" s="1"/>
  <c r="AF139" i="23" s="1"/>
  <c r="AD139" i="23" s="1"/>
  <c r="AI160" i="23"/>
  <c r="AH160" i="23" s="1"/>
  <c r="AG160" i="23" s="1"/>
  <c r="AF160" i="23" s="1"/>
  <c r="AD160" i="23" s="1"/>
  <c r="AI245" i="23"/>
  <c r="AH245" i="23" s="1"/>
  <c r="AG245" i="23" s="1"/>
  <c r="AF245" i="23" s="1"/>
  <c r="AD245" i="23" s="1"/>
  <c r="AI244" i="23"/>
  <c r="AH244" i="23" s="1"/>
  <c r="AG244" i="23" s="1"/>
  <c r="AF244" i="23" s="1"/>
  <c r="AD244" i="23" s="1"/>
  <c r="AI327" i="23"/>
  <c r="AH327" i="23" s="1"/>
  <c r="AG327" i="23" s="1"/>
  <c r="AF327" i="23" s="1"/>
  <c r="AD327" i="23" s="1"/>
  <c r="AI183" i="23"/>
  <c r="AH183" i="23" s="1"/>
  <c r="AG183" i="23" s="1"/>
  <c r="AF183" i="23" s="1"/>
  <c r="AD183" i="23" s="1"/>
  <c r="AI227" i="23"/>
  <c r="AH227" i="23" s="1"/>
  <c r="AG227" i="23" s="1"/>
  <c r="AF227" i="23" s="1"/>
  <c r="AD227" i="23" s="1"/>
  <c r="AI331" i="23"/>
  <c r="AH331" i="23" s="1"/>
  <c r="AG331" i="23" s="1"/>
  <c r="AF331" i="23" s="1"/>
  <c r="AD331" i="23" s="1"/>
  <c r="AI242" i="23"/>
  <c r="AH242" i="23" s="1"/>
  <c r="AG242" i="23" s="1"/>
  <c r="AF242" i="23" s="1"/>
  <c r="AD242" i="23" s="1"/>
  <c r="AI287" i="23"/>
  <c r="AH287" i="23" s="1"/>
  <c r="AG287" i="23" s="1"/>
  <c r="AF287" i="23" s="1"/>
  <c r="AD287" i="23" s="1"/>
  <c r="AI369" i="23"/>
  <c r="AH369" i="23" s="1"/>
  <c r="AG369" i="23" s="1"/>
  <c r="AF369" i="23" s="1"/>
  <c r="AD369" i="23" s="1"/>
  <c r="AI104" i="23"/>
  <c r="AH104" i="23" s="1"/>
  <c r="AG104" i="23" s="1"/>
  <c r="AF104" i="23" s="1"/>
  <c r="AD104" i="23" s="1"/>
  <c r="AI157" i="23"/>
  <c r="AH157" i="23" s="1"/>
  <c r="AG157" i="23" s="1"/>
  <c r="AF157" i="23" s="1"/>
  <c r="AD157" i="23" s="1"/>
  <c r="AI246" i="23"/>
  <c r="AH246" i="23" s="1"/>
  <c r="AG246" i="23" s="1"/>
  <c r="AF246" i="23" s="1"/>
  <c r="AD246" i="23" s="1"/>
  <c r="AI300" i="23"/>
  <c r="AH300" i="23" s="1"/>
  <c r="AG300" i="23" s="1"/>
  <c r="AF300" i="23" s="1"/>
  <c r="AD300" i="23" s="1"/>
  <c r="AI376" i="23"/>
  <c r="AH376" i="23" s="1"/>
  <c r="AG376" i="23" s="1"/>
  <c r="AF376" i="23" s="1"/>
  <c r="AD376" i="23" s="1"/>
  <c r="AI167" i="23"/>
  <c r="AH167" i="23" s="1"/>
  <c r="AG167" i="23" s="1"/>
  <c r="AF167" i="23" s="1"/>
  <c r="AD167" i="23" s="1"/>
  <c r="AI175" i="23"/>
  <c r="AH175" i="23" s="1"/>
  <c r="AG175" i="23" s="1"/>
  <c r="AF175" i="23" s="1"/>
  <c r="AD175" i="23" s="1"/>
  <c r="AI271" i="23"/>
  <c r="AH271" i="23" s="1"/>
  <c r="AG271" i="23" s="1"/>
  <c r="AF271" i="23" s="1"/>
  <c r="AD271" i="23" s="1"/>
  <c r="AI270" i="23"/>
  <c r="AH270" i="23" s="1"/>
  <c r="AG270" i="23" s="1"/>
  <c r="AF270" i="23" s="1"/>
  <c r="AD270" i="23" s="1"/>
  <c r="AI214" i="23"/>
  <c r="AH214" i="23" s="1"/>
  <c r="AG214" i="23" s="1"/>
  <c r="AF214" i="23" s="1"/>
  <c r="AD214" i="23" s="1"/>
  <c r="AI283" i="23"/>
  <c r="AH283" i="23" s="1"/>
  <c r="AG283" i="23" s="1"/>
  <c r="AF283" i="23" s="1"/>
  <c r="AD283" i="23" s="1"/>
  <c r="AI176" i="23"/>
  <c r="AH176" i="23" s="1"/>
  <c r="AG176" i="23" s="1"/>
  <c r="AF176" i="23" s="1"/>
  <c r="AD176" i="23" s="1"/>
  <c r="AI272" i="23"/>
  <c r="AH272" i="23" s="1"/>
  <c r="AG272" i="23" s="1"/>
  <c r="AF272" i="23" s="1"/>
  <c r="AD272" i="23" s="1"/>
  <c r="AI323" i="23"/>
  <c r="AH323" i="23" s="1"/>
  <c r="AG323" i="23" s="1"/>
  <c r="AF323" i="23" s="1"/>
  <c r="AD323" i="23" s="1"/>
  <c r="AI131" i="23"/>
  <c r="AH131" i="23" s="1"/>
  <c r="AG131" i="23" s="1"/>
  <c r="AF131" i="23" s="1"/>
  <c r="AD131" i="23" s="1"/>
  <c r="AI357" i="23"/>
  <c r="AH357" i="23" s="1"/>
  <c r="AG357" i="23" s="1"/>
  <c r="AF357" i="23" s="1"/>
  <c r="AD357" i="23" s="1"/>
  <c r="AI220" i="23"/>
  <c r="AH220" i="23" s="1"/>
  <c r="AG220" i="23" s="1"/>
  <c r="AF220" i="23" s="1"/>
  <c r="AD220" i="23" s="1"/>
  <c r="AI307" i="23"/>
  <c r="AH307" i="23" s="1"/>
  <c r="AG307" i="23" s="1"/>
  <c r="AF307" i="23" s="1"/>
  <c r="AD307" i="23" s="1"/>
  <c r="AI233" i="23"/>
  <c r="AH233" i="23" s="1"/>
  <c r="AG233" i="23" s="1"/>
  <c r="AF233" i="23" s="1"/>
  <c r="AD233" i="23" s="1"/>
  <c r="AI273" i="23"/>
  <c r="AH273" i="23" s="1"/>
  <c r="AG273" i="23" s="1"/>
  <c r="AF273" i="23" s="1"/>
  <c r="AD273" i="23" s="1"/>
  <c r="AI222" i="23"/>
  <c r="AH222" i="23" s="1"/>
  <c r="AG222" i="23" s="1"/>
  <c r="AF222" i="23" s="1"/>
  <c r="AD222" i="23" s="1"/>
  <c r="AI294" i="23"/>
  <c r="AH294" i="23" s="1"/>
  <c r="AG294" i="23" s="1"/>
  <c r="AF294" i="23" s="1"/>
  <c r="AD294" i="23" s="1"/>
  <c r="AI173" i="23"/>
  <c r="AH173" i="23" s="1"/>
  <c r="AG173" i="23" s="1"/>
  <c r="AF173" i="23" s="1"/>
  <c r="AD173" i="23" s="1"/>
  <c r="AI184" i="23"/>
  <c r="AH184" i="23" s="1"/>
  <c r="AG184" i="23" s="1"/>
  <c r="AF184" i="23" s="1"/>
  <c r="AD184" i="23" s="1"/>
  <c r="AI274" i="23"/>
  <c r="AH274" i="23" s="1"/>
  <c r="AG274" i="23" s="1"/>
  <c r="AF274" i="23" s="1"/>
  <c r="AD274" i="23" s="1"/>
  <c r="AI325" i="23"/>
  <c r="AH325" i="23" s="1"/>
  <c r="AG325" i="23" s="1"/>
  <c r="AF325" i="23" s="1"/>
  <c r="AD325" i="23" s="1"/>
  <c r="AI121" i="23"/>
  <c r="AH121" i="23" s="1"/>
  <c r="AG121" i="23" s="1"/>
  <c r="AF121" i="23" s="1"/>
  <c r="AD121" i="23" s="1"/>
  <c r="AI335" i="23"/>
  <c r="AH335" i="23" s="1"/>
  <c r="AG335" i="23" s="1"/>
  <c r="AF335" i="23" s="1"/>
  <c r="AD335" i="23" s="1"/>
  <c r="AI169" i="23"/>
  <c r="AH169" i="23" s="1"/>
  <c r="AG169" i="23" s="1"/>
  <c r="AF169" i="23" s="1"/>
  <c r="AD169" i="23" s="1"/>
  <c r="AI216" i="23"/>
  <c r="AH216" i="23" s="1"/>
  <c r="AG216" i="23" s="1"/>
  <c r="AF216" i="23" s="1"/>
  <c r="AD21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37" i="23"/>
  <c r="AH337" i="23" s="1"/>
  <c r="AG337" i="23" s="1"/>
  <c r="AF337" i="23" s="1"/>
  <c r="AD337" i="23" s="1"/>
  <c r="AI225" i="23"/>
  <c r="AH225" i="23" s="1"/>
  <c r="AG225" i="23" s="1"/>
  <c r="AF225" i="23" s="1"/>
  <c r="AD225" i="23" s="1"/>
  <c r="AI267" i="23"/>
  <c r="AH267" i="23" s="1"/>
  <c r="AG267" i="23" s="1"/>
  <c r="AF267" i="23" s="1"/>
  <c r="AD267" i="23" s="1"/>
  <c r="AI231" i="23"/>
  <c r="AH231" i="23" s="1"/>
  <c r="AG231" i="23" s="1"/>
  <c r="AF231" i="23" s="1"/>
  <c r="AD231" i="23" s="1"/>
  <c r="AI192" i="23"/>
  <c r="AH192" i="23" s="1"/>
  <c r="AG192" i="23" s="1"/>
  <c r="AF192" i="23" s="1"/>
  <c r="AD192" i="23" s="1"/>
  <c r="AI280" i="23"/>
  <c r="AH280" i="23" s="1"/>
  <c r="AG280" i="23" s="1"/>
  <c r="AF280" i="23" s="1"/>
  <c r="AI196" i="23"/>
  <c r="AH196" i="23" s="1"/>
  <c r="AG196" i="23" s="1"/>
  <c r="AF196" i="23" s="1"/>
  <c r="AD196" i="23" s="1"/>
  <c r="AI284" i="23"/>
  <c r="AH284" i="23" s="1"/>
  <c r="AG284" i="23" s="1"/>
  <c r="AF284" i="23" s="1"/>
  <c r="AD284" i="23" s="1"/>
  <c r="AI371" i="23"/>
  <c r="AH371" i="23" s="1"/>
  <c r="AG371" i="23" s="1"/>
  <c r="AF371" i="23" s="1"/>
  <c r="AD371" i="23" s="1"/>
  <c r="AI145" i="23"/>
  <c r="AH145" i="23" s="1"/>
  <c r="AG145" i="23" s="1"/>
  <c r="AF145" i="23" s="1"/>
  <c r="AD145" i="23" s="1"/>
  <c r="AI315" i="23"/>
  <c r="AH315" i="23" s="1"/>
  <c r="AG315" i="23" s="1"/>
  <c r="AF315" i="23" s="1"/>
  <c r="AD315" i="23" s="1"/>
  <c r="AI320" i="23"/>
  <c r="AH320" i="23" s="1"/>
  <c r="AG320" i="23" s="1"/>
  <c r="AF320" i="23" s="1"/>
  <c r="AD320" i="23" s="1"/>
  <c r="AI149" i="23"/>
  <c r="AH149" i="23" s="1"/>
  <c r="AG149" i="23" s="1"/>
  <c r="AF149" i="23" s="1"/>
  <c r="AD149" i="23" s="1"/>
  <c r="AI374" i="23"/>
  <c r="AH374" i="23" s="1"/>
  <c r="AG374" i="23" s="1"/>
  <c r="AF374" i="23" s="1"/>
  <c r="AD374" i="23" s="1"/>
  <c r="AI154" i="23"/>
  <c r="AH154" i="23" s="1"/>
  <c r="AG154" i="23" s="1"/>
  <c r="AF154" i="23" s="1"/>
  <c r="AI153" i="23"/>
  <c r="AH153" i="23" s="1"/>
  <c r="AG153" i="23" s="1"/>
  <c r="AF153" i="23" s="1"/>
  <c r="AI180" i="23"/>
  <c r="AH180" i="23" s="1"/>
  <c r="AG180" i="23" s="1"/>
  <c r="AF180" i="23" s="1"/>
  <c r="AD180" i="23" s="1"/>
  <c r="AI224" i="23"/>
  <c r="AH224" i="23" s="1"/>
  <c r="AG224" i="23" s="1"/>
  <c r="AF224" i="23" s="1"/>
  <c r="AD224" i="23" s="1"/>
  <c r="AI166" i="23"/>
  <c r="AH166" i="23" s="1"/>
  <c r="AG166" i="23" s="1"/>
  <c r="AF166" i="23" s="1"/>
  <c r="AD166" i="23" s="1"/>
  <c r="AI238" i="23"/>
  <c r="AH238" i="23" s="1"/>
  <c r="AG238" i="23" s="1"/>
  <c r="AF238" i="23" s="1"/>
  <c r="AD238" i="23" s="1"/>
  <c r="AI230" i="23"/>
  <c r="AH230" i="23" s="1"/>
  <c r="AG230" i="23" s="1"/>
  <c r="AF230" i="23" s="1"/>
  <c r="AD230" i="23" s="1"/>
  <c r="AI299" i="23"/>
  <c r="AH299" i="23" s="1"/>
  <c r="AG299" i="23" s="1"/>
  <c r="AF299" i="23" s="1"/>
  <c r="AD299" i="23" s="1"/>
  <c r="AI234" i="23"/>
  <c r="AH234" i="23" s="1"/>
  <c r="AG234" i="23" s="1"/>
  <c r="AF234" i="23" s="1"/>
  <c r="AD234" i="23" s="1"/>
  <c r="J316" i="22"/>
  <c r="J225" i="22"/>
  <c r="J189" i="22"/>
  <c r="I293" i="22"/>
  <c r="I201" i="22"/>
  <c r="AD280" i="23"/>
  <c r="AD153" i="23"/>
  <c r="AI308" i="23"/>
  <c r="AH308" i="23" s="1"/>
  <c r="AG308" i="23" s="1"/>
  <c r="AF308" i="23" s="1"/>
  <c r="AD308" i="23" s="1"/>
  <c r="AI223" i="23"/>
  <c r="AH223" i="23" s="1"/>
  <c r="AG223" i="23" s="1"/>
  <c r="AF223" i="23" s="1"/>
  <c r="AD223" i="23" s="1"/>
  <c r="AI143" i="23"/>
  <c r="AH143" i="23" s="1"/>
  <c r="AG143" i="23" s="1"/>
  <c r="AF143" i="23" s="1"/>
  <c r="AD143" i="23" s="1"/>
  <c r="AI372" i="23"/>
  <c r="AH372" i="23" s="1"/>
  <c r="AG372" i="23" s="1"/>
  <c r="AF372" i="23" s="1"/>
  <c r="AD372" i="23" s="1"/>
  <c r="AI303" i="23"/>
  <c r="AH303" i="23" s="1"/>
  <c r="AG303" i="23" s="1"/>
  <c r="AF303" i="23" s="1"/>
  <c r="AD303" i="23" s="1"/>
  <c r="AI207" i="23"/>
  <c r="AH207" i="23" s="1"/>
  <c r="AG207" i="23" s="1"/>
  <c r="AF207" i="23" s="1"/>
  <c r="AD207" i="23" s="1"/>
  <c r="AI156" i="23"/>
  <c r="AH156" i="23" s="1"/>
  <c r="AG156" i="23" s="1"/>
  <c r="AF156" i="23" s="1"/>
  <c r="AD156" i="23" s="1"/>
  <c r="AI360" i="23"/>
  <c r="AH360" i="23" s="1"/>
  <c r="AG360" i="23" s="1"/>
  <c r="AF360" i="23" s="1"/>
  <c r="AD360" i="23" s="1"/>
  <c r="AI297" i="23"/>
  <c r="AH297" i="23" s="1"/>
  <c r="AG297" i="23" s="1"/>
  <c r="AF297" i="23" s="1"/>
  <c r="AD297" i="23" s="1"/>
  <c r="AI163" i="23"/>
  <c r="AH163" i="23" s="1"/>
  <c r="AG163" i="23" s="1"/>
  <c r="AF163" i="23" s="1"/>
  <c r="AD163" i="23" s="1"/>
  <c r="AI112" i="23"/>
  <c r="AH112" i="23" s="1"/>
  <c r="AG112" i="23" s="1"/>
  <c r="AF112" i="23" s="1"/>
  <c r="AD112" i="23" s="1"/>
  <c r="AI298" i="23"/>
  <c r="AH298" i="23" s="1"/>
  <c r="AG298" i="23" s="1"/>
  <c r="AF298" i="23" s="1"/>
  <c r="AD298" i="23" s="1"/>
  <c r="AI250" i="23"/>
  <c r="AH250" i="23" s="1"/>
  <c r="AG250" i="23" s="1"/>
  <c r="AF250" i="23" s="1"/>
  <c r="AD250" i="23" s="1"/>
  <c r="AI165" i="23"/>
  <c r="AH165" i="23" s="1"/>
  <c r="AG165" i="23" s="1"/>
  <c r="AF165" i="23" s="1"/>
  <c r="AD165" i="23" s="1"/>
  <c r="AI106" i="23"/>
  <c r="AH106" i="23" s="1"/>
  <c r="AG106" i="23" s="1"/>
  <c r="AF106" i="23" s="1"/>
  <c r="AD106" i="23" s="1"/>
  <c r="AI321" i="23"/>
  <c r="AH321" i="23" s="1"/>
  <c r="AG321" i="23" s="1"/>
  <c r="AF321" i="23" s="1"/>
  <c r="AD321" i="23" s="1"/>
  <c r="AI302" i="23"/>
  <c r="AH302" i="23" s="1"/>
  <c r="AG302" i="23" s="1"/>
  <c r="AF302" i="23" s="1"/>
  <c r="AD302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114" i="23"/>
  <c r="AH114" i="23" s="1"/>
  <c r="AG114" i="23" s="1"/>
  <c r="AF114" i="23" s="1"/>
  <c r="AD114" i="23" s="1"/>
  <c r="AI336" i="23"/>
  <c r="AH336" i="23" s="1"/>
  <c r="AG336" i="23" s="1"/>
  <c r="AF336" i="23" s="1"/>
  <c r="AD336" i="23" s="1"/>
  <c r="AI248" i="23"/>
  <c r="AH248" i="23" s="1"/>
  <c r="AG248" i="23" s="1"/>
  <c r="AF248" i="23" s="1"/>
  <c r="AD248" i="23" s="1"/>
  <c r="AI211" i="23"/>
  <c r="AH211" i="23" s="1"/>
  <c r="AG211" i="23" s="1"/>
  <c r="AF211" i="23" s="1"/>
  <c r="AD211" i="23" s="1"/>
  <c r="AI109" i="23"/>
  <c r="AH109" i="23" s="1"/>
  <c r="AG109" i="23" s="1"/>
  <c r="AF109" i="23" s="1"/>
  <c r="AD109" i="23" s="1"/>
  <c r="AI347" i="23"/>
  <c r="AH347" i="23" s="1"/>
  <c r="AG347" i="23" s="1"/>
  <c r="AF347" i="23" s="1"/>
  <c r="AD347" i="23" s="1"/>
  <c r="AI241" i="23"/>
  <c r="AH241" i="23" s="1"/>
  <c r="AG241" i="23" s="1"/>
  <c r="AF241" i="23" s="1"/>
  <c r="AD241" i="23" s="1"/>
  <c r="AI204" i="23"/>
  <c r="AH204" i="23" s="1"/>
  <c r="AG204" i="23" s="1"/>
  <c r="AF204" i="23" s="1"/>
  <c r="AD204" i="23" s="1"/>
  <c r="AI111" i="23"/>
  <c r="AH111" i="23" s="1"/>
  <c r="AG111" i="23" s="1"/>
  <c r="AF111" i="23" s="1"/>
  <c r="AD111" i="23" s="1"/>
  <c r="AI361" i="23"/>
  <c r="AH361" i="23" s="1"/>
  <c r="AG361" i="23" s="1"/>
  <c r="AF361" i="23" s="1"/>
  <c r="AD361" i="23" s="1"/>
  <c r="AI301" i="23"/>
  <c r="AH301" i="23" s="1"/>
  <c r="AG301" i="23" s="1"/>
  <c r="AF301" i="23" s="1"/>
  <c r="AD301" i="23" s="1"/>
  <c r="AI210" i="23"/>
  <c r="AH210" i="23" s="1"/>
  <c r="AG210" i="23" s="1"/>
  <c r="AF210" i="23" s="1"/>
  <c r="AD210" i="23" s="1"/>
  <c r="AI138" i="23"/>
  <c r="AH138" i="23" s="1"/>
  <c r="AG138" i="23" s="1"/>
  <c r="AF138" i="23" s="1"/>
  <c r="AD138" i="23" s="1"/>
  <c r="AI363" i="23"/>
  <c r="AH363" i="23" s="1"/>
  <c r="AG363" i="23" s="1"/>
  <c r="AF363" i="23" s="1"/>
  <c r="AD363" i="23" s="1"/>
  <c r="AI293" i="23"/>
  <c r="AH293" i="23" s="1"/>
  <c r="AG293" i="23" s="1"/>
  <c r="AF293" i="23" s="1"/>
  <c r="AD293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107" i="23"/>
  <c r="AH107" i="23" s="1"/>
  <c r="AG107" i="23" s="1"/>
  <c r="AF107" i="23" s="1"/>
  <c r="AD107" i="23" s="1"/>
  <c r="AI316" i="23"/>
  <c r="AH316" i="23" s="1"/>
  <c r="AG316" i="23" s="1"/>
  <c r="AF316" i="23" s="1"/>
  <c r="AD316" i="23" s="1"/>
  <c r="AI262" i="23"/>
  <c r="AH262" i="23" s="1"/>
  <c r="AG262" i="23" s="1"/>
  <c r="AF262" i="23" s="1"/>
  <c r="AD262" i="23" s="1"/>
  <c r="AI158" i="23"/>
  <c r="AH158" i="23" s="1"/>
  <c r="AG158" i="23" s="1"/>
  <c r="AF158" i="23" s="1"/>
  <c r="AD158" i="23" s="1"/>
  <c r="AI105" i="23"/>
  <c r="AH105" i="23" s="1"/>
  <c r="AG105" i="23" s="1"/>
  <c r="AF105" i="23" s="1"/>
  <c r="AD105" i="23" s="1"/>
  <c r="AI306" i="23"/>
  <c r="AH306" i="23" s="1"/>
  <c r="AG306" i="23" s="1"/>
  <c r="AF306" i="23" s="1"/>
  <c r="AD306" i="23" s="1"/>
  <c r="AI257" i="23"/>
  <c r="AH257" i="23" s="1"/>
  <c r="AG257" i="23" s="1"/>
  <c r="AF257" i="23" s="1"/>
  <c r="AD257" i="23" s="1"/>
  <c r="AA257" i="23" s="1"/>
  <c r="Z257" i="23" s="1"/>
  <c r="Y257" i="23" s="1"/>
  <c r="AI172" i="23"/>
  <c r="AH172" i="23" s="1"/>
  <c r="AG172" i="23" s="1"/>
  <c r="AF172" i="23" s="1"/>
  <c r="AD172" i="23" s="1"/>
  <c r="AI309" i="23"/>
  <c r="AH309" i="23" s="1"/>
  <c r="AG309" i="23" s="1"/>
  <c r="AF309" i="23" s="1"/>
  <c r="AD309" i="23" s="1"/>
  <c r="AI206" i="23"/>
  <c r="AH206" i="23" s="1"/>
  <c r="AG206" i="23" s="1"/>
  <c r="AF206" i="23" s="1"/>
  <c r="AD206" i="23" s="1"/>
  <c r="AI113" i="23"/>
  <c r="AH113" i="23" s="1"/>
  <c r="AG113" i="23" s="1"/>
  <c r="AF113" i="23" s="1"/>
  <c r="AD113" i="23" s="1"/>
  <c r="AI328" i="23"/>
  <c r="AH328" i="23" s="1"/>
  <c r="AG328" i="23" s="1"/>
  <c r="AF328" i="23" s="1"/>
  <c r="AD328" i="23" s="1"/>
  <c r="AI247" i="23"/>
  <c r="AH247" i="23" s="1"/>
  <c r="AG247" i="23" s="1"/>
  <c r="AF247" i="23" s="1"/>
  <c r="AD247" i="23" s="1"/>
  <c r="AI200" i="23"/>
  <c r="AH200" i="23" s="1"/>
  <c r="AG200" i="23" s="1"/>
  <c r="AF200" i="23" s="1"/>
  <c r="AD200" i="23" s="1"/>
  <c r="AI304" i="23"/>
  <c r="AH304" i="23" s="1"/>
  <c r="AG304" i="23" s="1"/>
  <c r="AF304" i="23" s="1"/>
  <c r="AD304" i="23" s="1"/>
  <c r="AI256" i="23"/>
  <c r="AH256" i="23" s="1"/>
  <c r="AG256" i="23" s="1"/>
  <c r="AF256" i="23" s="1"/>
  <c r="AD256" i="23" s="1"/>
  <c r="AI202" i="23"/>
  <c r="AH202" i="23" s="1"/>
  <c r="AG202" i="23" s="1"/>
  <c r="AF202" i="23" s="1"/>
  <c r="AD202" i="23" s="1"/>
  <c r="AI148" i="23"/>
  <c r="AH148" i="23" s="1"/>
  <c r="AG148" i="23" s="1"/>
  <c r="AF148" i="23" s="1"/>
  <c r="AD148" i="23" s="1"/>
  <c r="AI354" i="23"/>
  <c r="AH354" i="23" s="1"/>
  <c r="AG354" i="23" s="1"/>
  <c r="AF354" i="23" s="1"/>
  <c r="AD354" i="23" s="1"/>
  <c r="AI292" i="23"/>
  <c r="AH292" i="23" s="1"/>
  <c r="AG292" i="23" s="1"/>
  <c r="AF292" i="23" s="1"/>
  <c r="AD292" i="23" s="1"/>
  <c r="AI203" i="23"/>
  <c r="AH203" i="23" s="1"/>
  <c r="AG203" i="23" s="1"/>
  <c r="AF203" i="23" s="1"/>
  <c r="AD203" i="23" s="1"/>
  <c r="AI142" i="23"/>
  <c r="AH142" i="23" s="1"/>
  <c r="AG142" i="23" s="1"/>
  <c r="AF142" i="23" s="1"/>
  <c r="AD142" i="23" s="1"/>
  <c r="AI370" i="23"/>
  <c r="AH370" i="23" s="1"/>
  <c r="AG370" i="23" s="1"/>
  <c r="AF370" i="23" s="1"/>
  <c r="AD370" i="23" s="1"/>
  <c r="AI286" i="23"/>
  <c r="AH286" i="23" s="1"/>
  <c r="AG286" i="23" s="1"/>
  <c r="AF286" i="23" s="1"/>
  <c r="AD286" i="23" s="1"/>
  <c r="AI198" i="23"/>
  <c r="AH198" i="23" s="1"/>
  <c r="AG198" i="23" s="1"/>
  <c r="AF198" i="23" s="1"/>
  <c r="AD198" i="23" s="1"/>
  <c r="AI311" i="23"/>
  <c r="AH311" i="23" s="1"/>
  <c r="AG311" i="23" s="1"/>
  <c r="AF311" i="23" s="1"/>
  <c r="AD311" i="23" s="1"/>
  <c r="AI240" i="23"/>
  <c r="AH240" i="23" s="1"/>
  <c r="AG240" i="23" s="1"/>
  <c r="AF240" i="23" s="1"/>
  <c r="AD240" i="23" s="1"/>
  <c r="AI151" i="23"/>
  <c r="AH151" i="23" s="1"/>
  <c r="AG151" i="23" s="1"/>
  <c r="AF151" i="23" s="1"/>
  <c r="AD151" i="23" s="1"/>
  <c r="AI378" i="23"/>
  <c r="AH378" i="23" s="1"/>
  <c r="AG378" i="23" s="1"/>
  <c r="AF378" i="23" s="1"/>
  <c r="AD378" i="23" s="1"/>
  <c r="AI296" i="23"/>
  <c r="AH296" i="23" s="1"/>
  <c r="AG296" i="23" s="1"/>
  <c r="AF296" i="23" s="1"/>
  <c r="AD296" i="23" s="1"/>
  <c r="AI249" i="23"/>
  <c r="AH249" i="23" s="1"/>
  <c r="AG249" i="23" s="1"/>
  <c r="AF249" i="23" s="1"/>
  <c r="AD249" i="23" s="1"/>
  <c r="AI195" i="23"/>
  <c r="AH195" i="23" s="1"/>
  <c r="AG195" i="23" s="1"/>
  <c r="AF195" i="23" s="1"/>
  <c r="AD195" i="23" s="1"/>
  <c r="AI141" i="23"/>
  <c r="AH141" i="23" s="1"/>
  <c r="AG141" i="23" s="1"/>
  <c r="AF141" i="23" s="1"/>
  <c r="AD141" i="23" s="1"/>
  <c r="AI341" i="23"/>
  <c r="AH341" i="23" s="1"/>
  <c r="AG341" i="23" s="1"/>
  <c r="AF341" i="23" s="1"/>
  <c r="AD341" i="23" s="1"/>
  <c r="AI264" i="23"/>
  <c r="AH264" i="23" s="1"/>
  <c r="AG264" i="23" s="1"/>
  <c r="AF264" i="23" s="1"/>
  <c r="AD264" i="23" s="1"/>
  <c r="AI197" i="23"/>
  <c r="AH197" i="23" s="1"/>
  <c r="AG197" i="23" s="1"/>
  <c r="AF197" i="23" s="1"/>
  <c r="AD197" i="23" s="1"/>
  <c r="AI334" i="23"/>
  <c r="AH334" i="23" s="1"/>
  <c r="AG334" i="23" s="1"/>
  <c r="AF334" i="23" s="1"/>
  <c r="AD334" i="23" s="1"/>
  <c r="AI255" i="23"/>
  <c r="AH255" i="23" s="1"/>
  <c r="AG255" i="23" s="1"/>
  <c r="AF255" i="23" s="1"/>
  <c r="AD255" i="23" s="1"/>
  <c r="AI189" i="23"/>
  <c r="AH189" i="23" s="1"/>
  <c r="AG189" i="23" s="1"/>
  <c r="AF189" i="23" s="1"/>
  <c r="AD189" i="23" s="1"/>
  <c r="AI289" i="23"/>
  <c r="AH289" i="23" s="1"/>
  <c r="AG289" i="23" s="1"/>
  <c r="AF289" i="23" s="1"/>
  <c r="AD289" i="23" s="1"/>
  <c r="AI194" i="23"/>
  <c r="AH194" i="23" s="1"/>
  <c r="AG194" i="23" s="1"/>
  <c r="AF194" i="23" s="1"/>
  <c r="AD194" i="23" s="1"/>
  <c r="AA194" i="23" s="1"/>
  <c r="Z194" i="23" s="1"/>
  <c r="Y194" i="23" s="1"/>
  <c r="AI140" i="23"/>
  <c r="AH140" i="23" s="1"/>
  <c r="AG140" i="23" s="1"/>
  <c r="AF140" i="23" s="1"/>
  <c r="AD140" i="23" s="1"/>
  <c r="AI342" i="23"/>
  <c r="AH342" i="23" s="1"/>
  <c r="AG342" i="23" s="1"/>
  <c r="AF342" i="23" s="1"/>
  <c r="AD342" i="23" s="1"/>
  <c r="AI282" i="23"/>
  <c r="AH282" i="23" s="1"/>
  <c r="AG282" i="23" s="1"/>
  <c r="AF282" i="23" s="1"/>
  <c r="AD282" i="23" s="1"/>
  <c r="AI188" i="23"/>
  <c r="AH188" i="23" s="1"/>
  <c r="AG188" i="23" s="1"/>
  <c r="AF188" i="23" s="1"/>
  <c r="AD188" i="23" s="1"/>
  <c r="AI137" i="23"/>
  <c r="AH137" i="23" s="1"/>
  <c r="AG137" i="23" s="1"/>
  <c r="AF137" i="23" s="1"/>
  <c r="AD137" i="23" s="1"/>
  <c r="AI332" i="23"/>
  <c r="AH332" i="23" s="1"/>
  <c r="AG332" i="23" s="1"/>
  <c r="AF332" i="23" s="1"/>
  <c r="AD332" i="23" s="1"/>
  <c r="AI252" i="23"/>
  <c r="AH252" i="23" s="1"/>
  <c r="AG252" i="23" s="1"/>
  <c r="AF252" i="23" s="1"/>
  <c r="AD252" i="23" s="1"/>
  <c r="AI253" i="23"/>
  <c r="AH253" i="23" s="1"/>
  <c r="AG253" i="23" s="1"/>
  <c r="AF253" i="23" s="1"/>
  <c r="AD253" i="23" s="1"/>
  <c r="AE381" i="23"/>
  <c r="AE383" i="23"/>
  <c r="AE382" i="23"/>
  <c r="AC242" i="25"/>
  <c r="AC294" i="25"/>
  <c r="AC197" i="25"/>
  <c r="AC221" i="25"/>
  <c r="AC238" i="25"/>
  <c r="AC378" i="25"/>
  <c r="AC337" i="25"/>
  <c r="AC140" i="25"/>
  <c r="AC352" i="25"/>
  <c r="AC176" i="25"/>
  <c r="AC203" i="25"/>
  <c r="AC308" i="25"/>
  <c r="AC291" i="25"/>
  <c r="AC318" i="25"/>
  <c r="AC269" i="25"/>
  <c r="AC150" i="25"/>
  <c r="AC134" i="25"/>
  <c r="AC195" i="25"/>
  <c r="AC267" i="25"/>
  <c r="AC228" i="25"/>
  <c r="AC141" i="25"/>
  <c r="AC165" i="25"/>
  <c r="AC143" i="25"/>
  <c r="AC356" i="25"/>
  <c r="AC215" i="25"/>
  <c r="AC310" i="25"/>
  <c r="AC253" i="25"/>
  <c r="AC327" i="25"/>
  <c r="AC311" i="25"/>
  <c r="AC285" i="25"/>
  <c r="AC319" i="25"/>
  <c r="AC241" i="25"/>
  <c r="AC259" i="25"/>
  <c r="AC309" i="25"/>
  <c r="AC322" i="25"/>
  <c r="AC154" i="25"/>
  <c r="AC313" i="25"/>
  <c r="AC181" i="25"/>
  <c r="AC172" i="25"/>
  <c r="AC359" i="25"/>
  <c r="AC249" i="25"/>
  <c r="AC147" i="25"/>
  <c r="AC367" i="25"/>
  <c r="AC237" i="25"/>
  <c r="AC254" i="25"/>
  <c r="AC178" i="25"/>
  <c r="AC280" i="25"/>
  <c r="AC283" i="25"/>
  <c r="AC173" i="25"/>
  <c r="AC256" i="25"/>
  <c r="AC284" i="25"/>
  <c r="AC158" i="25"/>
  <c r="AC286" i="25"/>
  <c r="AC149" i="25"/>
  <c r="AC336" i="25"/>
  <c r="AC217" i="25"/>
  <c r="AC363" i="25"/>
  <c r="AC250" i="25"/>
  <c r="AC153" i="25"/>
  <c r="AC229" i="25"/>
  <c r="AC193" i="25"/>
  <c r="AC157" i="25"/>
  <c r="AC360" i="25"/>
  <c r="AC216" i="25"/>
  <c r="AC271" i="25"/>
  <c r="AC234" i="25"/>
  <c r="AC330" i="25"/>
  <c r="AC315" i="25"/>
  <c r="AC239" i="25"/>
  <c r="AC306" i="25"/>
  <c r="AC370" i="25"/>
  <c r="AC219" i="25"/>
  <c r="AC366" i="25"/>
  <c r="AC233" i="25"/>
  <c r="AC244" i="25"/>
  <c r="AC182" i="25"/>
  <c r="AC369" i="25"/>
  <c r="AC160" i="25"/>
  <c r="AC275" i="25"/>
  <c r="AC231" i="25"/>
  <c r="AC180" i="25"/>
  <c r="AC230" i="25"/>
  <c r="AC261" i="25"/>
  <c r="AC213" i="25"/>
  <c r="AC218" i="25"/>
  <c r="AC205" i="25"/>
  <c r="AC243" i="25"/>
  <c r="AC282" i="25"/>
  <c r="AC341" i="25"/>
  <c r="AC164" i="25"/>
  <c r="AC191" i="25"/>
  <c r="AC174" i="25"/>
  <c r="AC371" i="25"/>
  <c r="AC251" i="25"/>
  <c r="AC190" i="25"/>
  <c r="AC214" i="25"/>
  <c r="AC168" i="25"/>
  <c r="AC236" i="25"/>
  <c r="AC200" i="25"/>
  <c r="AC248" i="25"/>
  <c r="AC204" i="25"/>
  <c r="AC321" i="25"/>
  <c r="AC317" i="25"/>
  <c r="AC161" i="25"/>
  <c r="AC209" i="25"/>
  <c r="AC276" i="25"/>
  <c r="AC298" i="25"/>
  <c r="AC145" i="25"/>
  <c r="AC167" i="25"/>
  <c r="AC339" i="25"/>
  <c r="AC272" i="25"/>
  <c r="AC302" i="25"/>
  <c r="AC169" i="25"/>
  <c r="AC245" i="25"/>
  <c r="AC376" i="25"/>
  <c r="AC148" i="25"/>
  <c r="AC279" i="25"/>
  <c r="AC266" i="25"/>
  <c r="AC136" i="25"/>
  <c r="AC137" i="25"/>
  <c r="AC335" i="25"/>
  <c r="AC210" i="25"/>
  <c r="AC188" i="25"/>
  <c r="AC354" i="25"/>
  <c r="AC151" i="25"/>
  <c r="AC139" i="25"/>
  <c r="AC222" i="25"/>
  <c r="AC379" i="25"/>
  <c r="AC265" i="25"/>
  <c r="AC289" i="25"/>
  <c r="AC375" i="25"/>
  <c r="AC185" i="25"/>
  <c r="AC207" i="25"/>
  <c r="AC152" i="25"/>
  <c r="AC192" i="25"/>
  <c r="AC307" i="25"/>
  <c r="AC292" i="25"/>
  <c r="AC227" i="25"/>
  <c r="AC323" i="25"/>
  <c r="AC171" i="25"/>
  <c r="AC220" i="25"/>
  <c r="AC208" i="25"/>
  <c r="AC247" i="25"/>
  <c r="AC340" i="25"/>
  <c r="AC347" i="25"/>
  <c r="AC224" i="25"/>
  <c r="AC281" i="25"/>
  <c r="AC163" i="25"/>
  <c r="AC235" i="25"/>
  <c r="AC346" i="25"/>
  <c r="AC351" i="25"/>
  <c r="AC184" i="25"/>
  <c r="AC223" i="25"/>
  <c r="AC295" i="25"/>
  <c r="AC372" i="25"/>
  <c r="AC175" i="25"/>
  <c r="AC196" i="25"/>
  <c r="AC263" i="25"/>
  <c r="AC159" i="25"/>
  <c r="AC338" i="25"/>
  <c r="AC344" i="25"/>
  <c r="AC320" i="25"/>
  <c r="AC179" i="25"/>
  <c r="AC199" i="25"/>
  <c r="AC303" i="25"/>
  <c r="AC262" i="25"/>
  <c r="AC373" i="25"/>
  <c r="AC240" i="25"/>
  <c r="AC189" i="25"/>
  <c r="AC305" i="25"/>
  <c r="AC357" i="25"/>
  <c r="AC314" i="25"/>
  <c r="AC316" i="25"/>
  <c r="AC368" i="25"/>
  <c r="AC246" i="25"/>
  <c r="AC268" i="25"/>
  <c r="AC135" i="25"/>
  <c r="AC142" i="25"/>
  <c r="AC296" i="25"/>
  <c r="AC156" i="25"/>
  <c r="AC299" i="25"/>
  <c r="AC278" i="25"/>
  <c r="AC274" i="25"/>
  <c r="AC374" i="25"/>
  <c r="AC290" i="25"/>
  <c r="AC353" i="25"/>
  <c r="AC324" i="25"/>
  <c r="AC297" i="25"/>
  <c r="AC226" i="25"/>
  <c r="AC300" i="25"/>
  <c r="AC301" i="25"/>
  <c r="AC293" i="25"/>
  <c r="AC155" i="25"/>
  <c r="AC206" i="25"/>
  <c r="AC364" i="25"/>
  <c r="AC202" i="25"/>
  <c r="AC146" i="25"/>
  <c r="AC355" i="25"/>
  <c r="AC362" i="25"/>
  <c r="AC186" i="25"/>
  <c r="AC304" i="25"/>
  <c r="AC144" i="25"/>
  <c r="AC162" i="25"/>
  <c r="AC273" i="25"/>
  <c r="AC312" i="25"/>
  <c r="AC333" i="25"/>
  <c r="AC166" i="25"/>
  <c r="AC270" i="25"/>
  <c r="AC138" i="25"/>
  <c r="AC211" i="25"/>
  <c r="AC331" i="25"/>
  <c r="AC258" i="25"/>
  <c r="AC342" i="25"/>
  <c r="AC177" i="25"/>
  <c r="AC325" i="25"/>
  <c r="AC332" i="25"/>
  <c r="AC252" i="25"/>
  <c r="AC170" i="25"/>
  <c r="AC212" i="25"/>
  <c r="AC361" i="25"/>
  <c r="AC326" i="25"/>
  <c r="AC194" i="25"/>
  <c r="AC287" i="25"/>
  <c r="AC187" i="25"/>
  <c r="AC345" i="25"/>
  <c r="AC377" i="25"/>
  <c r="AC232" i="25"/>
  <c r="AC350" i="25"/>
  <c r="AC328" i="25"/>
  <c r="AC277" i="25"/>
  <c r="AC365" i="25"/>
  <c r="AC358" i="25"/>
  <c r="AC183" i="25"/>
  <c r="AC225" i="25"/>
  <c r="AC349" i="25"/>
  <c r="AC329" i="25"/>
  <c r="AC201" i="25"/>
  <c r="AC264" i="25"/>
  <c r="AC343" i="25"/>
  <c r="AC255" i="25"/>
  <c r="AC257" i="25"/>
  <c r="AC334" i="25"/>
  <c r="AC260" i="25"/>
  <c r="AC348" i="25"/>
  <c r="AC288" i="25"/>
  <c r="AC198" i="25"/>
  <c r="O219" i="25"/>
  <c r="O347" i="25"/>
  <c r="O282" i="25"/>
  <c r="O364" i="25"/>
  <c r="O190" i="25"/>
  <c r="O262" i="25"/>
  <c r="O292" i="25"/>
  <c r="O148" i="25"/>
  <c r="O350" i="25"/>
  <c r="O367" i="25"/>
  <c r="O288" i="25"/>
  <c r="O315" i="25"/>
  <c r="O293" i="25"/>
  <c r="O263" i="25"/>
  <c r="O297" i="25"/>
  <c r="O369" i="25"/>
  <c r="O373" i="25"/>
  <c r="O240" i="25"/>
  <c r="O164" i="25"/>
  <c r="O316" i="25"/>
  <c r="O172" i="25"/>
  <c r="O207" i="25"/>
  <c r="O224" i="25"/>
  <c r="O200" i="25"/>
  <c r="O252" i="25"/>
  <c r="O281" i="25"/>
  <c r="O144" i="25"/>
  <c r="O158" i="25"/>
  <c r="O342" i="25"/>
  <c r="O251" i="25"/>
  <c r="O317" i="25"/>
  <c r="O319" i="25"/>
  <c r="O135" i="25"/>
  <c r="O161" i="25"/>
  <c r="O337" i="25"/>
  <c r="O320" i="25"/>
  <c r="O185" i="25"/>
  <c r="O268" i="25"/>
  <c r="O362" i="25"/>
  <c r="O285" i="25"/>
  <c r="O203" i="25"/>
  <c r="O333" i="25"/>
  <c r="AG78" i="7" s="1"/>
  <c r="O312" i="25"/>
  <c r="O360" i="25"/>
  <c r="O201" i="25"/>
  <c r="O376" i="25"/>
  <c r="O152" i="25"/>
  <c r="O232" i="25"/>
  <c r="O142" i="25"/>
  <c r="O334" i="25"/>
  <c r="O270" i="25"/>
  <c r="O184" i="25"/>
  <c r="O352" i="25"/>
  <c r="BE13" i="7"/>
  <c r="O299" i="25"/>
  <c r="O271" i="25"/>
  <c r="O260" i="25"/>
  <c r="O151" i="25"/>
  <c r="O256" i="25"/>
  <c r="O358" i="25"/>
  <c r="O205" i="25"/>
  <c r="O287" i="25"/>
  <c r="O174" i="25"/>
  <c r="O280" i="25"/>
  <c r="O145" i="25"/>
  <c r="O143" i="25"/>
  <c r="O179" i="25"/>
  <c r="O162" i="25"/>
  <c r="O163" i="25"/>
  <c r="O284" i="25"/>
  <c r="O242" i="25"/>
  <c r="O189" i="25"/>
  <c r="O217" i="25"/>
  <c r="O272" i="25"/>
  <c r="AG76" i="7" s="1"/>
  <c r="O258" i="25"/>
  <c r="O221" i="25"/>
  <c r="O175" i="25"/>
  <c r="O357" i="25"/>
  <c r="O303" i="25"/>
  <c r="O222" i="25"/>
  <c r="O180" i="25"/>
  <c r="AG73" i="7" s="1"/>
  <c r="O325" i="25"/>
  <c r="O322" i="25"/>
  <c r="O313" i="25"/>
  <c r="O353" i="25"/>
  <c r="O245" i="25"/>
  <c r="O147" i="25"/>
  <c r="O198" i="25"/>
  <c r="O193" i="25"/>
  <c r="O336" i="25"/>
  <c r="O331" i="25"/>
  <c r="O227" i="25"/>
  <c r="O291" i="25"/>
  <c r="O239" i="25"/>
  <c r="O208" i="25"/>
  <c r="O169" i="25"/>
  <c r="O154" i="25"/>
  <c r="O265" i="25"/>
  <c r="O321" i="25"/>
  <c r="O318" i="25"/>
  <c r="O261" i="25"/>
  <c r="O188" i="25"/>
  <c r="O136" i="25"/>
  <c r="O298" i="25"/>
  <c r="O323" i="25"/>
  <c r="O250" i="25"/>
  <c r="O209" i="25"/>
  <c r="O378" i="25"/>
  <c r="O343" i="25"/>
  <c r="O236" i="25"/>
  <c r="O178" i="25"/>
  <c r="O294" i="25"/>
  <c r="O340" i="25"/>
  <c r="O377" i="25"/>
  <c r="O181" i="25"/>
  <c r="O361" i="25"/>
  <c r="O220" i="25"/>
  <c r="O246" i="25"/>
  <c r="O211" i="25"/>
  <c r="O213" i="25"/>
  <c r="O327" i="25"/>
  <c r="O289" i="25"/>
  <c r="O247" i="25"/>
  <c r="O249" i="25"/>
  <c r="O349" i="25"/>
  <c r="O374" i="25"/>
  <c r="O234" i="25"/>
  <c r="O368" i="25"/>
  <c r="O231" i="25"/>
  <c r="O371" i="25"/>
  <c r="O304" i="25"/>
  <c r="O237" i="25"/>
  <c r="O310" i="25"/>
  <c r="O277" i="25"/>
  <c r="O199" i="25"/>
  <c r="O338" i="25"/>
  <c r="O233" i="25"/>
  <c r="O146" i="25"/>
  <c r="O372" i="25"/>
  <c r="O305" i="25"/>
  <c r="O241" i="25"/>
  <c r="AG75" i="7" s="1"/>
  <c r="O351" i="25"/>
  <c r="O196" i="25"/>
  <c r="O314" i="25"/>
  <c r="O335" i="25"/>
  <c r="O228" i="25"/>
  <c r="O296" i="25"/>
  <c r="O229" i="25"/>
  <c r="O257" i="25"/>
  <c r="O363" i="25"/>
  <c r="AG79" i="7" s="1"/>
  <c r="O332" i="25"/>
  <c r="O170" i="25"/>
  <c r="O165" i="25"/>
  <c r="O308" i="25"/>
  <c r="O166" i="25"/>
  <c r="O149" i="25"/>
  <c r="AG72" i="7" s="1"/>
  <c r="O274" i="25"/>
  <c r="O278" i="25"/>
  <c r="O218" i="25"/>
  <c r="O266" i="25"/>
  <c r="O216" i="25"/>
  <c r="O283" i="25"/>
  <c r="O286" i="25"/>
  <c r="O295" i="25"/>
  <c r="O375" i="25"/>
  <c r="O167" i="25"/>
  <c r="O259" i="25"/>
  <c r="O269" i="25"/>
  <c r="O311" i="25"/>
  <c r="O177" i="25"/>
  <c r="O366" i="25"/>
  <c r="O168" i="25"/>
  <c r="O348" i="25"/>
  <c r="O344" i="25"/>
  <c r="O171" i="25"/>
  <c r="O173" i="25"/>
  <c r="O279" i="25"/>
  <c r="O275" i="25"/>
  <c r="O159" i="25"/>
  <c r="O214" i="25"/>
  <c r="O301" i="25"/>
  <c r="O307" i="25"/>
  <c r="O215" i="25"/>
  <c r="O206" i="25"/>
  <c r="O195" i="25"/>
  <c r="O192" i="25"/>
  <c r="O186" i="25"/>
  <c r="O302" i="25"/>
  <c r="AG77" i="7" s="1"/>
  <c r="O276" i="25"/>
  <c r="O225" i="25"/>
  <c r="O328" i="25"/>
  <c r="O160" i="25"/>
  <c r="O273" i="25"/>
  <c r="O140" i="25"/>
  <c r="O359" i="25"/>
  <c r="O187" i="25"/>
  <c r="O329" i="25"/>
  <c r="O267" i="25"/>
  <c r="O212" i="25"/>
  <c r="O197" i="25"/>
  <c r="O339" i="25"/>
  <c r="O300" i="25"/>
  <c r="O150" i="25"/>
  <c r="O238" i="25"/>
  <c r="O204" i="25"/>
  <c r="O370" i="25"/>
  <c r="O309" i="25"/>
  <c r="O183" i="25"/>
  <c r="O134" i="25"/>
  <c r="O223" i="25"/>
  <c r="O141" i="25"/>
  <c r="O230" i="25"/>
  <c r="O253" i="25"/>
  <c r="O137" i="25"/>
  <c r="O226" i="25"/>
  <c r="O244" i="25"/>
  <c r="O194" i="25"/>
  <c r="O156" i="25"/>
  <c r="O210" i="25"/>
  <c r="AG74" i="7" s="1"/>
  <c r="O365" i="25"/>
  <c r="O153" i="25"/>
  <c r="O356" i="25"/>
  <c r="O264" i="25"/>
  <c r="O157" i="25"/>
  <c r="O138" i="25"/>
  <c r="O326" i="25"/>
  <c r="O354" i="25"/>
  <c r="O306" i="25"/>
  <c r="O346" i="25"/>
  <c r="O176" i="25"/>
  <c r="O330" i="25"/>
  <c r="O155" i="25"/>
  <c r="O379" i="25"/>
  <c r="C44" i="19" s="1"/>
  <c r="C33" i="19" s="1"/>
  <c r="O355" i="25"/>
  <c r="O254" i="25"/>
  <c r="O290" i="25"/>
  <c r="O243" i="25"/>
  <c r="O139" i="25"/>
  <c r="O191" i="25"/>
  <c r="O345" i="25"/>
  <c r="O341" i="25"/>
  <c r="O248" i="25"/>
  <c r="O182" i="25"/>
  <c r="O255" i="25"/>
  <c r="O235" i="25"/>
  <c r="O202" i="25"/>
  <c r="O324" i="25"/>
  <c r="O111" i="25"/>
  <c r="O19" i="25"/>
  <c r="O127" i="25"/>
  <c r="O77" i="25"/>
  <c r="O17" i="25"/>
  <c r="O21" i="25"/>
  <c r="O49" i="25"/>
  <c r="O66" i="25"/>
  <c r="O130" i="25"/>
  <c r="O103" i="25"/>
  <c r="O15" i="25"/>
  <c r="O132" i="25"/>
  <c r="O92" i="25"/>
  <c r="O59" i="25"/>
  <c r="O40" i="25"/>
  <c r="O58" i="25"/>
  <c r="O35" i="25"/>
  <c r="O36" i="25"/>
  <c r="O45" i="25"/>
  <c r="O90" i="25"/>
  <c r="O100" i="25"/>
  <c r="O20" i="25"/>
  <c r="O124" i="25"/>
  <c r="O107" i="25"/>
  <c r="O16" i="25"/>
  <c r="O128" i="25"/>
  <c r="O68" i="25"/>
  <c r="O39" i="25"/>
  <c r="O88" i="25"/>
  <c r="AG70" i="7" s="1"/>
  <c r="O41" i="25"/>
  <c r="O126" i="25"/>
  <c r="O52" i="25"/>
  <c r="O64" i="25"/>
  <c r="O121" i="25"/>
  <c r="O86" i="25"/>
  <c r="O47" i="25"/>
  <c r="O42" i="25"/>
  <c r="O106" i="25"/>
  <c r="O85" i="25"/>
  <c r="O98" i="25"/>
  <c r="O37" i="25"/>
  <c r="O48" i="25"/>
  <c r="O104" i="25"/>
  <c r="O102" i="25"/>
  <c r="O109" i="25"/>
  <c r="O79" i="25"/>
  <c r="O118" i="25"/>
  <c r="O32" i="25"/>
  <c r="O83" i="25"/>
  <c r="O112" i="25"/>
  <c r="O54" i="25"/>
  <c r="O119" i="25"/>
  <c r="AG71" i="7" s="1"/>
  <c r="O108" i="25"/>
  <c r="O55" i="25"/>
  <c r="O18" i="25"/>
  <c r="O33" i="25"/>
  <c r="O34" i="25"/>
  <c r="O31" i="25"/>
  <c r="O74" i="25"/>
  <c r="O57" i="25"/>
  <c r="O78" i="25"/>
  <c r="O27" i="25"/>
  <c r="O125" i="25"/>
  <c r="O105" i="25"/>
  <c r="O89" i="25"/>
  <c r="O44" i="25"/>
  <c r="O71" i="25"/>
  <c r="O101" i="25"/>
  <c r="O60" i="25"/>
  <c r="AG69" i="7" s="1"/>
  <c r="O28" i="25"/>
  <c r="O65" i="25"/>
  <c r="O131" i="25"/>
  <c r="O97" i="25"/>
  <c r="O129" i="25"/>
  <c r="O80" i="25"/>
  <c r="O72" i="25"/>
  <c r="O29" i="25"/>
  <c r="AG68" i="7" s="1"/>
  <c r="O91" i="25"/>
  <c r="O95" i="25"/>
  <c r="O61" i="25"/>
  <c r="O22" i="25"/>
  <c r="O51" i="25"/>
  <c r="O115" i="25"/>
  <c r="O67" i="25"/>
  <c r="O62" i="25"/>
  <c r="O110" i="25"/>
  <c r="O114" i="25"/>
  <c r="O84" i="25"/>
  <c r="O116" i="25"/>
  <c r="O70" i="25"/>
  <c r="O25" i="25"/>
  <c r="O76" i="25"/>
  <c r="O81" i="25"/>
  <c r="O96" i="25"/>
  <c r="O56" i="25"/>
  <c r="O133" i="25"/>
  <c r="O46" i="25"/>
  <c r="O69" i="25"/>
  <c r="O43" i="25"/>
  <c r="O117" i="25"/>
  <c r="O94" i="25"/>
  <c r="O26" i="25"/>
  <c r="O23" i="25"/>
  <c r="O93" i="25"/>
  <c r="O73" i="25"/>
  <c r="O30" i="25"/>
  <c r="O75" i="25"/>
  <c r="O63" i="25"/>
  <c r="O24" i="25"/>
  <c r="O99" i="25"/>
  <c r="O53" i="25"/>
  <c r="O87" i="25"/>
  <c r="O38" i="25"/>
  <c r="O122" i="25"/>
  <c r="O113" i="25"/>
  <c r="O120" i="25"/>
  <c r="O123" i="25"/>
  <c r="O50" i="25"/>
  <c r="O82" i="25"/>
  <c r="AH44" i="7"/>
  <c r="W268" i="23"/>
  <c r="D56" i="23"/>
  <c r="E56" i="23" s="1"/>
  <c r="F56" i="23" s="1"/>
  <c r="AA56" i="23" s="1"/>
  <c r="Z56" i="23" s="1"/>
  <c r="Y56" i="23" s="1"/>
  <c r="W380" i="22"/>
  <c r="E14" i="19"/>
  <c r="D238" i="23"/>
  <c r="E238" i="23" s="1"/>
  <c r="F238" i="23" s="1"/>
  <c r="AA238" i="23" s="1"/>
  <c r="Z238" i="23" s="1"/>
  <c r="Y238" i="23" s="1"/>
  <c r="D280" i="23"/>
  <c r="E280" i="23" s="1"/>
  <c r="F280" i="23" s="1"/>
  <c r="AA280" i="23" s="1"/>
  <c r="Z280" i="23" s="1"/>
  <c r="Y280" i="23" s="1"/>
  <c r="D374" i="23"/>
  <c r="E374" i="23" s="1"/>
  <c r="F374" i="23" s="1"/>
  <c r="AA374" i="23" s="1"/>
  <c r="Z374" i="23" s="1"/>
  <c r="Y374" i="23" s="1"/>
  <c r="D115" i="23"/>
  <c r="E115" i="23" s="1"/>
  <c r="F115" i="23" s="1"/>
  <c r="AA115" i="23" s="1"/>
  <c r="Z115" i="23" s="1"/>
  <c r="Y115" i="23" s="1"/>
  <c r="AH45" i="7"/>
  <c r="D142" i="23"/>
  <c r="E142" i="23" s="1"/>
  <c r="F142" i="23" s="1"/>
  <c r="G142" i="23" s="1"/>
  <c r="CD142" i="6" s="1"/>
  <c r="D34" i="23"/>
  <c r="E34" i="23" s="1"/>
  <c r="F34" i="23" s="1"/>
  <c r="G34" i="23" s="1"/>
  <c r="CD34" i="6" s="1"/>
  <c r="W20" i="23"/>
  <c r="W301" i="23"/>
  <c r="D201" i="23"/>
  <c r="E201" i="23" s="1"/>
  <c r="F201" i="23" s="1"/>
  <c r="AA201" i="23" s="1"/>
  <c r="Z201" i="23" s="1"/>
  <c r="Y201" i="23" s="1"/>
  <c r="W194" i="23"/>
  <c r="D236" i="23"/>
  <c r="E236" i="23" s="1"/>
  <c r="F236" i="23" s="1"/>
  <c r="G236" i="23" s="1"/>
  <c r="CD236" i="6" s="1"/>
  <c r="W267" i="23"/>
  <c r="W223" i="23"/>
  <c r="D132" i="23"/>
  <c r="E132" i="23" s="1"/>
  <c r="F132" i="23" s="1"/>
  <c r="AA132" i="23" s="1"/>
  <c r="Z132" i="23" s="1"/>
  <c r="Y132" i="23" s="1"/>
  <c r="W82" i="23"/>
  <c r="D84" i="23"/>
  <c r="E84" i="23" s="1"/>
  <c r="F84" i="23" s="1"/>
  <c r="H84" i="23" s="1"/>
  <c r="W317" i="23"/>
  <c r="D250" i="23"/>
  <c r="E250" i="23" s="1"/>
  <c r="F250" i="23" s="1"/>
  <c r="W341" i="23"/>
  <c r="D376" i="23"/>
  <c r="E376" i="23" s="1"/>
  <c r="F376" i="23" s="1"/>
  <c r="W248" i="23"/>
  <c r="W255" i="23"/>
  <c r="D63" i="23"/>
  <c r="E63" i="23" s="1"/>
  <c r="F63" i="23" s="1"/>
  <c r="AA63" i="23" s="1"/>
  <c r="Z63" i="23" s="1"/>
  <c r="Y63" i="23" s="1"/>
  <c r="D281" i="23"/>
  <c r="E281" i="23" s="1"/>
  <c r="F281" i="23" s="1"/>
  <c r="AA281" i="23" s="1"/>
  <c r="Z281" i="23" s="1"/>
  <c r="Y281" i="23" s="1"/>
  <c r="D205" i="23"/>
  <c r="E205" i="23" s="1"/>
  <c r="F205" i="23" s="1"/>
  <c r="H205" i="23" s="1"/>
  <c r="W295" i="23"/>
  <c r="D25" i="23"/>
  <c r="E25" i="23" s="1"/>
  <c r="F25" i="23" s="1"/>
  <c r="H25" i="23" s="1"/>
  <c r="W206" i="23"/>
  <c r="D16" i="23"/>
  <c r="E16" i="23" s="1"/>
  <c r="F16" i="23" s="1"/>
  <c r="H16" i="23" s="1"/>
  <c r="D327" i="23"/>
  <c r="E327" i="23" s="1"/>
  <c r="F327" i="23" s="1"/>
  <c r="G327" i="23" s="1"/>
  <c r="CD327" i="6" s="1"/>
  <c r="W100" i="23"/>
  <c r="W151" i="23"/>
  <c r="W35" i="23"/>
  <c r="W218" i="23"/>
  <c r="W27" i="23"/>
  <c r="D346" i="23"/>
  <c r="E346" i="23" s="1"/>
  <c r="F346" i="23" s="1"/>
  <c r="G346" i="23" s="1"/>
  <c r="CD346" i="6" s="1"/>
  <c r="D235" i="23"/>
  <c r="E235" i="23" s="1"/>
  <c r="F235" i="23" s="1"/>
  <c r="AA235" i="23" s="1"/>
  <c r="Z235" i="23" s="1"/>
  <c r="Y235" i="23" s="1"/>
  <c r="W79" i="23"/>
  <c r="W352" i="23"/>
  <c r="D261" i="23"/>
  <c r="E261" i="23" s="1"/>
  <c r="F261" i="23" s="1"/>
  <c r="AA261" i="23" s="1"/>
  <c r="Z261" i="23" s="1"/>
  <c r="Y261" i="23" s="1"/>
  <c r="D350" i="23"/>
  <c r="E350" i="23" s="1"/>
  <c r="F350" i="23" s="1"/>
  <c r="AA350" i="23" s="1"/>
  <c r="Z350" i="23" s="1"/>
  <c r="Y350" i="23" s="1"/>
  <c r="W257" i="23"/>
  <c r="D200" i="23"/>
  <c r="E200" i="23" s="1"/>
  <c r="F200" i="23" s="1"/>
  <c r="AA200" i="23" s="1"/>
  <c r="Z200" i="23" s="1"/>
  <c r="Y200" i="23" s="1"/>
  <c r="D172" i="23"/>
  <c r="E172" i="23" s="1"/>
  <c r="F172" i="23" s="1"/>
  <c r="H172" i="23" s="1"/>
  <c r="W225" i="23"/>
  <c r="D116" i="23"/>
  <c r="E116" i="23" s="1"/>
  <c r="F116" i="23" s="1"/>
  <c r="AA116" i="23" s="1"/>
  <c r="Z116" i="23" s="1"/>
  <c r="Y116" i="23" s="1"/>
  <c r="W31" i="23"/>
  <c r="W202" i="23"/>
  <c r="W307" i="23"/>
  <c r="D226" i="23"/>
  <c r="E226" i="23" s="1"/>
  <c r="F226" i="23" s="1"/>
  <c r="H226" i="23" s="1"/>
  <c r="D279" i="23"/>
  <c r="E279" i="23" s="1"/>
  <c r="F279" i="23" s="1"/>
  <c r="G279" i="23" s="1"/>
  <c r="CD279" i="6" s="1"/>
  <c r="D62" i="23"/>
  <c r="E62" i="23" s="1"/>
  <c r="F62" i="23" s="1"/>
  <c r="AA62" i="23" s="1"/>
  <c r="Z62" i="23" s="1"/>
  <c r="Y62" i="23" s="1"/>
  <c r="W199" i="23"/>
  <c r="D40" i="23"/>
  <c r="E40" i="23" s="1"/>
  <c r="F40" i="23" s="1"/>
  <c r="G40" i="23" s="1"/>
  <c r="CD40" i="6" s="1"/>
  <c r="D227" i="23"/>
  <c r="E227" i="23" s="1"/>
  <c r="F227" i="23" s="1"/>
  <c r="G227" i="23" s="1"/>
  <c r="CD227" i="6" s="1"/>
  <c r="D135" i="23"/>
  <c r="E135" i="23" s="1"/>
  <c r="F135" i="23" s="1"/>
  <c r="G135" i="23" s="1"/>
  <c r="CD135" i="6" s="1"/>
  <c r="W70" i="23"/>
  <c r="D70" i="23"/>
  <c r="E70" i="23" s="1"/>
  <c r="F70" i="23" s="1"/>
  <c r="G70" i="23" s="1"/>
  <c r="CD70" i="6" s="1"/>
  <c r="D270" i="23"/>
  <c r="E270" i="23" s="1"/>
  <c r="F270" i="23" s="1"/>
  <c r="W270" i="23"/>
  <c r="W328" i="23"/>
  <c r="D328" i="23"/>
  <c r="E328" i="23" s="1"/>
  <c r="F328" i="23" s="1"/>
  <c r="D169" i="23"/>
  <c r="E169" i="23" s="1"/>
  <c r="F169" i="23" s="1"/>
  <c r="W169" i="23"/>
  <c r="D92" i="23"/>
  <c r="E92" i="23" s="1"/>
  <c r="F92" i="23" s="1"/>
  <c r="W92" i="23"/>
  <c r="W128" i="23"/>
  <c r="D128" i="23"/>
  <c r="E128" i="23" s="1"/>
  <c r="F128" i="23" s="1"/>
  <c r="AH51" i="7"/>
  <c r="V241" i="23"/>
  <c r="B241" i="23" s="1"/>
  <c r="D249" i="23"/>
  <c r="E249" i="23" s="1"/>
  <c r="F249" i="23" s="1"/>
  <c r="W249" i="23"/>
  <c r="W123" i="23"/>
  <c r="D123" i="23"/>
  <c r="E123" i="23" s="1"/>
  <c r="F123" i="23" s="1"/>
  <c r="G123" i="23" s="1"/>
  <c r="CD123" i="6" s="1"/>
  <c r="W55" i="23"/>
  <c r="D55" i="23"/>
  <c r="E55" i="23" s="1"/>
  <c r="F55" i="23" s="1"/>
  <c r="H55" i="23" s="1"/>
  <c r="D213" i="23"/>
  <c r="E213" i="23" s="1"/>
  <c r="F213" i="23" s="1"/>
  <c r="W213" i="23"/>
  <c r="W18" i="23"/>
  <c r="D18" i="23"/>
  <c r="E18" i="23" s="1"/>
  <c r="F18" i="23" s="1"/>
  <c r="D340" i="23"/>
  <c r="E340" i="23" s="1"/>
  <c r="F340" i="23" s="1"/>
  <c r="W340" i="23"/>
  <c r="D21" i="23"/>
  <c r="E21" i="23" s="1"/>
  <c r="F21" i="23" s="1"/>
  <c r="W21" i="23"/>
  <c r="D297" i="23"/>
  <c r="E297" i="23" s="1"/>
  <c r="F297" i="23" s="1"/>
  <c r="W297" i="23"/>
  <c r="W304" i="23"/>
  <c r="D304" i="23"/>
  <c r="E304" i="23" s="1"/>
  <c r="F304" i="23" s="1"/>
  <c r="D64" i="23"/>
  <c r="E64" i="23" s="1"/>
  <c r="F64" i="23" s="1"/>
  <c r="W64" i="23"/>
  <c r="W343" i="23"/>
  <c r="D343" i="23"/>
  <c r="E343" i="23" s="1"/>
  <c r="F343" i="23" s="1"/>
  <c r="G343" i="23" s="1"/>
  <c r="CD343" i="6" s="1"/>
  <c r="D265" i="23"/>
  <c r="E265" i="23" s="1"/>
  <c r="F265" i="23" s="1"/>
  <c r="G265" i="23" s="1"/>
  <c r="CD265" i="6" s="1"/>
  <c r="W265" i="23"/>
  <c r="W273" i="23"/>
  <c r="D273" i="23"/>
  <c r="E273" i="23" s="1"/>
  <c r="F273" i="23" s="1"/>
  <c r="D320" i="23"/>
  <c r="E320" i="23" s="1"/>
  <c r="F320" i="23" s="1"/>
  <c r="AA320" i="23" s="1"/>
  <c r="Z320" i="23" s="1"/>
  <c r="Y320" i="23" s="1"/>
  <c r="W320" i="23"/>
  <c r="W292" i="23"/>
  <c r="D292" i="23"/>
  <c r="E292" i="23" s="1"/>
  <c r="F292" i="23" s="1"/>
  <c r="W351" i="23"/>
  <c r="D351" i="23"/>
  <c r="E351" i="23" s="1"/>
  <c r="F351" i="23" s="1"/>
  <c r="G351" i="23" s="1"/>
  <c r="CD351" i="6" s="1"/>
  <c r="D211" i="23"/>
  <c r="E211" i="23" s="1"/>
  <c r="F211" i="23" s="1"/>
  <c r="W211" i="23"/>
  <c r="W366" i="23"/>
  <c r="D366" i="23"/>
  <c r="E366" i="23" s="1"/>
  <c r="F366" i="23" s="1"/>
  <c r="AA366" i="23" s="1"/>
  <c r="Z366" i="23" s="1"/>
  <c r="Y366" i="23" s="1"/>
  <c r="D312" i="23"/>
  <c r="E312" i="23" s="1"/>
  <c r="F312" i="23" s="1"/>
  <c r="G312" i="23" s="1"/>
  <c r="CD312" i="6" s="1"/>
  <c r="W312" i="23"/>
  <c r="D156" i="23"/>
  <c r="E156" i="23" s="1"/>
  <c r="F156" i="23" s="1"/>
  <c r="W156" i="23"/>
  <c r="D106" i="23"/>
  <c r="E106" i="23" s="1"/>
  <c r="F106" i="23" s="1"/>
  <c r="W106" i="23"/>
  <c r="W69" i="23"/>
  <c r="D69" i="23"/>
  <c r="E69" i="23" s="1"/>
  <c r="F69" i="23" s="1"/>
  <c r="W348" i="23"/>
  <c r="D348" i="23"/>
  <c r="E348" i="23" s="1"/>
  <c r="F348" i="23" s="1"/>
  <c r="W96" i="23"/>
  <c r="D96" i="23"/>
  <c r="E96" i="23" s="1"/>
  <c r="F96" i="23" s="1"/>
  <c r="G96" i="23" s="1"/>
  <c r="CD96" i="6" s="1"/>
  <c r="D127" i="23"/>
  <c r="E127" i="23" s="1"/>
  <c r="F127" i="23" s="1"/>
  <c r="G127" i="23" s="1"/>
  <c r="CD127" i="6" s="1"/>
  <c r="W127" i="23"/>
  <c r="D315" i="23"/>
  <c r="E315" i="23" s="1"/>
  <c r="F315" i="23" s="1"/>
  <c r="G315" i="23" s="1"/>
  <c r="CD315" i="6" s="1"/>
  <c r="W315" i="23"/>
  <c r="U383" i="23"/>
  <c r="U381" i="23"/>
  <c r="U382" i="23"/>
  <c r="T15" i="23"/>
  <c r="W324" i="23"/>
  <c r="D324" i="23"/>
  <c r="E324" i="23" s="1"/>
  <c r="F324" i="23" s="1"/>
  <c r="W131" i="23"/>
  <c r="D131" i="23"/>
  <c r="E131" i="23" s="1"/>
  <c r="F131" i="23" s="1"/>
  <c r="AA131" i="23" s="1"/>
  <c r="Z131" i="23" s="1"/>
  <c r="Y131" i="23" s="1"/>
  <c r="D283" i="23"/>
  <c r="E283" i="23" s="1"/>
  <c r="F283" i="23" s="1"/>
  <c r="G283" i="23" s="1"/>
  <c r="CD283" i="6" s="1"/>
  <c r="W283" i="23"/>
  <c r="D237" i="23"/>
  <c r="E237" i="23" s="1"/>
  <c r="F237" i="23" s="1"/>
  <c r="W237" i="23"/>
  <c r="D80" i="23"/>
  <c r="E80" i="23" s="1"/>
  <c r="F80" i="23" s="1"/>
  <c r="G80" i="23" s="1"/>
  <c r="CD80" i="6" s="1"/>
  <c r="W80" i="23"/>
  <c r="W87" i="23"/>
  <c r="D87" i="23"/>
  <c r="E87" i="23" s="1"/>
  <c r="F87" i="23" s="1"/>
  <c r="W274" i="23"/>
  <c r="D274" i="23"/>
  <c r="E274" i="23" s="1"/>
  <c r="F274" i="23" s="1"/>
  <c r="G274" i="23" s="1"/>
  <c r="CD274" i="6" s="1"/>
  <c r="D48" i="23"/>
  <c r="E48" i="23" s="1"/>
  <c r="F48" i="23" s="1"/>
  <c r="W48" i="23"/>
  <c r="W358" i="23"/>
  <c r="D358" i="23"/>
  <c r="E358" i="23" s="1"/>
  <c r="F358" i="23" s="1"/>
  <c r="D364" i="23"/>
  <c r="E364" i="23" s="1"/>
  <c r="F364" i="23" s="1"/>
  <c r="W364" i="23"/>
  <c r="D59" i="23"/>
  <c r="E59" i="23" s="1"/>
  <c r="F59" i="23" s="1"/>
  <c r="W59" i="23"/>
  <c r="W183" i="23"/>
  <c r="D183" i="23"/>
  <c r="E183" i="23" s="1"/>
  <c r="F183" i="23" s="1"/>
  <c r="H183" i="23" s="1"/>
  <c r="I183" i="23" s="1"/>
  <c r="D305" i="23"/>
  <c r="E305" i="23" s="1"/>
  <c r="F305" i="23" s="1"/>
  <c r="G305" i="23" s="1"/>
  <c r="CD305" i="6" s="1"/>
  <c r="W305" i="23"/>
  <c r="W264" i="23"/>
  <c r="D264" i="23"/>
  <c r="E264" i="23" s="1"/>
  <c r="F264" i="23" s="1"/>
  <c r="D24" i="23"/>
  <c r="E24" i="23" s="1"/>
  <c r="F24" i="23" s="1"/>
  <c r="W24" i="23"/>
  <c r="D98" i="23"/>
  <c r="E98" i="23" s="1"/>
  <c r="F98" i="23" s="1"/>
  <c r="W98" i="23"/>
  <c r="D347" i="23"/>
  <c r="E347" i="23" s="1"/>
  <c r="F347" i="23" s="1"/>
  <c r="W347" i="23"/>
  <c r="W175" i="23"/>
  <c r="D175" i="23"/>
  <c r="E175" i="23" s="1"/>
  <c r="F175" i="23" s="1"/>
  <c r="G175" i="23" s="1"/>
  <c r="CD175" i="6" s="1"/>
  <c r="W208" i="23"/>
  <c r="D208" i="23"/>
  <c r="E208" i="23" s="1"/>
  <c r="F208" i="23" s="1"/>
  <c r="G208" i="23" s="1"/>
  <c r="CD208" i="6" s="1"/>
  <c r="W77" i="23"/>
  <c r="D77" i="23"/>
  <c r="E77" i="23" s="1"/>
  <c r="F77" i="23" s="1"/>
  <c r="H77" i="23" s="1"/>
  <c r="W97" i="23"/>
  <c r="D97" i="23"/>
  <c r="E97" i="23" s="1"/>
  <c r="F97" i="23" s="1"/>
  <c r="W93" i="23"/>
  <c r="D93" i="23"/>
  <c r="E93" i="23" s="1"/>
  <c r="F93" i="23" s="1"/>
  <c r="D335" i="23"/>
  <c r="E335" i="23" s="1"/>
  <c r="F335" i="23" s="1"/>
  <c r="G335" i="23" s="1"/>
  <c r="CD335" i="6" s="1"/>
  <c r="W335" i="23"/>
  <c r="W198" i="23"/>
  <c r="D198" i="23"/>
  <c r="E198" i="23" s="1"/>
  <c r="F198" i="23" s="1"/>
  <c r="W19" i="23"/>
  <c r="D19" i="23"/>
  <c r="E19" i="23" s="1"/>
  <c r="F19" i="23" s="1"/>
  <c r="H19" i="23" s="1"/>
  <c r="D158" i="23"/>
  <c r="E158" i="23" s="1"/>
  <c r="F158" i="23" s="1"/>
  <c r="W158" i="23"/>
  <c r="W266" i="23"/>
  <c r="D266" i="23"/>
  <c r="E266" i="23" s="1"/>
  <c r="F266" i="23" s="1"/>
  <c r="D344" i="23"/>
  <c r="E344" i="23" s="1"/>
  <c r="F344" i="23" s="1"/>
  <c r="G344" i="23" s="1"/>
  <c r="CD344" i="6" s="1"/>
  <c r="W344" i="23"/>
  <c r="W244" i="23"/>
  <c r="D244" i="23"/>
  <c r="E244" i="23" s="1"/>
  <c r="F244" i="23" s="1"/>
  <c r="W54" i="23"/>
  <c r="D54" i="23"/>
  <c r="E54" i="23" s="1"/>
  <c r="F54" i="23" s="1"/>
  <c r="D252" i="23"/>
  <c r="E252" i="23" s="1"/>
  <c r="F252" i="23" s="1"/>
  <c r="W252" i="23"/>
  <c r="D360" i="23"/>
  <c r="E360" i="23" s="1"/>
  <c r="F360" i="23" s="1"/>
  <c r="W360" i="23"/>
  <c r="D44" i="23"/>
  <c r="E44" i="23" s="1"/>
  <c r="F44" i="23" s="1"/>
  <c r="W44" i="23"/>
  <c r="D17" i="23"/>
  <c r="E17" i="23" s="1"/>
  <c r="F17" i="23" s="1"/>
  <c r="G17" i="23" s="1"/>
  <c r="CD17" i="6" s="1"/>
  <c r="W17" i="23"/>
  <c r="W240" i="23"/>
  <c r="D240" i="23"/>
  <c r="E240" i="23" s="1"/>
  <c r="F240" i="23" s="1"/>
  <c r="H240" i="23" s="1"/>
  <c r="J240" i="23" s="1"/>
  <c r="D294" i="23"/>
  <c r="E294" i="23" s="1"/>
  <c r="F294" i="23" s="1"/>
  <c r="G294" i="23" s="1"/>
  <c r="CD294" i="6" s="1"/>
  <c r="W294" i="23"/>
  <c r="W89" i="23"/>
  <c r="D89" i="23"/>
  <c r="E89" i="23" s="1"/>
  <c r="F89" i="23" s="1"/>
  <c r="H89" i="23" s="1"/>
  <c r="J89" i="23" s="1"/>
  <c r="W357" i="23"/>
  <c r="D357" i="23"/>
  <c r="E357" i="23" s="1"/>
  <c r="F357" i="23" s="1"/>
  <c r="G357" i="23" s="1"/>
  <c r="CD357" i="6" s="1"/>
  <c r="D293" i="23"/>
  <c r="E293" i="23" s="1"/>
  <c r="F293" i="23" s="1"/>
  <c r="W293" i="23"/>
  <c r="D355" i="23"/>
  <c r="E355" i="23" s="1"/>
  <c r="F355" i="23" s="1"/>
  <c r="G355" i="23" s="1"/>
  <c r="CD355" i="6" s="1"/>
  <c r="W355" i="23"/>
  <c r="W276" i="23"/>
  <c r="D276" i="23"/>
  <c r="E276" i="23" s="1"/>
  <c r="F276" i="23" s="1"/>
  <c r="H276" i="23" s="1"/>
  <c r="D121" i="23"/>
  <c r="E121" i="23" s="1"/>
  <c r="F121" i="23" s="1"/>
  <c r="G121" i="23" s="1"/>
  <c r="CD121" i="6" s="1"/>
  <c r="W121" i="23"/>
  <c r="W231" i="23"/>
  <c r="D231" i="23"/>
  <c r="E231" i="23" s="1"/>
  <c r="F231" i="23" s="1"/>
  <c r="W370" i="23"/>
  <c r="D370" i="23"/>
  <c r="E370" i="23" s="1"/>
  <c r="F370" i="23" s="1"/>
  <c r="D43" i="23"/>
  <c r="E43" i="23" s="1"/>
  <c r="F43" i="23" s="1"/>
  <c r="W43" i="23"/>
  <c r="W130" i="23"/>
  <c r="D130" i="23"/>
  <c r="E130" i="23" s="1"/>
  <c r="F130" i="23" s="1"/>
  <c r="G130" i="23" s="1"/>
  <c r="CD130" i="6" s="1"/>
  <c r="AH54" i="7"/>
  <c r="V333" i="23"/>
  <c r="B333" i="23" s="1"/>
  <c r="W197" i="23"/>
  <c r="D197" i="23"/>
  <c r="E197" i="23" s="1"/>
  <c r="F197" i="23" s="1"/>
  <c r="D185" i="23"/>
  <c r="E185" i="23" s="1"/>
  <c r="F185" i="23" s="1"/>
  <c r="W185" i="23"/>
  <c r="W303" i="23"/>
  <c r="D303" i="23"/>
  <c r="E303" i="23" s="1"/>
  <c r="F303" i="23" s="1"/>
  <c r="H303" i="23" s="1"/>
  <c r="J303" i="23" s="1"/>
  <c r="D117" i="23"/>
  <c r="E117" i="23" s="1"/>
  <c r="F117" i="23" s="1"/>
  <c r="G117" i="23" s="1"/>
  <c r="CD117" i="6" s="1"/>
  <c r="W117" i="23"/>
  <c r="W275" i="23"/>
  <c r="D275" i="23"/>
  <c r="E275" i="23" s="1"/>
  <c r="F275" i="23" s="1"/>
  <c r="D154" i="23"/>
  <c r="E154" i="23" s="1"/>
  <c r="F154" i="23" s="1"/>
  <c r="W154" i="23"/>
  <c r="D182" i="23"/>
  <c r="E182" i="23" s="1"/>
  <c r="F182" i="23" s="1"/>
  <c r="W182" i="23"/>
  <c r="D311" i="23"/>
  <c r="E311" i="23" s="1"/>
  <c r="F311" i="23" s="1"/>
  <c r="W311" i="23"/>
  <c r="W165" i="23"/>
  <c r="D165" i="23"/>
  <c r="E165" i="23" s="1"/>
  <c r="F165" i="23" s="1"/>
  <c r="W37" i="23"/>
  <c r="D37" i="23"/>
  <c r="E37" i="23" s="1"/>
  <c r="F37" i="23" s="1"/>
  <c r="G37" i="23" s="1"/>
  <c r="CD37" i="6" s="1"/>
  <c r="W159" i="23"/>
  <c r="D159" i="23"/>
  <c r="E159" i="23" s="1"/>
  <c r="F159" i="23" s="1"/>
  <c r="W286" i="23"/>
  <c r="D286" i="23"/>
  <c r="E286" i="23" s="1"/>
  <c r="F286" i="23" s="1"/>
  <c r="H286" i="23" s="1"/>
  <c r="W161" i="23"/>
  <c r="D161" i="23"/>
  <c r="E161" i="23" s="1"/>
  <c r="F161" i="23" s="1"/>
  <c r="G161" i="23" s="1"/>
  <c r="CD161" i="6" s="1"/>
  <c r="W242" i="23"/>
  <c r="D242" i="23"/>
  <c r="E242" i="23" s="1"/>
  <c r="F242" i="23" s="1"/>
  <c r="H242" i="23" s="1"/>
  <c r="W49" i="23"/>
  <c r="D49" i="23"/>
  <c r="E49" i="23" s="1"/>
  <c r="F49" i="23" s="1"/>
  <c r="G49" i="23" s="1"/>
  <c r="CD49" i="6" s="1"/>
  <c r="AH50" i="7"/>
  <c r="V210" i="23"/>
  <c r="B210" i="23" s="1"/>
  <c r="AH53" i="7"/>
  <c r="V302" i="23"/>
  <c r="B302" i="23" s="1"/>
  <c r="D375" i="23"/>
  <c r="E375" i="23" s="1"/>
  <c r="F375" i="23" s="1"/>
  <c r="G375" i="23" s="1"/>
  <c r="CD375" i="6" s="1"/>
  <c r="W375" i="23"/>
  <c r="W325" i="23"/>
  <c r="D325" i="23"/>
  <c r="E325" i="23" s="1"/>
  <c r="F325" i="23" s="1"/>
  <c r="H325" i="23" s="1"/>
  <c r="D232" i="23"/>
  <c r="E232" i="23" s="1"/>
  <c r="F232" i="23" s="1"/>
  <c r="W232" i="23"/>
  <c r="W105" i="23"/>
  <c r="D105" i="23"/>
  <c r="E105" i="23" s="1"/>
  <c r="F105" i="23" s="1"/>
  <c r="G105" i="23" s="1"/>
  <c r="CD105" i="6" s="1"/>
  <c r="W277" i="23"/>
  <c r="D277" i="23"/>
  <c r="E277" i="23" s="1"/>
  <c r="F277" i="23" s="1"/>
  <c r="H277" i="23" s="1"/>
  <c r="D209" i="23"/>
  <c r="E209" i="23" s="1"/>
  <c r="F209" i="23" s="1"/>
  <c r="W209" i="23"/>
  <c r="D285" i="23"/>
  <c r="E285" i="23" s="1"/>
  <c r="F285" i="23" s="1"/>
  <c r="G285" i="23" s="1"/>
  <c r="CD285" i="6" s="1"/>
  <c r="W285" i="23"/>
  <c r="W338" i="23"/>
  <c r="D338" i="23"/>
  <c r="E338" i="23" s="1"/>
  <c r="F338" i="23" s="1"/>
  <c r="G338" i="23" s="1"/>
  <c r="CD338" i="6" s="1"/>
  <c r="W228" i="23"/>
  <c r="D228" i="23"/>
  <c r="E228" i="23" s="1"/>
  <c r="F228" i="23" s="1"/>
  <c r="G228" i="23" s="1"/>
  <c r="CD228" i="6" s="1"/>
  <c r="D287" i="23"/>
  <c r="E287" i="23" s="1"/>
  <c r="F287" i="23" s="1"/>
  <c r="W287" i="23"/>
  <c r="D306" i="23"/>
  <c r="E306" i="23" s="1"/>
  <c r="F306" i="23" s="1"/>
  <c r="W306" i="23"/>
  <c r="D157" i="23"/>
  <c r="E157" i="23" s="1"/>
  <c r="F157" i="23" s="1"/>
  <c r="W157" i="23"/>
  <c r="D369" i="23"/>
  <c r="E369" i="23" s="1"/>
  <c r="F369" i="23" s="1"/>
  <c r="W369" i="23"/>
  <c r="W339" i="23"/>
  <c r="D339" i="23"/>
  <c r="E339" i="23" s="1"/>
  <c r="F339" i="23" s="1"/>
  <c r="G339" i="23" s="1"/>
  <c r="CD339" i="6" s="1"/>
  <c r="D144" i="23"/>
  <c r="E144" i="23" s="1"/>
  <c r="F144" i="23" s="1"/>
  <c r="W144" i="23"/>
  <c r="D72" i="23"/>
  <c r="E72" i="23" s="1"/>
  <c r="F72" i="23" s="1"/>
  <c r="G72" i="23" s="1"/>
  <c r="CD72" i="6" s="1"/>
  <c r="W72" i="23"/>
  <c r="W219" i="23"/>
  <c r="D219" i="23"/>
  <c r="E219" i="23" s="1"/>
  <c r="F219" i="23" s="1"/>
  <c r="G219" i="23" s="1"/>
  <c r="CD219" i="6" s="1"/>
  <c r="D246" i="23"/>
  <c r="E246" i="23" s="1"/>
  <c r="F246" i="23" s="1"/>
  <c r="W246" i="23"/>
  <c r="W126" i="23"/>
  <c r="D126" i="23"/>
  <c r="E126" i="23" s="1"/>
  <c r="F126" i="23" s="1"/>
  <c r="G126" i="23" s="1"/>
  <c r="CD126" i="6" s="1"/>
  <c r="D296" i="23"/>
  <c r="E296" i="23" s="1"/>
  <c r="F296" i="23" s="1"/>
  <c r="W296" i="23"/>
  <c r="D239" i="23"/>
  <c r="E239" i="23" s="1"/>
  <c r="F239" i="23" s="1"/>
  <c r="W239" i="23"/>
  <c r="D168" i="23"/>
  <c r="E168" i="23" s="1"/>
  <c r="F168" i="23" s="1"/>
  <c r="W168" i="23"/>
  <c r="W254" i="23"/>
  <c r="D254" i="23"/>
  <c r="E254" i="23" s="1"/>
  <c r="F254" i="23" s="1"/>
  <c r="G254" i="23" s="1"/>
  <c r="CD254" i="6" s="1"/>
  <c r="D57" i="23"/>
  <c r="E57" i="23" s="1"/>
  <c r="F57" i="23" s="1"/>
  <c r="W57" i="23"/>
  <c r="D133" i="23"/>
  <c r="E133" i="23" s="1"/>
  <c r="F133" i="23" s="1"/>
  <c r="W133" i="23"/>
  <c r="D177" i="23"/>
  <c r="E177" i="23" s="1"/>
  <c r="F177" i="23" s="1"/>
  <c r="W177" i="23"/>
  <c r="AT16" i="7"/>
  <c r="AZ11" i="7" s="1"/>
  <c r="U11" i="24" s="1"/>
  <c r="U12" i="24"/>
  <c r="AY16" i="7" s="1"/>
  <c r="T379" i="23"/>
  <c r="S379" i="23" s="1"/>
  <c r="R379" i="23" s="1"/>
  <c r="P379" i="23" s="1"/>
  <c r="D108" i="23"/>
  <c r="E108" i="23" s="1"/>
  <c r="F108" i="23" s="1"/>
  <c r="W108" i="23"/>
  <c r="W173" i="23"/>
  <c r="D173" i="23"/>
  <c r="E173" i="23" s="1"/>
  <c r="F173" i="23" s="1"/>
  <c r="G173" i="23" s="1"/>
  <c r="CD173" i="6" s="1"/>
  <c r="W256" i="23"/>
  <c r="D256" i="23"/>
  <c r="E256" i="23" s="1"/>
  <c r="F256" i="23" s="1"/>
  <c r="W323" i="23"/>
  <c r="D323" i="23"/>
  <c r="E323" i="23" s="1"/>
  <c r="F323" i="23" s="1"/>
  <c r="G323" i="23" s="1"/>
  <c r="CD323" i="6" s="1"/>
  <c r="D298" i="23"/>
  <c r="E298" i="23" s="1"/>
  <c r="F298" i="23" s="1"/>
  <c r="W298" i="23"/>
  <c r="D58" i="23"/>
  <c r="E58" i="23" s="1"/>
  <c r="F58" i="23" s="1"/>
  <c r="W58" i="23"/>
  <c r="W190" i="23"/>
  <c r="D190" i="23"/>
  <c r="E190" i="23" s="1"/>
  <c r="F190" i="23" s="1"/>
  <c r="G190" i="23" s="1"/>
  <c r="CD190" i="6" s="1"/>
  <c r="D38" i="23"/>
  <c r="E38" i="23" s="1"/>
  <c r="F38" i="23" s="1"/>
  <c r="W38" i="23"/>
  <c r="W243" i="23"/>
  <c r="D243" i="23"/>
  <c r="E243" i="23" s="1"/>
  <c r="F243" i="23" s="1"/>
  <c r="W362" i="23"/>
  <c r="D362" i="23"/>
  <c r="E362" i="23" s="1"/>
  <c r="F362" i="23" s="1"/>
  <c r="G362" i="23" s="1"/>
  <c r="CD362" i="6" s="1"/>
  <c r="D167" i="23"/>
  <c r="E167" i="23" s="1"/>
  <c r="F167" i="23" s="1"/>
  <c r="W167" i="23"/>
  <c r="AA228" i="23"/>
  <c r="Z228" i="23" s="1"/>
  <c r="Y228" i="23" s="1"/>
  <c r="AA375" i="23"/>
  <c r="Z375" i="23" s="1"/>
  <c r="Y375" i="23" s="1"/>
  <c r="AA161" i="23"/>
  <c r="Z161" i="23" s="1"/>
  <c r="Y161" i="23" s="1"/>
  <c r="W229" i="23"/>
  <c r="D229" i="23"/>
  <c r="E229" i="23" s="1"/>
  <c r="F229" i="23" s="1"/>
  <c r="D220" i="23"/>
  <c r="E220" i="23" s="1"/>
  <c r="F220" i="23" s="1"/>
  <c r="W220" i="23"/>
  <c r="W85" i="23"/>
  <c r="D85" i="23"/>
  <c r="E85" i="23" s="1"/>
  <c r="F85" i="23" s="1"/>
  <c r="G85" i="23" s="1"/>
  <c r="CD85" i="6" s="1"/>
  <c r="W321" i="23"/>
  <c r="D321" i="23"/>
  <c r="E321" i="23" s="1"/>
  <c r="F321" i="23" s="1"/>
  <c r="D331" i="23"/>
  <c r="E331" i="23" s="1"/>
  <c r="F331" i="23" s="1"/>
  <c r="W331" i="23"/>
  <c r="W83" i="23"/>
  <c r="D83" i="23"/>
  <c r="E83" i="23" s="1"/>
  <c r="F83" i="23" s="1"/>
  <c r="D212" i="23"/>
  <c r="E212" i="23" s="1"/>
  <c r="F212" i="23" s="1"/>
  <c r="W212" i="23"/>
  <c r="D204" i="23"/>
  <c r="E204" i="23" s="1"/>
  <c r="F204" i="23" s="1"/>
  <c r="H204" i="23" s="1"/>
  <c r="W204" i="23"/>
  <c r="W67" i="23"/>
  <c r="D67" i="23"/>
  <c r="E67" i="23" s="1"/>
  <c r="F67" i="23" s="1"/>
  <c r="W260" i="23"/>
  <c r="D260" i="23"/>
  <c r="E260" i="23" s="1"/>
  <c r="F260" i="23" s="1"/>
  <c r="W179" i="23"/>
  <c r="D179" i="23"/>
  <c r="E179" i="23" s="1"/>
  <c r="F179" i="23" s="1"/>
  <c r="G179" i="23" s="1"/>
  <c r="CD179" i="6" s="1"/>
  <c r="D50" i="23"/>
  <c r="E50" i="23" s="1"/>
  <c r="F50" i="23" s="1"/>
  <c r="G50" i="23" s="1"/>
  <c r="CD50" i="6" s="1"/>
  <c r="W50" i="23"/>
  <c r="D251" i="23"/>
  <c r="E251" i="23" s="1"/>
  <c r="F251" i="23" s="1"/>
  <c r="G251" i="23" s="1"/>
  <c r="CD251" i="6" s="1"/>
  <c r="W251" i="23"/>
  <c r="D214" i="23"/>
  <c r="E214" i="23" s="1"/>
  <c r="F214" i="23" s="1"/>
  <c r="W214" i="23"/>
  <c r="D160" i="23"/>
  <c r="E160" i="23" s="1"/>
  <c r="F160" i="23" s="1"/>
  <c r="H160" i="23" s="1"/>
  <c r="J160" i="23" s="1"/>
  <c r="W160" i="23"/>
  <c r="W118" i="23"/>
  <c r="D118" i="23"/>
  <c r="E118" i="23" s="1"/>
  <c r="F118" i="23" s="1"/>
  <c r="D153" i="23"/>
  <c r="E153" i="23" s="1"/>
  <c r="F153" i="23" s="1"/>
  <c r="G153" i="23" s="1"/>
  <c r="CD153" i="6" s="1"/>
  <c r="W153" i="23"/>
  <c r="W373" i="23"/>
  <c r="D373" i="23"/>
  <c r="E373" i="23" s="1"/>
  <c r="F373" i="23" s="1"/>
  <c r="G373" i="23" s="1"/>
  <c r="CD373" i="6" s="1"/>
  <c r="W259" i="23"/>
  <c r="D259" i="23"/>
  <c r="E259" i="23" s="1"/>
  <c r="F259" i="23" s="1"/>
  <c r="W32" i="23"/>
  <c r="D32" i="23"/>
  <c r="E32" i="23" s="1"/>
  <c r="F32" i="23" s="1"/>
  <c r="G32" i="23" s="1"/>
  <c r="CD32" i="6" s="1"/>
  <c r="D28" i="23"/>
  <c r="E28" i="23" s="1"/>
  <c r="F28" i="23" s="1"/>
  <c r="G28" i="23" s="1"/>
  <c r="CD28" i="6" s="1"/>
  <c r="W28" i="23"/>
  <c r="D262" i="23"/>
  <c r="E262" i="23" s="1"/>
  <c r="F262" i="23" s="1"/>
  <c r="W262" i="23"/>
  <c r="D102" i="23"/>
  <c r="E102" i="23" s="1"/>
  <c r="F102" i="23" s="1"/>
  <c r="W102" i="23"/>
  <c r="W65" i="23"/>
  <c r="D65" i="23"/>
  <c r="E65" i="23" s="1"/>
  <c r="F65" i="23" s="1"/>
  <c r="W332" i="23"/>
  <c r="D332" i="23"/>
  <c r="E332" i="23" s="1"/>
  <c r="F332" i="23" s="1"/>
  <c r="AH49" i="7"/>
  <c r="V180" i="23"/>
  <c r="B180" i="23" s="1"/>
  <c r="W110" i="23"/>
  <c r="D110" i="23"/>
  <c r="E110" i="23" s="1"/>
  <c r="F110" i="23" s="1"/>
  <c r="G110" i="23" s="1"/>
  <c r="CD110" i="6" s="1"/>
  <c r="D95" i="23"/>
  <c r="E95" i="23" s="1"/>
  <c r="F95" i="23" s="1"/>
  <c r="W95" i="23"/>
  <c r="D125" i="23"/>
  <c r="E125" i="23" s="1"/>
  <c r="F125" i="23" s="1"/>
  <c r="G125" i="23" s="1"/>
  <c r="CD125" i="6" s="1"/>
  <c r="W125" i="23"/>
  <c r="D353" i="23"/>
  <c r="E353" i="23" s="1"/>
  <c r="F353" i="23" s="1"/>
  <c r="G353" i="23" s="1"/>
  <c r="CD353" i="6" s="1"/>
  <c r="W353" i="23"/>
  <c r="D136" i="23"/>
  <c r="E136" i="23" s="1"/>
  <c r="F136" i="23" s="1"/>
  <c r="W136" i="23"/>
  <c r="W73" i="23"/>
  <c r="D73" i="23"/>
  <c r="E73" i="23" s="1"/>
  <c r="F73" i="23" s="1"/>
  <c r="D145" i="23"/>
  <c r="E145" i="23" s="1"/>
  <c r="F145" i="23" s="1"/>
  <c r="G145" i="23" s="1"/>
  <c r="CD145" i="6" s="1"/>
  <c r="W145" i="23"/>
  <c r="AH55" i="7"/>
  <c r="V363" i="23"/>
  <c r="B363" i="23" s="1"/>
  <c r="W140" i="23"/>
  <c r="D140" i="23"/>
  <c r="E140" i="23" s="1"/>
  <c r="F140" i="23" s="1"/>
  <c r="W75" i="23"/>
  <c r="D75" i="23"/>
  <c r="E75" i="23" s="1"/>
  <c r="F75" i="23" s="1"/>
  <c r="G75" i="23" s="1"/>
  <c r="CD75" i="6" s="1"/>
  <c r="W164" i="23"/>
  <c r="D164" i="23"/>
  <c r="E164" i="23" s="1"/>
  <c r="F164" i="23" s="1"/>
  <c r="G164" i="23" s="1"/>
  <c r="CD164" i="6" s="1"/>
  <c r="D291" i="23"/>
  <c r="E291" i="23" s="1"/>
  <c r="F291" i="23" s="1"/>
  <c r="W291" i="23"/>
  <c r="D178" i="23"/>
  <c r="E178" i="23" s="1"/>
  <c r="F178" i="23" s="1"/>
  <c r="W178" i="23"/>
  <c r="W53" i="23"/>
  <c r="D53" i="23"/>
  <c r="E53" i="23" s="1"/>
  <c r="F53" i="23" s="1"/>
  <c r="D22" i="23"/>
  <c r="E22" i="23" s="1"/>
  <c r="F22" i="23" s="1"/>
  <c r="W22" i="23"/>
  <c r="W271" i="23"/>
  <c r="D271" i="23"/>
  <c r="E271" i="23" s="1"/>
  <c r="F271" i="23" s="1"/>
  <c r="G271" i="23" s="1"/>
  <c r="CD271" i="6" s="1"/>
  <c r="D150" i="23"/>
  <c r="E150" i="23" s="1"/>
  <c r="F150" i="23" s="1"/>
  <c r="G150" i="23" s="1"/>
  <c r="CD150" i="6" s="1"/>
  <c r="W150" i="23"/>
  <c r="W91" i="23"/>
  <c r="D91" i="23"/>
  <c r="E91" i="23" s="1"/>
  <c r="F91" i="23" s="1"/>
  <c r="W186" i="23"/>
  <c r="D186" i="23"/>
  <c r="E186" i="23" s="1"/>
  <c r="F186" i="23" s="1"/>
  <c r="V88" i="23"/>
  <c r="B88" i="23" s="1"/>
  <c r="AH46" i="7"/>
  <c r="W138" i="23"/>
  <c r="D138" i="23"/>
  <c r="E138" i="23" s="1"/>
  <c r="F138" i="23" s="1"/>
  <c r="W316" i="23"/>
  <c r="D316" i="23"/>
  <c r="E316" i="23" s="1"/>
  <c r="F316" i="23" s="1"/>
  <c r="W33" i="23"/>
  <c r="D33" i="23"/>
  <c r="E33" i="23" s="1"/>
  <c r="F33" i="23" s="1"/>
  <c r="W155" i="23"/>
  <c r="D155" i="23"/>
  <c r="E155" i="23" s="1"/>
  <c r="F155" i="23" s="1"/>
  <c r="W71" i="23"/>
  <c r="D71" i="23"/>
  <c r="E71" i="23" s="1"/>
  <c r="F71" i="23" s="1"/>
  <c r="W195" i="23"/>
  <c r="D195" i="23"/>
  <c r="E195" i="23" s="1"/>
  <c r="F195" i="23" s="1"/>
  <c r="W318" i="23"/>
  <c r="D318" i="23"/>
  <c r="E318" i="23" s="1"/>
  <c r="F318" i="23" s="1"/>
  <c r="W216" i="23"/>
  <c r="D216" i="23"/>
  <c r="E216" i="23" s="1"/>
  <c r="F216" i="23" s="1"/>
  <c r="G216" i="23" s="1"/>
  <c r="CD216" i="6" s="1"/>
  <c r="D111" i="23"/>
  <c r="E111" i="23" s="1"/>
  <c r="F111" i="23" s="1"/>
  <c r="W111" i="23"/>
  <c r="D52" i="23"/>
  <c r="E52" i="23" s="1"/>
  <c r="F52" i="23" s="1"/>
  <c r="W52" i="23"/>
  <c r="D146" i="23"/>
  <c r="E146" i="23" s="1"/>
  <c r="F146" i="23" s="1"/>
  <c r="G146" i="23" s="1"/>
  <c r="CD146" i="6" s="1"/>
  <c r="W146" i="23"/>
  <c r="W217" i="23"/>
  <c r="D217" i="23"/>
  <c r="E217" i="23" s="1"/>
  <c r="F217" i="23" s="1"/>
  <c r="D122" i="23"/>
  <c r="E122" i="23" s="1"/>
  <c r="F122" i="23" s="1"/>
  <c r="W122" i="23"/>
  <c r="D30" i="23"/>
  <c r="E30" i="23" s="1"/>
  <c r="F30" i="23" s="1"/>
  <c r="W30" i="23"/>
  <c r="D230" i="23"/>
  <c r="E230" i="23" s="1"/>
  <c r="F230" i="23" s="1"/>
  <c r="G230" i="23" s="1"/>
  <c r="CD230" i="6" s="1"/>
  <c r="W230" i="23"/>
  <c r="W86" i="23"/>
  <c r="D86" i="23"/>
  <c r="E86" i="23" s="1"/>
  <c r="F86" i="23" s="1"/>
  <c r="W290" i="23"/>
  <c r="D290" i="23"/>
  <c r="E290" i="23" s="1"/>
  <c r="F290" i="23" s="1"/>
  <c r="W107" i="23"/>
  <c r="D107" i="23"/>
  <c r="E107" i="23" s="1"/>
  <c r="F107" i="23" s="1"/>
  <c r="W224" i="23"/>
  <c r="D224" i="23"/>
  <c r="E224" i="23" s="1"/>
  <c r="F224" i="23" s="1"/>
  <c r="G224" i="23" s="1"/>
  <c r="CD224" i="6" s="1"/>
  <c r="D203" i="23"/>
  <c r="E203" i="23" s="1"/>
  <c r="F203" i="23" s="1"/>
  <c r="W203" i="23"/>
  <c r="W365" i="23"/>
  <c r="D365" i="23"/>
  <c r="E365" i="23" s="1"/>
  <c r="F365" i="23" s="1"/>
  <c r="W46" i="23"/>
  <c r="D46" i="23"/>
  <c r="E46" i="23" s="1"/>
  <c r="F46" i="23" s="1"/>
  <c r="D245" i="23"/>
  <c r="E245" i="23" s="1"/>
  <c r="F245" i="23" s="1"/>
  <c r="W245" i="23"/>
  <c r="D221" i="23"/>
  <c r="E221" i="23" s="1"/>
  <c r="F221" i="23" s="1"/>
  <c r="G221" i="23" s="1"/>
  <c r="CD221" i="6" s="1"/>
  <c r="W221" i="23"/>
  <c r="D174" i="23"/>
  <c r="E174" i="23" s="1"/>
  <c r="F174" i="23" s="1"/>
  <c r="G174" i="23" s="1"/>
  <c r="CD174" i="6" s="1"/>
  <c r="W174" i="23"/>
  <c r="D23" i="23"/>
  <c r="E23" i="23" s="1"/>
  <c r="F23" i="23" s="1"/>
  <c r="G23" i="23" s="1"/>
  <c r="CD23" i="6" s="1"/>
  <c r="W23" i="23"/>
  <c r="D139" i="23"/>
  <c r="E139" i="23" s="1"/>
  <c r="F139" i="23" s="1"/>
  <c r="W139" i="23"/>
  <c r="D94" i="23"/>
  <c r="E94" i="23" s="1"/>
  <c r="F94" i="23" s="1"/>
  <c r="W94" i="23"/>
  <c r="D329" i="23"/>
  <c r="E329" i="23" s="1"/>
  <c r="F329" i="23" s="1"/>
  <c r="G329" i="23" s="1"/>
  <c r="CD329" i="6" s="1"/>
  <c r="W329" i="23"/>
  <c r="D129" i="23"/>
  <c r="E129" i="23" s="1"/>
  <c r="F129" i="23" s="1"/>
  <c r="W129" i="23"/>
  <c r="W309" i="23"/>
  <c r="D309" i="23"/>
  <c r="E309" i="23" s="1"/>
  <c r="F309" i="23" s="1"/>
  <c r="D99" i="23"/>
  <c r="E99" i="23" s="1"/>
  <c r="F99" i="23" s="1"/>
  <c r="H99" i="23" s="1"/>
  <c r="W99" i="23"/>
  <c r="W192" i="23"/>
  <c r="D192" i="23"/>
  <c r="E192" i="23" s="1"/>
  <c r="F192" i="23" s="1"/>
  <c r="G192" i="23" s="1"/>
  <c r="CD192" i="6" s="1"/>
  <c r="W68" i="23"/>
  <c r="D68" i="23"/>
  <c r="E68" i="23" s="1"/>
  <c r="F68" i="23" s="1"/>
  <c r="D247" i="23"/>
  <c r="E247" i="23" s="1"/>
  <c r="F247" i="23" s="1"/>
  <c r="W247" i="23"/>
  <c r="W42" i="23"/>
  <c r="D42" i="23"/>
  <c r="E42" i="23" s="1"/>
  <c r="F42" i="23" s="1"/>
  <c r="W141" i="23"/>
  <c r="D141" i="23"/>
  <c r="E141" i="23" s="1"/>
  <c r="F141" i="23" s="1"/>
  <c r="W41" i="23"/>
  <c r="D41" i="23"/>
  <c r="E41" i="23" s="1"/>
  <c r="F41" i="23" s="1"/>
  <c r="W378" i="23"/>
  <c r="D378" i="23"/>
  <c r="E378" i="23" s="1"/>
  <c r="F378" i="23" s="1"/>
  <c r="D113" i="23"/>
  <c r="E113" i="23" s="1"/>
  <c r="F113" i="23" s="1"/>
  <c r="W113" i="23"/>
  <c r="D278" i="23"/>
  <c r="E278" i="23" s="1"/>
  <c r="F278" i="23" s="1"/>
  <c r="H278" i="23" s="1"/>
  <c r="I278" i="23" s="1"/>
  <c r="W278" i="23"/>
  <c r="D330" i="23"/>
  <c r="E330" i="23" s="1"/>
  <c r="F330" i="23" s="1"/>
  <c r="H330" i="23" s="1"/>
  <c r="J330" i="23" s="1"/>
  <c r="W330" i="23"/>
  <c r="V149" i="23"/>
  <c r="B149" i="23" s="1"/>
  <c r="AH48" i="7"/>
  <c r="D120" i="23"/>
  <c r="E120" i="23" s="1"/>
  <c r="F120" i="23" s="1"/>
  <c r="G120" i="23" s="1"/>
  <c r="CD120" i="6" s="1"/>
  <c r="W120" i="23"/>
  <c r="AH52" i="7"/>
  <c r="V272" i="23"/>
  <c r="B272" i="23" s="1"/>
  <c r="D299" i="23"/>
  <c r="E299" i="23" s="1"/>
  <c r="F299" i="23" s="1"/>
  <c r="G299" i="23" s="1"/>
  <c r="CD299" i="6" s="1"/>
  <c r="W299" i="23"/>
  <c r="W124" i="23"/>
  <c r="D124" i="23"/>
  <c r="E124" i="23" s="1"/>
  <c r="F124" i="23" s="1"/>
  <c r="V119" i="23"/>
  <c r="B119" i="23" s="1"/>
  <c r="AH47" i="7"/>
  <c r="D371" i="23"/>
  <c r="E371" i="23" s="1"/>
  <c r="F371" i="23" s="1"/>
  <c r="W371" i="23"/>
  <c r="D356" i="23"/>
  <c r="E356" i="23" s="1"/>
  <c r="F356" i="23" s="1"/>
  <c r="W356" i="23"/>
  <c r="D215" i="23"/>
  <c r="E215" i="23" s="1"/>
  <c r="F215" i="23" s="1"/>
  <c r="W215" i="23"/>
  <c r="D76" i="23"/>
  <c r="E76" i="23" s="1"/>
  <c r="F76" i="23" s="1"/>
  <c r="G76" i="23" s="1"/>
  <c r="CD76" i="6" s="1"/>
  <c r="W76" i="23"/>
  <c r="D152" i="23"/>
  <c r="E152" i="23" s="1"/>
  <c r="F152" i="23" s="1"/>
  <c r="W152" i="23"/>
  <c r="W101" i="23"/>
  <c r="D101" i="23"/>
  <c r="E101" i="23" s="1"/>
  <c r="F101" i="23" s="1"/>
  <c r="D337" i="23"/>
  <c r="E337" i="23" s="1"/>
  <c r="F337" i="23" s="1"/>
  <c r="W337" i="23"/>
  <c r="W147" i="23"/>
  <c r="D147" i="23"/>
  <c r="E147" i="23" s="1"/>
  <c r="F147" i="23" s="1"/>
  <c r="D188" i="23"/>
  <c r="E188" i="23" s="1"/>
  <c r="F188" i="23" s="1"/>
  <c r="W188" i="23"/>
  <c r="W282" i="23"/>
  <c r="D282" i="23"/>
  <c r="E282" i="23" s="1"/>
  <c r="F282" i="23" s="1"/>
  <c r="W367" i="23"/>
  <c r="D367" i="23"/>
  <c r="E367" i="23" s="1"/>
  <c r="F367" i="23" s="1"/>
  <c r="W269" i="23"/>
  <c r="D269" i="23"/>
  <c r="E269" i="23" s="1"/>
  <c r="F269" i="23" s="1"/>
  <c r="D112" i="23"/>
  <c r="E112" i="23" s="1"/>
  <c r="F112" i="23" s="1"/>
  <c r="W112" i="23"/>
  <c r="D181" i="23"/>
  <c r="E181" i="23" s="1"/>
  <c r="F181" i="23" s="1"/>
  <c r="W181" i="23"/>
  <c r="W143" i="23"/>
  <c r="D143" i="23"/>
  <c r="E143" i="23" s="1"/>
  <c r="F143" i="23" s="1"/>
  <c r="W308" i="23"/>
  <c r="D308" i="23"/>
  <c r="E308" i="23" s="1"/>
  <c r="F308" i="23" s="1"/>
  <c r="D372" i="23"/>
  <c r="E372" i="23" s="1"/>
  <c r="F372" i="23" s="1"/>
  <c r="W372" i="23"/>
  <c r="D233" i="23"/>
  <c r="E233" i="23" s="1"/>
  <c r="F233" i="23" s="1"/>
  <c r="G233" i="23" s="1"/>
  <c r="CD233" i="6" s="1"/>
  <c r="W233" i="23"/>
  <c r="W166" i="23"/>
  <c r="D166" i="23"/>
  <c r="E166" i="23" s="1"/>
  <c r="F166" i="23" s="1"/>
  <c r="G166" i="23" s="1"/>
  <c r="CD166" i="6" s="1"/>
  <c r="D342" i="23"/>
  <c r="E342" i="23" s="1"/>
  <c r="F342" i="23" s="1"/>
  <c r="H342" i="23" s="1"/>
  <c r="W342" i="23"/>
  <c r="W163" i="23"/>
  <c r="D163" i="23"/>
  <c r="E163" i="23" s="1"/>
  <c r="F163" i="23" s="1"/>
  <c r="D90" i="23"/>
  <c r="E90" i="23" s="1"/>
  <c r="F90" i="23" s="1"/>
  <c r="G90" i="23" s="1"/>
  <c r="CD90" i="6" s="1"/>
  <c r="W90" i="23"/>
  <c r="D114" i="23"/>
  <c r="E114" i="23" s="1"/>
  <c r="F114" i="23" s="1"/>
  <c r="W114" i="23"/>
  <c r="W47" i="23"/>
  <c r="D47" i="23"/>
  <c r="E47" i="23" s="1"/>
  <c r="F47" i="23" s="1"/>
  <c r="D313" i="23"/>
  <c r="E313" i="23" s="1"/>
  <c r="F313" i="23" s="1"/>
  <c r="G313" i="23" s="1"/>
  <c r="CD313" i="6" s="1"/>
  <c r="W313" i="23"/>
  <c r="D336" i="23"/>
  <c r="E336" i="23" s="1"/>
  <c r="F336" i="23" s="1"/>
  <c r="W336" i="23"/>
  <c r="D176" i="23"/>
  <c r="E176" i="23" s="1"/>
  <c r="F176" i="23" s="1"/>
  <c r="W176" i="23"/>
  <c r="W39" i="23"/>
  <c r="D39" i="23"/>
  <c r="E39" i="23" s="1"/>
  <c r="F39" i="23" s="1"/>
  <c r="D322" i="23"/>
  <c r="E322" i="23" s="1"/>
  <c r="F322" i="23" s="1"/>
  <c r="W322" i="23"/>
  <c r="W354" i="23"/>
  <c r="D354" i="23"/>
  <c r="E354" i="23" s="1"/>
  <c r="F354" i="23" s="1"/>
  <c r="W78" i="23"/>
  <c r="D78" i="23"/>
  <c r="E78" i="23" s="1"/>
  <c r="F78" i="23" s="1"/>
  <c r="W368" i="23"/>
  <c r="D368" i="23"/>
  <c r="E368" i="23" s="1"/>
  <c r="F368" i="23" s="1"/>
  <c r="D253" i="23"/>
  <c r="E253" i="23" s="1"/>
  <c r="F253" i="23" s="1"/>
  <c r="W253" i="23"/>
  <c r="D36" i="23"/>
  <c r="E36" i="23" s="1"/>
  <c r="F36" i="23" s="1"/>
  <c r="W36" i="23"/>
  <c r="W104" i="23"/>
  <c r="D104" i="23"/>
  <c r="E104" i="23" s="1"/>
  <c r="F104" i="23" s="1"/>
  <c r="D66" i="23"/>
  <c r="E66" i="23" s="1"/>
  <c r="F66" i="23" s="1"/>
  <c r="H66" i="23" s="1"/>
  <c r="I66" i="23" s="1"/>
  <c r="W66" i="23"/>
  <c r="D189" i="23"/>
  <c r="E189" i="23" s="1"/>
  <c r="F189" i="23" s="1"/>
  <c r="W189" i="23"/>
  <c r="W345" i="23"/>
  <c r="D345" i="23"/>
  <c r="E345" i="23" s="1"/>
  <c r="F345" i="23" s="1"/>
  <c r="G345" i="23" s="1"/>
  <c r="CD345" i="6" s="1"/>
  <c r="D377" i="23"/>
  <c r="E377" i="23" s="1"/>
  <c r="F377" i="23" s="1"/>
  <c r="G377" i="23" s="1"/>
  <c r="CD377" i="6" s="1"/>
  <c r="W377" i="23"/>
  <c r="W359" i="23"/>
  <c r="D359" i="23"/>
  <c r="E359" i="23" s="1"/>
  <c r="F359" i="23" s="1"/>
  <c r="W193" i="23"/>
  <c r="D193" i="23"/>
  <c r="E193" i="23" s="1"/>
  <c r="F193" i="23" s="1"/>
  <c r="D81" i="23"/>
  <c r="E81" i="23" s="1"/>
  <c r="F81" i="23" s="1"/>
  <c r="G81" i="23" s="1"/>
  <c r="CD81" i="6" s="1"/>
  <c r="W81" i="23"/>
  <c r="D222" i="23"/>
  <c r="E222" i="23" s="1"/>
  <c r="F222" i="23" s="1"/>
  <c r="W222" i="23"/>
  <c r="W361" i="23"/>
  <c r="D361" i="23"/>
  <c r="E361" i="23" s="1"/>
  <c r="F361" i="23" s="1"/>
  <c r="W148" i="23"/>
  <c r="D148" i="23"/>
  <c r="E148" i="23" s="1"/>
  <c r="F148" i="23" s="1"/>
  <c r="W171" i="23"/>
  <c r="D171" i="23"/>
  <c r="E171" i="23" s="1"/>
  <c r="F171" i="23" s="1"/>
  <c r="G171" i="23" s="1"/>
  <c r="CD171" i="6" s="1"/>
  <c r="D103" i="23"/>
  <c r="E103" i="23" s="1"/>
  <c r="F103" i="23" s="1"/>
  <c r="W103" i="23"/>
  <c r="W207" i="23"/>
  <c r="D207" i="23"/>
  <c r="E207" i="23" s="1"/>
  <c r="F207" i="23" s="1"/>
  <c r="D45" i="23"/>
  <c r="E45" i="23" s="1"/>
  <c r="F45" i="23" s="1"/>
  <c r="H45" i="23" s="1"/>
  <c r="J45" i="23" s="1"/>
  <c r="W45" i="23"/>
  <c r="D334" i="23"/>
  <c r="E334" i="23" s="1"/>
  <c r="F334" i="23" s="1"/>
  <c r="W334" i="23"/>
  <c r="H210" i="22"/>
  <c r="I210" i="22" s="1"/>
  <c r="G380" i="22"/>
  <c r="CC380" i="6" s="1"/>
  <c r="AA380" i="22"/>
  <c r="Z380" i="22" s="1"/>
  <c r="Y380" i="22" s="1"/>
  <c r="H380" i="22"/>
  <c r="I74" i="22"/>
  <c r="J74" i="22"/>
  <c r="I149" i="22"/>
  <c r="B66" i="19"/>
  <c r="V380" i="20"/>
  <c r="AG383" i="22"/>
  <c r="AG381" i="22"/>
  <c r="AG382" i="22"/>
  <c r="AF15" i="22"/>
  <c r="I272" i="22"/>
  <c r="H60" i="22"/>
  <c r="AA180" i="22"/>
  <c r="Z180" i="22" s="1"/>
  <c r="Y180" i="22" s="1"/>
  <c r="G180" i="22"/>
  <c r="CC180" i="6" s="1"/>
  <c r="H180" i="22"/>
  <c r="I135" i="22"/>
  <c r="J135" i="22"/>
  <c r="I241" i="22"/>
  <c r="AD382" i="20"/>
  <c r="AD383" i="20"/>
  <c r="AD381" i="20"/>
  <c r="H119" i="22"/>
  <c r="I302" i="22"/>
  <c r="I258" i="22"/>
  <c r="J258" i="22"/>
  <c r="AA60" i="22"/>
  <c r="Z60" i="22" s="1"/>
  <c r="Y60" i="22" s="1"/>
  <c r="G60" i="22"/>
  <c r="CC60" i="6" s="1"/>
  <c r="R383" i="22"/>
  <c r="P15" i="22"/>
  <c r="R381" i="22"/>
  <c r="R382" i="22"/>
  <c r="I88" i="22"/>
  <c r="Q139" i="24"/>
  <c r="Q95" i="24"/>
  <c r="BA15" i="7"/>
  <c r="AE175" i="24"/>
  <c r="AE140" i="24"/>
  <c r="AE101" i="24"/>
  <c r="AE70" i="24"/>
  <c r="AE290" i="24"/>
  <c r="AE39" i="24"/>
  <c r="AE307" i="24"/>
  <c r="AE272" i="24"/>
  <c r="AE281" i="24"/>
  <c r="AE202" i="24"/>
  <c r="AE16" i="24"/>
  <c r="AE29" i="24"/>
  <c r="AE360" i="24"/>
  <c r="AE15" i="24"/>
  <c r="AE125" i="24"/>
  <c r="AE36" i="24"/>
  <c r="AE282" i="24"/>
  <c r="AE239" i="24"/>
  <c r="AE204" i="24"/>
  <c r="AE165" i="24"/>
  <c r="AE134" i="24"/>
  <c r="AE354" i="24"/>
  <c r="AE248" i="24"/>
  <c r="AE145" i="24"/>
  <c r="AE130" i="24"/>
  <c r="AE135" i="24"/>
  <c r="AE35" i="24"/>
  <c r="AE240" i="24"/>
  <c r="AE348" i="24"/>
  <c r="AE277" i="24"/>
  <c r="AE246" i="24"/>
  <c r="AE235" i="24"/>
  <c r="AE136" i="24"/>
  <c r="AE372" i="24"/>
  <c r="AE349" i="24"/>
  <c r="AE318" i="24"/>
  <c r="AE148" i="24"/>
  <c r="AE224" i="24"/>
  <c r="AE137" i="24"/>
  <c r="AE26" i="24"/>
  <c r="AE358" i="24"/>
  <c r="AE347" i="24"/>
  <c r="AE344" i="24"/>
  <c r="AE241" i="24"/>
  <c r="AE98" i="24"/>
  <c r="AE206" i="24"/>
  <c r="AE115" i="24"/>
  <c r="AE80" i="24"/>
  <c r="AE89" i="24"/>
  <c r="AE108" i="24"/>
  <c r="AE367" i="24"/>
  <c r="AE293" i="24"/>
  <c r="AE123" i="24"/>
  <c r="AE20" i="24"/>
  <c r="AE217" i="24"/>
  <c r="AE342" i="24"/>
  <c r="AE296" i="24"/>
  <c r="AE210" i="24"/>
  <c r="AE355" i="24"/>
  <c r="AE190" i="24"/>
  <c r="AE43" i="24"/>
  <c r="AE180" i="24"/>
  <c r="AE233" i="24"/>
  <c r="AE143" i="24"/>
  <c r="AE376" i="24"/>
  <c r="AE155" i="24"/>
  <c r="AE164" i="24"/>
  <c r="AE377" i="24"/>
  <c r="AE255" i="24"/>
  <c r="AE222" i="24"/>
  <c r="AE55" i="24"/>
  <c r="AE81" i="24"/>
  <c r="AE71" i="24"/>
  <c r="AE176" i="24"/>
  <c r="AE106" i="24"/>
  <c r="AE274" i="24"/>
  <c r="AE52" i="24"/>
  <c r="AE361" i="24"/>
  <c r="AE271" i="24"/>
  <c r="AE69" i="24"/>
  <c r="AE283" i="24"/>
  <c r="AE266" i="24"/>
  <c r="AE203" i="24"/>
  <c r="AE97" i="24"/>
  <c r="AE350" i="24"/>
  <c r="AE192" i="24"/>
  <c r="AE378" i="24"/>
  <c r="AE315" i="24"/>
  <c r="AE209" i="24"/>
  <c r="AE199" i="24"/>
  <c r="AE251" i="24"/>
  <c r="AE114" i="24"/>
  <c r="AE87" i="24"/>
  <c r="AE17" i="24"/>
  <c r="AE352" i="24"/>
  <c r="AE265" i="24"/>
  <c r="AE154" i="24"/>
  <c r="AE230" i="24"/>
  <c r="AE219" i="24"/>
  <c r="AE216" i="24"/>
  <c r="AE113" i="24"/>
  <c r="AE333" i="24"/>
  <c r="AE334" i="24"/>
  <c r="AE243" i="24"/>
  <c r="AE319" i="24"/>
  <c r="AE60" i="24"/>
  <c r="AE328" i="24"/>
  <c r="AE193" i="24"/>
  <c r="AE178" i="24"/>
  <c r="AE151" i="24"/>
  <c r="AE84" i="24"/>
  <c r="AE61" i="24"/>
  <c r="AE329" i="24"/>
  <c r="AE218" i="24"/>
  <c r="AE64" i="24"/>
  <c r="AE41" i="24"/>
  <c r="AE357" i="24"/>
  <c r="AE326" i="24"/>
  <c r="AE187" i="24"/>
  <c r="AE295" i="24"/>
  <c r="AE196" i="24"/>
  <c r="AE173" i="24"/>
  <c r="AE174" i="24"/>
  <c r="AE83" i="24"/>
  <c r="AE287" i="24"/>
  <c r="AE284" i="24"/>
  <c r="AE213" i="24"/>
  <c r="AE63" i="24"/>
  <c r="AE171" i="24"/>
  <c r="AE72" i="24"/>
  <c r="AE308" i="24"/>
  <c r="AE285" i="24"/>
  <c r="AE254" i="24"/>
  <c r="AE195" i="24"/>
  <c r="AE160" i="24"/>
  <c r="AE73" i="24"/>
  <c r="AE325" i="24"/>
  <c r="AE34" i="24"/>
  <c r="AE19" i="24"/>
  <c r="AE30" i="24"/>
  <c r="AE373" i="24"/>
  <c r="AE249" i="24"/>
  <c r="AE127" i="24"/>
  <c r="AE53" i="24"/>
  <c r="AE242" i="24"/>
  <c r="AE259" i="24"/>
  <c r="AE236" i="24"/>
  <c r="AE102" i="24"/>
  <c r="AE88" i="24"/>
  <c r="AE205" i="24"/>
  <c r="AE371" i="24"/>
  <c r="AE345" i="24"/>
  <c r="AE18" i="24"/>
  <c r="AE51" i="24"/>
  <c r="AE33" i="24"/>
  <c r="AE150" i="24"/>
  <c r="AE104" i="24"/>
  <c r="AE22" i="24"/>
  <c r="AE163" i="24"/>
  <c r="AE105" i="24"/>
  <c r="AE100" i="24"/>
  <c r="AE207" i="24"/>
  <c r="AE306" i="24"/>
  <c r="AE212" i="24"/>
  <c r="AE94" i="24"/>
  <c r="AE303" i="24"/>
  <c r="AE152" i="24"/>
  <c r="AE269" i="24"/>
  <c r="AE179" i="24"/>
  <c r="AE153" i="24"/>
  <c r="AE278" i="24"/>
  <c r="AE85" i="24"/>
  <c r="AE96" i="24"/>
  <c r="AE261" i="24"/>
  <c r="AE322" i="24"/>
  <c r="AE228" i="24"/>
  <c r="AE78" i="24"/>
  <c r="AE208" i="24"/>
  <c r="AE245" i="24"/>
  <c r="AE75" i="24"/>
  <c r="AE340" i="24"/>
  <c r="AE181" i="24"/>
  <c r="Q232" i="24"/>
  <c r="Q30" i="24"/>
  <c r="Q330" i="24"/>
  <c r="Q201" i="24"/>
  <c r="Q309" i="24"/>
  <c r="Q337" i="24"/>
  <c r="Q37" i="24"/>
  <c r="Q62" i="24"/>
  <c r="Q211" i="24"/>
  <c r="Q371" i="24"/>
  <c r="Q324" i="24"/>
  <c r="Q317" i="24"/>
  <c r="Q131" i="24"/>
  <c r="Q202" i="24"/>
  <c r="Q329" i="24"/>
  <c r="Q292" i="24"/>
  <c r="Q35" i="24"/>
  <c r="Q288" i="24"/>
  <c r="Q370" i="24"/>
  <c r="Q141" i="24"/>
  <c r="Q342" i="24"/>
  <c r="Q252" i="24"/>
  <c r="Q217" i="24"/>
  <c r="Q175" i="24"/>
  <c r="Q64" i="24"/>
  <c r="Q113" i="24"/>
  <c r="Q262" i="24"/>
  <c r="Q156" i="24"/>
  <c r="Q257" i="24"/>
  <c r="Q294" i="24"/>
  <c r="Q352" i="24"/>
  <c r="Q303" i="24"/>
  <c r="Q92" i="24"/>
  <c r="Q129" i="24"/>
  <c r="Q43" i="24"/>
  <c r="Q333" i="24"/>
  <c r="Q204" i="24"/>
  <c r="Q57" i="24"/>
  <c r="Q124" i="24"/>
  <c r="Q375" i="24"/>
  <c r="Q335" i="24"/>
  <c r="Q170" i="24"/>
  <c r="Q117" i="24"/>
  <c r="Q174" i="24"/>
  <c r="Q273" i="24"/>
  <c r="Q73" i="24"/>
  <c r="Q118" i="24"/>
  <c r="Q32" i="24"/>
  <c r="Q316" i="24"/>
  <c r="Q115" i="24"/>
  <c r="Q263" i="24"/>
  <c r="Q195" i="24"/>
  <c r="Q296" i="24"/>
  <c r="Q334" i="24"/>
  <c r="Q168" i="24"/>
  <c r="Q373" i="24"/>
  <c r="Q194" i="24"/>
  <c r="Q277" i="24"/>
  <c r="Q222" i="24"/>
  <c r="Q362" i="24"/>
  <c r="Q233" i="24"/>
  <c r="Q293" i="24"/>
  <c r="Q258" i="24"/>
  <c r="Q87" i="24"/>
  <c r="Q322" i="24"/>
  <c r="Q346" i="24"/>
  <c r="Q248" i="24"/>
  <c r="Q38" i="24"/>
  <c r="Q191" i="24"/>
  <c r="Q379" i="24"/>
  <c r="Q66" i="24"/>
  <c r="Q304" i="24"/>
  <c r="Q260" i="24"/>
  <c r="Q42" i="24"/>
  <c r="Q190" i="24"/>
  <c r="Q41" i="24"/>
  <c r="Q149" i="24"/>
  <c r="Q299" i="24"/>
  <c r="Q365" i="24"/>
  <c r="Q187" i="24"/>
  <c r="Q266" i="24"/>
  <c r="Q328" i="24"/>
  <c r="Q167" i="24"/>
  <c r="Q238" i="24"/>
  <c r="Q25" i="24"/>
  <c r="Q106" i="24"/>
  <c r="Q166" i="24"/>
  <c r="Q267" i="24"/>
  <c r="Q188" i="24"/>
  <c r="Q345" i="24"/>
  <c r="Q321" i="24"/>
  <c r="Q230" i="24"/>
  <c r="Q27" i="24"/>
  <c r="Q96" i="24"/>
  <c r="Q31" i="24"/>
  <c r="Q172" i="24"/>
  <c r="Q289" i="24"/>
  <c r="Q77" i="24"/>
  <c r="Q85" i="24"/>
  <c r="Q361" i="24"/>
  <c r="Q157" i="24"/>
  <c r="Q114" i="24"/>
  <c r="Q88" i="24"/>
  <c r="Q101" i="24"/>
  <c r="Q290" i="24"/>
  <c r="Q83" i="24"/>
  <c r="Q274" i="24"/>
  <c r="Q356" i="24"/>
  <c r="Q169" i="24"/>
  <c r="Q212" i="24"/>
  <c r="Q349" i="24"/>
  <c r="Q355" i="24"/>
  <c r="Q218" i="24"/>
  <c r="Q323" i="24"/>
  <c r="Q207" i="24"/>
  <c r="Q372" i="24"/>
  <c r="Q369" i="24"/>
  <c r="Q72" i="24"/>
  <c r="Q231" i="24"/>
  <c r="Q146" i="24"/>
  <c r="Q200" i="24"/>
  <c r="Q302" i="24"/>
  <c r="Q136" i="24"/>
  <c r="Q338" i="24"/>
  <c r="Q132" i="24"/>
  <c r="Q189" i="24"/>
  <c r="Q259" i="24"/>
  <c r="Q138" i="24"/>
  <c r="Q377" i="24"/>
  <c r="Q359" i="24"/>
  <c r="Q284" i="24"/>
  <c r="Q121" i="24"/>
  <c r="Q44" i="24"/>
  <c r="Q23" i="24"/>
  <c r="Q278" i="24"/>
  <c r="Q165" i="24"/>
  <c r="Q126" i="24"/>
  <c r="Q216" i="24"/>
  <c r="Q173" i="24"/>
  <c r="Q272" i="24"/>
  <c r="Q235" i="24"/>
  <c r="Q279" i="24"/>
  <c r="Q283" i="24"/>
  <c r="Q239" i="24"/>
  <c r="Q89" i="24"/>
  <c r="Q107" i="24"/>
  <c r="Q220" i="24"/>
  <c r="Q347" i="24"/>
  <c r="Q203" i="24"/>
  <c r="Q326" i="24"/>
  <c r="Q65" i="24"/>
  <c r="Q256" i="24"/>
  <c r="Q22" i="24"/>
  <c r="Q209" i="24"/>
  <c r="Q374" i="24"/>
  <c r="Q133" i="24"/>
  <c r="Q245" i="24"/>
  <c r="Q110" i="24"/>
  <c r="Q376" i="24"/>
  <c r="Q249" i="24"/>
  <c r="Q109" i="24"/>
  <c r="Q358" i="24"/>
  <c r="Q285" i="24"/>
  <c r="Q186" i="24"/>
  <c r="Q164" i="24"/>
  <c r="Q34" i="24"/>
  <c r="Q214" i="24"/>
  <c r="Q94" i="24"/>
  <c r="Q250" i="24"/>
  <c r="Q135" i="24"/>
  <c r="Q229" i="24"/>
  <c r="Q354" i="24"/>
  <c r="Q158" i="24"/>
  <c r="Q327" i="24"/>
  <c r="Q120" i="24"/>
  <c r="Q152" i="24"/>
  <c r="Q49" i="24"/>
  <c r="Q318" i="24"/>
  <c r="Q227" i="24"/>
  <c r="Q282" i="24"/>
  <c r="Q312" i="24"/>
  <c r="Q192" i="24"/>
  <c r="AE57" i="24"/>
  <c r="AE341" i="24"/>
  <c r="AE310" i="24"/>
  <c r="AE299" i="24"/>
  <c r="AE200" i="24"/>
  <c r="AE65" i="24"/>
  <c r="AE157" i="24"/>
  <c r="AE126" i="24"/>
  <c r="AE67" i="24"/>
  <c r="AE32" i="24"/>
  <c r="AE300" i="24"/>
  <c r="AE197" i="24"/>
  <c r="AE166" i="24"/>
  <c r="AE258" i="24"/>
  <c r="AE366" i="24"/>
  <c r="AE275" i="24"/>
  <c r="AE112" i="24"/>
  <c r="AE121" i="24"/>
  <c r="AE42" i="24"/>
  <c r="AE374" i="24"/>
  <c r="AE363" i="24"/>
  <c r="AE264" i="24"/>
  <c r="AE129" i="24"/>
  <c r="AE370" i="24"/>
  <c r="AE343" i="24"/>
  <c r="AE276" i="24"/>
  <c r="AE253" i="24"/>
  <c r="AE158" i="24"/>
  <c r="AE23" i="24"/>
  <c r="AE111" i="24"/>
  <c r="AE76" i="24"/>
  <c r="AE25" i="24"/>
  <c r="AE369" i="24"/>
  <c r="AE226" i="24"/>
  <c r="AE231" i="24"/>
  <c r="AE132" i="24"/>
  <c r="AE365" i="24"/>
  <c r="AE110" i="24"/>
  <c r="AE21" i="24"/>
  <c r="AE223" i="24"/>
  <c r="AE220" i="24"/>
  <c r="AE149" i="24"/>
  <c r="AE118" i="24"/>
  <c r="AE107" i="24"/>
  <c r="AE375" i="24"/>
  <c r="AE244" i="24"/>
  <c r="AE320" i="24"/>
  <c r="AE297" i="24"/>
  <c r="AE250" i="24"/>
  <c r="AE292" i="24"/>
  <c r="AE291" i="24"/>
  <c r="AE332" i="24"/>
  <c r="AE262" i="24"/>
  <c r="AE120" i="24"/>
  <c r="AE109" i="24"/>
  <c r="AE138" i="24"/>
  <c r="AE331" i="24"/>
  <c r="AE225" i="24"/>
  <c r="AE119" i="24"/>
  <c r="AE221" i="24"/>
  <c r="AE131" i="24"/>
  <c r="AE311" i="24"/>
  <c r="AE256" i="24"/>
  <c r="AE186" i="24"/>
  <c r="AE44" i="24"/>
  <c r="AE273" i="24"/>
  <c r="AE263" i="24"/>
  <c r="AE368" i="24"/>
  <c r="AE40" i="24"/>
  <c r="AE252" i="24"/>
  <c r="AE99" i="24"/>
  <c r="AE184" i="24"/>
  <c r="AE66" i="24"/>
  <c r="AE339" i="24"/>
  <c r="AE185" i="24"/>
  <c r="AE182" i="24"/>
  <c r="AE183" i="24"/>
  <c r="AE28" i="24"/>
  <c r="AE314" i="24"/>
  <c r="AE172" i="24"/>
  <c r="AE294" i="24"/>
  <c r="AE280" i="24"/>
  <c r="AE95" i="24"/>
  <c r="AE168" i="24"/>
  <c r="AE82" i="24"/>
  <c r="AE227" i="24"/>
  <c r="AE169" i="24"/>
  <c r="AE79" i="24"/>
  <c r="AE312" i="24"/>
  <c r="AE194" i="24"/>
  <c r="AE37" i="24"/>
  <c r="AE359" i="24"/>
  <c r="AE260" i="24"/>
  <c r="AE237" i="24"/>
  <c r="AE238" i="24"/>
  <c r="AE147" i="24"/>
  <c r="AE351" i="24"/>
  <c r="AE92" i="24"/>
  <c r="AE27" i="24"/>
  <c r="AE353" i="24"/>
  <c r="AE338" i="24"/>
  <c r="AE247" i="24"/>
  <c r="AE116" i="24"/>
  <c r="AE93" i="24"/>
  <c r="AE62" i="24"/>
  <c r="AE122" i="24"/>
  <c r="AE198" i="24"/>
  <c r="AE59" i="24"/>
  <c r="AE56" i="24"/>
  <c r="AE324" i="24"/>
  <c r="AE301" i="24"/>
  <c r="AE302" i="24"/>
  <c r="AE211" i="24"/>
  <c r="AE48" i="24"/>
  <c r="AE313" i="24"/>
  <c r="AE234" i="24"/>
  <c r="AE191" i="24"/>
  <c r="AE188" i="24"/>
  <c r="AE117" i="24"/>
  <c r="AE321" i="24"/>
  <c r="AE50" i="24"/>
  <c r="AE24" i="24"/>
  <c r="AE323" i="24"/>
  <c r="AE288" i="24"/>
  <c r="AE201" i="24"/>
  <c r="AE90" i="24"/>
  <c r="AE47" i="24"/>
  <c r="AE379" i="24"/>
  <c r="AE12" i="25" s="1"/>
  <c r="AE229" i="24"/>
  <c r="AE305" i="24"/>
  <c r="AE162" i="24"/>
  <c r="AE167" i="24"/>
  <c r="AE68" i="24"/>
  <c r="AE45" i="24"/>
  <c r="AE46" i="24"/>
  <c r="AE330" i="24"/>
  <c r="AE159" i="24"/>
  <c r="AE267" i="24"/>
  <c r="AE232" i="24"/>
  <c r="AE161" i="24"/>
  <c r="AE146" i="24"/>
  <c r="AE141" i="24"/>
  <c r="AE170" i="24"/>
  <c r="AE124" i="24"/>
  <c r="AE257" i="24"/>
  <c r="AE215" i="24"/>
  <c r="AE335" i="24"/>
  <c r="AE133" i="24"/>
  <c r="AE91" i="24"/>
  <c r="AE356" i="24"/>
  <c r="AE103" i="24"/>
  <c r="AE336" i="24"/>
  <c r="AE177" i="24"/>
  <c r="AE142" i="24"/>
  <c r="AE38" i="24"/>
  <c r="AE309" i="24"/>
  <c r="AE139" i="24"/>
  <c r="AE289" i="24"/>
  <c r="AE286" i="24"/>
  <c r="AE128" i="24"/>
  <c r="AE58" i="24"/>
  <c r="AE304" i="24"/>
  <c r="AE214" i="24"/>
  <c r="AE279" i="24"/>
  <c r="AE189" i="24"/>
  <c r="AE346" i="24"/>
  <c r="AE268" i="24"/>
  <c r="AE49" i="24"/>
  <c r="AE270" i="24"/>
  <c r="AE144" i="24"/>
  <c r="AE74" i="24"/>
  <c r="AE156" i="24"/>
  <c r="AE54" i="24"/>
  <c r="AE364" i="24"/>
  <c r="AE337" i="24"/>
  <c r="AE327" i="24"/>
  <c r="AE77" i="24"/>
  <c r="AE362" i="24"/>
  <c r="AE316" i="24"/>
  <c r="AE86" i="24"/>
  <c r="AE298" i="24"/>
  <c r="AE317" i="24"/>
  <c r="AE31" i="24"/>
  <c r="Q99" i="24"/>
  <c r="Q181" i="24"/>
  <c r="Q228" i="24"/>
  <c r="Q325" i="24"/>
  <c r="Q206" i="24"/>
  <c r="Q56" i="24"/>
  <c r="Q341" i="24"/>
  <c r="Q50" i="24"/>
  <c r="Q74" i="24"/>
  <c r="Q270" i="24"/>
  <c r="Q137" i="24"/>
  <c r="Q111" i="24"/>
  <c r="Q18" i="24"/>
  <c r="Q160" i="24"/>
  <c r="Q75" i="24"/>
  <c r="Q276" i="24"/>
  <c r="Q297" i="24"/>
  <c r="Q147" i="24"/>
  <c r="Q210" i="24"/>
  <c r="Q223" i="24"/>
  <c r="Q98" i="24"/>
  <c r="Q363" i="24"/>
  <c r="Q340" i="24"/>
  <c r="Q103" i="24"/>
  <c r="Q350" i="24"/>
  <c r="Q151" i="24"/>
  <c r="Q237" i="24"/>
  <c r="Q153" i="24"/>
  <c r="Q45" i="24"/>
  <c r="Q300" i="24"/>
  <c r="Q15" i="24"/>
  <c r="Q19" i="24"/>
  <c r="Q281" i="24"/>
  <c r="Q102" i="24"/>
  <c r="Q127" i="24"/>
  <c r="Q178" i="24"/>
  <c r="Q28" i="24"/>
  <c r="Q104" i="24"/>
  <c r="Q357" i="24"/>
  <c r="Q286" i="24"/>
  <c r="Q79" i="24"/>
  <c r="Q58" i="24"/>
  <c r="Q70" i="24"/>
  <c r="Q148" i="24"/>
  <c r="Q221" i="24"/>
  <c r="Q161" i="24"/>
  <c r="Q100" i="24"/>
  <c r="Q336" i="24"/>
  <c r="Q226" i="24"/>
  <c r="Q280" i="24"/>
  <c r="Q287" i="24"/>
  <c r="Q298" i="24"/>
  <c r="Q81" i="24"/>
  <c r="Q48" i="24"/>
  <c r="Q339" i="24"/>
  <c r="Q159" i="24"/>
  <c r="Q47" i="24"/>
  <c r="Q29" i="24"/>
  <c r="Q68" i="24"/>
  <c r="Q61" i="24"/>
  <c r="Q240" i="24"/>
  <c r="Q20" i="24"/>
  <c r="Q205" i="24"/>
  <c r="Q246" i="24"/>
  <c r="Q183" i="24"/>
  <c r="Q176" i="24"/>
  <c r="Q367" i="24"/>
  <c r="Q171" i="24"/>
  <c r="Q82" i="24"/>
  <c r="Q179" i="24"/>
  <c r="Q46" i="24"/>
  <c r="Q123" i="24"/>
  <c r="Q51" i="24"/>
  <c r="Q144" i="24"/>
  <c r="Q305" i="24"/>
  <c r="Q314" i="24"/>
  <c r="Q17" i="24"/>
  <c r="Q150" i="24"/>
  <c r="Q208" i="24"/>
  <c r="Q343" i="24"/>
  <c r="Q224" i="24"/>
  <c r="Q219" i="24"/>
  <c r="Q331" i="24"/>
  <c r="Q55" i="24"/>
  <c r="Q122" i="24"/>
  <c r="Q53" i="24"/>
  <c r="Q78" i="24"/>
  <c r="Q16" i="24"/>
  <c r="Q40" i="24"/>
  <c r="Q59" i="24"/>
  <c r="Q364" i="24"/>
  <c r="Q215" i="24"/>
  <c r="Q93" i="24"/>
  <c r="Q67" i="24"/>
  <c r="Q52" i="24"/>
  <c r="Q366" i="24"/>
  <c r="Q182" i="24"/>
  <c r="Q332" i="24"/>
  <c r="Q154" i="24"/>
  <c r="Q116" i="24"/>
  <c r="Q291" i="24"/>
  <c r="Q140" i="24"/>
  <c r="Q185" i="24"/>
  <c r="Q225" i="24"/>
  <c r="Q301" i="24"/>
  <c r="Q269" i="24"/>
  <c r="Q119" i="24"/>
  <c r="Q80" i="24"/>
  <c r="Q125" i="24"/>
  <c r="Q378" i="24"/>
  <c r="Q143" i="24"/>
  <c r="Q39" i="24"/>
  <c r="Q368" i="24"/>
  <c r="Q234" i="24"/>
  <c r="Q196" i="24"/>
  <c r="Q306" i="24"/>
  <c r="Q130" i="24"/>
  <c r="Q69" i="24"/>
  <c r="Q319" i="24"/>
  <c r="Q275" i="24"/>
  <c r="Q145" i="24"/>
  <c r="Q24" i="24"/>
  <c r="Q197" i="24"/>
  <c r="Q142" i="24"/>
  <c r="Q308" i="24"/>
  <c r="Q105" i="24"/>
  <c r="Q90" i="24"/>
  <c r="Q91" i="24"/>
  <c r="Q254" i="24"/>
  <c r="Q71" i="24"/>
  <c r="Q307" i="24"/>
  <c r="Q184" i="24"/>
  <c r="Q199" i="24"/>
  <c r="Q351" i="24"/>
  <c r="Q162" i="24"/>
  <c r="Q213" i="24"/>
  <c r="Q177" i="24"/>
  <c r="Q243" i="24"/>
  <c r="Q353" i="24"/>
  <c r="Q315" i="24"/>
  <c r="Q310" i="24"/>
  <c r="Q128" i="24"/>
  <c r="Q180" i="24"/>
  <c r="Q60" i="24"/>
  <c r="Q268" i="24"/>
  <c r="Q360" i="24"/>
  <c r="Q264" i="24"/>
  <c r="Q295" i="24"/>
  <c r="Q255" i="24"/>
  <c r="Q242" i="24"/>
  <c r="Q261" i="24"/>
  <c r="Q265" i="24"/>
  <c r="Q244" i="24"/>
  <c r="Q155" i="24"/>
  <c r="Q320" i="24"/>
  <c r="Q193" i="24"/>
  <c r="Q134" i="24"/>
  <c r="Q84" i="24"/>
  <c r="Q236" i="24"/>
  <c r="Q348" i="24"/>
  <c r="Q198" i="24"/>
  <c r="Q241" i="24"/>
  <c r="Q163" i="24"/>
  <c r="Q54" i="24"/>
  <c r="Q253" i="24"/>
  <c r="Q247" i="24"/>
  <c r="Q36" i="24"/>
  <c r="Q26" i="24"/>
  <c r="Q344" i="24"/>
  <c r="Q313" i="24"/>
  <c r="Q97" i="24"/>
  <c r="Q86" i="24"/>
  <c r="Q63" i="24"/>
  <c r="Q108" i="24"/>
  <c r="Q33" i="24"/>
  <c r="Q76" i="24"/>
  <c r="Q21" i="24"/>
  <c r="Q271" i="24"/>
  <c r="Q311" i="24"/>
  <c r="Q112" i="24"/>
  <c r="Q251" i="24"/>
  <c r="I288" i="22"/>
  <c r="J288" i="22"/>
  <c r="G119" i="22"/>
  <c r="CC119" i="6" s="1"/>
  <c r="AA119" i="22"/>
  <c r="Z119" i="22" s="1"/>
  <c r="Y119" i="22" s="1"/>
  <c r="I319" i="22"/>
  <c r="J319" i="22"/>
  <c r="AJ7" i="18"/>
  <c r="E15" i="18"/>
  <c r="AJ9" i="18" s="1"/>
  <c r="D383" i="18"/>
  <c r="AJ8" i="18"/>
  <c r="D381" i="18"/>
  <c r="D382" i="18"/>
  <c r="D9" i="18"/>
  <c r="D11" i="18" s="1"/>
  <c r="Y381" i="17"/>
  <c r="Y383" i="17"/>
  <c r="AM6" i="17"/>
  <c r="AM12" i="17" s="1"/>
  <c r="X9" i="17"/>
  <c r="AL5" i="17"/>
  <c r="AL11" i="17" s="1"/>
  <c r="Y382" i="17"/>
  <c r="I227" i="22"/>
  <c r="J227" i="22"/>
  <c r="G210" i="22"/>
  <c r="CC210" i="6" s="1"/>
  <c r="AA210" i="22"/>
  <c r="Z210" i="22" s="1"/>
  <c r="Y210" i="22" s="1"/>
  <c r="I333" i="22"/>
  <c r="AH15" i="23"/>
  <c r="AI12" i="24"/>
  <c r="AH379" i="23"/>
  <c r="AG379" i="23" s="1"/>
  <c r="AF379" i="23" s="1"/>
  <c r="AD379" i="23" s="1"/>
  <c r="AA363" i="22"/>
  <c r="Z363" i="22" s="1"/>
  <c r="Y363" i="22" s="1"/>
  <c r="H363" i="22"/>
  <c r="G363" i="22"/>
  <c r="CC363" i="6" s="1"/>
  <c r="J29" i="22"/>
  <c r="I29" i="22"/>
  <c r="AK9" i="18"/>
  <c r="AM9" i="18"/>
  <c r="AK11" i="18"/>
  <c r="AI11" i="24"/>
  <c r="W137" i="23"/>
  <c r="D137" i="23"/>
  <c r="E137" i="23" s="1"/>
  <c r="F137" i="23" s="1"/>
  <c r="G151" i="23"/>
  <c r="CD151" i="6" s="1"/>
  <c r="AA151" i="23"/>
  <c r="Z151" i="23" s="1"/>
  <c r="Y151" i="23" s="1"/>
  <c r="D60" i="23"/>
  <c r="E60" i="23" s="1"/>
  <c r="F60" i="23" s="1"/>
  <c r="W60" i="23"/>
  <c r="G257" i="23"/>
  <c r="CD257" i="6" s="1"/>
  <c r="G218" i="23"/>
  <c r="CD218" i="6" s="1"/>
  <c r="AA218" i="23"/>
  <c r="Z218" i="23" s="1"/>
  <c r="Y218" i="23" s="1"/>
  <c r="H218" i="23"/>
  <c r="AA225" i="23"/>
  <c r="Z225" i="23" s="1"/>
  <c r="Y225" i="23" s="1"/>
  <c r="H225" i="23"/>
  <c r="AA27" i="23"/>
  <c r="Z27" i="23" s="1"/>
  <c r="Y27" i="23" s="1"/>
  <c r="G27" i="23"/>
  <c r="CD27" i="6" s="1"/>
  <c r="AA31" i="23"/>
  <c r="Z31" i="23" s="1"/>
  <c r="Y31" i="23" s="1"/>
  <c r="C68" i="19"/>
  <c r="W349" i="23"/>
  <c r="D349" i="23"/>
  <c r="E349" i="23" s="1"/>
  <c r="F349" i="23" s="1"/>
  <c r="H35" i="23"/>
  <c r="G35" i="23"/>
  <c r="CD35" i="6" s="1"/>
  <c r="D326" i="23"/>
  <c r="E326" i="23" s="1"/>
  <c r="F326" i="23" s="1"/>
  <c r="W326" i="23"/>
  <c r="D109" i="23"/>
  <c r="E109" i="23" s="1"/>
  <c r="F109" i="23" s="1"/>
  <c r="W109" i="23"/>
  <c r="D170" i="23"/>
  <c r="E170" i="23" s="1"/>
  <c r="F170" i="23" s="1"/>
  <c r="W170" i="23"/>
  <c r="D196" i="23"/>
  <c r="E196" i="23" s="1"/>
  <c r="F196" i="23" s="1"/>
  <c r="W196" i="23"/>
  <c r="W289" i="23"/>
  <c r="D289" i="23"/>
  <c r="E289" i="23" s="1"/>
  <c r="F289" i="23" s="1"/>
  <c r="W234" i="23"/>
  <c r="D234" i="23"/>
  <c r="E234" i="23" s="1"/>
  <c r="F234" i="23" s="1"/>
  <c r="W74" i="23"/>
  <c r="D74" i="23"/>
  <c r="E74" i="23" s="1"/>
  <c r="F74" i="23" s="1"/>
  <c r="W51" i="23"/>
  <c r="D51" i="23"/>
  <c r="E51" i="23" s="1"/>
  <c r="F51" i="23" s="1"/>
  <c r="W29" i="23"/>
  <c r="D29" i="23"/>
  <c r="E29" i="23" s="1"/>
  <c r="F29" i="23" s="1"/>
  <c r="D263" i="23"/>
  <c r="E263" i="23" s="1"/>
  <c r="F263" i="23" s="1"/>
  <c r="W263" i="23"/>
  <c r="G199" i="23"/>
  <c r="CD199" i="6" s="1"/>
  <c r="H199" i="23"/>
  <c r="AA199" i="23"/>
  <c r="Z199" i="23" s="1"/>
  <c r="Y199" i="23" s="1"/>
  <c r="AA300" i="23" l="1"/>
  <c r="Z300" i="23" s="1"/>
  <c r="Y300" i="23" s="1"/>
  <c r="H300" i="23"/>
  <c r="I300" i="23" s="1"/>
  <c r="G300" i="23"/>
  <c r="CD300" i="6" s="1"/>
  <c r="H31" i="23"/>
  <c r="J31" i="23" s="1"/>
  <c r="H102" i="23"/>
  <c r="I102" i="23" s="1"/>
  <c r="AA319" i="23"/>
  <c r="Z319" i="23" s="1"/>
  <c r="Y319" i="23" s="1"/>
  <c r="W191" i="23"/>
  <c r="D310" i="23"/>
  <c r="E310" i="23" s="1"/>
  <c r="F310" i="23" s="1"/>
  <c r="AA310" i="23" s="1"/>
  <c r="Z310" i="23" s="1"/>
  <c r="Y310" i="23" s="1"/>
  <c r="W162" i="23"/>
  <c r="W314" i="23"/>
  <c r="W284" i="23"/>
  <c r="D187" i="23"/>
  <c r="E187" i="23" s="1"/>
  <c r="F187" i="23" s="1"/>
  <c r="G187" i="23" s="1"/>
  <c r="CD187" i="6" s="1"/>
  <c r="W61" i="23"/>
  <c r="D184" i="23"/>
  <c r="E184" i="23" s="1"/>
  <c r="F184" i="23" s="1"/>
  <c r="H184" i="23" s="1"/>
  <c r="I184" i="23" s="1"/>
  <c r="W258" i="23"/>
  <c r="W300" i="23"/>
  <c r="D26" i="23"/>
  <c r="E26" i="23" s="1"/>
  <c r="F26" i="23" s="1"/>
  <c r="H162" i="23"/>
  <c r="J162" i="23" s="1"/>
  <c r="AA162" i="23"/>
  <c r="Z162" i="23" s="1"/>
  <c r="Y162" i="23" s="1"/>
  <c r="G162" i="23"/>
  <c r="CD162" i="6" s="1"/>
  <c r="G191" i="23"/>
  <c r="CD191" i="6" s="1"/>
  <c r="AA191" i="23"/>
  <c r="Z191" i="23" s="1"/>
  <c r="Y191" i="23" s="1"/>
  <c r="AA284" i="23"/>
  <c r="Z284" i="23" s="1"/>
  <c r="Y284" i="23" s="1"/>
  <c r="G284" i="23"/>
  <c r="CD284" i="6" s="1"/>
  <c r="H284" i="23"/>
  <c r="J284" i="23" s="1"/>
  <c r="H314" i="23"/>
  <c r="I314" i="23" s="1"/>
  <c r="AA314" i="23"/>
  <c r="Z314" i="23" s="1"/>
  <c r="Y314" i="23" s="1"/>
  <c r="G314" i="23"/>
  <c r="CD314" i="6" s="1"/>
  <c r="G82" i="23"/>
  <c r="CD82" i="6" s="1"/>
  <c r="AA82" i="23"/>
  <c r="Z82" i="23" s="1"/>
  <c r="Y82" i="23" s="1"/>
  <c r="G267" i="23"/>
  <c r="CD267" i="6" s="1"/>
  <c r="G258" i="23"/>
  <c r="CD258" i="6" s="1"/>
  <c r="AA258" i="23"/>
  <c r="Z258" i="23" s="1"/>
  <c r="Y258" i="23" s="1"/>
  <c r="AA61" i="23"/>
  <c r="Z61" i="23" s="1"/>
  <c r="Y61" i="23" s="1"/>
  <c r="G61" i="23"/>
  <c r="CD61" i="6" s="1"/>
  <c r="G206" i="23"/>
  <c r="CD206" i="6" s="1"/>
  <c r="H206" i="23"/>
  <c r="J206" i="23" s="1"/>
  <c r="AA206" i="23"/>
  <c r="Z206" i="23" s="1"/>
  <c r="Y206" i="23" s="1"/>
  <c r="H248" i="23"/>
  <c r="J248" i="23" s="1"/>
  <c r="G248" i="23"/>
  <c r="CD248" i="6" s="1"/>
  <c r="AA248" i="23"/>
  <c r="Z248" i="23" s="1"/>
  <c r="Y248" i="23" s="1"/>
  <c r="U4" i="6"/>
  <c r="V4" i="6"/>
  <c r="H82" i="23"/>
  <c r="I82" i="23" s="1"/>
  <c r="J290" i="22"/>
  <c r="I290" i="22"/>
  <c r="H290" i="23" s="1"/>
  <c r="I224" i="22"/>
  <c r="J224" i="22"/>
  <c r="I208" i="22"/>
  <c r="J208" i="22"/>
  <c r="I322" i="22"/>
  <c r="J322" i="22"/>
  <c r="I259" i="22"/>
  <c r="J259" i="22"/>
  <c r="J367" i="22"/>
  <c r="I367" i="22"/>
  <c r="H367" i="23" s="1"/>
  <c r="I46" i="22"/>
  <c r="J46" i="22"/>
  <c r="I107" i="22"/>
  <c r="J107" i="22"/>
  <c r="J72" i="22"/>
  <c r="I72" i="22"/>
  <c r="H72" i="23" s="1"/>
  <c r="I194" i="22"/>
  <c r="H194" i="23" s="1"/>
  <c r="J194" i="23" s="1"/>
  <c r="J194" i="22"/>
  <c r="I310" i="22"/>
  <c r="J310" i="22"/>
  <c r="I285" i="22"/>
  <c r="J285" i="22"/>
  <c r="J267" i="22"/>
  <c r="I267" i="22"/>
  <c r="H267" i="23" s="1"/>
  <c r="J153" i="22"/>
  <c r="I153" i="22"/>
  <c r="H153" i="23" s="1"/>
  <c r="I30" i="22"/>
  <c r="J30" i="22"/>
  <c r="J115" i="22"/>
  <c r="I115" i="22"/>
  <c r="I94" i="22"/>
  <c r="J94" i="22"/>
  <c r="J79" i="22"/>
  <c r="I79" i="22"/>
  <c r="J75" i="22"/>
  <c r="I75" i="22"/>
  <c r="H75" i="23" s="1"/>
  <c r="J145" i="22"/>
  <c r="I145" i="22"/>
  <c r="H145" i="23" s="1"/>
  <c r="J164" i="22"/>
  <c r="I164" i="22"/>
  <c r="H164" i="23" s="1"/>
  <c r="J308" i="22"/>
  <c r="I308" i="22"/>
  <c r="I106" i="22"/>
  <c r="J106" i="22"/>
  <c r="I127" i="22"/>
  <c r="J127" i="22"/>
  <c r="I195" i="22"/>
  <c r="J195" i="22"/>
  <c r="J373" i="22"/>
  <c r="I373" i="22"/>
  <c r="J56" i="22"/>
  <c r="I56" i="22"/>
  <c r="J69" i="22"/>
  <c r="I69" i="22"/>
  <c r="W279" i="23"/>
  <c r="D202" i="23"/>
  <c r="E202" i="23" s="1"/>
  <c r="F202" i="23" s="1"/>
  <c r="I50" i="22"/>
  <c r="J50" i="22"/>
  <c r="I113" i="22"/>
  <c r="J113" i="22"/>
  <c r="I138" i="22"/>
  <c r="J138" i="22"/>
  <c r="I73" i="22"/>
  <c r="J73" i="22"/>
  <c r="I185" i="22"/>
  <c r="J185" i="22"/>
  <c r="I48" i="22"/>
  <c r="J48" i="22"/>
  <c r="I360" i="22"/>
  <c r="J360" i="22"/>
  <c r="I109" i="22"/>
  <c r="J109" i="22"/>
  <c r="J262" i="22"/>
  <c r="I262" i="22"/>
  <c r="I222" i="22"/>
  <c r="J222" i="22"/>
  <c r="I271" i="22"/>
  <c r="J271" i="22"/>
  <c r="I231" i="22"/>
  <c r="J231" i="22"/>
  <c r="J22" i="22"/>
  <c r="I22" i="22"/>
  <c r="H22" i="23" s="1"/>
  <c r="J341" i="22"/>
  <c r="I341" i="22"/>
  <c r="J43" i="22"/>
  <c r="I43" i="22"/>
  <c r="I253" i="22"/>
  <c r="J253" i="22"/>
  <c r="J212" i="22"/>
  <c r="I212" i="22"/>
  <c r="H212" i="23" s="1"/>
  <c r="I41" i="22"/>
  <c r="J41" i="22"/>
  <c r="J85" i="22"/>
  <c r="I85" i="22"/>
  <c r="H85" i="23" s="1"/>
  <c r="D255" i="23"/>
  <c r="E255" i="23" s="1"/>
  <c r="F255" i="23" s="1"/>
  <c r="W56" i="23"/>
  <c r="W236" i="23"/>
  <c r="W280" i="23"/>
  <c r="D268" i="23"/>
  <c r="E268" i="23" s="1"/>
  <c r="F268" i="23" s="1"/>
  <c r="D20" i="23"/>
  <c r="E20" i="23" s="1"/>
  <c r="F20" i="23" s="1"/>
  <c r="D223" i="23"/>
  <c r="E223" i="23" s="1"/>
  <c r="F223" i="23" s="1"/>
  <c r="W374" i="23"/>
  <c r="H288" i="23"/>
  <c r="J288" i="23" s="1"/>
  <c r="H258" i="23"/>
  <c r="I258" i="23" s="1"/>
  <c r="H253" i="23"/>
  <c r="J253" i="23" s="1"/>
  <c r="H113" i="23"/>
  <c r="I113" i="23" s="1"/>
  <c r="H262" i="23"/>
  <c r="I262" i="23" s="1"/>
  <c r="AA202" i="23"/>
  <c r="Z202" i="23" s="1"/>
  <c r="Y202" i="23" s="1"/>
  <c r="AA267" i="23"/>
  <c r="Z267" i="23" s="1"/>
  <c r="Y267" i="23" s="1"/>
  <c r="AA352" i="23"/>
  <c r="Z352" i="23" s="1"/>
  <c r="Y352" i="23" s="1"/>
  <c r="AA288" i="23"/>
  <c r="Z288" i="23" s="1"/>
  <c r="Y288" i="23" s="1"/>
  <c r="H352" i="23"/>
  <c r="J352" i="23" s="1"/>
  <c r="I228" i="22"/>
  <c r="J228" i="22"/>
  <c r="I376" i="22"/>
  <c r="H376" i="23" s="1"/>
  <c r="J376" i="22"/>
  <c r="I163" i="22"/>
  <c r="J163" i="22"/>
  <c r="I366" i="22"/>
  <c r="J366" i="22"/>
  <c r="I39" i="22"/>
  <c r="J39" i="22"/>
  <c r="J359" i="22"/>
  <c r="I359" i="22"/>
  <c r="H359" i="23" s="1"/>
  <c r="I235" i="22"/>
  <c r="J235" i="22"/>
  <c r="I150" i="22"/>
  <c r="J150" i="22"/>
  <c r="J121" i="22"/>
  <c r="I121" i="22"/>
  <c r="H121" i="23" s="1"/>
  <c r="J52" i="22"/>
  <c r="I52" i="22"/>
  <c r="J245" i="22"/>
  <c r="I245" i="22"/>
  <c r="J223" i="22"/>
  <c r="I223" i="22"/>
  <c r="J304" i="22"/>
  <c r="I304" i="22"/>
  <c r="H304" i="23" s="1"/>
  <c r="J112" i="22"/>
  <c r="I112" i="22"/>
  <c r="J250" i="22"/>
  <c r="I250" i="22"/>
  <c r="H250" i="23" s="1"/>
  <c r="I144" i="22"/>
  <c r="J144" i="22"/>
  <c r="J141" i="22"/>
  <c r="I141" i="22"/>
  <c r="J120" i="22"/>
  <c r="I120" i="22"/>
  <c r="H120" i="23" s="1"/>
  <c r="I377" i="22"/>
  <c r="J377" i="22"/>
  <c r="J176" i="22"/>
  <c r="I176" i="22"/>
  <c r="J51" i="22"/>
  <c r="I51" i="22"/>
  <c r="J273" i="22"/>
  <c r="I273" i="22"/>
  <c r="H273" i="23" s="1"/>
  <c r="J280" i="22"/>
  <c r="I280" i="22"/>
  <c r="I59" i="22"/>
  <c r="J59" i="22"/>
  <c r="I167" i="22"/>
  <c r="J167" i="22"/>
  <c r="J111" i="22"/>
  <c r="I111" i="22"/>
  <c r="H111" i="23" s="1"/>
  <c r="W172" i="23"/>
  <c r="D100" i="23"/>
  <c r="E100" i="23" s="1"/>
  <c r="F100" i="23" s="1"/>
  <c r="D79" i="23"/>
  <c r="E79" i="23" s="1"/>
  <c r="F79" i="23" s="1"/>
  <c r="D295" i="23"/>
  <c r="E295" i="23" s="1"/>
  <c r="F295" i="23" s="1"/>
  <c r="D307" i="23"/>
  <c r="E307" i="23" s="1"/>
  <c r="F307" i="23" s="1"/>
  <c r="J38" i="22"/>
  <c r="I38" i="22"/>
  <c r="H38" i="23" s="1"/>
  <c r="G379" i="22"/>
  <c r="CC379" i="6" s="1"/>
  <c r="AA379" i="22"/>
  <c r="Z379" i="22" s="1"/>
  <c r="Y379" i="22" s="1"/>
  <c r="H379" i="22"/>
  <c r="I254" i="22"/>
  <c r="J254" i="22"/>
  <c r="I116" i="22"/>
  <c r="J116" i="22"/>
  <c r="J61" i="22"/>
  <c r="I61" i="22"/>
  <c r="H61" i="23" s="1"/>
  <c r="J76" i="22"/>
  <c r="I76" i="22"/>
  <c r="J315" i="22"/>
  <c r="I315" i="22"/>
  <c r="I339" i="22"/>
  <c r="J339" i="22"/>
  <c r="I97" i="22"/>
  <c r="J97" i="22"/>
  <c r="J137" i="22"/>
  <c r="I137" i="22"/>
  <c r="H137" i="23" s="1"/>
  <c r="I134" i="22"/>
  <c r="J134" i="22"/>
  <c r="I309" i="22"/>
  <c r="J309" i="22"/>
  <c r="I287" i="22"/>
  <c r="J287" i="22"/>
  <c r="J98" i="22"/>
  <c r="I98" i="22"/>
  <c r="I353" i="22"/>
  <c r="J353" i="22"/>
  <c r="J191" i="22"/>
  <c r="I191" i="22"/>
  <c r="H191" i="23" s="1"/>
  <c r="J78" i="22"/>
  <c r="I78" i="22"/>
  <c r="J129" i="22"/>
  <c r="I129" i="22"/>
  <c r="H129" i="23" s="1"/>
  <c r="I312" i="22"/>
  <c r="J312" i="22"/>
  <c r="J27" i="22"/>
  <c r="I27" i="22"/>
  <c r="H27" i="23" s="1"/>
  <c r="J27" i="23" s="1"/>
  <c r="J34" i="22"/>
  <c r="I34" i="22"/>
  <c r="H34" i="23" s="1"/>
  <c r="J34" i="23" s="1"/>
  <c r="I265" i="22"/>
  <c r="J265" i="22"/>
  <c r="J355" i="22"/>
  <c r="I355" i="22"/>
  <c r="H355" i="23" s="1"/>
  <c r="W115" i="23"/>
  <c r="W34" i="23"/>
  <c r="D341" i="23"/>
  <c r="E341" i="23" s="1"/>
  <c r="F341" i="23" s="1"/>
  <c r="W250" i="23"/>
  <c r="D317" i="23"/>
  <c r="E317" i="23" s="1"/>
  <c r="F317" i="23" s="1"/>
  <c r="W201" i="23"/>
  <c r="W238" i="23"/>
  <c r="D301" i="23"/>
  <c r="E301" i="23" s="1"/>
  <c r="F301" i="23" s="1"/>
  <c r="W281" i="23"/>
  <c r="D134" i="23"/>
  <c r="E134" i="23" s="1"/>
  <c r="F134" i="23" s="1"/>
  <c r="W288" i="23"/>
  <c r="AA40" i="23"/>
  <c r="Z40" i="23" s="1"/>
  <c r="Y40" i="23" s="1"/>
  <c r="H319" i="23"/>
  <c r="I319" i="23" s="1"/>
  <c r="I365" i="22"/>
  <c r="H365" i="23" s="1"/>
  <c r="J365" i="22"/>
  <c r="I71" i="22"/>
  <c r="H71" i="23" s="1"/>
  <c r="J71" i="22"/>
  <c r="I122" i="22"/>
  <c r="H122" i="23" s="1"/>
  <c r="J122" i="22"/>
  <c r="I114" i="22"/>
  <c r="H114" i="23" s="1"/>
  <c r="J114" i="22"/>
  <c r="I251" i="22"/>
  <c r="H251" i="23" s="1"/>
  <c r="J251" i="22"/>
  <c r="I130" i="22"/>
  <c r="H130" i="23" s="1"/>
  <c r="J130" i="22"/>
  <c r="I356" i="22"/>
  <c r="H356" i="23" s="1"/>
  <c r="J356" i="22"/>
  <c r="J264" i="22"/>
  <c r="I264" i="22"/>
  <c r="I372" i="22"/>
  <c r="J372" i="22"/>
  <c r="J331" i="22"/>
  <c r="I331" i="22"/>
  <c r="H331" i="23" s="1"/>
  <c r="J324" i="22"/>
  <c r="I324" i="22"/>
  <c r="H324" i="23" s="1"/>
  <c r="I179" i="22"/>
  <c r="H179" i="23" s="1"/>
  <c r="J179" i="22"/>
  <c r="I369" i="22"/>
  <c r="H369" i="23" s="1"/>
  <c r="J369" i="22"/>
  <c r="I340" i="22"/>
  <c r="H340" i="23" s="1"/>
  <c r="J340" i="22"/>
  <c r="I207" i="22"/>
  <c r="H207" i="23" s="1"/>
  <c r="J207" i="22"/>
  <c r="I133" i="22"/>
  <c r="J133" i="22"/>
  <c r="I329" i="22"/>
  <c r="J329" i="22"/>
  <c r="I86" i="22"/>
  <c r="J86" i="22"/>
  <c r="I53" i="22"/>
  <c r="H53" i="23" s="1"/>
  <c r="J53" i="22"/>
  <c r="I166" i="22"/>
  <c r="H166" i="23" s="1"/>
  <c r="J166" i="22"/>
  <c r="H372" i="23"/>
  <c r="I372" i="23" s="1"/>
  <c r="I198" i="22"/>
  <c r="H198" i="23" s="1"/>
  <c r="J198" i="22"/>
  <c r="J348" i="22"/>
  <c r="I348" i="22"/>
  <c r="I321" i="22"/>
  <c r="J321" i="22"/>
  <c r="I158" i="22"/>
  <c r="H158" i="23" s="1"/>
  <c r="J158" i="22"/>
  <c r="J244" i="22"/>
  <c r="I244" i="22"/>
  <c r="H244" i="23" s="1"/>
  <c r="I266" i="22"/>
  <c r="J266" i="22"/>
  <c r="J233" i="22"/>
  <c r="I233" i="22"/>
  <c r="H233" i="23" s="1"/>
  <c r="J103" i="22"/>
  <c r="I103" i="22"/>
  <c r="H103" i="23" s="1"/>
  <c r="I54" i="22"/>
  <c r="H54" i="23" s="1"/>
  <c r="J54" i="22"/>
  <c r="I349" i="22"/>
  <c r="J349" i="22"/>
  <c r="J182" i="22"/>
  <c r="I182" i="22"/>
  <c r="H182" i="23" s="1"/>
  <c r="J221" i="22"/>
  <c r="I221" i="22"/>
  <c r="H221" i="23" s="1"/>
  <c r="I307" i="22"/>
  <c r="H307" i="23" s="1"/>
  <c r="J307" i="22"/>
  <c r="J193" i="22"/>
  <c r="I193" i="22"/>
  <c r="H193" i="23" s="1"/>
  <c r="I370" i="22"/>
  <c r="H370" i="23" s="1"/>
  <c r="J370" i="22"/>
  <c r="D53" i="6"/>
  <c r="P4" i="6"/>
  <c r="AA34" i="23"/>
  <c r="Z34" i="23" s="1"/>
  <c r="Y34" i="23" s="1"/>
  <c r="H238" i="23"/>
  <c r="I238" i="23" s="1"/>
  <c r="D302" i="6"/>
  <c r="AH4" i="6"/>
  <c r="AD4" i="6"/>
  <c r="D241" i="6"/>
  <c r="D272" i="6"/>
  <c r="AF4" i="6"/>
  <c r="D88" i="6"/>
  <c r="S4" i="6"/>
  <c r="AA283" i="23"/>
  <c r="Z283" i="23" s="1"/>
  <c r="Y283" i="23" s="1"/>
  <c r="AI382" i="23"/>
  <c r="AI383" i="23"/>
  <c r="AD154" i="23"/>
  <c r="AI381" i="23"/>
  <c r="N66" i="19"/>
  <c r="AC382" i="25"/>
  <c r="AC381" i="25"/>
  <c r="AC383" i="25"/>
  <c r="O383" i="25"/>
  <c r="O382" i="25"/>
  <c r="O381" i="25"/>
  <c r="F14" i="19"/>
  <c r="G56" i="23"/>
  <c r="CD56" i="6" s="1"/>
  <c r="G26" i="23"/>
  <c r="CD26" i="6" s="1"/>
  <c r="G281" i="23"/>
  <c r="CD281" i="6" s="1"/>
  <c r="AA16" i="23"/>
  <c r="Z16" i="23" s="1"/>
  <c r="Y16" i="23" s="1"/>
  <c r="H56" i="23"/>
  <c r="I56" i="23" s="1"/>
  <c r="AJ5" i="20"/>
  <c r="AK5" i="20"/>
  <c r="G63" i="23"/>
  <c r="CD63" i="6" s="1"/>
  <c r="G280" i="23"/>
  <c r="CD280" i="6" s="1"/>
  <c r="V379" i="23"/>
  <c r="D42" i="19"/>
  <c r="E39" i="19"/>
  <c r="H280" i="23"/>
  <c r="J280" i="23" s="1"/>
  <c r="G250" i="23"/>
  <c r="CD250" i="6" s="1"/>
  <c r="H132" i="23"/>
  <c r="J132" i="23" s="1"/>
  <c r="H201" i="23"/>
  <c r="I201" i="23" s="1"/>
  <c r="G238" i="23"/>
  <c r="CD238" i="6" s="1"/>
  <c r="U10" i="24"/>
  <c r="AJ11" i="18"/>
  <c r="G115" i="23"/>
  <c r="CD115" i="6" s="1"/>
  <c r="G84" i="23"/>
  <c r="CD84" i="6" s="1"/>
  <c r="G132" i="23"/>
  <c r="CD132" i="6" s="1"/>
  <c r="AA376" i="23"/>
  <c r="Z376" i="23" s="1"/>
  <c r="Y376" i="23" s="1"/>
  <c r="U340" i="24"/>
  <c r="T340" i="24" s="1"/>
  <c r="U335" i="24"/>
  <c r="T335" i="24" s="1"/>
  <c r="S335" i="24" s="1"/>
  <c r="R335" i="24" s="1"/>
  <c r="P335" i="24" s="1"/>
  <c r="V335" i="24" s="1"/>
  <c r="B335" i="24" s="1"/>
  <c r="U243" i="24"/>
  <c r="T243" i="24" s="1"/>
  <c r="U254" i="24"/>
  <c r="T254" i="24" s="1"/>
  <c r="S254" i="24" s="1"/>
  <c r="R254" i="24" s="1"/>
  <c r="P254" i="24" s="1"/>
  <c r="V254" i="24" s="1"/>
  <c r="B254" i="24" s="1"/>
  <c r="U97" i="24"/>
  <c r="T97" i="24" s="1"/>
  <c r="U279" i="24"/>
  <c r="T279" i="24" s="1"/>
  <c r="S279" i="24" s="1"/>
  <c r="R279" i="24" s="1"/>
  <c r="P279" i="24" s="1"/>
  <c r="V279" i="24" s="1"/>
  <c r="B279" i="24" s="1"/>
  <c r="U55" i="24"/>
  <c r="T55" i="24" s="1"/>
  <c r="U175" i="24"/>
  <c r="T175" i="24" s="1"/>
  <c r="S175" i="24" s="1"/>
  <c r="R175" i="24" s="1"/>
  <c r="P175" i="24" s="1"/>
  <c r="V175" i="24" s="1"/>
  <c r="B175" i="24" s="1"/>
  <c r="U40" i="24"/>
  <c r="T40" i="24" s="1"/>
  <c r="U342" i="24"/>
  <c r="T342" i="24" s="1"/>
  <c r="S342" i="24" s="1"/>
  <c r="R342" i="24" s="1"/>
  <c r="P342" i="24" s="1"/>
  <c r="V342" i="24" s="1"/>
  <c r="B342" i="24" s="1"/>
  <c r="U73" i="24"/>
  <c r="T73" i="24" s="1"/>
  <c r="U375" i="24"/>
  <c r="T375" i="24" s="1"/>
  <c r="S375" i="24" s="1"/>
  <c r="R375" i="24" s="1"/>
  <c r="P375" i="24" s="1"/>
  <c r="V375" i="24" s="1"/>
  <c r="B375" i="24" s="1"/>
  <c r="G374" i="23"/>
  <c r="CD374" i="6" s="1"/>
  <c r="U216" i="24"/>
  <c r="T216" i="24" s="1"/>
  <c r="S216" i="24" s="1"/>
  <c r="R216" i="24" s="1"/>
  <c r="P216" i="24" s="1"/>
  <c r="V216" i="24" s="1"/>
  <c r="B216" i="24" s="1"/>
  <c r="U236" i="24"/>
  <c r="T236" i="24" s="1"/>
  <c r="S236" i="24" s="1"/>
  <c r="R236" i="24" s="1"/>
  <c r="P236" i="24" s="1"/>
  <c r="V236" i="24" s="1"/>
  <c r="B236" i="24" s="1"/>
  <c r="U164" i="24"/>
  <c r="T164" i="24" s="1"/>
  <c r="S164" i="24" s="1"/>
  <c r="R164" i="24" s="1"/>
  <c r="P164" i="24" s="1"/>
  <c r="V164" i="24" s="1"/>
  <c r="B164" i="24" s="1"/>
  <c r="U264" i="24"/>
  <c r="T264" i="24" s="1"/>
  <c r="S264" i="24" s="1"/>
  <c r="R264" i="24" s="1"/>
  <c r="P264" i="24" s="1"/>
  <c r="V264" i="24" s="1"/>
  <c r="B264" i="24" s="1"/>
  <c r="U59" i="24"/>
  <c r="T59" i="24" s="1"/>
  <c r="S59" i="24" s="1"/>
  <c r="R59" i="24" s="1"/>
  <c r="P59" i="24" s="1"/>
  <c r="V59" i="24" s="1"/>
  <c r="B59" i="24" s="1"/>
  <c r="U301" i="24"/>
  <c r="T301" i="24" s="1"/>
  <c r="S301" i="24" s="1"/>
  <c r="R301" i="24" s="1"/>
  <c r="P301" i="24" s="1"/>
  <c r="V301" i="24" s="1"/>
  <c r="B301" i="24" s="1"/>
  <c r="U104" i="24"/>
  <c r="T104" i="24" s="1"/>
  <c r="S104" i="24" s="1"/>
  <c r="R104" i="24" s="1"/>
  <c r="P104" i="24" s="1"/>
  <c r="V104" i="24" s="1"/>
  <c r="B104" i="24" s="1"/>
  <c r="U210" i="24"/>
  <c r="T210" i="24" s="1"/>
  <c r="S210" i="24" s="1"/>
  <c r="R210" i="24" s="1"/>
  <c r="P210" i="24" s="1"/>
  <c r="U69" i="24"/>
  <c r="T69" i="24" s="1"/>
  <c r="S69" i="24" s="1"/>
  <c r="R69" i="24" s="1"/>
  <c r="P69" i="24" s="1"/>
  <c r="V69" i="24" s="1"/>
  <c r="B69" i="24" s="1"/>
  <c r="U214" i="24"/>
  <c r="T214" i="24" s="1"/>
  <c r="S214" i="24" s="1"/>
  <c r="R214" i="24" s="1"/>
  <c r="P214" i="24" s="1"/>
  <c r="V214" i="24" s="1"/>
  <c r="B214" i="24" s="1"/>
  <c r="U290" i="24"/>
  <c r="T290" i="24" s="1"/>
  <c r="S290" i="24" s="1"/>
  <c r="R290" i="24" s="1"/>
  <c r="P290" i="24" s="1"/>
  <c r="V290" i="24" s="1"/>
  <c r="B290" i="24" s="1"/>
  <c r="U285" i="24"/>
  <c r="T285" i="24" s="1"/>
  <c r="S285" i="24" s="1"/>
  <c r="R285" i="24" s="1"/>
  <c r="P285" i="24" s="1"/>
  <c r="V285" i="24" s="1"/>
  <c r="B285" i="24" s="1"/>
  <c r="U189" i="24"/>
  <c r="T189" i="24" s="1"/>
  <c r="S189" i="24" s="1"/>
  <c r="R189" i="24" s="1"/>
  <c r="P189" i="24" s="1"/>
  <c r="V189" i="24" s="1"/>
  <c r="B189" i="24" s="1"/>
  <c r="G201" i="23"/>
  <c r="CD201" i="6" s="1"/>
  <c r="H235" i="23"/>
  <c r="I235" i="23" s="1"/>
  <c r="G376" i="23"/>
  <c r="CD376" i="6" s="1"/>
  <c r="H346" i="23"/>
  <c r="I346" i="23" s="1"/>
  <c r="H374" i="23"/>
  <c r="J374" i="23" s="1"/>
  <c r="H327" i="23"/>
  <c r="I327" i="23" s="1"/>
  <c r="H115" i="23"/>
  <c r="J115" i="23" s="1"/>
  <c r="H236" i="23"/>
  <c r="I236" i="23" s="1"/>
  <c r="I160" i="23"/>
  <c r="AA142" i="23"/>
  <c r="Z142" i="23" s="1"/>
  <c r="Y142" i="23" s="1"/>
  <c r="G310" i="23"/>
  <c r="CD310" i="6" s="1"/>
  <c r="AA236" i="23"/>
  <c r="Z236" i="23" s="1"/>
  <c r="Y236" i="23" s="1"/>
  <c r="H187" i="23"/>
  <c r="J187" i="23" s="1"/>
  <c r="AA25" i="23"/>
  <c r="Z25" i="23" s="1"/>
  <c r="Y25" i="23" s="1"/>
  <c r="H142" i="23"/>
  <c r="J142" i="23" s="1"/>
  <c r="AA250" i="23"/>
  <c r="Z250" i="23" s="1"/>
  <c r="Y250" i="23" s="1"/>
  <c r="AA84" i="23"/>
  <c r="Z84" i="23" s="1"/>
  <c r="Y84" i="23" s="1"/>
  <c r="AA184" i="23"/>
  <c r="Z184" i="23" s="1"/>
  <c r="Y184" i="23" s="1"/>
  <c r="AA205" i="23"/>
  <c r="Z205" i="23" s="1"/>
  <c r="Y205" i="23" s="1"/>
  <c r="H63" i="23"/>
  <c r="J63" i="23" s="1"/>
  <c r="H261" i="23"/>
  <c r="J261" i="23" s="1"/>
  <c r="G25" i="23"/>
  <c r="CD25" i="6" s="1"/>
  <c r="G205" i="23"/>
  <c r="CD205" i="6" s="1"/>
  <c r="G62" i="23"/>
  <c r="CD62" i="6" s="1"/>
  <c r="H281" i="23"/>
  <c r="I281" i="23" s="1"/>
  <c r="G200" i="23"/>
  <c r="CD200" i="6" s="1"/>
  <c r="G16" i="23"/>
  <c r="CD16" i="6" s="1"/>
  <c r="AA327" i="23"/>
  <c r="Z327" i="23" s="1"/>
  <c r="Y327" i="23" s="1"/>
  <c r="G226" i="23"/>
  <c r="CD226" i="6" s="1"/>
  <c r="H350" i="23"/>
  <c r="I350" i="23" s="1"/>
  <c r="AA344" i="23"/>
  <c r="Z344" i="23" s="1"/>
  <c r="Y344" i="23" s="1"/>
  <c r="H344" i="23"/>
  <c r="J344" i="23" s="1"/>
  <c r="AA173" i="23"/>
  <c r="Z173" i="23" s="1"/>
  <c r="Y173" i="23" s="1"/>
  <c r="AA172" i="23"/>
  <c r="Z172" i="23" s="1"/>
  <c r="Y172" i="23" s="1"/>
  <c r="AA323" i="23"/>
  <c r="Z323" i="23" s="1"/>
  <c r="Y323" i="23" s="1"/>
  <c r="H116" i="23"/>
  <c r="I116" i="23" s="1"/>
  <c r="I330" i="23"/>
  <c r="AA187" i="23"/>
  <c r="Z187" i="23" s="1"/>
  <c r="Y187" i="23" s="1"/>
  <c r="J66" i="23"/>
  <c r="H279" i="23"/>
  <c r="J279" i="23" s="1"/>
  <c r="H62" i="23"/>
  <c r="J62" i="23" s="1"/>
  <c r="G235" i="23"/>
  <c r="CD235" i="6" s="1"/>
  <c r="AA346" i="23"/>
  <c r="Z346" i="23" s="1"/>
  <c r="Y346" i="23" s="1"/>
  <c r="H200" i="23"/>
  <c r="J200" i="23" s="1"/>
  <c r="H40" i="23"/>
  <c r="I40" i="23" s="1"/>
  <c r="AA226" i="23"/>
  <c r="Z226" i="23" s="1"/>
  <c r="Y226" i="23" s="1"/>
  <c r="G350" i="23"/>
  <c r="CD350" i="6" s="1"/>
  <c r="AA17" i="23"/>
  <c r="Z17" i="23" s="1"/>
  <c r="Y17" i="23" s="1"/>
  <c r="AA335" i="23"/>
  <c r="Z335" i="23" s="1"/>
  <c r="Y335" i="23" s="1"/>
  <c r="AA294" i="23"/>
  <c r="Z294" i="23" s="1"/>
  <c r="Y294" i="23" s="1"/>
  <c r="AA72" i="23"/>
  <c r="Z72" i="23" s="1"/>
  <c r="Y72" i="23" s="1"/>
  <c r="H310" i="23"/>
  <c r="I310" i="23" s="1"/>
  <c r="G172" i="23"/>
  <c r="CD172" i="6" s="1"/>
  <c r="G261" i="23"/>
  <c r="CD261" i="6" s="1"/>
  <c r="G116" i="23"/>
  <c r="CD116" i="6" s="1"/>
  <c r="I303" i="23"/>
  <c r="I45" i="23"/>
  <c r="J278" i="23"/>
  <c r="I89" i="23"/>
  <c r="AA279" i="23"/>
  <c r="Z279" i="23" s="1"/>
  <c r="Y279" i="23" s="1"/>
  <c r="AA351" i="23"/>
  <c r="Z351" i="23" s="1"/>
  <c r="Y351" i="23" s="1"/>
  <c r="J183" i="23"/>
  <c r="AA315" i="23"/>
  <c r="Z315" i="23" s="1"/>
  <c r="Y315" i="23" s="1"/>
  <c r="AA121" i="23"/>
  <c r="Z121" i="23" s="1"/>
  <c r="Y121" i="23" s="1"/>
  <c r="AA80" i="23"/>
  <c r="Z80" i="23" s="1"/>
  <c r="Y80" i="23" s="1"/>
  <c r="AA285" i="23"/>
  <c r="Z285" i="23" s="1"/>
  <c r="Y285" i="23" s="1"/>
  <c r="AA127" i="23"/>
  <c r="Z127" i="23" s="1"/>
  <c r="Y127" i="23" s="1"/>
  <c r="AA355" i="23"/>
  <c r="Z355" i="23" s="1"/>
  <c r="Y355" i="23" s="1"/>
  <c r="AA362" i="23"/>
  <c r="Z362" i="23" s="1"/>
  <c r="Y362" i="23" s="1"/>
  <c r="AA190" i="23"/>
  <c r="Z190" i="23" s="1"/>
  <c r="Y190" i="23" s="1"/>
  <c r="H227" i="23"/>
  <c r="J227" i="23" s="1"/>
  <c r="AA227" i="23"/>
  <c r="Z227" i="23" s="1"/>
  <c r="Y227" i="23" s="1"/>
  <c r="H274" i="23"/>
  <c r="AA274" i="23"/>
  <c r="Z274" i="23" s="1"/>
  <c r="Y274" i="23" s="1"/>
  <c r="AA357" i="23"/>
  <c r="Z357" i="23" s="1"/>
  <c r="Y357" i="23" s="1"/>
  <c r="AA126" i="23"/>
  <c r="Z126" i="23" s="1"/>
  <c r="Y126" i="23" s="1"/>
  <c r="AA153" i="23"/>
  <c r="Z153" i="23" s="1"/>
  <c r="Y153" i="23" s="1"/>
  <c r="J277" i="23"/>
  <c r="I277" i="23"/>
  <c r="AA135" i="23"/>
  <c r="Z135" i="23" s="1"/>
  <c r="Y135" i="23" s="1"/>
  <c r="I240" i="23"/>
  <c r="H135" i="23"/>
  <c r="I135" i="23" s="1"/>
  <c r="AA96" i="23"/>
  <c r="Z96" i="23" s="1"/>
  <c r="Y96" i="23" s="1"/>
  <c r="AA37" i="23"/>
  <c r="Z37" i="23" s="1"/>
  <c r="Y37" i="23" s="1"/>
  <c r="AA49" i="23"/>
  <c r="Z49" i="23" s="1"/>
  <c r="Y49" i="23" s="1"/>
  <c r="AA175" i="23"/>
  <c r="Z175" i="23" s="1"/>
  <c r="Y175" i="23" s="1"/>
  <c r="AA208" i="23"/>
  <c r="Z208" i="23" s="1"/>
  <c r="Y208" i="23" s="1"/>
  <c r="I325" i="23"/>
  <c r="J325" i="23"/>
  <c r="I242" i="23"/>
  <c r="J242" i="23"/>
  <c r="J286" i="23"/>
  <c r="I286" i="23"/>
  <c r="J276" i="23"/>
  <c r="I276" i="23"/>
  <c r="I19" i="23"/>
  <c r="J19" i="23"/>
  <c r="I77" i="23"/>
  <c r="J77" i="23"/>
  <c r="I55" i="23"/>
  <c r="J55" i="23"/>
  <c r="I253" i="23"/>
  <c r="I342" i="23"/>
  <c r="J342" i="23"/>
  <c r="J99" i="23"/>
  <c r="I99" i="23"/>
  <c r="J102" i="23"/>
  <c r="I204" i="23"/>
  <c r="J204" i="23"/>
  <c r="G207" i="23"/>
  <c r="CD207" i="6" s="1"/>
  <c r="AA207" i="23"/>
  <c r="Z207" i="23" s="1"/>
  <c r="Y207" i="23" s="1"/>
  <c r="G148" i="23"/>
  <c r="CD148" i="6" s="1"/>
  <c r="AA148" i="23"/>
  <c r="Z148" i="23" s="1"/>
  <c r="Y148" i="23" s="1"/>
  <c r="G361" i="23"/>
  <c r="CD361" i="6" s="1"/>
  <c r="AA361" i="23"/>
  <c r="Z361" i="23" s="1"/>
  <c r="Y361" i="23" s="1"/>
  <c r="G193" i="23"/>
  <c r="CD193" i="6" s="1"/>
  <c r="AA193" i="23"/>
  <c r="Z193" i="23" s="1"/>
  <c r="Y193" i="23" s="1"/>
  <c r="AA359" i="23"/>
  <c r="Z359" i="23" s="1"/>
  <c r="Y359" i="23" s="1"/>
  <c r="G359" i="23"/>
  <c r="CD359" i="6" s="1"/>
  <c r="AA104" i="23"/>
  <c r="Z104" i="23" s="1"/>
  <c r="Y104" i="23" s="1"/>
  <c r="G104" i="23"/>
  <c r="CD104" i="6" s="1"/>
  <c r="AA368" i="23"/>
  <c r="Z368" i="23" s="1"/>
  <c r="Y368" i="23" s="1"/>
  <c r="G368" i="23"/>
  <c r="CD368" i="6" s="1"/>
  <c r="AA78" i="23"/>
  <c r="Z78" i="23" s="1"/>
  <c r="Y78" i="23" s="1"/>
  <c r="G78" i="23"/>
  <c r="CD78" i="6" s="1"/>
  <c r="G354" i="23"/>
  <c r="CD354" i="6" s="1"/>
  <c r="AA354" i="23"/>
  <c r="Z354" i="23" s="1"/>
  <c r="Y354" i="23" s="1"/>
  <c r="AA39" i="23"/>
  <c r="Z39" i="23" s="1"/>
  <c r="Y39" i="23" s="1"/>
  <c r="G39" i="23"/>
  <c r="CD39" i="6" s="1"/>
  <c r="G47" i="23"/>
  <c r="CD47" i="6" s="1"/>
  <c r="AA47" i="23"/>
  <c r="Z47" i="23" s="1"/>
  <c r="Y47" i="23" s="1"/>
  <c r="G163" i="23"/>
  <c r="CD163" i="6" s="1"/>
  <c r="H163" i="23"/>
  <c r="AA163" i="23"/>
  <c r="Z163" i="23" s="1"/>
  <c r="Y163" i="23" s="1"/>
  <c r="AA308" i="23"/>
  <c r="Z308" i="23" s="1"/>
  <c r="Y308" i="23" s="1"/>
  <c r="G308" i="23"/>
  <c r="CD308" i="6" s="1"/>
  <c r="G143" i="23"/>
  <c r="CD143" i="6" s="1"/>
  <c r="AA143" i="23"/>
  <c r="Z143" i="23" s="1"/>
  <c r="Y143" i="23" s="1"/>
  <c r="G269" i="23"/>
  <c r="CD269" i="6" s="1"/>
  <c r="AA269" i="23"/>
  <c r="Z269" i="23" s="1"/>
  <c r="Y269" i="23" s="1"/>
  <c r="G367" i="23"/>
  <c r="CD367" i="6" s="1"/>
  <c r="AA282" i="23"/>
  <c r="Z282" i="23" s="1"/>
  <c r="Y282" i="23" s="1"/>
  <c r="G282" i="23"/>
  <c r="CD282" i="6" s="1"/>
  <c r="AA147" i="23"/>
  <c r="Z147" i="23" s="1"/>
  <c r="Y147" i="23" s="1"/>
  <c r="G147" i="23"/>
  <c r="CD147" i="6" s="1"/>
  <c r="H101" i="23"/>
  <c r="G101" i="23"/>
  <c r="CD101" i="6" s="1"/>
  <c r="AA101" i="23"/>
  <c r="Z101" i="23" s="1"/>
  <c r="Y101" i="23" s="1"/>
  <c r="AA124" i="23"/>
  <c r="Z124" i="23" s="1"/>
  <c r="Y124" i="23" s="1"/>
  <c r="G124" i="23"/>
  <c r="CD124" i="6" s="1"/>
  <c r="J68" i="19"/>
  <c r="G378" i="23"/>
  <c r="CD378" i="6" s="1"/>
  <c r="AA378" i="23"/>
  <c r="Z378" i="23" s="1"/>
  <c r="Y378" i="23" s="1"/>
  <c r="H378" i="23"/>
  <c r="H41" i="23"/>
  <c r="G41" i="23"/>
  <c r="CD41" i="6" s="1"/>
  <c r="G141" i="23"/>
  <c r="CD141" i="6" s="1"/>
  <c r="AA141" i="23"/>
  <c r="Z141" i="23" s="1"/>
  <c r="Y141" i="23" s="1"/>
  <c r="AA42" i="23"/>
  <c r="Z42" i="23" s="1"/>
  <c r="Y42" i="23" s="1"/>
  <c r="G42" i="23"/>
  <c r="CD42" i="6" s="1"/>
  <c r="AA68" i="23"/>
  <c r="Z68" i="23" s="1"/>
  <c r="Y68" i="23" s="1"/>
  <c r="G68" i="23"/>
  <c r="CD68" i="6" s="1"/>
  <c r="H68" i="23"/>
  <c r="AA309" i="23"/>
  <c r="Z309" i="23" s="1"/>
  <c r="Y309" i="23" s="1"/>
  <c r="G309" i="23"/>
  <c r="CD309" i="6" s="1"/>
  <c r="G46" i="23"/>
  <c r="CD46" i="6" s="1"/>
  <c r="H46" i="23"/>
  <c r="AA46" i="23"/>
  <c r="Z46" i="23" s="1"/>
  <c r="Y46" i="23" s="1"/>
  <c r="G365" i="23"/>
  <c r="CD365" i="6" s="1"/>
  <c r="AA365" i="23"/>
  <c r="Z365" i="23" s="1"/>
  <c r="Y365" i="23" s="1"/>
  <c r="G107" i="23"/>
  <c r="CD107" i="6" s="1"/>
  <c r="H107" i="23"/>
  <c r="AA107" i="23"/>
  <c r="Z107" i="23" s="1"/>
  <c r="Y107" i="23" s="1"/>
  <c r="G290" i="23"/>
  <c r="CD290" i="6" s="1"/>
  <c r="AA290" i="23"/>
  <c r="Z290" i="23" s="1"/>
  <c r="Y290" i="23" s="1"/>
  <c r="AA86" i="23"/>
  <c r="Z86" i="23" s="1"/>
  <c r="Y86" i="23" s="1"/>
  <c r="G86" i="23"/>
  <c r="CD86" i="6" s="1"/>
  <c r="AA217" i="23"/>
  <c r="Z217" i="23" s="1"/>
  <c r="Y217" i="23" s="1"/>
  <c r="G217" i="23"/>
  <c r="CD217" i="6" s="1"/>
  <c r="H217" i="23"/>
  <c r="G318" i="23"/>
  <c r="CD318" i="6" s="1"/>
  <c r="AA318" i="23"/>
  <c r="Z318" i="23" s="1"/>
  <c r="Y318" i="23" s="1"/>
  <c r="AA195" i="23"/>
  <c r="Z195" i="23" s="1"/>
  <c r="Y195" i="23" s="1"/>
  <c r="G195" i="23"/>
  <c r="CD195" i="6" s="1"/>
  <c r="G71" i="23"/>
  <c r="CD71" i="6" s="1"/>
  <c r="AA71" i="23"/>
  <c r="Z71" i="23" s="1"/>
  <c r="Y71" i="23" s="1"/>
  <c r="AA155" i="23"/>
  <c r="Z155" i="23" s="1"/>
  <c r="Y155" i="23" s="1"/>
  <c r="G155" i="23"/>
  <c r="CD155" i="6" s="1"/>
  <c r="G33" i="23"/>
  <c r="CD33" i="6" s="1"/>
  <c r="AA33" i="23"/>
  <c r="Z33" i="23" s="1"/>
  <c r="Y33" i="23" s="1"/>
  <c r="AA316" i="23"/>
  <c r="Z316" i="23" s="1"/>
  <c r="Y316" i="23" s="1"/>
  <c r="G316" i="23"/>
  <c r="CD316" i="6" s="1"/>
  <c r="H316" i="23"/>
  <c r="AA138" i="23"/>
  <c r="Z138" i="23" s="1"/>
  <c r="Y138" i="23" s="1"/>
  <c r="G138" i="23"/>
  <c r="CD138" i="6" s="1"/>
  <c r="H138" i="23"/>
  <c r="AA186" i="23"/>
  <c r="Z186" i="23" s="1"/>
  <c r="Y186" i="23" s="1"/>
  <c r="H186" i="23"/>
  <c r="G186" i="23"/>
  <c r="CD186" i="6" s="1"/>
  <c r="G91" i="23"/>
  <c r="CD91" i="6" s="1"/>
  <c r="H91" i="23"/>
  <c r="AA91" i="23"/>
  <c r="Z91" i="23" s="1"/>
  <c r="Y91" i="23" s="1"/>
  <c r="AA53" i="23"/>
  <c r="Z53" i="23" s="1"/>
  <c r="Y53" i="23" s="1"/>
  <c r="G53" i="23"/>
  <c r="CD53" i="6" s="1"/>
  <c r="G140" i="23"/>
  <c r="CD140" i="6" s="1"/>
  <c r="AA140" i="23"/>
  <c r="Z140" i="23" s="1"/>
  <c r="Y140" i="23" s="1"/>
  <c r="M68" i="19"/>
  <c r="AA73" i="23"/>
  <c r="Z73" i="23" s="1"/>
  <c r="Y73" i="23" s="1"/>
  <c r="G73" i="23"/>
  <c r="CD73" i="6" s="1"/>
  <c r="G68" i="19"/>
  <c r="G332" i="23"/>
  <c r="CD332" i="6" s="1"/>
  <c r="AA332" i="23"/>
  <c r="Z332" i="23" s="1"/>
  <c r="Y332" i="23" s="1"/>
  <c r="G65" i="23"/>
  <c r="CD65" i="6" s="1"/>
  <c r="AA65" i="23"/>
  <c r="Z65" i="23" s="1"/>
  <c r="Y65" i="23" s="1"/>
  <c r="AA259" i="23"/>
  <c r="Z259" i="23" s="1"/>
  <c r="Y259" i="23" s="1"/>
  <c r="G259" i="23"/>
  <c r="CD259" i="6" s="1"/>
  <c r="G118" i="23"/>
  <c r="CD118" i="6" s="1"/>
  <c r="H118" i="23"/>
  <c r="AA260" i="23"/>
  <c r="Z260" i="23" s="1"/>
  <c r="Y260" i="23" s="1"/>
  <c r="G260" i="23"/>
  <c r="CD260" i="6" s="1"/>
  <c r="G67" i="23"/>
  <c r="CD67" i="6" s="1"/>
  <c r="AA67" i="23"/>
  <c r="Z67" i="23" s="1"/>
  <c r="Y67" i="23" s="1"/>
  <c r="AA83" i="23"/>
  <c r="Z83" i="23" s="1"/>
  <c r="Y83" i="23" s="1"/>
  <c r="G83" i="23"/>
  <c r="CD83" i="6" s="1"/>
  <c r="G321" i="23"/>
  <c r="CD321" i="6" s="1"/>
  <c r="AA321" i="23"/>
  <c r="Z321" i="23" s="1"/>
  <c r="Y321" i="23" s="1"/>
  <c r="G229" i="23"/>
  <c r="CD229" i="6" s="1"/>
  <c r="AA229" i="23"/>
  <c r="Z229" i="23" s="1"/>
  <c r="Y229" i="23" s="1"/>
  <c r="AA32" i="23"/>
  <c r="Z32" i="23" s="1"/>
  <c r="Y32" i="23" s="1"/>
  <c r="AA299" i="23"/>
  <c r="Z299" i="23" s="1"/>
  <c r="Y299" i="23" s="1"/>
  <c r="AA224" i="23"/>
  <c r="Z224" i="23" s="1"/>
  <c r="Y224" i="23" s="1"/>
  <c r="AA192" i="23"/>
  <c r="Z192" i="23" s="1"/>
  <c r="Y192" i="23" s="1"/>
  <c r="AA28" i="23"/>
  <c r="Z28" i="23" s="1"/>
  <c r="Y28" i="23" s="1"/>
  <c r="AA367" i="23"/>
  <c r="Z367" i="23" s="1"/>
  <c r="Y367" i="23" s="1"/>
  <c r="AA76" i="23"/>
  <c r="Z76" i="23" s="1"/>
  <c r="Y76" i="23" s="1"/>
  <c r="AA353" i="23"/>
  <c r="Z353" i="23" s="1"/>
  <c r="Y353" i="23" s="1"/>
  <c r="AA90" i="23"/>
  <c r="Z90" i="23" s="1"/>
  <c r="Y90" i="23" s="1"/>
  <c r="AA271" i="23"/>
  <c r="Z271" i="23" s="1"/>
  <c r="Y271" i="23" s="1"/>
  <c r="AA313" i="23"/>
  <c r="Z313" i="23" s="1"/>
  <c r="Y313" i="23" s="1"/>
  <c r="AA243" i="23"/>
  <c r="Z243" i="23" s="1"/>
  <c r="Y243" i="23" s="1"/>
  <c r="G243" i="23"/>
  <c r="CD243" i="6" s="1"/>
  <c r="G256" i="23"/>
  <c r="CD256" i="6" s="1"/>
  <c r="AA256" i="23"/>
  <c r="Z256" i="23" s="1"/>
  <c r="Y256" i="23" s="1"/>
  <c r="AA177" i="23"/>
  <c r="Z177" i="23" s="1"/>
  <c r="Y177" i="23" s="1"/>
  <c r="G177" i="23"/>
  <c r="CD177" i="6" s="1"/>
  <c r="G133" i="23"/>
  <c r="CD133" i="6" s="1"/>
  <c r="AA133" i="23"/>
  <c r="Z133" i="23" s="1"/>
  <c r="Y133" i="23" s="1"/>
  <c r="G57" i="23"/>
  <c r="CD57" i="6" s="1"/>
  <c r="AA57" i="23"/>
  <c r="Z57" i="23" s="1"/>
  <c r="Y57" i="23" s="1"/>
  <c r="AA168" i="23"/>
  <c r="Z168" i="23" s="1"/>
  <c r="Y168" i="23" s="1"/>
  <c r="G168" i="23"/>
  <c r="CD168" i="6" s="1"/>
  <c r="G239" i="23"/>
  <c r="CD239" i="6" s="1"/>
  <c r="AA239" i="23"/>
  <c r="Z239" i="23" s="1"/>
  <c r="Y239" i="23" s="1"/>
  <c r="H239" i="23"/>
  <c r="AA296" i="23"/>
  <c r="Z296" i="23" s="1"/>
  <c r="Y296" i="23" s="1"/>
  <c r="G296" i="23"/>
  <c r="CD296" i="6" s="1"/>
  <c r="G246" i="23"/>
  <c r="CD246" i="6" s="1"/>
  <c r="AA246" i="23"/>
  <c r="Z246" i="23" s="1"/>
  <c r="Y246" i="23" s="1"/>
  <c r="AA144" i="23"/>
  <c r="Z144" i="23" s="1"/>
  <c r="Y144" i="23" s="1"/>
  <c r="G144" i="23"/>
  <c r="CD144" i="6" s="1"/>
  <c r="G369" i="23"/>
  <c r="CD369" i="6" s="1"/>
  <c r="AA369" i="23"/>
  <c r="Z369" i="23" s="1"/>
  <c r="Y369" i="23" s="1"/>
  <c r="AA157" i="23"/>
  <c r="Z157" i="23" s="1"/>
  <c r="Y157" i="23" s="1"/>
  <c r="G157" i="23"/>
  <c r="CD157" i="6" s="1"/>
  <c r="H157" i="23"/>
  <c r="AA306" i="23"/>
  <c r="Z306" i="23" s="1"/>
  <c r="Y306" i="23" s="1"/>
  <c r="G306" i="23"/>
  <c r="CD306" i="6" s="1"/>
  <c r="AA287" i="23"/>
  <c r="Z287" i="23" s="1"/>
  <c r="Y287" i="23" s="1"/>
  <c r="G287" i="23"/>
  <c r="CD287" i="6" s="1"/>
  <c r="G209" i="23"/>
  <c r="CD209" i="6" s="1"/>
  <c r="AA209" i="23"/>
  <c r="Z209" i="23" s="1"/>
  <c r="Y209" i="23" s="1"/>
  <c r="AA232" i="23"/>
  <c r="Z232" i="23" s="1"/>
  <c r="Y232" i="23" s="1"/>
  <c r="H232" i="23"/>
  <c r="G232" i="23"/>
  <c r="CD232" i="6" s="1"/>
  <c r="AA311" i="23"/>
  <c r="Z311" i="23" s="1"/>
  <c r="Y311" i="23" s="1"/>
  <c r="G311" i="23"/>
  <c r="CD311" i="6" s="1"/>
  <c r="G182" i="23"/>
  <c r="CD182" i="6" s="1"/>
  <c r="AA182" i="23"/>
  <c r="Z182" i="23" s="1"/>
  <c r="Y182" i="23" s="1"/>
  <c r="AA154" i="23"/>
  <c r="Z154" i="23" s="1"/>
  <c r="Y154" i="23" s="1"/>
  <c r="G154" i="23"/>
  <c r="CD154" i="6" s="1"/>
  <c r="H154" i="23"/>
  <c r="G185" i="23"/>
  <c r="CD185" i="6" s="1"/>
  <c r="AA185" i="23"/>
  <c r="Z185" i="23" s="1"/>
  <c r="Y185" i="23" s="1"/>
  <c r="G43" i="23"/>
  <c r="CD43" i="6" s="1"/>
  <c r="AA43" i="23"/>
  <c r="Z43" i="23" s="1"/>
  <c r="Y43" i="23" s="1"/>
  <c r="AA293" i="23"/>
  <c r="Z293" i="23" s="1"/>
  <c r="Y293" i="23" s="1"/>
  <c r="G293" i="23"/>
  <c r="CD293" i="6" s="1"/>
  <c r="G44" i="23"/>
  <c r="CD44" i="6" s="1"/>
  <c r="AA44" i="23"/>
  <c r="Z44" i="23" s="1"/>
  <c r="Y44" i="23" s="1"/>
  <c r="AA360" i="23"/>
  <c r="Z360" i="23" s="1"/>
  <c r="Y360" i="23" s="1"/>
  <c r="G360" i="23"/>
  <c r="CD360" i="6" s="1"/>
  <c r="AA252" i="23"/>
  <c r="Z252" i="23" s="1"/>
  <c r="Y252" i="23" s="1"/>
  <c r="G252" i="23"/>
  <c r="CD252" i="6" s="1"/>
  <c r="G158" i="23"/>
  <c r="CD158" i="6" s="1"/>
  <c r="AA158" i="23"/>
  <c r="Z158" i="23" s="1"/>
  <c r="Y158" i="23" s="1"/>
  <c r="AA347" i="23"/>
  <c r="Z347" i="23" s="1"/>
  <c r="Y347" i="23" s="1"/>
  <c r="H347" i="23"/>
  <c r="G347" i="23"/>
  <c r="CD347" i="6" s="1"/>
  <c r="AA98" i="23"/>
  <c r="Z98" i="23" s="1"/>
  <c r="Y98" i="23" s="1"/>
  <c r="G98" i="23"/>
  <c r="CD98" i="6" s="1"/>
  <c r="H24" i="23"/>
  <c r="AA24" i="23"/>
  <c r="Z24" i="23" s="1"/>
  <c r="Y24" i="23" s="1"/>
  <c r="G24" i="23"/>
  <c r="CD24" i="6" s="1"/>
  <c r="AA59" i="23"/>
  <c r="Z59" i="23" s="1"/>
  <c r="Y59" i="23" s="1"/>
  <c r="G59" i="23"/>
  <c r="CD59" i="6" s="1"/>
  <c r="AA364" i="23"/>
  <c r="Z364" i="23" s="1"/>
  <c r="Y364" i="23" s="1"/>
  <c r="G364" i="23"/>
  <c r="CD364" i="6" s="1"/>
  <c r="AA48" i="23"/>
  <c r="Z48" i="23" s="1"/>
  <c r="Y48" i="23" s="1"/>
  <c r="H48" i="23"/>
  <c r="G48" i="23"/>
  <c r="CD48" i="6" s="1"/>
  <c r="G237" i="23"/>
  <c r="CD237" i="6" s="1"/>
  <c r="AA237" i="23"/>
  <c r="Z237" i="23" s="1"/>
  <c r="Y237" i="23" s="1"/>
  <c r="G106" i="23"/>
  <c r="CD106" i="6" s="1"/>
  <c r="AA106" i="23"/>
  <c r="Z106" i="23" s="1"/>
  <c r="Y106" i="23" s="1"/>
  <c r="G156" i="23"/>
  <c r="CD156" i="6" s="1"/>
  <c r="AA156" i="23"/>
  <c r="Z156" i="23" s="1"/>
  <c r="Y156" i="23" s="1"/>
  <c r="G211" i="23"/>
  <c r="CD211" i="6" s="1"/>
  <c r="AA211" i="23"/>
  <c r="Z211" i="23" s="1"/>
  <c r="Y211" i="23" s="1"/>
  <c r="H320" i="23"/>
  <c r="G320" i="23"/>
  <c r="CD320" i="6" s="1"/>
  <c r="G64" i="23"/>
  <c r="CD64" i="6" s="1"/>
  <c r="AA64" i="23"/>
  <c r="Z64" i="23" s="1"/>
  <c r="Y64" i="23" s="1"/>
  <c r="AA297" i="23"/>
  <c r="Z297" i="23" s="1"/>
  <c r="Y297" i="23" s="1"/>
  <c r="G297" i="23"/>
  <c r="CD297" i="6" s="1"/>
  <c r="AA21" i="23"/>
  <c r="Z21" i="23" s="1"/>
  <c r="Y21" i="23" s="1"/>
  <c r="G21" i="23"/>
  <c r="CD21" i="6" s="1"/>
  <c r="G340" i="23"/>
  <c r="CD340" i="6" s="1"/>
  <c r="AA340" i="23"/>
  <c r="Z340" i="23" s="1"/>
  <c r="Y340" i="23" s="1"/>
  <c r="AA213" i="23"/>
  <c r="Z213" i="23" s="1"/>
  <c r="Y213" i="23" s="1"/>
  <c r="G213" i="23"/>
  <c r="CD213" i="6" s="1"/>
  <c r="AA249" i="23"/>
  <c r="Z249" i="23" s="1"/>
  <c r="Y249" i="23" s="1"/>
  <c r="G249" i="23"/>
  <c r="CD249" i="6" s="1"/>
  <c r="H92" i="23"/>
  <c r="G92" i="23"/>
  <c r="CD92" i="6" s="1"/>
  <c r="AA92" i="23"/>
  <c r="Z92" i="23" s="1"/>
  <c r="Y92" i="23" s="1"/>
  <c r="AA169" i="23"/>
  <c r="Z169" i="23" s="1"/>
  <c r="Y169" i="23" s="1"/>
  <c r="G169" i="23"/>
  <c r="CD169" i="6" s="1"/>
  <c r="AA270" i="23"/>
  <c r="Z270" i="23" s="1"/>
  <c r="Y270" i="23" s="1"/>
  <c r="G270" i="23"/>
  <c r="CD270" i="6" s="1"/>
  <c r="H67" i="23"/>
  <c r="H28" i="23"/>
  <c r="H147" i="23"/>
  <c r="H124" i="23"/>
  <c r="H33" i="23"/>
  <c r="H169" i="23"/>
  <c r="AA105" i="23"/>
  <c r="Z105" i="23" s="1"/>
  <c r="Y105" i="23" s="1"/>
  <c r="H243" i="23"/>
  <c r="H50" i="23"/>
  <c r="H246" i="23"/>
  <c r="H126" i="23"/>
  <c r="H39" i="23"/>
  <c r="H133" i="23"/>
  <c r="H256" i="23"/>
  <c r="H98" i="23"/>
  <c r="H270" i="23"/>
  <c r="H271" i="23"/>
  <c r="H323" i="23"/>
  <c r="H110" i="23"/>
  <c r="H42" i="23"/>
  <c r="H345" i="23"/>
  <c r="H146" i="23"/>
  <c r="H321" i="23"/>
  <c r="H338" i="23"/>
  <c r="H141" i="23"/>
  <c r="H140" i="23"/>
  <c r="H285" i="23"/>
  <c r="H229" i="23"/>
  <c r="H70" i="23"/>
  <c r="H17" i="23"/>
  <c r="H86" i="23"/>
  <c r="H81" i="23"/>
  <c r="H311" i="23"/>
  <c r="H299" i="23"/>
  <c r="AA41" i="23"/>
  <c r="Z41" i="23" s="1"/>
  <c r="Y41" i="23" s="1"/>
  <c r="AA254" i="23"/>
  <c r="Z254" i="23" s="1"/>
  <c r="Y254" i="23" s="1"/>
  <c r="AA338" i="23"/>
  <c r="Z338" i="23" s="1"/>
  <c r="Y338" i="23" s="1"/>
  <c r="H150" i="23"/>
  <c r="H127" i="23"/>
  <c r="H44" i="23"/>
  <c r="H143" i="23"/>
  <c r="H377" i="23"/>
  <c r="H228" i="23"/>
  <c r="H59" i="23"/>
  <c r="H208" i="23"/>
  <c r="H65" i="23"/>
  <c r="H83" i="23"/>
  <c r="H211" i="23"/>
  <c r="H252" i="23"/>
  <c r="H282" i="23"/>
  <c r="H21" i="23"/>
  <c r="H125" i="23"/>
  <c r="H96" i="23"/>
  <c r="H296" i="23"/>
  <c r="H49" i="23"/>
  <c r="H343" i="23"/>
  <c r="H155" i="23"/>
  <c r="H305" i="23"/>
  <c r="H309" i="23"/>
  <c r="AA75" i="23"/>
  <c r="Z75" i="23" s="1"/>
  <c r="Y75" i="23" s="1"/>
  <c r="AA179" i="23"/>
  <c r="Z179" i="23" s="1"/>
  <c r="Y179" i="23" s="1"/>
  <c r="AA312" i="23"/>
  <c r="Z312" i="23" s="1"/>
  <c r="Y312" i="23" s="1"/>
  <c r="AA343" i="23"/>
  <c r="Z343" i="23" s="1"/>
  <c r="Y343" i="23" s="1"/>
  <c r="AA70" i="23"/>
  <c r="Z70" i="23" s="1"/>
  <c r="Y70" i="23" s="1"/>
  <c r="AA219" i="23"/>
  <c r="Z219" i="23" s="1"/>
  <c r="Y219" i="23" s="1"/>
  <c r="AA339" i="23"/>
  <c r="Z339" i="23" s="1"/>
  <c r="Y339" i="23" s="1"/>
  <c r="AA345" i="23"/>
  <c r="Z345" i="23" s="1"/>
  <c r="Y345" i="23" s="1"/>
  <c r="AA118" i="23"/>
  <c r="Z118" i="23" s="1"/>
  <c r="Y118" i="23" s="1"/>
  <c r="H360" i="23"/>
  <c r="H106" i="23"/>
  <c r="H259" i="23"/>
  <c r="H161" i="23"/>
  <c r="H335" i="23"/>
  <c r="H104" i="23"/>
  <c r="H351" i="23"/>
  <c r="H171" i="23"/>
  <c r="H190" i="23"/>
  <c r="H249" i="23"/>
  <c r="H76" i="23"/>
  <c r="H47" i="23"/>
  <c r="AA334" i="23"/>
  <c r="Z334" i="23" s="1"/>
  <c r="Y334" i="23" s="1"/>
  <c r="G334" i="23"/>
  <c r="CD334" i="6" s="1"/>
  <c r="G45" i="23"/>
  <c r="CD45" i="6" s="1"/>
  <c r="AA45" i="23"/>
  <c r="Z45" i="23" s="1"/>
  <c r="Y45" i="23" s="1"/>
  <c r="AA103" i="23"/>
  <c r="Z103" i="23" s="1"/>
  <c r="Y103" i="23" s="1"/>
  <c r="G103" i="23"/>
  <c r="CD103" i="6" s="1"/>
  <c r="AA222" i="23"/>
  <c r="Z222" i="23" s="1"/>
  <c r="Y222" i="23" s="1"/>
  <c r="G222" i="23"/>
  <c r="CD222" i="6" s="1"/>
  <c r="G189" i="23"/>
  <c r="CD189" i="6" s="1"/>
  <c r="H189" i="23"/>
  <c r="AA189" i="23"/>
  <c r="Z189" i="23" s="1"/>
  <c r="Y189" i="23" s="1"/>
  <c r="AA66" i="23"/>
  <c r="Z66" i="23" s="1"/>
  <c r="Y66" i="23" s="1"/>
  <c r="G66" i="23"/>
  <c r="CD66" i="6" s="1"/>
  <c r="AA36" i="23"/>
  <c r="Z36" i="23" s="1"/>
  <c r="Y36" i="23" s="1"/>
  <c r="G36" i="23"/>
  <c r="CD36" i="6" s="1"/>
  <c r="G253" i="23"/>
  <c r="CD253" i="6" s="1"/>
  <c r="AA253" i="23"/>
  <c r="Z253" i="23" s="1"/>
  <c r="Y253" i="23" s="1"/>
  <c r="AA322" i="23"/>
  <c r="Z322" i="23" s="1"/>
  <c r="Y322" i="23" s="1"/>
  <c r="G322" i="23"/>
  <c r="CD322" i="6" s="1"/>
  <c r="H176" i="23"/>
  <c r="G176" i="23"/>
  <c r="CD176" i="6" s="1"/>
  <c r="G336" i="23"/>
  <c r="CD336" i="6" s="1"/>
  <c r="AA336" i="23"/>
  <c r="Z336" i="23" s="1"/>
  <c r="Y336" i="23" s="1"/>
  <c r="G114" i="23"/>
  <c r="CD114" i="6" s="1"/>
  <c r="AA114" i="23"/>
  <c r="Z114" i="23" s="1"/>
  <c r="Y114" i="23" s="1"/>
  <c r="AA342" i="23"/>
  <c r="Z342" i="23" s="1"/>
  <c r="Y342" i="23" s="1"/>
  <c r="G342" i="23"/>
  <c r="CD342" i="6" s="1"/>
  <c r="AA372" i="23"/>
  <c r="Z372" i="23" s="1"/>
  <c r="Y372" i="23" s="1"/>
  <c r="G372" i="23"/>
  <c r="CD372" i="6" s="1"/>
  <c r="G181" i="23"/>
  <c r="CD181" i="6" s="1"/>
  <c r="AA181" i="23"/>
  <c r="Z181" i="23" s="1"/>
  <c r="Y181" i="23" s="1"/>
  <c r="AA112" i="23"/>
  <c r="Z112" i="23" s="1"/>
  <c r="Y112" i="23" s="1"/>
  <c r="G112" i="23"/>
  <c r="CD112" i="6" s="1"/>
  <c r="H188" i="23"/>
  <c r="AA188" i="23"/>
  <c r="Z188" i="23" s="1"/>
  <c r="Y188" i="23" s="1"/>
  <c r="G188" i="23"/>
  <c r="CD188" i="6" s="1"/>
  <c r="H337" i="23"/>
  <c r="G337" i="23"/>
  <c r="CD337" i="6" s="1"/>
  <c r="AA152" i="23"/>
  <c r="Z152" i="23" s="1"/>
  <c r="Y152" i="23" s="1"/>
  <c r="G152" i="23"/>
  <c r="CD152" i="6" s="1"/>
  <c r="AA215" i="23"/>
  <c r="Z215" i="23" s="1"/>
  <c r="Y215" i="23" s="1"/>
  <c r="G215" i="23"/>
  <c r="CD215" i="6" s="1"/>
  <c r="G356" i="23"/>
  <c r="CD356" i="6" s="1"/>
  <c r="AA356" i="23"/>
  <c r="Z356" i="23" s="1"/>
  <c r="Y356" i="23" s="1"/>
  <c r="AA371" i="23"/>
  <c r="Z371" i="23" s="1"/>
  <c r="Y371" i="23" s="1"/>
  <c r="H371" i="23"/>
  <c r="G371" i="23"/>
  <c r="CD371" i="6" s="1"/>
  <c r="E68" i="19"/>
  <c r="F68" i="19"/>
  <c r="AA330" i="23"/>
  <c r="Z330" i="23" s="1"/>
  <c r="Y330" i="23" s="1"/>
  <c r="G330" i="23"/>
  <c r="CD330" i="6" s="1"/>
  <c r="G278" i="23"/>
  <c r="CD278" i="6" s="1"/>
  <c r="AA278" i="23"/>
  <c r="Z278" i="23" s="1"/>
  <c r="Y278" i="23" s="1"/>
  <c r="AA113" i="23"/>
  <c r="Z113" i="23" s="1"/>
  <c r="Y113" i="23" s="1"/>
  <c r="G113" i="23"/>
  <c r="CD113" i="6" s="1"/>
  <c r="G247" i="23"/>
  <c r="CD247" i="6" s="1"/>
  <c r="AA247" i="23"/>
  <c r="Z247" i="23" s="1"/>
  <c r="Y247" i="23" s="1"/>
  <c r="G99" i="23"/>
  <c r="CD99" i="6" s="1"/>
  <c r="AA99" i="23"/>
  <c r="Z99" i="23" s="1"/>
  <c r="Y99" i="23" s="1"/>
  <c r="G129" i="23"/>
  <c r="CD129" i="6" s="1"/>
  <c r="AA129" i="23"/>
  <c r="Z129" i="23" s="1"/>
  <c r="Y129" i="23" s="1"/>
  <c r="G94" i="23"/>
  <c r="CD94" i="6" s="1"/>
  <c r="AA94" i="23"/>
  <c r="Z94" i="23" s="1"/>
  <c r="Y94" i="23" s="1"/>
  <c r="G139" i="23"/>
  <c r="CD139" i="6" s="1"/>
  <c r="AA139" i="23"/>
  <c r="Z139" i="23" s="1"/>
  <c r="Y139" i="23" s="1"/>
  <c r="AA245" i="23"/>
  <c r="Z245" i="23" s="1"/>
  <c r="Y245" i="23" s="1"/>
  <c r="G245" i="23"/>
  <c r="CD245" i="6" s="1"/>
  <c r="G203" i="23"/>
  <c r="CD203" i="6" s="1"/>
  <c r="AA203" i="23"/>
  <c r="Z203" i="23" s="1"/>
  <c r="Y203" i="23" s="1"/>
  <c r="G30" i="23"/>
  <c r="CD30" i="6" s="1"/>
  <c r="AA30" i="23"/>
  <c r="Z30" i="23" s="1"/>
  <c r="Y30" i="23" s="1"/>
  <c r="G122" i="23"/>
  <c r="CD122" i="6" s="1"/>
  <c r="AA122" i="23"/>
  <c r="Z122" i="23" s="1"/>
  <c r="Y122" i="23" s="1"/>
  <c r="AA52" i="23"/>
  <c r="Z52" i="23" s="1"/>
  <c r="Y52" i="23" s="1"/>
  <c r="G52" i="23"/>
  <c r="CD52" i="6" s="1"/>
  <c r="AA111" i="23"/>
  <c r="Z111" i="23" s="1"/>
  <c r="Y111" i="23" s="1"/>
  <c r="G111" i="23"/>
  <c r="CD111" i="6" s="1"/>
  <c r="D68" i="19"/>
  <c r="AA22" i="23"/>
  <c r="Z22" i="23" s="1"/>
  <c r="Y22" i="23" s="1"/>
  <c r="G22" i="23"/>
  <c r="CD22" i="6" s="1"/>
  <c r="G178" i="23"/>
  <c r="CD178" i="6" s="1"/>
  <c r="H178" i="23"/>
  <c r="H291" i="23"/>
  <c r="G291" i="23"/>
  <c r="CD291" i="6" s="1"/>
  <c r="AA291" i="23"/>
  <c r="Z291" i="23" s="1"/>
  <c r="Y291" i="23" s="1"/>
  <c r="AA136" i="23"/>
  <c r="Z136" i="23" s="1"/>
  <c r="Y136" i="23" s="1"/>
  <c r="G136" i="23"/>
  <c r="CD136" i="6" s="1"/>
  <c r="G95" i="23"/>
  <c r="CD95" i="6" s="1"/>
  <c r="AA95" i="23"/>
  <c r="Z95" i="23" s="1"/>
  <c r="Y95" i="23" s="1"/>
  <c r="AA102" i="23"/>
  <c r="Z102" i="23" s="1"/>
  <c r="Y102" i="23" s="1"/>
  <c r="G102" i="23"/>
  <c r="CD102" i="6" s="1"/>
  <c r="G262" i="23"/>
  <c r="CD262" i="6" s="1"/>
  <c r="AA262" i="23"/>
  <c r="Z262" i="23" s="1"/>
  <c r="Y262" i="23" s="1"/>
  <c r="AA160" i="23"/>
  <c r="Z160" i="23" s="1"/>
  <c r="Y160" i="23" s="1"/>
  <c r="G160" i="23"/>
  <c r="CD160" i="6" s="1"/>
  <c r="G214" i="23"/>
  <c r="CD214" i="6" s="1"/>
  <c r="AA214" i="23"/>
  <c r="Z214" i="23" s="1"/>
  <c r="Y214" i="23" s="1"/>
  <c r="G204" i="23"/>
  <c r="CD204" i="6" s="1"/>
  <c r="AA204" i="23"/>
  <c r="Z204" i="23" s="1"/>
  <c r="Y204" i="23" s="1"/>
  <c r="AA212" i="23"/>
  <c r="Z212" i="23" s="1"/>
  <c r="Y212" i="23" s="1"/>
  <c r="G212" i="23"/>
  <c r="CD212" i="6" s="1"/>
  <c r="AA331" i="23"/>
  <c r="Z331" i="23" s="1"/>
  <c r="Y331" i="23" s="1"/>
  <c r="G331" i="23"/>
  <c r="CD331" i="6" s="1"/>
  <c r="AA220" i="23"/>
  <c r="Z220" i="23" s="1"/>
  <c r="Y220" i="23" s="1"/>
  <c r="G220" i="23"/>
  <c r="CD220" i="6" s="1"/>
  <c r="H220" i="23"/>
  <c r="H95" i="23"/>
  <c r="H203" i="23"/>
  <c r="H353" i="23"/>
  <c r="AA85" i="23"/>
  <c r="Z85" i="23" s="1"/>
  <c r="Y85" i="23" s="1"/>
  <c r="AA230" i="23"/>
  <c r="Z230" i="23" s="1"/>
  <c r="Y230" i="23" s="1"/>
  <c r="AA166" i="23"/>
  <c r="Z166" i="23" s="1"/>
  <c r="Y166" i="23" s="1"/>
  <c r="AA145" i="23"/>
  <c r="Z145" i="23" s="1"/>
  <c r="Y145" i="23" s="1"/>
  <c r="AA50" i="23"/>
  <c r="Z50" i="23" s="1"/>
  <c r="Y50" i="23" s="1"/>
  <c r="AA81" i="23"/>
  <c r="Z81" i="23" s="1"/>
  <c r="Y81" i="23" s="1"/>
  <c r="AA125" i="23"/>
  <c r="Z125" i="23" s="1"/>
  <c r="Y125" i="23" s="1"/>
  <c r="AA337" i="23"/>
  <c r="Z337" i="23" s="1"/>
  <c r="Y337" i="23" s="1"/>
  <c r="AA178" i="23"/>
  <c r="Z178" i="23" s="1"/>
  <c r="Y178" i="23" s="1"/>
  <c r="AA216" i="23"/>
  <c r="Z216" i="23" s="1"/>
  <c r="Y216" i="23" s="1"/>
  <c r="AA233" i="23"/>
  <c r="Z233" i="23" s="1"/>
  <c r="Y233" i="23" s="1"/>
  <c r="AA171" i="23"/>
  <c r="Z171" i="23" s="1"/>
  <c r="Y171" i="23" s="1"/>
  <c r="AA164" i="23"/>
  <c r="Z164" i="23" s="1"/>
  <c r="Y164" i="23" s="1"/>
  <c r="AA23" i="23"/>
  <c r="Z23" i="23" s="1"/>
  <c r="Y23" i="23" s="1"/>
  <c r="AA176" i="23"/>
  <c r="Z176" i="23" s="1"/>
  <c r="Y176" i="23" s="1"/>
  <c r="AA120" i="23"/>
  <c r="Z120" i="23" s="1"/>
  <c r="Y120" i="23" s="1"/>
  <c r="AA167" i="23"/>
  <c r="Z167" i="23" s="1"/>
  <c r="Y167" i="23" s="1"/>
  <c r="G167" i="23"/>
  <c r="CD167" i="6" s="1"/>
  <c r="AA38" i="23"/>
  <c r="Z38" i="23" s="1"/>
  <c r="Y38" i="23" s="1"/>
  <c r="G38" i="23"/>
  <c r="CD38" i="6" s="1"/>
  <c r="G58" i="23"/>
  <c r="CD58" i="6" s="1"/>
  <c r="AA58" i="23"/>
  <c r="Z58" i="23" s="1"/>
  <c r="Y58" i="23" s="1"/>
  <c r="AA298" i="23"/>
  <c r="Z298" i="23" s="1"/>
  <c r="Y298" i="23" s="1"/>
  <c r="G298" i="23"/>
  <c r="CD298" i="6" s="1"/>
  <c r="H298" i="23"/>
  <c r="AA108" i="23"/>
  <c r="Z108" i="23" s="1"/>
  <c r="Y108" i="23" s="1"/>
  <c r="H108" i="23"/>
  <c r="G108" i="23"/>
  <c r="CD108" i="6" s="1"/>
  <c r="G277" i="23"/>
  <c r="CD277" i="6" s="1"/>
  <c r="AA277" i="23"/>
  <c r="Z277" i="23" s="1"/>
  <c r="Y277" i="23" s="1"/>
  <c r="G325" i="23"/>
  <c r="CD325" i="6" s="1"/>
  <c r="AA325" i="23"/>
  <c r="Z325" i="23" s="1"/>
  <c r="Y325" i="23" s="1"/>
  <c r="K68" i="19"/>
  <c r="H68" i="19"/>
  <c r="G242" i="23"/>
  <c r="CD242" i="6" s="1"/>
  <c r="AA242" i="23"/>
  <c r="Z242" i="23" s="1"/>
  <c r="Y242" i="23" s="1"/>
  <c r="AA286" i="23"/>
  <c r="Z286" i="23" s="1"/>
  <c r="Y286" i="23" s="1"/>
  <c r="G286" i="23"/>
  <c r="CD286" i="6" s="1"/>
  <c r="AA159" i="23"/>
  <c r="Z159" i="23" s="1"/>
  <c r="Y159" i="23" s="1"/>
  <c r="G159" i="23"/>
  <c r="CD159" i="6" s="1"/>
  <c r="G165" i="23"/>
  <c r="CD165" i="6" s="1"/>
  <c r="AA165" i="23"/>
  <c r="Z165" i="23" s="1"/>
  <c r="Y165" i="23" s="1"/>
  <c r="G275" i="23"/>
  <c r="CD275" i="6" s="1"/>
  <c r="AA275" i="23"/>
  <c r="Z275" i="23" s="1"/>
  <c r="Y275" i="23" s="1"/>
  <c r="AA303" i="23"/>
  <c r="Z303" i="23" s="1"/>
  <c r="Y303" i="23" s="1"/>
  <c r="G303" i="23"/>
  <c r="CD303" i="6" s="1"/>
  <c r="G197" i="23"/>
  <c r="CD197" i="6" s="1"/>
  <c r="AA197" i="23"/>
  <c r="Z197" i="23" s="1"/>
  <c r="Y197" i="23" s="1"/>
  <c r="L68" i="19"/>
  <c r="AA370" i="23"/>
  <c r="Z370" i="23" s="1"/>
  <c r="Y370" i="23" s="1"/>
  <c r="G370" i="23"/>
  <c r="CD370" i="6" s="1"/>
  <c r="G231" i="23"/>
  <c r="CD231" i="6" s="1"/>
  <c r="AA231" i="23"/>
  <c r="Z231" i="23" s="1"/>
  <c r="Y231" i="23" s="1"/>
  <c r="AA276" i="23"/>
  <c r="Z276" i="23" s="1"/>
  <c r="Y276" i="23" s="1"/>
  <c r="G276" i="23"/>
  <c r="CD276" i="6" s="1"/>
  <c r="G89" i="23"/>
  <c r="CD89" i="6" s="1"/>
  <c r="AA89" i="23"/>
  <c r="Z89" i="23" s="1"/>
  <c r="Y89" i="23" s="1"/>
  <c r="G240" i="23"/>
  <c r="CD240" i="6" s="1"/>
  <c r="AA240" i="23"/>
  <c r="Z240" i="23" s="1"/>
  <c r="Y240" i="23" s="1"/>
  <c r="AA54" i="23"/>
  <c r="Z54" i="23" s="1"/>
  <c r="Y54" i="23" s="1"/>
  <c r="G54" i="23"/>
  <c r="CD54" i="6" s="1"/>
  <c r="G244" i="23"/>
  <c r="CD244" i="6" s="1"/>
  <c r="AA244" i="23"/>
  <c r="Z244" i="23" s="1"/>
  <c r="Y244" i="23" s="1"/>
  <c r="AA266" i="23"/>
  <c r="Z266" i="23" s="1"/>
  <c r="Y266" i="23" s="1"/>
  <c r="G266" i="23"/>
  <c r="CD266" i="6" s="1"/>
  <c r="H266" i="23"/>
  <c r="AA19" i="23"/>
  <c r="Z19" i="23" s="1"/>
  <c r="Y19" i="23" s="1"/>
  <c r="G19" i="23"/>
  <c r="CD19" i="6" s="1"/>
  <c r="AA198" i="23"/>
  <c r="Z198" i="23" s="1"/>
  <c r="Y198" i="23" s="1"/>
  <c r="G198" i="23"/>
  <c r="CD198" i="6" s="1"/>
  <c r="H93" i="23"/>
  <c r="G93" i="23"/>
  <c r="CD93" i="6" s="1"/>
  <c r="AA93" i="23"/>
  <c r="Z93" i="23" s="1"/>
  <c r="Y93" i="23" s="1"/>
  <c r="AA97" i="23"/>
  <c r="Z97" i="23" s="1"/>
  <c r="Y97" i="23" s="1"/>
  <c r="G97" i="23"/>
  <c r="CD97" i="6" s="1"/>
  <c r="AA77" i="23"/>
  <c r="Z77" i="23" s="1"/>
  <c r="Y77" i="23" s="1"/>
  <c r="G77" i="23"/>
  <c r="CD77" i="6" s="1"/>
  <c r="AA264" i="23"/>
  <c r="Z264" i="23" s="1"/>
  <c r="Y264" i="23" s="1"/>
  <c r="G264" i="23"/>
  <c r="CD264" i="6" s="1"/>
  <c r="G183" i="23"/>
  <c r="CD183" i="6" s="1"/>
  <c r="AA183" i="23"/>
  <c r="Z183" i="23" s="1"/>
  <c r="Y183" i="23" s="1"/>
  <c r="G358" i="23"/>
  <c r="CD358" i="6" s="1"/>
  <c r="AA358" i="23"/>
  <c r="Z358" i="23" s="1"/>
  <c r="Y358" i="23" s="1"/>
  <c r="AA87" i="23"/>
  <c r="Z87" i="23" s="1"/>
  <c r="Y87" i="23" s="1"/>
  <c r="G87" i="23"/>
  <c r="CD87" i="6" s="1"/>
  <c r="G131" i="23"/>
  <c r="CD131" i="6" s="1"/>
  <c r="H131" i="23"/>
  <c r="G324" i="23"/>
  <c r="CD324" i="6" s="1"/>
  <c r="AA324" i="23"/>
  <c r="Z324" i="23" s="1"/>
  <c r="Y324" i="23" s="1"/>
  <c r="T381" i="23"/>
  <c r="T383" i="23"/>
  <c r="T382" i="23"/>
  <c r="S15" i="23"/>
  <c r="AA348" i="23"/>
  <c r="Z348" i="23" s="1"/>
  <c r="Y348" i="23" s="1"/>
  <c r="G348" i="23"/>
  <c r="CD348" i="6" s="1"/>
  <c r="G69" i="23"/>
  <c r="CD69" i="6" s="1"/>
  <c r="AA69" i="23"/>
  <c r="Z69" i="23" s="1"/>
  <c r="Y69" i="23" s="1"/>
  <c r="G366" i="23"/>
  <c r="CD366" i="6" s="1"/>
  <c r="H366" i="23"/>
  <c r="G292" i="23"/>
  <c r="CD292" i="6" s="1"/>
  <c r="AA292" i="23"/>
  <c r="Z292" i="23" s="1"/>
  <c r="Y292" i="23" s="1"/>
  <c r="G273" i="23"/>
  <c r="CD273" i="6" s="1"/>
  <c r="AA273" i="23"/>
  <c r="Z273" i="23" s="1"/>
  <c r="Y273" i="23" s="1"/>
  <c r="G304" i="23"/>
  <c r="CD304" i="6" s="1"/>
  <c r="AA304" i="23"/>
  <c r="Z304" i="23" s="1"/>
  <c r="Y304" i="23" s="1"/>
  <c r="G18" i="23"/>
  <c r="CD18" i="6" s="1"/>
  <c r="AA18" i="23"/>
  <c r="Z18" i="23" s="1"/>
  <c r="Y18" i="23" s="1"/>
  <c r="AA55" i="23"/>
  <c r="Z55" i="23" s="1"/>
  <c r="Y55" i="23" s="1"/>
  <c r="G55" i="23"/>
  <c r="CD55" i="6" s="1"/>
  <c r="I68" i="19"/>
  <c r="G128" i="23"/>
  <c r="CD128" i="6" s="1"/>
  <c r="H128" i="23"/>
  <c r="AA128" i="23"/>
  <c r="Z128" i="23" s="1"/>
  <c r="Y128" i="23" s="1"/>
  <c r="G328" i="23"/>
  <c r="CD328" i="6" s="1"/>
  <c r="AA328" i="23"/>
  <c r="Z328" i="23" s="1"/>
  <c r="Y328" i="23" s="1"/>
  <c r="H159" i="23"/>
  <c r="H192" i="23"/>
  <c r="H308" i="23"/>
  <c r="H269" i="23"/>
  <c r="H329" i="23"/>
  <c r="H23" i="23"/>
  <c r="H175" i="23"/>
  <c r="H80" i="23"/>
  <c r="H30" i="23"/>
  <c r="H247" i="23"/>
  <c r="H112" i="23"/>
  <c r="H165" i="23"/>
  <c r="H358" i="23"/>
  <c r="H292" i="23"/>
  <c r="H87" i="23"/>
  <c r="H123" i="23"/>
  <c r="H283" i="23"/>
  <c r="H318" i="23"/>
  <c r="H73" i="23"/>
  <c r="H237" i="23"/>
  <c r="H174" i="23"/>
  <c r="H144" i="23"/>
  <c r="H185" i="23"/>
  <c r="H64" i="23"/>
  <c r="H306" i="23"/>
  <c r="H332" i="23"/>
  <c r="H264" i="23"/>
  <c r="H214" i="23"/>
  <c r="H224" i="23"/>
  <c r="H339" i="23"/>
  <c r="H139" i="23"/>
  <c r="H37" i="23"/>
  <c r="H357" i="23"/>
  <c r="H43" i="23"/>
  <c r="H275" i="23"/>
  <c r="H230" i="23"/>
  <c r="H297" i="23"/>
  <c r="H167" i="23"/>
  <c r="H168" i="23"/>
  <c r="H294" i="23"/>
  <c r="H195" i="23"/>
  <c r="H97" i="23"/>
  <c r="H36" i="23"/>
  <c r="H52" i="23"/>
  <c r="H57" i="23"/>
  <c r="H90" i="23"/>
  <c r="H209" i="23"/>
  <c r="H69" i="23"/>
  <c r="AA146" i="23"/>
  <c r="Z146" i="23" s="1"/>
  <c r="Y146" i="23" s="1"/>
  <c r="AA130" i="23"/>
  <c r="Z130" i="23" s="1"/>
  <c r="Y130" i="23" s="1"/>
  <c r="AA117" i="23"/>
  <c r="Z117" i="23" s="1"/>
  <c r="Y117" i="23" s="1"/>
  <c r="AA110" i="23"/>
  <c r="Z110" i="23" s="1"/>
  <c r="Y110" i="23" s="1"/>
  <c r="AA329" i="23"/>
  <c r="Z329" i="23" s="1"/>
  <c r="Y329" i="23" s="1"/>
  <c r="H348" i="23"/>
  <c r="H58" i="23"/>
  <c r="H197" i="23"/>
  <c r="H265" i="23"/>
  <c r="H312" i="23"/>
  <c r="H94" i="23"/>
  <c r="H322" i="23"/>
  <c r="H287" i="23"/>
  <c r="H315" i="23"/>
  <c r="H260" i="23"/>
  <c r="H354" i="23"/>
  <c r="H152" i="23"/>
  <c r="H373" i="23"/>
  <c r="H177" i="23"/>
  <c r="H213" i="23"/>
  <c r="H136" i="23"/>
  <c r="H222" i="23"/>
  <c r="H254" i="23"/>
  <c r="H18" i="23"/>
  <c r="H328" i="23"/>
  <c r="H148" i="23"/>
  <c r="H361" i="23"/>
  <c r="H293" i="23"/>
  <c r="AA150" i="23"/>
  <c r="Z150" i="23" s="1"/>
  <c r="Y150" i="23" s="1"/>
  <c r="AA377" i="23"/>
  <c r="Z377" i="23" s="1"/>
  <c r="Y377" i="23" s="1"/>
  <c r="AA373" i="23"/>
  <c r="Z373" i="23" s="1"/>
  <c r="Y373" i="23" s="1"/>
  <c r="AA221" i="23"/>
  <c r="Z221" i="23" s="1"/>
  <c r="Y221" i="23" s="1"/>
  <c r="AA265" i="23"/>
  <c r="Z265" i="23" s="1"/>
  <c r="Y265" i="23" s="1"/>
  <c r="AA305" i="23"/>
  <c r="Z305" i="23" s="1"/>
  <c r="Y305" i="23" s="1"/>
  <c r="AA123" i="23"/>
  <c r="Z123" i="23" s="1"/>
  <c r="Y123" i="23" s="1"/>
  <c r="AA174" i="23"/>
  <c r="Z174" i="23" s="1"/>
  <c r="Y174" i="23" s="1"/>
  <c r="AA251" i="23"/>
  <c r="Z251" i="23" s="1"/>
  <c r="Y251" i="23" s="1"/>
  <c r="H78" i="23"/>
  <c r="H32" i="23"/>
  <c r="H245" i="23"/>
  <c r="H364" i="23"/>
  <c r="H334" i="23"/>
  <c r="H173" i="23"/>
  <c r="H375" i="23"/>
  <c r="H156" i="23"/>
  <c r="H362" i="23"/>
  <c r="H181" i="23"/>
  <c r="H313" i="23"/>
  <c r="H368" i="23"/>
  <c r="H216" i="23"/>
  <c r="H117" i="23"/>
  <c r="H105" i="23"/>
  <c r="H215" i="23"/>
  <c r="H336" i="23"/>
  <c r="H219" i="23"/>
  <c r="H231" i="23"/>
  <c r="J210" i="22"/>
  <c r="J380" i="22"/>
  <c r="I380" i="22"/>
  <c r="H380" i="23" s="1"/>
  <c r="AI99" i="24"/>
  <c r="AH99" i="24" s="1"/>
  <c r="AI36" i="24"/>
  <c r="AH36" i="24" s="1"/>
  <c r="AG36" i="24" s="1"/>
  <c r="AF36" i="24" s="1"/>
  <c r="AD36" i="24" s="1"/>
  <c r="AI24" i="24"/>
  <c r="AH24" i="24" s="1"/>
  <c r="AG24" i="24" s="1"/>
  <c r="AF24" i="24" s="1"/>
  <c r="AD24" i="24" s="1"/>
  <c r="AI83" i="24"/>
  <c r="AH83" i="24" s="1"/>
  <c r="AI67" i="24"/>
  <c r="AH67" i="24" s="1"/>
  <c r="AG67" i="24" s="1"/>
  <c r="AF67" i="24" s="1"/>
  <c r="AD67" i="24" s="1"/>
  <c r="AI45" i="24"/>
  <c r="AH45" i="24" s="1"/>
  <c r="AI76" i="24"/>
  <c r="AH76" i="24" s="1"/>
  <c r="AI17" i="24"/>
  <c r="AH17" i="24" s="1"/>
  <c r="AG17" i="24" s="1"/>
  <c r="AF17" i="24" s="1"/>
  <c r="AD17" i="24" s="1"/>
  <c r="AI16" i="24"/>
  <c r="AH16" i="24" s="1"/>
  <c r="AI29" i="24"/>
  <c r="AH29" i="24" s="1"/>
  <c r="AI91" i="24"/>
  <c r="AH91" i="24" s="1"/>
  <c r="AI69" i="24"/>
  <c r="AH69" i="24" s="1"/>
  <c r="AI60" i="24"/>
  <c r="AH60" i="24" s="1"/>
  <c r="AI102" i="24"/>
  <c r="AH102" i="24" s="1"/>
  <c r="AI39" i="24"/>
  <c r="AH39" i="24" s="1"/>
  <c r="AI37" i="24"/>
  <c r="AH37" i="24" s="1"/>
  <c r="AI64" i="24"/>
  <c r="AH64" i="24" s="1"/>
  <c r="AG64" i="24" s="1"/>
  <c r="AF64" i="24" s="1"/>
  <c r="AD64" i="24" s="1"/>
  <c r="AI81" i="24"/>
  <c r="AH81" i="24" s="1"/>
  <c r="AI80" i="24"/>
  <c r="AH80" i="24" s="1"/>
  <c r="AI55" i="24"/>
  <c r="AH55" i="24" s="1"/>
  <c r="AG55" i="24" s="1"/>
  <c r="AF55" i="24" s="1"/>
  <c r="AD55" i="24" s="1"/>
  <c r="AI26" i="24"/>
  <c r="AH26" i="24" s="1"/>
  <c r="AG26" i="24" s="1"/>
  <c r="AF26" i="24" s="1"/>
  <c r="AD26" i="24" s="1"/>
  <c r="AI18" i="24"/>
  <c r="AH18" i="24" s="1"/>
  <c r="AG18" i="24" s="1"/>
  <c r="AF18" i="24" s="1"/>
  <c r="AD18" i="24" s="1"/>
  <c r="AI40" i="24"/>
  <c r="AH40" i="24" s="1"/>
  <c r="AI70" i="24"/>
  <c r="AH70" i="24" s="1"/>
  <c r="AI57" i="24"/>
  <c r="AH57" i="24" s="1"/>
  <c r="AI96" i="24"/>
  <c r="AH96" i="24" s="1"/>
  <c r="AI68" i="24"/>
  <c r="AH68" i="24" s="1"/>
  <c r="AG68" i="24" s="1"/>
  <c r="AF68" i="24" s="1"/>
  <c r="AD68" i="24" s="1"/>
  <c r="AI85" i="24"/>
  <c r="AH85" i="24" s="1"/>
  <c r="AI101" i="24"/>
  <c r="AH101" i="24" s="1"/>
  <c r="AI58" i="24"/>
  <c r="AH58" i="24" s="1"/>
  <c r="AI82" i="24"/>
  <c r="AH82" i="24" s="1"/>
  <c r="AI94" i="24"/>
  <c r="AH94" i="24" s="1"/>
  <c r="AI49" i="24"/>
  <c r="AH49" i="24" s="1"/>
  <c r="AI56" i="24"/>
  <c r="AH56" i="24" s="1"/>
  <c r="AG56" i="24" s="1"/>
  <c r="AF56" i="24" s="1"/>
  <c r="AD56" i="24" s="1"/>
  <c r="AI75" i="24"/>
  <c r="AH75" i="24" s="1"/>
  <c r="AI35" i="24"/>
  <c r="AH35" i="24" s="1"/>
  <c r="AI103" i="24"/>
  <c r="AH103" i="24" s="1"/>
  <c r="AG103" i="24" s="1"/>
  <c r="AF103" i="24" s="1"/>
  <c r="AD103" i="24" s="1"/>
  <c r="AI72" i="24"/>
  <c r="AH72" i="24" s="1"/>
  <c r="AG72" i="24" s="1"/>
  <c r="AF72" i="24" s="1"/>
  <c r="AD72" i="24" s="1"/>
  <c r="AI73" i="24"/>
  <c r="AH73" i="24" s="1"/>
  <c r="AG73" i="24" s="1"/>
  <c r="AF73" i="24" s="1"/>
  <c r="AD73" i="24" s="1"/>
  <c r="AI47" i="24"/>
  <c r="AH47" i="24" s="1"/>
  <c r="AI30" i="24"/>
  <c r="AH30" i="24" s="1"/>
  <c r="AG30" i="24" s="1"/>
  <c r="AF30" i="24" s="1"/>
  <c r="AD30" i="24" s="1"/>
  <c r="AI43" i="24"/>
  <c r="AH43" i="24" s="1"/>
  <c r="AI41" i="24"/>
  <c r="AH41" i="24" s="1"/>
  <c r="AI71" i="24"/>
  <c r="AH71" i="24" s="1"/>
  <c r="AH381" i="23"/>
  <c r="AH382" i="23"/>
  <c r="AH383" i="23"/>
  <c r="AG15" i="23"/>
  <c r="AJ3" i="17"/>
  <c r="O14" i="19" s="1"/>
  <c r="M14" i="19" s="1"/>
  <c r="AL13" i="17"/>
  <c r="AK4" i="17"/>
  <c r="R14" i="19" s="1"/>
  <c r="AM13" i="17"/>
  <c r="E383" i="18"/>
  <c r="E9" i="18"/>
  <c r="E11" i="18" s="1"/>
  <c r="E382" i="18"/>
  <c r="AK8" i="18"/>
  <c r="AJ10" i="18"/>
  <c r="AJ12" i="18" s="1"/>
  <c r="F15" i="18"/>
  <c r="E381" i="18"/>
  <c r="Q383" i="24"/>
  <c r="Q381" i="24"/>
  <c r="Q382" i="24"/>
  <c r="Q12" i="25"/>
  <c r="AZ15" i="7"/>
  <c r="AE381" i="24"/>
  <c r="AE382" i="24"/>
  <c r="AE383" i="24"/>
  <c r="I119" i="22"/>
  <c r="J119" i="22"/>
  <c r="J180" i="22"/>
  <c r="I180" i="22"/>
  <c r="I60" i="22"/>
  <c r="H60" i="23" s="1"/>
  <c r="J60" i="22"/>
  <c r="W15" i="20"/>
  <c r="B383" i="20"/>
  <c r="H9" i="20"/>
  <c r="B16" i="19" s="1"/>
  <c r="AK6" i="20"/>
  <c r="AJ6" i="20"/>
  <c r="D15" i="20"/>
  <c r="B382" i="20"/>
  <c r="B381" i="20"/>
  <c r="J363" i="22"/>
  <c r="I363" i="22"/>
  <c r="J14" i="19"/>
  <c r="AA11" i="17"/>
  <c r="AA5" i="17" s="1"/>
  <c r="I14" i="19" s="1"/>
  <c r="Z11" i="17"/>
  <c r="Z5" i="17" s="1"/>
  <c r="H14" i="19" s="1"/>
  <c r="I288" i="23"/>
  <c r="P382" i="22"/>
  <c r="P381" i="22"/>
  <c r="V15" i="22"/>
  <c r="B15" i="22" s="1"/>
  <c r="P383" i="22"/>
  <c r="Y11" i="17"/>
  <c r="AF381" i="22"/>
  <c r="AD15" i="22"/>
  <c r="AF382" i="22"/>
  <c r="AF383" i="22"/>
  <c r="V381" i="20"/>
  <c r="V383" i="20"/>
  <c r="V382" i="20"/>
  <c r="AM7" i="18"/>
  <c r="AK5" i="22"/>
  <c r="AI272" i="24"/>
  <c r="AH272" i="24" s="1"/>
  <c r="AG272" i="24" s="1"/>
  <c r="AF272" i="24" s="1"/>
  <c r="AD272" i="24" s="1"/>
  <c r="AI231" i="24"/>
  <c r="AH231" i="24" s="1"/>
  <c r="AI319" i="24"/>
  <c r="AH319" i="24" s="1"/>
  <c r="AI300" i="24"/>
  <c r="AH300" i="24" s="1"/>
  <c r="AI339" i="24"/>
  <c r="AH339" i="24" s="1"/>
  <c r="AI315" i="24"/>
  <c r="AH315" i="24" s="1"/>
  <c r="AI318" i="24"/>
  <c r="AH318" i="24" s="1"/>
  <c r="AI137" i="24"/>
  <c r="AH137" i="24" s="1"/>
  <c r="AI232" i="24"/>
  <c r="AH232" i="24" s="1"/>
  <c r="AI254" i="24"/>
  <c r="AH254" i="24" s="1"/>
  <c r="AI123" i="24"/>
  <c r="AH123" i="24" s="1"/>
  <c r="AG123" i="24" s="1"/>
  <c r="AF123" i="24" s="1"/>
  <c r="AD123" i="24" s="1"/>
  <c r="AI358" i="24"/>
  <c r="AH358" i="24" s="1"/>
  <c r="AI164" i="24"/>
  <c r="AH164" i="24" s="1"/>
  <c r="AI145" i="24"/>
  <c r="AH145" i="24" s="1"/>
  <c r="AI273" i="24"/>
  <c r="AH273" i="24" s="1"/>
  <c r="AI294" i="24"/>
  <c r="AH294" i="24" s="1"/>
  <c r="AG294" i="24" s="1"/>
  <c r="AF294" i="24" s="1"/>
  <c r="AD294" i="24" s="1"/>
  <c r="AI313" i="24"/>
  <c r="AH313" i="24" s="1"/>
  <c r="AG313" i="24" s="1"/>
  <c r="AF313" i="24" s="1"/>
  <c r="AD313" i="24" s="1"/>
  <c r="AI170" i="24"/>
  <c r="AH170" i="24" s="1"/>
  <c r="AG170" i="24" s="1"/>
  <c r="AF170" i="24" s="1"/>
  <c r="AD170" i="24" s="1"/>
  <c r="AI270" i="24"/>
  <c r="AH270" i="24" s="1"/>
  <c r="AI162" i="24"/>
  <c r="AH162" i="24" s="1"/>
  <c r="AI220" i="24"/>
  <c r="AH220" i="24" s="1"/>
  <c r="AG220" i="24" s="1"/>
  <c r="AF220" i="24" s="1"/>
  <c r="AD220" i="24" s="1"/>
  <c r="AI341" i="24"/>
  <c r="AH341" i="24" s="1"/>
  <c r="AI323" i="24"/>
  <c r="AH323" i="24" s="1"/>
  <c r="AI333" i="24"/>
  <c r="AH333" i="24" s="1"/>
  <c r="AG333" i="24" s="1"/>
  <c r="AF333" i="24" s="1"/>
  <c r="AD333" i="24" s="1"/>
  <c r="AI310" i="24"/>
  <c r="AH310" i="24" s="1"/>
  <c r="AG310" i="24" s="1"/>
  <c r="AF310" i="24" s="1"/>
  <c r="AD310" i="24" s="1"/>
  <c r="AI376" i="24"/>
  <c r="AH376" i="24" s="1"/>
  <c r="AG376" i="24" s="1"/>
  <c r="AF376" i="24" s="1"/>
  <c r="AD376" i="24" s="1"/>
  <c r="AI176" i="24"/>
  <c r="AH176" i="24" s="1"/>
  <c r="AG176" i="24" s="1"/>
  <c r="AF176" i="24" s="1"/>
  <c r="AD176" i="24" s="1"/>
  <c r="AI205" i="24"/>
  <c r="AH205" i="24" s="1"/>
  <c r="AG205" i="24" s="1"/>
  <c r="AF205" i="24" s="1"/>
  <c r="AD205" i="24" s="1"/>
  <c r="AI172" i="24"/>
  <c r="AH172" i="24" s="1"/>
  <c r="AG172" i="24" s="1"/>
  <c r="AF172" i="24" s="1"/>
  <c r="AD172" i="24" s="1"/>
  <c r="AI209" i="24"/>
  <c r="AH209" i="24" s="1"/>
  <c r="AG209" i="24" s="1"/>
  <c r="AF209" i="24" s="1"/>
  <c r="AD209" i="24" s="1"/>
  <c r="AI187" i="24"/>
  <c r="AH187" i="24" s="1"/>
  <c r="AG187" i="24" s="1"/>
  <c r="AF187" i="24" s="1"/>
  <c r="AD187" i="24" s="1"/>
  <c r="AI204" i="24"/>
  <c r="AH204" i="24" s="1"/>
  <c r="AG204" i="24" s="1"/>
  <c r="AF204" i="24" s="1"/>
  <c r="AD204" i="24" s="1"/>
  <c r="AI308" i="24"/>
  <c r="AH308" i="24" s="1"/>
  <c r="AG308" i="24" s="1"/>
  <c r="AF308" i="24" s="1"/>
  <c r="AD308" i="24" s="1"/>
  <c r="AI367" i="24"/>
  <c r="AH367" i="24" s="1"/>
  <c r="AI202" i="24"/>
  <c r="AH202" i="24" s="1"/>
  <c r="AI307" i="24"/>
  <c r="AH307" i="24" s="1"/>
  <c r="AI283" i="24"/>
  <c r="AH283" i="24" s="1"/>
  <c r="AI306" i="24"/>
  <c r="AH306" i="24" s="1"/>
  <c r="AI155" i="24"/>
  <c r="AH155" i="24" s="1"/>
  <c r="AI218" i="24"/>
  <c r="AH218" i="24" s="1"/>
  <c r="AI217" i="24"/>
  <c r="AH217" i="24" s="1"/>
  <c r="AI197" i="24"/>
  <c r="AH197" i="24" s="1"/>
  <c r="AI213" i="24"/>
  <c r="AH213" i="24" s="1"/>
  <c r="AI188" i="24"/>
  <c r="AH188" i="24" s="1"/>
  <c r="AG188" i="24" s="1"/>
  <c r="AF188" i="24" s="1"/>
  <c r="AD188" i="24" s="1"/>
  <c r="AI149" i="24"/>
  <c r="AH149" i="24" s="1"/>
  <c r="AG149" i="24" s="1"/>
  <c r="AF149" i="24" s="1"/>
  <c r="AD149" i="24" s="1"/>
  <c r="AI286" i="24"/>
  <c r="AH286" i="24" s="1"/>
  <c r="AI361" i="24"/>
  <c r="AH361" i="24" s="1"/>
  <c r="AI371" i="24"/>
  <c r="AH371" i="24" s="1"/>
  <c r="AI309" i="24"/>
  <c r="AH309" i="24" s="1"/>
  <c r="AI342" i="24"/>
  <c r="AH342" i="24" s="1"/>
  <c r="AI305" i="24"/>
  <c r="AH305" i="24" s="1"/>
  <c r="AI348" i="24"/>
  <c r="AH348" i="24" s="1"/>
  <c r="AI343" i="24"/>
  <c r="AH343" i="24" s="1"/>
  <c r="AI324" i="24"/>
  <c r="AH324" i="24" s="1"/>
  <c r="AI340" i="24"/>
  <c r="AH340" i="24" s="1"/>
  <c r="AI321" i="24"/>
  <c r="AH321" i="24" s="1"/>
  <c r="AI325" i="24"/>
  <c r="AH325" i="24" s="1"/>
  <c r="AI238" i="24"/>
  <c r="AH238" i="24" s="1"/>
  <c r="AI181" i="24"/>
  <c r="AH181" i="24" s="1"/>
  <c r="AI212" i="24"/>
  <c r="AH212" i="24" s="1"/>
  <c r="AI178" i="24"/>
  <c r="AH178" i="24" s="1"/>
  <c r="AI227" i="24"/>
  <c r="AH227" i="24" s="1"/>
  <c r="AI372" i="24"/>
  <c r="AH372" i="24" s="1"/>
  <c r="AG372" i="24" s="1"/>
  <c r="AF372" i="24" s="1"/>
  <c r="AD372" i="24" s="1"/>
  <c r="AI203" i="24"/>
  <c r="AH203" i="24" s="1"/>
  <c r="AI347" i="24"/>
  <c r="AH347" i="24" s="1"/>
  <c r="AI107" i="24"/>
  <c r="AH107" i="24" s="1"/>
  <c r="AI245" i="24"/>
  <c r="AH245" i="24" s="1"/>
  <c r="AI214" i="24"/>
  <c r="AH214" i="24" s="1"/>
  <c r="AI126" i="24"/>
  <c r="AH126" i="24" s="1"/>
  <c r="AI194" i="24"/>
  <c r="AH194" i="24" s="1"/>
  <c r="AI228" i="24"/>
  <c r="AH228" i="24" s="1"/>
  <c r="AI334" i="24"/>
  <c r="AH334" i="24" s="1"/>
  <c r="AI191" i="24"/>
  <c r="AH191" i="24" s="1"/>
  <c r="AI248" i="24"/>
  <c r="AH248" i="24" s="1"/>
  <c r="AI159" i="24"/>
  <c r="AH159" i="24" s="1"/>
  <c r="AI338" i="24"/>
  <c r="AH338" i="24" s="1"/>
  <c r="AI167" i="24"/>
  <c r="AH167" i="24" s="1"/>
  <c r="AI377" i="24"/>
  <c r="AH377" i="24" s="1"/>
  <c r="AI359" i="24"/>
  <c r="AH359" i="24" s="1"/>
  <c r="AI174" i="24"/>
  <c r="AH174" i="24" s="1"/>
  <c r="AI207" i="24"/>
  <c r="AH207" i="24" s="1"/>
  <c r="AG207" i="24" s="1"/>
  <c r="AF207" i="24" s="1"/>
  <c r="AD207" i="24" s="1"/>
  <c r="AI120" i="24"/>
  <c r="AH120" i="24" s="1"/>
  <c r="AG120" i="24" s="1"/>
  <c r="AF120" i="24" s="1"/>
  <c r="AD120" i="24" s="1"/>
  <c r="AI148" i="24"/>
  <c r="AH148" i="24" s="1"/>
  <c r="AG148" i="24" s="1"/>
  <c r="AF148" i="24" s="1"/>
  <c r="AD148" i="24" s="1"/>
  <c r="AI118" i="24"/>
  <c r="AH118" i="24" s="1"/>
  <c r="AG118" i="24" s="1"/>
  <c r="AF118" i="24" s="1"/>
  <c r="AD118" i="24" s="1"/>
  <c r="AI375" i="24"/>
  <c r="AH375" i="24" s="1"/>
  <c r="AG375" i="24" s="1"/>
  <c r="AF375" i="24" s="1"/>
  <c r="AD375" i="24" s="1"/>
  <c r="AI329" i="24"/>
  <c r="AH329" i="24" s="1"/>
  <c r="AI241" i="24"/>
  <c r="AH241" i="24" s="1"/>
  <c r="AI264" i="24"/>
  <c r="AH264" i="24" s="1"/>
  <c r="AI114" i="24"/>
  <c r="AH114" i="24" s="1"/>
  <c r="AI142" i="24"/>
  <c r="AH142" i="24" s="1"/>
  <c r="AG142" i="24" s="1"/>
  <c r="AF142" i="24" s="1"/>
  <c r="AD142" i="24" s="1"/>
  <c r="AI226" i="24"/>
  <c r="AH226" i="24" s="1"/>
  <c r="AG226" i="24" s="1"/>
  <c r="AF226" i="24" s="1"/>
  <c r="AD226" i="24" s="1"/>
  <c r="AI140" i="24"/>
  <c r="AH140" i="24" s="1"/>
  <c r="AG140" i="24" s="1"/>
  <c r="AF140" i="24" s="1"/>
  <c r="AD140" i="24" s="1"/>
  <c r="AI337" i="24"/>
  <c r="AH337" i="24" s="1"/>
  <c r="AG337" i="24" s="1"/>
  <c r="AF337" i="24" s="1"/>
  <c r="AD337" i="24" s="1"/>
  <c r="AI255" i="24"/>
  <c r="AH255" i="24" s="1"/>
  <c r="AG255" i="24" s="1"/>
  <c r="AF255" i="24" s="1"/>
  <c r="AD255" i="24" s="1"/>
  <c r="AI150" i="24"/>
  <c r="AH150" i="24" s="1"/>
  <c r="AG150" i="24" s="1"/>
  <c r="AF150" i="24" s="1"/>
  <c r="AD150" i="24" s="1"/>
  <c r="AI253" i="24"/>
  <c r="AH253" i="24" s="1"/>
  <c r="AG253" i="24" s="1"/>
  <c r="AF253" i="24" s="1"/>
  <c r="AD253" i="24" s="1"/>
  <c r="AI129" i="24"/>
  <c r="AH129" i="24" s="1"/>
  <c r="AG129" i="24" s="1"/>
  <c r="AF129" i="24" s="1"/>
  <c r="AD129" i="24" s="1"/>
  <c r="AI360" i="24"/>
  <c r="AH360" i="24" s="1"/>
  <c r="AG360" i="24" s="1"/>
  <c r="AF360" i="24" s="1"/>
  <c r="AD360" i="24" s="1"/>
  <c r="AI246" i="24"/>
  <c r="AH246" i="24" s="1"/>
  <c r="AG246" i="24" s="1"/>
  <c r="AF246" i="24" s="1"/>
  <c r="AD246" i="24" s="1"/>
  <c r="AI134" i="24"/>
  <c r="AH134" i="24" s="1"/>
  <c r="AG134" i="24" s="1"/>
  <c r="AF134" i="24" s="1"/>
  <c r="AD134" i="24" s="1"/>
  <c r="AI109" i="24"/>
  <c r="AH109" i="24" s="1"/>
  <c r="AG109" i="24" s="1"/>
  <c r="AF109" i="24" s="1"/>
  <c r="AD109" i="24" s="1"/>
  <c r="AI351" i="24"/>
  <c r="AH351" i="24" s="1"/>
  <c r="AG351" i="24" s="1"/>
  <c r="AF351" i="24" s="1"/>
  <c r="AD351" i="24" s="1"/>
  <c r="AI335" i="24"/>
  <c r="AH335" i="24" s="1"/>
  <c r="AG335" i="24" s="1"/>
  <c r="AF335" i="24" s="1"/>
  <c r="AD335" i="24" s="1"/>
  <c r="AI175" i="24"/>
  <c r="AH175" i="24" s="1"/>
  <c r="AI326" i="24"/>
  <c r="AH326" i="24" s="1"/>
  <c r="AI135" i="24"/>
  <c r="AH135" i="24" s="1"/>
  <c r="AI289" i="24"/>
  <c r="AH289" i="24" s="1"/>
  <c r="AG289" i="24" s="1"/>
  <c r="AF289" i="24" s="1"/>
  <c r="AD289" i="24" s="1"/>
  <c r="AI160" i="24"/>
  <c r="AH160" i="24" s="1"/>
  <c r="AI180" i="24"/>
  <c r="AH180" i="24" s="1"/>
  <c r="AI328" i="24"/>
  <c r="AH328" i="24" s="1"/>
  <c r="AI210" i="24"/>
  <c r="AH210" i="24" s="1"/>
  <c r="AI177" i="24"/>
  <c r="AH177" i="24" s="1"/>
  <c r="AI258" i="24"/>
  <c r="AH258" i="24" s="1"/>
  <c r="AI301" i="24"/>
  <c r="AH301" i="24" s="1"/>
  <c r="AI252" i="24"/>
  <c r="AH252" i="24" s="1"/>
  <c r="AI298" i="24"/>
  <c r="AH298" i="24" s="1"/>
  <c r="AG298" i="24" s="1"/>
  <c r="AF298" i="24" s="1"/>
  <c r="AD298" i="24" s="1"/>
  <c r="AI112" i="24"/>
  <c r="AH112" i="24" s="1"/>
  <c r="AG112" i="24" s="1"/>
  <c r="AF112" i="24" s="1"/>
  <c r="AD112" i="24" s="1"/>
  <c r="AI373" i="24"/>
  <c r="AH373" i="24" s="1"/>
  <c r="AG373" i="24" s="1"/>
  <c r="AF373" i="24" s="1"/>
  <c r="AD373" i="24" s="1"/>
  <c r="AI183" i="24"/>
  <c r="AH183" i="24" s="1"/>
  <c r="AI364" i="24"/>
  <c r="AH364" i="24" s="1"/>
  <c r="AI284" i="24"/>
  <c r="AH284" i="24" s="1"/>
  <c r="AI144" i="24"/>
  <c r="AH144" i="24" s="1"/>
  <c r="AI234" i="24"/>
  <c r="AH234" i="24" s="1"/>
  <c r="AI171" i="24"/>
  <c r="AH171" i="24" s="1"/>
  <c r="AI242" i="24"/>
  <c r="AH242" i="24" s="1"/>
  <c r="AI277" i="24"/>
  <c r="AH277" i="24" s="1"/>
  <c r="AI125" i="24"/>
  <c r="AH125" i="24" s="1"/>
  <c r="AI161" i="24"/>
  <c r="AH161" i="24" s="1"/>
  <c r="AI263" i="24"/>
  <c r="AH263" i="24" s="1"/>
  <c r="AI276" i="24"/>
  <c r="AH276" i="24" s="1"/>
  <c r="AI240" i="24"/>
  <c r="AH240" i="24" s="1"/>
  <c r="AI124" i="24"/>
  <c r="AH124" i="24" s="1"/>
  <c r="AI200" i="24"/>
  <c r="AH200" i="24" s="1"/>
  <c r="AI330" i="24"/>
  <c r="AH330" i="24" s="1"/>
  <c r="AI221" i="24"/>
  <c r="AH221" i="24" s="1"/>
  <c r="AG221" i="24" s="1"/>
  <c r="AF221" i="24" s="1"/>
  <c r="AD221" i="24" s="1"/>
  <c r="AI222" i="24"/>
  <c r="AH222" i="24" s="1"/>
  <c r="AI368" i="24"/>
  <c r="AH368" i="24" s="1"/>
  <c r="AI110" i="24"/>
  <c r="AH110" i="24" s="1"/>
  <c r="AG110" i="24" s="1"/>
  <c r="AF110" i="24" s="1"/>
  <c r="AD110" i="24" s="1"/>
  <c r="H263" i="23"/>
  <c r="AA263" i="23"/>
  <c r="Z263" i="23" s="1"/>
  <c r="Y263" i="23" s="1"/>
  <c r="G263" i="23"/>
  <c r="CD263" i="6" s="1"/>
  <c r="H29" i="23"/>
  <c r="G29" i="23"/>
  <c r="CD29" i="6" s="1"/>
  <c r="AA29" i="23"/>
  <c r="Z29" i="23" s="1"/>
  <c r="Y29" i="23" s="1"/>
  <c r="H74" i="23"/>
  <c r="AA74" i="23"/>
  <c r="Z74" i="23" s="1"/>
  <c r="Y74" i="23" s="1"/>
  <c r="G74" i="23"/>
  <c r="CD74" i="6" s="1"/>
  <c r="H170" i="23"/>
  <c r="AA170" i="23"/>
  <c r="Z170" i="23" s="1"/>
  <c r="Y170" i="23" s="1"/>
  <c r="G170" i="23"/>
  <c r="CD170" i="6" s="1"/>
  <c r="G109" i="23"/>
  <c r="CD109" i="6" s="1"/>
  <c r="AA109" i="23"/>
  <c r="Z109" i="23" s="1"/>
  <c r="Y109" i="23" s="1"/>
  <c r="H109" i="23"/>
  <c r="H326" i="23"/>
  <c r="AA326" i="23"/>
  <c r="Z326" i="23" s="1"/>
  <c r="Y326" i="23" s="1"/>
  <c r="G326" i="23"/>
  <c r="CD326" i="6" s="1"/>
  <c r="J172" i="23"/>
  <c r="I172" i="23"/>
  <c r="J258" i="23"/>
  <c r="AA349" i="23"/>
  <c r="Z349" i="23" s="1"/>
  <c r="Y349" i="23" s="1"/>
  <c r="G349" i="23"/>
  <c r="CD349" i="6" s="1"/>
  <c r="H349" i="23"/>
  <c r="J314" i="23"/>
  <c r="I27" i="23"/>
  <c r="I284" i="23"/>
  <c r="J151" i="23"/>
  <c r="I151" i="23"/>
  <c r="J300" i="23"/>
  <c r="J238" i="23"/>
  <c r="I352" i="23"/>
  <c r="J184" i="23"/>
  <c r="AA137" i="23"/>
  <c r="Z137" i="23" s="1"/>
  <c r="Y137" i="23" s="1"/>
  <c r="G137" i="23"/>
  <c r="CD137" i="6" s="1"/>
  <c r="I205" i="23"/>
  <c r="J205" i="23"/>
  <c r="I162" i="23"/>
  <c r="I199" i="23"/>
  <c r="J199" i="23"/>
  <c r="H51" i="23"/>
  <c r="AA51" i="23"/>
  <c r="Z51" i="23" s="1"/>
  <c r="Y51" i="23" s="1"/>
  <c r="G51" i="23"/>
  <c r="CD51" i="6" s="1"/>
  <c r="I206" i="23"/>
  <c r="H234" i="23"/>
  <c r="AA234" i="23"/>
  <c r="Z234" i="23" s="1"/>
  <c r="Y234" i="23" s="1"/>
  <c r="G234" i="23"/>
  <c r="CD234" i="6" s="1"/>
  <c r="G289" i="23"/>
  <c r="CD289" i="6" s="1"/>
  <c r="H289" i="23"/>
  <c r="AA289" i="23"/>
  <c r="Z289" i="23" s="1"/>
  <c r="Y289" i="23" s="1"/>
  <c r="H196" i="23"/>
  <c r="AA196" i="23"/>
  <c r="Z196" i="23" s="1"/>
  <c r="Y196" i="23" s="1"/>
  <c r="G196" i="23"/>
  <c r="CD196" i="6" s="1"/>
  <c r="I248" i="23"/>
  <c r="I194" i="23"/>
  <c r="S340" i="24"/>
  <c r="R340" i="24" s="1"/>
  <c r="P340" i="24" s="1"/>
  <c r="V340" i="24" s="1"/>
  <c r="B340" i="24" s="1"/>
  <c r="S243" i="24"/>
  <c r="R243" i="24" s="1"/>
  <c r="P243" i="24" s="1"/>
  <c r="V243" i="24" s="1"/>
  <c r="B243" i="24" s="1"/>
  <c r="S97" i="24"/>
  <c r="R97" i="24" s="1"/>
  <c r="P97" i="24" s="1"/>
  <c r="V97" i="24" s="1"/>
  <c r="B97" i="24" s="1"/>
  <c r="S55" i="24"/>
  <c r="R55" i="24" s="1"/>
  <c r="P55" i="24" s="1"/>
  <c r="V55" i="24" s="1"/>
  <c r="B55" i="24" s="1"/>
  <c r="S40" i="24"/>
  <c r="R40" i="24" s="1"/>
  <c r="P40" i="24" s="1"/>
  <c r="V40" i="24" s="1"/>
  <c r="B40" i="24" s="1"/>
  <c r="S73" i="24"/>
  <c r="R73" i="24" s="1"/>
  <c r="P73" i="24" s="1"/>
  <c r="V73" i="24" s="1"/>
  <c r="B73" i="24" s="1"/>
  <c r="I35" i="23"/>
  <c r="J35" i="23"/>
  <c r="I16" i="23"/>
  <c r="J16" i="23"/>
  <c r="J226" i="23"/>
  <c r="I226" i="23"/>
  <c r="J25" i="23"/>
  <c r="I25" i="23"/>
  <c r="I31" i="23"/>
  <c r="J225" i="23"/>
  <c r="I225" i="23"/>
  <c r="J218" i="23"/>
  <c r="I218" i="23"/>
  <c r="I257" i="23"/>
  <c r="J257" i="23"/>
  <c r="J84" i="23"/>
  <c r="I84" i="23"/>
  <c r="AA60" i="23"/>
  <c r="Z60" i="23" s="1"/>
  <c r="Y60" i="23" s="1"/>
  <c r="G60" i="23"/>
  <c r="CD60" i="6" s="1"/>
  <c r="J82" i="23"/>
  <c r="J262" i="23" l="1"/>
  <c r="I212" i="23"/>
  <c r="J212" i="23"/>
  <c r="J22" i="23"/>
  <c r="I22" i="23"/>
  <c r="J372" i="23"/>
  <c r="G184" i="23"/>
  <c r="CD184" i="6" s="1"/>
  <c r="J113" i="23"/>
  <c r="AA26" i="23"/>
  <c r="Z26" i="23" s="1"/>
  <c r="Y26" i="23" s="1"/>
  <c r="H26" i="23"/>
  <c r="I38" i="23"/>
  <c r="J38" i="23"/>
  <c r="I376" i="23"/>
  <c r="J376" i="23"/>
  <c r="I191" i="23"/>
  <c r="J191" i="23"/>
  <c r="J61" i="23"/>
  <c r="I61" i="23"/>
  <c r="J111" i="23"/>
  <c r="I111" i="23"/>
  <c r="J273" i="23"/>
  <c r="I273" i="23"/>
  <c r="I250" i="23"/>
  <c r="J250" i="23"/>
  <c r="I267" i="23"/>
  <c r="J267" i="23"/>
  <c r="H301" i="23"/>
  <c r="G301" i="23"/>
  <c r="CD301" i="6" s="1"/>
  <c r="AA301" i="23"/>
  <c r="Z301" i="23" s="1"/>
  <c r="Y301" i="23" s="1"/>
  <c r="G317" i="23"/>
  <c r="CD317" i="6" s="1"/>
  <c r="AA317" i="23"/>
  <c r="Z317" i="23" s="1"/>
  <c r="Y317" i="23" s="1"/>
  <c r="H317" i="23"/>
  <c r="H341" i="23"/>
  <c r="G341" i="23"/>
  <c r="CD341" i="6" s="1"/>
  <c r="AA341" i="23"/>
  <c r="Z341" i="23" s="1"/>
  <c r="Y341" i="23" s="1"/>
  <c r="I379" i="22"/>
  <c r="J379" i="22"/>
  <c r="G307" i="23"/>
  <c r="CD307" i="6" s="1"/>
  <c r="AA307" i="23"/>
  <c r="Z307" i="23" s="1"/>
  <c r="Y307" i="23" s="1"/>
  <c r="AA100" i="23"/>
  <c r="Z100" i="23" s="1"/>
  <c r="Y100" i="23" s="1"/>
  <c r="G100" i="23"/>
  <c r="CD100" i="6" s="1"/>
  <c r="H100" i="23"/>
  <c r="G255" i="23"/>
  <c r="CD255" i="6" s="1"/>
  <c r="AA255" i="23"/>
  <c r="Z255" i="23" s="1"/>
  <c r="Y255" i="23" s="1"/>
  <c r="H255" i="23"/>
  <c r="H202" i="23"/>
  <c r="G202" i="23"/>
  <c r="CD202" i="6" s="1"/>
  <c r="B379" i="23"/>
  <c r="G134" i="23"/>
  <c r="CD134" i="6" s="1"/>
  <c r="H134" i="23"/>
  <c r="AA134" i="23"/>
  <c r="Z134" i="23" s="1"/>
  <c r="Y134" i="23" s="1"/>
  <c r="AA295" i="23"/>
  <c r="Z295" i="23" s="1"/>
  <c r="Y295" i="23" s="1"/>
  <c r="H295" i="23"/>
  <c r="G295" i="23"/>
  <c r="CD295" i="6" s="1"/>
  <c r="AA79" i="23"/>
  <c r="Z79" i="23" s="1"/>
  <c r="Y79" i="23" s="1"/>
  <c r="G79" i="23"/>
  <c r="CD79" i="6" s="1"/>
  <c r="H79" i="23"/>
  <c r="G223" i="23"/>
  <c r="CD223" i="6" s="1"/>
  <c r="H223" i="23"/>
  <c r="AA223" i="23"/>
  <c r="Z223" i="23" s="1"/>
  <c r="Y223" i="23" s="1"/>
  <c r="G20" i="23"/>
  <c r="CD20" i="6" s="1"/>
  <c r="H20" i="23"/>
  <c r="AA20" i="23"/>
  <c r="Z20" i="23" s="1"/>
  <c r="Y20" i="23" s="1"/>
  <c r="G268" i="23"/>
  <c r="CD268" i="6" s="1"/>
  <c r="H268" i="23"/>
  <c r="AA268" i="23"/>
  <c r="Z268" i="23" s="1"/>
  <c r="Y268" i="23" s="1"/>
  <c r="J307" i="23"/>
  <c r="J319" i="23"/>
  <c r="I307" i="23"/>
  <c r="I340" i="23"/>
  <c r="J340" i="23"/>
  <c r="I103" i="23"/>
  <c r="J103" i="23"/>
  <c r="J244" i="23"/>
  <c r="I244" i="23"/>
  <c r="J54" i="23"/>
  <c r="I54" i="23"/>
  <c r="B31" i="19"/>
  <c r="U206" i="24"/>
  <c r="T206" i="24" s="1"/>
  <c r="S206" i="24" s="1"/>
  <c r="R206" i="24" s="1"/>
  <c r="P206" i="24" s="1"/>
  <c r="V206" i="24" s="1"/>
  <c r="AI296" i="24"/>
  <c r="AH296" i="24" s="1"/>
  <c r="AG296" i="24" s="1"/>
  <c r="AF296" i="24" s="1"/>
  <c r="AD296" i="24" s="1"/>
  <c r="AI336" i="24"/>
  <c r="AH336" i="24" s="1"/>
  <c r="AI355" i="24"/>
  <c r="AH355" i="24" s="1"/>
  <c r="AG355" i="24" s="1"/>
  <c r="AF355" i="24" s="1"/>
  <c r="AD355" i="24" s="1"/>
  <c r="AI208" i="24"/>
  <c r="AH208" i="24" s="1"/>
  <c r="AG208" i="24" s="1"/>
  <c r="AF208" i="24" s="1"/>
  <c r="AD208" i="24" s="1"/>
  <c r="AI108" i="24"/>
  <c r="AH108" i="24" s="1"/>
  <c r="AG108" i="24" s="1"/>
  <c r="AF108" i="24" s="1"/>
  <c r="AD108" i="24" s="1"/>
  <c r="AI249" i="24"/>
  <c r="AH249" i="24" s="1"/>
  <c r="AI223" i="24"/>
  <c r="AH223" i="24" s="1"/>
  <c r="AG223" i="24" s="1"/>
  <c r="AF223" i="24" s="1"/>
  <c r="AD223" i="24" s="1"/>
  <c r="AI354" i="24"/>
  <c r="AH354" i="24" s="1"/>
  <c r="AG354" i="24" s="1"/>
  <c r="AF354" i="24" s="1"/>
  <c r="AD354" i="24" s="1"/>
  <c r="AI259" i="24"/>
  <c r="AH259" i="24" s="1"/>
  <c r="AG259" i="24" s="1"/>
  <c r="AF259" i="24" s="1"/>
  <c r="AD259" i="24" s="1"/>
  <c r="AI158" i="24"/>
  <c r="AH158" i="24" s="1"/>
  <c r="AI282" i="24"/>
  <c r="AH282" i="24" s="1"/>
  <c r="AG282" i="24" s="1"/>
  <c r="AF282" i="24" s="1"/>
  <c r="AD282" i="24" s="1"/>
  <c r="AI281" i="24"/>
  <c r="AH281" i="24" s="1"/>
  <c r="AG281" i="24" s="1"/>
  <c r="AF281" i="24" s="1"/>
  <c r="AD281" i="24" s="1"/>
  <c r="AI239" i="24"/>
  <c r="AH239" i="24" s="1"/>
  <c r="AG239" i="24" s="1"/>
  <c r="AF239" i="24" s="1"/>
  <c r="AD239" i="24" s="1"/>
  <c r="AI151" i="24"/>
  <c r="AH151" i="24" s="1"/>
  <c r="AI302" i="24"/>
  <c r="AH302" i="24" s="1"/>
  <c r="AG302" i="24" s="1"/>
  <c r="AF302" i="24" s="1"/>
  <c r="AD302" i="24" s="1"/>
  <c r="AI260" i="24"/>
  <c r="AH260" i="24" s="1"/>
  <c r="AG260" i="24" s="1"/>
  <c r="AF260" i="24" s="1"/>
  <c r="AD260" i="24" s="1"/>
  <c r="AI278" i="24"/>
  <c r="AH278" i="24" s="1"/>
  <c r="AG278" i="24" s="1"/>
  <c r="AF278" i="24" s="1"/>
  <c r="AD278" i="24" s="1"/>
  <c r="AI198" i="24"/>
  <c r="AH198" i="24" s="1"/>
  <c r="AI147" i="24"/>
  <c r="AH147" i="24" s="1"/>
  <c r="AG147" i="24" s="1"/>
  <c r="AF147" i="24" s="1"/>
  <c r="AD147" i="24" s="1"/>
  <c r="AI153" i="24"/>
  <c r="AH153" i="24" s="1"/>
  <c r="AG153" i="24" s="1"/>
  <c r="AF153" i="24" s="1"/>
  <c r="AD153" i="24" s="1"/>
  <c r="AI303" i="24"/>
  <c r="AH303" i="24" s="1"/>
  <c r="AG303" i="24" s="1"/>
  <c r="AF303" i="24" s="1"/>
  <c r="AD303" i="24" s="1"/>
  <c r="AI235" i="24"/>
  <c r="AH235" i="24" s="1"/>
  <c r="AG235" i="24" s="1"/>
  <c r="AF235" i="24" s="1"/>
  <c r="AD235" i="24" s="1"/>
  <c r="AI113" i="24"/>
  <c r="AH113" i="24" s="1"/>
  <c r="AG113" i="24" s="1"/>
  <c r="AF113" i="24" s="1"/>
  <c r="AD113" i="24" s="1"/>
  <c r="AI141" i="24"/>
  <c r="AH141" i="24" s="1"/>
  <c r="AG141" i="24" s="1"/>
  <c r="AF141" i="24" s="1"/>
  <c r="AD141" i="24" s="1"/>
  <c r="AI117" i="24"/>
  <c r="AH117" i="24" s="1"/>
  <c r="AG117" i="24" s="1"/>
  <c r="AF117" i="24" s="1"/>
  <c r="AD117" i="24" s="1"/>
  <c r="AI168" i="24"/>
  <c r="AH168" i="24" s="1"/>
  <c r="AI139" i="24"/>
  <c r="AH139" i="24" s="1"/>
  <c r="AG139" i="24" s="1"/>
  <c r="AF139" i="24" s="1"/>
  <c r="AD139" i="24" s="1"/>
  <c r="AI331" i="24"/>
  <c r="AH331" i="24" s="1"/>
  <c r="AG331" i="24" s="1"/>
  <c r="AF331" i="24" s="1"/>
  <c r="AD331" i="24" s="1"/>
  <c r="AI287" i="24"/>
  <c r="AH287" i="24" s="1"/>
  <c r="AI266" i="24"/>
  <c r="AH266" i="24" s="1"/>
  <c r="AI127" i="24"/>
  <c r="AH127" i="24" s="1"/>
  <c r="AI311" i="24"/>
  <c r="AH311" i="24" s="1"/>
  <c r="AI169" i="24"/>
  <c r="AH169" i="24" s="1"/>
  <c r="AI165" i="24"/>
  <c r="AH165" i="24" s="1"/>
  <c r="AI265" i="24"/>
  <c r="AH265" i="24" s="1"/>
  <c r="AI143" i="24"/>
  <c r="AH143" i="24" s="1"/>
  <c r="AI136" i="24"/>
  <c r="AH136" i="24" s="1"/>
  <c r="AG136" i="24" s="1"/>
  <c r="AF136" i="24" s="1"/>
  <c r="AD136" i="24" s="1"/>
  <c r="AI225" i="24"/>
  <c r="AH225" i="24" s="1"/>
  <c r="AG225" i="24" s="1"/>
  <c r="AF225" i="24" s="1"/>
  <c r="AD225" i="24" s="1"/>
  <c r="AI290" i="24"/>
  <c r="AH290" i="24" s="1"/>
  <c r="AG290" i="24" s="1"/>
  <c r="AF290" i="24" s="1"/>
  <c r="AD290" i="24" s="1"/>
  <c r="AI370" i="24"/>
  <c r="AH370" i="24" s="1"/>
  <c r="AG370" i="24" s="1"/>
  <c r="AF370" i="24" s="1"/>
  <c r="AD370" i="24" s="1"/>
  <c r="AI111" i="24"/>
  <c r="AH111" i="24" s="1"/>
  <c r="AG111" i="24" s="1"/>
  <c r="AF111" i="24" s="1"/>
  <c r="AD111" i="24" s="1"/>
  <c r="AI317" i="24"/>
  <c r="AH317" i="24" s="1"/>
  <c r="AG317" i="24" s="1"/>
  <c r="AF317" i="24" s="1"/>
  <c r="AD317" i="24" s="1"/>
  <c r="AI378" i="24"/>
  <c r="AH378" i="24" s="1"/>
  <c r="AG378" i="24" s="1"/>
  <c r="AF378" i="24" s="1"/>
  <c r="AD378" i="24" s="1"/>
  <c r="AI267" i="24"/>
  <c r="AH267" i="24" s="1"/>
  <c r="AG267" i="24" s="1"/>
  <c r="AF267" i="24" s="1"/>
  <c r="AD267" i="24" s="1"/>
  <c r="AI374" i="24"/>
  <c r="AH374" i="24" s="1"/>
  <c r="AG374" i="24" s="1"/>
  <c r="AF374" i="24" s="1"/>
  <c r="AD374" i="24" s="1"/>
  <c r="AI121" i="24"/>
  <c r="AH121" i="24" s="1"/>
  <c r="AG121" i="24" s="1"/>
  <c r="AF121" i="24" s="1"/>
  <c r="AD121" i="24" s="1"/>
  <c r="AI271" i="24"/>
  <c r="AH271" i="24" s="1"/>
  <c r="AG271" i="24" s="1"/>
  <c r="AF271" i="24" s="1"/>
  <c r="AD271" i="24" s="1"/>
  <c r="AI352" i="24"/>
  <c r="AH352" i="24" s="1"/>
  <c r="AG352" i="24" s="1"/>
  <c r="AF352" i="24" s="1"/>
  <c r="AD352" i="24" s="1"/>
  <c r="AI269" i="24"/>
  <c r="AH269" i="24" s="1"/>
  <c r="AG269" i="24" s="1"/>
  <c r="AF269" i="24" s="1"/>
  <c r="AD269" i="24" s="1"/>
  <c r="AI196" i="24"/>
  <c r="AH196" i="24" s="1"/>
  <c r="AG196" i="24" s="1"/>
  <c r="AF196" i="24" s="1"/>
  <c r="AD196" i="24" s="1"/>
  <c r="AI201" i="24"/>
  <c r="AH201" i="24" s="1"/>
  <c r="AG201" i="24" s="1"/>
  <c r="AF201" i="24" s="1"/>
  <c r="AD201" i="24" s="1"/>
  <c r="AI345" i="24"/>
  <c r="AH345" i="24" s="1"/>
  <c r="AG345" i="24" s="1"/>
  <c r="AF345" i="24" s="1"/>
  <c r="AD345" i="24" s="1"/>
  <c r="AI327" i="24"/>
  <c r="AH327" i="24" s="1"/>
  <c r="AI189" i="24"/>
  <c r="AH189" i="24" s="1"/>
  <c r="AG189" i="24" s="1"/>
  <c r="AF189" i="24" s="1"/>
  <c r="AD189" i="24" s="1"/>
  <c r="AI251" i="24"/>
  <c r="AH251" i="24" s="1"/>
  <c r="AG251" i="24" s="1"/>
  <c r="AF251" i="24" s="1"/>
  <c r="AD251" i="24" s="1"/>
  <c r="AI332" i="24"/>
  <c r="AH332" i="24" s="1"/>
  <c r="AG332" i="24" s="1"/>
  <c r="AF332" i="24" s="1"/>
  <c r="AD332" i="24" s="1"/>
  <c r="AI244" i="24"/>
  <c r="AH244" i="24" s="1"/>
  <c r="AG244" i="24" s="1"/>
  <c r="AF244" i="24" s="1"/>
  <c r="AD244" i="24" s="1"/>
  <c r="AI350" i="24"/>
  <c r="AH350" i="24" s="1"/>
  <c r="AG350" i="24" s="1"/>
  <c r="AF350" i="24" s="1"/>
  <c r="AD350" i="24" s="1"/>
  <c r="AI119" i="24"/>
  <c r="AH119" i="24" s="1"/>
  <c r="AI279" i="24"/>
  <c r="AH279" i="24" s="1"/>
  <c r="AG279" i="24" s="1"/>
  <c r="AF279" i="24" s="1"/>
  <c r="AD279" i="24" s="1"/>
  <c r="AI362" i="24"/>
  <c r="AH362" i="24" s="1"/>
  <c r="AI133" i="24"/>
  <c r="AH133" i="24" s="1"/>
  <c r="AG133" i="24" s="1"/>
  <c r="AF133" i="24" s="1"/>
  <c r="AD133" i="24" s="1"/>
  <c r="AI257" i="24"/>
  <c r="AH257" i="24" s="1"/>
  <c r="AI128" i="24"/>
  <c r="AH128" i="24" s="1"/>
  <c r="AG128" i="24" s="1"/>
  <c r="AF128" i="24" s="1"/>
  <c r="AD128" i="24" s="1"/>
  <c r="AI349" i="24"/>
  <c r="AH349" i="24" s="1"/>
  <c r="AI256" i="24"/>
  <c r="AH256" i="24" s="1"/>
  <c r="AG256" i="24" s="1"/>
  <c r="AF256" i="24" s="1"/>
  <c r="AD256" i="24" s="1"/>
  <c r="AI292" i="24"/>
  <c r="AH292" i="24" s="1"/>
  <c r="AI185" i="24"/>
  <c r="AH185" i="24" s="1"/>
  <c r="AG185" i="24" s="1"/>
  <c r="AF185" i="24" s="1"/>
  <c r="AD185" i="24" s="1"/>
  <c r="AI344" i="24"/>
  <c r="AH344" i="24" s="1"/>
  <c r="AI236" i="24"/>
  <c r="AH236" i="24" s="1"/>
  <c r="AG236" i="24" s="1"/>
  <c r="AF236" i="24" s="1"/>
  <c r="AD236" i="24" s="1"/>
  <c r="AI230" i="24"/>
  <c r="AH230" i="24" s="1"/>
  <c r="AI152" i="24"/>
  <c r="AH152" i="24" s="1"/>
  <c r="AG152" i="24" s="1"/>
  <c r="AF152" i="24" s="1"/>
  <c r="AD152" i="24" s="1"/>
  <c r="AI154" i="24"/>
  <c r="AH154" i="24" s="1"/>
  <c r="AI365" i="24"/>
  <c r="AH365" i="24" s="1"/>
  <c r="AG365" i="24" s="1"/>
  <c r="AF365" i="24" s="1"/>
  <c r="AD365" i="24" s="1"/>
  <c r="AI268" i="24"/>
  <c r="AH268" i="24" s="1"/>
  <c r="AI115" i="24"/>
  <c r="AH115" i="24" s="1"/>
  <c r="AG115" i="24" s="1"/>
  <c r="AF115" i="24" s="1"/>
  <c r="AD115" i="24" s="1"/>
  <c r="AI243" i="24"/>
  <c r="AH243" i="24" s="1"/>
  <c r="AI106" i="24"/>
  <c r="AH106" i="24" s="1"/>
  <c r="AG106" i="24" s="1"/>
  <c r="AF106" i="24" s="1"/>
  <c r="AD106" i="24" s="1"/>
  <c r="AI363" i="24"/>
  <c r="AH363" i="24" s="1"/>
  <c r="AI320" i="24"/>
  <c r="AH320" i="24" s="1"/>
  <c r="AG320" i="24" s="1"/>
  <c r="AF320" i="24" s="1"/>
  <c r="AD320" i="24" s="1"/>
  <c r="AI369" i="24"/>
  <c r="AH369" i="24" s="1"/>
  <c r="AI105" i="24"/>
  <c r="AH105" i="24" s="1"/>
  <c r="AG105" i="24" s="1"/>
  <c r="AF105" i="24" s="1"/>
  <c r="AD105" i="24" s="1"/>
  <c r="AI199" i="24"/>
  <c r="AH199" i="24" s="1"/>
  <c r="AI166" i="24"/>
  <c r="AH166" i="24" s="1"/>
  <c r="AG166" i="24" s="1"/>
  <c r="AF166" i="24" s="1"/>
  <c r="AD166" i="24" s="1"/>
  <c r="AI215" i="24"/>
  <c r="AH215" i="24" s="1"/>
  <c r="AI130" i="24"/>
  <c r="AH130" i="24" s="1"/>
  <c r="AG130" i="24" s="1"/>
  <c r="AF130" i="24" s="1"/>
  <c r="AD130" i="24" s="1"/>
  <c r="AI219" i="24"/>
  <c r="AH219" i="24" s="1"/>
  <c r="AI193" i="24"/>
  <c r="AH193" i="24" s="1"/>
  <c r="AG193" i="24" s="1"/>
  <c r="AF193" i="24" s="1"/>
  <c r="AD193" i="24" s="1"/>
  <c r="AI116" i="24"/>
  <c r="AH116" i="24" s="1"/>
  <c r="AI224" i="24"/>
  <c r="AH224" i="24" s="1"/>
  <c r="AG224" i="24" s="1"/>
  <c r="AF224" i="24" s="1"/>
  <c r="AD224" i="24" s="1"/>
  <c r="AI122" i="24"/>
  <c r="AH122" i="24" s="1"/>
  <c r="AI280" i="24"/>
  <c r="AH280" i="24" s="1"/>
  <c r="AG280" i="24" s="1"/>
  <c r="AF280" i="24" s="1"/>
  <c r="AD280" i="24" s="1"/>
  <c r="AI179" i="24"/>
  <c r="AH179" i="24" s="1"/>
  <c r="AI366" i="24"/>
  <c r="AH366" i="24" s="1"/>
  <c r="AG366" i="24" s="1"/>
  <c r="AF366" i="24" s="1"/>
  <c r="AD366" i="24" s="1"/>
  <c r="AI314" i="24"/>
  <c r="AH314" i="24" s="1"/>
  <c r="AG314" i="24" s="1"/>
  <c r="AF314" i="24" s="1"/>
  <c r="AD314" i="24" s="1"/>
  <c r="AI192" i="24"/>
  <c r="AH192" i="24" s="1"/>
  <c r="AG192" i="24" s="1"/>
  <c r="AF192" i="24" s="1"/>
  <c r="AD192" i="24" s="1"/>
  <c r="AI312" i="24"/>
  <c r="AH312" i="24" s="1"/>
  <c r="AI357" i="24"/>
  <c r="AH357" i="24" s="1"/>
  <c r="AG357" i="24" s="1"/>
  <c r="AF357" i="24" s="1"/>
  <c r="AD357" i="24" s="1"/>
  <c r="AI346" i="24"/>
  <c r="AH346" i="24" s="1"/>
  <c r="AI293" i="24"/>
  <c r="AH293" i="24" s="1"/>
  <c r="AG293" i="24" s="1"/>
  <c r="AF293" i="24" s="1"/>
  <c r="AD293" i="24" s="1"/>
  <c r="AI173" i="24"/>
  <c r="AH173" i="24" s="1"/>
  <c r="AI262" i="24"/>
  <c r="AH262" i="24" s="1"/>
  <c r="AG262" i="24" s="1"/>
  <c r="AF262" i="24" s="1"/>
  <c r="AD262" i="24" s="1"/>
  <c r="AI184" i="24"/>
  <c r="AH184" i="24" s="1"/>
  <c r="AI285" i="24"/>
  <c r="AH285" i="24" s="1"/>
  <c r="AG285" i="24" s="1"/>
  <c r="AF285" i="24" s="1"/>
  <c r="AD285" i="24" s="1"/>
  <c r="AI146" i="24"/>
  <c r="AH146" i="24" s="1"/>
  <c r="AI247" i="24"/>
  <c r="AH247" i="24" s="1"/>
  <c r="AG247" i="24" s="1"/>
  <c r="AF247" i="24" s="1"/>
  <c r="AD247" i="24" s="1"/>
  <c r="AI182" i="24"/>
  <c r="AH182" i="24" s="1"/>
  <c r="AG182" i="24" s="1"/>
  <c r="AF182" i="24" s="1"/>
  <c r="AD182" i="24" s="1"/>
  <c r="AI304" i="24"/>
  <c r="AH304" i="24" s="1"/>
  <c r="AG304" i="24" s="1"/>
  <c r="AF304" i="24" s="1"/>
  <c r="AD304" i="24" s="1"/>
  <c r="AI274" i="24"/>
  <c r="AH274" i="24" s="1"/>
  <c r="AG274" i="24" s="1"/>
  <c r="AF274" i="24" s="1"/>
  <c r="AD274" i="24" s="1"/>
  <c r="AI291" i="24"/>
  <c r="AH291" i="24" s="1"/>
  <c r="AG291" i="24" s="1"/>
  <c r="AF291" i="24" s="1"/>
  <c r="AD291" i="24" s="1"/>
  <c r="AI356" i="24"/>
  <c r="AH356" i="24" s="1"/>
  <c r="AG356" i="24" s="1"/>
  <c r="AF356" i="24" s="1"/>
  <c r="AD356" i="24" s="1"/>
  <c r="AI316" i="24"/>
  <c r="AH316" i="24" s="1"/>
  <c r="AG316" i="24" s="1"/>
  <c r="AF316" i="24" s="1"/>
  <c r="AD316" i="24" s="1"/>
  <c r="AI163" i="24"/>
  <c r="AH163" i="24" s="1"/>
  <c r="AG163" i="24" s="1"/>
  <c r="AF163" i="24" s="1"/>
  <c r="AD163" i="24" s="1"/>
  <c r="AI190" i="24"/>
  <c r="AH190" i="24" s="1"/>
  <c r="AG190" i="24" s="1"/>
  <c r="AF190" i="24" s="1"/>
  <c r="AD190" i="24" s="1"/>
  <c r="AI156" i="24"/>
  <c r="AH156" i="24" s="1"/>
  <c r="AG156" i="24" s="1"/>
  <c r="AF156" i="24" s="1"/>
  <c r="AD156" i="24" s="1"/>
  <c r="AI206" i="24"/>
  <c r="AH206" i="24" s="1"/>
  <c r="AG206" i="24" s="1"/>
  <c r="AF206" i="24" s="1"/>
  <c r="AD206" i="24" s="1"/>
  <c r="AI299" i="24"/>
  <c r="AH299" i="24" s="1"/>
  <c r="AG299" i="24" s="1"/>
  <c r="AF299" i="24" s="1"/>
  <c r="AD299" i="24" s="1"/>
  <c r="AI132" i="24"/>
  <c r="AH132" i="24" s="1"/>
  <c r="AG132" i="24" s="1"/>
  <c r="AF132" i="24" s="1"/>
  <c r="AD132" i="24" s="1"/>
  <c r="AI322" i="24"/>
  <c r="AH322" i="24" s="1"/>
  <c r="AG322" i="24" s="1"/>
  <c r="AF322" i="24" s="1"/>
  <c r="AD322" i="24" s="1"/>
  <c r="AI261" i="24"/>
  <c r="AH261" i="24" s="1"/>
  <c r="AI288" i="24"/>
  <c r="AH288" i="24" s="1"/>
  <c r="AG288" i="24" s="1"/>
  <c r="AF288" i="24" s="1"/>
  <c r="AD288" i="24" s="1"/>
  <c r="AI229" i="24"/>
  <c r="AH229" i="24" s="1"/>
  <c r="AG229" i="24" s="1"/>
  <c r="AF229" i="24" s="1"/>
  <c r="AD229" i="24" s="1"/>
  <c r="AI186" i="24"/>
  <c r="AH186" i="24" s="1"/>
  <c r="AG186" i="24" s="1"/>
  <c r="AF186" i="24" s="1"/>
  <c r="AD186" i="24" s="1"/>
  <c r="AI211" i="24"/>
  <c r="AH211" i="24" s="1"/>
  <c r="AG211" i="24" s="1"/>
  <c r="AF211" i="24" s="1"/>
  <c r="AD211" i="24" s="1"/>
  <c r="AI353" i="24"/>
  <c r="AH353" i="24" s="1"/>
  <c r="AG353" i="24" s="1"/>
  <c r="AF353" i="24" s="1"/>
  <c r="AD353" i="24" s="1"/>
  <c r="AI237" i="24"/>
  <c r="AH237" i="24" s="1"/>
  <c r="AI250" i="24"/>
  <c r="AH250" i="24" s="1"/>
  <c r="AG250" i="24" s="1"/>
  <c r="AF250" i="24" s="1"/>
  <c r="AD250" i="24" s="1"/>
  <c r="AI138" i="24"/>
  <c r="AH138" i="24" s="1"/>
  <c r="AG138" i="24" s="1"/>
  <c r="AF138" i="24" s="1"/>
  <c r="AD138" i="24" s="1"/>
  <c r="AI157" i="24"/>
  <c r="AH157" i="24" s="1"/>
  <c r="AG157" i="24" s="1"/>
  <c r="AF157" i="24" s="1"/>
  <c r="AD157" i="24" s="1"/>
  <c r="AI295" i="24"/>
  <c r="AH295" i="24" s="1"/>
  <c r="AI379" i="24"/>
  <c r="AH379" i="24" s="1"/>
  <c r="AI297" i="24"/>
  <c r="AH297" i="24" s="1"/>
  <c r="AI195" i="24"/>
  <c r="AH195" i="24" s="1"/>
  <c r="AI275" i="24"/>
  <c r="AH275" i="24" s="1"/>
  <c r="AG275" i="24" s="1"/>
  <c r="AF275" i="24" s="1"/>
  <c r="AD275" i="24" s="1"/>
  <c r="AI216" i="24"/>
  <c r="AH216" i="24" s="1"/>
  <c r="AG216" i="24" s="1"/>
  <c r="AF216" i="24" s="1"/>
  <c r="AD216" i="24" s="1"/>
  <c r="AI233" i="24"/>
  <c r="AH233" i="24" s="1"/>
  <c r="AG233" i="24" s="1"/>
  <c r="AF233" i="24" s="1"/>
  <c r="AD233" i="24" s="1"/>
  <c r="AI104" i="24"/>
  <c r="AI131" i="24"/>
  <c r="AH131" i="24" s="1"/>
  <c r="AI48" i="24"/>
  <c r="AH48" i="24" s="1"/>
  <c r="AG48" i="24" s="1"/>
  <c r="AF48" i="24" s="1"/>
  <c r="AD48" i="24" s="1"/>
  <c r="AI98" i="24"/>
  <c r="AH98" i="24" s="1"/>
  <c r="AI62" i="24"/>
  <c r="AH62" i="24" s="1"/>
  <c r="AG62" i="24" s="1"/>
  <c r="AF62" i="24" s="1"/>
  <c r="AD62" i="24" s="1"/>
  <c r="AI44" i="24"/>
  <c r="AH44" i="24" s="1"/>
  <c r="AG44" i="24" s="1"/>
  <c r="AF44" i="24" s="1"/>
  <c r="AD44" i="24" s="1"/>
  <c r="AI38" i="24"/>
  <c r="AH38" i="24" s="1"/>
  <c r="AG38" i="24" s="1"/>
  <c r="AF38" i="24" s="1"/>
  <c r="AD38" i="24" s="1"/>
  <c r="AI22" i="24"/>
  <c r="AH22" i="24" s="1"/>
  <c r="AI95" i="24"/>
  <c r="AH95" i="24" s="1"/>
  <c r="AG95" i="24" s="1"/>
  <c r="AF95" i="24" s="1"/>
  <c r="AD95" i="24" s="1"/>
  <c r="AI53" i="24"/>
  <c r="AH53" i="24" s="1"/>
  <c r="AG53" i="24" s="1"/>
  <c r="AF53" i="24" s="1"/>
  <c r="AD53" i="24" s="1"/>
  <c r="AI51" i="24"/>
  <c r="AH51" i="24" s="1"/>
  <c r="AG51" i="24" s="1"/>
  <c r="AF51" i="24" s="1"/>
  <c r="AD51" i="24" s="1"/>
  <c r="AI32" i="24"/>
  <c r="AH32" i="24" s="1"/>
  <c r="AG32" i="24" s="1"/>
  <c r="AF32" i="24" s="1"/>
  <c r="AD32" i="24" s="1"/>
  <c r="AI93" i="24"/>
  <c r="AH93" i="24" s="1"/>
  <c r="AI59" i="24"/>
  <c r="AH59" i="24" s="1"/>
  <c r="AG59" i="24" s="1"/>
  <c r="AF59" i="24" s="1"/>
  <c r="AD59" i="24" s="1"/>
  <c r="AI27" i="24"/>
  <c r="AH27" i="24" s="1"/>
  <c r="AI65" i="24"/>
  <c r="AH65" i="24" s="1"/>
  <c r="AG65" i="24" s="1"/>
  <c r="AF65" i="24" s="1"/>
  <c r="AD65" i="24" s="1"/>
  <c r="AI61" i="24"/>
  <c r="AH61" i="24" s="1"/>
  <c r="AI33" i="24"/>
  <c r="AH33" i="24" s="1"/>
  <c r="AG33" i="24" s="1"/>
  <c r="AF33" i="24" s="1"/>
  <c r="AD33" i="24" s="1"/>
  <c r="AI28" i="24"/>
  <c r="AH28" i="24" s="1"/>
  <c r="AI63" i="24"/>
  <c r="AH63" i="24" s="1"/>
  <c r="AG63" i="24" s="1"/>
  <c r="AF63" i="24" s="1"/>
  <c r="AD63" i="24" s="1"/>
  <c r="AI77" i="24"/>
  <c r="AH77" i="24" s="1"/>
  <c r="AG77" i="24" s="1"/>
  <c r="AF77" i="24" s="1"/>
  <c r="AD77" i="24" s="1"/>
  <c r="AI100" i="24"/>
  <c r="AH100" i="24" s="1"/>
  <c r="AI87" i="24"/>
  <c r="AH87" i="24" s="1"/>
  <c r="AG87" i="24" s="1"/>
  <c r="AF87" i="24" s="1"/>
  <c r="AD87" i="24" s="1"/>
  <c r="AI46" i="24"/>
  <c r="AH46" i="24" s="1"/>
  <c r="AG46" i="24" s="1"/>
  <c r="AF46" i="24" s="1"/>
  <c r="AD46" i="24" s="1"/>
  <c r="AI19" i="24"/>
  <c r="AH19" i="24" s="1"/>
  <c r="AG19" i="24" s="1"/>
  <c r="AF19" i="24" s="1"/>
  <c r="AD19" i="24" s="1"/>
  <c r="AI50" i="24"/>
  <c r="AH50" i="24" s="1"/>
  <c r="AG50" i="24" s="1"/>
  <c r="AF50" i="24" s="1"/>
  <c r="AD50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86" i="24"/>
  <c r="AH86" i="24" s="1"/>
  <c r="AG86" i="24" s="1"/>
  <c r="AF86" i="24" s="1"/>
  <c r="AD86" i="24" s="1"/>
  <c r="AI66" i="24"/>
  <c r="AH66" i="24" s="1"/>
  <c r="AI54" i="24"/>
  <c r="AH54" i="24" s="1"/>
  <c r="AG54" i="24" s="1"/>
  <c r="AF54" i="24" s="1"/>
  <c r="AD54" i="24" s="1"/>
  <c r="AI15" i="24"/>
  <c r="AH15" i="24" s="1"/>
  <c r="AG15" i="24" s="1"/>
  <c r="AI97" i="24"/>
  <c r="AH97" i="24" s="1"/>
  <c r="AG97" i="24" s="1"/>
  <c r="AF97" i="24" s="1"/>
  <c r="AD97" i="24" s="1"/>
  <c r="AI52" i="24"/>
  <c r="AH52" i="24" s="1"/>
  <c r="AG52" i="24" s="1"/>
  <c r="AF52" i="24" s="1"/>
  <c r="AD52" i="24" s="1"/>
  <c r="AI78" i="24"/>
  <c r="AH78" i="24" s="1"/>
  <c r="AG78" i="24" s="1"/>
  <c r="AF78" i="24" s="1"/>
  <c r="AD78" i="24" s="1"/>
  <c r="AI21" i="24"/>
  <c r="AH21" i="24" s="1"/>
  <c r="AI20" i="24"/>
  <c r="AH20" i="24" s="1"/>
  <c r="AG20" i="24" s="1"/>
  <c r="AF20" i="24" s="1"/>
  <c r="AD20" i="24" s="1"/>
  <c r="AI84" i="24"/>
  <c r="AH84" i="24" s="1"/>
  <c r="AG84" i="24" s="1"/>
  <c r="AF84" i="24" s="1"/>
  <c r="AD84" i="24" s="1"/>
  <c r="AI31" i="24"/>
  <c r="AH31" i="24" s="1"/>
  <c r="AG31" i="24" s="1"/>
  <c r="AF31" i="24" s="1"/>
  <c r="AD31" i="24" s="1"/>
  <c r="AI23" i="24"/>
  <c r="AH23" i="24" s="1"/>
  <c r="AI89" i="24"/>
  <c r="AH89" i="24" s="1"/>
  <c r="AG89" i="24" s="1"/>
  <c r="AF89" i="24" s="1"/>
  <c r="AD89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42" i="24"/>
  <c r="AH42" i="24" s="1"/>
  <c r="AG42" i="24" s="1"/>
  <c r="AF42" i="24" s="1"/>
  <c r="AD42" i="24" s="1"/>
  <c r="AI25" i="24"/>
  <c r="AH25" i="24" s="1"/>
  <c r="AG25" i="24" s="1"/>
  <c r="AF25" i="24" s="1"/>
  <c r="AD25" i="24" s="1"/>
  <c r="AI79" i="24"/>
  <c r="AH79" i="24" s="1"/>
  <c r="AI34" i="24"/>
  <c r="AH34" i="24" s="1"/>
  <c r="AG34" i="24" s="1"/>
  <c r="AF34" i="24" s="1"/>
  <c r="AD34" i="24" s="1"/>
  <c r="U155" i="24"/>
  <c r="T155" i="24" s="1"/>
  <c r="S155" i="24" s="1"/>
  <c r="R155" i="24" s="1"/>
  <c r="P155" i="24" s="1"/>
  <c r="V155" i="24" s="1"/>
  <c r="U30" i="24"/>
  <c r="T30" i="24" s="1"/>
  <c r="S30" i="24" s="1"/>
  <c r="R30" i="24" s="1"/>
  <c r="P30" i="24" s="1"/>
  <c r="V30" i="24" s="1"/>
  <c r="U311" i="24"/>
  <c r="T311" i="24" s="1"/>
  <c r="S311" i="24" s="1"/>
  <c r="R311" i="24" s="1"/>
  <c r="P311" i="24" s="1"/>
  <c r="V311" i="24" s="1"/>
  <c r="U292" i="24"/>
  <c r="T292" i="24" s="1"/>
  <c r="S292" i="24" s="1"/>
  <c r="R292" i="24" s="1"/>
  <c r="P292" i="24" s="1"/>
  <c r="V292" i="24" s="1"/>
  <c r="U345" i="24"/>
  <c r="T345" i="24" s="1"/>
  <c r="S345" i="24" s="1"/>
  <c r="R345" i="24" s="1"/>
  <c r="P345" i="24" s="1"/>
  <c r="V345" i="24" s="1"/>
  <c r="U174" i="24"/>
  <c r="T174" i="24" s="1"/>
  <c r="S174" i="24" s="1"/>
  <c r="R174" i="24" s="1"/>
  <c r="P174" i="24" s="1"/>
  <c r="V174" i="24" s="1"/>
  <c r="U82" i="24"/>
  <c r="T82" i="24" s="1"/>
  <c r="S82" i="24" s="1"/>
  <c r="R82" i="24" s="1"/>
  <c r="P82" i="24" s="1"/>
  <c r="V82" i="24" s="1"/>
  <c r="U26" i="24"/>
  <c r="T26" i="24" s="1"/>
  <c r="S26" i="24" s="1"/>
  <c r="R26" i="24" s="1"/>
  <c r="P26" i="24" s="1"/>
  <c r="V26" i="24" s="1"/>
  <c r="U16" i="24"/>
  <c r="T16" i="24" s="1"/>
  <c r="S16" i="24" s="1"/>
  <c r="R16" i="24" s="1"/>
  <c r="P16" i="24" s="1"/>
  <c r="V16" i="24" s="1"/>
  <c r="U65" i="24"/>
  <c r="T65" i="24" s="1"/>
  <c r="S65" i="24" s="1"/>
  <c r="R65" i="24" s="1"/>
  <c r="P65" i="24" s="1"/>
  <c r="V65" i="24" s="1"/>
  <c r="U102" i="24"/>
  <c r="T102" i="24" s="1"/>
  <c r="S102" i="24" s="1"/>
  <c r="R102" i="24" s="1"/>
  <c r="P102" i="24" s="1"/>
  <c r="V102" i="24" s="1"/>
  <c r="U20" i="24"/>
  <c r="T20" i="24" s="1"/>
  <c r="S20" i="24" s="1"/>
  <c r="R20" i="24" s="1"/>
  <c r="P20" i="24" s="1"/>
  <c r="V20" i="24" s="1"/>
  <c r="U277" i="24"/>
  <c r="T277" i="24" s="1"/>
  <c r="S277" i="24" s="1"/>
  <c r="R277" i="24" s="1"/>
  <c r="P277" i="24" s="1"/>
  <c r="V277" i="24" s="1"/>
  <c r="U76" i="24"/>
  <c r="T76" i="24" s="1"/>
  <c r="S76" i="24" s="1"/>
  <c r="R76" i="24" s="1"/>
  <c r="P76" i="24" s="1"/>
  <c r="V76" i="24" s="1"/>
  <c r="U347" i="24"/>
  <c r="T347" i="24" s="1"/>
  <c r="S347" i="24" s="1"/>
  <c r="R347" i="24" s="1"/>
  <c r="P347" i="24" s="1"/>
  <c r="V347" i="24" s="1"/>
  <c r="U329" i="24"/>
  <c r="T329" i="24" s="1"/>
  <c r="S329" i="24" s="1"/>
  <c r="R329" i="24" s="1"/>
  <c r="P329" i="24" s="1"/>
  <c r="V329" i="24" s="1"/>
  <c r="U266" i="24"/>
  <c r="T266" i="24" s="1"/>
  <c r="S266" i="24" s="1"/>
  <c r="R266" i="24" s="1"/>
  <c r="P266" i="24" s="1"/>
  <c r="V266" i="24" s="1"/>
  <c r="U131" i="24"/>
  <c r="T131" i="24" s="1"/>
  <c r="S131" i="24" s="1"/>
  <c r="R131" i="24" s="1"/>
  <c r="P131" i="24" s="1"/>
  <c r="V131" i="24" s="1"/>
  <c r="U366" i="24"/>
  <c r="T366" i="24" s="1"/>
  <c r="S366" i="24" s="1"/>
  <c r="R366" i="24" s="1"/>
  <c r="P366" i="24" s="1"/>
  <c r="V366" i="24" s="1"/>
  <c r="U63" i="24"/>
  <c r="T63" i="24" s="1"/>
  <c r="S63" i="24" s="1"/>
  <c r="R63" i="24" s="1"/>
  <c r="P63" i="24" s="1"/>
  <c r="V63" i="24" s="1"/>
  <c r="U49" i="24"/>
  <c r="T49" i="24" s="1"/>
  <c r="S49" i="24" s="1"/>
  <c r="R49" i="24" s="1"/>
  <c r="P49" i="24" s="1"/>
  <c r="V49" i="24" s="1"/>
  <c r="U114" i="24"/>
  <c r="T114" i="24" s="1"/>
  <c r="S114" i="24" s="1"/>
  <c r="R114" i="24" s="1"/>
  <c r="P114" i="24" s="1"/>
  <c r="V114" i="24" s="1"/>
  <c r="U112" i="24"/>
  <c r="T112" i="24" s="1"/>
  <c r="S112" i="24" s="1"/>
  <c r="R112" i="24" s="1"/>
  <c r="P112" i="24" s="1"/>
  <c r="V112" i="24" s="1"/>
  <c r="L44" i="19"/>
  <c r="U153" i="24"/>
  <c r="T153" i="24" s="1"/>
  <c r="S153" i="24" s="1"/>
  <c r="R153" i="24" s="1"/>
  <c r="P153" i="24" s="1"/>
  <c r="V153" i="24" s="1"/>
  <c r="U297" i="24"/>
  <c r="T297" i="24" s="1"/>
  <c r="S297" i="24" s="1"/>
  <c r="R297" i="24" s="1"/>
  <c r="P297" i="24" s="1"/>
  <c r="V297" i="24" s="1"/>
  <c r="U350" i="24"/>
  <c r="T350" i="24" s="1"/>
  <c r="S350" i="24" s="1"/>
  <c r="R350" i="24" s="1"/>
  <c r="P350" i="24" s="1"/>
  <c r="V350" i="24" s="1"/>
  <c r="U252" i="24"/>
  <c r="T252" i="24" s="1"/>
  <c r="S252" i="24" s="1"/>
  <c r="R252" i="24" s="1"/>
  <c r="P252" i="24" s="1"/>
  <c r="V252" i="24" s="1"/>
  <c r="U163" i="24"/>
  <c r="T163" i="24" s="1"/>
  <c r="S163" i="24" s="1"/>
  <c r="R163" i="24" s="1"/>
  <c r="P163" i="24" s="1"/>
  <c r="V163" i="24" s="1"/>
  <c r="U233" i="24"/>
  <c r="T233" i="24" s="1"/>
  <c r="S233" i="24" s="1"/>
  <c r="R233" i="24" s="1"/>
  <c r="P233" i="24" s="1"/>
  <c r="V233" i="24" s="1"/>
  <c r="U293" i="24"/>
  <c r="T293" i="24" s="1"/>
  <c r="S293" i="24" s="1"/>
  <c r="R293" i="24" s="1"/>
  <c r="P293" i="24" s="1"/>
  <c r="V293" i="24" s="1"/>
  <c r="U95" i="24"/>
  <c r="T95" i="24" s="1"/>
  <c r="S95" i="24" s="1"/>
  <c r="R95" i="24" s="1"/>
  <c r="P95" i="24" s="1"/>
  <c r="V95" i="24" s="1"/>
  <c r="U17" i="24"/>
  <c r="T17" i="24" s="1"/>
  <c r="S17" i="24" s="1"/>
  <c r="R17" i="24" s="1"/>
  <c r="P17" i="24" s="1"/>
  <c r="V17" i="24" s="1"/>
  <c r="U353" i="24"/>
  <c r="T353" i="24" s="1"/>
  <c r="S353" i="24" s="1"/>
  <c r="R353" i="24" s="1"/>
  <c r="P353" i="24" s="1"/>
  <c r="V353" i="24" s="1"/>
  <c r="U339" i="24"/>
  <c r="T339" i="24" s="1"/>
  <c r="S339" i="24" s="1"/>
  <c r="R339" i="24" s="1"/>
  <c r="P339" i="24" s="1"/>
  <c r="V339" i="24" s="1"/>
  <c r="U364" i="24"/>
  <c r="T364" i="24" s="1"/>
  <c r="S364" i="24" s="1"/>
  <c r="R364" i="24" s="1"/>
  <c r="P364" i="24" s="1"/>
  <c r="V364" i="24" s="1"/>
  <c r="U178" i="24"/>
  <c r="T178" i="24" s="1"/>
  <c r="S178" i="24" s="1"/>
  <c r="R178" i="24" s="1"/>
  <c r="P178" i="24" s="1"/>
  <c r="V178" i="24" s="1"/>
  <c r="U327" i="24"/>
  <c r="T327" i="24" s="1"/>
  <c r="S327" i="24" s="1"/>
  <c r="R327" i="24" s="1"/>
  <c r="P327" i="24" s="1"/>
  <c r="V327" i="24" s="1"/>
  <c r="U332" i="24"/>
  <c r="T332" i="24" s="1"/>
  <c r="S332" i="24" s="1"/>
  <c r="R332" i="24" s="1"/>
  <c r="P332" i="24" s="1"/>
  <c r="V332" i="24" s="1"/>
  <c r="U224" i="24"/>
  <c r="T224" i="24" s="1"/>
  <c r="S224" i="24" s="1"/>
  <c r="R224" i="24" s="1"/>
  <c r="P224" i="24" s="1"/>
  <c r="V224" i="24" s="1"/>
  <c r="U34" i="24"/>
  <c r="T34" i="24" s="1"/>
  <c r="S34" i="24" s="1"/>
  <c r="R34" i="24" s="1"/>
  <c r="P34" i="24" s="1"/>
  <c r="V34" i="24" s="1"/>
  <c r="U89" i="24"/>
  <c r="T89" i="24" s="1"/>
  <c r="S89" i="24" s="1"/>
  <c r="R89" i="24" s="1"/>
  <c r="P89" i="24" s="1"/>
  <c r="V89" i="24" s="1"/>
  <c r="U284" i="24"/>
  <c r="T284" i="24" s="1"/>
  <c r="S284" i="24" s="1"/>
  <c r="R284" i="24" s="1"/>
  <c r="P284" i="24" s="1"/>
  <c r="V284" i="24" s="1"/>
  <c r="U133" i="24"/>
  <c r="T133" i="24" s="1"/>
  <c r="S133" i="24" s="1"/>
  <c r="R133" i="24" s="1"/>
  <c r="P133" i="24" s="1"/>
  <c r="V133" i="24" s="1"/>
  <c r="U208" i="24"/>
  <c r="T208" i="24" s="1"/>
  <c r="S208" i="24" s="1"/>
  <c r="R208" i="24" s="1"/>
  <c r="P208" i="24" s="1"/>
  <c r="V208" i="24" s="1"/>
  <c r="U38" i="24"/>
  <c r="T38" i="24" s="1"/>
  <c r="S38" i="24" s="1"/>
  <c r="R38" i="24" s="1"/>
  <c r="P38" i="24" s="1"/>
  <c r="V38" i="24" s="1"/>
  <c r="U141" i="24"/>
  <c r="T141" i="24" s="1"/>
  <c r="S141" i="24" s="1"/>
  <c r="R141" i="24" s="1"/>
  <c r="P141" i="24" s="1"/>
  <c r="V141" i="24" s="1"/>
  <c r="U110" i="24"/>
  <c r="T110" i="24" s="1"/>
  <c r="S110" i="24" s="1"/>
  <c r="R110" i="24" s="1"/>
  <c r="P110" i="24" s="1"/>
  <c r="V110" i="24" s="1"/>
  <c r="U230" i="24"/>
  <c r="T230" i="24" s="1"/>
  <c r="S230" i="24" s="1"/>
  <c r="R230" i="24" s="1"/>
  <c r="P230" i="24" s="1"/>
  <c r="V230" i="24" s="1"/>
  <c r="U308" i="24"/>
  <c r="T308" i="24" s="1"/>
  <c r="S308" i="24" s="1"/>
  <c r="R308" i="24" s="1"/>
  <c r="P308" i="24" s="1"/>
  <c r="V308" i="24" s="1"/>
  <c r="U225" i="24"/>
  <c r="T225" i="24" s="1"/>
  <c r="S225" i="24" s="1"/>
  <c r="R225" i="24" s="1"/>
  <c r="P225" i="24" s="1"/>
  <c r="V225" i="24" s="1"/>
  <c r="U94" i="24"/>
  <c r="T94" i="24" s="1"/>
  <c r="S94" i="24" s="1"/>
  <c r="R94" i="24" s="1"/>
  <c r="P94" i="24" s="1"/>
  <c r="V94" i="24" s="1"/>
  <c r="U118" i="24"/>
  <c r="T118" i="24" s="1"/>
  <c r="S118" i="24" s="1"/>
  <c r="R118" i="24" s="1"/>
  <c r="P118" i="24" s="1"/>
  <c r="V118" i="24" s="1"/>
  <c r="U333" i="24"/>
  <c r="T333" i="24" s="1"/>
  <c r="S333" i="24" s="1"/>
  <c r="R333" i="24" s="1"/>
  <c r="P333" i="24" s="1"/>
  <c r="V333" i="24" s="1"/>
  <c r="B333" i="24" s="1"/>
  <c r="U197" i="24"/>
  <c r="T197" i="24" s="1"/>
  <c r="S197" i="24" s="1"/>
  <c r="R197" i="24" s="1"/>
  <c r="P197" i="24" s="1"/>
  <c r="V197" i="24" s="1"/>
  <c r="U152" i="24"/>
  <c r="T152" i="24" s="1"/>
  <c r="S152" i="24" s="1"/>
  <c r="R152" i="24" s="1"/>
  <c r="P152" i="24" s="1"/>
  <c r="V152" i="24" s="1"/>
  <c r="U24" i="24"/>
  <c r="T24" i="24" s="1"/>
  <c r="S24" i="24" s="1"/>
  <c r="R24" i="24" s="1"/>
  <c r="P24" i="24" s="1"/>
  <c r="V24" i="24" s="1"/>
  <c r="U126" i="24"/>
  <c r="T126" i="24" s="1"/>
  <c r="S126" i="24" s="1"/>
  <c r="R126" i="24" s="1"/>
  <c r="P126" i="24" s="1"/>
  <c r="V126" i="24" s="1"/>
  <c r="U240" i="24"/>
  <c r="T240" i="24" s="1"/>
  <c r="S240" i="24" s="1"/>
  <c r="R240" i="24" s="1"/>
  <c r="P240" i="24" s="1"/>
  <c r="V240" i="24" s="1"/>
  <c r="U143" i="24"/>
  <c r="T143" i="24" s="1"/>
  <c r="S143" i="24" s="1"/>
  <c r="R143" i="24" s="1"/>
  <c r="P143" i="24" s="1"/>
  <c r="V143" i="24" s="1"/>
  <c r="U282" i="24"/>
  <c r="T282" i="24" s="1"/>
  <c r="S282" i="24" s="1"/>
  <c r="R282" i="24" s="1"/>
  <c r="P282" i="24" s="1"/>
  <c r="V282" i="24" s="1"/>
  <c r="U336" i="24"/>
  <c r="T336" i="24" s="1"/>
  <c r="S336" i="24" s="1"/>
  <c r="R336" i="24" s="1"/>
  <c r="P336" i="24" s="1"/>
  <c r="V336" i="24" s="1"/>
  <c r="U215" i="24"/>
  <c r="T215" i="24" s="1"/>
  <c r="S215" i="24" s="1"/>
  <c r="R215" i="24" s="1"/>
  <c r="P215" i="24" s="1"/>
  <c r="V215" i="24" s="1"/>
  <c r="U172" i="24"/>
  <c r="T172" i="24" s="1"/>
  <c r="S172" i="24" s="1"/>
  <c r="R172" i="24" s="1"/>
  <c r="P172" i="24" s="1"/>
  <c r="V172" i="24" s="1"/>
  <c r="U202" i="24"/>
  <c r="T202" i="24" s="1"/>
  <c r="S202" i="24" s="1"/>
  <c r="R202" i="24" s="1"/>
  <c r="P202" i="24" s="1"/>
  <c r="V202" i="24" s="1"/>
  <c r="U326" i="24"/>
  <c r="T326" i="24" s="1"/>
  <c r="S326" i="24" s="1"/>
  <c r="R326" i="24" s="1"/>
  <c r="P326" i="24" s="1"/>
  <c r="V326" i="24" s="1"/>
  <c r="U337" i="24"/>
  <c r="T337" i="24" s="1"/>
  <c r="S337" i="24" s="1"/>
  <c r="R337" i="24" s="1"/>
  <c r="P337" i="24" s="1"/>
  <c r="V337" i="24" s="1"/>
  <c r="U344" i="24"/>
  <c r="T344" i="24" s="1"/>
  <c r="S344" i="24" s="1"/>
  <c r="R344" i="24" s="1"/>
  <c r="P344" i="24" s="1"/>
  <c r="V344" i="24" s="1"/>
  <c r="U200" i="24"/>
  <c r="T200" i="24" s="1"/>
  <c r="S200" i="24" s="1"/>
  <c r="R200" i="24" s="1"/>
  <c r="P200" i="24" s="1"/>
  <c r="V200" i="24" s="1"/>
  <c r="U379" i="24"/>
  <c r="U195" i="24"/>
  <c r="T195" i="24" s="1"/>
  <c r="S195" i="24" s="1"/>
  <c r="R195" i="24" s="1"/>
  <c r="P195" i="24" s="1"/>
  <c r="V195" i="24" s="1"/>
  <c r="U193" i="24"/>
  <c r="T193" i="24" s="1"/>
  <c r="S193" i="24" s="1"/>
  <c r="R193" i="24" s="1"/>
  <c r="P193" i="24" s="1"/>
  <c r="V193" i="24" s="1"/>
  <c r="U185" i="24"/>
  <c r="T185" i="24" s="1"/>
  <c r="S185" i="24" s="1"/>
  <c r="R185" i="24" s="1"/>
  <c r="P185" i="24" s="1"/>
  <c r="V185" i="24" s="1"/>
  <c r="U377" i="24"/>
  <c r="T377" i="24" s="1"/>
  <c r="S377" i="24" s="1"/>
  <c r="R377" i="24" s="1"/>
  <c r="P377" i="24" s="1"/>
  <c r="V377" i="24" s="1"/>
  <c r="U64" i="24"/>
  <c r="T64" i="24" s="1"/>
  <c r="S64" i="24" s="1"/>
  <c r="R64" i="24" s="1"/>
  <c r="P64" i="24" s="1"/>
  <c r="V64" i="24" s="1"/>
  <c r="U245" i="24"/>
  <c r="T245" i="24" s="1"/>
  <c r="S245" i="24" s="1"/>
  <c r="R245" i="24" s="1"/>
  <c r="P245" i="24" s="1"/>
  <c r="V245" i="24" s="1"/>
  <c r="U22" i="24"/>
  <c r="T22" i="24" s="1"/>
  <c r="S22" i="24" s="1"/>
  <c r="R22" i="24" s="1"/>
  <c r="P22" i="24" s="1"/>
  <c r="V22" i="24" s="1"/>
  <c r="U250" i="24"/>
  <c r="T250" i="24" s="1"/>
  <c r="S250" i="24" s="1"/>
  <c r="R250" i="24" s="1"/>
  <c r="P250" i="24" s="1"/>
  <c r="V250" i="24" s="1"/>
  <c r="U365" i="24"/>
  <c r="T365" i="24" s="1"/>
  <c r="S365" i="24" s="1"/>
  <c r="R365" i="24" s="1"/>
  <c r="P365" i="24" s="1"/>
  <c r="V365" i="24" s="1"/>
  <c r="U263" i="24"/>
  <c r="T263" i="24" s="1"/>
  <c r="S263" i="24" s="1"/>
  <c r="R263" i="24" s="1"/>
  <c r="P263" i="24" s="1"/>
  <c r="V263" i="24" s="1"/>
  <c r="U108" i="24"/>
  <c r="T108" i="24" s="1"/>
  <c r="S108" i="24" s="1"/>
  <c r="R108" i="24" s="1"/>
  <c r="P108" i="24" s="1"/>
  <c r="V108" i="24" s="1"/>
  <c r="U15" i="24"/>
  <c r="T15" i="24" s="1"/>
  <c r="U157" i="24"/>
  <c r="T157" i="24" s="1"/>
  <c r="S157" i="24" s="1"/>
  <c r="R157" i="24" s="1"/>
  <c r="P157" i="24" s="1"/>
  <c r="V157" i="24" s="1"/>
  <c r="U96" i="24"/>
  <c r="T96" i="24" s="1"/>
  <c r="S96" i="24" s="1"/>
  <c r="R96" i="24" s="1"/>
  <c r="P96" i="24" s="1"/>
  <c r="V96" i="24" s="1"/>
  <c r="U343" i="24"/>
  <c r="T343" i="24" s="1"/>
  <c r="S343" i="24" s="1"/>
  <c r="R343" i="24" s="1"/>
  <c r="P343" i="24" s="1"/>
  <c r="V343" i="24" s="1"/>
  <c r="U199" i="24"/>
  <c r="T199" i="24" s="1"/>
  <c r="S199" i="24" s="1"/>
  <c r="R199" i="24" s="1"/>
  <c r="P199" i="24" s="1"/>
  <c r="V199" i="24" s="1"/>
  <c r="U270" i="24"/>
  <c r="T270" i="24" s="1"/>
  <c r="S270" i="24" s="1"/>
  <c r="R270" i="24" s="1"/>
  <c r="P270" i="24" s="1"/>
  <c r="V270" i="24" s="1"/>
  <c r="U121" i="24"/>
  <c r="T121" i="24" s="1"/>
  <c r="S121" i="24" s="1"/>
  <c r="R121" i="24" s="1"/>
  <c r="P121" i="24" s="1"/>
  <c r="V121" i="24" s="1"/>
  <c r="U283" i="24"/>
  <c r="T283" i="24" s="1"/>
  <c r="S283" i="24" s="1"/>
  <c r="R283" i="24" s="1"/>
  <c r="P283" i="24" s="1"/>
  <c r="V283" i="24" s="1"/>
  <c r="U25" i="24"/>
  <c r="T25" i="24" s="1"/>
  <c r="S25" i="24" s="1"/>
  <c r="R25" i="24" s="1"/>
  <c r="P25" i="24" s="1"/>
  <c r="V25" i="24" s="1"/>
  <c r="U251" i="24"/>
  <c r="T251" i="24" s="1"/>
  <c r="S251" i="24" s="1"/>
  <c r="R251" i="24" s="1"/>
  <c r="P251" i="24" s="1"/>
  <c r="V251" i="24" s="1"/>
  <c r="U356" i="24"/>
  <c r="T356" i="24" s="1"/>
  <c r="S356" i="24" s="1"/>
  <c r="R356" i="24" s="1"/>
  <c r="P356" i="24" s="1"/>
  <c r="V356" i="24" s="1"/>
  <c r="U221" i="24"/>
  <c r="T221" i="24" s="1"/>
  <c r="S221" i="24" s="1"/>
  <c r="R221" i="24" s="1"/>
  <c r="P221" i="24" s="1"/>
  <c r="V221" i="24" s="1"/>
  <c r="U275" i="24"/>
  <c r="T275" i="24" s="1"/>
  <c r="S275" i="24" s="1"/>
  <c r="R275" i="24" s="1"/>
  <c r="P275" i="24" s="1"/>
  <c r="V275" i="24" s="1"/>
  <c r="U205" i="24"/>
  <c r="T205" i="24" s="1"/>
  <c r="S205" i="24" s="1"/>
  <c r="R205" i="24" s="1"/>
  <c r="P205" i="24" s="1"/>
  <c r="V205" i="24" s="1"/>
  <c r="U341" i="24"/>
  <c r="T341" i="24" s="1"/>
  <c r="S341" i="24" s="1"/>
  <c r="R341" i="24" s="1"/>
  <c r="P341" i="24" s="1"/>
  <c r="V341" i="24" s="1"/>
  <c r="U158" i="24"/>
  <c r="T158" i="24" s="1"/>
  <c r="S158" i="24" s="1"/>
  <c r="R158" i="24" s="1"/>
  <c r="P158" i="24" s="1"/>
  <c r="V158" i="24" s="1"/>
  <c r="U262" i="24"/>
  <c r="T262" i="24" s="1"/>
  <c r="S262" i="24" s="1"/>
  <c r="R262" i="24" s="1"/>
  <c r="P262" i="24" s="1"/>
  <c r="V262" i="24" s="1"/>
  <c r="U117" i="24"/>
  <c r="T117" i="24" s="1"/>
  <c r="S117" i="24" s="1"/>
  <c r="R117" i="24" s="1"/>
  <c r="P117" i="24" s="1"/>
  <c r="V117" i="24" s="1"/>
  <c r="U304" i="24"/>
  <c r="T304" i="24" s="1"/>
  <c r="S304" i="24" s="1"/>
  <c r="R304" i="24" s="1"/>
  <c r="P304" i="24" s="1"/>
  <c r="V304" i="24" s="1"/>
  <c r="U244" i="24"/>
  <c r="T244" i="24" s="1"/>
  <c r="S244" i="24" s="1"/>
  <c r="R244" i="24" s="1"/>
  <c r="P244" i="24" s="1"/>
  <c r="V244" i="24" s="1"/>
  <c r="U184" i="24"/>
  <c r="T184" i="24" s="1"/>
  <c r="S184" i="24" s="1"/>
  <c r="R184" i="24" s="1"/>
  <c r="P184" i="24" s="1"/>
  <c r="V184" i="24" s="1"/>
  <c r="U348" i="24"/>
  <c r="T348" i="24" s="1"/>
  <c r="S348" i="24" s="1"/>
  <c r="R348" i="24" s="1"/>
  <c r="P348" i="24" s="1"/>
  <c r="V348" i="24" s="1"/>
  <c r="U374" i="24"/>
  <c r="T374" i="24" s="1"/>
  <c r="S374" i="24" s="1"/>
  <c r="R374" i="24" s="1"/>
  <c r="P374" i="24" s="1"/>
  <c r="V374" i="24" s="1"/>
  <c r="U260" i="24"/>
  <c r="T260" i="24" s="1"/>
  <c r="S260" i="24" s="1"/>
  <c r="R260" i="24" s="1"/>
  <c r="P260" i="24" s="1"/>
  <c r="V260" i="24" s="1"/>
  <c r="U84" i="24"/>
  <c r="T84" i="24" s="1"/>
  <c r="S84" i="24" s="1"/>
  <c r="R84" i="24" s="1"/>
  <c r="P84" i="24" s="1"/>
  <c r="V84" i="24" s="1"/>
  <c r="U134" i="24"/>
  <c r="T134" i="24" s="1"/>
  <c r="S134" i="24" s="1"/>
  <c r="R134" i="24" s="1"/>
  <c r="P134" i="24" s="1"/>
  <c r="V134" i="24" s="1"/>
  <c r="U361" i="24"/>
  <c r="T361" i="24" s="1"/>
  <c r="S361" i="24" s="1"/>
  <c r="R361" i="24" s="1"/>
  <c r="P361" i="24" s="1"/>
  <c r="V361" i="24" s="1"/>
  <c r="U187" i="24"/>
  <c r="T187" i="24" s="1"/>
  <c r="S187" i="24" s="1"/>
  <c r="R187" i="24" s="1"/>
  <c r="P187" i="24" s="1"/>
  <c r="V187" i="24" s="1"/>
  <c r="U32" i="24"/>
  <c r="T32" i="24" s="1"/>
  <c r="S32" i="24" s="1"/>
  <c r="R32" i="24" s="1"/>
  <c r="P32" i="24" s="1"/>
  <c r="V32" i="24" s="1"/>
  <c r="U127" i="24"/>
  <c r="T127" i="24" s="1"/>
  <c r="S127" i="24" s="1"/>
  <c r="R127" i="24" s="1"/>
  <c r="P127" i="24" s="1"/>
  <c r="V127" i="24" s="1"/>
  <c r="U222" i="24"/>
  <c r="T222" i="24" s="1"/>
  <c r="S222" i="24" s="1"/>
  <c r="R222" i="24" s="1"/>
  <c r="P222" i="24" s="1"/>
  <c r="V222" i="24" s="1"/>
  <c r="U149" i="24"/>
  <c r="T149" i="24" s="1"/>
  <c r="S149" i="24" s="1"/>
  <c r="R149" i="24" s="1"/>
  <c r="P149" i="24" s="1"/>
  <c r="AH60" i="7" s="1"/>
  <c r="U53" i="24"/>
  <c r="T53" i="24" s="1"/>
  <c r="S53" i="24" s="1"/>
  <c r="R53" i="24" s="1"/>
  <c r="P53" i="24" s="1"/>
  <c r="V53" i="24" s="1"/>
  <c r="U79" i="24"/>
  <c r="T79" i="24" s="1"/>
  <c r="S79" i="24" s="1"/>
  <c r="R79" i="24" s="1"/>
  <c r="P79" i="24" s="1"/>
  <c r="V79" i="24" s="1"/>
  <c r="U88" i="24"/>
  <c r="T88" i="24" s="1"/>
  <c r="S88" i="24" s="1"/>
  <c r="R88" i="24" s="1"/>
  <c r="P88" i="24" s="1"/>
  <c r="AH58" i="7" s="1"/>
  <c r="U137" i="24"/>
  <c r="T137" i="24" s="1"/>
  <c r="S137" i="24" s="1"/>
  <c r="R137" i="24" s="1"/>
  <c r="P137" i="24" s="1"/>
  <c r="V137" i="24" s="1"/>
  <c r="U220" i="24"/>
  <c r="T220" i="24" s="1"/>
  <c r="S220" i="24" s="1"/>
  <c r="R220" i="24" s="1"/>
  <c r="P220" i="24" s="1"/>
  <c r="V220" i="24" s="1"/>
  <c r="U177" i="24"/>
  <c r="T177" i="24" s="1"/>
  <c r="S177" i="24" s="1"/>
  <c r="R177" i="24" s="1"/>
  <c r="P177" i="24" s="1"/>
  <c r="V177" i="24" s="1"/>
  <c r="U75" i="24"/>
  <c r="T75" i="24" s="1"/>
  <c r="S75" i="24" s="1"/>
  <c r="R75" i="24" s="1"/>
  <c r="P75" i="24" s="1"/>
  <c r="V75" i="24" s="1"/>
  <c r="U280" i="24"/>
  <c r="T280" i="24" s="1"/>
  <c r="S280" i="24" s="1"/>
  <c r="R280" i="24" s="1"/>
  <c r="P280" i="24" s="1"/>
  <c r="V280" i="24" s="1"/>
  <c r="U135" i="24"/>
  <c r="T135" i="24" s="1"/>
  <c r="S135" i="24" s="1"/>
  <c r="R135" i="24" s="1"/>
  <c r="P135" i="24" s="1"/>
  <c r="V135" i="24" s="1"/>
  <c r="B135" i="24" s="1"/>
  <c r="U313" i="24"/>
  <c r="T313" i="24" s="1"/>
  <c r="S313" i="24" s="1"/>
  <c r="R313" i="24" s="1"/>
  <c r="P313" i="24" s="1"/>
  <c r="V313" i="24" s="1"/>
  <c r="U154" i="24"/>
  <c r="T154" i="24" s="1"/>
  <c r="S154" i="24" s="1"/>
  <c r="R154" i="24" s="1"/>
  <c r="P154" i="24" s="1"/>
  <c r="V154" i="24" s="1"/>
  <c r="U33" i="24"/>
  <c r="T33" i="24" s="1"/>
  <c r="S33" i="24" s="1"/>
  <c r="R33" i="24" s="1"/>
  <c r="P33" i="24" s="1"/>
  <c r="V33" i="24" s="1"/>
  <c r="U196" i="24"/>
  <c r="T196" i="24" s="1"/>
  <c r="S196" i="24" s="1"/>
  <c r="R196" i="24" s="1"/>
  <c r="P196" i="24" s="1"/>
  <c r="V196" i="24" s="1"/>
  <c r="B196" i="24" s="1"/>
  <c r="U318" i="24"/>
  <c r="T318" i="24" s="1"/>
  <c r="S318" i="24" s="1"/>
  <c r="R318" i="24" s="1"/>
  <c r="P318" i="24" s="1"/>
  <c r="V318" i="24" s="1"/>
  <c r="U66" i="24"/>
  <c r="T66" i="24" s="1"/>
  <c r="S66" i="24" s="1"/>
  <c r="R66" i="24" s="1"/>
  <c r="P66" i="24" s="1"/>
  <c r="V66" i="24" s="1"/>
  <c r="U39" i="24"/>
  <c r="T39" i="24" s="1"/>
  <c r="S39" i="24" s="1"/>
  <c r="R39" i="24" s="1"/>
  <c r="P39" i="24" s="1"/>
  <c r="V39" i="24" s="1"/>
  <c r="U358" i="24"/>
  <c r="T358" i="24" s="1"/>
  <c r="S358" i="24" s="1"/>
  <c r="R358" i="24" s="1"/>
  <c r="P358" i="24" s="1"/>
  <c r="V358" i="24" s="1"/>
  <c r="U194" i="24"/>
  <c r="T194" i="24" s="1"/>
  <c r="S194" i="24" s="1"/>
  <c r="R194" i="24" s="1"/>
  <c r="P194" i="24" s="1"/>
  <c r="V194" i="24" s="1"/>
  <c r="U354" i="24"/>
  <c r="T354" i="24" s="1"/>
  <c r="S354" i="24" s="1"/>
  <c r="R354" i="24" s="1"/>
  <c r="P354" i="24" s="1"/>
  <c r="V354" i="24" s="1"/>
  <c r="U316" i="24"/>
  <c r="T316" i="24" s="1"/>
  <c r="S316" i="24" s="1"/>
  <c r="R316" i="24" s="1"/>
  <c r="P316" i="24" s="1"/>
  <c r="V316" i="24" s="1"/>
  <c r="U52" i="24"/>
  <c r="T52" i="24" s="1"/>
  <c r="S52" i="24" s="1"/>
  <c r="R52" i="24" s="1"/>
  <c r="P52" i="24" s="1"/>
  <c r="V52" i="24" s="1"/>
  <c r="U125" i="24"/>
  <c r="T125" i="24" s="1"/>
  <c r="S125" i="24" s="1"/>
  <c r="R125" i="24" s="1"/>
  <c r="P125" i="24" s="1"/>
  <c r="V125" i="24" s="1"/>
  <c r="U265" i="24"/>
  <c r="T265" i="24" s="1"/>
  <c r="S265" i="24" s="1"/>
  <c r="R265" i="24" s="1"/>
  <c r="P265" i="24" s="1"/>
  <c r="V265" i="24" s="1"/>
  <c r="U169" i="24"/>
  <c r="T169" i="24" s="1"/>
  <c r="S169" i="24" s="1"/>
  <c r="R169" i="24" s="1"/>
  <c r="P169" i="24" s="1"/>
  <c r="V169" i="24" s="1"/>
  <c r="U67" i="24"/>
  <c r="T67" i="24" s="1"/>
  <c r="S67" i="24" s="1"/>
  <c r="R67" i="24" s="1"/>
  <c r="P67" i="24" s="1"/>
  <c r="V67" i="24" s="1"/>
  <c r="U120" i="24"/>
  <c r="T120" i="24" s="1"/>
  <c r="S120" i="24" s="1"/>
  <c r="R120" i="24" s="1"/>
  <c r="P120" i="24" s="1"/>
  <c r="V120" i="24" s="1"/>
  <c r="U93" i="24"/>
  <c r="T93" i="24" s="1"/>
  <c r="S93" i="24" s="1"/>
  <c r="R93" i="24" s="1"/>
  <c r="P93" i="24" s="1"/>
  <c r="V93" i="24" s="1"/>
  <c r="U171" i="24"/>
  <c r="T171" i="24" s="1"/>
  <c r="S171" i="24" s="1"/>
  <c r="R171" i="24" s="1"/>
  <c r="P171" i="24" s="1"/>
  <c r="V171" i="24" s="1"/>
  <c r="U249" i="24"/>
  <c r="T249" i="24" s="1"/>
  <c r="S249" i="24" s="1"/>
  <c r="R249" i="24" s="1"/>
  <c r="P249" i="24" s="1"/>
  <c r="V249" i="24" s="1"/>
  <c r="U160" i="24"/>
  <c r="T160" i="24" s="1"/>
  <c r="S160" i="24" s="1"/>
  <c r="R160" i="24" s="1"/>
  <c r="P160" i="24" s="1"/>
  <c r="V160" i="24" s="1"/>
  <c r="U54" i="24"/>
  <c r="T54" i="24" s="1"/>
  <c r="S54" i="24" s="1"/>
  <c r="R54" i="24" s="1"/>
  <c r="P54" i="24" s="1"/>
  <c r="V54" i="24" s="1"/>
  <c r="U261" i="24"/>
  <c r="T261" i="24" s="1"/>
  <c r="S261" i="24" s="1"/>
  <c r="R261" i="24" s="1"/>
  <c r="P261" i="24" s="1"/>
  <c r="V261" i="24" s="1"/>
  <c r="U334" i="24"/>
  <c r="T334" i="24" s="1"/>
  <c r="S334" i="24" s="1"/>
  <c r="R334" i="24" s="1"/>
  <c r="P334" i="24" s="1"/>
  <c r="V334" i="24" s="1"/>
  <c r="U323" i="24"/>
  <c r="T323" i="24" s="1"/>
  <c r="S323" i="24" s="1"/>
  <c r="R323" i="24" s="1"/>
  <c r="P323" i="24" s="1"/>
  <c r="V323" i="24" s="1"/>
  <c r="U192" i="24"/>
  <c r="T192" i="24" s="1"/>
  <c r="S192" i="24" s="1"/>
  <c r="R192" i="24" s="1"/>
  <c r="P192" i="24" s="1"/>
  <c r="V192" i="24" s="1"/>
  <c r="U204" i="24"/>
  <c r="T204" i="24" s="1"/>
  <c r="S204" i="24" s="1"/>
  <c r="R204" i="24" s="1"/>
  <c r="P204" i="24" s="1"/>
  <c r="V204" i="24" s="1"/>
  <c r="U186" i="24"/>
  <c r="T186" i="24" s="1"/>
  <c r="S186" i="24" s="1"/>
  <c r="R186" i="24" s="1"/>
  <c r="P186" i="24" s="1"/>
  <c r="V186" i="24" s="1"/>
  <c r="U325" i="24"/>
  <c r="T325" i="24" s="1"/>
  <c r="S325" i="24" s="1"/>
  <c r="R325" i="24" s="1"/>
  <c r="P325" i="24" s="1"/>
  <c r="V325" i="24" s="1"/>
  <c r="U109" i="24"/>
  <c r="T109" i="24" s="1"/>
  <c r="S109" i="24" s="1"/>
  <c r="R109" i="24" s="1"/>
  <c r="P109" i="24" s="1"/>
  <c r="V109" i="24" s="1"/>
  <c r="U369" i="24"/>
  <c r="T369" i="24" s="1"/>
  <c r="S369" i="24" s="1"/>
  <c r="R369" i="24" s="1"/>
  <c r="P369" i="24" s="1"/>
  <c r="V369" i="24" s="1"/>
  <c r="U241" i="24"/>
  <c r="T241" i="24" s="1"/>
  <c r="S241" i="24" s="1"/>
  <c r="R241" i="24" s="1"/>
  <c r="P241" i="24" s="1"/>
  <c r="AH63" i="7" s="1"/>
  <c r="U268" i="24"/>
  <c r="T268" i="24" s="1"/>
  <c r="S268" i="24" s="1"/>
  <c r="R268" i="24" s="1"/>
  <c r="P268" i="24" s="1"/>
  <c r="V268" i="24" s="1"/>
  <c r="U368" i="24"/>
  <c r="T368" i="24" s="1"/>
  <c r="S368" i="24" s="1"/>
  <c r="R368" i="24" s="1"/>
  <c r="P368" i="24" s="1"/>
  <c r="V368" i="24" s="1"/>
  <c r="U42" i="24"/>
  <c r="T42" i="24" s="1"/>
  <c r="S42" i="24" s="1"/>
  <c r="R42" i="24" s="1"/>
  <c r="P42" i="24" s="1"/>
  <c r="V42" i="24" s="1"/>
  <c r="U298" i="24"/>
  <c r="T298" i="24" s="1"/>
  <c r="S298" i="24" s="1"/>
  <c r="R298" i="24" s="1"/>
  <c r="P298" i="24" s="1"/>
  <c r="V298" i="24" s="1"/>
  <c r="J56" i="23"/>
  <c r="I280" i="23"/>
  <c r="I62" i="23"/>
  <c r="AJ13" i="18"/>
  <c r="I227" i="23"/>
  <c r="D379" i="23"/>
  <c r="E379" i="23" s="1"/>
  <c r="F379" i="23" s="1"/>
  <c r="H379" i="23" s="1"/>
  <c r="H38" i="19"/>
  <c r="C15" i="19"/>
  <c r="F39" i="19"/>
  <c r="I38" i="19"/>
  <c r="I187" i="23"/>
  <c r="I132" i="23"/>
  <c r="J201" i="23"/>
  <c r="I34" i="23"/>
  <c r="I374" i="23"/>
  <c r="I115" i="23"/>
  <c r="J327" i="23"/>
  <c r="J346" i="23"/>
  <c r="I63" i="23"/>
  <c r="J235" i="23"/>
  <c r="BA16" i="7"/>
  <c r="U77" i="24"/>
  <c r="T77" i="24" s="1"/>
  <c r="S77" i="24" s="1"/>
  <c r="R77" i="24" s="1"/>
  <c r="P77" i="24" s="1"/>
  <c r="V77" i="24" s="1"/>
  <c r="U107" i="24"/>
  <c r="T107" i="24" s="1"/>
  <c r="S107" i="24" s="1"/>
  <c r="R107" i="24" s="1"/>
  <c r="P107" i="24" s="1"/>
  <c r="V107" i="24" s="1"/>
  <c r="U357" i="24"/>
  <c r="T357" i="24" s="1"/>
  <c r="S357" i="24" s="1"/>
  <c r="R357" i="24" s="1"/>
  <c r="P357" i="24" s="1"/>
  <c r="V357" i="24" s="1"/>
  <c r="U219" i="24"/>
  <c r="T219" i="24" s="1"/>
  <c r="S219" i="24" s="1"/>
  <c r="R219" i="24" s="1"/>
  <c r="P219" i="24" s="1"/>
  <c r="V219" i="24" s="1"/>
  <c r="U212" i="24"/>
  <c r="T212" i="24" s="1"/>
  <c r="S212" i="24" s="1"/>
  <c r="R212" i="24" s="1"/>
  <c r="P212" i="24" s="1"/>
  <c r="V212" i="24" s="1"/>
  <c r="U190" i="24"/>
  <c r="T190" i="24" s="1"/>
  <c r="S190" i="24" s="1"/>
  <c r="R190" i="24" s="1"/>
  <c r="P190" i="24" s="1"/>
  <c r="V190" i="24" s="1"/>
  <c r="U62" i="24"/>
  <c r="T62" i="24" s="1"/>
  <c r="S62" i="24" s="1"/>
  <c r="R62" i="24" s="1"/>
  <c r="P62" i="24" s="1"/>
  <c r="V62" i="24" s="1"/>
  <c r="U238" i="24"/>
  <c r="T238" i="24" s="1"/>
  <c r="S238" i="24" s="1"/>
  <c r="R238" i="24" s="1"/>
  <c r="P238" i="24" s="1"/>
  <c r="V238" i="24" s="1"/>
  <c r="U324" i="24"/>
  <c r="T324" i="24" s="1"/>
  <c r="S324" i="24" s="1"/>
  <c r="R324" i="24" s="1"/>
  <c r="P324" i="24" s="1"/>
  <c r="V324" i="24" s="1"/>
  <c r="U330" i="24"/>
  <c r="T330" i="24" s="1"/>
  <c r="S330" i="24" s="1"/>
  <c r="R330" i="24" s="1"/>
  <c r="P330" i="24" s="1"/>
  <c r="V330" i="24" s="1"/>
  <c r="U144" i="24"/>
  <c r="T144" i="24" s="1"/>
  <c r="S144" i="24" s="1"/>
  <c r="R144" i="24" s="1"/>
  <c r="P144" i="24" s="1"/>
  <c r="V144" i="24" s="1"/>
  <c r="U227" i="24"/>
  <c r="T227" i="24" s="1"/>
  <c r="S227" i="24" s="1"/>
  <c r="R227" i="24" s="1"/>
  <c r="P227" i="24" s="1"/>
  <c r="V227" i="24" s="1"/>
  <c r="B227" i="24" s="1"/>
  <c r="U161" i="24"/>
  <c r="T161" i="24" s="1"/>
  <c r="S161" i="24" s="1"/>
  <c r="R161" i="24" s="1"/>
  <c r="P161" i="24" s="1"/>
  <c r="V161" i="24" s="1"/>
  <c r="U376" i="24"/>
  <c r="T376" i="24" s="1"/>
  <c r="S376" i="24" s="1"/>
  <c r="R376" i="24" s="1"/>
  <c r="P376" i="24" s="1"/>
  <c r="V376" i="24" s="1"/>
  <c r="U28" i="24"/>
  <c r="T28" i="24" s="1"/>
  <c r="S28" i="24" s="1"/>
  <c r="R28" i="24" s="1"/>
  <c r="P28" i="24" s="1"/>
  <c r="V28" i="24" s="1"/>
  <c r="U198" i="24"/>
  <c r="T198" i="24" s="1"/>
  <c r="S198" i="24" s="1"/>
  <c r="R198" i="24" s="1"/>
  <c r="P198" i="24" s="1"/>
  <c r="V198" i="24" s="1"/>
  <c r="U314" i="24"/>
  <c r="T314" i="24" s="1"/>
  <c r="S314" i="24" s="1"/>
  <c r="R314" i="24" s="1"/>
  <c r="P314" i="24" s="1"/>
  <c r="V314" i="24" s="1"/>
  <c r="U18" i="24"/>
  <c r="U44" i="24"/>
  <c r="T44" i="24" s="1"/>
  <c r="S44" i="24" s="1"/>
  <c r="R44" i="24" s="1"/>
  <c r="P44" i="24" s="1"/>
  <c r="V44" i="24" s="1"/>
  <c r="U247" i="24"/>
  <c r="T247" i="24" s="1"/>
  <c r="S247" i="24" s="1"/>
  <c r="R247" i="24" s="1"/>
  <c r="P247" i="24" s="1"/>
  <c r="V247" i="24" s="1"/>
  <c r="U129" i="24"/>
  <c r="T129" i="24" s="1"/>
  <c r="S129" i="24" s="1"/>
  <c r="R129" i="24" s="1"/>
  <c r="P129" i="24" s="1"/>
  <c r="V129" i="24" s="1"/>
  <c r="U180" i="24"/>
  <c r="T180" i="24" s="1"/>
  <c r="S180" i="24" s="1"/>
  <c r="R180" i="24" s="1"/>
  <c r="P180" i="24" s="1"/>
  <c r="AH61" i="7" s="1"/>
  <c r="U81" i="24"/>
  <c r="T81" i="24" s="1"/>
  <c r="S81" i="24" s="1"/>
  <c r="R81" i="24" s="1"/>
  <c r="P81" i="24" s="1"/>
  <c r="V81" i="24" s="1"/>
  <c r="U253" i="24"/>
  <c r="T253" i="24" s="1"/>
  <c r="S253" i="24" s="1"/>
  <c r="R253" i="24" s="1"/>
  <c r="P253" i="24" s="1"/>
  <c r="V253" i="24" s="1"/>
  <c r="U91" i="24"/>
  <c r="T91" i="24" s="1"/>
  <c r="S91" i="24" s="1"/>
  <c r="R91" i="24" s="1"/>
  <c r="P91" i="24" s="1"/>
  <c r="V91" i="24" s="1"/>
  <c r="U173" i="24"/>
  <c r="T173" i="24" s="1"/>
  <c r="S173" i="24" s="1"/>
  <c r="R173" i="24" s="1"/>
  <c r="P173" i="24" s="1"/>
  <c r="V173" i="24" s="1"/>
  <c r="U183" i="24"/>
  <c r="T183" i="24" s="1"/>
  <c r="S183" i="24" s="1"/>
  <c r="R183" i="24" s="1"/>
  <c r="P183" i="24" s="1"/>
  <c r="V183" i="24" s="1"/>
  <c r="U322" i="24"/>
  <c r="T322" i="24" s="1"/>
  <c r="S322" i="24" s="1"/>
  <c r="R322" i="24" s="1"/>
  <c r="P322" i="24" s="1"/>
  <c r="V322" i="24" s="1"/>
  <c r="U68" i="24"/>
  <c r="T68" i="24" s="1"/>
  <c r="S68" i="24" s="1"/>
  <c r="R68" i="24" s="1"/>
  <c r="P68" i="24" s="1"/>
  <c r="V68" i="24" s="1"/>
  <c r="U50" i="24"/>
  <c r="T50" i="24" s="1"/>
  <c r="S50" i="24" s="1"/>
  <c r="R50" i="24" s="1"/>
  <c r="P50" i="24" s="1"/>
  <c r="V50" i="24" s="1"/>
  <c r="U217" i="24"/>
  <c r="T217" i="24" s="1"/>
  <c r="S217" i="24" s="1"/>
  <c r="R217" i="24" s="1"/>
  <c r="P217" i="24" s="1"/>
  <c r="V217" i="24" s="1"/>
  <c r="U305" i="24"/>
  <c r="T305" i="24" s="1"/>
  <c r="S305" i="24" s="1"/>
  <c r="R305" i="24" s="1"/>
  <c r="P305" i="24" s="1"/>
  <c r="V305" i="24" s="1"/>
  <c r="U370" i="24"/>
  <c r="T370" i="24" s="1"/>
  <c r="S370" i="24" s="1"/>
  <c r="R370" i="24" s="1"/>
  <c r="P370" i="24" s="1"/>
  <c r="V370" i="24" s="1"/>
  <c r="U167" i="24"/>
  <c r="T167" i="24" s="1"/>
  <c r="S167" i="24" s="1"/>
  <c r="R167" i="24" s="1"/>
  <c r="P167" i="24" s="1"/>
  <c r="V167" i="24" s="1"/>
  <c r="U319" i="24"/>
  <c r="T319" i="24" s="1"/>
  <c r="S319" i="24" s="1"/>
  <c r="R319" i="24" s="1"/>
  <c r="P319" i="24" s="1"/>
  <c r="V319" i="24" s="1"/>
  <c r="B319" i="24" s="1"/>
  <c r="U362" i="24"/>
  <c r="T362" i="24" s="1"/>
  <c r="S362" i="24" s="1"/>
  <c r="R362" i="24" s="1"/>
  <c r="P362" i="24" s="1"/>
  <c r="V362" i="24" s="1"/>
  <c r="U71" i="24"/>
  <c r="T71" i="24" s="1"/>
  <c r="S71" i="24" s="1"/>
  <c r="R71" i="24" s="1"/>
  <c r="P71" i="24" s="1"/>
  <c r="V71" i="24" s="1"/>
  <c r="U159" i="24"/>
  <c r="T159" i="24" s="1"/>
  <c r="S159" i="24" s="1"/>
  <c r="R159" i="24" s="1"/>
  <c r="P159" i="24" s="1"/>
  <c r="V159" i="24" s="1"/>
  <c r="U60" i="24"/>
  <c r="T60" i="24" s="1"/>
  <c r="S60" i="24" s="1"/>
  <c r="R60" i="24" s="1"/>
  <c r="P60" i="24" s="1"/>
  <c r="V60" i="24" s="1"/>
  <c r="B60" i="24" s="1"/>
  <c r="U349" i="24"/>
  <c r="T349" i="24" s="1"/>
  <c r="S349" i="24" s="1"/>
  <c r="R349" i="24" s="1"/>
  <c r="P349" i="24" s="1"/>
  <c r="V349" i="24" s="1"/>
  <c r="B349" i="24" s="1"/>
  <c r="U138" i="24"/>
  <c r="T138" i="24" s="1"/>
  <c r="S138" i="24" s="1"/>
  <c r="R138" i="24" s="1"/>
  <c r="P138" i="24" s="1"/>
  <c r="V138" i="24" s="1"/>
  <c r="U106" i="24"/>
  <c r="T106" i="24" s="1"/>
  <c r="S106" i="24" s="1"/>
  <c r="R106" i="24" s="1"/>
  <c r="P106" i="24" s="1"/>
  <c r="V106" i="24" s="1"/>
  <c r="U242" i="24"/>
  <c r="T242" i="24" s="1"/>
  <c r="S242" i="24" s="1"/>
  <c r="R242" i="24" s="1"/>
  <c r="P242" i="24" s="1"/>
  <c r="V242" i="24" s="1"/>
  <c r="U276" i="24"/>
  <c r="T276" i="24" s="1"/>
  <c r="S276" i="24" s="1"/>
  <c r="R276" i="24" s="1"/>
  <c r="P276" i="24" s="1"/>
  <c r="V276" i="24" s="1"/>
  <c r="U87" i="24"/>
  <c r="T87" i="24" s="1"/>
  <c r="S87" i="24" s="1"/>
  <c r="R87" i="24" s="1"/>
  <c r="P87" i="24" s="1"/>
  <c r="V87" i="24" s="1"/>
  <c r="U99" i="24"/>
  <c r="T99" i="24" s="1"/>
  <c r="S99" i="24" s="1"/>
  <c r="R99" i="24" s="1"/>
  <c r="P99" i="24" s="1"/>
  <c r="V99" i="24" s="1"/>
  <c r="U92" i="24"/>
  <c r="T92" i="24" s="1"/>
  <c r="S92" i="24" s="1"/>
  <c r="R92" i="24" s="1"/>
  <c r="P92" i="24" s="1"/>
  <c r="V92" i="24" s="1"/>
  <c r="U234" i="24"/>
  <c r="T234" i="24" s="1"/>
  <c r="S234" i="24" s="1"/>
  <c r="R234" i="24" s="1"/>
  <c r="P234" i="24" s="1"/>
  <c r="V234" i="24" s="1"/>
  <c r="U98" i="24"/>
  <c r="T98" i="24" s="1"/>
  <c r="S98" i="24" s="1"/>
  <c r="R98" i="24" s="1"/>
  <c r="P98" i="24" s="1"/>
  <c r="V98" i="24" s="1"/>
  <c r="U211" i="24"/>
  <c r="T211" i="24" s="1"/>
  <c r="S211" i="24" s="1"/>
  <c r="R211" i="24" s="1"/>
  <c r="P211" i="24" s="1"/>
  <c r="V211" i="24" s="1"/>
  <c r="U123" i="24"/>
  <c r="T123" i="24" s="1"/>
  <c r="S123" i="24" s="1"/>
  <c r="R123" i="24" s="1"/>
  <c r="P123" i="24" s="1"/>
  <c r="V123" i="24" s="1"/>
  <c r="U231" i="24"/>
  <c r="T231" i="24" s="1"/>
  <c r="S231" i="24" s="1"/>
  <c r="R231" i="24" s="1"/>
  <c r="P231" i="24" s="1"/>
  <c r="V231" i="24" s="1"/>
  <c r="U105" i="24"/>
  <c r="T105" i="24" s="1"/>
  <c r="S105" i="24" s="1"/>
  <c r="R105" i="24" s="1"/>
  <c r="P105" i="24" s="1"/>
  <c r="V105" i="24" s="1"/>
  <c r="B105" i="24" s="1"/>
  <c r="U229" i="24"/>
  <c r="T229" i="24" s="1"/>
  <c r="S229" i="24" s="1"/>
  <c r="R229" i="24" s="1"/>
  <c r="P229" i="24" s="1"/>
  <c r="V229" i="24" s="1"/>
  <c r="U136" i="24"/>
  <c r="T136" i="24" s="1"/>
  <c r="S136" i="24" s="1"/>
  <c r="R136" i="24" s="1"/>
  <c r="P136" i="24" s="1"/>
  <c r="V136" i="24" s="1"/>
  <c r="U363" i="24"/>
  <c r="T363" i="24" s="1"/>
  <c r="S363" i="24" s="1"/>
  <c r="R363" i="24" s="1"/>
  <c r="P363" i="24" s="1"/>
  <c r="AH67" i="7" s="1"/>
  <c r="U113" i="24"/>
  <c r="T113" i="24" s="1"/>
  <c r="S113" i="24" s="1"/>
  <c r="R113" i="24" s="1"/>
  <c r="P113" i="24" s="1"/>
  <c r="V113" i="24" s="1"/>
  <c r="U371" i="24"/>
  <c r="T371" i="24" s="1"/>
  <c r="S371" i="24" s="1"/>
  <c r="R371" i="24" s="1"/>
  <c r="P371" i="24" s="1"/>
  <c r="V371" i="24" s="1"/>
  <c r="U232" i="24"/>
  <c r="T232" i="24" s="1"/>
  <c r="S232" i="24" s="1"/>
  <c r="R232" i="24" s="1"/>
  <c r="P232" i="24" s="1"/>
  <c r="V232" i="24" s="1"/>
  <c r="U351" i="24"/>
  <c r="T351" i="24" s="1"/>
  <c r="S351" i="24" s="1"/>
  <c r="R351" i="24" s="1"/>
  <c r="P351" i="24" s="1"/>
  <c r="V351" i="24" s="1"/>
  <c r="U43" i="24"/>
  <c r="T43" i="24" s="1"/>
  <c r="S43" i="24" s="1"/>
  <c r="R43" i="24" s="1"/>
  <c r="P43" i="24" s="1"/>
  <c r="V43" i="24" s="1"/>
  <c r="U223" i="24"/>
  <c r="T223" i="24" s="1"/>
  <c r="S223" i="24" s="1"/>
  <c r="R223" i="24" s="1"/>
  <c r="P223" i="24" s="1"/>
  <c r="V223" i="24" s="1"/>
  <c r="U299" i="24"/>
  <c r="T299" i="24" s="1"/>
  <c r="S299" i="24" s="1"/>
  <c r="R299" i="24" s="1"/>
  <c r="P299" i="24" s="1"/>
  <c r="V299" i="24" s="1"/>
  <c r="U46" i="24"/>
  <c r="T46" i="24" s="1"/>
  <c r="S46" i="24" s="1"/>
  <c r="R46" i="24" s="1"/>
  <c r="P46" i="24" s="1"/>
  <c r="V46" i="24" s="1"/>
  <c r="B46" i="24" s="1"/>
  <c r="U146" i="24"/>
  <c r="T146" i="24" s="1"/>
  <c r="S146" i="24" s="1"/>
  <c r="R146" i="24" s="1"/>
  <c r="P146" i="24" s="1"/>
  <c r="V146" i="24" s="1"/>
  <c r="U201" i="24"/>
  <c r="T201" i="24" s="1"/>
  <c r="S201" i="24" s="1"/>
  <c r="R201" i="24" s="1"/>
  <c r="P201" i="24" s="1"/>
  <c r="V201" i="24" s="1"/>
  <c r="U103" i="24"/>
  <c r="T103" i="24" s="1"/>
  <c r="S103" i="24" s="1"/>
  <c r="R103" i="24" s="1"/>
  <c r="P103" i="24" s="1"/>
  <c r="V103" i="24" s="1"/>
  <c r="U74" i="24"/>
  <c r="T74" i="24" s="1"/>
  <c r="S74" i="24" s="1"/>
  <c r="R74" i="24" s="1"/>
  <c r="P74" i="24" s="1"/>
  <c r="V74" i="24" s="1"/>
  <c r="B74" i="24" s="1"/>
  <c r="U100" i="24"/>
  <c r="T100" i="24" s="1"/>
  <c r="S100" i="24" s="1"/>
  <c r="R100" i="24" s="1"/>
  <c r="P100" i="24" s="1"/>
  <c r="V100" i="24" s="1"/>
  <c r="U302" i="24"/>
  <c r="T302" i="24" s="1"/>
  <c r="S302" i="24" s="1"/>
  <c r="R302" i="24" s="1"/>
  <c r="P302" i="24" s="1"/>
  <c r="AH65" i="7" s="1"/>
  <c r="U111" i="24"/>
  <c r="T111" i="24" s="1"/>
  <c r="S111" i="24" s="1"/>
  <c r="R111" i="24" s="1"/>
  <c r="P111" i="24" s="1"/>
  <c r="V111" i="24" s="1"/>
  <c r="U90" i="24"/>
  <c r="T90" i="24" s="1"/>
  <c r="S90" i="24" s="1"/>
  <c r="R90" i="24" s="1"/>
  <c r="P90" i="24" s="1"/>
  <c r="V90" i="24" s="1"/>
  <c r="U61" i="24"/>
  <c r="T61" i="24" s="1"/>
  <c r="S61" i="24" s="1"/>
  <c r="R61" i="24" s="1"/>
  <c r="P61" i="24" s="1"/>
  <c r="V61" i="24" s="1"/>
  <c r="U312" i="24"/>
  <c r="T312" i="24" s="1"/>
  <c r="S312" i="24" s="1"/>
  <c r="R312" i="24" s="1"/>
  <c r="P312" i="24" s="1"/>
  <c r="V312" i="24" s="1"/>
  <c r="U296" i="24"/>
  <c r="T296" i="24" s="1"/>
  <c r="S296" i="24" s="1"/>
  <c r="R296" i="24" s="1"/>
  <c r="P296" i="24" s="1"/>
  <c r="V296" i="24" s="1"/>
  <c r="U150" i="24"/>
  <c r="T150" i="24" s="1"/>
  <c r="S150" i="24" s="1"/>
  <c r="R150" i="24" s="1"/>
  <c r="P150" i="24" s="1"/>
  <c r="V150" i="24" s="1"/>
  <c r="U315" i="24"/>
  <c r="T315" i="24" s="1"/>
  <c r="S315" i="24" s="1"/>
  <c r="R315" i="24" s="1"/>
  <c r="P315" i="24" s="1"/>
  <c r="V315" i="24" s="1"/>
  <c r="U203" i="24"/>
  <c r="T203" i="24" s="1"/>
  <c r="S203" i="24" s="1"/>
  <c r="R203" i="24" s="1"/>
  <c r="P203" i="24" s="1"/>
  <c r="V203" i="24" s="1"/>
  <c r="U36" i="24"/>
  <c r="T36" i="24" s="1"/>
  <c r="S36" i="24" s="1"/>
  <c r="R36" i="24" s="1"/>
  <c r="P36" i="24" s="1"/>
  <c r="V36" i="24" s="1"/>
  <c r="U162" i="24"/>
  <c r="T162" i="24" s="1"/>
  <c r="S162" i="24" s="1"/>
  <c r="R162" i="24" s="1"/>
  <c r="P162" i="24" s="1"/>
  <c r="V162" i="24" s="1"/>
  <c r="U115" i="24"/>
  <c r="T115" i="24" s="1"/>
  <c r="S115" i="24" s="1"/>
  <c r="R115" i="24" s="1"/>
  <c r="P115" i="24" s="1"/>
  <c r="V115" i="24" s="1"/>
  <c r="U278" i="24"/>
  <c r="T278" i="24" s="1"/>
  <c r="S278" i="24" s="1"/>
  <c r="R278" i="24" s="1"/>
  <c r="P278" i="24" s="1"/>
  <c r="V278" i="24" s="1"/>
  <c r="U41" i="24"/>
  <c r="T41" i="24" s="1"/>
  <c r="S41" i="24" s="1"/>
  <c r="R41" i="24" s="1"/>
  <c r="P41" i="24" s="1"/>
  <c r="V41" i="24" s="1"/>
  <c r="U85" i="24"/>
  <c r="T85" i="24" s="1"/>
  <c r="S85" i="24" s="1"/>
  <c r="R85" i="24" s="1"/>
  <c r="P85" i="24" s="1"/>
  <c r="V85" i="24" s="1"/>
  <c r="U317" i="24"/>
  <c r="T317" i="24" s="1"/>
  <c r="S317" i="24" s="1"/>
  <c r="R317" i="24" s="1"/>
  <c r="P317" i="24" s="1"/>
  <c r="V317" i="24" s="1"/>
  <c r="U47" i="24"/>
  <c r="T47" i="24" s="1"/>
  <c r="S47" i="24" s="1"/>
  <c r="R47" i="24" s="1"/>
  <c r="P47" i="24" s="1"/>
  <c r="V47" i="24" s="1"/>
  <c r="U273" i="24"/>
  <c r="T273" i="24" s="1"/>
  <c r="S273" i="24" s="1"/>
  <c r="R273" i="24" s="1"/>
  <c r="P273" i="24" s="1"/>
  <c r="V273" i="24" s="1"/>
  <c r="U367" i="24"/>
  <c r="T367" i="24" s="1"/>
  <c r="S367" i="24" s="1"/>
  <c r="R367" i="24" s="1"/>
  <c r="P367" i="24" s="1"/>
  <c r="V367" i="24" s="1"/>
  <c r="U48" i="24"/>
  <c r="T48" i="24" s="1"/>
  <c r="S48" i="24" s="1"/>
  <c r="R48" i="24" s="1"/>
  <c r="P48" i="24" s="1"/>
  <c r="V48" i="24" s="1"/>
  <c r="U359" i="24"/>
  <c r="T359" i="24" s="1"/>
  <c r="S359" i="24" s="1"/>
  <c r="R359" i="24" s="1"/>
  <c r="P359" i="24" s="1"/>
  <c r="V359" i="24" s="1"/>
  <c r="U271" i="24"/>
  <c r="T271" i="24" s="1"/>
  <c r="S271" i="24" s="1"/>
  <c r="R271" i="24" s="1"/>
  <c r="P271" i="24" s="1"/>
  <c r="V271" i="24" s="1"/>
  <c r="U145" i="24"/>
  <c r="T145" i="24" s="1"/>
  <c r="S145" i="24" s="1"/>
  <c r="R145" i="24" s="1"/>
  <c r="P145" i="24" s="1"/>
  <c r="V145" i="24" s="1"/>
  <c r="U372" i="24"/>
  <c r="T372" i="24" s="1"/>
  <c r="S372" i="24" s="1"/>
  <c r="R372" i="24" s="1"/>
  <c r="P372" i="24" s="1"/>
  <c r="V372" i="24" s="1"/>
  <c r="U179" i="24"/>
  <c r="T179" i="24" s="1"/>
  <c r="S179" i="24" s="1"/>
  <c r="R179" i="24" s="1"/>
  <c r="P179" i="24" s="1"/>
  <c r="V179" i="24" s="1"/>
  <c r="U378" i="24"/>
  <c r="T378" i="24" s="1"/>
  <c r="S378" i="24" s="1"/>
  <c r="R378" i="24" s="1"/>
  <c r="P378" i="24" s="1"/>
  <c r="V378" i="24" s="1"/>
  <c r="U288" i="24"/>
  <c r="T288" i="24" s="1"/>
  <c r="S288" i="24" s="1"/>
  <c r="R288" i="24" s="1"/>
  <c r="P288" i="24" s="1"/>
  <c r="V288" i="24" s="1"/>
  <c r="B288" i="24" s="1"/>
  <c r="U51" i="24"/>
  <c r="T51" i="24" s="1"/>
  <c r="S51" i="24" s="1"/>
  <c r="R51" i="24" s="1"/>
  <c r="P51" i="24" s="1"/>
  <c r="V51" i="24" s="1"/>
  <c r="U267" i="24"/>
  <c r="T267" i="24" s="1"/>
  <c r="S267" i="24" s="1"/>
  <c r="R267" i="24" s="1"/>
  <c r="P267" i="24" s="1"/>
  <c r="V267" i="24" s="1"/>
  <c r="U132" i="24"/>
  <c r="T132" i="24" s="1"/>
  <c r="S132" i="24" s="1"/>
  <c r="R132" i="24" s="1"/>
  <c r="P132" i="24" s="1"/>
  <c r="V132" i="24" s="1"/>
  <c r="U291" i="24"/>
  <c r="T291" i="24" s="1"/>
  <c r="S291" i="24" s="1"/>
  <c r="R291" i="24" s="1"/>
  <c r="P291" i="24" s="1"/>
  <c r="V291" i="24" s="1"/>
  <c r="U346" i="24"/>
  <c r="T346" i="24" s="1"/>
  <c r="S346" i="24" s="1"/>
  <c r="R346" i="24" s="1"/>
  <c r="P346" i="24" s="1"/>
  <c r="V346" i="24" s="1"/>
  <c r="U181" i="24"/>
  <c r="T181" i="24" s="1"/>
  <c r="S181" i="24" s="1"/>
  <c r="R181" i="24" s="1"/>
  <c r="P181" i="24" s="1"/>
  <c r="V181" i="24" s="1"/>
  <c r="U255" i="24"/>
  <c r="T255" i="24" s="1"/>
  <c r="S255" i="24" s="1"/>
  <c r="R255" i="24" s="1"/>
  <c r="P255" i="24" s="1"/>
  <c r="V255" i="24" s="1"/>
  <c r="U176" i="24"/>
  <c r="T176" i="24" s="1"/>
  <c r="S176" i="24" s="1"/>
  <c r="R176" i="24" s="1"/>
  <c r="P176" i="24" s="1"/>
  <c r="V176" i="24" s="1"/>
  <c r="U226" i="24"/>
  <c r="T226" i="24" s="1"/>
  <c r="S226" i="24" s="1"/>
  <c r="R226" i="24" s="1"/>
  <c r="P226" i="24" s="1"/>
  <c r="V226" i="24" s="1"/>
  <c r="U182" i="24"/>
  <c r="T182" i="24" s="1"/>
  <c r="S182" i="24" s="1"/>
  <c r="R182" i="24" s="1"/>
  <c r="P182" i="24" s="1"/>
  <c r="V182" i="24" s="1"/>
  <c r="U320" i="24"/>
  <c r="T320" i="24" s="1"/>
  <c r="S320" i="24" s="1"/>
  <c r="R320" i="24" s="1"/>
  <c r="P320" i="24" s="1"/>
  <c r="V320" i="24" s="1"/>
  <c r="U122" i="24"/>
  <c r="T122" i="24" s="1"/>
  <c r="S122" i="24" s="1"/>
  <c r="R122" i="24" s="1"/>
  <c r="P122" i="24" s="1"/>
  <c r="V122" i="24" s="1"/>
  <c r="U72" i="24"/>
  <c r="T72" i="24" s="1"/>
  <c r="S72" i="24" s="1"/>
  <c r="R72" i="24" s="1"/>
  <c r="P72" i="24" s="1"/>
  <c r="V72" i="24" s="1"/>
  <c r="U23" i="24"/>
  <c r="T23" i="24" s="1"/>
  <c r="S23" i="24" s="1"/>
  <c r="R23" i="24" s="1"/>
  <c r="P23" i="24" s="1"/>
  <c r="V23" i="24" s="1"/>
  <c r="U35" i="24"/>
  <c r="T35" i="24" s="1"/>
  <c r="S35" i="24" s="1"/>
  <c r="R35" i="24" s="1"/>
  <c r="P35" i="24" s="1"/>
  <c r="V35" i="24" s="1"/>
  <c r="U355" i="24"/>
  <c r="T355" i="24" s="1"/>
  <c r="S355" i="24" s="1"/>
  <c r="R355" i="24" s="1"/>
  <c r="P355" i="24" s="1"/>
  <c r="V355" i="24" s="1"/>
  <c r="U86" i="24"/>
  <c r="T86" i="24" s="1"/>
  <c r="S86" i="24" s="1"/>
  <c r="R86" i="24" s="1"/>
  <c r="P86" i="24" s="1"/>
  <c r="V86" i="24" s="1"/>
  <c r="U306" i="24"/>
  <c r="T306" i="24" s="1"/>
  <c r="S306" i="24" s="1"/>
  <c r="R306" i="24" s="1"/>
  <c r="P306" i="24" s="1"/>
  <c r="V306" i="24" s="1"/>
  <c r="U213" i="24"/>
  <c r="T213" i="24" s="1"/>
  <c r="S213" i="24" s="1"/>
  <c r="R213" i="24" s="1"/>
  <c r="P213" i="24" s="1"/>
  <c r="V213" i="24" s="1"/>
  <c r="U239" i="24"/>
  <c r="T239" i="24" s="1"/>
  <c r="S239" i="24" s="1"/>
  <c r="R239" i="24" s="1"/>
  <c r="P239" i="24" s="1"/>
  <c r="V239" i="24" s="1"/>
  <c r="U83" i="24"/>
  <c r="T83" i="24" s="1"/>
  <c r="S83" i="24" s="1"/>
  <c r="R83" i="24" s="1"/>
  <c r="P83" i="24" s="1"/>
  <c r="V83" i="24" s="1"/>
  <c r="U360" i="24"/>
  <c r="T360" i="24" s="1"/>
  <c r="S360" i="24" s="1"/>
  <c r="R360" i="24" s="1"/>
  <c r="P360" i="24" s="1"/>
  <c r="V360" i="24" s="1"/>
  <c r="U258" i="24"/>
  <c r="T258" i="24" s="1"/>
  <c r="S258" i="24" s="1"/>
  <c r="R258" i="24" s="1"/>
  <c r="P258" i="24" s="1"/>
  <c r="V258" i="24" s="1"/>
  <c r="B258" i="24" s="1"/>
  <c r="U294" i="24"/>
  <c r="T294" i="24" s="1"/>
  <c r="S294" i="24" s="1"/>
  <c r="R294" i="24" s="1"/>
  <c r="P294" i="24" s="1"/>
  <c r="V294" i="24" s="1"/>
  <c r="U321" i="24"/>
  <c r="T321" i="24" s="1"/>
  <c r="S321" i="24" s="1"/>
  <c r="R321" i="24" s="1"/>
  <c r="P321" i="24" s="1"/>
  <c r="V321" i="24" s="1"/>
  <c r="U151" i="24"/>
  <c r="T151" i="24" s="1"/>
  <c r="S151" i="24" s="1"/>
  <c r="R151" i="24" s="1"/>
  <c r="P151" i="24" s="1"/>
  <c r="V151" i="24" s="1"/>
  <c r="U287" i="24"/>
  <c r="T287" i="24" s="1"/>
  <c r="S287" i="24" s="1"/>
  <c r="R287" i="24" s="1"/>
  <c r="P287" i="24" s="1"/>
  <c r="V287" i="24" s="1"/>
  <c r="U228" i="24"/>
  <c r="T228" i="24" s="1"/>
  <c r="S228" i="24" s="1"/>
  <c r="R228" i="24" s="1"/>
  <c r="P228" i="24" s="1"/>
  <c r="V228" i="24" s="1"/>
  <c r="U373" i="24"/>
  <c r="T373" i="24" s="1"/>
  <c r="S373" i="24" s="1"/>
  <c r="R373" i="24" s="1"/>
  <c r="P373" i="24" s="1"/>
  <c r="V373" i="24" s="1"/>
  <c r="U310" i="24"/>
  <c r="T310" i="24" s="1"/>
  <c r="S310" i="24" s="1"/>
  <c r="R310" i="24" s="1"/>
  <c r="P310" i="24" s="1"/>
  <c r="V310" i="24" s="1"/>
  <c r="U116" i="24"/>
  <c r="T116" i="24" s="1"/>
  <c r="S116" i="24" s="1"/>
  <c r="R116" i="24" s="1"/>
  <c r="P116" i="24" s="1"/>
  <c r="V116" i="24" s="1"/>
  <c r="U256" i="24"/>
  <c r="T256" i="24" s="1"/>
  <c r="S256" i="24" s="1"/>
  <c r="R256" i="24" s="1"/>
  <c r="P256" i="24" s="1"/>
  <c r="V256" i="24" s="1"/>
  <c r="U257" i="24"/>
  <c r="T257" i="24" s="1"/>
  <c r="S257" i="24" s="1"/>
  <c r="R257" i="24" s="1"/>
  <c r="P257" i="24" s="1"/>
  <c r="V257" i="24" s="1"/>
  <c r="U128" i="24"/>
  <c r="T128" i="24" s="1"/>
  <c r="S128" i="24" s="1"/>
  <c r="R128" i="24" s="1"/>
  <c r="P128" i="24" s="1"/>
  <c r="V128" i="24" s="1"/>
  <c r="U289" i="24"/>
  <c r="T289" i="24" s="1"/>
  <c r="S289" i="24" s="1"/>
  <c r="R289" i="24" s="1"/>
  <c r="P289" i="24" s="1"/>
  <c r="V289" i="24" s="1"/>
  <c r="U191" i="24"/>
  <c r="T191" i="24" s="1"/>
  <c r="S191" i="24" s="1"/>
  <c r="R191" i="24" s="1"/>
  <c r="P191" i="24" s="1"/>
  <c r="V191" i="24" s="1"/>
  <c r="U148" i="24"/>
  <c r="T148" i="24" s="1"/>
  <c r="S148" i="24" s="1"/>
  <c r="R148" i="24" s="1"/>
  <c r="P148" i="24" s="1"/>
  <c r="V148" i="24" s="1"/>
  <c r="U338" i="24"/>
  <c r="T338" i="24" s="1"/>
  <c r="S338" i="24" s="1"/>
  <c r="R338" i="24" s="1"/>
  <c r="P338" i="24" s="1"/>
  <c r="V338" i="24" s="1"/>
  <c r="U309" i="24"/>
  <c r="T309" i="24" s="1"/>
  <c r="S309" i="24" s="1"/>
  <c r="R309" i="24" s="1"/>
  <c r="P309" i="24" s="1"/>
  <c r="V309" i="24" s="1"/>
  <c r="U188" i="24"/>
  <c r="T188" i="24" s="1"/>
  <c r="S188" i="24" s="1"/>
  <c r="R188" i="24" s="1"/>
  <c r="P188" i="24" s="1"/>
  <c r="V188" i="24" s="1"/>
  <c r="U259" i="24"/>
  <c r="T259" i="24" s="1"/>
  <c r="S259" i="24" s="1"/>
  <c r="R259" i="24" s="1"/>
  <c r="P259" i="24" s="1"/>
  <c r="V259" i="24" s="1"/>
  <c r="U170" i="24"/>
  <c r="T170" i="24" s="1"/>
  <c r="S170" i="24" s="1"/>
  <c r="R170" i="24" s="1"/>
  <c r="P170" i="24" s="1"/>
  <c r="V170" i="24" s="1"/>
  <c r="U45" i="24"/>
  <c r="T45" i="24" s="1"/>
  <c r="S45" i="24" s="1"/>
  <c r="R45" i="24" s="1"/>
  <c r="P45" i="24" s="1"/>
  <c r="V45" i="24" s="1"/>
  <c r="U142" i="24"/>
  <c r="T142" i="24" s="1"/>
  <c r="S142" i="24" s="1"/>
  <c r="R142" i="24" s="1"/>
  <c r="P142" i="24" s="1"/>
  <c r="V142" i="24" s="1"/>
  <c r="U78" i="24"/>
  <c r="T78" i="24" s="1"/>
  <c r="S78" i="24" s="1"/>
  <c r="R78" i="24" s="1"/>
  <c r="P78" i="24" s="1"/>
  <c r="V78" i="24" s="1"/>
  <c r="U269" i="24"/>
  <c r="T269" i="24" s="1"/>
  <c r="S269" i="24" s="1"/>
  <c r="R269" i="24" s="1"/>
  <c r="P269" i="24" s="1"/>
  <c r="V269" i="24" s="1"/>
  <c r="U19" i="24"/>
  <c r="T19" i="24" s="1"/>
  <c r="S19" i="24" s="1"/>
  <c r="R19" i="24" s="1"/>
  <c r="P19" i="24" s="1"/>
  <c r="V19" i="24" s="1"/>
  <c r="U307" i="24"/>
  <c r="T307" i="24" s="1"/>
  <c r="S307" i="24" s="1"/>
  <c r="R307" i="24" s="1"/>
  <c r="P307" i="24" s="1"/>
  <c r="V307" i="24" s="1"/>
  <c r="U119" i="24"/>
  <c r="T119" i="24" s="1"/>
  <c r="S119" i="24" s="1"/>
  <c r="R119" i="24" s="1"/>
  <c r="P119" i="24" s="1"/>
  <c r="AH59" i="7" s="1"/>
  <c r="U124" i="24"/>
  <c r="T124" i="24" s="1"/>
  <c r="S124" i="24" s="1"/>
  <c r="R124" i="24" s="1"/>
  <c r="P124" i="24" s="1"/>
  <c r="V124" i="24" s="1"/>
  <c r="U29" i="24"/>
  <c r="T29" i="24" s="1"/>
  <c r="S29" i="24" s="1"/>
  <c r="R29" i="24" s="1"/>
  <c r="P29" i="24" s="1"/>
  <c r="AH56" i="7" s="1"/>
  <c r="U140" i="24"/>
  <c r="T140" i="24" s="1"/>
  <c r="S140" i="24" s="1"/>
  <c r="R140" i="24" s="1"/>
  <c r="P140" i="24" s="1"/>
  <c r="V140" i="24" s="1"/>
  <c r="U235" i="24"/>
  <c r="T235" i="24" s="1"/>
  <c r="S235" i="24" s="1"/>
  <c r="R235" i="24" s="1"/>
  <c r="P235" i="24" s="1"/>
  <c r="V235" i="24" s="1"/>
  <c r="U166" i="24"/>
  <c r="T166" i="24" s="1"/>
  <c r="S166" i="24" s="1"/>
  <c r="R166" i="24" s="1"/>
  <c r="P166" i="24" s="1"/>
  <c r="V166" i="24" s="1"/>
  <c r="B166" i="24" s="1"/>
  <c r="U295" i="24"/>
  <c r="T295" i="24" s="1"/>
  <c r="S295" i="24" s="1"/>
  <c r="R295" i="24" s="1"/>
  <c r="P295" i="24" s="1"/>
  <c r="V295" i="24" s="1"/>
  <c r="U27" i="24"/>
  <c r="T27" i="24" s="1"/>
  <c r="S27" i="24" s="1"/>
  <c r="R27" i="24" s="1"/>
  <c r="P27" i="24" s="1"/>
  <c r="V27" i="24" s="1"/>
  <c r="U274" i="24"/>
  <c r="T274" i="24" s="1"/>
  <c r="S274" i="24" s="1"/>
  <c r="R274" i="24" s="1"/>
  <c r="P274" i="24" s="1"/>
  <c r="V274" i="24" s="1"/>
  <c r="U139" i="24"/>
  <c r="T139" i="24" s="1"/>
  <c r="S139" i="24" s="1"/>
  <c r="R139" i="24" s="1"/>
  <c r="P139" i="24" s="1"/>
  <c r="V139" i="24" s="1"/>
  <c r="U300" i="24"/>
  <c r="T300" i="24" s="1"/>
  <c r="S300" i="24" s="1"/>
  <c r="R300" i="24" s="1"/>
  <c r="P300" i="24" s="1"/>
  <c r="V300" i="24" s="1"/>
  <c r="U352" i="24"/>
  <c r="T352" i="24" s="1"/>
  <c r="S352" i="24" s="1"/>
  <c r="R352" i="24" s="1"/>
  <c r="P352" i="24" s="1"/>
  <c r="V352" i="24" s="1"/>
  <c r="U303" i="24"/>
  <c r="T303" i="24" s="1"/>
  <c r="S303" i="24" s="1"/>
  <c r="R303" i="24" s="1"/>
  <c r="P303" i="24" s="1"/>
  <c r="V303" i="24" s="1"/>
  <c r="U101" i="24"/>
  <c r="T101" i="24" s="1"/>
  <c r="S101" i="24" s="1"/>
  <c r="R101" i="24" s="1"/>
  <c r="P101" i="24" s="1"/>
  <c r="V101" i="24" s="1"/>
  <c r="U237" i="24"/>
  <c r="T237" i="24" s="1"/>
  <c r="S237" i="24" s="1"/>
  <c r="R237" i="24" s="1"/>
  <c r="P237" i="24" s="1"/>
  <c r="V237" i="24" s="1"/>
  <c r="U156" i="24"/>
  <c r="T156" i="24" s="1"/>
  <c r="S156" i="24" s="1"/>
  <c r="R156" i="24" s="1"/>
  <c r="P156" i="24" s="1"/>
  <c r="V156" i="24" s="1"/>
  <c r="U130" i="24"/>
  <c r="T130" i="24" s="1"/>
  <c r="S130" i="24" s="1"/>
  <c r="R130" i="24" s="1"/>
  <c r="P130" i="24" s="1"/>
  <c r="V130" i="24" s="1"/>
  <c r="U207" i="24"/>
  <c r="T207" i="24" s="1"/>
  <c r="S207" i="24" s="1"/>
  <c r="R207" i="24" s="1"/>
  <c r="P207" i="24" s="1"/>
  <c r="V207" i="24" s="1"/>
  <c r="U286" i="24"/>
  <c r="T286" i="24" s="1"/>
  <c r="S286" i="24" s="1"/>
  <c r="R286" i="24" s="1"/>
  <c r="P286" i="24" s="1"/>
  <c r="V286" i="24" s="1"/>
  <c r="U248" i="24"/>
  <c r="T248" i="24" s="1"/>
  <c r="S248" i="24" s="1"/>
  <c r="R248" i="24" s="1"/>
  <c r="P248" i="24" s="1"/>
  <c r="V248" i="24" s="1"/>
  <c r="U37" i="24"/>
  <c r="T37" i="24" s="1"/>
  <c r="S37" i="24" s="1"/>
  <c r="R37" i="24" s="1"/>
  <c r="P37" i="24" s="1"/>
  <c r="V37" i="24" s="1"/>
  <c r="U57" i="24"/>
  <c r="T57" i="24" s="1"/>
  <c r="S57" i="24" s="1"/>
  <c r="R57" i="24" s="1"/>
  <c r="P57" i="24" s="1"/>
  <c r="V57" i="24" s="1"/>
  <c r="U31" i="24"/>
  <c r="T31" i="24" s="1"/>
  <c r="S31" i="24" s="1"/>
  <c r="R31" i="24" s="1"/>
  <c r="P31" i="24" s="1"/>
  <c r="V31" i="24" s="1"/>
  <c r="U246" i="24"/>
  <c r="T246" i="24" s="1"/>
  <c r="S246" i="24" s="1"/>
  <c r="R246" i="24" s="1"/>
  <c r="P246" i="24" s="1"/>
  <c r="V246" i="24" s="1"/>
  <c r="U70" i="24"/>
  <c r="T70" i="24" s="1"/>
  <c r="S70" i="24" s="1"/>
  <c r="R70" i="24" s="1"/>
  <c r="P70" i="24" s="1"/>
  <c r="V70" i="24" s="1"/>
  <c r="U209" i="24"/>
  <c r="T209" i="24" s="1"/>
  <c r="S209" i="24" s="1"/>
  <c r="R209" i="24" s="1"/>
  <c r="P209" i="24" s="1"/>
  <c r="V209" i="24" s="1"/>
  <c r="U272" i="24"/>
  <c r="T272" i="24" s="1"/>
  <c r="S272" i="24" s="1"/>
  <c r="R272" i="24" s="1"/>
  <c r="P272" i="24" s="1"/>
  <c r="V272" i="24" s="1"/>
  <c r="B272" i="24" s="1"/>
  <c r="U218" i="24"/>
  <c r="T218" i="24" s="1"/>
  <c r="S218" i="24" s="1"/>
  <c r="R218" i="24" s="1"/>
  <c r="P218" i="24" s="1"/>
  <c r="V218" i="24" s="1"/>
  <c r="U58" i="24"/>
  <c r="T58" i="24" s="1"/>
  <c r="S58" i="24" s="1"/>
  <c r="R58" i="24" s="1"/>
  <c r="P58" i="24" s="1"/>
  <c r="V58" i="24" s="1"/>
  <c r="U56" i="24"/>
  <c r="T56" i="24" s="1"/>
  <c r="S56" i="24" s="1"/>
  <c r="R56" i="24" s="1"/>
  <c r="P56" i="24" s="1"/>
  <c r="V56" i="24" s="1"/>
  <c r="U21" i="24"/>
  <c r="T21" i="24" s="1"/>
  <c r="S21" i="24" s="1"/>
  <c r="R21" i="24" s="1"/>
  <c r="P21" i="24" s="1"/>
  <c r="V21" i="24" s="1"/>
  <c r="U331" i="24"/>
  <c r="T331" i="24" s="1"/>
  <c r="S331" i="24" s="1"/>
  <c r="R331" i="24" s="1"/>
  <c r="P331" i="24" s="1"/>
  <c r="V331" i="24" s="1"/>
  <c r="U147" i="24"/>
  <c r="T147" i="24" s="1"/>
  <c r="S147" i="24" s="1"/>
  <c r="R147" i="24" s="1"/>
  <c r="P147" i="24" s="1"/>
  <c r="V147" i="24" s="1"/>
  <c r="U168" i="24"/>
  <c r="T168" i="24" s="1"/>
  <c r="S168" i="24" s="1"/>
  <c r="R168" i="24" s="1"/>
  <c r="P168" i="24" s="1"/>
  <c r="V168" i="24" s="1"/>
  <c r="U165" i="24"/>
  <c r="T165" i="24" s="1"/>
  <c r="S165" i="24" s="1"/>
  <c r="R165" i="24" s="1"/>
  <c r="P165" i="24" s="1"/>
  <c r="V165" i="24" s="1"/>
  <c r="U281" i="24"/>
  <c r="T281" i="24" s="1"/>
  <c r="S281" i="24" s="1"/>
  <c r="R281" i="24" s="1"/>
  <c r="P281" i="24" s="1"/>
  <c r="V281" i="24" s="1"/>
  <c r="U80" i="24"/>
  <c r="T80" i="24" s="1"/>
  <c r="S80" i="24" s="1"/>
  <c r="R80" i="24" s="1"/>
  <c r="P80" i="24" s="1"/>
  <c r="V80" i="24" s="1"/>
  <c r="U328" i="24"/>
  <c r="T328" i="24" s="1"/>
  <c r="S328" i="24" s="1"/>
  <c r="R328" i="24" s="1"/>
  <c r="P328" i="24" s="1"/>
  <c r="V328" i="24" s="1"/>
  <c r="J40" i="23"/>
  <c r="J281" i="23"/>
  <c r="I142" i="23"/>
  <c r="J236" i="23"/>
  <c r="I261" i="23"/>
  <c r="J350" i="23"/>
  <c r="I200" i="23"/>
  <c r="J116" i="23"/>
  <c r="I344" i="23"/>
  <c r="J310" i="23"/>
  <c r="I279" i="23"/>
  <c r="J274" i="23"/>
  <c r="I274" i="23"/>
  <c r="J135" i="23"/>
  <c r="J219" i="23"/>
  <c r="I219" i="23"/>
  <c r="I215" i="23"/>
  <c r="J215" i="23"/>
  <c r="J356" i="23"/>
  <c r="I356" i="23"/>
  <c r="I117" i="23"/>
  <c r="J117" i="23"/>
  <c r="I368" i="23"/>
  <c r="J368" i="23"/>
  <c r="J181" i="23"/>
  <c r="I181" i="23"/>
  <c r="J156" i="23"/>
  <c r="I156" i="23"/>
  <c r="J324" i="23"/>
  <c r="I324" i="23"/>
  <c r="J173" i="23"/>
  <c r="I173" i="23"/>
  <c r="I364" i="23"/>
  <c r="J364" i="23"/>
  <c r="J32" i="23"/>
  <c r="I32" i="23"/>
  <c r="J193" i="23"/>
  <c r="I193" i="23"/>
  <c r="I198" i="23"/>
  <c r="J198" i="23"/>
  <c r="I328" i="23"/>
  <c r="J328" i="23"/>
  <c r="J254" i="23"/>
  <c r="I254" i="23"/>
  <c r="I222" i="23"/>
  <c r="J222" i="23"/>
  <c r="I213" i="23"/>
  <c r="J213" i="23"/>
  <c r="I373" i="23"/>
  <c r="J373" i="23"/>
  <c r="J166" i="23"/>
  <c r="I166" i="23"/>
  <c r="J260" i="23"/>
  <c r="I260" i="23"/>
  <c r="I287" i="23"/>
  <c r="J287" i="23"/>
  <c r="I94" i="23"/>
  <c r="J94" i="23"/>
  <c r="I265" i="23"/>
  <c r="J265" i="23"/>
  <c r="J53" i="23"/>
  <c r="I53" i="23"/>
  <c r="I348" i="23"/>
  <c r="J348" i="23"/>
  <c r="I69" i="23"/>
  <c r="J69" i="23"/>
  <c r="J90" i="23"/>
  <c r="I90" i="23"/>
  <c r="I52" i="23"/>
  <c r="J52" i="23"/>
  <c r="I97" i="23"/>
  <c r="J97" i="23"/>
  <c r="I294" i="23"/>
  <c r="J294" i="23"/>
  <c r="I167" i="23"/>
  <c r="J167" i="23"/>
  <c r="I230" i="23"/>
  <c r="J230" i="23"/>
  <c r="J43" i="23"/>
  <c r="I43" i="23"/>
  <c r="I37" i="23"/>
  <c r="J37" i="23"/>
  <c r="J139" i="23"/>
  <c r="I139" i="23"/>
  <c r="I339" i="23"/>
  <c r="J339" i="23"/>
  <c r="I224" i="23"/>
  <c r="J224" i="23"/>
  <c r="I264" i="23"/>
  <c r="J264" i="23"/>
  <c r="J332" i="23"/>
  <c r="I332" i="23"/>
  <c r="I207" i="23"/>
  <c r="J207" i="23"/>
  <c r="I185" i="23"/>
  <c r="J185" i="23"/>
  <c r="J145" i="23"/>
  <c r="I145" i="23"/>
  <c r="I237" i="23"/>
  <c r="J237" i="23"/>
  <c r="J122" i="23"/>
  <c r="I122" i="23"/>
  <c r="J283" i="23"/>
  <c r="I283" i="23"/>
  <c r="I87" i="23"/>
  <c r="J87" i="23"/>
  <c r="J292" i="23"/>
  <c r="I292" i="23"/>
  <c r="J165" i="23"/>
  <c r="I165" i="23"/>
  <c r="I247" i="23"/>
  <c r="J247" i="23"/>
  <c r="J80" i="23"/>
  <c r="I80" i="23"/>
  <c r="J23" i="23"/>
  <c r="I23" i="23"/>
  <c r="J269" i="23"/>
  <c r="I269" i="23"/>
  <c r="J164" i="23"/>
  <c r="I164" i="23"/>
  <c r="I159" i="23"/>
  <c r="J159" i="23"/>
  <c r="I128" i="23"/>
  <c r="J128" i="23"/>
  <c r="I366" i="23"/>
  <c r="J366" i="23"/>
  <c r="S381" i="23"/>
  <c r="R15" i="23"/>
  <c r="S383" i="23"/>
  <c r="S382" i="23"/>
  <c r="J131" i="23"/>
  <c r="I131" i="23"/>
  <c r="I93" i="23"/>
  <c r="J93" i="23"/>
  <c r="I370" i="23"/>
  <c r="J370" i="23"/>
  <c r="W333" i="23"/>
  <c r="D333" i="23"/>
  <c r="E333" i="23" s="1"/>
  <c r="F333" i="23" s="1"/>
  <c r="W210" i="23"/>
  <c r="D210" i="23"/>
  <c r="E210" i="23" s="1"/>
  <c r="F210" i="23" s="1"/>
  <c r="W302" i="23"/>
  <c r="D302" i="23"/>
  <c r="E302" i="23" s="1"/>
  <c r="F302" i="23" s="1"/>
  <c r="J108" i="23"/>
  <c r="I108" i="23"/>
  <c r="I298" i="23"/>
  <c r="J298" i="23"/>
  <c r="J203" i="23"/>
  <c r="I203" i="23"/>
  <c r="J220" i="23"/>
  <c r="I220" i="23"/>
  <c r="I331" i="23"/>
  <c r="J331" i="23"/>
  <c r="J291" i="23"/>
  <c r="I291" i="23"/>
  <c r="D88" i="23"/>
  <c r="E88" i="23" s="1"/>
  <c r="F88" i="23" s="1"/>
  <c r="W88" i="23"/>
  <c r="D149" i="23"/>
  <c r="E149" i="23" s="1"/>
  <c r="F149" i="23" s="1"/>
  <c r="W149" i="23"/>
  <c r="D119" i="23"/>
  <c r="E119" i="23" s="1"/>
  <c r="F119" i="23" s="1"/>
  <c r="H119" i="23" s="1"/>
  <c r="I119" i="23" s="1"/>
  <c r="W119" i="23"/>
  <c r="I371" i="23"/>
  <c r="J371" i="23"/>
  <c r="J188" i="23"/>
  <c r="I188" i="23"/>
  <c r="I176" i="23"/>
  <c r="J176" i="23"/>
  <c r="J189" i="23"/>
  <c r="I189" i="23"/>
  <c r="J47" i="23"/>
  <c r="I47" i="23"/>
  <c r="I76" i="23"/>
  <c r="J76" i="23"/>
  <c r="I190" i="23"/>
  <c r="J190" i="23"/>
  <c r="I365" i="23"/>
  <c r="J365" i="23"/>
  <c r="J72" i="23"/>
  <c r="I72" i="23"/>
  <c r="J335" i="23"/>
  <c r="I335" i="23"/>
  <c r="J259" i="23"/>
  <c r="I259" i="23"/>
  <c r="I360" i="23"/>
  <c r="J360" i="23"/>
  <c r="J309" i="23"/>
  <c r="I309" i="23"/>
  <c r="I155" i="23"/>
  <c r="J155" i="23"/>
  <c r="I71" i="23"/>
  <c r="J71" i="23"/>
  <c r="J296" i="23"/>
  <c r="I296" i="23"/>
  <c r="I125" i="23"/>
  <c r="J125" i="23"/>
  <c r="J282" i="23"/>
  <c r="I282" i="23"/>
  <c r="J211" i="23"/>
  <c r="I211" i="23"/>
  <c r="J65" i="23"/>
  <c r="I65" i="23"/>
  <c r="J59" i="23"/>
  <c r="I59" i="23"/>
  <c r="I377" i="23"/>
  <c r="J377" i="23"/>
  <c r="J179" i="23"/>
  <c r="I179" i="23"/>
  <c r="J127" i="23"/>
  <c r="I127" i="23"/>
  <c r="J75" i="23"/>
  <c r="I75" i="23"/>
  <c r="J81" i="23"/>
  <c r="I81" i="23"/>
  <c r="J17" i="23"/>
  <c r="I17" i="23"/>
  <c r="I229" i="23"/>
  <c r="J229" i="23"/>
  <c r="J140" i="23"/>
  <c r="I140" i="23"/>
  <c r="J338" i="23"/>
  <c r="I338" i="23"/>
  <c r="I146" i="23"/>
  <c r="J146" i="23"/>
  <c r="J42" i="23"/>
  <c r="I42" i="23"/>
  <c r="J121" i="23"/>
  <c r="I121" i="23"/>
  <c r="J233" i="23"/>
  <c r="I233" i="23"/>
  <c r="I270" i="23"/>
  <c r="J270" i="23"/>
  <c r="J355" i="23"/>
  <c r="I355" i="23"/>
  <c r="J153" i="23"/>
  <c r="I153" i="23"/>
  <c r="J120" i="23"/>
  <c r="I120" i="23"/>
  <c r="J126" i="23"/>
  <c r="I126" i="23"/>
  <c r="I50" i="23"/>
  <c r="J50" i="23"/>
  <c r="I369" i="23"/>
  <c r="J369" i="23"/>
  <c r="I169" i="23"/>
  <c r="J169" i="23"/>
  <c r="I124" i="23"/>
  <c r="J124" i="23"/>
  <c r="J28" i="23"/>
  <c r="I28" i="23"/>
  <c r="J92" i="23"/>
  <c r="I92" i="23"/>
  <c r="I320" i="23"/>
  <c r="J320" i="23"/>
  <c r="I48" i="23"/>
  <c r="J48" i="23"/>
  <c r="J24" i="23"/>
  <c r="I24" i="23"/>
  <c r="J347" i="23"/>
  <c r="I347" i="23"/>
  <c r="I154" i="23"/>
  <c r="J154" i="23"/>
  <c r="J232" i="23"/>
  <c r="I232" i="23"/>
  <c r="I157" i="23"/>
  <c r="J157" i="23"/>
  <c r="I118" i="23"/>
  <c r="J118" i="23"/>
  <c r="I186" i="23"/>
  <c r="J186" i="23"/>
  <c r="I138" i="23"/>
  <c r="J138" i="23"/>
  <c r="J217" i="23"/>
  <c r="I217" i="23"/>
  <c r="I46" i="23"/>
  <c r="J46" i="23"/>
  <c r="J68" i="23"/>
  <c r="I68" i="23"/>
  <c r="I41" i="23"/>
  <c r="J41" i="23"/>
  <c r="I101" i="23"/>
  <c r="J101" i="23"/>
  <c r="I367" i="23"/>
  <c r="J367" i="23"/>
  <c r="I163" i="23"/>
  <c r="J163" i="23"/>
  <c r="J231" i="23"/>
  <c r="I231" i="23"/>
  <c r="I336" i="23"/>
  <c r="J336" i="23"/>
  <c r="I105" i="23"/>
  <c r="J105" i="23"/>
  <c r="I182" i="23"/>
  <c r="J182" i="23"/>
  <c r="I216" i="23"/>
  <c r="J216" i="23"/>
  <c r="I313" i="23"/>
  <c r="J313" i="23"/>
  <c r="J362" i="23"/>
  <c r="I362" i="23"/>
  <c r="I304" i="23"/>
  <c r="J304" i="23"/>
  <c r="I375" i="23"/>
  <c r="J375" i="23"/>
  <c r="I334" i="23"/>
  <c r="J334" i="23"/>
  <c r="I245" i="23"/>
  <c r="J245" i="23"/>
  <c r="J78" i="23"/>
  <c r="I78" i="23"/>
  <c r="J293" i="23"/>
  <c r="I293" i="23"/>
  <c r="J361" i="23"/>
  <c r="I361" i="23"/>
  <c r="I148" i="23"/>
  <c r="J148" i="23"/>
  <c r="I18" i="23"/>
  <c r="J18" i="23"/>
  <c r="J129" i="23"/>
  <c r="I129" i="23"/>
  <c r="J136" i="23"/>
  <c r="I136" i="23"/>
  <c r="I177" i="23"/>
  <c r="J177" i="23"/>
  <c r="J152" i="23"/>
  <c r="I152" i="23"/>
  <c r="J354" i="23"/>
  <c r="I354" i="23"/>
  <c r="I315" i="23"/>
  <c r="J315" i="23"/>
  <c r="I322" i="23"/>
  <c r="J322" i="23"/>
  <c r="I312" i="23"/>
  <c r="J312" i="23"/>
  <c r="J197" i="23"/>
  <c r="I197" i="23"/>
  <c r="I58" i="23"/>
  <c r="J58" i="23"/>
  <c r="I209" i="23"/>
  <c r="J209" i="23"/>
  <c r="I57" i="23"/>
  <c r="J57" i="23"/>
  <c r="I36" i="23"/>
  <c r="J36" i="23"/>
  <c r="J195" i="23"/>
  <c r="I195" i="23"/>
  <c r="J168" i="23"/>
  <c r="I168" i="23"/>
  <c r="I297" i="23"/>
  <c r="J297" i="23"/>
  <c r="J275" i="23"/>
  <c r="I275" i="23"/>
  <c r="J357" i="23"/>
  <c r="I357" i="23"/>
  <c r="J130" i="23"/>
  <c r="I130" i="23"/>
  <c r="I221" i="23"/>
  <c r="J221" i="23"/>
  <c r="J251" i="23"/>
  <c r="I251" i="23"/>
  <c r="J214" i="23"/>
  <c r="I214" i="23"/>
  <c r="J114" i="23"/>
  <c r="I114" i="23"/>
  <c r="I306" i="23"/>
  <c r="J306" i="23"/>
  <c r="I64" i="23"/>
  <c r="J64" i="23"/>
  <c r="I144" i="23"/>
  <c r="J144" i="23"/>
  <c r="I174" i="23"/>
  <c r="J174" i="23"/>
  <c r="I73" i="23"/>
  <c r="J73" i="23"/>
  <c r="J318" i="23"/>
  <c r="I318" i="23"/>
  <c r="I123" i="23"/>
  <c r="J123" i="23"/>
  <c r="I158" i="23"/>
  <c r="J158" i="23"/>
  <c r="J358" i="23"/>
  <c r="I358" i="23"/>
  <c r="I112" i="23"/>
  <c r="J112" i="23"/>
  <c r="I30" i="23"/>
  <c r="J30" i="23"/>
  <c r="I175" i="23"/>
  <c r="J175" i="23"/>
  <c r="I329" i="23"/>
  <c r="J329" i="23"/>
  <c r="I308" i="23"/>
  <c r="J308" i="23"/>
  <c r="I192" i="23"/>
  <c r="J192" i="23"/>
  <c r="D241" i="23"/>
  <c r="E241" i="23" s="1"/>
  <c r="F241" i="23" s="1"/>
  <c r="W241" i="23"/>
  <c r="I266" i="23"/>
  <c r="J266" i="23"/>
  <c r="J353" i="23"/>
  <c r="I353" i="23"/>
  <c r="I95" i="23"/>
  <c r="J95" i="23"/>
  <c r="J178" i="23"/>
  <c r="I178" i="23"/>
  <c r="I337" i="23"/>
  <c r="J337" i="23"/>
  <c r="J359" i="23"/>
  <c r="I359" i="23"/>
  <c r="I249" i="23"/>
  <c r="J249" i="23"/>
  <c r="J171" i="23"/>
  <c r="I171" i="23"/>
  <c r="I351" i="23"/>
  <c r="J351" i="23"/>
  <c r="I104" i="23"/>
  <c r="J104" i="23"/>
  <c r="I161" i="23"/>
  <c r="J161" i="23"/>
  <c r="I106" i="23"/>
  <c r="J106" i="23"/>
  <c r="J305" i="23"/>
  <c r="I305" i="23"/>
  <c r="I343" i="23"/>
  <c r="J343" i="23"/>
  <c r="I49" i="23"/>
  <c r="J49" i="23"/>
  <c r="J96" i="23"/>
  <c r="I96" i="23"/>
  <c r="I21" i="23"/>
  <c r="J21" i="23"/>
  <c r="J252" i="23"/>
  <c r="I252" i="23"/>
  <c r="I83" i="23"/>
  <c r="J83" i="23"/>
  <c r="I208" i="23"/>
  <c r="J208" i="23"/>
  <c r="I228" i="23"/>
  <c r="J228" i="23"/>
  <c r="I143" i="23"/>
  <c r="J143" i="23"/>
  <c r="J44" i="23"/>
  <c r="I44" i="23"/>
  <c r="I150" i="23"/>
  <c r="J150" i="23"/>
  <c r="I299" i="23"/>
  <c r="J299" i="23"/>
  <c r="I311" i="23"/>
  <c r="J311" i="23"/>
  <c r="I86" i="23"/>
  <c r="J86" i="23"/>
  <c r="I70" i="23"/>
  <c r="J70" i="23"/>
  <c r="I285" i="23"/>
  <c r="J285" i="23"/>
  <c r="J141" i="23"/>
  <c r="I141" i="23"/>
  <c r="J321" i="23"/>
  <c r="I321" i="23"/>
  <c r="J345" i="23"/>
  <c r="I345" i="23"/>
  <c r="J110" i="23"/>
  <c r="I110" i="23"/>
  <c r="J323" i="23"/>
  <c r="I323" i="23"/>
  <c r="J271" i="23"/>
  <c r="I271" i="23"/>
  <c r="J98" i="23"/>
  <c r="I98" i="23"/>
  <c r="I256" i="23"/>
  <c r="J256" i="23"/>
  <c r="J133" i="23"/>
  <c r="I133" i="23"/>
  <c r="I39" i="23"/>
  <c r="J39" i="23"/>
  <c r="J246" i="23"/>
  <c r="I246" i="23"/>
  <c r="J243" i="23"/>
  <c r="I243" i="23"/>
  <c r="J33" i="23"/>
  <c r="I33" i="23"/>
  <c r="I147" i="23"/>
  <c r="J147" i="23"/>
  <c r="J67" i="23"/>
  <c r="I67" i="23"/>
  <c r="I239" i="23"/>
  <c r="J239" i="23"/>
  <c r="J85" i="23"/>
  <c r="I85" i="23"/>
  <c r="W180" i="23"/>
  <c r="D180" i="23"/>
  <c r="E180" i="23" s="1"/>
  <c r="F180" i="23" s="1"/>
  <c r="D363" i="23"/>
  <c r="E363" i="23" s="1"/>
  <c r="F363" i="23" s="1"/>
  <c r="W363" i="23"/>
  <c r="I91" i="23"/>
  <c r="J91" i="23"/>
  <c r="I316" i="23"/>
  <c r="J316" i="23"/>
  <c r="I290" i="23"/>
  <c r="J290" i="23"/>
  <c r="J107" i="23"/>
  <c r="I107" i="23"/>
  <c r="J378" i="23"/>
  <c r="I378" i="23"/>
  <c r="D272" i="23"/>
  <c r="E272" i="23" s="1"/>
  <c r="F272" i="23" s="1"/>
  <c r="W272" i="23"/>
  <c r="I380" i="23"/>
  <c r="H380" i="24" s="1"/>
  <c r="J380" i="23"/>
  <c r="V381" i="22"/>
  <c r="B67" i="19"/>
  <c r="N67" i="19" s="1"/>
  <c r="AJ5" i="22"/>
  <c r="V382" i="22"/>
  <c r="V383" i="22"/>
  <c r="AJ7" i="20"/>
  <c r="D381" i="20"/>
  <c r="E15" i="20"/>
  <c r="D9" i="20"/>
  <c r="D11" i="20" s="1"/>
  <c r="D383" i="20"/>
  <c r="AJ8" i="20"/>
  <c r="D382" i="20"/>
  <c r="BE15" i="7"/>
  <c r="Q10" i="25"/>
  <c r="Q41" i="25" s="1"/>
  <c r="Q130" i="25"/>
  <c r="Q358" i="25"/>
  <c r="Q127" i="25"/>
  <c r="Q375" i="25"/>
  <c r="Q149" i="25"/>
  <c r="AG71" i="24"/>
  <c r="AF71" i="24" s="1"/>
  <c r="AD71" i="24" s="1"/>
  <c r="AG41" i="24"/>
  <c r="AF41" i="24" s="1"/>
  <c r="AD41" i="24" s="1"/>
  <c r="AG43" i="24"/>
  <c r="AF43" i="24" s="1"/>
  <c r="AD43" i="24" s="1"/>
  <c r="AG47" i="24"/>
  <c r="AF47" i="24" s="1"/>
  <c r="AD47" i="24" s="1"/>
  <c r="AG35" i="24"/>
  <c r="AF35" i="24" s="1"/>
  <c r="AD35" i="24" s="1"/>
  <c r="AG75" i="24"/>
  <c r="AF75" i="24" s="1"/>
  <c r="AD75" i="24" s="1"/>
  <c r="AG49" i="24"/>
  <c r="AF49" i="24" s="1"/>
  <c r="AD49" i="24" s="1"/>
  <c r="AG94" i="24"/>
  <c r="AF94" i="24" s="1"/>
  <c r="AD94" i="24" s="1"/>
  <c r="AG82" i="24"/>
  <c r="AF82" i="24" s="1"/>
  <c r="AD82" i="24" s="1"/>
  <c r="AG58" i="24"/>
  <c r="AF58" i="24" s="1"/>
  <c r="AD58" i="24" s="1"/>
  <c r="AG101" i="24"/>
  <c r="AF101" i="24" s="1"/>
  <c r="AD101" i="24" s="1"/>
  <c r="AG85" i="24"/>
  <c r="AF85" i="24" s="1"/>
  <c r="AD85" i="24" s="1"/>
  <c r="AG96" i="24"/>
  <c r="AF96" i="24" s="1"/>
  <c r="AD96" i="24" s="1"/>
  <c r="AG57" i="24"/>
  <c r="AF57" i="24" s="1"/>
  <c r="AD57" i="24" s="1"/>
  <c r="AG70" i="24"/>
  <c r="AF70" i="24" s="1"/>
  <c r="AD70" i="24" s="1"/>
  <c r="AG40" i="24"/>
  <c r="AF40" i="24" s="1"/>
  <c r="AD40" i="24" s="1"/>
  <c r="AG80" i="24"/>
  <c r="AF80" i="24" s="1"/>
  <c r="AD80" i="24" s="1"/>
  <c r="AG81" i="24"/>
  <c r="AF81" i="24" s="1"/>
  <c r="AD81" i="24" s="1"/>
  <c r="AG37" i="24"/>
  <c r="AF37" i="24" s="1"/>
  <c r="AD37" i="24" s="1"/>
  <c r="AG39" i="24"/>
  <c r="AF39" i="24" s="1"/>
  <c r="AD39" i="24" s="1"/>
  <c r="AG102" i="24"/>
  <c r="AF102" i="24" s="1"/>
  <c r="AD102" i="24" s="1"/>
  <c r="AG60" i="24"/>
  <c r="AF60" i="24" s="1"/>
  <c r="AD60" i="24" s="1"/>
  <c r="AG69" i="24"/>
  <c r="AF69" i="24" s="1"/>
  <c r="AD69" i="24" s="1"/>
  <c r="AG91" i="24"/>
  <c r="AF91" i="24" s="1"/>
  <c r="AD91" i="24" s="1"/>
  <c r="AG29" i="24"/>
  <c r="AF29" i="24" s="1"/>
  <c r="AD29" i="24" s="1"/>
  <c r="AG16" i="24"/>
  <c r="AF16" i="24" s="1"/>
  <c r="AD16" i="24" s="1"/>
  <c r="AG76" i="24"/>
  <c r="AF76" i="24" s="1"/>
  <c r="AD76" i="24" s="1"/>
  <c r="AG45" i="24"/>
  <c r="AF45" i="24" s="1"/>
  <c r="AD45" i="24" s="1"/>
  <c r="AG83" i="24"/>
  <c r="AF83" i="24" s="1"/>
  <c r="AD83" i="24" s="1"/>
  <c r="AG99" i="24"/>
  <c r="AF99" i="24" s="1"/>
  <c r="AD99" i="24" s="1"/>
  <c r="AD382" i="22"/>
  <c r="AD383" i="22"/>
  <c r="AD381" i="22"/>
  <c r="F382" i="18"/>
  <c r="AA15" i="18"/>
  <c r="AL9" i="18" s="1"/>
  <c r="G15" i="18"/>
  <c r="CA15" i="6" s="1"/>
  <c r="F381" i="18"/>
  <c r="F383" i="18"/>
  <c r="AK10" i="18"/>
  <c r="AK12" i="18" s="1"/>
  <c r="AK13" i="18" s="1"/>
  <c r="AM10" i="18"/>
  <c r="F9" i="18"/>
  <c r="H15" i="18"/>
  <c r="AG383" i="23"/>
  <c r="AF15" i="23"/>
  <c r="AG381" i="23"/>
  <c r="AG382" i="23"/>
  <c r="AG98" i="24"/>
  <c r="AF98" i="24" s="1"/>
  <c r="AD98" i="24" s="1"/>
  <c r="AG22" i="24"/>
  <c r="AF22" i="24" s="1"/>
  <c r="AD22" i="24" s="1"/>
  <c r="AG93" i="24"/>
  <c r="AF93" i="24" s="1"/>
  <c r="AD93" i="24" s="1"/>
  <c r="AG27" i="24"/>
  <c r="AF27" i="24" s="1"/>
  <c r="AD27" i="24" s="1"/>
  <c r="AG61" i="24"/>
  <c r="AF61" i="24" s="1"/>
  <c r="AD61" i="24" s="1"/>
  <c r="AG28" i="24"/>
  <c r="AF28" i="24" s="1"/>
  <c r="AD28" i="24" s="1"/>
  <c r="AG100" i="24"/>
  <c r="AF100" i="24" s="1"/>
  <c r="AD100" i="24" s="1"/>
  <c r="AG66" i="24"/>
  <c r="AF66" i="24" s="1"/>
  <c r="AD66" i="24" s="1"/>
  <c r="AG21" i="24"/>
  <c r="AF21" i="24" s="1"/>
  <c r="AD21" i="24" s="1"/>
  <c r="AG23" i="24"/>
  <c r="AF23" i="24" s="1"/>
  <c r="AD23" i="24" s="1"/>
  <c r="AG79" i="24"/>
  <c r="AF79" i="24" s="1"/>
  <c r="AD79" i="24" s="1"/>
  <c r="AI11" i="25"/>
  <c r="AG336" i="24"/>
  <c r="AF336" i="24" s="1"/>
  <c r="AD336" i="24" s="1"/>
  <c r="AG249" i="24"/>
  <c r="AF249" i="24" s="1"/>
  <c r="AD249" i="24" s="1"/>
  <c r="AG158" i="24"/>
  <c r="AF158" i="24" s="1"/>
  <c r="AD158" i="24" s="1"/>
  <c r="AG151" i="24"/>
  <c r="AF151" i="24" s="1"/>
  <c r="AD151" i="24" s="1"/>
  <c r="AG198" i="24"/>
  <c r="AF198" i="24" s="1"/>
  <c r="AD198" i="24" s="1"/>
  <c r="AG168" i="24"/>
  <c r="AF168" i="24" s="1"/>
  <c r="AD168" i="24" s="1"/>
  <c r="AG287" i="24"/>
  <c r="AF287" i="24" s="1"/>
  <c r="AD287" i="24" s="1"/>
  <c r="AG266" i="24"/>
  <c r="AF266" i="24" s="1"/>
  <c r="AD266" i="24" s="1"/>
  <c r="AG127" i="24"/>
  <c r="AF127" i="24" s="1"/>
  <c r="AD127" i="24" s="1"/>
  <c r="AG311" i="24"/>
  <c r="AF311" i="24" s="1"/>
  <c r="AD311" i="24" s="1"/>
  <c r="AG169" i="24"/>
  <c r="AF169" i="24" s="1"/>
  <c r="AD169" i="24" s="1"/>
  <c r="AG165" i="24"/>
  <c r="AF165" i="24" s="1"/>
  <c r="AD165" i="24" s="1"/>
  <c r="AG265" i="24"/>
  <c r="AF265" i="24" s="1"/>
  <c r="AD265" i="24" s="1"/>
  <c r="AG143" i="24"/>
  <c r="AF143" i="24" s="1"/>
  <c r="AD143" i="24" s="1"/>
  <c r="AG327" i="24"/>
  <c r="AF327" i="24" s="1"/>
  <c r="AD327" i="24" s="1"/>
  <c r="AG119" i="24"/>
  <c r="AF119" i="24" s="1"/>
  <c r="AD119" i="24" s="1"/>
  <c r="AG362" i="24"/>
  <c r="AF362" i="24" s="1"/>
  <c r="AD362" i="24" s="1"/>
  <c r="AG257" i="24"/>
  <c r="AF257" i="24" s="1"/>
  <c r="AD257" i="24" s="1"/>
  <c r="AG349" i="24"/>
  <c r="AF349" i="24" s="1"/>
  <c r="AD349" i="24" s="1"/>
  <c r="AG292" i="24"/>
  <c r="AF292" i="24" s="1"/>
  <c r="AD292" i="24" s="1"/>
  <c r="AG344" i="24"/>
  <c r="AF344" i="24" s="1"/>
  <c r="AD344" i="24" s="1"/>
  <c r="AG230" i="24"/>
  <c r="AF230" i="24" s="1"/>
  <c r="AD230" i="24" s="1"/>
  <c r="AG154" i="24"/>
  <c r="AF154" i="24" s="1"/>
  <c r="AD154" i="24" s="1"/>
  <c r="AG268" i="24"/>
  <c r="AF268" i="24" s="1"/>
  <c r="AD268" i="24" s="1"/>
  <c r="AG243" i="24"/>
  <c r="AF243" i="24" s="1"/>
  <c r="AD243" i="24" s="1"/>
  <c r="AG363" i="24"/>
  <c r="AF363" i="24" s="1"/>
  <c r="AD363" i="24" s="1"/>
  <c r="AG369" i="24"/>
  <c r="AF369" i="24" s="1"/>
  <c r="AD369" i="24" s="1"/>
  <c r="AG199" i="24"/>
  <c r="AF199" i="24" s="1"/>
  <c r="AD199" i="24" s="1"/>
  <c r="AG215" i="24"/>
  <c r="AF215" i="24" s="1"/>
  <c r="AD215" i="24" s="1"/>
  <c r="AG219" i="24"/>
  <c r="AF219" i="24" s="1"/>
  <c r="AD219" i="24" s="1"/>
  <c r="AG116" i="24"/>
  <c r="AF116" i="24" s="1"/>
  <c r="AD116" i="24" s="1"/>
  <c r="AG122" i="24"/>
  <c r="AF122" i="24" s="1"/>
  <c r="AD122" i="24" s="1"/>
  <c r="AG179" i="24"/>
  <c r="AF179" i="24" s="1"/>
  <c r="AD179" i="24" s="1"/>
  <c r="AG312" i="24"/>
  <c r="AF312" i="24" s="1"/>
  <c r="AD312" i="24" s="1"/>
  <c r="AG346" i="24"/>
  <c r="AF346" i="24" s="1"/>
  <c r="AD346" i="24" s="1"/>
  <c r="AG173" i="24"/>
  <c r="AF173" i="24" s="1"/>
  <c r="AD173" i="24" s="1"/>
  <c r="AG184" i="24"/>
  <c r="AF184" i="24" s="1"/>
  <c r="AD184" i="24" s="1"/>
  <c r="AG146" i="24"/>
  <c r="AF146" i="24" s="1"/>
  <c r="AD146" i="24" s="1"/>
  <c r="AG261" i="24"/>
  <c r="AF261" i="24" s="1"/>
  <c r="AD261" i="24" s="1"/>
  <c r="AG237" i="24"/>
  <c r="AF237" i="24" s="1"/>
  <c r="AD237" i="24" s="1"/>
  <c r="AG295" i="24"/>
  <c r="AF295" i="24" s="1"/>
  <c r="AD295" i="24" s="1"/>
  <c r="AI12" i="25"/>
  <c r="AG297" i="24"/>
  <c r="AF297" i="24" s="1"/>
  <c r="AD297" i="24" s="1"/>
  <c r="AG195" i="24"/>
  <c r="AF195" i="24" s="1"/>
  <c r="AD195" i="24" s="1"/>
  <c r="AH104" i="24"/>
  <c r="AG131" i="24"/>
  <c r="AF131" i="24" s="1"/>
  <c r="AD131" i="24" s="1"/>
  <c r="AG368" i="24"/>
  <c r="AF368" i="24" s="1"/>
  <c r="AD368" i="24" s="1"/>
  <c r="AG222" i="24"/>
  <c r="AF222" i="24" s="1"/>
  <c r="AD222" i="24" s="1"/>
  <c r="AG330" i="24"/>
  <c r="AF330" i="24" s="1"/>
  <c r="AD330" i="24" s="1"/>
  <c r="AG200" i="24"/>
  <c r="AF200" i="24" s="1"/>
  <c r="AD200" i="24" s="1"/>
  <c r="AG124" i="24"/>
  <c r="AF124" i="24" s="1"/>
  <c r="AD124" i="24" s="1"/>
  <c r="AG240" i="24"/>
  <c r="AF240" i="24" s="1"/>
  <c r="AD240" i="24" s="1"/>
  <c r="AG276" i="24"/>
  <c r="AF276" i="24" s="1"/>
  <c r="AD276" i="24" s="1"/>
  <c r="AG263" i="24"/>
  <c r="AF263" i="24" s="1"/>
  <c r="AD263" i="24" s="1"/>
  <c r="AG161" i="24"/>
  <c r="AF161" i="24" s="1"/>
  <c r="AD161" i="24" s="1"/>
  <c r="AG125" i="24"/>
  <c r="AF125" i="24" s="1"/>
  <c r="AD125" i="24" s="1"/>
  <c r="AG277" i="24"/>
  <c r="AF277" i="24" s="1"/>
  <c r="AD277" i="24" s="1"/>
  <c r="AG242" i="24"/>
  <c r="AF242" i="24" s="1"/>
  <c r="AD242" i="24" s="1"/>
  <c r="AG171" i="24"/>
  <c r="AF171" i="24" s="1"/>
  <c r="AD171" i="24" s="1"/>
  <c r="AG234" i="24"/>
  <c r="AF234" i="24" s="1"/>
  <c r="AD234" i="24" s="1"/>
  <c r="AG144" i="24"/>
  <c r="AF144" i="24" s="1"/>
  <c r="AD144" i="24" s="1"/>
  <c r="AG284" i="24"/>
  <c r="AF284" i="24" s="1"/>
  <c r="AD284" i="24" s="1"/>
  <c r="AG364" i="24"/>
  <c r="AF364" i="24" s="1"/>
  <c r="AD364" i="24" s="1"/>
  <c r="AG183" i="24"/>
  <c r="AF183" i="24" s="1"/>
  <c r="AD183" i="24" s="1"/>
  <c r="AG252" i="24"/>
  <c r="AF252" i="24" s="1"/>
  <c r="AD252" i="24" s="1"/>
  <c r="AG301" i="24"/>
  <c r="AF301" i="24" s="1"/>
  <c r="AD301" i="24" s="1"/>
  <c r="AG258" i="24"/>
  <c r="AF258" i="24" s="1"/>
  <c r="AD258" i="24" s="1"/>
  <c r="AG177" i="24"/>
  <c r="AF177" i="24" s="1"/>
  <c r="AD177" i="24" s="1"/>
  <c r="AG210" i="24"/>
  <c r="AF210" i="24" s="1"/>
  <c r="AD210" i="24" s="1"/>
  <c r="AG328" i="24"/>
  <c r="AF328" i="24" s="1"/>
  <c r="AD328" i="24" s="1"/>
  <c r="AG180" i="24"/>
  <c r="AF180" i="24" s="1"/>
  <c r="AD180" i="24" s="1"/>
  <c r="AG160" i="24"/>
  <c r="AF160" i="24" s="1"/>
  <c r="AD160" i="24" s="1"/>
  <c r="AG135" i="24"/>
  <c r="AF135" i="24" s="1"/>
  <c r="AD135" i="24" s="1"/>
  <c r="AG326" i="24"/>
  <c r="AF326" i="24" s="1"/>
  <c r="AD326" i="24" s="1"/>
  <c r="AG175" i="24"/>
  <c r="AF175" i="24" s="1"/>
  <c r="AD175" i="24" s="1"/>
  <c r="AG114" i="24"/>
  <c r="AF114" i="24" s="1"/>
  <c r="AD114" i="24" s="1"/>
  <c r="AG264" i="24"/>
  <c r="AF264" i="24" s="1"/>
  <c r="AD264" i="24" s="1"/>
  <c r="AG241" i="24"/>
  <c r="AF241" i="24" s="1"/>
  <c r="AD241" i="24" s="1"/>
  <c r="AG329" i="24"/>
  <c r="AF329" i="24" s="1"/>
  <c r="AD329" i="24" s="1"/>
  <c r="AG174" i="24"/>
  <c r="AF174" i="24" s="1"/>
  <c r="AD174" i="24" s="1"/>
  <c r="AG359" i="24"/>
  <c r="AF359" i="24" s="1"/>
  <c r="AD359" i="24" s="1"/>
  <c r="AG377" i="24"/>
  <c r="AF377" i="24" s="1"/>
  <c r="AD377" i="24" s="1"/>
  <c r="AG167" i="24"/>
  <c r="AF167" i="24" s="1"/>
  <c r="AD167" i="24" s="1"/>
  <c r="AG338" i="24"/>
  <c r="AF338" i="24" s="1"/>
  <c r="AD338" i="24" s="1"/>
  <c r="AG159" i="24"/>
  <c r="AF159" i="24" s="1"/>
  <c r="AD159" i="24" s="1"/>
  <c r="AG248" i="24"/>
  <c r="AF248" i="24" s="1"/>
  <c r="AD248" i="24" s="1"/>
  <c r="AG191" i="24"/>
  <c r="AF191" i="24" s="1"/>
  <c r="AD191" i="24" s="1"/>
  <c r="AG334" i="24"/>
  <c r="AF334" i="24" s="1"/>
  <c r="AD334" i="24" s="1"/>
  <c r="AG228" i="24"/>
  <c r="AF228" i="24" s="1"/>
  <c r="AD228" i="24" s="1"/>
  <c r="AG194" i="24"/>
  <c r="AF194" i="24" s="1"/>
  <c r="AD194" i="24" s="1"/>
  <c r="AG126" i="24"/>
  <c r="AF126" i="24" s="1"/>
  <c r="AD126" i="24" s="1"/>
  <c r="AG214" i="24"/>
  <c r="AF214" i="24" s="1"/>
  <c r="AD214" i="24" s="1"/>
  <c r="AG245" i="24"/>
  <c r="AF245" i="24" s="1"/>
  <c r="AD245" i="24" s="1"/>
  <c r="AG107" i="24"/>
  <c r="AF107" i="24" s="1"/>
  <c r="AD107" i="24" s="1"/>
  <c r="AG347" i="24"/>
  <c r="AF347" i="24" s="1"/>
  <c r="AD347" i="24" s="1"/>
  <c r="AG203" i="24"/>
  <c r="AF203" i="24" s="1"/>
  <c r="AD203" i="24" s="1"/>
  <c r="AG227" i="24"/>
  <c r="AF227" i="24" s="1"/>
  <c r="AD227" i="24" s="1"/>
  <c r="AG178" i="24"/>
  <c r="AF178" i="24" s="1"/>
  <c r="AD178" i="24" s="1"/>
  <c r="AG212" i="24"/>
  <c r="AF212" i="24" s="1"/>
  <c r="AD212" i="24" s="1"/>
  <c r="AG181" i="24"/>
  <c r="AF181" i="24" s="1"/>
  <c r="AD181" i="24" s="1"/>
  <c r="AG238" i="24"/>
  <c r="AF238" i="24" s="1"/>
  <c r="AD238" i="24" s="1"/>
  <c r="AG325" i="24"/>
  <c r="AF325" i="24" s="1"/>
  <c r="AD325" i="24" s="1"/>
  <c r="AG321" i="24"/>
  <c r="AF321" i="24" s="1"/>
  <c r="AD321" i="24" s="1"/>
  <c r="AG340" i="24"/>
  <c r="AF340" i="24" s="1"/>
  <c r="AD340" i="24" s="1"/>
  <c r="AG324" i="24"/>
  <c r="AF324" i="24" s="1"/>
  <c r="AD324" i="24" s="1"/>
  <c r="AG343" i="24"/>
  <c r="AF343" i="24" s="1"/>
  <c r="AD343" i="24" s="1"/>
  <c r="AG348" i="24"/>
  <c r="AF348" i="24" s="1"/>
  <c r="AD348" i="24" s="1"/>
  <c r="AG305" i="24"/>
  <c r="AF305" i="24" s="1"/>
  <c r="AD305" i="24" s="1"/>
  <c r="AG342" i="24"/>
  <c r="AF342" i="24" s="1"/>
  <c r="AD342" i="24" s="1"/>
  <c r="AG309" i="24"/>
  <c r="AF309" i="24" s="1"/>
  <c r="AD309" i="24" s="1"/>
  <c r="AG371" i="24"/>
  <c r="AF371" i="24" s="1"/>
  <c r="AD371" i="24" s="1"/>
  <c r="AG361" i="24"/>
  <c r="AF361" i="24" s="1"/>
  <c r="AD361" i="24" s="1"/>
  <c r="AG286" i="24"/>
  <c r="AF286" i="24" s="1"/>
  <c r="AD286" i="24" s="1"/>
  <c r="AG213" i="24"/>
  <c r="AF213" i="24" s="1"/>
  <c r="AD213" i="24" s="1"/>
  <c r="AG197" i="24"/>
  <c r="AF197" i="24" s="1"/>
  <c r="AD197" i="24" s="1"/>
  <c r="AG217" i="24"/>
  <c r="AF217" i="24" s="1"/>
  <c r="AD217" i="24" s="1"/>
  <c r="AG218" i="24"/>
  <c r="AF218" i="24" s="1"/>
  <c r="AD218" i="24" s="1"/>
  <c r="AG155" i="24"/>
  <c r="AF155" i="24" s="1"/>
  <c r="AD155" i="24" s="1"/>
  <c r="AG306" i="24"/>
  <c r="AF306" i="24" s="1"/>
  <c r="AD306" i="24" s="1"/>
  <c r="AG283" i="24"/>
  <c r="AF283" i="24" s="1"/>
  <c r="AD283" i="24" s="1"/>
  <c r="AG307" i="24"/>
  <c r="AF307" i="24" s="1"/>
  <c r="AD307" i="24" s="1"/>
  <c r="AG202" i="24"/>
  <c r="AF202" i="24" s="1"/>
  <c r="AD202" i="24" s="1"/>
  <c r="AG367" i="24"/>
  <c r="AF367" i="24" s="1"/>
  <c r="AD367" i="24" s="1"/>
  <c r="AG323" i="24"/>
  <c r="AF323" i="24" s="1"/>
  <c r="AD323" i="24" s="1"/>
  <c r="AG341" i="24"/>
  <c r="AF341" i="24" s="1"/>
  <c r="AD341" i="24" s="1"/>
  <c r="AG162" i="24"/>
  <c r="AF162" i="24" s="1"/>
  <c r="AD162" i="24" s="1"/>
  <c r="AG270" i="24"/>
  <c r="AF270" i="24" s="1"/>
  <c r="AD270" i="24" s="1"/>
  <c r="AG273" i="24"/>
  <c r="AF273" i="24" s="1"/>
  <c r="AD273" i="24" s="1"/>
  <c r="AG145" i="24"/>
  <c r="AF145" i="24" s="1"/>
  <c r="AD145" i="24" s="1"/>
  <c r="AG164" i="24"/>
  <c r="AF164" i="24" s="1"/>
  <c r="AD164" i="24" s="1"/>
  <c r="AG358" i="24"/>
  <c r="AF358" i="24" s="1"/>
  <c r="AD358" i="24" s="1"/>
  <c r="AG254" i="24"/>
  <c r="AF254" i="24" s="1"/>
  <c r="AD254" i="24" s="1"/>
  <c r="AG232" i="24"/>
  <c r="AF232" i="24" s="1"/>
  <c r="AD232" i="24" s="1"/>
  <c r="AG137" i="24"/>
  <c r="AF137" i="24" s="1"/>
  <c r="AD137" i="24" s="1"/>
  <c r="AG318" i="24"/>
  <c r="AF318" i="24" s="1"/>
  <c r="AD318" i="24" s="1"/>
  <c r="AG315" i="24"/>
  <c r="AF315" i="24" s="1"/>
  <c r="AD315" i="24" s="1"/>
  <c r="AG339" i="24"/>
  <c r="AF339" i="24" s="1"/>
  <c r="AD339" i="24" s="1"/>
  <c r="AG300" i="24"/>
  <c r="AF300" i="24" s="1"/>
  <c r="AD300" i="24" s="1"/>
  <c r="AG319" i="24"/>
  <c r="AF319" i="24" s="1"/>
  <c r="AD319" i="24" s="1"/>
  <c r="AG231" i="24"/>
  <c r="AF231" i="24" s="1"/>
  <c r="AD231" i="24" s="1"/>
  <c r="W189" i="24"/>
  <c r="D189" i="24"/>
  <c r="E189" i="24" s="1"/>
  <c r="F189" i="24" s="1"/>
  <c r="D285" i="24"/>
  <c r="E285" i="24" s="1"/>
  <c r="F285" i="24" s="1"/>
  <c r="W285" i="24"/>
  <c r="W290" i="24"/>
  <c r="D290" i="24"/>
  <c r="E290" i="24" s="1"/>
  <c r="F290" i="24" s="1"/>
  <c r="V149" i="24"/>
  <c r="B149" i="24" s="1"/>
  <c r="V88" i="24"/>
  <c r="B88" i="24" s="1"/>
  <c r="W214" i="24"/>
  <c r="D214" i="24"/>
  <c r="E214" i="24" s="1"/>
  <c r="F214" i="24" s="1"/>
  <c r="W69" i="24"/>
  <c r="D69" i="24"/>
  <c r="E69" i="24" s="1"/>
  <c r="F69" i="24" s="1"/>
  <c r="AH62" i="7"/>
  <c r="V210" i="24"/>
  <c r="B210" i="24" s="1"/>
  <c r="W104" i="24"/>
  <c r="D104" i="24"/>
  <c r="E104" i="24" s="1"/>
  <c r="F104" i="24" s="1"/>
  <c r="W301" i="24"/>
  <c r="D301" i="24"/>
  <c r="E301" i="24" s="1"/>
  <c r="F301" i="24" s="1"/>
  <c r="W59" i="24"/>
  <c r="D59" i="24"/>
  <c r="E59" i="24" s="1"/>
  <c r="F59" i="24" s="1"/>
  <c r="D264" i="24"/>
  <c r="E264" i="24" s="1"/>
  <c r="F264" i="24" s="1"/>
  <c r="W264" i="24"/>
  <c r="W375" i="24"/>
  <c r="D375" i="24"/>
  <c r="E375" i="24" s="1"/>
  <c r="F375" i="24" s="1"/>
  <c r="D73" i="24"/>
  <c r="E73" i="24" s="1"/>
  <c r="F73" i="24" s="1"/>
  <c r="W73" i="24"/>
  <c r="D342" i="24"/>
  <c r="E342" i="24" s="1"/>
  <c r="F342" i="24" s="1"/>
  <c r="W342" i="24"/>
  <c r="D40" i="24"/>
  <c r="E40" i="24" s="1"/>
  <c r="F40" i="24" s="1"/>
  <c r="W40" i="24"/>
  <c r="W175" i="24"/>
  <c r="D175" i="24"/>
  <c r="E175" i="24" s="1"/>
  <c r="F175" i="24" s="1"/>
  <c r="W55" i="24"/>
  <c r="D55" i="24"/>
  <c r="E55" i="24" s="1"/>
  <c r="F55" i="24" s="1"/>
  <c r="W279" i="24"/>
  <c r="D279" i="24"/>
  <c r="E279" i="24" s="1"/>
  <c r="F279" i="24" s="1"/>
  <c r="W97" i="24"/>
  <c r="D97" i="24"/>
  <c r="E97" i="24" s="1"/>
  <c r="F97" i="24" s="1"/>
  <c r="W254" i="24"/>
  <c r="D254" i="24"/>
  <c r="E254" i="24" s="1"/>
  <c r="F254" i="24" s="1"/>
  <c r="W243" i="24"/>
  <c r="D243" i="24"/>
  <c r="E243" i="24" s="1"/>
  <c r="F243" i="24" s="1"/>
  <c r="D335" i="24"/>
  <c r="E335" i="24" s="1"/>
  <c r="F335" i="24" s="1"/>
  <c r="W335" i="24"/>
  <c r="W340" i="24"/>
  <c r="D340" i="24"/>
  <c r="E340" i="24" s="1"/>
  <c r="F340" i="24" s="1"/>
  <c r="J51" i="23"/>
  <c r="I51" i="23"/>
  <c r="AH64" i="7"/>
  <c r="I326" i="23"/>
  <c r="J326" i="23"/>
  <c r="I170" i="23"/>
  <c r="J170" i="23"/>
  <c r="J29" i="23"/>
  <c r="I29" i="23"/>
  <c r="J60" i="23"/>
  <c r="I60" i="23"/>
  <c r="S15" i="24"/>
  <c r="D164" i="24"/>
  <c r="E164" i="24" s="1"/>
  <c r="F164" i="24" s="1"/>
  <c r="W164" i="24"/>
  <c r="W236" i="24"/>
  <c r="D236" i="24"/>
  <c r="E236" i="24" s="1"/>
  <c r="F236" i="24" s="1"/>
  <c r="D216" i="24"/>
  <c r="E216" i="24" s="1"/>
  <c r="F216" i="24" s="1"/>
  <c r="W216" i="24"/>
  <c r="J196" i="23"/>
  <c r="I196" i="23"/>
  <c r="I289" i="23"/>
  <c r="J289" i="23"/>
  <c r="I234" i="23"/>
  <c r="J234" i="23"/>
  <c r="I137" i="23"/>
  <c r="J137" i="23"/>
  <c r="J349" i="23"/>
  <c r="I349" i="23"/>
  <c r="J109" i="23"/>
  <c r="I109" i="23"/>
  <c r="I74" i="23"/>
  <c r="J74" i="23"/>
  <c r="I263" i="23"/>
  <c r="J263" i="23"/>
  <c r="I26" i="23" l="1"/>
  <c r="J26" i="23"/>
  <c r="B80" i="24"/>
  <c r="W80" i="24" s="1"/>
  <c r="B165" i="24"/>
  <c r="B147" i="24"/>
  <c r="D147" i="24" s="1"/>
  <c r="E147" i="24" s="1"/>
  <c r="F147" i="24" s="1"/>
  <c r="G147" i="24" s="1"/>
  <c r="CE147" i="6" s="1"/>
  <c r="B21" i="24"/>
  <c r="B58" i="24"/>
  <c r="W58" i="24" s="1"/>
  <c r="B70" i="24"/>
  <c r="D70" i="24" s="1"/>
  <c r="E70" i="24" s="1"/>
  <c r="F70" i="24" s="1"/>
  <c r="B31" i="24"/>
  <c r="D31" i="24" s="1"/>
  <c r="E31" i="24" s="1"/>
  <c r="F31" i="24" s="1"/>
  <c r="G31" i="24" s="1"/>
  <c r="CE31" i="6" s="1"/>
  <c r="B37" i="24"/>
  <c r="W37" i="24" s="1"/>
  <c r="B286" i="24"/>
  <c r="B130" i="24"/>
  <c r="B237" i="24"/>
  <c r="B303" i="24"/>
  <c r="W303" i="24" s="1"/>
  <c r="B300" i="24"/>
  <c r="D300" i="24" s="1"/>
  <c r="E300" i="24" s="1"/>
  <c r="F300" i="24" s="1"/>
  <c r="B274" i="24"/>
  <c r="B295" i="24"/>
  <c r="D295" i="24" s="1"/>
  <c r="E295" i="24" s="1"/>
  <c r="F295" i="24" s="1"/>
  <c r="B235" i="24"/>
  <c r="D235" i="24" s="1"/>
  <c r="E235" i="24" s="1"/>
  <c r="F235" i="24" s="1"/>
  <c r="B19" i="24"/>
  <c r="D19" i="24" s="1"/>
  <c r="E19" i="24" s="1"/>
  <c r="F19" i="24" s="1"/>
  <c r="B78" i="24"/>
  <c r="B45" i="24"/>
  <c r="W45" i="24" s="1"/>
  <c r="B259" i="24"/>
  <c r="W259" i="24" s="1"/>
  <c r="B309" i="24"/>
  <c r="W309" i="24" s="1"/>
  <c r="B148" i="24"/>
  <c r="D148" i="24" s="1"/>
  <c r="E148" i="24" s="1"/>
  <c r="F148" i="24" s="1"/>
  <c r="B289" i="24"/>
  <c r="W289" i="24" s="1"/>
  <c r="B257" i="24"/>
  <c r="W257" i="24" s="1"/>
  <c r="B116" i="24"/>
  <c r="W116" i="24" s="1"/>
  <c r="B373" i="24"/>
  <c r="D373" i="24" s="1"/>
  <c r="E373" i="24" s="1"/>
  <c r="F373" i="24" s="1"/>
  <c r="B287" i="24"/>
  <c r="W287" i="24" s="1"/>
  <c r="B321" i="24"/>
  <c r="W321" i="24" s="1"/>
  <c r="B83" i="24"/>
  <c r="B213" i="24"/>
  <c r="B86" i="24"/>
  <c r="B35" i="24"/>
  <c r="W35" i="24" s="1"/>
  <c r="B72" i="24"/>
  <c r="D72" i="24" s="1"/>
  <c r="E72" i="24" s="1"/>
  <c r="F72" i="24" s="1"/>
  <c r="G72" i="24" s="1"/>
  <c r="CE72" i="6" s="1"/>
  <c r="B320" i="24"/>
  <c r="W320" i="24" s="1"/>
  <c r="B226" i="24"/>
  <c r="W226" i="24" s="1"/>
  <c r="B255" i="24"/>
  <c r="B346" i="24"/>
  <c r="W346" i="24" s="1"/>
  <c r="B132" i="24"/>
  <c r="D132" i="24" s="1"/>
  <c r="E132" i="24" s="1"/>
  <c r="F132" i="24" s="1"/>
  <c r="B51" i="24"/>
  <c r="B378" i="24"/>
  <c r="D378" i="24" s="1"/>
  <c r="E378" i="24" s="1"/>
  <c r="F378" i="24" s="1"/>
  <c r="B372" i="24"/>
  <c r="W372" i="24" s="1"/>
  <c r="B271" i="24"/>
  <c r="D271" i="24" s="1"/>
  <c r="E271" i="24" s="1"/>
  <c r="F271" i="24" s="1"/>
  <c r="B48" i="24"/>
  <c r="D48" i="24" s="1"/>
  <c r="E48" i="24" s="1"/>
  <c r="F48" i="24" s="1"/>
  <c r="G48" i="24" s="1"/>
  <c r="CE48" i="6" s="1"/>
  <c r="B273" i="24"/>
  <c r="D273" i="24" s="1"/>
  <c r="E273" i="24" s="1"/>
  <c r="F273" i="24" s="1"/>
  <c r="B317" i="24"/>
  <c r="W317" i="24" s="1"/>
  <c r="B41" i="24"/>
  <c r="B115" i="24"/>
  <c r="D115" i="24" s="1"/>
  <c r="E115" i="24" s="1"/>
  <c r="F115" i="24" s="1"/>
  <c r="G115" i="24" s="1"/>
  <c r="CE115" i="6" s="1"/>
  <c r="B36" i="24"/>
  <c r="W36" i="24" s="1"/>
  <c r="B315" i="24"/>
  <c r="D315" i="24" s="1"/>
  <c r="E315" i="24" s="1"/>
  <c r="F315" i="24" s="1"/>
  <c r="G315" i="24" s="1"/>
  <c r="CE315" i="6" s="1"/>
  <c r="B296" i="24"/>
  <c r="W296" i="24" s="1"/>
  <c r="B61" i="24"/>
  <c r="B111" i="24"/>
  <c r="B100" i="24"/>
  <c r="B103" i="24"/>
  <c r="W103" i="24" s="1"/>
  <c r="B146" i="24"/>
  <c r="B299" i="24"/>
  <c r="W299" i="24" s="1"/>
  <c r="B43" i="24"/>
  <c r="B232" i="24"/>
  <c r="W232" i="24" s="1"/>
  <c r="B113" i="24"/>
  <c r="B136" i="24"/>
  <c r="W136" i="24" s="1"/>
  <c r="B123" i="24"/>
  <c r="B98" i="24"/>
  <c r="D98" i="24" s="1"/>
  <c r="E98" i="24" s="1"/>
  <c r="F98" i="24" s="1"/>
  <c r="B92" i="24"/>
  <c r="B87" i="24"/>
  <c r="B242" i="24"/>
  <c r="D242" i="24" s="1"/>
  <c r="E242" i="24" s="1"/>
  <c r="F242" i="24" s="1"/>
  <c r="H242" i="24" s="1"/>
  <c r="B138" i="24"/>
  <c r="W138" i="24" s="1"/>
  <c r="B71" i="24"/>
  <c r="B370" i="24"/>
  <c r="W370" i="24" s="1"/>
  <c r="B217" i="24"/>
  <c r="D217" i="24" s="1"/>
  <c r="E217" i="24" s="1"/>
  <c r="F217" i="24" s="1"/>
  <c r="B68" i="24"/>
  <c r="B183" i="24"/>
  <c r="W183" i="24" s="1"/>
  <c r="B91" i="24"/>
  <c r="D91" i="24" s="1"/>
  <c r="E91" i="24" s="1"/>
  <c r="F91" i="24" s="1"/>
  <c r="G91" i="24" s="1"/>
  <c r="CE91" i="6" s="1"/>
  <c r="B81" i="24"/>
  <c r="D81" i="24" s="1"/>
  <c r="E81" i="24" s="1"/>
  <c r="F81" i="24" s="1"/>
  <c r="B129" i="24"/>
  <c r="B44" i="24"/>
  <c r="W44" i="24" s="1"/>
  <c r="B314" i="24"/>
  <c r="W314" i="24" s="1"/>
  <c r="B28" i="24"/>
  <c r="W28" i="24" s="1"/>
  <c r="B161" i="24"/>
  <c r="D161" i="24" s="1"/>
  <c r="E161" i="24" s="1"/>
  <c r="F161" i="24" s="1"/>
  <c r="B144" i="24"/>
  <c r="W144" i="24" s="1"/>
  <c r="B324" i="24"/>
  <c r="D324" i="24" s="1"/>
  <c r="E324" i="24" s="1"/>
  <c r="F324" i="24" s="1"/>
  <c r="B62" i="24"/>
  <c r="D62" i="24" s="1"/>
  <c r="E62" i="24" s="1"/>
  <c r="F62" i="24" s="1"/>
  <c r="B212" i="24"/>
  <c r="D212" i="24" s="1"/>
  <c r="E212" i="24" s="1"/>
  <c r="F212" i="24" s="1"/>
  <c r="B357" i="24"/>
  <c r="D357" i="24" s="1"/>
  <c r="E357" i="24" s="1"/>
  <c r="F357" i="24" s="1"/>
  <c r="B77" i="24"/>
  <c r="D77" i="24" s="1"/>
  <c r="E77" i="24" s="1"/>
  <c r="F77" i="24" s="1"/>
  <c r="B298" i="24"/>
  <c r="W298" i="24" s="1"/>
  <c r="B368" i="24"/>
  <c r="W368" i="24" s="1"/>
  <c r="B109" i="24"/>
  <c r="W109" i="24" s="1"/>
  <c r="B186" i="24"/>
  <c r="B192" i="24"/>
  <c r="W192" i="24" s="1"/>
  <c r="B334" i="24"/>
  <c r="D334" i="24" s="1"/>
  <c r="E334" i="24" s="1"/>
  <c r="F334" i="24" s="1"/>
  <c r="B54" i="24"/>
  <c r="D54" i="24" s="1"/>
  <c r="E54" i="24" s="1"/>
  <c r="F54" i="24" s="1"/>
  <c r="B249" i="24"/>
  <c r="B93" i="24"/>
  <c r="W93" i="24" s="1"/>
  <c r="B67" i="24"/>
  <c r="W67" i="24" s="1"/>
  <c r="B265" i="24"/>
  <c r="W265" i="24" s="1"/>
  <c r="B52" i="24"/>
  <c r="B354" i="24"/>
  <c r="D354" i="24" s="1"/>
  <c r="E354" i="24" s="1"/>
  <c r="F354" i="24" s="1"/>
  <c r="B358" i="24"/>
  <c r="B66" i="24"/>
  <c r="W66" i="24" s="1"/>
  <c r="B154" i="24"/>
  <c r="D154" i="24" s="1"/>
  <c r="E154" i="24" s="1"/>
  <c r="F154" i="24" s="1"/>
  <c r="AA154" i="24" s="1"/>
  <c r="Z154" i="24" s="1"/>
  <c r="Y154" i="24" s="1"/>
  <c r="B75" i="24"/>
  <c r="W75" i="24" s="1"/>
  <c r="B220" i="24"/>
  <c r="D220" i="24" s="1"/>
  <c r="E220" i="24" s="1"/>
  <c r="F220" i="24" s="1"/>
  <c r="B53" i="24"/>
  <c r="D53" i="24" s="1"/>
  <c r="E53" i="24" s="1"/>
  <c r="F53" i="24" s="1"/>
  <c r="B222" i="24"/>
  <c r="B32" i="24"/>
  <c r="W32" i="24" s="1"/>
  <c r="B361" i="24"/>
  <c r="B84" i="24"/>
  <c r="W84" i="24" s="1"/>
  <c r="B374" i="24"/>
  <c r="B184" i="24"/>
  <c r="D184" i="24" s="1"/>
  <c r="E184" i="24" s="1"/>
  <c r="F184" i="24" s="1"/>
  <c r="B304" i="24"/>
  <c r="B262" i="24"/>
  <c r="D262" i="24" s="1"/>
  <c r="E262" i="24" s="1"/>
  <c r="F262" i="24" s="1"/>
  <c r="B341" i="24"/>
  <c r="B275" i="24"/>
  <c r="W275" i="24" s="1"/>
  <c r="B356" i="24"/>
  <c r="B25" i="24"/>
  <c r="D25" i="24" s="1"/>
  <c r="E25" i="24" s="1"/>
  <c r="F25" i="24" s="1"/>
  <c r="B121" i="24"/>
  <c r="B199" i="24"/>
  <c r="W199" i="24" s="1"/>
  <c r="B96" i="24"/>
  <c r="B263" i="24"/>
  <c r="W263" i="24" s="1"/>
  <c r="B250" i="24"/>
  <c r="B245" i="24"/>
  <c r="D245" i="24" s="1"/>
  <c r="E245" i="24" s="1"/>
  <c r="F245" i="24" s="1"/>
  <c r="B377" i="24"/>
  <c r="B193" i="24"/>
  <c r="D193" i="24" s="1"/>
  <c r="E193" i="24" s="1"/>
  <c r="F193" i="24" s="1"/>
  <c r="B344" i="24"/>
  <c r="D344" i="24" s="1"/>
  <c r="E344" i="24" s="1"/>
  <c r="F344" i="24" s="1"/>
  <c r="B326" i="24"/>
  <c r="D326" i="24" s="1"/>
  <c r="E326" i="24" s="1"/>
  <c r="F326" i="24" s="1"/>
  <c r="B172" i="24"/>
  <c r="B336" i="24"/>
  <c r="W336" i="24" s="1"/>
  <c r="B143" i="24"/>
  <c r="B126" i="24"/>
  <c r="D126" i="24" s="1"/>
  <c r="E126" i="24" s="1"/>
  <c r="F126" i="24" s="1"/>
  <c r="B152" i="24"/>
  <c r="D152" i="24" s="1"/>
  <c r="E152" i="24" s="1"/>
  <c r="F152" i="24" s="1"/>
  <c r="B94" i="24"/>
  <c r="W94" i="24" s="1"/>
  <c r="B308" i="24"/>
  <c r="W308" i="24" s="1"/>
  <c r="B110" i="24"/>
  <c r="W110" i="24" s="1"/>
  <c r="B38" i="24"/>
  <c r="B133" i="24"/>
  <c r="D133" i="24" s="1"/>
  <c r="E133" i="24" s="1"/>
  <c r="F133" i="24" s="1"/>
  <c r="B89" i="24"/>
  <c r="B224" i="24"/>
  <c r="W224" i="24" s="1"/>
  <c r="B327" i="24"/>
  <c r="B364" i="24"/>
  <c r="D364" i="24" s="1"/>
  <c r="E364" i="24" s="1"/>
  <c r="F364" i="24" s="1"/>
  <c r="B353" i="24"/>
  <c r="D353" i="24" s="1"/>
  <c r="E353" i="24" s="1"/>
  <c r="F353" i="24" s="1"/>
  <c r="H353" i="24" s="1"/>
  <c r="B95" i="24"/>
  <c r="D95" i="24" s="1"/>
  <c r="E95" i="24" s="1"/>
  <c r="F95" i="24" s="1"/>
  <c r="B233" i="24"/>
  <c r="B252" i="24"/>
  <c r="D252" i="24" s="1"/>
  <c r="E252" i="24" s="1"/>
  <c r="F252" i="24" s="1"/>
  <c r="B297" i="24"/>
  <c r="D297" i="24" s="1"/>
  <c r="E297" i="24" s="1"/>
  <c r="F297" i="24" s="1"/>
  <c r="G297" i="24" s="1"/>
  <c r="CE297" i="6" s="1"/>
  <c r="B114" i="24"/>
  <c r="W114" i="24" s="1"/>
  <c r="B63" i="24"/>
  <c r="B131" i="24"/>
  <c r="W131" i="24" s="1"/>
  <c r="B329" i="24"/>
  <c r="D329" i="24" s="1"/>
  <c r="E329" i="24" s="1"/>
  <c r="F329" i="24" s="1"/>
  <c r="H329" i="24" s="1"/>
  <c r="B76" i="24"/>
  <c r="D76" i="24" s="1"/>
  <c r="E76" i="24" s="1"/>
  <c r="F76" i="24" s="1"/>
  <c r="B20" i="24"/>
  <c r="B65" i="24"/>
  <c r="W65" i="24" s="1"/>
  <c r="B26" i="24"/>
  <c r="B174" i="24"/>
  <c r="W174" i="24" s="1"/>
  <c r="B292" i="24"/>
  <c r="B30" i="24"/>
  <c r="W30" i="24" s="1"/>
  <c r="I20" i="23"/>
  <c r="J20" i="23"/>
  <c r="I134" i="23"/>
  <c r="J134" i="23"/>
  <c r="I202" i="23"/>
  <c r="J202" i="23"/>
  <c r="J100" i="23"/>
  <c r="I100" i="23"/>
  <c r="J317" i="23"/>
  <c r="I317" i="23"/>
  <c r="B328" i="24"/>
  <c r="W328" i="24" s="1"/>
  <c r="B281" i="24"/>
  <c r="W281" i="24" s="1"/>
  <c r="B168" i="24"/>
  <c r="D168" i="24" s="1"/>
  <c r="E168" i="24" s="1"/>
  <c r="F168" i="24" s="1"/>
  <c r="AA168" i="24" s="1"/>
  <c r="Z168" i="24" s="1"/>
  <c r="Y168" i="24" s="1"/>
  <c r="B331" i="24"/>
  <c r="W331" i="24" s="1"/>
  <c r="B56" i="24"/>
  <c r="W56" i="24" s="1"/>
  <c r="B218" i="24"/>
  <c r="W218" i="24" s="1"/>
  <c r="B209" i="24"/>
  <c r="D209" i="24" s="1"/>
  <c r="E209" i="24" s="1"/>
  <c r="F209" i="24" s="1"/>
  <c r="G209" i="24" s="1"/>
  <c r="CE209" i="6" s="1"/>
  <c r="B246" i="24"/>
  <c r="W246" i="24" s="1"/>
  <c r="B57" i="24"/>
  <c r="W57" i="24" s="1"/>
  <c r="B248" i="24"/>
  <c r="W248" i="24" s="1"/>
  <c r="B207" i="24"/>
  <c r="W207" i="24" s="1"/>
  <c r="B156" i="24"/>
  <c r="D156" i="24" s="1"/>
  <c r="E156" i="24" s="1"/>
  <c r="F156" i="24" s="1"/>
  <c r="B101" i="24"/>
  <c r="D101" i="24" s="1"/>
  <c r="E101" i="24" s="1"/>
  <c r="F101" i="24" s="1"/>
  <c r="G101" i="24" s="1"/>
  <c r="CE101" i="6" s="1"/>
  <c r="B352" i="24"/>
  <c r="W352" i="24" s="1"/>
  <c r="B139" i="24"/>
  <c r="W139" i="24" s="1"/>
  <c r="B27" i="24"/>
  <c r="D27" i="24" s="1"/>
  <c r="E27" i="24" s="1"/>
  <c r="F27" i="24" s="1"/>
  <c r="B140" i="24"/>
  <c r="B124" i="24"/>
  <c r="D124" i="24" s="1"/>
  <c r="E124" i="24" s="1"/>
  <c r="F124" i="24" s="1"/>
  <c r="B307" i="24"/>
  <c r="B269" i="24"/>
  <c r="D269" i="24" s="1"/>
  <c r="E269" i="24" s="1"/>
  <c r="F269" i="24" s="1"/>
  <c r="B142" i="24"/>
  <c r="B170" i="24"/>
  <c r="W170" i="24" s="1"/>
  <c r="B188" i="24"/>
  <c r="D188" i="24" s="1"/>
  <c r="E188" i="24" s="1"/>
  <c r="F188" i="24" s="1"/>
  <c r="B338" i="24"/>
  <c r="W338" i="24" s="1"/>
  <c r="B191" i="24"/>
  <c r="B128" i="24"/>
  <c r="W128" i="24" s="1"/>
  <c r="B256" i="24"/>
  <c r="B310" i="24"/>
  <c r="W310" i="24" s="1"/>
  <c r="B228" i="24"/>
  <c r="W228" i="24" s="1"/>
  <c r="B151" i="24"/>
  <c r="W151" i="24" s="1"/>
  <c r="B294" i="24"/>
  <c r="W294" i="24" s="1"/>
  <c r="B360" i="24"/>
  <c r="W360" i="24" s="1"/>
  <c r="B239" i="24"/>
  <c r="B306" i="24"/>
  <c r="W306" i="24" s="1"/>
  <c r="B355" i="24"/>
  <c r="B23" i="24"/>
  <c r="D23" i="24" s="1"/>
  <c r="E23" i="24" s="1"/>
  <c r="F23" i="24" s="1"/>
  <c r="B122" i="24"/>
  <c r="D122" i="24" s="1"/>
  <c r="E122" i="24" s="1"/>
  <c r="F122" i="24" s="1"/>
  <c r="B182" i="24"/>
  <c r="D182" i="24" s="1"/>
  <c r="E182" i="24" s="1"/>
  <c r="F182" i="24" s="1"/>
  <c r="B176" i="24"/>
  <c r="B181" i="24"/>
  <c r="D181" i="24" s="1"/>
  <c r="E181" i="24" s="1"/>
  <c r="F181" i="24" s="1"/>
  <c r="B291" i="24"/>
  <c r="D291" i="24" s="1"/>
  <c r="E291" i="24" s="1"/>
  <c r="F291" i="24" s="1"/>
  <c r="B267" i="24"/>
  <c r="D267" i="24" s="1"/>
  <c r="E267" i="24" s="1"/>
  <c r="F267" i="24" s="1"/>
  <c r="B179" i="24"/>
  <c r="D179" i="24" s="1"/>
  <c r="E179" i="24" s="1"/>
  <c r="F179" i="24" s="1"/>
  <c r="AA179" i="24" s="1"/>
  <c r="Z179" i="24" s="1"/>
  <c r="Y179" i="24" s="1"/>
  <c r="B145" i="24"/>
  <c r="W145" i="24" s="1"/>
  <c r="B359" i="24"/>
  <c r="W359" i="24" s="1"/>
  <c r="B367" i="24"/>
  <c r="W367" i="24" s="1"/>
  <c r="B47" i="24"/>
  <c r="D47" i="24" s="1"/>
  <c r="E47" i="24" s="1"/>
  <c r="F47" i="24" s="1"/>
  <c r="AA47" i="24" s="1"/>
  <c r="Z47" i="24" s="1"/>
  <c r="Y47" i="24" s="1"/>
  <c r="B85" i="24"/>
  <c r="D85" i="24" s="1"/>
  <c r="E85" i="24" s="1"/>
  <c r="F85" i="24" s="1"/>
  <c r="B278" i="24"/>
  <c r="D278" i="24" s="1"/>
  <c r="E278" i="24" s="1"/>
  <c r="F278" i="24" s="1"/>
  <c r="AA278" i="24" s="1"/>
  <c r="Z278" i="24" s="1"/>
  <c r="Y278" i="24" s="1"/>
  <c r="B162" i="24"/>
  <c r="D162" i="24" s="1"/>
  <c r="E162" i="24" s="1"/>
  <c r="F162" i="24" s="1"/>
  <c r="B203" i="24"/>
  <c r="W203" i="24" s="1"/>
  <c r="B150" i="24"/>
  <c r="D150" i="24" s="1"/>
  <c r="E150" i="24" s="1"/>
  <c r="F150" i="24" s="1"/>
  <c r="B312" i="24"/>
  <c r="W312" i="24" s="1"/>
  <c r="B90" i="24"/>
  <c r="W90" i="24" s="1"/>
  <c r="B201" i="24"/>
  <c r="W201" i="24" s="1"/>
  <c r="B223" i="24"/>
  <c r="D223" i="24" s="1"/>
  <c r="E223" i="24" s="1"/>
  <c r="F223" i="24" s="1"/>
  <c r="H223" i="24" s="1"/>
  <c r="B351" i="24"/>
  <c r="D351" i="24" s="1"/>
  <c r="E351" i="24" s="1"/>
  <c r="F351" i="24" s="1"/>
  <c r="B371" i="24"/>
  <c r="W371" i="24" s="1"/>
  <c r="B229" i="24"/>
  <c r="D229" i="24" s="1"/>
  <c r="E229" i="24" s="1"/>
  <c r="F229" i="24" s="1"/>
  <c r="B231" i="24"/>
  <c r="W231" i="24" s="1"/>
  <c r="B211" i="24"/>
  <c r="D211" i="24" s="1"/>
  <c r="E211" i="24" s="1"/>
  <c r="F211" i="24" s="1"/>
  <c r="B234" i="24"/>
  <c r="W234" i="24" s="1"/>
  <c r="B99" i="24"/>
  <c r="D99" i="24" s="1"/>
  <c r="E99" i="24" s="1"/>
  <c r="F99" i="24" s="1"/>
  <c r="B276" i="24"/>
  <c r="D276" i="24" s="1"/>
  <c r="E276" i="24" s="1"/>
  <c r="F276" i="24" s="1"/>
  <c r="AA276" i="24" s="1"/>
  <c r="Z276" i="24" s="1"/>
  <c r="Y276" i="24" s="1"/>
  <c r="B106" i="24"/>
  <c r="W106" i="24" s="1"/>
  <c r="B159" i="24"/>
  <c r="W159" i="24" s="1"/>
  <c r="B362" i="24"/>
  <c r="W362" i="24" s="1"/>
  <c r="B167" i="24"/>
  <c r="D167" i="24" s="1"/>
  <c r="E167" i="24" s="1"/>
  <c r="F167" i="24" s="1"/>
  <c r="B305" i="24"/>
  <c r="W305" i="24" s="1"/>
  <c r="B50" i="24"/>
  <c r="D50" i="24" s="1"/>
  <c r="E50" i="24" s="1"/>
  <c r="F50" i="24" s="1"/>
  <c r="B322" i="24"/>
  <c r="W322" i="24" s="1"/>
  <c r="B173" i="24"/>
  <c r="W173" i="24" s="1"/>
  <c r="B253" i="24"/>
  <c r="D253" i="24" s="1"/>
  <c r="E253" i="24" s="1"/>
  <c r="F253" i="24" s="1"/>
  <c r="B247" i="24"/>
  <c r="D247" i="24" s="1"/>
  <c r="E247" i="24" s="1"/>
  <c r="F247" i="24" s="1"/>
  <c r="B198" i="24"/>
  <c r="D198" i="24" s="1"/>
  <c r="E198" i="24" s="1"/>
  <c r="F198" i="24" s="1"/>
  <c r="B376" i="24"/>
  <c r="W376" i="24" s="1"/>
  <c r="B330" i="24"/>
  <c r="D330" i="24" s="1"/>
  <c r="E330" i="24" s="1"/>
  <c r="F330" i="24" s="1"/>
  <c r="G330" i="24" s="1"/>
  <c r="CE330" i="6" s="1"/>
  <c r="B238" i="24"/>
  <c r="D238" i="24" s="1"/>
  <c r="E238" i="24" s="1"/>
  <c r="F238" i="24" s="1"/>
  <c r="B190" i="24"/>
  <c r="W190" i="24" s="1"/>
  <c r="B219" i="24"/>
  <c r="W219" i="24" s="1"/>
  <c r="B107" i="24"/>
  <c r="B42" i="24"/>
  <c r="D42" i="24" s="1"/>
  <c r="E42" i="24" s="1"/>
  <c r="F42" i="24" s="1"/>
  <c r="B268" i="24"/>
  <c r="B369" i="24"/>
  <c r="W369" i="24" s="1"/>
  <c r="B325" i="24"/>
  <c r="W325" i="24" s="1"/>
  <c r="B204" i="24"/>
  <c r="D204" i="24" s="1"/>
  <c r="E204" i="24" s="1"/>
  <c r="F204" i="24" s="1"/>
  <c r="B323" i="24"/>
  <c r="D323" i="24" s="1"/>
  <c r="E323" i="24" s="1"/>
  <c r="F323" i="24" s="1"/>
  <c r="G323" i="24" s="1"/>
  <c r="CE323" i="6" s="1"/>
  <c r="B261" i="24"/>
  <c r="D261" i="24" s="1"/>
  <c r="E261" i="24" s="1"/>
  <c r="F261" i="24" s="1"/>
  <c r="B160" i="24"/>
  <c r="W160" i="24" s="1"/>
  <c r="B171" i="24"/>
  <c r="D171" i="24" s="1"/>
  <c r="E171" i="24" s="1"/>
  <c r="F171" i="24" s="1"/>
  <c r="B120" i="24"/>
  <c r="B169" i="24"/>
  <c r="D169" i="24" s="1"/>
  <c r="E169" i="24" s="1"/>
  <c r="F169" i="24" s="1"/>
  <c r="B125" i="24"/>
  <c r="W125" i="24" s="1"/>
  <c r="B316" i="24"/>
  <c r="D316" i="24" s="1"/>
  <c r="E316" i="24" s="1"/>
  <c r="F316" i="24" s="1"/>
  <c r="B194" i="24"/>
  <c r="W194" i="24" s="1"/>
  <c r="B39" i="24"/>
  <c r="W39" i="24" s="1"/>
  <c r="B318" i="24"/>
  <c r="B33" i="24"/>
  <c r="W33" i="24" s="1"/>
  <c r="B313" i="24"/>
  <c r="B280" i="24"/>
  <c r="B177" i="24"/>
  <c r="D177" i="24" s="1"/>
  <c r="E177" i="24" s="1"/>
  <c r="F177" i="24" s="1"/>
  <c r="H177" i="24" s="1"/>
  <c r="B137" i="24"/>
  <c r="W137" i="24" s="1"/>
  <c r="B79" i="24"/>
  <c r="D79" i="24" s="1"/>
  <c r="E79" i="24" s="1"/>
  <c r="F79" i="24" s="1"/>
  <c r="G79" i="24" s="1"/>
  <c r="CE79" i="6" s="1"/>
  <c r="B127" i="24"/>
  <c r="W127" i="24" s="1"/>
  <c r="B187" i="24"/>
  <c r="B134" i="24"/>
  <c r="D134" i="24" s="1"/>
  <c r="E134" i="24" s="1"/>
  <c r="F134" i="24" s="1"/>
  <c r="B260" i="24"/>
  <c r="W260" i="24" s="1"/>
  <c r="B348" i="24"/>
  <c r="D348" i="24" s="1"/>
  <c r="E348" i="24" s="1"/>
  <c r="F348" i="24" s="1"/>
  <c r="B244" i="24"/>
  <c r="B117" i="24"/>
  <c r="D117" i="24" s="1"/>
  <c r="E117" i="24" s="1"/>
  <c r="F117" i="24" s="1"/>
  <c r="B158" i="24"/>
  <c r="B205" i="24"/>
  <c r="B221" i="24"/>
  <c r="B251" i="24"/>
  <c r="B283" i="24"/>
  <c r="W283" i="24" s="1"/>
  <c r="B270" i="24"/>
  <c r="D270" i="24" s="1"/>
  <c r="E270" i="24" s="1"/>
  <c r="F270" i="24" s="1"/>
  <c r="B343" i="24"/>
  <c r="B157" i="24"/>
  <c r="D157" i="24" s="1"/>
  <c r="E157" i="24" s="1"/>
  <c r="F157" i="24" s="1"/>
  <c r="B108" i="24"/>
  <c r="B365" i="24"/>
  <c r="B22" i="24"/>
  <c r="W22" i="24" s="1"/>
  <c r="B64" i="24"/>
  <c r="W64" i="24" s="1"/>
  <c r="B185" i="24"/>
  <c r="B195" i="24"/>
  <c r="W195" i="24" s="1"/>
  <c r="B200" i="24"/>
  <c r="D200" i="24" s="1"/>
  <c r="E200" i="24" s="1"/>
  <c r="F200" i="24" s="1"/>
  <c r="G200" i="24" s="1"/>
  <c r="CE200" i="6" s="1"/>
  <c r="B337" i="24"/>
  <c r="W337" i="24" s="1"/>
  <c r="B202" i="24"/>
  <c r="D202" i="24" s="1"/>
  <c r="E202" i="24" s="1"/>
  <c r="F202" i="24" s="1"/>
  <c r="AA202" i="24" s="1"/>
  <c r="Z202" i="24" s="1"/>
  <c r="Y202" i="24" s="1"/>
  <c r="B215" i="24"/>
  <c r="W215" i="24" s="1"/>
  <c r="B282" i="24"/>
  <c r="D282" i="24" s="1"/>
  <c r="E282" i="24" s="1"/>
  <c r="F282" i="24" s="1"/>
  <c r="H282" i="24" s="1"/>
  <c r="B240" i="24"/>
  <c r="D240" i="24" s="1"/>
  <c r="E240" i="24" s="1"/>
  <c r="F240" i="24" s="1"/>
  <c r="B24" i="24"/>
  <c r="W24" i="24" s="1"/>
  <c r="B197" i="24"/>
  <c r="W197" i="24" s="1"/>
  <c r="B118" i="24"/>
  <c r="D118" i="24" s="1"/>
  <c r="E118" i="24" s="1"/>
  <c r="F118" i="24" s="1"/>
  <c r="AA118" i="24" s="1"/>
  <c r="Z118" i="24" s="1"/>
  <c r="Y118" i="24" s="1"/>
  <c r="B225" i="24"/>
  <c r="D225" i="24" s="1"/>
  <c r="E225" i="24" s="1"/>
  <c r="F225" i="24" s="1"/>
  <c r="B230" i="24"/>
  <c r="D230" i="24" s="1"/>
  <c r="E230" i="24" s="1"/>
  <c r="F230" i="24" s="1"/>
  <c r="G230" i="24" s="1"/>
  <c r="CE230" i="6" s="1"/>
  <c r="B141" i="24"/>
  <c r="W141" i="24" s="1"/>
  <c r="B208" i="24"/>
  <c r="D208" i="24" s="1"/>
  <c r="E208" i="24" s="1"/>
  <c r="F208" i="24" s="1"/>
  <c r="H208" i="24" s="1"/>
  <c r="B284" i="24"/>
  <c r="D284" i="24" s="1"/>
  <c r="E284" i="24" s="1"/>
  <c r="F284" i="24" s="1"/>
  <c r="B34" i="24"/>
  <c r="D34" i="24" s="1"/>
  <c r="E34" i="24" s="1"/>
  <c r="F34" i="24" s="1"/>
  <c r="G34" i="24" s="1"/>
  <c r="CE34" i="6" s="1"/>
  <c r="B332" i="24"/>
  <c r="W332" i="24" s="1"/>
  <c r="B178" i="24"/>
  <c r="D178" i="24" s="1"/>
  <c r="E178" i="24" s="1"/>
  <c r="F178" i="24" s="1"/>
  <c r="H178" i="24" s="1"/>
  <c r="B339" i="24"/>
  <c r="D339" i="24" s="1"/>
  <c r="E339" i="24" s="1"/>
  <c r="F339" i="24" s="1"/>
  <c r="B17" i="24"/>
  <c r="W17" i="24" s="1"/>
  <c r="B293" i="24"/>
  <c r="D293" i="24" s="1"/>
  <c r="E293" i="24" s="1"/>
  <c r="F293" i="24" s="1"/>
  <c r="B163" i="24"/>
  <c r="D163" i="24" s="1"/>
  <c r="E163" i="24" s="1"/>
  <c r="F163" i="24" s="1"/>
  <c r="G163" i="24" s="1"/>
  <c r="CE163" i="6" s="1"/>
  <c r="B350" i="24"/>
  <c r="W350" i="24" s="1"/>
  <c r="B153" i="24"/>
  <c r="B112" i="24"/>
  <c r="W112" i="24" s="1"/>
  <c r="B49" i="24"/>
  <c r="W49" i="24" s="1"/>
  <c r="B366" i="24"/>
  <c r="W366" i="24" s="1"/>
  <c r="B266" i="24"/>
  <c r="B347" i="24"/>
  <c r="W347" i="24" s="1"/>
  <c r="B277" i="24"/>
  <c r="B102" i="24"/>
  <c r="B16" i="24"/>
  <c r="D16" i="24" s="1"/>
  <c r="E16" i="24" s="1"/>
  <c r="F16" i="24" s="1"/>
  <c r="G16" i="24" s="1"/>
  <c r="CE16" i="6" s="1"/>
  <c r="B82" i="24"/>
  <c r="D82" i="24" s="1"/>
  <c r="E82" i="24" s="1"/>
  <c r="F82" i="24" s="1"/>
  <c r="H82" i="24" s="1"/>
  <c r="B345" i="24"/>
  <c r="B311" i="24"/>
  <c r="D311" i="24" s="1"/>
  <c r="E311" i="24" s="1"/>
  <c r="F311" i="24" s="1"/>
  <c r="H311" i="24" s="1"/>
  <c r="B155" i="24"/>
  <c r="B206" i="24"/>
  <c r="I268" i="23"/>
  <c r="J268" i="23"/>
  <c r="J223" i="23"/>
  <c r="I223" i="23"/>
  <c r="I79" i="23"/>
  <c r="J79" i="23"/>
  <c r="J295" i="23"/>
  <c r="I295" i="23"/>
  <c r="W379" i="23"/>
  <c r="I255" i="23"/>
  <c r="J255" i="23"/>
  <c r="I341" i="23"/>
  <c r="J341" i="23"/>
  <c r="I301" i="23"/>
  <c r="J301" i="23"/>
  <c r="AF15" i="24"/>
  <c r="W171" i="24"/>
  <c r="W157" i="24"/>
  <c r="AI382" i="24"/>
  <c r="Q134" i="25"/>
  <c r="Q301" i="25"/>
  <c r="Q126" i="25"/>
  <c r="Q272" i="25"/>
  <c r="Q252" i="25"/>
  <c r="Q29" i="25"/>
  <c r="Q344" i="25"/>
  <c r="Q45" i="25"/>
  <c r="Q327" i="25"/>
  <c r="Q236" i="25"/>
  <c r="Q150" i="25"/>
  <c r="Q184" i="25"/>
  <c r="Q63" i="25"/>
  <c r="Q345" i="25"/>
  <c r="Q247" i="25"/>
  <c r="Q194" i="25"/>
  <c r="Q66" i="25"/>
  <c r="Q92" i="25"/>
  <c r="AH66" i="7"/>
  <c r="W133" i="24"/>
  <c r="D102" i="24"/>
  <c r="E102" i="24" s="1"/>
  <c r="F102" i="24" s="1"/>
  <c r="G102" i="24" s="1"/>
  <c r="CE102" i="6" s="1"/>
  <c r="W42" i="24"/>
  <c r="W117" i="24"/>
  <c r="D277" i="24"/>
  <c r="E277" i="24" s="1"/>
  <c r="F277" i="24" s="1"/>
  <c r="G277" i="24" s="1"/>
  <c r="CE277" i="6" s="1"/>
  <c r="W204" i="24"/>
  <c r="W345" i="24"/>
  <c r="W134" i="24"/>
  <c r="D64" i="24"/>
  <c r="E64" i="24" s="1"/>
  <c r="F64" i="24" s="1"/>
  <c r="G64" i="24" s="1"/>
  <c r="CE64" i="6" s="1"/>
  <c r="D33" i="24"/>
  <c r="E33" i="24" s="1"/>
  <c r="F33" i="24" s="1"/>
  <c r="G33" i="24" s="1"/>
  <c r="CE33" i="6" s="1"/>
  <c r="W270" i="24"/>
  <c r="W348" i="24"/>
  <c r="D265" i="24"/>
  <c r="E265" i="24" s="1"/>
  <c r="F265" i="24" s="1"/>
  <c r="H265" i="24" s="1"/>
  <c r="W252" i="24"/>
  <c r="D195" i="24"/>
  <c r="E195" i="24" s="1"/>
  <c r="F195" i="24" s="1"/>
  <c r="AA195" i="24" s="1"/>
  <c r="Z195" i="24" s="1"/>
  <c r="Y195" i="24" s="1"/>
  <c r="W316" i="24"/>
  <c r="D206" i="24"/>
  <c r="E206" i="24" s="1"/>
  <c r="F206" i="24" s="1"/>
  <c r="AA206" i="24" s="1"/>
  <c r="Z206" i="24" s="1"/>
  <c r="Y206" i="24" s="1"/>
  <c r="W266" i="24"/>
  <c r="W79" i="24"/>
  <c r="W155" i="24"/>
  <c r="W53" i="24"/>
  <c r="W364" i="24"/>
  <c r="D94" i="24"/>
  <c r="E94" i="24" s="1"/>
  <c r="F94" i="24" s="1"/>
  <c r="G94" i="24" s="1"/>
  <c r="CE94" i="6" s="1"/>
  <c r="W152" i="24"/>
  <c r="W193" i="24"/>
  <c r="W245" i="24"/>
  <c r="D109" i="24"/>
  <c r="E109" i="24" s="1"/>
  <c r="F109" i="24" s="1"/>
  <c r="AA109" i="24" s="1"/>
  <c r="Z109" i="24" s="1"/>
  <c r="Y109" i="24" s="1"/>
  <c r="W334" i="24"/>
  <c r="D67" i="24"/>
  <c r="E67" i="24" s="1"/>
  <c r="F67" i="24" s="1"/>
  <c r="AA67" i="24" s="1"/>
  <c r="Z67" i="24" s="1"/>
  <c r="Y67" i="24" s="1"/>
  <c r="D65" i="24"/>
  <c r="E65" i="24" s="1"/>
  <c r="F65" i="24" s="1"/>
  <c r="G65" i="24" s="1"/>
  <c r="CE65" i="6" s="1"/>
  <c r="D174" i="24"/>
  <c r="E174" i="24" s="1"/>
  <c r="F174" i="24" s="1"/>
  <c r="AA174" i="24" s="1"/>
  <c r="Z174" i="24" s="1"/>
  <c r="Y174" i="24" s="1"/>
  <c r="D32" i="24"/>
  <c r="E32" i="24" s="1"/>
  <c r="F32" i="24" s="1"/>
  <c r="H32" i="24" s="1"/>
  <c r="W95" i="24"/>
  <c r="D224" i="24"/>
  <c r="E224" i="24" s="1"/>
  <c r="F224" i="24" s="1"/>
  <c r="G224" i="24" s="1"/>
  <c r="CE224" i="6" s="1"/>
  <c r="D110" i="24"/>
  <c r="E110" i="24" s="1"/>
  <c r="F110" i="24" s="1"/>
  <c r="AA110" i="24" s="1"/>
  <c r="Z110" i="24" s="1"/>
  <c r="Y110" i="24" s="1"/>
  <c r="D199" i="24"/>
  <c r="E199" i="24" s="1"/>
  <c r="F199" i="24" s="1"/>
  <c r="G199" i="24" s="1"/>
  <c r="CE199" i="6" s="1"/>
  <c r="W25" i="24"/>
  <c r="D275" i="24"/>
  <c r="E275" i="24" s="1"/>
  <c r="F275" i="24" s="1"/>
  <c r="G275" i="24" s="1"/>
  <c r="CE275" i="6" s="1"/>
  <c r="W262" i="24"/>
  <c r="W184" i="24"/>
  <c r="D84" i="24"/>
  <c r="E84" i="24" s="1"/>
  <c r="F84" i="24" s="1"/>
  <c r="H84" i="24" s="1"/>
  <c r="V241" i="24"/>
  <c r="W54" i="24"/>
  <c r="W354" i="24"/>
  <c r="D263" i="24"/>
  <c r="E263" i="24" s="1"/>
  <c r="F263" i="24" s="1"/>
  <c r="AA263" i="24" s="1"/>
  <c r="Z263" i="24" s="1"/>
  <c r="Y263" i="24" s="1"/>
  <c r="D298" i="24"/>
  <c r="E298" i="24" s="1"/>
  <c r="F298" i="24" s="1"/>
  <c r="G298" i="24" s="1"/>
  <c r="CE298" i="6" s="1"/>
  <c r="D368" i="24"/>
  <c r="E368" i="24" s="1"/>
  <c r="F368" i="24" s="1"/>
  <c r="AA368" i="24" s="1"/>
  <c r="Z368" i="24" s="1"/>
  <c r="Y368" i="24" s="1"/>
  <c r="D114" i="24"/>
  <c r="E114" i="24" s="1"/>
  <c r="F114" i="24" s="1"/>
  <c r="H114" i="24" s="1"/>
  <c r="D192" i="24"/>
  <c r="E192" i="24" s="1"/>
  <c r="F192" i="24" s="1"/>
  <c r="G192" i="24" s="1"/>
  <c r="CE192" i="6" s="1"/>
  <c r="D131" i="24"/>
  <c r="E131" i="24" s="1"/>
  <c r="F131" i="24" s="1"/>
  <c r="G131" i="24" s="1"/>
  <c r="CE131" i="6" s="1"/>
  <c r="D93" i="24"/>
  <c r="E93" i="24" s="1"/>
  <c r="F93" i="24" s="1"/>
  <c r="G93" i="24" s="1"/>
  <c r="CE93" i="6" s="1"/>
  <c r="W76" i="24"/>
  <c r="D66" i="24"/>
  <c r="E66" i="24" s="1"/>
  <c r="F66" i="24" s="1"/>
  <c r="AA66" i="24" s="1"/>
  <c r="Z66" i="24" s="1"/>
  <c r="Y66" i="24" s="1"/>
  <c r="D75" i="24"/>
  <c r="E75" i="24" s="1"/>
  <c r="F75" i="24" s="1"/>
  <c r="G75" i="24" s="1"/>
  <c r="CE75" i="6" s="1"/>
  <c r="W297" i="24"/>
  <c r="W126" i="24"/>
  <c r="D336" i="24"/>
  <c r="E336" i="24" s="1"/>
  <c r="F336" i="24" s="1"/>
  <c r="H336" i="24" s="1"/>
  <c r="W326" i="24"/>
  <c r="D30" i="24"/>
  <c r="E30" i="24" s="1"/>
  <c r="F30" i="24" s="1"/>
  <c r="G30" i="24" s="1"/>
  <c r="CE30" i="6" s="1"/>
  <c r="D194" i="24"/>
  <c r="E194" i="24" s="1"/>
  <c r="F194" i="24" s="1"/>
  <c r="G194" i="24" s="1"/>
  <c r="CE194" i="6" s="1"/>
  <c r="D39" i="24"/>
  <c r="E39" i="24" s="1"/>
  <c r="F39" i="24" s="1"/>
  <c r="H39" i="24" s="1"/>
  <c r="D369" i="24"/>
  <c r="E369" i="24" s="1"/>
  <c r="F369" i="24" s="1"/>
  <c r="AA369" i="24" s="1"/>
  <c r="Z369" i="24" s="1"/>
  <c r="Y369" i="24" s="1"/>
  <c r="W261" i="24"/>
  <c r="W169" i="24"/>
  <c r="D137" i="24"/>
  <c r="E137" i="24" s="1"/>
  <c r="F137" i="24" s="1"/>
  <c r="G137" i="24" s="1"/>
  <c r="CE137" i="6" s="1"/>
  <c r="D127" i="24"/>
  <c r="E127" i="24" s="1"/>
  <c r="F127" i="24" s="1"/>
  <c r="G127" i="24" s="1"/>
  <c r="CE127" i="6" s="1"/>
  <c r="W153" i="24"/>
  <c r="D350" i="24"/>
  <c r="E350" i="24" s="1"/>
  <c r="F350" i="24" s="1"/>
  <c r="G350" i="24" s="1"/>
  <c r="CE350" i="6" s="1"/>
  <c r="W163" i="24"/>
  <c r="W293" i="24"/>
  <c r="D17" i="24"/>
  <c r="E17" i="24" s="1"/>
  <c r="F17" i="24" s="1"/>
  <c r="AA17" i="24" s="1"/>
  <c r="Z17" i="24" s="1"/>
  <c r="Y17" i="24" s="1"/>
  <c r="W339" i="24"/>
  <c r="W178" i="24"/>
  <c r="D332" i="24"/>
  <c r="E332" i="24" s="1"/>
  <c r="F332" i="24" s="1"/>
  <c r="G332" i="24" s="1"/>
  <c r="CE332" i="6" s="1"/>
  <c r="W34" i="24"/>
  <c r="W284" i="24"/>
  <c r="W208" i="24"/>
  <c r="D141" i="24"/>
  <c r="E141" i="24" s="1"/>
  <c r="F141" i="24" s="1"/>
  <c r="G141" i="24" s="1"/>
  <c r="CE141" i="6" s="1"/>
  <c r="W230" i="24"/>
  <c r="W225" i="24"/>
  <c r="W118" i="24"/>
  <c r="D197" i="24"/>
  <c r="E197" i="24" s="1"/>
  <c r="F197" i="24" s="1"/>
  <c r="G197" i="24" s="1"/>
  <c r="CE197" i="6" s="1"/>
  <c r="D24" i="24"/>
  <c r="E24" i="24" s="1"/>
  <c r="F24" i="24" s="1"/>
  <c r="H24" i="24" s="1"/>
  <c r="W240" i="24"/>
  <c r="W282" i="24"/>
  <c r="D215" i="24"/>
  <c r="E215" i="24" s="1"/>
  <c r="F215" i="24" s="1"/>
  <c r="H215" i="24" s="1"/>
  <c r="W202" i="24"/>
  <c r="D337" i="24"/>
  <c r="E337" i="24" s="1"/>
  <c r="F337" i="24" s="1"/>
  <c r="G337" i="24" s="1"/>
  <c r="CE337" i="6" s="1"/>
  <c r="W200" i="24"/>
  <c r="AI381" i="24"/>
  <c r="AI383" i="24"/>
  <c r="AZ16" i="7"/>
  <c r="BF11" i="7" s="1"/>
  <c r="U11" i="25" s="1"/>
  <c r="T379" i="24"/>
  <c r="S379" i="24" s="1"/>
  <c r="R379" i="24" s="1"/>
  <c r="P379" i="24" s="1"/>
  <c r="D43" i="19" s="1"/>
  <c r="U12" i="25"/>
  <c r="D35" i="24"/>
  <c r="E35" i="24" s="1"/>
  <c r="F35" i="24" s="1"/>
  <c r="AA35" i="24" s="1"/>
  <c r="Z35" i="24" s="1"/>
  <c r="Y35" i="24" s="1"/>
  <c r="V29" i="24"/>
  <c r="D289" i="24"/>
  <c r="E289" i="24" s="1"/>
  <c r="F289" i="24" s="1"/>
  <c r="AA289" i="24" s="1"/>
  <c r="Z289" i="24" s="1"/>
  <c r="Y289" i="24" s="1"/>
  <c r="AH57" i="7"/>
  <c r="W315" i="24"/>
  <c r="Q346" i="25"/>
  <c r="Q313" i="25"/>
  <c r="Q61" i="25"/>
  <c r="Q263" i="25"/>
  <c r="Q307" i="25"/>
  <c r="Q44" i="25"/>
  <c r="AA379" i="23"/>
  <c r="Z379" i="23" s="1"/>
  <c r="Y379" i="23" s="1"/>
  <c r="W31" i="24"/>
  <c r="W295" i="24"/>
  <c r="V119" i="24"/>
  <c r="D309" i="24"/>
  <c r="E309" i="24" s="1"/>
  <c r="F309" i="24" s="1"/>
  <c r="G309" i="24" s="1"/>
  <c r="CE309" i="6" s="1"/>
  <c r="D116" i="24"/>
  <c r="E116" i="24" s="1"/>
  <c r="F116" i="24" s="1"/>
  <c r="AA116" i="24" s="1"/>
  <c r="Z116" i="24" s="1"/>
  <c r="Y116" i="24" s="1"/>
  <c r="Q350" i="25"/>
  <c r="Q192" i="25"/>
  <c r="Q202" i="25"/>
  <c r="Q285" i="25"/>
  <c r="Q290" i="25"/>
  <c r="Q136" i="25"/>
  <c r="Q68" i="25"/>
  <c r="Q308" i="25"/>
  <c r="Q119" i="25"/>
  <c r="Q253" i="25"/>
  <c r="Q373" i="25"/>
  <c r="Q268" i="25"/>
  <c r="Q195" i="25"/>
  <c r="Q246" i="25"/>
  <c r="Q27" i="25"/>
  <c r="Q116" i="25"/>
  <c r="Q128" i="25"/>
  <c r="Q105" i="25"/>
  <c r="Q157" i="25"/>
  <c r="Q81" i="25"/>
  <c r="Q140" i="25"/>
  <c r="Q159" i="25"/>
  <c r="Q162" i="25"/>
  <c r="Q74" i="25"/>
  <c r="Q206" i="25"/>
  <c r="Q296" i="25"/>
  <c r="Q196" i="25"/>
  <c r="Q113" i="25"/>
  <c r="Q284" i="25"/>
  <c r="Q87" i="25"/>
  <c r="G379" i="23"/>
  <c r="CD379" i="6" s="1"/>
  <c r="D37" i="24"/>
  <c r="E37" i="24" s="1"/>
  <c r="F37" i="24" s="1"/>
  <c r="AA37" i="24" s="1"/>
  <c r="Z37" i="24" s="1"/>
  <c r="Y37" i="24" s="1"/>
  <c r="W235" i="24"/>
  <c r="D100" i="24"/>
  <c r="E100" i="24" s="1"/>
  <c r="F100" i="24" s="1"/>
  <c r="H100" i="24" s="1"/>
  <c r="W146" i="24"/>
  <c r="W43" i="24"/>
  <c r="D113" i="24"/>
  <c r="E113" i="24" s="1"/>
  <c r="F113" i="24" s="1"/>
  <c r="AA113" i="24" s="1"/>
  <c r="Z113" i="24" s="1"/>
  <c r="Y113" i="24" s="1"/>
  <c r="D317" i="24"/>
  <c r="E317" i="24" s="1"/>
  <c r="F317" i="24" s="1"/>
  <c r="AA317" i="24" s="1"/>
  <c r="Z317" i="24" s="1"/>
  <c r="Y317" i="24" s="1"/>
  <c r="D173" i="24"/>
  <c r="E173" i="24" s="1"/>
  <c r="F173" i="24" s="1"/>
  <c r="AA173" i="24" s="1"/>
  <c r="Z173" i="24" s="1"/>
  <c r="Y173" i="24" s="1"/>
  <c r="W276" i="24"/>
  <c r="W167" i="24"/>
  <c r="W198" i="24"/>
  <c r="D201" i="24"/>
  <c r="E201" i="24" s="1"/>
  <c r="F201" i="24" s="1"/>
  <c r="AA201" i="24" s="1"/>
  <c r="Z201" i="24" s="1"/>
  <c r="Y201" i="24" s="1"/>
  <c r="D128" i="24"/>
  <c r="E128" i="24" s="1"/>
  <c r="F128" i="24" s="1"/>
  <c r="AA128" i="24" s="1"/>
  <c r="Z128" i="24" s="1"/>
  <c r="Y128" i="24" s="1"/>
  <c r="D310" i="24"/>
  <c r="E310" i="24" s="1"/>
  <c r="F310" i="24" s="1"/>
  <c r="AA310" i="24" s="1"/>
  <c r="Z310" i="24" s="1"/>
  <c r="Y310" i="24" s="1"/>
  <c r="V363" i="24"/>
  <c r="W50" i="24"/>
  <c r="V180" i="24"/>
  <c r="V302" i="24"/>
  <c r="W165" i="24"/>
  <c r="W21" i="24"/>
  <c r="W19" i="24"/>
  <c r="D45" i="24"/>
  <c r="E45" i="24" s="1"/>
  <c r="F45" i="24" s="1"/>
  <c r="G45" i="24" s="1"/>
  <c r="CE45" i="6" s="1"/>
  <c r="D183" i="24"/>
  <c r="E183" i="24" s="1"/>
  <c r="F183" i="24" s="1"/>
  <c r="H183" i="24" s="1"/>
  <c r="D44" i="24"/>
  <c r="E44" i="24" s="1"/>
  <c r="F44" i="24" s="1"/>
  <c r="H44" i="24" s="1"/>
  <c r="W161" i="24"/>
  <c r="W62" i="24"/>
  <c r="W212" i="24"/>
  <c r="W271" i="24"/>
  <c r="D296" i="24"/>
  <c r="E296" i="24" s="1"/>
  <c r="F296" i="24" s="1"/>
  <c r="G296" i="24" s="1"/>
  <c r="CE296" i="6" s="1"/>
  <c r="W122" i="24"/>
  <c r="W291" i="24"/>
  <c r="Q42" i="25"/>
  <c r="Q38" i="25"/>
  <c r="Q235" i="25"/>
  <c r="Q343" i="25"/>
  <c r="Q133" i="25"/>
  <c r="Q362" i="25"/>
  <c r="Q164" i="25"/>
  <c r="Q22" i="25"/>
  <c r="Q161" i="25"/>
  <c r="Q367" i="25"/>
  <c r="D281" i="24"/>
  <c r="E281" i="24" s="1"/>
  <c r="F281" i="24" s="1"/>
  <c r="AA281" i="24" s="1"/>
  <c r="Z281" i="24" s="1"/>
  <c r="Y281" i="24" s="1"/>
  <c r="D207" i="24"/>
  <c r="E207" i="24" s="1"/>
  <c r="F207" i="24" s="1"/>
  <c r="H207" i="24" s="1"/>
  <c r="D218" i="24"/>
  <c r="E218" i="24" s="1"/>
  <c r="F218" i="24" s="1"/>
  <c r="AA218" i="24" s="1"/>
  <c r="Z218" i="24" s="1"/>
  <c r="Y218" i="24" s="1"/>
  <c r="D228" i="24"/>
  <c r="E228" i="24" s="1"/>
  <c r="F228" i="24" s="1"/>
  <c r="AA228" i="24" s="1"/>
  <c r="Z228" i="24" s="1"/>
  <c r="Y228" i="24" s="1"/>
  <c r="D151" i="24"/>
  <c r="E151" i="24" s="1"/>
  <c r="F151" i="24" s="1"/>
  <c r="AA151" i="24" s="1"/>
  <c r="Z151" i="24" s="1"/>
  <c r="Y151" i="24" s="1"/>
  <c r="D360" i="24"/>
  <c r="E360" i="24" s="1"/>
  <c r="F360" i="24" s="1"/>
  <c r="H360" i="24" s="1"/>
  <c r="D362" i="24"/>
  <c r="E362" i="24" s="1"/>
  <c r="F362" i="24" s="1"/>
  <c r="AA362" i="24" s="1"/>
  <c r="Z362" i="24" s="1"/>
  <c r="Y362" i="24" s="1"/>
  <c r="D145" i="24"/>
  <c r="E145" i="24" s="1"/>
  <c r="F145" i="24" s="1"/>
  <c r="H145" i="24" s="1"/>
  <c r="D367" i="24"/>
  <c r="E367" i="24" s="1"/>
  <c r="F367" i="24" s="1"/>
  <c r="AA367" i="24" s="1"/>
  <c r="Z367" i="24" s="1"/>
  <c r="Y367" i="24" s="1"/>
  <c r="W85" i="24"/>
  <c r="W162" i="24"/>
  <c r="W150" i="24"/>
  <c r="D90" i="24"/>
  <c r="E90" i="24" s="1"/>
  <c r="F90" i="24" s="1"/>
  <c r="AA90" i="24" s="1"/>
  <c r="Z90" i="24" s="1"/>
  <c r="Y90" i="24" s="1"/>
  <c r="AJ9" i="20"/>
  <c r="AJ11" i="20" s="1"/>
  <c r="AK7" i="20"/>
  <c r="Q215" i="25"/>
  <c r="AE11" i="25"/>
  <c r="V379" i="24"/>
  <c r="E40" i="19"/>
  <c r="Q211" i="25"/>
  <c r="Q347" i="25"/>
  <c r="Q376" i="25"/>
  <c r="Q158" i="25"/>
  <c r="Q251" i="25"/>
  <c r="Q289" i="25"/>
  <c r="Q331" i="25"/>
  <c r="Q15" i="25"/>
  <c r="Q171" i="25"/>
  <c r="Q17" i="25"/>
  <c r="Q337" i="25"/>
  <c r="Q170" i="25"/>
  <c r="Q118" i="25"/>
  <c r="Q188" i="25"/>
  <c r="Q193" i="25"/>
  <c r="Q217" i="25"/>
  <c r="Q276" i="25"/>
  <c r="Q183" i="25"/>
  <c r="Q378" i="25"/>
  <c r="Q169" i="25"/>
  <c r="Q47" i="25"/>
  <c r="Q218" i="25"/>
  <c r="Q319" i="25"/>
  <c r="Q288" i="25"/>
  <c r="Q339" i="25"/>
  <c r="Q282" i="25"/>
  <c r="Q199" i="25"/>
  <c r="Q107" i="25"/>
  <c r="Q283" i="25"/>
  <c r="Q64" i="25"/>
  <c r="Q120" i="25"/>
  <c r="Q50" i="25"/>
  <c r="D303" i="24"/>
  <c r="E303" i="24" s="1"/>
  <c r="F303" i="24" s="1"/>
  <c r="G303" i="24" s="1"/>
  <c r="CE303" i="6" s="1"/>
  <c r="W70" i="24"/>
  <c r="W300" i="24"/>
  <c r="D259" i="24"/>
  <c r="E259" i="24" s="1"/>
  <c r="F259" i="24" s="1"/>
  <c r="H259" i="24" s="1"/>
  <c r="W148" i="24"/>
  <c r="D257" i="24"/>
  <c r="E257" i="24" s="1"/>
  <c r="F257" i="24" s="1"/>
  <c r="H257" i="24" s="1"/>
  <c r="W373" i="24"/>
  <c r="D287" i="24"/>
  <c r="E287" i="24" s="1"/>
  <c r="F287" i="24" s="1"/>
  <c r="H287" i="24" s="1"/>
  <c r="D321" i="24"/>
  <c r="E321" i="24" s="1"/>
  <c r="F321" i="24" s="1"/>
  <c r="AA321" i="24" s="1"/>
  <c r="Z321" i="24" s="1"/>
  <c r="Y321" i="24" s="1"/>
  <c r="W98" i="24"/>
  <c r="D138" i="24"/>
  <c r="E138" i="24" s="1"/>
  <c r="F138" i="24" s="1"/>
  <c r="G138" i="24" s="1"/>
  <c r="CE138" i="6" s="1"/>
  <c r="D71" i="24"/>
  <c r="E71" i="24" s="1"/>
  <c r="F71" i="24" s="1"/>
  <c r="G71" i="24" s="1"/>
  <c r="CE71" i="6" s="1"/>
  <c r="W217" i="24"/>
  <c r="W81" i="24"/>
  <c r="D28" i="24"/>
  <c r="E28" i="24" s="1"/>
  <c r="F28" i="24" s="1"/>
  <c r="G28" i="24" s="1"/>
  <c r="CE28" i="6" s="1"/>
  <c r="D144" i="24"/>
  <c r="E144" i="24" s="1"/>
  <c r="F144" i="24" s="1"/>
  <c r="AA144" i="24" s="1"/>
  <c r="Z144" i="24" s="1"/>
  <c r="Y144" i="24" s="1"/>
  <c r="W324" i="24"/>
  <c r="W357" i="24"/>
  <c r="W77" i="24"/>
  <c r="W72" i="24"/>
  <c r="D320" i="24"/>
  <c r="E320" i="24" s="1"/>
  <c r="F320" i="24" s="1"/>
  <c r="G320" i="24" s="1"/>
  <c r="CE320" i="6" s="1"/>
  <c r="D346" i="24"/>
  <c r="E346" i="24" s="1"/>
  <c r="F346" i="24" s="1"/>
  <c r="H346" i="24" s="1"/>
  <c r="W132" i="24"/>
  <c r="W378" i="24"/>
  <c r="W273" i="24"/>
  <c r="D36" i="24"/>
  <c r="E36" i="24" s="1"/>
  <c r="F36" i="24" s="1"/>
  <c r="AA36" i="24" s="1"/>
  <c r="Z36" i="24" s="1"/>
  <c r="Y36" i="24" s="1"/>
  <c r="D61" i="24"/>
  <c r="E61" i="24" s="1"/>
  <c r="F61" i="24" s="1"/>
  <c r="H61" i="24" s="1"/>
  <c r="D111" i="24"/>
  <c r="E111" i="24" s="1"/>
  <c r="F111" i="24" s="1"/>
  <c r="G111" i="24" s="1"/>
  <c r="CE111" i="6" s="1"/>
  <c r="D246" i="24"/>
  <c r="E246" i="24" s="1"/>
  <c r="F246" i="24" s="1"/>
  <c r="AA246" i="24" s="1"/>
  <c r="Z246" i="24" s="1"/>
  <c r="Y246" i="24" s="1"/>
  <c r="D248" i="24"/>
  <c r="E248" i="24" s="1"/>
  <c r="F248" i="24" s="1"/>
  <c r="H248" i="24" s="1"/>
  <c r="D331" i="24"/>
  <c r="E331" i="24" s="1"/>
  <c r="F331" i="24" s="1"/>
  <c r="H331" i="24" s="1"/>
  <c r="W27" i="24"/>
  <c r="W156" i="24"/>
  <c r="W124" i="24"/>
  <c r="W269" i="24"/>
  <c r="D352" i="24"/>
  <c r="E352" i="24" s="1"/>
  <c r="F352" i="24" s="1"/>
  <c r="H352" i="24" s="1"/>
  <c r="D170" i="24"/>
  <c r="E170" i="24" s="1"/>
  <c r="F170" i="24" s="1"/>
  <c r="AA170" i="24" s="1"/>
  <c r="Z170" i="24" s="1"/>
  <c r="Y170" i="24" s="1"/>
  <c r="W188" i="24"/>
  <c r="D338" i="24"/>
  <c r="E338" i="24" s="1"/>
  <c r="F338" i="24" s="1"/>
  <c r="H338" i="24" s="1"/>
  <c r="W223" i="24"/>
  <c r="W351" i="24"/>
  <c r="D371" i="24"/>
  <c r="E371" i="24" s="1"/>
  <c r="F371" i="24" s="1"/>
  <c r="G371" i="24" s="1"/>
  <c r="CE371" i="6" s="1"/>
  <c r="W229" i="24"/>
  <c r="D294" i="24"/>
  <c r="E294" i="24" s="1"/>
  <c r="F294" i="24" s="1"/>
  <c r="G294" i="24" s="1"/>
  <c r="CE294" i="6" s="1"/>
  <c r="W211" i="24"/>
  <c r="D234" i="24"/>
  <c r="E234" i="24" s="1"/>
  <c r="F234" i="24" s="1"/>
  <c r="H234" i="24" s="1"/>
  <c r="W99" i="24"/>
  <c r="D106" i="24"/>
  <c r="E106" i="24" s="1"/>
  <c r="F106" i="24" s="1"/>
  <c r="AA106" i="24" s="1"/>
  <c r="Z106" i="24" s="1"/>
  <c r="Y106" i="24" s="1"/>
  <c r="D159" i="24"/>
  <c r="E159" i="24" s="1"/>
  <c r="F159" i="24" s="1"/>
  <c r="G159" i="24" s="1"/>
  <c r="CE159" i="6" s="1"/>
  <c r="D305" i="24"/>
  <c r="E305" i="24" s="1"/>
  <c r="F305" i="24" s="1"/>
  <c r="AA305" i="24" s="1"/>
  <c r="Z305" i="24" s="1"/>
  <c r="Y305" i="24" s="1"/>
  <c r="D322" i="24"/>
  <c r="E322" i="24" s="1"/>
  <c r="F322" i="24" s="1"/>
  <c r="H322" i="24" s="1"/>
  <c r="W253" i="24"/>
  <c r="W247" i="24"/>
  <c r="D376" i="24"/>
  <c r="E376" i="24" s="1"/>
  <c r="F376" i="24" s="1"/>
  <c r="G376" i="24" s="1"/>
  <c r="CE376" i="6" s="1"/>
  <c r="W238" i="24"/>
  <c r="D219" i="24"/>
  <c r="E219" i="24" s="1"/>
  <c r="F219" i="24" s="1"/>
  <c r="H219" i="24" s="1"/>
  <c r="D306" i="24"/>
  <c r="E306" i="24" s="1"/>
  <c r="F306" i="24" s="1"/>
  <c r="H306" i="24" s="1"/>
  <c r="W23" i="24"/>
  <c r="W182" i="24"/>
  <c r="W181" i="24"/>
  <c r="W267" i="24"/>
  <c r="D359" i="24"/>
  <c r="E359" i="24" s="1"/>
  <c r="F359" i="24" s="1"/>
  <c r="H359" i="24" s="1"/>
  <c r="W278" i="24"/>
  <c r="D312" i="24"/>
  <c r="E312" i="24" s="1"/>
  <c r="F312" i="24" s="1"/>
  <c r="AA312" i="24" s="1"/>
  <c r="Z312" i="24" s="1"/>
  <c r="Y312" i="24" s="1"/>
  <c r="T18" i="24"/>
  <c r="U382" i="24"/>
  <c r="U381" i="24"/>
  <c r="U383" i="24"/>
  <c r="L69" i="19"/>
  <c r="AA180" i="23"/>
  <c r="Z180" i="23" s="1"/>
  <c r="Y180" i="23" s="1"/>
  <c r="G180" i="23"/>
  <c r="CD180" i="6" s="1"/>
  <c r="AA302" i="23"/>
  <c r="Z302" i="23" s="1"/>
  <c r="Y302" i="23" s="1"/>
  <c r="G302" i="23"/>
  <c r="CD302" i="6" s="1"/>
  <c r="H302" i="23"/>
  <c r="G210" i="23"/>
  <c r="CD210" i="6" s="1"/>
  <c r="AA210" i="23"/>
  <c r="Z210" i="23" s="1"/>
  <c r="Y210" i="23" s="1"/>
  <c r="H210" i="23"/>
  <c r="G333" i="23"/>
  <c r="CD333" i="6" s="1"/>
  <c r="AA333" i="23"/>
  <c r="Z333" i="23" s="1"/>
  <c r="Y333" i="23" s="1"/>
  <c r="H333" i="23"/>
  <c r="R382" i="23"/>
  <c r="P15" i="23"/>
  <c r="R381" i="23"/>
  <c r="R383" i="23"/>
  <c r="H180" i="23"/>
  <c r="AA272" i="23"/>
  <c r="Z272" i="23" s="1"/>
  <c r="Y272" i="23" s="1"/>
  <c r="G272" i="23"/>
  <c r="CD272" i="6" s="1"/>
  <c r="H272" i="23"/>
  <c r="G363" i="23"/>
  <c r="CD363" i="6" s="1"/>
  <c r="AA363" i="23"/>
  <c r="Z363" i="23" s="1"/>
  <c r="Y363" i="23" s="1"/>
  <c r="G241" i="23"/>
  <c r="CD241" i="6" s="1"/>
  <c r="AA241" i="23"/>
  <c r="Z241" i="23" s="1"/>
  <c r="Y241" i="23" s="1"/>
  <c r="H241" i="23"/>
  <c r="I379" i="23"/>
  <c r="J379" i="23"/>
  <c r="G119" i="23"/>
  <c r="CD119" i="6" s="1"/>
  <c r="AA119" i="23"/>
  <c r="Z119" i="23" s="1"/>
  <c r="Y119" i="23" s="1"/>
  <c r="G149" i="23"/>
  <c r="CD149" i="6" s="1"/>
  <c r="AA149" i="23"/>
  <c r="Z149" i="23" s="1"/>
  <c r="Y149" i="23" s="1"/>
  <c r="H149" i="23"/>
  <c r="G88" i="23"/>
  <c r="CD88" i="6" s="1"/>
  <c r="AA88" i="23"/>
  <c r="Z88" i="23" s="1"/>
  <c r="Y88" i="23" s="1"/>
  <c r="H88" i="23"/>
  <c r="J119" i="23"/>
  <c r="H363" i="23"/>
  <c r="I380" i="24"/>
  <c r="H380" i="25" s="1"/>
  <c r="J380" i="24"/>
  <c r="AF383" i="23"/>
  <c r="AD15" i="23"/>
  <c r="AF382" i="23"/>
  <c r="AF381" i="23"/>
  <c r="J15" i="18"/>
  <c r="I15" i="18"/>
  <c r="G383" i="18"/>
  <c r="G12" i="18" s="1"/>
  <c r="G381" i="18"/>
  <c r="G382" i="18"/>
  <c r="Q71" i="25"/>
  <c r="Q76" i="25"/>
  <c r="Q175" i="25"/>
  <c r="Q210" i="25"/>
  <c r="Q325" i="25"/>
  <c r="Q349" i="25"/>
  <c r="Q114" i="25"/>
  <c r="Q226" i="25"/>
  <c r="Q238" i="25"/>
  <c r="Q351" i="25"/>
  <c r="Q356" i="25"/>
  <c r="Q30" i="25"/>
  <c r="Q198" i="25"/>
  <c r="Q374" i="25"/>
  <c r="Q201" i="25"/>
  <c r="Q300" i="25"/>
  <c r="Q62" i="25"/>
  <c r="Q298" i="25"/>
  <c r="Q281" i="25"/>
  <c r="Q294" i="25"/>
  <c r="Q279" i="25"/>
  <c r="Q348" i="25"/>
  <c r="Q182" i="25"/>
  <c r="Q234" i="25"/>
  <c r="Q103" i="25"/>
  <c r="Q55" i="25"/>
  <c r="Q280" i="25"/>
  <c r="Q16" i="25"/>
  <c r="Q274" i="25"/>
  <c r="Q363" i="25"/>
  <c r="Q100" i="25"/>
  <c r="Q132" i="25"/>
  <c r="Q286" i="25"/>
  <c r="Q271" i="25"/>
  <c r="Q138" i="25"/>
  <c r="Q58" i="25"/>
  <c r="Q72" i="25"/>
  <c r="Q239" i="25"/>
  <c r="Q153" i="25"/>
  <c r="Q33" i="25"/>
  <c r="Q46" i="25"/>
  <c r="Q317" i="25"/>
  <c r="Q304" i="25"/>
  <c r="Q322" i="25"/>
  <c r="Q148" i="25"/>
  <c r="Q141" i="25"/>
  <c r="Q174" i="25"/>
  <c r="Q91" i="25"/>
  <c r="Q151" i="25"/>
  <c r="Q329" i="25"/>
  <c r="Q173" i="25"/>
  <c r="Q278" i="25"/>
  <c r="Q335" i="25"/>
  <c r="Q222" i="25"/>
  <c r="Q179" i="25"/>
  <c r="Q48" i="25"/>
  <c r="Q267" i="25"/>
  <c r="Q338" i="25"/>
  <c r="Q129" i="25"/>
  <c r="Q231" i="25"/>
  <c r="Q53" i="25"/>
  <c r="Q209" i="25"/>
  <c r="Q172" i="25"/>
  <c r="Q176" i="25"/>
  <c r="Q137" i="25"/>
  <c r="Q59" i="25"/>
  <c r="Q86" i="25"/>
  <c r="Q245" i="25"/>
  <c r="Q20" i="25"/>
  <c r="Q314" i="25"/>
  <c r="Q21" i="25"/>
  <c r="Q262" i="25"/>
  <c r="Q90" i="25"/>
  <c r="Q28" i="25"/>
  <c r="Q70" i="25"/>
  <c r="Q25" i="25"/>
  <c r="Q93" i="25"/>
  <c r="Q18" i="25"/>
  <c r="Q124" i="25"/>
  <c r="Q297" i="25"/>
  <c r="Q360" i="25"/>
  <c r="Q56" i="25"/>
  <c r="Q80" i="25"/>
  <c r="Q340" i="25"/>
  <c r="Q89" i="25"/>
  <c r="Q24" i="25"/>
  <c r="Q88" i="25"/>
  <c r="Q359" i="25"/>
  <c r="Q108" i="25"/>
  <c r="Q364" i="25"/>
  <c r="Q299" i="25"/>
  <c r="Q65" i="25"/>
  <c r="Q232" i="25"/>
  <c r="Q109" i="25"/>
  <c r="Q306" i="25"/>
  <c r="Q315" i="25"/>
  <c r="Q39" i="25"/>
  <c r="Q312" i="25"/>
  <c r="Q259" i="25"/>
  <c r="Q368" i="25"/>
  <c r="Q125" i="25"/>
  <c r="Q19" i="25"/>
  <c r="Q254" i="25"/>
  <c r="Q377" i="25"/>
  <c r="Q139" i="25"/>
  <c r="Q156" i="25"/>
  <c r="Q366" i="25"/>
  <c r="Q221" i="25"/>
  <c r="Q111" i="25"/>
  <c r="Q257" i="25"/>
  <c r="Q244" i="25"/>
  <c r="Q361" i="25"/>
  <c r="Q135" i="25"/>
  <c r="Q101" i="25"/>
  <c r="Q332" i="25"/>
  <c r="Q309" i="25"/>
  <c r="Q180" i="25"/>
  <c r="Q323" i="25"/>
  <c r="Q36" i="25"/>
  <c r="Q224" i="25"/>
  <c r="E9" i="20"/>
  <c r="E11" i="20" s="1"/>
  <c r="E381" i="20"/>
  <c r="E382" i="20"/>
  <c r="AK8" i="20"/>
  <c r="AJ10" i="20"/>
  <c r="AJ12" i="20" s="1"/>
  <c r="F15" i="20"/>
  <c r="E383" i="20"/>
  <c r="AB9" i="18"/>
  <c r="F11" i="18"/>
  <c r="G15" i="19"/>
  <c r="AM8" i="18"/>
  <c r="AA9" i="18"/>
  <c r="AL10" i="18"/>
  <c r="AA382" i="18"/>
  <c r="Z15" i="18"/>
  <c r="AA383" i="18"/>
  <c r="AA381" i="18"/>
  <c r="Q265" i="25"/>
  <c r="Q165" i="25"/>
  <c r="Q225" i="25"/>
  <c r="Q190" i="25"/>
  <c r="Q207" i="25"/>
  <c r="Q189" i="25"/>
  <c r="Q287" i="25"/>
  <c r="Q110" i="25"/>
  <c r="Q208" i="25"/>
  <c r="Q185" i="25"/>
  <c r="Q328" i="25"/>
  <c r="AE25" i="25"/>
  <c r="AE190" i="25"/>
  <c r="AE365" i="25"/>
  <c r="AE201" i="25"/>
  <c r="AE238" i="25"/>
  <c r="AE167" i="25"/>
  <c r="AE283" i="25"/>
  <c r="AE77" i="25"/>
  <c r="AE258" i="25"/>
  <c r="AE78" i="25"/>
  <c r="AE135" i="25"/>
  <c r="AE372" i="25"/>
  <c r="AE262" i="25"/>
  <c r="AE98" i="25"/>
  <c r="AE171" i="25"/>
  <c r="AE324" i="25"/>
  <c r="AE241" i="25"/>
  <c r="AE230" i="25"/>
  <c r="AE373" i="25"/>
  <c r="AE30" i="25"/>
  <c r="AE150" i="25"/>
  <c r="AE209" i="25"/>
  <c r="AE280" i="25"/>
  <c r="AE341" i="25"/>
  <c r="AE218" i="25"/>
  <c r="AE362" i="25"/>
  <c r="AE63" i="25"/>
  <c r="AE248" i="25"/>
  <c r="AE181" i="25"/>
  <c r="AE186" i="25"/>
  <c r="AE99" i="25"/>
  <c r="AE252" i="25"/>
  <c r="AE106" i="25"/>
  <c r="AE275" i="25"/>
  <c r="AE172" i="25"/>
  <c r="AE249" i="25"/>
  <c r="AE158" i="25"/>
  <c r="AE343" i="25"/>
  <c r="AE336" i="25"/>
  <c r="AE140" i="25"/>
  <c r="AE89" i="25"/>
  <c r="AE379" i="25"/>
  <c r="AE55" i="25"/>
  <c r="AE176" i="25"/>
  <c r="AE349" i="25"/>
  <c r="AE57" i="25"/>
  <c r="AE347" i="25"/>
  <c r="AE244" i="25"/>
  <c r="AE289" i="25"/>
  <c r="AE292" i="25"/>
  <c r="AE64" i="25"/>
  <c r="AE187" i="25"/>
  <c r="AE212" i="25"/>
  <c r="AE129" i="25"/>
  <c r="AE246" i="25"/>
  <c r="AE319" i="25"/>
  <c r="AE155" i="25"/>
  <c r="AE52" i="25"/>
  <c r="AE97" i="25"/>
  <c r="AE355" i="25"/>
  <c r="AE159" i="25"/>
  <c r="AE344" i="25"/>
  <c r="AE33" i="25"/>
  <c r="AE282" i="25"/>
  <c r="AE195" i="25"/>
  <c r="AE220" i="25"/>
  <c r="AE56" i="25"/>
  <c r="AE245" i="25"/>
  <c r="AE250" i="25"/>
  <c r="AE163" i="25"/>
  <c r="AE60" i="25"/>
  <c r="AE265" i="25"/>
  <c r="AE302" i="25"/>
  <c r="AE90" i="25"/>
  <c r="AE352" i="25"/>
  <c r="AE29" i="25"/>
  <c r="AE322" i="25"/>
  <c r="AE142" i="25"/>
  <c r="AE199" i="25"/>
  <c r="AE320" i="25"/>
  <c r="AE237" i="25"/>
  <c r="AE162" i="25"/>
  <c r="AE235" i="25"/>
  <c r="AE15" i="25"/>
  <c r="AE160" i="25"/>
  <c r="AE205" i="25"/>
  <c r="AE130" i="25"/>
  <c r="AE75" i="25"/>
  <c r="AE100" i="25"/>
  <c r="AE273" i="25"/>
  <c r="AE45" i="25"/>
  <c r="AE335" i="25"/>
  <c r="AE43" i="25"/>
  <c r="Q94" i="25"/>
  <c r="Q200" i="25"/>
  <c r="Q51" i="25"/>
  <c r="Q256" i="25"/>
  <c r="Q191" i="25"/>
  <c r="Q354" i="25"/>
  <c r="Q220" i="25"/>
  <c r="Q142" i="25"/>
  <c r="Q336" i="25"/>
  <c r="Q96" i="25"/>
  <c r="Q166" i="25"/>
  <c r="Q213" i="25"/>
  <c r="Q152" i="25"/>
  <c r="Q258" i="25"/>
  <c r="Q357" i="25"/>
  <c r="Q35" i="25"/>
  <c r="Q146" i="25"/>
  <c r="Q342" i="25"/>
  <c r="Q43" i="25"/>
  <c r="Q112" i="25"/>
  <c r="AE54" i="25"/>
  <c r="AE325" i="25"/>
  <c r="AE127" i="25"/>
  <c r="AE113" i="25"/>
  <c r="AE312" i="25"/>
  <c r="AE102" i="25"/>
  <c r="AE116" i="25"/>
  <c r="AE303" i="25"/>
  <c r="AE161" i="25"/>
  <c r="AE232" i="25"/>
  <c r="AE19" i="25"/>
  <c r="AE165" i="25"/>
  <c r="AE316" i="25"/>
  <c r="AE170" i="25"/>
  <c r="AE152" i="25"/>
  <c r="AE339" i="25"/>
  <c r="AE213" i="25"/>
  <c r="AE143" i="25"/>
  <c r="AE346" i="25"/>
  <c r="AE200" i="25"/>
  <c r="AE259" i="25"/>
  <c r="AE133" i="25"/>
  <c r="AE284" i="25"/>
  <c r="AE376" i="25"/>
  <c r="AE233" i="25"/>
  <c r="AE51" i="25"/>
  <c r="AE53" i="25"/>
  <c r="AE204" i="25"/>
  <c r="AE58" i="25"/>
  <c r="AE40" i="25"/>
  <c r="AE227" i="25"/>
  <c r="AE318" i="25"/>
  <c r="AE124" i="25"/>
  <c r="AE375" i="25"/>
  <c r="AE73" i="25"/>
  <c r="AE240" i="25"/>
  <c r="AE110" i="25"/>
  <c r="AE44" i="25"/>
  <c r="AE295" i="25"/>
  <c r="AE121" i="25"/>
  <c r="AE67" i="25"/>
  <c r="AE286" i="25"/>
  <c r="AE92" i="25"/>
  <c r="AE215" i="25"/>
  <c r="AE41" i="25"/>
  <c r="AE208" i="25"/>
  <c r="AE331" i="25"/>
  <c r="AE125" i="25"/>
  <c r="AE356" i="25"/>
  <c r="AE306" i="25"/>
  <c r="AE128" i="25"/>
  <c r="AE126" i="25"/>
  <c r="AE301" i="25"/>
  <c r="AE183" i="25"/>
  <c r="AE226" i="25"/>
  <c r="AE48" i="25"/>
  <c r="AE299" i="25"/>
  <c r="AE310" i="25"/>
  <c r="AE196" i="25"/>
  <c r="AE27" i="25"/>
  <c r="AE369" i="25"/>
  <c r="AE219" i="25"/>
  <c r="AE358" i="25"/>
  <c r="AE20" i="25"/>
  <c r="AE194" i="25"/>
  <c r="AE36" i="25"/>
  <c r="AE139" i="25"/>
  <c r="AE278" i="25"/>
  <c r="AE164" i="25"/>
  <c r="AE223" i="25"/>
  <c r="AE81" i="25"/>
  <c r="AE59" i="25"/>
  <c r="AE198" i="25"/>
  <c r="AE84" i="25"/>
  <c r="AE24" i="25"/>
  <c r="AE257" i="25"/>
  <c r="AE107" i="25"/>
  <c r="AE118" i="25"/>
  <c r="AE374" i="25"/>
  <c r="AE191" i="25"/>
  <c r="AE266" i="25"/>
  <c r="AE120" i="25"/>
  <c r="AE307" i="25"/>
  <c r="AE309" i="25"/>
  <c r="AE111" i="25"/>
  <c r="AE314" i="25"/>
  <c r="AE296" i="25"/>
  <c r="AE86" i="25"/>
  <c r="AE229" i="25"/>
  <c r="AE31" i="25"/>
  <c r="AE234" i="25"/>
  <c r="AE329" i="25"/>
  <c r="AE147" i="25"/>
  <c r="AE32" i="25"/>
  <c r="AE300" i="25"/>
  <c r="AE154" i="25"/>
  <c r="AE377" i="25"/>
  <c r="AE323" i="25"/>
  <c r="AE197" i="25"/>
  <c r="AE348" i="25"/>
  <c r="AE74" i="25"/>
  <c r="AE297" i="25"/>
  <c r="AE115" i="25"/>
  <c r="AE206" i="25"/>
  <c r="AE364" i="25"/>
  <c r="AE263" i="25"/>
  <c r="AE217" i="25"/>
  <c r="AE26" i="25"/>
  <c r="AE21" i="25"/>
  <c r="AE188" i="25"/>
  <c r="AE42" i="25"/>
  <c r="AE137" i="25"/>
  <c r="AE304" i="25"/>
  <c r="AE174" i="25"/>
  <c r="AE221" i="25"/>
  <c r="AE103" i="25"/>
  <c r="AE274" i="25"/>
  <c r="AE224" i="25"/>
  <c r="AE94" i="25"/>
  <c r="AE269" i="25"/>
  <c r="AE279" i="25"/>
  <c r="AE105" i="25"/>
  <c r="AE272" i="25"/>
  <c r="AE378" i="25"/>
  <c r="AE189" i="25"/>
  <c r="AE71" i="25"/>
  <c r="AE114" i="25"/>
  <c r="AE337" i="25"/>
  <c r="AE315" i="25"/>
  <c r="AE109" i="25"/>
  <c r="AE340" i="25"/>
  <c r="AE290" i="25"/>
  <c r="AE112" i="25"/>
  <c r="AE363" i="25"/>
  <c r="AE37" i="25"/>
  <c r="AE260" i="25"/>
  <c r="AE82" i="25"/>
  <c r="AE177" i="25"/>
  <c r="AE17" i="25"/>
  <c r="AE166" i="25"/>
  <c r="AE180" i="25"/>
  <c r="AE367" i="25"/>
  <c r="AE225" i="25"/>
  <c r="AE203" i="25"/>
  <c r="AE342" i="25"/>
  <c r="AE228" i="25"/>
  <c r="AE287" i="25"/>
  <c r="AE145" i="25"/>
  <c r="AE216" i="25"/>
  <c r="AE368" i="25"/>
  <c r="AE277" i="25"/>
  <c r="AE207" i="25"/>
  <c r="AE65" i="25"/>
  <c r="AE264" i="25"/>
  <c r="AE182" i="25"/>
  <c r="AE68" i="25"/>
  <c r="AE255" i="25"/>
  <c r="AE330" i="25"/>
  <c r="AE184" i="25"/>
  <c r="AE371" i="25"/>
  <c r="AE117" i="25"/>
  <c r="AE268" i="25"/>
  <c r="AE122" i="25"/>
  <c r="AE104" i="25"/>
  <c r="AE291" i="25"/>
  <c r="AE293" i="25"/>
  <c r="AE95" i="25"/>
  <c r="AE298" i="25"/>
  <c r="AE38" i="25"/>
  <c r="AE211" i="25"/>
  <c r="AE85" i="25"/>
  <c r="AE108" i="25"/>
  <c r="AE359" i="25"/>
  <c r="AE185" i="25"/>
  <c r="AE131" i="25"/>
  <c r="AE350" i="25"/>
  <c r="AE156" i="25"/>
  <c r="AE138" i="25"/>
  <c r="AE361" i="25"/>
  <c r="AE179" i="25"/>
  <c r="AE270" i="25"/>
  <c r="AE76" i="25"/>
  <c r="AE327" i="25"/>
  <c r="Q330" i="25"/>
  <c r="Q98" i="25"/>
  <c r="Q34" i="25"/>
  <c r="Q241" i="25"/>
  <c r="Q99" i="25"/>
  <c r="Q353" i="25"/>
  <c r="Q37" i="25"/>
  <c r="Q334" i="25"/>
  <c r="Q255" i="25"/>
  <c r="BG15" i="7"/>
  <c r="AE192" i="25"/>
  <c r="AE247" i="25"/>
  <c r="AE22" i="25"/>
  <c r="AE285" i="25"/>
  <c r="AE338" i="25"/>
  <c r="AE18" i="25"/>
  <c r="AE87" i="25"/>
  <c r="AE80" i="25"/>
  <c r="AE253" i="25"/>
  <c r="AE178" i="25"/>
  <c r="AE123" i="25"/>
  <c r="AE148" i="25"/>
  <c r="AE321" i="25"/>
  <c r="AE93" i="25"/>
  <c r="AE146" i="25"/>
  <c r="AE91" i="25"/>
  <c r="AE175" i="25"/>
  <c r="AE360" i="25"/>
  <c r="AE35" i="25"/>
  <c r="AE351" i="25"/>
  <c r="AE70" i="25"/>
  <c r="AE16" i="25"/>
  <c r="AE72" i="25"/>
  <c r="AE261" i="25"/>
  <c r="AE49" i="25"/>
  <c r="AE39" i="25"/>
  <c r="AE332" i="25"/>
  <c r="AE281" i="25"/>
  <c r="AE101" i="25"/>
  <c r="AE88" i="25"/>
  <c r="AE149" i="25"/>
  <c r="AE23" i="25"/>
  <c r="AE288" i="25"/>
  <c r="AE333" i="25"/>
  <c r="AE169" i="25"/>
  <c r="AE334" i="25"/>
  <c r="AE370" i="25"/>
  <c r="AE256" i="25"/>
  <c r="AE173" i="25"/>
  <c r="AE354" i="25"/>
  <c r="AE46" i="25"/>
  <c r="AE231" i="25"/>
  <c r="AE96" i="25"/>
  <c r="AE141" i="25"/>
  <c r="AE66" i="25"/>
  <c r="AE267" i="25"/>
  <c r="AE61" i="25"/>
  <c r="AE242" i="25"/>
  <c r="AE326" i="25"/>
  <c r="AE271" i="25"/>
  <c r="AE328" i="25"/>
  <c r="AE132" i="25"/>
  <c r="AE305" i="25"/>
  <c r="AE294" i="25"/>
  <c r="AE239" i="25"/>
  <c r="AE168" i="25"/>
  <c r="AE357" i="25"/>
  <c r="AE28" i="25"/>
  <c r="AE134" i="25"/>
  <c r="AE79" i="25"/>
  <c r="AE136" i="25"/>
  <c r="AE69" i="25"/>
  <c r="AE202" i="25"/>
  <c r="AE243" i="25"/>
  <c r="AE47" i="25"/>
  <c r="AE345" i="25"/>
  <c r="AE254" i="25"/>
  <c r="AE311" i="25"/>
  <c r="AE83" i="25"/>
  <c r="AE236" i="25"/>
  <c r="AE313" i="25"/>
  <c r="AE222" i="25"/>
  <c r="AE151" i="25"/>
  <c r="AE144" i="25"/>
  <c r="AE317" i="25"/>
  <c r="AE153" i="25"/>
  <c r="AE62" i="25"/>
  <c r="AE119" i="25"/>
  <c r="AE366" i="25"/>
  <c r="AE157" i="25"/>
  <c r="AE210" i="25"/>
  <c r="AE34" i="25"/>
  <c r="AE308" i="25"/>
  <c r="AE353" i="25"/>
  <c r="AE214" i="25"/>
  <c r="AE50" i="25"/>
  <c r="AE251" i="25"/>
  <c r="AE276" i="25"/>
  <c r="AE193" i="25"/>
  <c r="Q205" i="25"/>
  <c r="Q155" i="25"/>
  <c r="Q214" i="25"/>
  <c r="Q216" i="25"/>
  <c r="Q123" i="25"/>
  <c r="Q115" i="25"/>
  <c r="Q73" i="25"/>
  <c r="Q212" i="25"/>
  <c r="Q77" i="25"/>
  <c r="Q230" i="25"/>
  <c r="Q117" i="25"/>
  <c r="Q341" i="25"/>
  <c r="Q291" i="25"/>
  <c r="Q57" i="25"/>
  <c r="Q75" i="25"/>
  <c r="Q106" i="25"/>
  <c r="Q302" i="25"/>
  <c r="Q270" i="25"/>
  <c r="Q186" i="25"/>
  <c r="Q326" i="25"/>
  <c r="Q95" i="25"/>
  <c r="Q178" i="25"/>
  <c r="Q250" i="25"/>
  <c r="Q147" i="25"/>
  <c r="Q379" i="25"/>
  <c r="Q97" i="25"/>
  <c r="Q248" i="25"/>
  <c r="Q54" i="25"/>
  <c r="Q321" i="25"/>
  <c r="Q269" i="25"/>
  <c r="Q260" i="25"/>
  <c r="Q78" i="25"/>
  <c r="Q160" i="25"/>
  <c r="Q49" i="25"/>
  <c r="Q203" i="25"/>
  <c r="Q223" i="25"/>
  <c r="Q310" i="25"/>
  <c r="Q369" i="25"/>
  <c r="Q187" i="25"/>
  <c r="Q228" i="25"/>
  <c r="Q295" i="25"/>
  <c r="Q84" i="25"/>
  <c r="Q305" i="25"/>
  <c r="Q79" i="25"/>
  <c r="Q40" i="25"/>
  <c r="Q318" i="25"/>
  <c r="Q23" i="25"/>
  <c r="Q303" i="25"/>
  <c r="Q26" i="25"/>
  <c r="Q131" i="25"/>
  <c r="Q168" i="25"/>
  <c r="Q122" i="25"/>
  <c r="Q219" i="25"/>
  <c r="Q371" i="25"/>
  <c r="Q163" i="25"/>
  <c r="Q275" i="25"/>
  <c r="Q177" i="25"/>
  <c r="Q320" i="25"/>
  <c r="Q261" i="25"/>
  <c r="Q324" i="25"/>
  <c r="Q82" i="25"/>
  <c r="Q31" i="25"/>
  <c r="Q266" i="25"/>
  <c r="Q333" i="25"/>
  <c r="Q69" i="25"/>
  <c r="Q204" i="25"/>
  <c r="Q85" i="25"/>
  <c r="Q121" i="25"/>
  <c r="Q292" i="25"/>
  <c r="Q243" i="25"/>
  <c r="Q237" i="25"/>
  <c r="Q181" i="25"/>
  <c r="Q370" i="25"/>
  <c r="Q104" i="25"/>
  <c r="Q355" i="25"/>
  <c r="Q233" i="25"/>
  <c r="Q240" i="25"/>
  <c r="Q102" i="25"/>
  <c r="Q249" i="25"/>
  <c r="Q145" i="25"/>
  <c r="Q372" i="25"/>
  <c r="Q242" i="25"/>
  <c r="Q277" i="25"/>
  <c r="Q67" i="25"/>
  <c r="Q197" i="25"/>
  <c r="Q227" i="25"/>
  <c r="Q316" i="25"/>
  <c r="Q60" i="25"/>
  <c r="Q144" i="25"/>
  <c r="Q32" i="25"/>
  <c r="Q52" i="25"/>
  <c r="Q352" i="25"/>
  <c r="Q311" i="25"/>
  <c r="Q154" i="25"/>
  <c r="Q229" i="25"/>
  <c r="Q83" i="25"/>
  <c r="Q167" i="25"/>
  <c r="Q293" i="25"/>
  <c r="Q264" i="25"/>
  <c r="Q143" i="25"/>
  <c r="Q273" i="25"/>
  <c r="Q365" i="25"/>
  <c r="AJ6" i="22"/>
  <c r="B382" i="22"/>
  <c r="H9" i="22"/>
  <c r="B17" i="19" s="1"/>
  <c r="W15" i="22"/>
  <c r="D15" i="22"/>
  <c r="B381" i="22"/>
  <c r="B383" i="22"/>
  <c r="AK6" i="22"/>
  <c r="AK7" i="22"/>
  <c r="AG104" i="24"/>
  <c r="AH383" i="24"/>
  <c r="AH382" i="24"/>
  <c r="AH381" i="24"/>
  <c r="AG379" i="24"/>
  <c r="AF379" i="24" s="1"/>
  <c r="AD379" i="24" s="1"/>
  <c r="AM5" i="18"/>
  <c r="AM11" i="18" s="1"/>
  <c r="AK3" i="18" s="1"/>
  <c r="Q15" i="19" s="1"/>
  <c r="N15" i="19" s="1"/>
  <c r="D69" i="19"/>
  <c r="C69" i="19"/>
  <c r="H69" i="19"/>
  <c r="I69" i="19"/>
  <c r="F69" i="19"/>
  <c r="G316" i="24"/>
  <c r="CE316" i="6" s="1"/>
  <c r="AA316" i="24"/>
  <c r="Z316" i="24" s="1"/>
  <c r="Y316" i="24" s="1"/>
  <c r="H316" i="24"/>
  <c r="AD15" i="24"/>
  <c r="G242" i="24"/>
  <c r="CE242" i="6" s="1"/>
  <c r="AA242" i="24"/>
  <c r="Z242" i="24" s="1"/>
  <c r="Y242" i="24" s="1"/>
  <c r="G217" i="24"/>
  <c r="CE217" i="6" s="1"/>
  <c r="H217" i="24"/>
  <c r="AA217" i="24"/>
  <c r="Z217" i="24" s="1"/>
  <c r="Y217" i="24" s="1"/>
  <c r="H91" i="24"/>
  <c r="AA91" i="24"/>
  <c r="Z91" i="24" s="1"/>
  <c r="Y91" i="24" s="1"/>
  <c r="G81" i="24"/>
  <c r="CE81" i="6" s="1"/>
  <c r="H81" i="24"/>
  <c r="AA81" i="24"/>
  <c r="Z81" i="24" s="1"/>
  <c r="Y81" i="24" s="1"/>
  <c r="H340" i="24"/>
  <c r="AA340" i="24"/>
  <c r="Z340" i="24" s="1"/>
  <c r="Y340" i="24" s="1"/>
  <c r="G340" i="24"/>
  <c r="CE340" i="6" s="1"/>
  <c r="G42" i="24"/>
  <c r="CE42" i="6" s="1"/>
  <c r="H42" i="24"/>
  <c r="AA42" i="24"/>
  <c r="Z42" i="24" s="1"/>
  <c r="Y42" i="24" s="1"/>
  <c r="H243" i="24"/>
  <c r="AA243" i="24"/>
  <c r="Z243" i="24" s="1"/>
  <c r="Y243" i="24" s="1"/>
  <c r="G243" i="24"/>
  <c r="CE243" i="6" s="1"/>
  <c r="H254" i="24"/>
  <c r="G254" i="24"/>
  <c r="CE254" i="6" s="1"/>
  <c r="AA254" i="24"/>
  <c r="Z254" i="24" s="1"/>
  <c r="Y254" i="24" s="1"/>
  <c r="G97" i="24"/>
  <c r="CE97" i="6" s="1"/>
  <c r="AA97" i="24"/>
  <c r="Z97" i="24" s="1"/>
  <c r="Y97" i="24" s="1"/>
  <c r="H97" i="24"/>
  <c r="AA204" i="24"/>
  <c r="Z204" i="24" s="1"/>
  <c r="Y204" i="24" s="1"/>
  <c r="H204" i="24"/>
  <c r="G204" i="24"/>
  <c r="CE204" i="6" s="1"/>
  <c r="H279" i="24"/>
  <c r="AA279" i="24"/>
  <c r="Z279" i="24" s="1"/>
  <c r="Y279" i="24" s="1"/>
  <c r="G279" i="24"/>
  <c r="CE279" i="6" s="1"/>
  <c r="H323" i="24"/>
  <c r="AA323" i="24"/>
  <c r="Z323" i="24" s="1"/>
  <c r="Y323" i="24" s="1"/>
  <c r="H55" i="24"/>
  <c r="G55" i="24"/>
  <c r="CE55" i="6" s="1"/>
  <c r="AA55" i="24"/>
  <c r="Z55" i="24" s="1"/>
  <c r="Y55" i="24" s="1"/>
  <c r="AA261" i="24"/>
  <c r="Z261" i="24" s="1"/>
  <c r="Y261" i="24" s="1"/>
  <c r="G261" i="24"/>
  <c r="CE261" i="6" s="1"/>
  <c r="H261" i="24"/>
  <c r="AA175" i="24"/>
  <c r="Z175" i="24" s="1"/>
  <c r="Y175" i="24" s="1"/>
  <c r="G175" i="24"/>
  <c r="CE175" i="6" s="1"/>
  <c r="H175" i="24"/>
  <c r="G329" i="24"/>
  <c r="CE329" i="6" s="1"/>
  <c r="AA329" i="24"/>
  <c r="Z329" i="24" s="1"/>
  <c r="Y329" i="24" s="1"/>
  <c r="AA171" i="24"/>
  <c r="Z171" i="24" s="1"/>
  <c r="Y171" i="24" s="1"/>
  <c r="H171" i="24"/>
  <c r="G171" i="24"/>
  <c r="CE171" i="6" s="1"/>
  <c r="G76" i="24"/>
  <c r="CE76" i="6" s="1"/>
  <c r="H76" i="24"/>
  <c r="AA76" i="24"/>
  <c r="Z76" i="24" s="1"/>
  <c r="Y76" i="24" s="1"/>
  <c r="G169" i="24"/>
  <c r="CE169" i="6" s="1"/>
  <c r="AA169" i="24"/>
  <c r="Z169" i="24" s="1"/>
  <c r="Y169" i="24" s="1"/>
  <c r="H169" i="24"/>
  <c r="H375" i="24"/>
  <c r="AA375" i="24"/>
  <c r="Z375" i="24" s="1"/>
  <c r="Y375" i="24" s="1"/>
  <c r="G375" i="24"/>
  <c r="CE375" i="6" s="1"/>
  <c r="H59" i="24"/>
  <c r="G59" i="24"/>
  <c r="CE59" i="6" s="1"/>
  <c r="AA59" i="24"/>
  <c r="Z59" i="24" s="1"/>
  <c r="Y59" i="24" s="1"/>
  <c r="AA301" i="24"/>
  <c r="Z301" i="24" s="1"/>
  <c r="Y301" i="24" s="1"/>
  <c r="G301" i="24"/>
  <c r="CE301" i="6" s="1"/>
  <c r="H301" i="24"/>
  <c r="H104" i="24"/>
  <c r="G104" i="24"/>
  <c r="CE104" i="6" s="1"/>
  <c r="W210" i="24"/>
  <c r="D210" i="24"/>
  <c r="E210" i="24" s="1"/>
  <c r="F210" i="24" s="1"/>
  <c r="AA177" i="24"/>
  <c r="Z177" i="24" s="1"/>
  <c r="Y177" i="24" s="1"/>
  <c r="G69" i="24"/>
  <c r="CE69" i="6" s="1"/>
  <c r="H69" i="24"/>
  <c r="AA69" i="24"/>
  <c r="Z69" i="24" s="1"/>
  <c r="Y69" i="24" s="1"/>
  <c r="AA214" i="24"/>
  <c r="Z214" i="24" s="1"/>
  <c r="Y214" i="24" s="1"/>
  <c r="G214" i="24"/>
  <c r="CE214" i="6" s="1"/>
  <c r="H214" i="24"/>
  <c r="H79" i="24"/>
  <c r="AA72" i="24"/>
  <c r="Z72" i="24" s="1"/>
  <c r="Y72" i="24" s="1"/>
  <c r="G271" i="24"/>
  <c r="CE271" i="6" s="1"/>
  <c r="H271" i="24"/>
  <c r="AA271" i="24"/>
  <c r="Z271" i="24" s="1"/>
  <c r="Y271" i="24" s="1"/>
  <c r="AA48" i="24"/>
  <c r="Z48" i="24" s="1"/>
  <c r="Y48" i="24" s="1"/>
  <c r="H48" i="24"/>
  <c r="AA115" i="24"/>
  <c r="Z115" i="24" s="1"/>
  <c r="Y115" i="24" s="1"/>
  <c r="H252" i="24"/>
  <c r="G252" i="24"/>
  <c r="CE252" i="6" s="1"/>
  <c r="AA252" i="24"/>
  <c r="Z252" i="24" s="1"/>
  <c r="Y252" i="24" s="1"/>
  <c r="H163" i="24"/>
  <c r="AA163" i="24"/>
  <c r="Z163" i="24" s="1"/>
  <c r="Y163" i="24" s="1"/>
  <c r="H293" i="24"/>
  <c r="AA293" i="24"/>
  <c r="Z293" i="24" s="1"/>
  <c r="Y293" i="24" s="1"/>
  <c r="G293" i="24"/>
  <c r="CE293" i="6" s="1"/>
  <c r="H95" i="24"/>
  <c r="G95" i="24"/>
  <c r="CE95" i="6" s="1"/>
  <c r="AA95" i="24"/>
  <c r="Z95" i="24" s="1"/>
  <c r="Y95" i="24" s="1"/>
  <c r="AA339" i="24"/>
  <c r="Z339" i="24" s="1"/>
  <c r="Y339" i="24" s="1"/>
  <c r="H339" i="24"/>
  <c r="G339" i="24"/>
  <c r="CE339" i="6" s="1"/>
  <c r="AA364" i="24"/>
  <c r="Z364" i="24" s="1"/>
  <c r="Y364" i="24" s="1"/>
  <c r="G364" i="24"/>
  <c r="CE364" i="6" s="1"/>
  <c r="H364" i="24"/>
  <c r="AA178" i="24"/>
  <c r="Z178" i="24" s="1"/>
  <c r="Y178" i="24" s="1"/>
  <c r="H34" i="24"/>
  <c r="AA34" i="24"/>
  <c r="Z34" i="24" s="1"/>
  <c r="Y34" i="24" s="1"/>
  <c r="H284" i="24"/>
  <c r="G284" i="24"/>
  <c r="CE284" i="6" s="1"/>
  <c r="AA284" i="24"/>
  <c r="Z284" i="24" s="1"/>
  <c r="Y284" i="24" s="1"/>
  <c r="AA133" i="24"/>
  <c r="Z133" i="24" s="1"/>
  <c r="Y133" i="24" s="1"/>
  <c r="G133" i="24"/>
  <c r="CE133" i="6" s="1"/>
  <c r="H133" i="24"/>
  <c r="AA208" i="24"/>
  <c r="Z208" i="24" s="1"/>
  <c r="Y208" i="24" s="1"/>
  <c r="H230" i="24"/>
  <c r="AA230" i="24"/>
  <c r="Z230" i="24" s="1"/>
  <c r="Y230" i="24" s="1"/>
  <c r="H225" i="24"/>
  <c r="AA225" i="24"/>
  <c r="Z225" i="24" s="1"/>
  <c r="Y225" i="24" s="1"/>
  <c r="G225" i="24"/>
  <c r="CE225" i="6" s="1"/>
  <c r="H118" i="24"/>
  <c r="G118" i="24"/>
  <c r="CE118" i="6" s="1"/>
  <c r="G240" i="24"/>
  <c r="CE240" i="6" s="1"/>
  <c r="H240" i="24"/>
  <c r="AA240" i="24"/>
  <c r="Z240" i="24" s="1"/>
  <c r="Y240" i="24" s="1"/>
  <c r="G282" i="24"/>
  <c r="CE282" i="6" s="1"/>
  <c r="AA282" i="24"/>
  <c r="Z282" i="24" s="1"/>
  <c r="Y282" i="24" s="1"/>
  <c r="G202" i="24"/>
  <c r="CE202" i="6" s="1"/>
  <c r="AA200" i="24"/>
  <c r="Z200" i="24" s="1"/>
  <c r="Y200" i="24" s="1"/>
  <c r="H200" i="24"/>
  <c r="H157" i="24"/>
  <c r="G157" i="24"/>
  <c r="CE157" i="6" s="1"/>
  <c r="AA157" i="24"/>
  <c r="Z157" i="24" s="1"/>
  <c r="Y157" i="24" s="1"/>
  <c r="H270" i="24"/>
  <c r="AA270" i="24"/>
  <c r="Z270" i="24" s="1"/>
  <c r="Y270" i="24" s="1"/>
  <c r="G270" i="24"/>
  <c r="CE270" i="6" s="1"/>
  <c r="AA117" i="24"/>
  <c r="Z117" i="24" s="1"/>
  <c r="Y117" i="24" s="1"/>
  <c r="H117" i="24"/>
  <c r="G117" i="24"/>
  <c r="CE117" i="6" s="1"/>
  <c r="G348" i="24"/>
  <c r="CE348" i="6" s="1"/>
  <c r="AA348" i="24"/>
  <c r="Z348" i="24" s="1"/>
  <c r="Y348" i="24" s="1"/>
  <c r="H348" i="24"/>
  <c r="H134" i="24"/>
  <c r="G134" i="24"/>
  <c r="CE134" i="6" s="1"/>
  <c r="AA134" i="24"/>
  <c r="Z134" i="24" s="1"/>
  <c r="Y134" i="24" s="1"/>
  <c r="H290" i="24"/>
  <c r="AA290" i="24"/>
  <c r="Z290" i="24" s="1"/>
  <c r="Y290" i="24" s="1"/>
  <c r="G290" i="24"/>
  <c r="CE290" i="6" s="1"/>
  <c r="H189" i="24"/>
  <c r="G189" i="24"/>
  <c r="CE189" i="6" s="1"/>
  <c r="AA189" i="24"/>
  <c r="Z189" i="24" s="1"/>
  <c r="Y189" i="24" s="1"/>
  <c r="AA216" i="24"/>
  <c r="Z216" i="24" s="1"/>
  <c r="Y216" i="24" s="1"/>
  <c r="H216" i="24"/>
  <c r="G216" i="24"/>
  <c r="CE216" i="6" s="1"/>
  <c r="G164" i="24"/>
  <c r="CE164" i="6" s="1"/>
  <c r="AA164" i="24"/>
  <c r="Z164" i="24" s="1"/>
  <c r="Y164" i="24" s="1"/>
  <c r="H164" i="24"/>
  <c r="R15" i="24"/>
  <c r="H31" i="24"/>
  <c r="AA31" i="24"/>
  <c r="Z31" i="24" s="1"/>
  <c r="Y31" i="24" s="1"/>
  <c r="G168" i="24"/>
  <c r="CE168" i="6" s="1"/>
  <c r="H168" i="24"/>
  <c r="AA27" i="24"/>
  <c r="Z27" i="24" s="1"/>
  <c r="Y27" i="24" s="1"/>
  <c r="H27" i="24"/>
  <c r="G27" i="24"/>
  <c r="CE27" i="6" s="1"/>
  <c r="W272" i="24"/>
  <c r="D272" i="24"/>
  <c r="E272" i="24" s="1"/>
  <c r="F272" i="24" s="1"/>
  <c r="J69" i="19"/>
  <c r="G98" i="24"/>
  <c r="CE98" i="6" s="1"/>
  <c r="H98" i="24"/>
  <c r="AA98" i="24"/>
  <c r="Z98" i="24" s="1"/>
  <c r="Y98" i="24" s="1"/>
  <c r="H236" i="24"/>
  <c r="AA236" i="24"/>
  <c r="Z236" i="24" s="1"/>
  <c r="Y236" i="24" s="1"/>
  <c r="G236" i="24"/>
  <c r="CE236" i="6" s="1"/>
  <c r="D166" i="24"/>
  <c r="E166" i="24" s="1"/>
  <c r="F166" i="24" s="1"/>
  <c r="W166" i="24"/>
  <c r="G156" i="24"/>
  <c r="CE156" i="6" s="1"/>
  <c r="H156" i="24"/>
  <c r="AA156" i="24"/>
  <c r="Z156" i="24" s="1"/>
  <c r="Y156" i="24" s="1"/>
  <c r="AA101" i="24"/>
  <c r="Z101" i="24" s="1"/>
  <c r="Y101" i="24" s="1"/>
  <c r="H101" i="24"/>
  <c r="H209" i="24"/>
  <c r="AA70" i="24"/>
  <c r="Z70" i="24" s="1"/>
  <c r="Y70" i="24" s="1"/>
  <c r="G70" i="24"/>
  <c r="CE70" i="6" s="1"/>
  <c r="H70" i="24"/>
  <c r="D74" i="24"/>
  <c r="E74" i="24" s="1"/>
  <c r="F74" i="24" s="1"/>
  <c r="W74" i="24"/>
  <c r="W46" i="24"/>
  <c r="D46" i="24"/>
  <c r="E46" i="24" s="1"/>
  <c r="F46" i="24" s="1"/>
  <c r="AA223" i="24"/>
  <c r="Z223" i="24" s="1"/>
  <c r="Y223" i="24" s="1"/>
  <c r="G351" i="24"/>
  <c r="CE351" i="6" s="1"/>
  <c r="AA351" i="24"/>
  <c r="Z351" i="24" s="1"/>
  <c r="Y351" i="24" s="1"/>
  <c r="H351" i="24"/>
  <c r="H229" i="24"/>
  <c r="AA229" i="24"/>
  <c r="Z229" i="24" s="1"/>
  <c r="Y229" i="24" s="1"/>
  <c r="G229" i="24"/>
  <c r="CE229" i="6" s="1"/>
  <c r="D105" i="24"/>
  <c r="E105" i="24" s="1"/>
  <c r="F105" i="24" s="1"/>
  <c r="W105" i="24"/>
  <c r="W258" i="24"/>
  <c r="D258" i="24"/>
  <c r="E258" i="24" s="1"/>
  <c r="F258" i="24" s="1"/>
  <c r="G211" i="24"/>
  <c r="CE211" i="6" s="1"/>
  <c r="AA211" i="24"/>
  <c r="Z211" i="24" s="1"/>
  <c r="Y211" i="24" s="1"/>
  <c r="H211" i="24"/>
  <c r="G99" i="24"/>
  <c r="CE99" i="6" s="1"/>
  <c r="H99" i="24"/>
  <c r="AA99" i="24"/>
  <c r="Z99" i="24" s="1"/>
  <c r="Y99" i="24" s="1"/>
  <c r="H276" i="24"/>
  <c r="G276" i="24"/>
  <c r="CE276" i="6" s="1"/>
  <c r="D349" i="24"/>
  <c r="E349" i="24" s="1"/>
  <c r="F349" i="24" s="1"/>
  <c r="W349" i="24"/>
  <c r="D60" i="24"/>
  <c r="E60" i="24" s="1"/>
  <c r="F60" i="24" s="1"/>
  <c r="W60" i="24"/>
  <c r="W319" i="24"/>
  <c r="D319" i="24"/>
  <c r="E319" i="24" s="1"/>
  <c r="F319" i="24" s="1"/>
  <c r="W227" i="24"/>
  <c r="D227" i="24"/>
  <c r="E227" i="24" s="1"/>
  <c r="F227" i="24" s="1"/>
  <c r="H330" i="24"/>
  <c r="AA330" i="24"/>
  <c r="Z330" i="24" s="1"/>
  <c r="Y330" i="24" s="1"/>
  <c r="AA238" i="24"/>
  <c r="Z238" i="24" s="1"/>
  <c r="Y238" i="24" s="1"/>
  <c r="G238" i="24"/>
  <c r="CE238" i="6" s="1"/>
  <c r="H238" i="24"/>
  <c r="H335" i="24"/>
  <c r="G335" i="24"/>
  <c r="CE335" i="6" s="1"/>
  <c r="AA335" i="24"/>
  <c r="Z335" i="24" s="1"/>
  <c r="Y335" i="24" s="1"/>
  <c r="AA40" i="24"/>
  <c r="Z40" i="24" s="1"/>
  <c r="Y40" i="24" s="1"/>
  <c r="H40" i="24"/>
  <c r="G40" i="24"/>
  <c r="CE40" i="6" s="1"/>
  <c r="G342" i="24"/>
  <c r="CE342" i="6" s="1"/>
  <c r="H342" i="24"/>
  <c r="AA342" i="24"/>
  <c r="Z342" i="24" s="1"/>
  <c r="Y342" i="24" s="1"/>
  <c r="G73" i="24"/>
  <c r="CE73" i="6" s="1"/>
  <c r="H73" i="24"/>
  <c r="AA73" i="24"/>
  <c r="Z73" i="24" s="1"/>
  <c r="Y73" i="24" s="1"/>
  <c r="H264" i="24"/>
  <c r="AA264" i="24"/>
  <c r="Z264" i="24" s="1"/>
  <c r="Y264" i="24" s="1"/>
  <c r="G264" i="24"/>
  <c r="CE264" i="6" s="1"/>
  <c r="W196" i="24"/>
  <c r="D196" i="24"/>
  <c r="E196" i="24" s="1"/>
  <c r="F196" i="24" s="1"/>
  <c r="H196" i="24" s="1"/>
  <c r="G154" i="24"/>
  <c r="CE154" i="6" s="1"/>
  <c r="D135" i="24"/>
  <c r="E135" i="24" s="1"/>
  <c r="F135" i="24" s="1"/>
  <c r="W135" i="24"/>
  <c r="W88" i="24"/>
  <c r="D88" i="24"/>
  <c r="E88" i="24" s="1"/>
  <c r="F88" i="24" s="1"/>
  <c r="D149" i="24"/>
  <c r="E149" i="24" s="1"/>
  <c r="F149" i="24" s="1"/>
  <c r="W149" i="24"/>
  <c r="G132" i="24"/>
  <c r="CE132" i="6" s="1"/>
  <c r="AA132" i="24"/>
  <c r="Z132" i="24" s="1"/>
  <c r="Y132" i="24" s="1"/>
  <c r="H132" i="24"/>
  <c r="D288" i="24"/>
  <c r="E288" i="24" s="1"/>
  <c r="F288" i="24" s="1"/>
  <c r="W288" i="24"/>
  <c r="AA378" i="24"/>
  <c r="Z378" i="24" s="1"/>
  <c r="Y378" i="24" s="1"/>
  <c r="G378" i="24"/>
  <c r="CE378" i="6" s="1"/>
  <c r="H378" i="24"/>
  <c r="H179" i="24"/>
  <c r="G179" i="24"/>
  <c r="CE179" i="6" s="1"/>
  <c r="AA273" i="24"/>
  <c r="Z273" i="24" s="1"/>
  <c r="Y273" i="24" s="1"/>
  <c r="H273" i="24"/>
  <c r="G273" i="24"/>
  <c r="CE273" i="6" s="1"/>
  <c r="G47" i="24"/>
  <c r="CE47" i="6" s="1"/>
  <c r="H47" i="24"/>
  <c r="AA85" i="24"/>
  <c r="Z85" i="24" s="1"/>
  <c r="Y85" i="24" s="1"/>
  <c r="H85" i="24"/>
  <c r="G85" i="24"/>
  <c r="CE85" i="6" s="1"/>
  <c r="G278" i="24"/>
  <c r="CE278" i="6" s="1"/>
  <c r="H278" i="24"/>
  <c r="G162" i="24"/>
  <c r="CE162" i="6" s="1"/>
  <c r="H162" i="24"/>
  <c r="AA162" i="24"/>
  <c r="Z162" i="24" s="1"/>
  <c r="Y162" i="24" s="1"/>
  <c r="H315" i="24"/>
  <c r="AA150" i="24"/>
  <c r="Z150" i="24" s="1"/>
  <c r="Y150" i="24" s="1"/>
  <c r="H150" i="24"/>
  <c r="G150" i="24"/>
  <c r="CE150" i="6" s="1"/>
  <c r="H297" i="24"/>
  <c r="AA297" i="24"/>
  <c r="Z297" i="24" s="1"/>
  <c r="Y297" i="24" s="1"/>
  <c r="G353" i="24"/>
  <c r="CE353" i="6" s="1"/>
  <c r="W333" i="24"/>
  <c r="D333" i="24"/>
  <c r="E333" i="24" s="1"/>
  <c r="F333" i="24" s="1"/>
  <c r="AA285" i="24"/>
  <c r="Z285" i="24" s="1"/>
  <c r="Y285" i="24" s="1"/>
  <c r="G285" i="24"/>
  <c r="CE285" i="6" s="1"/>
  <c r="H285" i="24"/>
  <c r="W92" i="24" l="1"/>
  <c r="D92" i="24"/>
  <c r="E92" i="24" s="1"/>
  <c r="F92" i="24" s="1"/>
  <c r="H92" i="24" s="1"/>
  <c r="D123" i="24"/>
  <c r="E123" i="24" s="1"/>
  <c r="F123" i="24" s="1"/>
  <c r="W123" i="24"/>
  <c r="D51" i="24"/>
  <c r="E51" i="24" s="1"/>
  <c r="F51" i="24" s="1"/>
  <c r="W51" i="24"/>
  <c r="W86" i="24"/>
  <c r="D86" i="24"/>
  <c r="E86" i="24" s="1"/>
  <c r="F86" i="24" s="1"/>
  <c r="H86" i="24" s="1"/>
  <c r="W83" i="24"/>
  <c r="D83" i="24"/>
  <c r="E83" i="24" s="1"/>
  <c r="F83" i="24" s="1"/>
  <c r="H83" i="24" s="1"/>
  <c r="D237" i="24"/>
  <c r="E237" i="24" s="1"/>
  <c r="F237" i="24" s="1"/>
  <c r="W237" i="24"/>
  <c r="W286" i="24"/>
  <c r="D286" i="24"/>
  <c r="E286" i="24" s="1"/>
  <c r="F286" i="24" s="1"/>
  <c r="AA286" i="24" s="1"/>
  <c r="Z286" i="24" s="1"/>
  <c r="Y286" i="24" s="1"/>
  <c r="AA315" i="24"/>
  <c r="Z315" i="24" s="1"/>
  <c r="Y315" i="24" s="1"/>
  <c r="G223" i="24"/>
  <c r="CE223" i="6" s="1"/>
  <c r="H115" i="24"/>
  <c r="J115" i="24" s="1"/>
  <c r="H72" i="24"/>
  <c r="W115" i="24"/>
  <c r="W48" i="24"/>
  <c r="D226" i="24"/>
  <c r="E226" i="24" s="1"/>
  <c r="F226" i="24" s="1"/>
  <c r="G226" i="24" s="1"/>
  <c r="CE226" i="6" s="1"/>
  <c r="D231" i="24"/>
  <c r="E231" i="24" s="1"/>
  <c r="F231" i="24" s="1"/>
  <c r="AA231" i="24" s="1"/>
  <c r="Z231" i="24" s="1"/>
  <c r="Y231" i="24" s="1"/>
  <c r="W242" i="24"/>
  <c r="D372" i="24"/>
  <c r="E372" i="24" s="1"/>
  <c r="F372" i="24" s="1"/>
  <c r="AA372" i="24" s="1"/>
  <c r="Z372" i="24" s="1"/>
  <c r="Y372" i="24" s="1"/>
  <c r="D158" i="24"/>
  <c r="E158" i="24" s="1"/>
  <c r="F158" i="24" s="1"/>
  <c r="W158" i="24"/>
  <c r="D313" i="24"/>
  <c r="E313" i="24" s="1"/>
  <c r="F313" i="24" s="1"/>
  <c r="W313" i="24"/>
  <c r="W107" i="24"/>
  <c r="D107" i="24"/>
  <c r="E107" i="24" s="1"/>
  <c r="F107" i="24" s="1"/>
  <c r="G107" i="24" s="1"/>
  <c r="CE107" i="6" s="1"/>
  <c r="W176" i="24"/>
  <c r="D176" i="24"/>
  <c r="E176" i="24" s="1"/>
  <c r="F176" i="24" s="1"/>
  <c r="G176" i="24" s="1"/>
  <c r="CE176" i="6" s="1"/>
  <c r="D355" i="24"/>
  <c r="E355" i="24" s="1"/>
  <c r="F355" i="24" s="1"/>
  <c r="H355" i="24" s="1"/>
  <c r="W355" i="24"/>
  <c r="W239" i="24"/>
  <c r="D239" i="24"/>
  <c r="E239" i="24" s="1"/>
  <c r="F239" i="24" s="1"/>
  <c r="H239" i="24" s="1"/>
  <c r="W256" i="24"/>
  <c r="D256" i="24"/>
  <c r="E256" i="24" s="1"/>
  <c r="F256" i="24" s="1"/>
  <c r="AA256" i="24" s="1"/>
  <c r="Z256" i="24" s="1"/>
  <c r="Y256" i="24" s="1"/>
  <c r="D191" i="24"/>
  <c r="E191" i="24" s="1"/>
  <c r="F191" i="24" s="1"/>
  <c r="AA191" i="24" s="1"/>
  <c r="Z191" i="24" s="1"/>
  <c r="Y191" i="24" s="1"/>
  <c r="W191" i="24"/>
  <c r="D142" i="24"/>
  <c r="E142" i="24" s="1"/>
  <c r="F142" i="24" s="1"/>
  <c r="H142" i="24" s="1"/>
  <c r="W142" i="24"/>
  <c r="W307" i="24"/>
  <c r="D307" i="24"/>
  <c r="E307" i="24" s="1"/>
  <c r="F307" i="24" s="1"/>
  <c r="AA307" i="24" s="1"/>
  <c r="Z307" i="24" s="1"/>
  <c r="Y307" i="24" s="1"/>
  <c r="D140" i="24"/>
  <c r="E140" i="24" s="1"/>
  <c r="F140" i="24" s="1"/>
  <c r="H140" i="24" s="1"/>
  <c r="W140" i="24"/>
  <c r="D89" i="24"/>
  <c r="E89" i="24" s="1"/>
  <c r="F89" i="24" s="1"/>
  <c r="W89" i="24"/>
  <c r="W250" i="24"/>
  <c r="D250" i="24"/>
  <c r="E250" i="24" s="1"/>
  <c r="F250" i="24" s="1"/>
  <c r="AA250" i="24" s="1"/>
  <c r="Z250" i="24" s="1"/>
  <c r="Y250" i="24" s="1"/>
  <c r="D358" i="24"/>
  <c r="E358" i="24" s="1"/>
  <c r="F358" i="24" s="1"/>
  <c r="H358" i="24" s="1"/>
  <c r="W358" i="24"/>
  <c r="W52" i="24"/>
  <c r="D52" i="24"/>
  <c r="E52" i="24" s="1"/>
  <c r="F52" i="24" s="1"/>
  <c r="AA52" i="24" s="1"/>
  <c r="Z52" i="24" s="1"/>
  <c r="Y52" i="24" s="1"/>
  <c r="W249" i="24"/>
  <c r="D249" i="24"/>
  <c r="E249" i="24" s="1"/>
  <c r="F249" i="24" s="1"/>
  <c r="G249" i="24" s="1"/>
  <c r="CE249" i="6" s="1"/>
  <c r="W186" i="24"/>
  <c r="D186" i="24"/>
  <c r="E186" i="24" s="1"/>
  <c r="F186" i="24" s="1"/>
  <c r="G186" i="24" s="1"/>
  <c r="CE186" i="6" s="1"/>
  <c r="W129" i="24"/>
  <c r="D129" i="24"/>
  <c r="E129" i="24" s="1"/>
  <c r="F129" i="24" s="1"/>
  <c r="G129" i="24" s="1"/>
  <c r="CE129" i="6" s="1"/>
  <c r="D68" i="24"/>
  <c r="E68" i="24" s="1"/>
  <c r="F68" i="24" s="1"/>
  <c r="W68" i="24"/>
  <c r="D87" i="24"/>
  <c r="E87" i="24" s="1"/>
  <c r="F87" i="24" s="1"/>
  <c r="W87" i="24"/>
  <c r="W41" i="24"/>
  <c r="D41" i="24"/>
  <c r="E41" i="24" s="1"/>
  <c r="F41" i="24" s="1"/>
  <c r="G41" i="24" s="1"/>
  <c r="CE41" i="6" s="1"/>
  <c r="D255" i="24"/>
  <c r="E255" i="24" s="1"/>
  <c r="F255" i="24" s="1"/>
  <c r="W255" i="24"/>
  <c r="D213" i="24"/>
  <c r="E213" i="24" s="1"/>
  <c r="F213" i="24" s="1"/>
  <c r="W213" i="24"/>
  <c r="D78" i="24"/>
  <c r="E78" i="24" s="1"/>
  <c r="F78" i="24" s="1"/>
  <c r="G78" i="24" s="1"/>
  <c r="CE78" i="6" s="1"/>
  <c r="W78" i="24"/>
  <c r="D274" i="24"/>
  <c r="E274" i="24" s="1"/>
  <c r="F274" i="24" s="1"/>
  <c r="AA274" i="24" s="1"/>
  <c r="Z274" i="24" s="1"/>
  <c r="Y274" i="24" s="1"/>
  <c r="W274" i="24"/>
  <c r="D130" i="24"/>
  <c r="E130" i="24" s="1"/>
  <c r="F130" i="24" s="1"/>
  <c r="W130" i="24"/>
  <c r="D185" i="24"/>
  <c r="E185" i="24" s="1"/>
  <c r="F185" i="24" s="1"/>
  <c r="W185" i="24"/>
  <c r="D108" i="24"/>
  <c r="E108" i="24" s="1"/>
  <c r="F108" i="24" s="1"/>
  <c r="W108" i="24"/>
  <c r="W343" i="24"/>
  <c r="D343" i="24"/>
  <c r="E343" i="24" s="1"/>
  <c r="F343" i="24" s="1"/>
  <c r="AA343" i="24" s="1"/>
  <c r="Z343" i="24" s="1"/>
  <c r="Y343" i="24" s="1"/>
  <c r="W221" i="24"/>
  <c r="D221" i="24"/>
  <c r="E221" i="24" s="1"/>
  <c r="F221" i="24" s="1"/>
  <c r="H221" i="24" s="1"/>
  <c r="I221" i="24" s="1"/>
  <c r="D244" i="24"/>
  <c r="E244" i="24" s="1"/>
  <c r="F244" i="24" s="1"/>
  <c r="W244" i="24"/>
  <c r="D187" i="24"/>
  <c r="E187" i="24" s="1"/>
  <c r="F187" i="24" s="1"/>
  <c r="W187" i="24"/>
  <c r="D318" i="24"/>
  <c r="E318" i="24" s="1"/>
  <c r="F318" i="24" s="1"/>
  <c r="W318" i="24"/>
  <c r="D120" i="24"/>
  <c r="E120" i="24" s="1"/>
  <c r="F120" i="24" s="1"/>
  <c r="W120" i="24"/>
  <c r="W268" i="24"/>
  <c r="D268" i="24"/>
  <c r="E268" i="24" s="1"/>
  <c r="F268" i="24" s="1"/>
  <c r="AA268" i="24" s="1"/>
  <c r="Z268" i="24" s="1"/>
  <c r="Y268" i="24" s="1"/>
  <c r="D292" i="24"/>
  <c r="E292" i="24" s="1"/>
  <c r="F292" i="24" s="1"/>
  <c r="W292" i="24"/>
  <c r="W26" i="24"/>
  <c r="D26" i="24"/>
  <c r="E26" i="24" s="1"/>
  <c r="F26" i="24" s="1"/>
  <c r="G26" i="24" s="1"/>
  <c r="CE26" i="6" s="1"/>
  <c r="D20" i="24"/>
  <c r="E20" i="24" s="1"/>
  <c r="F20" i="24" s="1"/>
  <c r="W20" i="24"/>
  <c r="D63" i="24"/>
  <c r="E63" i="24" s="1"/>
  <c r="F63" i="24" s="1"/>
  <c r="W63" i="24"/>
  <c r="W233" i="24"/>
  <c r="D233" i="24"/>
  <c r="E233" i="24" s="1"/>
  <c r="F233" i="24" s="1"/>
  <c r="G233" i="24" s="1"/>
  <c r="CE233" i="6" s="1"/>
  <c r="W327" i="24"/>
  <c r="D327" i="24"/>
  <c r="E327" i="24" s="1"/>
  <c r="F327" i="24" s="1"/>
  <c r="G327" i="24" s="1"/>
  <c r="CE327" i="6" s="1"/>
  <c r="D38" i="24"/>
  <c r="E38" i="24" s="1"/>
  <c r="F38" i="24" s="1"/>
  <c r="W38" i="24"/>
  <c r="D143" i="24"/>
  <c r="E143" i="24" s="1"/>
  <c r="F143" i="24" s="1"/>
  <c r="G143" i="24" s="1"/>
  <c r="CE143" i="6" s="1"/>
  <c r="W143" i="24"/>
  <c r="W172" i="24"/>
  <c r="D172" i="24"/>
  <c r="E172" i="24" s="1"/>
  <c r="F172" i="24" s="1"/>
  <c r="AA172" i="24" s="1"/>
  <c r="Z172" i="24" s="1"/>
  <c r="Y172" i="24" s="1"/>
  <c r="W377" i="24"/>
  <c r="D377" i="24"/>
  <c r="E377" i="24" s="1"/>
  <c r="F377" i="24" s="1"/>
  <c r="H377" i="24" s="1"/>
  <c r="J377" i="24" s="1"/>
  <c r="W96" i="24"/>
  <c r="D96" i="24"/>
  <c r="E96" i="24" s="1"/>
  <c r="F96" i="24" s="1"/>
  <c r="G96" i="24" s="1"/>
  <c r="CE96" i="6" s="1"/>
  <c r="W121" i="24"/>
  <c r="D121" i="24"/>
  <c r="E121" i="24" s="1"/>
  <c r="F121" i="24" s="1"/>
  <c r="H121" i="24" s="1"/>
  <c r="J121" i="24" s="1"/>
  <c r="W356" i="24"/>
  <c r="D356" i="24"/>
  <c r="E356" i="24" s="1"/>
  <c r="F356" i="24" s="1"/>
  <c r="AA356" i="24" s="1"/>
  <c r="Z356" i="24" s="1"/>
  <c r="Y356" i="24" s="1"/>
  <c r="D341" i="24"/>
  <c r="E341" i="24" s="1"/>
  <c r="F341" i="24" s="1"/>
  <c r="AA341" i="24" s="1"/>
  <c r="Z341" i="24" s="1"/>
  <c r="Y341" i="24" s="1"/>
  <c r="W341" i="24"/>
  <c r="W304" i="24"/>
  <c r="D304" i="24"/>
  <c r="E304" i="24" s="1"/>
  <c r="F304" i="24" s="1"/>
  <c r="G304" i="24" s="1"/>
  <c r="CE304" i="6" s="1"/>
  <c r="D374" i="24"/>
  <c r="E374" i="24" s="1"/>
  <c r="F374" i="24" s="1"/>
  <c r="AA374" i="24" s="1"/>
  <c r="Z374" i="24" s="1"/>
  <c r="Y374" i="24" s="1"/>
  <c r="W374" i="24"/>
  <c r="D361" i="24"/>
  <c r="E361" i="24" s="1"/>
  <c r="F361" i="24" s="1"/>
  <c r="G361" i="24" s="1"/>
  <c r="CE361" i="6" s="1"/>
  <c r="W361" i="24"/>
  <c r="W222" i="24"/>
  <c r="D222" i="24"/>
  <c r="E222" i="24" s="1"/>
  <c r="F222" i="24" s="1"/>
  <c r="AA222" i="24" s="1"/>
  <c r="Z222" i="24" s="1"/>
  <c r="Y222" i="24" s="1"/>
  <c r="AA353" i="24"/>
  <c r="Z353" i="24" s="1"/>
  <c r="Y353" i="24" s="1"/>
  <c r="H154" i="24"/>
  <c r="J154" i="24" s="1"/>
  <c r="G68" i="24"/>
  <c r="CE68" i="6" s="1"/>
  <c r="AA209" i="24"/>
  <c r="Z209" i="24" s="1"/>
  <c r="Y209" i="24" s="1"/>
  <c r="H202" i="24"/>
  <c r="J202" i="24" s="1"/>
  <c r="G208" i="24"/>
  <c r="CE208" i="6" s="1"/>
  <c r="G178" i="24"/>
  <c r="CE178" i="6" s="1"/>
  <c r="AA79" i="24"/>
  <c r="Z79" i="24" s="1"/>
  <c r="Y79" i="24" s="1"/>
  <c r="G177" i="24"/>
  <c r="CE177" i="6" s="1"/>
  <c r="D203" i="24"/>
  <c r="E203" i="24" s="1"/>
  <c r="F203" i="24" s="1"/>
  <c r="H203" i="24" s="1"/>
  <c r="J203" i="24" s="1"/>
  <c r="W47" i="24"/>
  <c r="W179" i="24"/>
  <c r="W101" i="24"/>
  <c r="D57" i="24"/>
  <c r="E57" i="24" s="1"/>
  <c r="F57" i="24" s="1"/>
  <c r="G57" i="24" s="1"/>
  <c r="CE57" i="6" s="1"/>
  <c r="D314" i="24"/>
  <c r="E314" i="24" s="1"/>
  <c r="F314" i="24" s="1"/>
  <c r="G314" i="24" s="1"/>
  <c r="CE314" i="6" s="1"/>
  <c r="D56" i="24"/>
  <c r="E56" i="24" s="1"/>
  <c r="F56" i="24" s="1"/>
  <c r="G56" i="24" s="1"/>
  <c r="CE56" i="6" s="1"/>
  <c r="D139" i="24"/>
  <c r="E139" i="24" s="1"/>
  <c r="F139" i="24" s="1"/>
  <c r="H139" i="24" s="1"/>
  <c r="J139" i="24" s="1"/>
  <c r="W91" i="24"/>
  <c r="D370" i="24"/>
  <c r="E370" i="24" s="1"/>
  <c r="F370" i="24" s="1"/>
  <c r="AA370" i="24" s="1"/>
  <c r="Z370" i="24" s="1"/>
  <c r="Y370" i="24" s="1"/>
  <c r="W330" i="24"/>
  <c r="W209" i="24"/>
  <c r="D328" i="24"/>
  <c r="E328" i="24" s="1"/>
  <c r="F328" i="24" s="1"/>
  <c r="AA328" i="24" s="1"/>
  <c r="Z328" i="24" s="1"/>
  <c r="Y328" i="24" s="1"/>
  <c r="W168" i="24"/>
  <c r="D190" i="24"/>
  <c r="E190" i="24" s="1"/>
  <c r="F190" i="24" s="1"/>
  <c r="AA190" i="24" s="1"/>
  <c r="Z190" i="24" s="1"/>
  <c r="Y190" i="24" s="1"/>
  <c r="W177" i="24"/>
  <c r="D125" i="24"/>
  <c r="E125" i="24" s="1"/>
  <c r="F125" i="24" s="1"/>
  <c r="AA125" i="24" s="1"/>
  <c r="Z125" i="24" s="1"/>
  <c r="Y125" i="24" s="1"/>
  <c r="D160" i="24"/>
  <c r="E160" i="24" s="1"/>
  <c r="F160" i="24" s="1"/>
  <c r="G160" i="24" s="1"/>
  <c r="CE160" i="6" s="1"/>
  <c r="D325" i="24"/>
  <c r="E325" i="24" s="1"/>
  <c r="F325" i="24" s="1"/>
  <c r="G325" i="24" s="1"/>
  <c r="CE325" i="6" s="1"/>
  <c r="D308" i="24"/>
  <c r="E308" i="24" s="1"/>
  <c r="F308" i="24" s="1"/>
  <c r="G308" i="24" s="1"/>
  <c r="CE308" i="6" s="1"/>
  <c r="W353" i="24"/>
  <c r="W220" i="24"/>
  <c r="W154" i="24"/>
  <c r="W329" i="24"/>
  <c r="W344" i="24"/>
  <c r="D260" i="24"/>
  <c r="E260" i="24" s="1"/>
  <c r="F260" i="24" s="1"/>
  <c r="G260" i="24" s="1"/>
  <c r="CE260" i="6" s="1"/>
  <c r="D283" i="24"/>
  <c r="E283" i="24" s="1"/>
  <c r="F283" i="24" s="1"/>
  <c r="G283" i="24" s="1"/>
  <c r="CE283" i="6" s="1"/>
  <c r="D22" i="24"/>
  <c r="E22" i="24" s="1"/>
  <c r="F22" i="24" s="1"/>
  <c r="AA22" i="24" s="1"/>
  <c r="Z22" i="24" s="1"/>
  <c r="Y22" i="24" s="1"/>
  <c r="W323" i="24"/>
  <c r="W365" i="24"/>
  <c r="D365" i="24"/>
  <c r="E365" i="24" s="1"/>
  <c r="F365" i="24" s="1"/>
  <c r="H365" i="24" s="1"/>
  <c r="I365" i="24" s="1"/>
  <c r="D251" i="24"/>
  <c r="E251" i="24" s="1"/>
  <c r="F251" i="24" s="1"/>
  <c r="W251" i="24"/>
  <c r="W205" i="24"/>
  <c r="D205" i="24"/>
  <c r="E205" i="24" s="1"/>
  <c r="F205" i="24" s="1"/>
  <c r="AA205" i="24" s="1"/>
  <c r="Z205" i="24" s="1"/>
  <c r="Y205" i="24" s="1"/>
  <c r="W280" i="24"/>
  <c r="D280" i="24"/>
  <c r="E280" i="24" s="1"/>
  <c r="F280" i="24" s="1"/>
  <c r="G280" i="24" s="1"/>
  <c r="CE280" i="6" s="1"/>
  <c r="AA247" i="24"/>
  <c r="Z247" i="24" s="1"/>
  <c r="Y247" i="24" s="1"/>
  <c r="G247" i="24"/>
  <c r="CE247" i="6" s="1"/>
  <c r="H247" i="24"/>
  <c r="I247" i="24" s="1"/>
  <c r="G50" i="24"/>
  <c r="CE50" i="6" s="1"/>
  <c r="H50" i="24"/>
  <c r="I50" i="24" s="1"/>
  <c r="AA50" i="24"/>
  <c r="Z50" i="24" s="1"/>
  <c r="Y50" i="24" s="1"/>
  <c r="AA167" i="24"/>
  <c r="Z167" i="24" s="1"/>
  <c r="Y167" i="24" s="1"/>
  <c r="G167" i="24"/>
  <c r="CE167" i="6" s="1"/>
  <c r="H167" i="24"/>
  <c r="J167" i="24" s="1"/>
  <c r="G267" i="24"/>
  <c r="CE267" i="6" s="1"/>
  <c r="H267" i="24"/>
  <c r="J267" i="24" s="1"/>
  <c r="AA267" i="24"/>
  <c r="Z267" i="24" s="1"/>
  <c r="Y267" i="24" s="1"/>
  <c r="H181" i="24"/>
  <c r="I181" i="24" s="1"/>
  <c r="AA181" i="24"/>
  <c r="Z181" i="24" s="1"/>
  <c r="Y181" i="24" s="1"/>
  <c r="G181" i="24"/>
  <c r="CE181" i="6" s="1"/>
  <c r="G182" i="24"/>
  <c r="CE182" i="6" s="1"/>
  <c r="H182" i="24"/>
  <c r="J182" i="24" s="1"/>
  <c r="AA182" i="24"/>
  <c r="Z182" i="24" s="1"/>
  <c r="Y182" i="24" s="1"/>
  <c r="H23" i="24"/>
  <c r="I23" i="24" s="1"/>
  <c r="G23" i="24"/>
  <c r="CE23" i="6" s="1"/>
  <c r="AA23" i="24"/>
  <c r="Z23" i="24" s="1"/>
  <c r="Y23" i="24" s="1"/>
  <c r="G269" i="24"/>
  <c r="CE269" i="6" s="1"/>
  <c r="H269" i="24"/>
  <c r="J269" i="24" s="1"/>
  <c r="AA269" i="24"/>
  <c r="Z269" i="24" s="1"/>
  <c r="Y269" i="24" s="1"/>
  <c r="AA124" i="24"/>
  <c r="Z124" i="24" s="1"/>
  <c r="Y124" i="24" s="1"/>
  <c r="G124" i="24"/>
  <c r="CE124" i="6" s="1"/>
  <c r="H124" i="24"/>
  <c r="J124" i="24" s="1"/>
  <c r="G152" i="24"/>
  <c r="CE152" i="6" s="1"/>
  <c r="H152" i="24"/>
  <c r="J152" i="24" s="1"/>
  <c r="AA152" i="24"/>
  <c r="Z152" i="24" s="1"/>
  <c r="Y152" i="24" s="1"/>
  <c r="AA143" i="24"/>
  <c r="Z143" i="24" s="1"/>
  <c r="Y143" i="24" s="1"/>
  <c r="H143" i="24"/>
  <c r="I143" i="24" s="1"/>
  <c r="G344" i="24"/>
  <c r="CE344" i="6" s="1"/>
  <c r="AA344" i="24"/>
  <c r="Z344" i="24" s="1"/>
  <c r="Y344" i="24" s="1"/>
  <c r="H344" i="24"/>
  <c r="I344" i="24" s="1"/>
  <c r="H341" i="24"/>
  <c r="J341" i="24" s="1"/>
  <c r="G341" i="24"/>
  <c r="CE341" i="6" s="1"/>
  <c r="G374" i="24"/>
  <c r="CE374" i="6" s="1"/>
  <c r="AA361" i="24"/>
  <c r="Z361" i="24" s="1"/>
  <c r="Y361" i="24" s="1"/>
  <c r="H361" i="24"/>
  <c r="I361" i="24" s="1"/>
  <c r="AA220" i="24"/>
  <c r="Z220" i="24" s="1"/>
  <c r="Y220" i="24" s="1"/>
  <c r="G220" i="24"/>
  <c r="CE220" i="6" s="1"/>
  <c r="H220" i="24"/>
  <c r="I220" i="24" s="1"/>
  <c r="AA354" i="24"/>
  <c r="Z354" i="24" s="1"/>
  <c r="Y354" i="24" s="1"/>
  <c r="G354" i="24"/>
  <c r="CE354" i="6" s="1"/>
  <c r="H354" i="24"/>
  <c r="J354" i="24" s="1"/>
  <c r="G54" i="24"/>
  <c r="CE54" i="6" s="1"/>
  <c r="AA54" i="24"/>
  <c r="Z54" i="24" s="1"/>
  <c r="Y54" i="24" s="1"/>
  <c r="H54" i="24"/>
  <c r="J54" i="24" s="1"/>
  <c r="H357" i="24"/>
  <c r="J357" i="24" s="1"/>
  <c r="AA357" i="24"/>
  <c r="Z357" i="24" s="1"/>
  <c r="Y357" i="24" s="1"/>
  <c r="G357" i="24"/>
  <c r="CE357" i="6" s="1"/>
  <c r="AA62" i="24"/>
  <c r="Z62" i="24" s="1"/>
  <c r="Y62" i="24" s="1"/>
  <c r="H62" i="24"/>
  <c r="J62" i="24" s="1"/>
  <c r="G62" i="24"/>
  <c r="CE62" i="6" s="1"/>
  <c r="H19" i="24"/>
  <c r="I19" i="24" s="1"/>
  <c r="AA19" i="24"/>
  <c r="Z19" i="24" s="1"/>
  <c r="Y19" i="24" s="1"/>
  <c r="G19" i="24"/>
  <c r="CE19" i="6" s="1"/>
  <c r="AA295" i="24"/>
  <c r="Z295" i="24" s="1"/>
  <c r="Y295" i="24" s="1"/>
  <c r="H295" i="24"/>
  <c r="J295" i="24" s="1"/>
  <c r="G295" i="24"/>
  <c r="CE295" i="6" s="1"/>
  <c r="G300" i="24"/>
  <c r="CE300" i="6" s="1"/>
  <c r="H300" i="24"/>
  <c r="J300" i="24" s="1"/>
  <c r="AA300" i="24"/>
  <c r="Z300" i="24" s="1"/>
  <c r="Y300" i="24" s="1"/>
  <c r="H198" i="24"/>
  <c r="J198" i="24" s="1"/>
  <c r="AA198" i="24"/>
  <c r="Z198" i="24" s="1"/>
  <c r="Y198" i="24" s="1"/>
  <c r="G198" i="24"/>
  <c r="CE198" i="6" s="1"/>
  <c r="H253" i="24"/>
  <c r="J253" i="24" s="1"/>
  <c r="AA253" i="24"/>
  <c r="Z253" i="24" s="1"/>
  <c r="Y253" i="24" s="1"/>
  <c r="G253" i="24"/>
  <c r="CE253" i="6" s="1"/>
  <c r="G291" i="24"/>
  <c r="CE291" i="6" s="1"/>
  <c r="AA291" i="24"/>
  <c r="Z291" i="24" s="1"/>
  <c r="Y291" i="24" s="1"/>
  <c r="H291" i="24"/>
  <c r="I291" i="24" s="1"/>
  <c r="G122" i="24"/>
  <c r="CE122" i="6" s="1"/>
  <c r="H122" i="24"/>
  <c r="I122" i="24" s="1"/>
  <c r="AA122" i="24"/>
  <c r="Z122" i="24" s="1"/>
  <c r="Y122" i="24" s="1"/>
  <c r="AA355" i="24"/>
  <c r="Z355" i="24" s="1"/>
  <c r="Y355" i="24" s="1"/>
  <c r="H191" i="24"/>
  <c r="J191" i="24" s="1"/>
  <c r="G191" i="24"/>
  <c r="CE191" i="6" s="1"/>
  <c r="G188" i="24"/>
  <c r="CE188" i="6" s="1"/>
  <c r="H188" i="24"/>
  <c r="J188" i="24" s="1"/>
  <c r="AA188" i="24"/>
  <c r="Z188" i="24" s="1"/>
  <c r="Y188" i="24" s="1"/>
  <c r="AA142" i="24"/>
  <c r="Z142" i="24" s="1"/>
  <c r="Y142" i="24" s="1"/>
  <c r="G142" i="24"/>
  <c r="CE142" i="6" s="1"/>
  <c r="G140" i="24"/>
  <c r="CE140" i="6" s="1"/>
  <c r="H126" i="24"/>
  <c r="I126" i="24" s="1"/>
  <c r="AA126" i="24"/>
  <c r="Z126" i="24" s="1"/>
  <c r="Y126" i="24" s="1"/>
  <c r="G126" i="24"/>
  <c r="CE126" i="6" s="1"/>
  <c r="AA326" i="24"/>
  <c r="Z326" i="24" s="1"/>
  <c r="Y326" i="24" s="1"/>
  <c r="H326" i="24"/>
  <c r="J326" i="24" s="1"/>
  <c r="G326" i="24"/>
  <c r="CE326" i="6" s="1"/>
  <c r="H193" i="24"/>
  <c r="I193" i="24" s="1"/>
  <c r="AA193" i="24"/>
  <c r="Z193" i="24" s="1"/>
  <c r="Y193" i="24" s="1"/>
  <c r="G193" i="24"/>
  <c r="CE193" i="6" s="1"/>
  <c r="AA245" i="24"/>
  <c r="Z245" i="24" s="1"/>
  <c r="Y245" i="24" s="1"/>
  <c r="G245" i="24"/>
  <c r="CE245" i="6" s="1"/>
  <c r="H245" i="24"/>
  <c r="J245" i="24" s="1"/>
  <c r="AA25" i="24"/>
  <c r="Z25" i="24" s="1"/>
  <c r="Y25" i="24" s="1"/>
  <c r="H25" i="24"/>
  <c r="J25" i="24" s="1"/>
  <c r="G25" i="24"/>
  <c r="CE25" i="6" s="1"/>
  <c r="H262" i="24"/>
  <c r="J262" i="24" s="1"/>
  <c r="AA262" i="24"/>
  <c r="Z262" i="24" s="1"/>
  <c r="Y262" i="24" s="1"/>
  <c r="G262" i="24"/>
  <c r="CE262" i="6" s="1"/>
  <c r="AA184" i="24"/>
  <c r="Z184" i="24" s="1"/>
  <c r="Y184" i="24" s="1"/>
  <c r="H184" i="24"/>
  <c r="J184" i="24" s="1"/>
  <c r="G184" i="24"/>
  <c r="CE184" i="6" s="1"/>
  <c r="H53" i="24"/>
  <c r="J53" i="24" s="1"/>
  <c r="AA53" i="24"/>
  <c r="Z53" i="24" s="1"/>
  <c r="Y53" i="24" s="1"/>
  <c r="G53" i="24"/>
  <c r="CE53" i="6" s="1"/>
  <c r="AA358" i="24"/>
  <c r="Z358" i="24" s="1"/>
  <c r="Y358" i="24" s="1"/>
  <c r="G358" i="24"/>
  <c r="CE358" i="6" s="1"/>
  <c r="AA334" i="24"/>
  <c r="Z334" i="24" s="1"/>
  <c r="Y334" i="24" s="1"/>
  <c r="G334" i="24"/>
  <c r="CE334" i="6" s="1"/>
  <c r="H334" i="24"/>
  <c r="I334" i="24" s="1"/>
  <c r="AA77" i="24"/>
  <c r="Z77" i="24" s="1"/>
  <c r="Y77" i="24" s="1"/>
  <c r="H77" i="24"/>
  <c r="I77" i="24" s="1"/>
  <c r="G77" i="24"/>
  <c r="CE77" i="6" s="1"/>
  <c r="AA212" i="24"/>
  <c r="Z212" i="24" s="1"/>
  <c r="Y212" i="24" s="1"/>
  <c r="H212" i="24"/>
  <c r="I212" i="24" s="1"/>
  <c r="G212" i="24"/>
  <c r="CE212" i="6" s="1"/>
  <c r="AA324" i="24"/>
  <c r="Z324" i="24" s="1"/>
  <c r="Y324" i="24" s="1"/>
  <c r="G324" i="24"/>
  <c r="CE324" i="6" s="1"/>
  <c r="H324" i="24"/>
  <c r="I324" i="24" s="1"/>
  <c r="H161" i="24"/>
  <c r="J161" i="24" s="1"/>
  <c r="AA161" i="24"/>
  <c r="Z161" i="24" s="1"/>
  <c r="Y161" i="24" s="1"/>
  <c r="G161" i="24"/>
  <c r="CE161" i="6" s="1"/>
  <c r="G373" i="24"/>
  <c r="CE373" i="6" s="1"/>
  <c r="AA373" i="24"/>
  <c r="Z373" i="24" s="1"/>
  <c r="Y373" i="24" s="1"/>
  <c r="H373" i="24"/>
  <c r="I373" i="24" s="1"/>
  <c r="AA148" i="24"/>
  <c r="Z148" i="24" s="1"/>
  <c r="Y148" i="24" s="1"/>
  <c r="H148" i="24"/>
  <c r="I148" i="24" s="1"/>
  <c r="G148" i="24"/>
  <c r="CE148" i="6" s="1"/>
  <c r="H78" i="24"/>
  <c r="J78" i="24" s="1"/>
  <c r="AA78" i="24"/>
  <c r="Z78" i="24" s="1"/>
  <c r="Y78" i="24" s="1"/>
  <c r="AA235" i="24"/>
  <c r="Z235" i="24" s="1"/>
  <c r="Y235" i="24" s="1"/>
  <c r="H235" i="24"/>
  <c r="J235" i="24" s="1"/>
  <c r="G235" i="24"/>
  <c r="CE235" i="6" s="1"/>
  <c r="G274" i="24"/>
  <c r="CE274" i="6" s="1"/>
  <c r="H274" i="24"/>
  <c r="I274" i="24" s="1"/>
  <c r="B302" i="24"/>
  <c r="D302" i="24" s="1"/>
  <c r="E302" i="24" s="1"/>
  <c r="F302" i="24" s="1"/>
  <c r="B363" i="24"/>
  <c r="D363" i="24" s="1"/>
  <c r="E363" i="24" s="1"/>
  <c r="F363" i="24" s="1"/>
  <c r="B119" i="24"/>
  <c r="D119" i="24" s="1"/>
  <c r="E119" i="24" s="1"/>
  <c r="F119" i="24" s="1"/>
  <c r="B29" i="24"/>
  <c r="D29" i="24" s="1"/>
  <c r="E29" i="24" s="1"/>
  <c r="F29" i="24" s="1"/>
  <c r="B241" i="24"/>
  <c r="D241" i="24" s="1"/>
  <c r="E241" i="24" s="1"/>
  <c r="F241" i="24" s="1"/>
  <c r="B180" i="24"/>
  <c r="W180" i="24" s="1"/>
  <c r="W206" i="24"/>
  <c r="D155" i="24"/>
  <c r="E155" i="24" s="1"/>
  <c r="F155" i="24" s="1"/>
  <c r="W311" i="24"/>
  <c r="D345" i="24"/>
  <c r="E345" i="24" s="1"/>
  <c r="F345" i="24" s="1"/>
  <c r="W82" i="24"/>
  <c r="W16" i="24"/>
  <c r="W102" i="24"/>
  <c r="W277" i="24"/>
  <c r="D347" i="24"/>
  <c r="E347" i="24" s="1"/>
  <c r="F347" i="24" s="1"/>
  <c r="D266" i="24"/>
  <c r="E266" i="24" s="1"/>
  <c r="F266" i="24" s="1"/>
  <c r="D366" i="24"/>
  <c r="E366" i="24" s="1"/>
  <c r="F366" i="24" s="1"/>
  <c r="D49" i="24"/>
  <c r="E49" i="24" s="1"/>
  <c r="F49" i="24" s="1"/>
  <c r="D112" i="24"/>
  <c r="E112" i="24" s="1"/>
  <c r="F112" i="24" s="1"/>
  <c r="D153" i="24"/>
  <c r="E153" i="24" s="1"/>
  <c r="F153" i="24" s="1"/>
  <c r="B379" i="24"/>
  <c r="D379" i="24" s="1"/>
  <c r="E379" i="24" s="1"/>
  <c r="F379" i="24" s="1"/>
  <c r="W71" i="24"/>
  <c r="D136" i="24"/>
  <c r="E136" i="24" s="1"/>
  <c r="F136" i="24" s="1"/>
  <c r="W113" i="24"/>
  <c r="D232" i="24"/>
  <c r="E232" i="24" s="1"/>
  <c r="F232" i="24" s="1"/>
  <c r="D43" i="24"/>
  <c r="E43" i="24" s="1"/>
  <c r="F43" i="24" s="1"/>
  <c r="D299" i="24"/>
  <c r="E299" i="24" s="1"/>
  <c r="F299" i="24" s="1"/>
  <c r="D146" i="24"/>
  <c r="E146" i="24" s="1"/>
  <c r="F146" i="24" s="1"/>
  <c r="D103" i="24"/>
  <c r="E103" i="24" s="1"/>
  <c r="F103" i="24" s="1"/>
  <c r="W100" i="24"/>
  <c r="W111" i="24"/>
  <c r="W61" i="24"/>
  <c r="D58" i="24"/>
  <c r="E58" i="24" s="1"/>
  <c r="F58" i="24" s="1"/>
  <c r="D21" i="24"/>
  <c r="E21" i="24" s="1"/>
  <c r="F21" i="24" s="1"/>
  <c r="W147" i="24"/>
  <c r="D165" i="24"/>
  <c r="E165" i="24" s="1"/>
  <c r="F165" i="24" s="1"/>
  <c r="D80" i="24"/>
  <c r="E80" i="24" s="1"/>
  <c r="F80" i="24" s="1"/>
  <c r="AA33" i="24"/>
  <c r="Z33" i="24" s="1"/>
  <c r="Y33" i="24" s="1"/>
  <c r="G311" i="24"/>
  <c r="CE311" i="6" s="1"/>
  <c r="AA365" i="24"/>
  <c r="Z365" i="24" s="1"/>
  <c r="Y365" i="24" s="1"/>
  <c r="H205" i="24"/>
  <c r="J205" i="24" s="1"/>
  <c r="G206" i="24"/>
  <c r="CE206" i="6" s="1"/>
  <c r="H107" i="24"/>
  <c r="I107" i="24" s="1"/>
  <c r="AA311" i="24"/>
  <c r="Z311" i="24" s="1"/>
  <c r="Y311" i="24" s="1"/>
  <c r="H172" i="24"/>
  <c r="J172" i="24" s="1"/>
  <c r="G377" i="24"/>
  <c r="CE377" i="6" s="1"/>
  <c r="G82" i="24"/>
  <c r="CE82" i="6" s="1"/>
  <c r="H277" i="24"/>
  <c r="J277" i="24" s="1"/>
  <c r="H102" i="24"/>
  <c r="I102" i="24" s="1"/>
  <c r="AA192" i="24"/>
  <c r="Z192" i="24" s="1"/>
  <c r="Y192" i="24" s="1"/>
  <c r="H109" i="24"/>
  <c r="I109" i="24" s="1"/>
  <c r="AA86" i="24"/>
  <c r="Z86" i="24" s="1"/>
  <c r="Y86" i="24" s="1"/>
  <c r="H337" i="24"/>
  <c r="J337" i="24" s="1"/>
  <c r="H110" i="24"/>
  <c r="I110" i="24" s="1"/>
  <c r="G114" i="24"/>
  <c r="CE114" i="6" s="1"/>
  <c r="AA102" i="24"/>
  <c r="Z102" i="24" s="1"/>
  <c r="Y102" i="24" s="1"/>
  <c r="AA64" i="24"/>
  <c r="Z64" i="24" s="1"/>
  <c r="Y64" i="24" s="1"/>
  <c r="H275" i="24"/>
  <c r="J275" i="24" s="1"/>
  <c r="AA16" i="24"/>
  <c r="Z16" i="24" s="1"/>
  <c r="Y16" i="24" s="1"/>
  <c r="AA283" i="24"/>
  <c r="Z283" i="24" s="1"/>
  <c r="Y283" i="24" s="1"/>
  <c r="H332" i="24"/>
  <c r="I332" i="24" s="1"/>
  <c r="H350" i="24"/>
  <c r="J350" i="24" s="1"/>
  <c r="G174" i="24"/>
  <c r="CE174" i="6" s="1"/>
  <c r="AA160" i="24"/>
  <c r="Z160" i="24" s="1"/>
  <c r="Y160" i="24" s="1"/>
  <c r="AA298" i="24"/>
  <c r="Z298" i="24" s="1"/>
  <c r="Y298" i="24" s="1"/>
  <c r="H64" i="24"/>
  <c r="J64" i="24" s="1"/>
  <c r="AA84" i="24"/>
  <c r="Z84" i="24" s="1"/>
  <c r="Y84" i="24" s="1"/>
  <c r="AA199" i="24"/>
  <c r="Z199" i="24" s="1"/>
  <c r="Y199" i="24" s="1"/>
  <c r="H33" i="24"/>
  <c r="J33" i="24" s="1"/>
  <c r="G265" i="24"/>
  <c r="CE265" i="6" s="1"/>
  <c r="H268" i="24"/>
  <c r="I268" i="24" s="1"/>
  <c r="AA277" i="24"/>
  <c r="Z277" i="24" s="1"/>
  <c r="Y277" i="24" s="1"/>
  <c r="G215" i="24"/>
  <c r="CE215" i="6" s="1"/>
  <c r="AA197" i="24"/>
  <c r="Z197" i="24" s="1"/>
  <c r="Y197" i="24" s="1"/>
  <c r="G110" i="24"/>
  <c r="CE110" i="6" s="1"/>
  <c r="H174" i="24"/>
  <c r="J174" i="24" s="1"/>
  <c r="G67" i="24"/>
  <c r="CE67" i="6" s="1"/>
  <c r="AA194" i="24"/>
  <c r="Z194" i="24" s="1"/>
  <c r="Y194" i="24" s="1"/>
  <c r="G52" i="24"/>
  <c r="CE52" i="6" s="1"/>
  <c r="H250" i="24"/>
  <c r="I250" i="24" s="1"/>
  <c r="G84" i="24"/>
  <c r="CE84" i="6" s="1"/>
  <c r="H199" i="24"/>
  <c r="I199" i="24" s="1"/>
  <c r="H308" i="24"/>
  <c r="I308" i="24" s="1"/>
  <c r="H16" i="24"/>
  <c r="I16" i="24" s="1"/>
  <c r="AA265" i="24"/>
  <c r="Z265" i="24" s="1"/>
  <c r="Y265" i="24" s="1"/>
  <c r="G109" i="24"/>
  <c r="CE109" i="6" s="1"/>
  <c r="H206" i="24"/>
  <c r="J206" i="24" s="1"/>
  <c r="G221" i="24"/>
  <c r="CE221" i="6" s="1"/>
  <c r="G195" i="24"/>
  <c r="CE195" i="6" s="1"/>
  <c r="AA337" i="24"/>
  <c r="Z337" i="24" s="1"/>
  <c r="Y337" i="24" s="1"/>
  <c r="H197" i="24"/>
  <c r="J197" i="24" s="1"/>
  <c r="H141" i="24"/>
  <c r="I141" i="24" s="1"/>
  <c r="AA350" i="24"/>
  <c r="Z350" i="24" s="1"/>
  <c r="Y350" i="24" s="1"/>
  <c r="AA127" i="24"/>
  <c r="Z127" i="24" s="1"/>
  <c r="Y127" i="24" s="1"/>
  <c r="G125" i="24"/>
  <c r="CE125" i="6" s="1"/>
  <c r="H67" i="24"/>
  <c r="J67" i="24" s="1"/>
  <c r="H325" i="24"/>
  <c r="I325" i="24" s="1"/>
  <c r="AA114" i="24"/>
  <c r="Z114" i="24" s="1"/>
  <c r="Y114" i="24" s="1"/>
  <c r="W241" i="24"/>
  <c r="H298" i="24"/>
  <c r="I298" i="24" s="1"/>
  <c r="AA39" i="24"/>
  <c r="Z39" i="24" s="1"/>
  <c r="Y39" i="24" s="1"/>
  <c r="H195" i="24"/>
  <c r="I195" i="24" s="1"/>
  <c r="AA100" i="24"/>
  <c r="Z100" i="24" s="1"/>
  <c r="Y100" i="24" s="1"/>
  <c r="G307" i="24"/>
  <c r="CE307" i="6" s="1"/>
  <c r="G250" i="24"/>
  <c r="CE250" i="6" s="1"/>
  <c r="AA30" i="24"/>
  <c r="Z30" i="24" s="1"/>
  <c r="Y30" i="24" s="1"/>
  <c r="AA275" i="24"/>
  <c r="Z275" i="24" s="1"/>
  <c r="Y275" i="24" s="1"/>
  <c r="AA336" i="24"/>
  <c r="Z336" i="24" s="1"/>
  <c r="Y336" i="24" s="1"/>
  <c r="G121" i="24"/>
  <c r="CE121" i="6" s="1"/>
  <c r="AA82" i="24"/>
  <c r="Z82" i="24" s="1"/>
  <c r="Y82" i="24" s="1"/>
  <c r="G343" i="24"/>
  <c r="CE343" i="6" s="1"/>
  <c r="H94" i="24"/>
  <c r="I94" i="24" s="1"/>
  <c r="AA280" i="24"/>
  <c r="Z280" i="24" s="1"/>
  <c r="Y280" i="24" s="1"/>
  <c r="AA65" i="24"/>
  <c r="Z65" i="24" s="1"/>
  <c r="Y65" i="24" s="1"/>
  <c r="AA249" i="24"/>
  <c r="Z249" i="24" s="1"/>
  <c r="Y249" i="24" s="1"/>
  <c r="AA32" i="24"/>
  <c r="Z32" i="24" s="1"/>
  <c r="Y32" i="24" s="1"/>
  <c r="AA186" i="24"/>
  <c r="Z186" i="24" s="1"/>
  <c r="Y186" i="24" s="1"/>
  <c r="H224" i="24"/>
  <c r="J224" i="24" s="1"/>
  <c r="G356" i="24"/>
  <c r="CE356" i="6" s="1"/>
  <c r="H96" i="24"/>
  <c r="J96" i="24" s="1"/>
  <c r="AA94" i="24"/>
  <c r="Z94" i="24" s="1"/>
  <c r="Y94" i="24" s="1"/>
  <c r="H17" i="24"/>
  <c r="I17" i="24" s="1"/>
  <c r="G32" i="24"/>
  <c r="CE32" i="6" s="1"/>
  <c r="H75" i="24"/>
  <c r="J75" i="24" s="1"/>
  <c r="H65" i="24"/>
  <c r="J65" i="24" s="1"/>
  <c r="H249" i="24"/>
  <c r="I249" i="24" s="1"/>
  <c r="AA131" i="24"/>
  <c r="Z131" i="24" s="1"/>
  <c r="Y131" i="24" s="1"/>
  <c r="H186" i="24"/>
  <c r="J186" i="24" s="1"/>
  <c r="G116" i="24"/>
  <c r="CE116" i="6" s="1"/>
  <c r="H304" i="24"/>
  <c r="J304" i="24" s="1"/>
  <c r="G24" i="24"/>
  <c r="CE24" i="6" s="1"/>
  <c r="AA224" i="24"/>
  <c r="Z224" i="24" s="1"/>
  <c r="Y224" i="24" s="1"/>
  <c r="AA137" i="24"/>
  <c r="Z137" i="24" s="1"/>
  <c r="Y137" i="24" s="1"/>
  <c r="H369" i="24"/>
  <c r="I369" i="24" s="1"/>
  <c r="H263" i="24"/>
  <c r="J263" i="24" s="1"/>
  <c r="AA93" i="24"/>
  <c r="Z93" i="24" s="1"/>
  <c r="Y93" i="24" s="1"/>
  <c r="G368" i="24"/>
  <c r="CE368" i="6" s="1"/>
  <c r="AA215" i="24"/>
  <c r="Z215" i="24" s="1"/>
  <c r="Y215" i="24" s="1"/>
  <c r="AA141" i="24"/>
  <c r="Z141" i="24" s="1"/>
  <c r="Y141" i="24" s="1"/>
  <c r="AA332" i="24"/>
  <c r="Z332" i="24" s="1"/>
  <c r="Y332" i="24" s="1"/>
  <c r="H127" i="24"/>
  <c r="J127" i="24" s="1"/>
  <c r="H289" i="24"/>
  <c r="J289" i="24" s="1"/>
  <c r="G39" i="24"/>
  <c r="CE39" i="6" s="1"/>
  <c r="H194" i="24"/>
  <c r="J194" i="24" s="1"/>
  <c r="H52" i="24"/>
  <c r="I52" i="24" s="1"/>
  <c r="H30" i="24"/>
  <c r="I30" i="24" s="1"/>
  <c r="G336" i="24"/>
  <c r="CE336" i="6" s="1"/>
  <c r="AA145" i="24"/>
  <c r="Z145" i="24" s="1"/>
  <c r="Y145" i="24" s="1"/>
  <c r="H192" i="24"/>
  <c r="I192" i="24" s="1"/>
  <c r="AA75" i="24"/>
  <c r="Z75" i="24" s="1"/>
  <c r="Y75" i="24" s="1"/>
  <c r="G66" i="24"/>
  <c r="CE66" i="6" s="1"/>
  <c r="H131" i="24"/>
  <c r="J131" i="24" s="1"/>
  <c r="G369" i="24"/>
  <c r="CE369" i="6" s="1"/>
  <c r="G365" i="24"/>
  <c r="CE365" i="6" s="1"/>
  <c r="H327" i="24"/>
  <c r="J327" i="24" s="1"/>
  <c r="H93" i="24"/>
  <c r="I93" i="24" s="1"/>
  <c r="H368" i="24"/>
  <c r="J368" i="24" s="1"/>
  <c r="AA24" i="24"/>
  <c r="Z24" i="24" s="1"/>
  <c r="Y24" i="24" s="1"/>
  <c r="G17" i="24"/>
  <c r="CE17" i="6" s="1"/>
  <c r="H137" i="24"/>
  <c r="I137" i="24" s="1"/>
  <c r="H66" i="24"/>
  <c r="J66" i="24" s="1"/>
  <c r="H116" i="24"/>
  <c r="J116" i="24" s="1"/>
  <c r="G263" i="24"/>
  <c r="CE263" i="6" s="1"/>
  <c r="W119" i="24"/>
  <c r="H233" i="24"/>
  <c r="I233" i="24" s="1"/>
  <c r="G372" i="24"/>
  <c r="CE372" i="6" s="1"/>
  <c r="G222" i="24"/>
  <c r="CE222" i="6" s="1"/>
  <c r="G173" i="24"/>
  <c r="CE173" i="6" s="1"/>
  <c r="G83" i="24"/>
  <c r="CE83" i="6" s="1"/>
  <c r="H231" i="24"/>
  <c r="J231" i="24" s="1"/>
  <c r="AA147" i="24"/>
  <c r="Z147" i="24" s="1"/>
  <c r="Y147" i="24" s="1"/>
  <c r="H35" i="24"/>
  <c r="J35" i="24" s="1"/>
  <c r="G289" i="24"/>
  <c r="CE289" i="6" s="1"/>
  <c r="H147" i="24"/>
  <c r="I147" i="24" s="1"/>
  <c r="J39" i="19"/>
  <c r="BE16" i="7"/>
  <c r="U10" i="25"/>
  <c r="W29" i="24"/>
  <c r="G35" i="24"/>
  <c r="CE35" i="6" s="1"/>
  <c r="E69" i="19"/>
  <c r="H372" i="24"/>
  <c r="J372" i="24" s="1"/>
  <c r="H190" i="24"/>
  <c r="J190" i="24" s="1"/>
  <c r="AA309" i="24"/>
  <c r="Z309" i="24" s="1"/>
  <c r="Y309" i="24" s="1"/>
  <c r="H370" i="24"/>
  <c r="I370" i="24" s="1"/>
  <c r="H113" i="24"/>
  <c r="J113" i="24" s="1"/>
  <c r="H256" i="24"/>
  <c r="I256" i="24" s="1"/>
  <c r="H106" i="24"/>
  <c r="J106" i="24" s="1"/>
  <c r="G61" i="24"/>
  <c r="CE61" i="6" s="1"/>
  <c r="H309" i="24"/>
  <c r="J309" i="24" s="1"/>
  <c r="AA139" i="24"/>
  <c r="Z139" i="24" s="1"/>
  <c r="Y139" i="24" s="1"/>
  <c r="H228" i="24"/>
  <c r="J228" i="24" s="1"/>
  <c r="H37" i="24"/>
  <c r="I37" i="24" s="1"/>
  <c r="G312" i="24"/>
  <c r="CE312" i="6" s="1"/>
  <c r="G317" i="24"/>
  <c r="CE317" i="6" s="1"/>
  <c r="H129" i="24"/>
  <c r="I129" i="24" s="1"/>
  <c r="W379" i="24"/>
  <c r="AA28" i="24"/>
  <c r="Z28" i="24" s="1"/>
  <c r="Y28" i="24" s="1"/>
  <c r="G328" i="24"/>
  <c r="CE328" i="6" s="1"/>
  <c r="AA234" i="24"/>
  <c r="Z234" i="24" s="1"/>
  <c r="Y234" i="24" s="1"/>
  <c r="G360" i="24"/>
  <c r="CE360" i="6" s="1"/>
  <c r="G287" i="24"/>
  <c r="CE287" i="6" s="1"/>
  <c r="G113" i="24"/>
  <c r="CE113" i="6" s="1"/>
  <c r="AA45" i="24"/>
  <c r="Z45" i="24" s="1"/>
  <c r="Y45" i="24" s="1"/>
  <c r="H317" i="24"/>
  <c r="J317" i="24" s="1"/>
  <c r="H71" i="24"/>
  <c r="J71" i="24" s="1"/>
  <c r="AA61" i="24"/>
  <c r="Z61" i="24" s="1"/>
  <c r="Y61" i="24" s="1"/>
  <c r="H296" i="24"/>
  <c r="J296" i="24" s="1"/>
  <c r="H28" i="24"/>
  <c r="J28" i="24" s="1"/>
  <c r="G370" i="24"/>
  <c r="CE370" i="6" s="1"/>
  <c r="H159" i="24"/>
  <c r="J159" i="24" s="1"/>
  <c r="G139" i="24"/>
  <c r="CE139" i="6" s="1"/>
  <c r="AA287" i="24"/>
  <c r="Z287" i="24" s="1"/>
  <c r="Y287" i="24" s="1"/>
  <c r="W363" i="24"/>
  <c r="H45" i="24"/>
  <c r="I45" i="24" s="1"/>
  <c r="G218" i="24"/>
  <c r="CE218" i="6" s="1"/>
  <c r="G37" i="24"/>
  <c r="CE37" i="6" s="1"/>
  <c r="W302" i="24"/>
  <c r="G145" i="24"/>
  <c r="CE145" i="6" s="1"/>
  <c r="AA226" i="24"/>
  <c r="Z226" i="24" s="1"/>
  <c r="Y226" i="24" s="1"/>
  <c r="AA320" i="24"/>
  <c r="Z320" i="24" s="1"/>
  <c r="Y320" i="24" s="1"/>
  <c r="AA71" i="24"/>
  <c r="Z71" i="24" s="1"/>
  <c r="Y71" i="24" s="1"/>
  <c r="H173" i="24"/>
  <c r="J173" i="24" s="1"/>
  <c r="AA83" i="24"/>
  <c r="Z83" i="24" s="1"/>
  <c r="Y83" i="24" s="1"/>
  <c r="AA207" i="24"/>
  <c r="Z207" i="24" s="1"/>
  <c r="Y207" i="24" s="1"/>
  <c r="G246" i="24"/>
  <c r="CE246" i="6" s="1"/>
  <c r="H128" i="24"/>
  <c r="J128" i="24" s="1"/>
  <c r="G100" i="24"/>
  <c r="CE100" i="6" s="1"/>
  <c r="G36" i="24"/>
  <c r="CE36" i="6" s="1"/>
  <c r="H41" i="24"/>
  <c r="J41" i="24" s="1"/>
  <c r="AA346" i="24"/>
  <c r="Z346" i="24" s="1"/>
  <c r="Y346" i="24" s="1"/>
  <c r="G338" i="24"/>
  <c r="CE338" i="6" s="1"/>
  <c r="AA248" i="24"/>
  <c r="Z248" i="24" s="1"/>
  <c r="Y248" i="24" s="1"/>
  <c r="H281" i="24"/>
  <c r="J281" i="24" s="1"/>
  <c r="G151" i="24"/>
  <c r="CE151" i="6" s="1"/>
  <c r="H310" i="24"/>
  <c r="J310" i="24" s="1"/>
  <c r="AA203" i="24"/>
  <c r="Z203" i="24" s="1"/>
  <c r="Y203" i="24" s="1"/>
  <c r="H176" i="24"/>
  <c r="I176" i="24" s="1"/>
  <c r="AA296" i="24"/>
  <c r="Z296" i="24" s="1"/>
  <c r="Y296" i="24" s="1"/>
  <c r="H376" i="24"/>
  <c r="I376" i="24" s="1"/>
  <c r="G305" i="24"/>
  <c r="CE305" i="6" s="1"/>
  <c r="AA338" i="24"/>
  <c r="Z338" i="24" s="1"/>
  <c r="Y338" i="24" s="1"/>
  <c r="H246" i="24"/>
  <c r="I246" i="24" s="1"/>
  <c r="AA360" i="24"/>
  <c r="Z360" i="24" s="1"/>
  <c r="Y360" i="24" s="1"/>
  <c r="G228" i="24"/>
  <c r="CE228" i="6" s="1"/>
  <c r="G256" i="24"/>
  <c r="CE256" i="6" s="1"/>
  <c r="G170" i="24"/>
  <c r="CE170" i="6" s="1"/>
  <c r="H218" i="24"/>
  <c r="J218" i="24" s="1"/>
  <c r="H320" i="24"/>
  <c r="J320" i="24" s="1"/>
  <c r="G219" i="24"/>
  <c r="CE219" i="6" s="1"/>
  <c r="AA129" i="24"/>
  <c r="Z129" i="24" s="1"/>
  <c r="Y129" i="24" s="1"/>
  <c r="M69" i="19"/>
  <c r="K69" i="19"/>
  <c r="AA322" i="24"/>
  <c r="Z322" i="24" s="1"/>
  <c r="Y322" i="24" s="1"/>
  <c r="H362" i="24"/>
  <c r="I362" i="24" s="1"/>
  <c r="AA138" i="24"/>
  <c r="Z138" i="24" s="1"/>
  <c r="Y138" i="24" s="1"/>
  <c r="G231" i="24"/>
  <c r="CE231" i="6" s="1"/>
  <c r="H201" i="24"/>
  <c r="I201" i="24" s="1"/>
  <c r="G92" i="24"/>
  <c r="CE92" i="6" s="1"/>
  <c r="G310" i="24"/>
  <c r="CE310" i="6" s="1"/>
  <c r="G128" i="24"/>
  <c r="CE128" i="6" s="1"/>
  <c r="G259" i="24"/>
  <c r="CE259" i="6" s="1"/>
  <c r="AA352" i="24"/>
  <c r="Z352" i="24" s="1"/>
  <c r="Y352" i="24" s="1"/>
  <c r="AA303" i="24"/>
  <c r="Z303" i="24" s="1"/>
  <c r="Y303" i="24" s="1"/>
  <c r="H111" i="24"/>
  <c r="J111" i="24" s="1"/>
  <c r="G44" i="24"/>
  <c r="CE44" i="6" s="1"/>
  <c r="AA183" i="24"/>
  <c r="Z183" i="24" s="1"/>
  <c r="Y183" i="24" s="1"/>
  <c r="AA41" i="24"/>
  <c r="Z41" i="24" s="1"/>
  <c r="Y41" i="24" s="1"/>
  <c r="G346" i="24"/>
  <c r="CE346" i="6" s="1"/>
  <c r="H144" i="24"/>
  <c r="J144" i="24" s="1"/>
  <c r="G322" i="24"/>
  <c r="CE322" i="6" s="1"/>
  <c r="G362" i="24"/>
  <c r="CE362" i="6" s="1"/>
  <c r="AA159" i="24"/>
  <c r="Z159" i="24" s="1"/>
  <c r="Y159" i="24" s="1"/>
  <c r="H138" i="24"/>
  <c r="J138" i="24" s="1"/>
  <c r="AA294" i="24"/>
  <c r="Z294" i="24" s="1"/>
  <c r="Y294" i="24" s="1"/>
  <c r="G201" i="24"/>
  <c r="CE201" i="6" s="1"/>
  <c r="G207" i="24"/>
  <c r="CE207" i="6" s="1"/>
  <c r="G331" i="24"/>
  <c r="CE331" i="6" s="1"/>
  <c r="H286" i="24"/>
  <c r="I286" i="24" s="1"/>
  <c r="H57" i="24"/>
  <c r="J57" i="24" s="1"/>
  <c r="AA92" i="24"/>
  <c r="Z92" i="24" s="1"/>
  <c r="Y92" i="24" s="1"/>
  <c r="AA239" i="24"/>
  <c r="Z239" i="24" s="1"/>
  <c r="Y239" i="24" s="1"/>
  <c r="H321" i="24"/>
  <c r="J321" i="24" s="1"/>
  <c r="H151" i="24"/>
  <c r="J151" i="24" s="1"/>
  <c r="AA257" i="24"/>
  <c r="Z257" i="24" s="1"/>
  <c r="Y257" i="24" s="1"/>
  <c r="H307" i="24"/>
  <c r="I307" i="24" s="1"/>
  <c r="G90" i="24"/>
  <c r="CE90" i="6" s="1"/>
  <c r="G367" i="24"/>
  <c r="CE367" i="6" s="1"/>
  <c r="AA359" i="24"/>
  <c r="Z359" i="24" s="1"/>
  <c r="Y359" i="24" s="1"/>
  <c r="AA176" i="24"/>
  <c r="Z176" i="24" s="1"/>
  <c r="Y176" i="24" s="1"/>
  <c r="G86" i="24"/>
  <c r="CE86" i="6" s="1"/>
  <c r="G306" i="24"/>
  <c r="CE306" i="6" s="1"/>
  <c r="AA107" i="24"/>
  <c r="Z107" i="24" s="1"/>
  <c r="Y107" i="24" s="1"/>
  <c r="AA44" i="24"/>
  <c r="Z44" i="24" s="1"/>
  <c r="Y44" i="24" s="1"/>
  <c r="G183" i="24"/>
  <c r="CE183" i="6" s="1"/>
  <c r="G69" i="19"/>
  <c r="G144" i="24"/>
  <c r="CE144" i="6" s="1"/>
  <c r="H305" i="24"/>
  <c r="I305" i="24" s="1"/>
  <c r="H294" i="24"/>
  <c r="I294" i="24" s="1"/>
  <c r="AA331" i="24"/>
  <c r="Z331" i="24" s="1"/>
  <c r="Y331" i="24" s="1"/>
  <c r="G286" i="24"/>
  <c r="CE286" i="6" s="1"/>
  <c r="AA57" i="24"/>
  <c r="Z57" i="24" s="1"/>
  <c r="Y57" i="24" s="1"/>
  <c r="G281" i="24"/>
  <c r="CE281" i="6" s="1"/>
  <c r="G239" i="24"/>
  <c r="CE239" i="6" s="1"/>
  <c r="G321" i="24"/>
  <c r="CE321" i="6" s="1"/>
  <c r="H371" i="24"/>
  <c r="J371" i="24" s="1"/>
  <c r="G257" i="24"/>
  <c r="CE257" i="6" s="1"/>
  <c r="H90" i="24"/>
  <c r="J90" i="24" s="1"/>
  <c r="H36" i="24"/>
  <c r="I36" i="24" s="1"/>
  <c r="H367" i="24"/>
  <c r="J367" i="24" s="1"/>
  <c r="AA219" i="24"/>
  <c r="Z219" i="24" s="1"/>
  <c r="Y219" i="24" s="1"/>
  <c r="H314" i="24"/>
  <c r="J314" i="24" s="1"/>
  <c r="G106" i="24"/>
  <c r="CE106" i="6" s="1"/>
  <c r="AK9" i="20"/>
  <c r="AK11" i="20" s="1"/>
  <c r="AM9" i="20"/>
  <c r="D15" i="19"/>
  <c r="G39" i="19"/>
  <c r="BF15" i="7"/>
  <c r="C16" i="19"/>
  <c r="C31" i="19" s="1"/>
  <c r="F40" i="19"/>
  <c r="G248" i="24"/>
  <c r="CE248" i="6" s="1"/>
  <c r="AA259" i="24"/>
  <c r="Z259" i="24" s="1"/>
  <c r="Y259" i="24" s="1"/>
  <c r="H170" i="24"/>
  <c r="I170" i="24" s="1"/>
  <c r="H303" i="24"/>
  <c r="J303" i="24" s="1"/>
  <c r="AA111" i="24"/>
  <c r="Z111" i="24" s="1"/>
  <c r="Y111" i="24" s="1"/>
  <c r="H312" i="24"/>
  <c r="J312" i="24" s="1"/>
  <c r="G359" i="24"/>
  <c r="CE359" i="6" s="1"/>
  <c r="AA306" i="24"/>
  <c r="Z306" i="24" s="1"/>
  <c r="Y306" i="24" s="1"/>
  <c r="AA376" i="24"/>
  <c r="Z376" i="24" s="1"/>
  <c r="Y376" i="24" s="1"/>
  <c r="G234" i="24"/>
  <c r="CE234" i="6" s="1"/>
  <c r="AA371" i="24"/>
  <c r="Z371" i="24" s="1"/>
  <c r="Y371" i="24" s="1"/>
  <c r="G352" i="24"/>
  <c r="CE352" i="6" s="1"/>
  <c r="S18" i="24"/>
  <c r="T383" i="24"/>
  <c r="T381" i="24"/>
  <c r="T382" i="24"/>
  <c r="I363" i="23"/>
  <c r="J363" i="23"/>
  <c r="J88" i="23"/>
  <c r="I88" i="23"/>
  <c r="H88" i="24" s="1"/>
  <c r="J241" i="23"/>
  <c r="I241" i="23"/>
  <c r="I180" i="23"/>
  <c r="J180" i="23"/>
  <c r="I210" i="23"/>
  <c r="H210" i="24" s="1"/>
  <c r="J210" i="23"/>
  <c r="I149" i="23"/>
  <c r="H149" i="24" s="1"/>
  <c r="J149" i="23"/>
  <c r="J272" i="23"/>
  <c r="I272" i="23"/>
  <c r="H272" i="24" s="1"/>
  <c r="P383" i="23"/>
  <c r="V15" i="23"/>
  <c r="B15" i="23" s="1"/>
  <c r="P381" i="23"/>
  <c r="P382" i="23"/>
  <c r="J333" i="23"/>
  <c r="I333" i="23"/>
  <c r="H333" i="24" s="1"/>
  <c r="J302" i="23"/>
  <c r="I302" i="23"/>
  <c r="AJ13" i="20"/>
  <c r="I380" i="25"/>
  <c r="J380" i="25"/>
  <c r="AJ7" i="22"/>
  <c r="E15" i="22"/>
  <c r="AJ9" i="22" s="1"/>
  <c r="D9" i="22"/>
  <c r="D11" i="22" s="1"/>
  <c r="D381" i="22"/>
  <c r="AJ8" i="22"/>
  <c r="D383" i="22"/>
  <c r="D382" i="22"/>
  <c r="AE381" i="25"/>
  <c r="AE383" i="25"/>
  <c r="AE382" i="25"/>
  <c r="AA15" i="20"/>
  <c r="H15" i="20"/>
  <c r="AM10" i="20"/>
  <c r="AK10" i="20"/>
  <c r="AK12" i="20" s="1"/>
  <c r="F383" i="20"/>
  <c r="F9" i="20"/>
  <c r="F382" i="20"/>
  <c r="G15" i="20"/>
  <c r="CB15" i="6" s="1"/>
  <c r="F381" i="20"/>
  <c r="Q382" i="25"/>
  <c r="Q381" i="25"/>
  <c r="Q383" i="25"/>
  <c r="I381" i="18"/>
  <c r="I382" i="18"/>
  <c r="I383" i="18"/>
  <c r="AD382" i="23"/>
  <c r="AD381" i="23"/>
  <c r="AD383" i="23"/>
  <c r="AL7" i="18"/>
  <c r="Z382" i="18"/>
  <c r="Z9" i="18"/>
  <c r="AL8" i="18"/>
  <c r="Z383" i="18"/>
  <c r="Y15" i="18"/>
  <c r="AL5" i="18" s="1"/>
  <c r="Z381" i="18"/>
  <c r="E7" i="6"/>
  <c r="AC7" i="7"/>
  <c r="J381" i="18"/>
  <c r="J382" i="18"/>
  <c r="J383" i="18"/>
  <c r="AM9" i="22"/>
  <c r="AK9" i="22"/>
  <c r="AK11" i="22"/>
  <c r="AF104" i="24"/>
  <c r="AG383" i="24"/>
  <c r="AG381" i="24"/>
  <c r="AG382" i="24"/>
  <c r="I196" i="24"/>
  <c r="J196" i="24"/>
  <c r="I184" i="24"/>
  <c r="I25" i="24"/>
  <c r="J215" i="24"/>
  <c r="I215" i="24"/>
  <c r="I24" i="24"/>
  <c r="J24" i="24"/>
  <c r="AA333" i="24"/>
  <c r="Z333" i="24" s="1"/>
  <c r="Y333" i="24" s="1"/>
  <c r="G333" i="24"/>
  <c r="CE333" i="6" s="1"/>
  <c r="I297" i="24"/>
  <c r="J297" i="24"/>
  <c r="J61" i="24"/>
  <c r="I61" i="24"/>
  <c r="J150" i="24"/>
  <c r="I150" i="24"/>
  <c r="I162" i="24"/>
  <c r="J162" i="24"/>
  <c r="I278" i="24"/>
  <c r="J278" i="24"/>
  <c r="I378" i="24"/>
  <c r="J378" i="24"/>
  <c r="J132" i="24"/>
  <c r="I132" i="24"/>
  <c r="J291" i="24"/>
  <c r="J181" i="24"/>
  <c r="I182" i="24"/>
  <c r="J23" i="24"/>
  <c r="J32" i="24"/>
  <c r="I32" i="24"/>
  <c r="G149" i="24"/>
  <c r="CE149" i="6" s="1"/>
  <c r="AA149" i="24"/>
  <c r="Z149" i="24" s="1"/>
  <c r="Y149" i="24" s="1"/>
  <c r="G88" i="24"/>
  <c r="CE88" i="6" s="1"/>
  <c r="AA88" i="24"/>
  <c r="Z88" i="24" s="1"/>
  <c r="Y88" i="24" s="1"/>
  <c r="I174" i="24"/>
  <c r="I54" i="24"/>
  <c r="I62" i="24"/>
  <c r="AA227" i="24"/>
  <c r="Z227" i="24" s="1"/>
  <c r="Y227" i="24" s="1"/>
  <c r="H227" i="24"/>
  <c r="G227" i="24"/>
  <c r="CE227" i="6" s="1"/>
  <c r="G319" i="24"/>
  <c r="CE319" i="6" s="1"/>
  <c r="H319" i="24"/>
  <c r="AA319" i="24"/>
  <c r="Z319" i="24" s="1"/>
  <c r="Y319" i="24" s="1"/>
  <c r="H349" i="24"/>
  <c r="AA349" i="24"/>
  <c r="Z349" i="24" s="1"/>
  <c r="Y349" i="24" s="1"/>
  <c r="G349" i="24"/>
  <c r="CE349" i="6" s="1"/>
  <c r="I276" i="24"/>
  <c r="J276" i="24"/>
  <c r="J83" i="24"/>
  <c r="I83" i="24"/>
  <c r="J211" i="24"/>
  <c r="I211" i="24"/>
  <c r="I229" i="24"/>
  <c r="J229" i="24"/>
  <c r="I351" i="24"/>
  <c r="J351" i="24"/>
  <c r="I223" i="24"/>
  <c r="J223" i="24"/>
  <c r="I191" i="24"/>
  <c r="AA46" i="24"/>
  <c r="Z46" i="24" s="1"/>
  <c r="Y46" i="24" s="1"/>
  <c r="G46" i="24"/>
  <c r="CE46" i="6" s="1"/>
  <c r="H46" i="24"/>
  <c r="J148" i="24"/>
  <c r="I300" i="24"/>
  <c r="I209" i="24"/>
  <c r="J209" i="24"/>
  <c r="I269" i="24"/>
  <c r="J101" i="24"/>
  <c r="I101" i="24"/>
  <c r="I124" i="24"/>
  <c r="I139" i="24"/>
  <c r="I248" i="24"/>
  <c r="J248" i="24"/>
  <c r="I234" i="24"/>
  <c r="J234" i="24"/>
  <c r="I98" i="24"/>
  <c r="J98" i="24"/>
  <c r="I360" i="24"/>
  <c r="J360" i="24"/>
  <c r="I257" i="24"/>
  <c r="J257" i="24"/>
  <c r="I259" i="24"/>
  <c r="J259" i="24"/>
  <c r="I100" i="24"/>
  <c r="J100" i="24"/>
  <c r="I352" i="24"/>
  <c r="J352" i="24"/>
  <c r="I295" i="24"/>
  <c r="I164" i="24"/>
  <c r="J164" i="24"/>
  <c r="J193" i="24"/>
  <c r="J361" i="24"/>
  <c r="I134" i="24"/>
  <c r="J134" i="24"/>
  <c r="I84" i="24"/>
  <c r="J84" i="24"/>
  <c r="J117" i="24"/>
  <c r="I117" i="24"/>
  <c r="I341" i="24"/>
  <c r="I270" i="24"/>
  <c r="J270" i="24"/>
  <c r="J157" i="24"/>
  <c r="I157" i="24"/>
  <c r="J336" i="24"/>
  <c r="I336" i="24"/>
  <c r="J282" i="24"/>
  <c r="I282" i="24"/>
  <c r="J143" i="24"/>
  <c r="I240" i="24"/>
  <c r="J240" i="24"/>
  <c r="I152" i="24"/>
  <c r="J225" i="24"/>
  <c r="I225" i="24"/>
  <c r="J230" i="24"/>
  <c r="I230" i="24"/>
  <c r="J133" i="24"/>
  <c r="I133" i="24"/>
  <c r="J34" i="24"/>
  <c r="I34" i="24"/>
  <c r="J178" i="24"/>
  <c r="I178" i="24"/>
  <c r="J293" i="24"/>
  <c r="I293" i="24"/>
  <c r="J163" i="24"/>
  <c r="I163" i="24"/>
  <c r="I115" i="24"/>
  <c r="I359" i="24"/>
  <c r="J359" i="24"/>
  <c r="I271" i="24"/>
  <c r="J271" i="24"/>
  <c r="I72" i="24"/>
  <c r="J72" i="24"/>
  <c r="I86" i="24"/>
  <c r="J86" i="24"/>
  <c r="J306" i="24"/>
  <c r="I306" i="24"/>
  <c r="I214" i="24"/>
  <c r="J214" i="24"/>
  <c r="G210" i="24"/>
  <c r="CE210" i="6" s="1"/>
  <c r="AA210" i="24"/>
  <c r="Z210" i="24" s="1"/>
  <c r="Y210" i="24" s="1"/>
  <c r="J82" i="24"/>
  <c r="I82" i="24"/>
  <c r="I104" i="24"/>
  <c r="J104" i="24"/>
  <c r="I59" i="24"/>
  <c r="J59" i="24"/>
  <c r="I265" i="24"/>
  <c r="J265" i="24"/>
  <c r="I169" i="24"/>
  <c r="J169" i="24"/>
  <c r="J76" i="24"/>
  <c r="I76" i="24"/>
  <c r="J329" i="24"/>
  <c r="I329" i="24"/>
  <c r="I261" i="24"/>
  <c r="J261" i="24"/>
  <c r="J334" i="24"/>
  <c r="J55" i="24"/>
  <c r="I55" i="24"/>
  <c r="I97" i="24"/>
  <c r="J97" i="24"/>
  <c r="I243" i="24"/>
  <c r="J243" i="24"/>
  <c r="J340" i="24"/>
  <c r="I340" i="24"/>
  <c r="I357" i="24"/>
  <c r="J219" i="24"/>
  <c r="I219" i="24"/>
  <c r="J212" i="24"/>
  <c r="I161" i="24"/>
  <c r="I198" i="24"/>
  <c r="J247" i="24"/>
  <c r="I81" i="24"/>
  <c r="J81" i="24"/>
  <c r="I253" i="24"/>
  <c r="I167" i="24"/>
  <c r="I242" i="24"/>
  <c r="J242" i="24"/>
  <c r="I316" i="24"/>
  <c r="J316" i="24"/>
  <c r="J285" i="24"/>
  <c r="I285" i="24"/>
  <c r="J311" i="24"/>
  <c r="I311" i="24"/>
  <c r="I262" i="24"/>
  <c r="J221" i="24"/>
  <c r="I121" i="24"/>
  <c r="I326" i="24"/>
  <c r="J126" i="24"/>
  <c r="I353" i="24"/>
  <c r="J353" i="24"/>
  <c r="I315" i="24"/>
  <c r="J315" i="24"/>
  <c r="J85" i="24"/>
  <c r="I85" i="24"/>
  <c r="I47" i="24"/>
  <c r="J47" i="24"/>
  <c r="J273" i="24"/>
  <c r="I273" i="24"/>
  <c r="J179" i="24"/>
  <c r="I179" i="24"/>
  <c r="H288" i="24"/>
  <c r="G288" i="24"/>
  <c r="CE288" i="6" s="1"/>
  <c r="AA288" i="24"/>
  <c r="Z288" i="24" s="1"/>
  <c r="Y288" i="24" s="1"/>
  <c r="I267" i="24"/>
  <c r="I346" i="24"/>
  <c r="J346" i="24"/>
  <c r="J122" i="24"/>
  <c r="I53" i="24"/>
  <c r="J220" i="24"/>
  <c r="AA135" i="24"/>
  <c r="Z135" i="24" s="1"/>
  <c r="Y135" i="24" s="1"/>
  <c r="G135" i="24"/>
  <c r="CE135" i="6" s="1"/>
  <c r="H135" i="24"/>
  <c r="I154" i="24"/>
  <c r="AA196" i="24"/>
  <c r="Z196" i="24" s="1"/>
  <c r="Y196" i="24" s="1"/>
  <c r="G196" i="24"/>
  <c r="CE196" i="6" s="1"/>
  <c r="J264" i="24"/>
  <c r="I264" i="24"/>
  <c r="I73" i="24"/>
  <c r="J73" i="24"/>
  <c r="I342" i="24"/>
  <c r="J342" i="24"/>
  <c r="J40" i="24"/>
  <c r="I40" i="24"/>
  <c r="I114" i="24"/>
  <c r="J114" i="24"/>
  <c r="J335" i="24"/>
  <c r="I335" i="24"/>
  <c r="J77" i="24"/>
  <c r="I238" i="24"/>
  <c r="J238" i="24"/>
  <c r="J324" i="24"/>
  <c r="J330" i="24"/>
  <c r="I330" i="24"/>
  <c r="J322" i="24"/>
  <c r="I322" i="24"/>
  <c r="AA60" i="24"/>
  <c r="Z60" i="24" s="1"/>
  <c r="Y60" i="24" s="1"/>
  <c r="H60" i="24"/>
  <c r="G60" i="24"/>
  <c r="CE60" i="6" s="1"/>
  <c r="I99" i="24"/>
  <c r="J99" i="24"/>
  <c r="G258" i="24"/>
  <c r="CE258" i="6" s="1"/>
  <c r="H258" i="24"/>
  <c r="AA258" i="24"/>
  <c r="Z258" i="24" s="1"/>
  <c r="Y258" i="24" s="1"/>
  <c r="H105" i="24"/>
  <c r="AA105" i="24"/>
  <c r="Z105" i="24" s="1"/>
  <c r="Y105" i="24" s="1"/>
  <c r="G105" i="24"/>
  <c r="CE105" i="6" s="1"/>
  <c r="J373" i="24"/>
  <c r="J338" i="24"/>
  <c r="I338" i="24"/>
  <c r="H74" i="24"/>
  <c r="AA74" i="24"/>
  <c r="Z74" i="24" s="1"/>
  <c r="Y74" i="24" s="1"/>
  <c r="G74" i="24"/>
  <c r="CE74" i="6" s="1"/>
  <c r="J70" i="24"/>
  <c r="I70" i="24"/>
  <c r="J19" i="24"/>
  <c r="J156" i="24"/>
  <c r="I156" i="24"/>
  <c r="I235" i="24"/>
  <c r="G166" i="24"/>
  <c r="CE166" i="6" s="1"/>
  <c r="H166" i="24"/>
  <c r="AA166" i="24"/>
  <c r="Z166" i="24" s="1"/>
  <c r="Y166" i="24" s="1"/>
  <c r="J207" i="24"/>
  <c r="I207" i="24"/>
  <c r="J274" i="24"/>
  <c r="I331" i="24"/>
  <c r="J331" i="24"/>
  <c r="J39" i="24"/>
  <c r="I39" i="24"/>
  <c r="J365" i="24"/>
  <c r="I245" i="24"/>
  <c r="I354" i="24"/>
  <c r="J236" i="24"/>
  <c r="I236" i="24"/>
  <c r="I377" i="24"/>
  <c r="I92" i="24"/>
  <c r="J92" i="24"/>
  <c r="I239" i="24"/>
  <c r="J239" i="24"/>
  <c r="J287" i="24"/>
  <c r="I287" i="24"/>
  <c r="I188" i="24"/>
  <c r="I78" i="24"/>
  <c r="G272" i="24"/>
  <c r="CE272" i="6" s="1"/>
  <c r="AA272" i="24"/>
  <c r="Z272" i="24" s="1"/>
  <c r="Y272" i="24" s="1"/>
  <c r="I27" i="24"/>
  <c r="J27" i="24"/>
  <c r="I168" i="24"/>
  <c r="J168" i="24"/>
  <c r="J31" i="24"/>
  <c r="I31" i="24"/>
  <c r="P15" i="24"/>
  <c r="J216" i="24"/>
  <c r="I216" i="24"/>
  <c r="J189" i="24"/>
  <c r="I189" i="24"/>
  <c r="J290" i="24"/>
  <c r="I290" i="24"/>
  <c r="J348" i="24"/>
  <c r="I348" i="24"/>
  <c r="I200" i="24"/>
  <c r="J200" i="24"/>
  <c r="J344" i="24"/>
  <c r="I202" i="24"/>
  <c r="J118" i="24"/>
  <c r="I118" i="24"/>
  <c r="I208" i="24"/>
  <c r="J208" i="24"/>
  <c r="J284" i="24"/>
  <c r="I284" i="24"/>
  <c r="I364" i="24"/>
  <c r="J364" i="24"/>
  <c r="I339" i="24"/>
  <c r="J339" i="24"/>
  <c r="I95" i="24"/>
  <c r="J95" i="24"/>
  <c r="I252" i="24"/>
  <c r="J252" i="24"/>
  <c r="I203" i="24"/>
  <c r="J48" i="24"/>
  <c r="I48" i="24"/>
  <c r="J145" i="24"/>
  <c r="I145" i="24"/>
  <c r="I79" i="24"/>
  <c r="J79" i="24"/>
  <c r="J69" i="24"/>
  <c r="I69" i="24"/>
  <c r="J177" i="24"/>
  <c r="I177" i="24"/>
  <c r="I301" i="24"/>
  <c r="J301" i="24"/>
  <c r="J375" i="24"/>
  <c r="I375" i="24"/>
  <c r="I171" i="24"/>
  <c r="J171" i="24"/>
  <c r="J175" i="24"/>
  <c r="I175" i="24"/>
  <c r="I323" i="24"/>
  <c r="J323" i="24"/>
  <c r="J279" i="24"/>
  <c r="I279" i="24"/>
  <c r="J204" i="24"/>
  <c r="I204" i="24"/>
  <c r="J254" i="24"/>
  <c r="I254" i="24"/>
  <c r="J42" i="24"/>
  <c r="I42" i="24"/>
  <c r="I44" i="24"/>
  <c r="J44" i="24"/>
  <c r="J91" i="24"/>
  <c r="I91" i="24"/>
  <c r="J183" i="24"/>
  <c r="I183" i="24"/>
  <c r="J50" i="24"/>
  <c r="I217" i="24"/>
  <c r="J217" i="24"/>
  <c r="AA363" i="24" l="1"/>
  <c r="Z363" i="24" s="1"/>
  <c r="Y363" i="24" s="1"/>
  <c r="G363" i="24"/>
  <c r="CE363" i="6" s="1"/>
  <c r="J358" i="24"/>
  <c r="I358" i="24"/>
  <c r="I140" i="24"/>
  <c r="J140" i="24"/>
  <c r="I142" i="24"/>
  <c r="J142" i="24"/>
  <c r="J355" i="24"/>
  <c r="I355" i="24"/>
  <c r="AA302" i="24"/>
  <c r="Z302" i="24" s="1"/>
  <c r="Y302" i="24" s="1"/>
  <c r="G302" i="24"/>
  <c r="CE302" i="6" s="1"/>
  <c r="AA130" i="24"/>
  <c r="Z130" i="24" s="1"/>
  <c r="Y130" i="24" s="1"/>
  <c r="H130" i="24"/>
  <c r="G130" i="24"/>
  <c r="CE130" i="6" s="1"/>
  <c r="AA213" i="24"/>
  <c r="Z213" i="24" s="1"/>
  <c r="Y213" i="24" s="1"/>
  <c r="H213" i="24"/>
  <c r="G213" i="24"/>
  <c r="CE213" i="6" s="1"/>
  <c r="AA255" i="24"/>
  <c r="Z255" i="24" s="1"/>
  <c r="Y255" i="24" s="1"/>
  <c r="H255" i="24"/>
  <c r="G255" i="24"/>
  <c r="CE255" i="6" s="1"/>
  <c r="AA87" i="24"/>
  <c r="Z87" i="24" s="1"/>
  <c r="Y87" i="24" s="1"/>
  <c r="H87" i="24"/>
  <c r="G87" i="24"/>
  <c r="CE87" i="6" s="1"/>
  <c r="H68" i="24"/>
  <c r="AA68" i="24"/>
  <c r="Z68" i="24" s="1"/>
  <c r="Y68" i="24" s="1"/>
  <c r="H89" i="24"/>
  <c r="AA89" i="24"/>
  <c r="Z89" i="24" s="1"/>
  <c r="Y89" i="24" s="1"/>
  <c r="G89" i="24"/>
  <c r="CE89" i="6" s="1"/>
  <c r="G313" i="24"/>
  <c r="CE313" i="6" s="1"/>
  <c r="H313" i="24"/>
  <c r="AA313" i="24"/>
  <c r="Z313" i="24" s="1"/>
  <c r="Y313" i="24" s="1"/>
  <c r="AA158" i="24"/>
  <c r="Z158" i="24" s="1"/>
  <c r="Y158" i="24" s="1"/>
  <c r="H158" i="24"/>
  <c r="G158" i="24"/>
  <c r="CE158" i="6" s="1"/>
  <c r="H237" i="24"/>
  <c r="G237" i="24"/>
  <c r="CE237" i="6" s="1"/>
  <c r="AA237" i="24"/>
  <c r="Z237" i="24" s="1"/>
  <c r="Y237" i="24" s="1"/>
  <c r="H51" i="24"/>
  <c r="G51" i="24"/>
  <c r="CE51" i="6" s="1"/>
  <c r="AA51" i="24"/>
  <c r="Z51" i="24" s="1"/>
  <c r="Y51" i="24" s="1"/>
  <c r="G123" i="24"/>
  <c r="CE123" i="6" s="1"/>
  <c r="AA123" i="24"/>
  <c r="Z123" i="24" s="1"/>
  <c r="Y123" i="24" s="1"/>
  <c r="H123" i="24"/>
  <c r="H302" i="24"/>
  <c r="I302" i="24" s="1"/>
  <c r="AA314" i="24"/>
  <c r="Z314" i="24" s="1"/>
  <c r="Y314" i="24" s="1"/>
  <c r="H226" i="24"/>
  <c r="I226" i="24" s="1"/>
  <c r="H160" i="24"/>
  <c r="J160" i="24" s="1"/>
  <c r="AA308" i="24"/>
  <c r="Z308" i="24" s="1"/>
  <c r="Y308" i="24" s="1"/>
  <c r="H22" i="24"/>
  <c r="I22" i="24" s="1"/>
  <c r="H260" i="24"/>
  <c r="I260" i="24" s="1"/>
  <c r="AA260" i="24"/>
  <c r="Z260" i="24" s="1"/>
  <c r="Y260" i="24" s="1"/>
  <c r="G22" i="24"/>
  <c r="CE22" i="6" s="1"/>
  <c r="AA140" i="24"/>
  <c r="Z140" i="24" s="1"/>
  <c r="Y140" i="24" s="1"/>
  <c r="G355" i="24"/>
  <c r="CE355" i="6" s="1"/>
  <c r="H374" i="24"/>
  <c r="H363" i="24"/>
  <c r="J363" i="24" s="1"/>
  <c r="G203" i="24"/>
  <c r="CE203" i="6" s="1"/>
  <c r="D180" i="24"/>
  <c r="E180" i="24" s="1"/>
  <c r="F180" i="24" s="1"/>
  <c r="AA180" i="24" s="1"/>
  <c r="Z180" i="24" s="1"/>
  <c r="Y180" i="24" s="1"/>
  <c r="AA56" i="24"/>
  <c r="Z56" i="24" s="1"/>
  <c r="Y56" i="24" s="1"/>
  <c r="H328" i="24"/>
  <c r="J328" i="24" s="1"/>
  <c r="H56" i="24"/>
  <c r="J56" i="24" s="1"/>
  <c r="G190" i="24"/>
  <c r="CE190" i="6" s="1"/>
  <c r="AA327" i="24"/>
  <c r="Z327" i="24" s="1"/>
  <c r="Y327" i="24" s="1"/>
  <c r="AA233" i="24"/>
  <c r="Z233" i="24" s="1"/>
  <c r="Y233" i="24" s="1"/>
  <c r="AA377" i="24"/>
  <c r="Z377" i="24" s="1"/>
  <c r="Y377" i="24" s="1"/>
  <c r="H356" i="24"/>
  <c r="J356" i="24" s="1"/>
  <c r="AA121" i="24"/>
  <c r="Z121" i="24" s="1"/>
  <c r="Y121" i="24" s="1"/>
  <c r="AA304" i="24"/>
  <c r="Z304" i="24" s="1"/>
  <c r="Y304" i="24" s="1"/>
  <c r="AA96" i="24"/>
  <c r="Z96" i="24" s="1"/>
  <c r="Y96" i="24" s="1"/>
  <c r="AA221" i="24"/>
  <c r="Z221" i="24" s="1"/>
  <c r="Y221" i="24" s="1"/>
  <c r="G268" i="24"/>
  <c r="CE268" i="6" s="1"/>
  <c r="H222" i="24"/>
  <c r="I222" i="24" s="1"/>
  <c r="AA325" i="24"/>
  <c r="Z325" i="24" s="1"/>
  <c r="Y325" i="24" s="1"/>
  <c r="H283" i="24"/>
  <c r="J283" i="24" s="1"/>
  <c r="H343" i="24"/>
  <c r="J343" i="24" s="1"/>
  <c r="H280" i="24"/>
  <c r="I280" i="24" s="1"/>
  <c r="G205" i="24"/>
  <c r="CE205" i="6" s="1"/>
  <c r="AA26" i="24"/>
  <c r="Z26" i="24" s="1"/>
  <c r="Y26" i="24" s="1"/>
  <c r="H26" i="24"/>
  <c r="I26" i="24" s="1"/>
  <c r="G172" i="24"/>
  <c r="CE172" i="6" s="1"/>
  <c r="H125" i="24"/>
  <c r="I125" i="24" s="1"/>
  <c r="AA251" i="24"/>
  <c r="Z251" i="24" s="1"/>
  <c r="Y251" i="24" s="1"/>
  <c r="G251" i="24"/>
  <c r="CE251" i="6" s="1"/>
  <c r="H251" i="24"/>
  <c r="AA38" i="24"/>
  <c r="Z38" i="24" s="1"/>
  <c r="Y38" i="24" s="1"/>
  <c r="G38" i="24"/>
  <c r="CE38" i="6" s="1"/>
  <c r="H38" i="24"/>
  <c r="AA63" i="24"/>
  <c r="Z63" i="24" s="1"/>
  <c r="Y63" i="24" s="1"/>
  <c r="G63" i="24"/>
  <c r="CE63" i="6" s="1"/>
  <c r="H63" i="24"/>
  <c r="H20" i="24"/>
  <c r="G20" i="24"/>
  <c r="CE20" i="6" s="1"/>
  <c r="AA20" i="24"/>
  <c r="Z20" i="24" s="1"/>
  <c r="Y20" i="24" s="1"/>
  <c r="AA292" i="24"/>
  <c r="Z292" i="24" s="1"/>
  <c r="Y292" i="24" s="1"/>
  <c r="H292" i="24"/>
  <c r="G292" i="24"/>
  <c r="CE292" i="6" s="1"/>
  <c r="G120" i="24"/>
  <c r="CE120" i="6" s="1"/>
  <c r="H120" i="24"/>
  <c r="AA120" i="24"/>
  <c r="Z120" i="24" s="1"/>
  <c r="Y120" i="24" s="1"/>
  <c r="AA318" i="24"/>
  <c r="Z318" i="24" s="1"/>
  <c r="Y318" i="24" s="1"/>
  <c r="H318" i="24"/>
  <c r="G318" i="24"/>
  <c r="CE318" i="6" s="1"/>
  <c r="G187" i="24"/>
  <c r="CE187" i="6" s="1"/>
  <c r="AA187" i="24"/>
  <c r="Z187" i="24" s="1"/>
  <c r="Y187" i="24" s="1"/>
  <c r="H187" i="24"/>
  <c r="G244" i="24"/>
  <c r="CE244" i="6" s="1"/>
  <c r="AA244" i="24"/>
  <c r="Z244" i="24" s="1"/>
  <c r="Y244" i="24" s="1"/>
  <c r="H244" i="24"/>
  <c r="G108" i="24"/>
  <c r="CE108" i="6" s="1"/>
  <c r="H108" i="24"/>
  <c r="AA108" i="24"/>
  <c r="Z108" i="24" s="1"/>
  <c r="Y108" i="24" s="1"/>
  <c r="H185" i="24"/>
  <c r="AA185" i="24"/>
  <c r="Z185" i="24" s="1"/>
  <c r="Y185" i="24" s="1"/>
  <c r="G185" i="24"/>
  <c r="CE185" i="6" s="1"/>
  <c r="G241" i="24"/>
  <c r="CE241" i="6" s="1"/>
  <c r="AA241" i="24"/>
  <c r="Z241" i="24" s="1"/>
  <c r="Y241" i="24" s="1"/>
  <c r="AA119" i="24"/>
  <c r="Z119" i="24" s="1"/>
  <c r="Y119" i="24" s="1"/>
  <c r="H119" i="24"/>
  <c r="J119" i="24" s="1"/>
  <c r="G119" i="24"/>
  <c r="CE119" i="6" s="1"/>
  <c r="H379" i="24"/>
  <c r="I379" i="24" s="1"/>
  <c r="AA379" i="24"/>
  <c r="Z379" i="24" s="1"/>
  <c r="Y379" i="24" s="1"/>
  <c r="G379" i="24"/>
  <c r="CE379" i="6" s="1"/>
  <c r="G29" i="24"/>
  <c r="CE29" i="6" s="1"/>
  <c r="AA29" i="24"/>
  <c r="Z29" i="24" s="1"/>
  <c r="Y29" i="24" s="1"/>
  <c r="H29" i="24"/>
  <c r="J29" i="24" s="1"/>
  <c r="AA80" i="24"/>
  <c r="Z80" i="24" s="1"/>
  <c r="Y80" i="24" s="1"/>
  <c r="G80" i="24"/>
  <c r="CE80" i="6" s="1"/>
  <c r="H80" i="24"/>
  <c r="AA58" i="24"/>
  <c r="Z58" i="24" s="1"/>
  <c r="Y58" i="24" s="1"/>
  <c r="H58" i="24"/>
  <c r="G58" i="24"/>
  <c r="CE58" i="6" s="1"/>
  <c r="G146" i="24"/>
  <c r="CE146" i="6" s="1"/>
  <c r="H146" i="24"/>
  <c r="AA146" i="24"/>
  <c r="Z146" i="24" s="1"/>
  <c r="Y146" i="24" s="1"/>
  <c r="G43" i="24"/>
  <c r="CE43" i="6" s="1"/>
  <c r="AA43" i="24"/>
  <c r="Z43" i="24" s="1"/>
  <c r="Y43" i="24" s="1"/>
  <c r="H43" i="24"/>
  <c r="AA153" i="24"/>
  <c r="Z153" i="24" s="1"/>
  <c r="Y153" i="24" s="1"/>
  <c r="H153" i="24"/>
  <c r="G153" i="24"/>
  <c r="CE153" i="6" s="1"/>
  <c r="G49" i="24"/>
  <c r="CE49" i="6" s="1"/>
  <c r="H49" i="24"/>
  <c r="AA49" i="24"/>
  <c r="Z49" i="24" s="1"/>
  <c r="Y49" i="24" s="1"/>
  <c r="H266" i="24"/>
  <c r="G266" i="24"/>
  <c r="CE266" i="6" s="1"/>
  <c r="AA266" i="24"/>
  <c r="Z266" i="24" s="1"/>
  <c r="Y266" i="24" s="1"/>
  <c r="H345" i="24"/>
  <c r="AA345" i="24"/>
  <c r="Z345" i="24" s="1"/>
  <c r="Y345" i="24" s="1"/>
  <c r="G345" i="24"/>
  <c r="CE345" i="6" s="1"/>
  <c r="AA155" i="24"/>
  <c r="Z155" i="24" s="1"/>
  <c r="Y155" i="24" s="1"/>
  <c r="G155" i="24"/>
  <c r="CE155" i="6" s="1"/>
  <c r="H155" i="24"/>
  <c r="H241" i="24"/>
  <c r="I241" i="24" s="1"/>
  <c r="AA165" i="24"/>
  <c r="Z165" i="24" s="1"/>
  <c r="Y165" i="24" s="1"/>
  <c r="G165" i="24"/>
  <c r="CE165" i="6" s="1"/>
  <c r="H165" i="24"/>
  <c r="G21" i="24"/>
  <c r="CE21" i="6" s="1"/>
  <c r="AA21" i="24"/>
  <c r="Z21" i="24" s="1"/>
  <c r="Y21" i="24" s="1"/>
  <c r="H21" i="24"/>
  <c r="AA103" i="24"/>
  <c r="Z103" i="24" s="1"/>
  <c r="Y103" i="24" s="1"/>
  <c r="G103" i="24"/>
  <c r="CE103" i="6" s="1"/>
  <c r="H103" i="24"/>
  <c r="H299" i="24"/>
  <c r="G299" i="24"/>
  <c r="CE299" i="6" s="1"/>
  <c r="AA299" i="24"/>
  <c r="Z299" i="24" s="1"/>
  <c r="Y299" i="24" s="1"/>
  <c r="G232" i="24"/>
  <c r="CE232" i="6" s="1"/>
  <c r="AA232" i="24"/>
  <c r="Z232" i="24" s="1"/>
  <c r="Y232" i="24" s="1"/>
  <c r="H232" i="24"/>
  <c r="H136" i="24"/>
  <c r="G136" i="24"/>
  <c r="CE136" i="6" s="1"/>
  <c r="AA136" i="24"/>
  <c r="Z136" i="24" s="1"/>
  <c r="Y136" i="24" s="1"/>
  <c r="H112" i="24"/>
  <c r="G112" i="24"/>
  <c r="CE112" i="6" s="1"/>
  <c r="AA112" i="24"/>
  <c r="Z112" i="24" s="1"/>
  <c r="Y112" i="24" s="1"/>
  <c r="AA366" i="24"/>
  <c r="Z366" i="24" s="1"/>
  <c r="Y366" i="24" s="1"/>
  <c r="G366" i="24"/>
  <c r="CE366" i="6" s="1"/>
  <c r="H366" i="24"/>
  <c r="G347" i="24"/>
  <c r="CE347" i="6" s="1"/>
  <c r="AA347" i="24"/>
  <c r="Z347" i="24" s="1"/>
  <c r="Y347" i="24" s="1"/>
  <c r="H347" i="24"/>
  <c r="I96" i="24"/>
  <c r="J268" i="24"/>
  <c r="I275" i="24"/>
  <c r="J26" i="24"/>
  <c r="I172" i="24"/>
  <c r="I350" i="24"/>
  <c r="I205" i="24"/>
  <c r="J199" i="24"/>
  <c r="J110" i="24"/>
  <c r="I277" i="24"/>
  <c r="I337" i="24"/>
  <c r="J107" i="24"/>
  <c r="J141" i="24"/>
  <c r="J109" i="24"/>
  <c r="J102" i="24"/>
  <c r="J280" i="24"/>
  <c r="I64" i="24"/>
  <c r="J16" i="24"/>
  <c r="J250" i="24"/>
  <c r="I206" i="24"/>
  <c r="J308" i="24"/>
  <c r="J332" i="24"/>
  <c r="I343" i="24"/>
  <c r="I33" i="24"/>
  <c r="J52" i="24"/>
  <c r="J369" i="24"/>
  <c r="I283" i="24"/>
  <c r="J192" i="24"/>
  <c r="J298" i="24"/>
  <c r="I66" i="24"/>
  <c r="I197" i="24"/>
  <c r="J195" i="24"/>
  <c r="J325" i="24"/>
  <c r="I67" i="24"/>
  <c r="J222" i="24"/>
  <c r="I160" i="24"/>
  <c r="I65" i="24"/>
  <c r="J94" i="24"/>
  <c r="I356" i="24"/>
  <c r="J22" i="24"/>
  <c r="I368" i="24"/>
  <c r="J30" i="24"/>
  <c r="I228" i="24"/>
  <c r="J137" i="24"/>
  <c r="J233" i="24"/>
  <c r="J249" i="24"/>
  <c r="I75" i="24"/>
  <c r="J17" i="24"/>
  <c r="I224" i="24"/>
  <c r="I289" i="24"/>
  <c r="I186" i="24"/>
  <c r="I304" i="24"/>
  <c r="I35" i="24"/>
  <c r="J93" i="24"/>
  <c r="I194" i="24"/>
  <c r="I116" i="24"/>
  <c r="I131" i="24"/>
  <c r="I327" i="24"/>
  <c r="I263" i="24"/>
  <c r="I231" i="24"/>
  <c r="I127" i="24"/>
  <c r="J147" i="24"/>
  <c r="G180" i="24"/>
  <c r="CE180" i="6" s="1"/>
  <c r="I317" i="24"/>
  <c r="J37" i="24"/>
  <c r="J307" i="24"/>
  <c r="I367" i="24"/>
  <c r="I113" i="24"/>
  <c r="U63" i="25"/>
  <c r="T63" i="25" s="1"/>
  <c r="I190" i="24"/>
  <c r="S63" i="25"/>
  <c r="R63" i="25" s="1"/>
  <c r="P63" i="25" s="1"/>
  <c r="V63" i="25" s="1"/>
  <c r="B63" i="25" s="1"/>
  <c r="U334" i="25"/>
  <c r="T334" i="25" s="1"/>
  <c r="U242" i="25"/>
  <c r="T242" i="25" s="1"/>
  <c r="U372" i="25"/>
  <c r="T372" i="25" s="1"/>
  <c r="U166" i="25"/>
  <c r="T166" i="25" s="1"/>
  <c r="U359" i="25"/>
  <c r="T359" i="25" s="1"/>
  <c r="U255" i="25"/>
  <c r="T255" i="25" s="1"/>
  <c r="U354" i="25"/>
  <c r="T354" i="25" s="1"/>
  <c r="U338" i="25"/>
  <c r="T338" i="25" s="1"/>
  <c r="U104" i="25"/>
  <c r="T104" i="25" s="1"/>
  <c r="U149" i="25"/>
  <c r="T149" i="25" s="1"/>
  <c r="AI112" i="25"/>
  <c r="AH112" i="25" s="1"/>
  <c r="AI373" i="25"/>
  <c r="AH373" i="25" s="1"/>
  <c r="AI250" i="25"/>
  <c r="AH250" i="25" s="1"/>
  <c r="AI147" i="25"/>
  <c r="AH147" i="25" s="1"/>
  <c r="AI22" i="25"/>
  <c r="AH22" i="25" s="1"/>
  <c r="AI177" i="25"/>
  <c r="AH177" i="25" s="1"/>
  <c r="AI54" i="25"/>
  <c r="AH54" i="25" s="1"/>
  <c r="AI312" i="25"/>
  <c r="AH312" i="25" s="1"/>
  <c r="AI75" i="25"/>
  <c r="AH75" i="25" s="1"/>
  <c r="AI296" i="25"/>
  <c r="AH296" i="25" s="1"/>
  <c r="AI171" i="25"/>
  <c r="AH171" i="25" s="1"/>
  <c r="AI377" i="25"/>
  <c r="AH377" i="25" s="1"/>
  <c r="AI165" i="25"/>
  <c r="AH165" i="25" s="1"/>
  <c r="AI367" i="25"/>
  <c r="AH367" i="25" s="1"/>
  <c r="AI263" i="25"/>
  <c r="AH263" i="25" s="1"/>
  <c r="AI129" i="25"/>
  <c r="AH129" i="25" s="1"/>
  <c r="AI369" i="25"/>
  <c r="AH369" i="25" s="1"/>
  <c r="AI316" i="25"/>
  <c r="AH316" i="25" s="1"/>
  <c r="AI221" i="25"/>
  <c r="AH221" i="25" s="1"/>
  <c r="AI111" i="25"/>
  <c r="AH111" i="25" s="1"/>
  <c r="AI338" i="25"/>
  <c r="AH338" i="25" s="1"/>
  <c r="AI91" i="25"/>
  <c r="AH91" i="25" s="1"/>
  <c r="AI277" i="25"/>
  <c r="AH277" i="25" s="1"/>
  <c r="AI159" i="25"/>
  <c r="AH159" i="25" s="1"/>
  <c r="AI34" i="25"/>
  <c r="AH34" i="25" s="1"/>
  <c r="AI291" i="25"/>
  <c r="AH291" i="25" s="1"/>
  <c r="AI119" i="25"/>
  <c r="AH119" i="25" s="1"/>
  <c r="AI38" i="25"/>
  <c r="AH38" i="25" s="1"/>
  <c r="AI225" i="25"/>
  <c r="AH225" i="25" s="1"/>
  <c r="AI142" i="25"/>
  <c r="AH142" i="25" s="1"/>
  <c r="AI345" i="25"/>
  <c r="AH345" i="25" s="1"/>
  <c r="AI95" i="25"/>
  <c r="AH95" i="25" s="1"/>
  <c r="AI340" i="25"/>
  <c r="AH340" i="25" s="1"/>
  <c r="AI219" i="25"/>
  <c r="AH219" i="25" s="1"/>
  <c r="AI31" i="25"/>
  <c r="AH31" i="25" s="1"/>
  <c r="AI137" i="25"/>
  <c r="AH137" i="25" s="1"/>
  <c r="AI379" i="25"/>
  <c r="AH379" i="25" s="1"/>
  <c r="AI275" i="25"/>
  <c r="AH275" i="25" s="1"/>
  <c r="AI189" i="25"/>
  <c r="AH189" i="25" s="1"/>
  <c r="AI146" i="25"/>
  <c r="AH146" i="25" s="1"/>
  <c r="AI349" i="25"/>
  <c r="AH349" i="25" s="1"/>
  <c r="AI232" i="25"/>
  <c r="AH232" i="25" s="1"/>
  <c r="AI114" i="25"/>
  <c r="AH114" i="25" s="1"/>
  <c r="AI332" i="25"/>
  <c r="AH332" i="25" s="1"/>
  <c r="AI124" i="25"/>
  <c r="AH124" i="25" s="1"/>
  <c r="AI299" i="25"/>
  <c r="AH299" i="25" s="1"/>
  <c r="AI130" i="25"/>
  <c r="AH130" i="25" s="1"/>
  <c r="AI51" i="25"/>
  <c r="AH51" i="25" s="1"/>
  <c r="AI305" i="25"/>
  <c r="AH305" i="25" s="1"/>
  <c r="AI208" i="25"/>
  <c r="AH208" i="25" s="1"/>
  <c r="AI43" i="25"/>
  <c r="AH43" i="25" s="1"/>
  <c r="AI255" i="25"/>
  <c r="AH255" i="25" s="1"/>
  <c r="AI118" i="25"/>
  <c r="AH118" i="25" s="1"/>
  <c r="AI341" i="25"/>
  <c r="AH341" i="25" s="1"/>
  <c r="AI144" i="25"/>
  <c r="AH144" i="25" s="1"/>
  <c r="AI372" i="25"/>
  <c r="AH372" i="25" s="1"/>
  <c r="AI199" i="25"/>
  <c r="AH199" i="25" s="1"/>
  <c r="AI55" i="25"/>
  <c r="AH55" i="25" s="1"/>
  <c r="AI203" i="25"/>
  <c r="AH203" i="25" s="1"/>
  <c r="AI72" i="25"/>
  <c r="AH72" i="25" s="1"/>
  <c r="AI297" i="25"/>
  <c r="AH297" i="25" s="1"/>
  <c r="AI162" i="25"/>
  <c r="AH162" i="25" s="1"/>
  <c r="AI122" i="25"/>
  <c r="AH122" i="25" s="1"/>
  <c r="AI363" i="25"/>
  <c r="AH363" i="25" s="1"/>
  <c r="AI244" i="25"/>
  <c r="AH244" i="25" s="1"/>
  <c r="AI164" i="25"/>
  <c r="AH164" i="25" s="1"/>
  <c r="AI356" i="25"/>
  <c r="AH356" i="25" s="1"/>
  <c r="AI116" i="25"/>
  <c r="AH116" i="25" s="1"/>
  <c r="AI313" i="25"/>
  <c r="AH313" i="25" s="1"/>
  <c r="AI218" i="25"/>
  <c r="AH218" i="25" s="1"/>
  <c r="AI69" i="25"/>
  <c r="AH69" i="25" s="1"/>
  <c r="AI335" i="25"/>
  <c r="AH335" i="25" s="1"/>
  <c r="AI184" i="25"/>
  <c r="AH184" i="25" s="1"/>
  <c r="AI58" i="25"/>
  <c r="AH58" i="25" s="1"/>
  <c r="AI248" i="25"/>
  <c r="AH248" i="25" s="1"/>
  <c r="AI168" i="25"/>
  <c r="AH168" i="25" s="1"/>
  <c r="AI366" i="25"/>
  <c r="AH366" i="25" s="1"/>
  <c r="AI120" i="25"/>
  <c r="AH120" i="25" s="1"/>
  <c r="AI23" i="25"/>
  <c r="AH23" i="25" s="1"/>
  <c r="AI222" i="25"/>
  <c r="AH222" i="25" s="1"/>
  <c r="AI73" i="25"/>
  <c r="AH73" i="25" s="1"/>
  <c r="AI176" i="25"/>
  <c r="AH176" i="25" s="1"/>
  <c r="AI92" i="25"/>
  <c r="AH92" i="25" s="1"/>
  <c r="AI311" i="25"/>
  <c r="AH311" i="25" s="1"/>
  <c r="AI214" i="25"/>
  <c r="AH214" i="25" s="1"/>
  <c r="AI185" i="25"/>
  <c r="AH185" i="25" s="1"/>
  <c r="AI42" i="25"/>
  <c r="AH42" i="25" s="1"/>
  <c r="AI273" i="25"/>
  <c r="AH273" i="25" s="1"/>
  <c r="AI136" i="25"/>
  <c r="AH136" i="25" s="1"/>
  <c r="AI281" i="25"/>
  <c r="AH281" i="25" s="1"/>
  <c r="AI166" i="25"/>
  <c r="AH166" i="25" s="1"/>
  <c r="AI346" i="25"/>
  <c r="AH346" i="25" s="1"/>
  <c r="AI216" i="25"/>
  <c r="AH216" i="25" s="1"/>
  <c r="AI85" i="25"/>
  <c r="AH85" i="25" s="1"/>
  <c r="AI329" i="25"/>
  <c r="AH329" i="25" s="1"/>
  <c r="AI231" i="25"/>
  <c r="AH231" i="25" s="1"/>
  <c r="AI64" i="25"/>
  <c r="AH64" i="25" s="1"/>
  <c r="AI289" i="25"/>
  <c r="AH289" i="25" s="1"/>
  <c r="AI140" i="25"/>
  <c r="AH140" i="25" s="1"/>
  <c r="AI287" i="25"/>
  <c r="AH287" i="25" s="1"/>
  <c r="AI180" i="25"/>
  <c r="AH180" i="25" s="1"/>
  <c r="AI15" i="25"/>
  <c r="AI237" i="25"/>
  <c r="AH237" i="25" s="1"/>
  <c r="AI89" i="25"/>
  <c r="AH89" i="25" s="1"/>
  <c r="AI224" i="25"/>
  <c r="AH224" i="25" s="1"/>
  <c r="AI125" i="25"/>
  <c r="AH125" i="25" s="1"/>
  <c r="AI337" i="25"/>
  <c r="AH337" i="25" s="1"/>
  <c r="AI200" i="25"/>
  <c r="AH200" i="25" s="1"/>
  <c r="AI152" i="25"/>
  <c r="AH152" i="25" s="1"/>
  <c r="AI61" i="25"/>
  <c r="AH61" i="25" s="1"/>
  <c r="AI284" i="25"/>
  <c r="AH284" i="25" s="1"/>
  <c r="AI202" i="25"/>
  <c r="AH202" i="25" s="1"/>
  <c r="AI303" i="25"/>
  <c r="AH303" i="25" s="1"/>
  <c r="AI134" i="25"/>
  <c r="AH134" i="25" s="1"/>
  <c r="AI360" i="25"/>
  <c r="AH360" i="25" s="1"/>
  <c r="AI241" i="25"/>
  <c r="AH241" i="25" s="1"/>
  <c r="AI158" i="25"/>
  <c r="AH158" i="25" s="1"/>
  <c r="AI357" i="25"/>
  <c r="AH357" i="25" s="1"/>
  <c r="AI259" i="25"/>
  <c r="AH259" i="25" s="1"/>
  <c r="AI79" i="25"/>
  <c r="AH79" i="25" s="1"/>
  <c r="AI288" i="25"/>
  <c r="AH288" i="25" s="1"/>
  <c r="AI206" i="25"/>
  <c r="AH206" i="25" s="1"/>
  <c r="AI321" i="25"/>
  <c r="AH321" i="25" s="1"/>
  <c r="AI138" i="25"/>
  <c r="AH138" i="25" s="1"/>
  <c r="AI59" i="25"/>
  <c r="AH59" i="25" s="1"/>
  <c r="AI245" i="25"/>
  <c r="AH245" i="25" s="1"/>
  <c r="AI20" i="25"/>
  <c r="AH20" i="25" s="1"/>
  <c r="AI254" i="25"/>
  <c r="AH254" i="25" s="1"/>
  <c r="AI117" i="25"/>
  <c r="AH117" i="25" s="1"/>
  <c r="AI378" i="25"/>
  <c r="AH378" i="25" s="1"/>
  <c r="AI239" i="25"/>
  <c r="AH239" i="25" s="1"/>
  <c r="AI210" i="25"/>
  <c r="AH210" i="25" s="1"/>
  <c r="AI81" i="25"/>
  <c r="AH81" i="25" s="1"/>
  <c r="AI300" i="25"/>
  <c r="AH300" i="25" s="1"/>
  <c r="AI175" i="25"/>
  <c r="AH175" i="25" s="1"/>
  <c r="AI320" i="25"/>
  <c r="AH320" i="25" s="1"/>
  <c r="AI179" i="25"/>
  <c r="AH179" i="25" s="1"/>
  <c r="AI36" i="25"/>
  <c r="AH36" i="25" s="1"/>
  <c r="AI267" i="25"/>
  <c r="AH267" i="25" s="1"/>
  <c r="AI133" i="25"/>
  <c r="AH133" i="25" s="1"/>
  <c r="AI375" i="25"/>
  <c r="AH375" i="25" s="1"/>
  <c r="AI252" i="25"/>
  <c r="AH252" i="25" s="1"/>
  <c r="AI99" i="25"/>
  <c r="AH99" i="25" s="1"/>
  <c r="AI317" i="25"/>
  <c r="AH317" i="25" s="1"/>
  <c r="AI182" i="25"/>
  <c r="AH182" i="25" s="1"/>
  <c r="AI326" i="25"/>
  <c r="AH326" i="25" s="1"/>
  <c r="AI226" i="25"/>
  <c r="AH226" i="25" s="1"/>
  <c r="AI77" i="25"/>
  <c r="AH77" i="25" s="1"/>
  <c r="AI274" i="25"/>
  <c r="AH274" i="25" s="1"/>
  <c r="AI40" i="25"/>
  <c r="AH40" i="25" s="1"/>
  <c r="AI247" i="25"/>
  <c r="AH247" i="25" s="1"/>
  <c r="AI167" i="25"/>
  <c r="AH167" i="25" s="1"/>
  <c r="AI30" i="25"/>
  <c r="AH30" i="25" s="1"/>
  <c r="AI261" i="25"/>
  <c r="AH261" i="25" s="1"/>
  <c r="AI195" i="25"/>
  <c r="AH195" i="25" s="1"/>
  <c r="AI102" i="25"/>
  <c r="AH102" i="25" s="1"/>
  <c r="AI362" i="25"/>
  <c r="AH362" i="25" s="1"/>
  <c r="AI207" i="25"/>
  <c r="AH207" i="25" s="1"/>
  <c r="AI76" i="25"/>
  <c r="AH76" i="25" s="1"/>
  <c r="AI301" i="25"/>
  <c r="AH301" i="25" s="1"/>
  <c r="AI172" i="25"/>
  <c r="AH172" i="25" s="1"/>
  <c r="AI88" i="25"/>
  <c r="AH88" i="25" s="1"/>
  <c r="AI307" i="25"/>
  <c r="AH307" i="25" s="1"/>
  <c r="AI156" i="25"/>
  <c r="AH156" i="25" s="1"/>
  <c r="AI17" i="25"/>
  <c r="AH17" i="25" s="1"/>
  <c r="AI253" i="25"/>
  <c r="AH253" i="25" s="1"/>
  <c r="AI370" i="25"/>
  <c r="AH370" i="25" s="1"/>
  <c r="AI249" i="25"/>
  <c r="AH249" i="25" s="1"/>
  <c r="AI82" i="25"/>
  <c r="AH82" i="25" s="1"/>
  <c r="AI318" i="25"/>
  <c r="AH318" i="25" s="1"/>
  <c r="AI78" i="25"/>
  <c r="AH78" i="25" s="1"/>
  <c r="AI323" i="25"/>
  <c r="AH323" i="25" s="1"/>
  <c r="AI205" i="25"/>
  <c r="AH205" i="25" s="1"/>
  <c r="AI74" i="25"/>
  <c r="AH74" i="25" s="1"/>
  <c r="AI35" i="25"/>
  <c r="AH35" i="25" s="1"/>
  <c r="AI257" i="25"/>
  <c r="AH257" i="25" s="1"/>
  <c r="AI127" i="25"/>
  <c r="AH127" i="25" s="1"/>
  <c r="AI39" i="25"/>
  <c r="AH39" i="25" s="1"/>
  <c r="AI186" i="25"/>
  <c r="AH186" i="25" s="1"/>
  <c r="AI27" i="25"/>
  <c r="AH27" i="25" s="1"/>
  <c r="AI183" i="25"/>
  <c r="AH183" i="25" s="1"/>
  <c r="AI96" i="25"/>
  <c r="AH96" i="25" s="1"/>
  <c r="AI315" i="25"/>
  <c r="AH315" i="25" s="1"/>
  <c r="AI220" i="25"/>
  <c r="AH220" i="25" s="1"/>
  <c r="AI110" i="25"/>
  <c r="AH110" i="25" s="1"/>
  <c r="AI322" i="25"/>
  <c r="AH322" i="25" s="1"/>
  <c r="AI131" i="25"/>
  <c r="AH131" i="25" s="1"/>
  <c r="AI48" i="25"/>
  <c r="AH48" i="25" s="1"/>
  <c r="AI190" i="25"/>
  <c r="AH190" i="25" s="1"/>
  <c r="AI25" i="25"/>
  <c r="AH25" i="25" s="1"/>
  <c r="AI290" i="25"/>
  <c r="AH290" i="25" s="1"/>
  <c r="AI103" i="25"/>
  <c r="AH103" i="25" s="1"/>
  <c r="AI324" i="25"/>
  <c r="AH324" i="25" s="1"/>
  <c r="AI84" i="25"/>
  <c r="AH84" i="25" s="1"/>
  <c r="AI351" i="25"/>
  <c r="AH351" i="25" s="1"/>
  <c r="AI174" i="25"/>
  <c r="AH174" i="25" s="1"/>
  <c r="AI94" i="25"/>
  <c r="AH94" i="25" s="1"/>
  <c r="AI52" i="25"/>
  <c r="AH52" i="25" s="1"/>
  <c r="AI306" i="25"/>
  <c r="AH306" i="25" s="1"/>
  <c r="AI187" i="25"/>
  <c r="AH187" i="25" s="1"/>
  <c r="AI44" i="25"/>
  <c r="AH44" i="25" s="1"/>
  <c r="AI153" i="25"/>
  <c r="AH153" i="25" s="1"/>
  <c r="AI28" i="25"/>
  <c r="AH28" i="25" s="1"/>
  <c r="AI230" i="25"/>
  <c r="AH230" i="25" s="1"/>
  <c r="AI145" i="25"/>
  <c r="AH145" i="25" s="1"/>
  <c r="AI344" i="25"/>
  <c r="AH344" i="25" s="1"/>
  <c r="AI229" i="25"/>
  <c r="AH229" i="25" s="1"/>
  <c r="AI113" i="25"/>
  <c r="AH113" i="25" s="1"/>
  <c r="AI310" i="25"/>
  <c r="AH310" i="25" s="1"/>
  <c r="AI191" i="25"/>
  <c r="AH191" i="25" s="1"/>
  <c r="AI66" i="25"/>
  <c r="AH66" i="25" s="1"/>
  <c r="AI169" i="25"/>
  <c r="AH169" i="25" s="1"/>
  <c r="AI46" i="25"/>
  <c r="AH46" i="25" s="1"/>
  <c r="AI304" i="25"/>
  <c r="AH304" i="25" s="1"/>
  <c r="AI149" i="25"/>
  <c r="AH149" i="25" s="1"/>
  <c r="AI348" i="25"/>
  <c r="AH348" i="25" s="1"/>
  <c r="AI105" i="25"/>
  <c r="AH105" i="25" s="1"/>
  <c r="AI365" i="25"/>
  <c r="AH365" i="25" s="1"/>
  <c r="AI246" i="25"/>
  <c r="AH246" i="25" s="1"/>
  <c r="AI143" i="25"/>
  <c r="AH143" i="25" s="1"/>
  <c r="AI70" i="25"/>
  <c r="AH70" i="25" s="1"/>
  <c r="AI336" i="25"/>
  <c r="AH336" i="25" s="1"/>
  <c r="AI150" i="25"/>
  <c r="AH150" i="25" s="1"/>
  <c r="AI63" i="25"/>
  <c r="AH63" i="25" s="1"/>
  <c r="AI211" i="25"/>
  <c r="AH211" i="25" s="1"/>
  <c r="AI16" i="25"/>
  <c r="AH16" i="25" s="1"/>
  <c r="AI258" i="25"/>
  <c r="AH258" i="25" s="1"/>
  <c r="AI121" i="25"/>
  <c r="AH121" i="25" s="1"/>
  <c r="AI26" i="25"/>
  <c r="AH26" i="25" s="1"/>
  <c r="AI243" i="25"/>
  <c r="AH243" i="25" s="1"/>
  <c r="AI163" i="25"/>
  <c r="AH163" i="25" s="1"/>
  <c r="AI343" i="25"/>
  <c r="AH343" i="25" s="1"/>
  <c r="AI160" i="25"/>
  <c r="AH160" i="25" s="1"/>
  <c r="AI86" i="25"/>
  <c r="AH86" i="25" s="1"/>
  <c r="AI217" i="25"/>
  <c r="AH217" i="25" s="1"/>
  <c r="AI100" i="25"/>
  <c r="AH100" i="25" s="1"/>
  <c r="AI334" i="25"/>
  <c r="AH334" i="25" s="1"/>
  <c r="AI128" i="25"/>
  <c r="AH128" i="25" s="1"/>
  <c r="AI269" i="25"/>
  <c r="AH269" i="25" s="1"/>
  <c r="AI155" i="25"/>
  <c r="AH155" i="25" s="1"/>
  <c r="AI33" i="25"/>
  <c r="AH33" i="25" s="1"/>
  <c r="AI282" i="25"/>
  <c r="AH282" i="25" s="1"/>
  <c r="AI115" i="25"/>
  <c r="AH115" i="25" s="1"/>
  <c r="AI90" i="25"/>
  <c r="AH90" i="25" s="1"/>
  <c r="AI330" i="25"/>
  <c r="AH330" i="25" s="1"/>
  <c r="AI233" i="25"/>
  <c r="AH233" i="25" s="1"/>
  <c r="AI83" i="25"/>
  <c r="AH83" i="25" s="1"/>
  <c r="AI196" i="25"/>
  <c r="AH196" i="25" s="1"/>
  <c r="AI49" i="25"/>
  <c r="AH49" i="25" s="1"/>
  <c r="AI251" i="25"/>
  <c r="AH251" i="25" s="1"/>
  <c r="AI181" i="25"/>
  <c r="AH181" i="25" s="1"/>
  <c r="AI41" i="25"/>
  <c r="AH41" i="25" s="1"/>
  <c r="AI265" i="25"/>
  <c r="AH265" i="25" s="1"/>
  <c r="AI135" i="25"/>
  <c r="AH135" i="25" s="1"/>
  <c r="AI339" i="25"/>
  <c r="AH339" i="25" s="1"/>
  <c r="AI238" i="25"/>
  <c r="AH238" i="25" s="1"/>
  <c r="AI101" i="25"/>
  <c r="AH101" i="25" s="1"/>
  <c r="AI215" i="25"/>
  <c r="AH215" i="25" s="1"/>
  <c r="AI107" i="25"/>
  <c r="AH107" i="25" s="1"/>
  <c r="AI328" i="25"/>
  <c r="AH328" i="25" s="1"/>
  <c r="AI188" i="25"/>
  <c r="AH188" i="25" s="1"/>
  <c r="AI295" i="25"/>
  <c r="AH295" i="25" s="1"/>
  <c r="AI126" i="25"/>
  <c r="AH126" i="25" s="1"/>
  <c r="AI47" i="25"/>
  <c r="AH47" i="25" s="1"/>
  <c r="AI286" i="25"/>
  <c r="AH286" i="25" s="1"/>
  <c r="AI242" i="25"/>
  <c r="AH242" i="25" s="1"/>
  <c r="AI123" i="25"/>
  <c r="AH123" i="25" s="1"/>
  <c r="AI358" i="25"/>
  <c r="AH358" i="25" s="1"/>
  <c r="AI260" i="25"/>
  <c r="AH260" i="25" s="1"/>
  <c r="AI97" i="25"/>
  <c r="AH97" i="25" s="1"/>
  <c r="AI235" i="25"/>
  <c r="AH235" i="25" s="1"/>
  <c r="AI67" i="25"/>
  <c r="AH67" i="25" s="1"/>
  <c r="AI283" i="25"/>
  <c r="AH283" i="25" s="1"/>
  <c r="AI151" i="25"/>
  <c r="AH151" i="25" s="1"/>
  <c r="AI60" i="25"/>
  <c r="AH60" i="25" s="1"/>
  <c r="AI314" i="25"/>
  <c r="AH314" i="25" s="1"/>
  <c r="AI201" i="25"/>
  <c r="AH201" i="25" s="1"/>
  <c r="AI371" i="25"/>
  <c r="AH371" i="25" s="1"/>
  <c r="AI264" i="25"/>
  <c r="AH264" i="25" s="1"/>
  <c r="AI104" i="25"/>
  <c r="AH104" i="25" s="1"/>
  <c r="AI240" i="25"/>
  <c r="AH240" i="25" s="1"/>
  <c r="AI157" i="25"/>
  <c r="AH157" i="25" s="1"/>
  <c r="AI352" i="25"/>
  <c r="AH352" i="25" s="1"/>
  <c r="AI161" i="25"/>
  <c r="AH161" i="25" s="1"/>
  <c r="AI309" i="25"/>
  <c r="AH309" i="25" s="1"/>
  <c r="AI212" i="25"/>
  <c r="AH212" i="25" s="1"/>
  <c r="AI65" i="25"/>
  <c r="AH65" i="25" s="1"/>
  <c r="AI319" i="25"/>
  <c r="AH319" i="25" s="1"/>
  <c r="AI271" i="25"/>
  <c r="AH271" i="25" s="1"/>
  <c r="AI108" i="25"/>
  <c r="AH108" i="25" s="1"/>
  <c r="AI376" i="25"/>
  <c r="AH376" i="25" s="1"/>
  <c r="AI268" i="25"/>
  <c r="AH268" i="25" s="1"/>
  <c r="AI21" i="25"/>
  <c r="AH21" i="25" s="1"/>
  <c r="AI262" i="25"/>
  <c r="AH262" i="25" s="1"/>
  <c r="AI87" i="25"/>
  <c r="AH87" i="25" s="1"/>
  <c r="AI327" i="25"/>
  <c r="AH327" i="25" s="1"/>
  <c r="AI209" i="25"/>
  <c r="AH209" i="25" s="1"/>
  <c r="AI80" i="25"/>
  <c r="AH80" i="25" s="1"/>
  <c r="AI347" i="25"/>
  <c r="AH347" i="25" s="1"/>
  <c r="AI170" i="25"/>
  <c r="AH170" i="25" s="1"/>
  <c r="AI19" i="25"/>
  <c r="AH19" i="25" s="1"/>
  <c r="AI276" i="25"/>
  <c r="AH276" i="25" s="1"/>
  <c r="AI37" i="25"/>
  <c r="AH37" i="25" s="1"/>
  <c r="AI266" i="25"/>
  <c r="AH266" i="25" s="1"/>
  <c r="AI132" i="25"/>
  <c r="AH132" i="25" s="1"/>
  <c r="AI331" i="25"/>
  <c r="AH331" i="25" s="1"/>
  <c r="AI213" i="25"/>
  <c r="AH213" i="25" s="1"/>
  <c r="AI342" i="25"/>
  <c r="AH342" i="25" s="1"/>
  <c r="AI198" i="25"/>
  <c r="AH198" i="25" s="1"/>
  <c r="AI62" i="25"/>
  <c r="AH62" i="25" s="1"/>
  <c r="AI325" i="25"/>
  <c r="AH325" i="25" s="1"/>
  <c r="AI280" i="25"/>
  <c r="AH280" i="25" s="1"/>
  <c r="AI197" i="25"/>
  <c r="AH197" i="25" s="1"/>
  <c r="AI18" i="25"/>
  <c r="AH18" i="25" s="1"/>
  <c r="AI223" i="25"/>
  <c r="AH223" i="25" s="1"/>
  <c r="AI350" i="25"/>
  <c r="AH350" i="25" s="1"/>
  <c r="AI141" i="25"/>
  <c r="AH141" i="25" s="1"/>
  <c r="AI24" i="25"/>
  <c r="AH24" i="25" s="1"/>
  <c r="AI279" i="25"/>
  <c r="AH279" i="25" s="1"/>
  <c r="AI193" i="25"/>
  <c r="AH193" i="25" s="1"/>
  <c r="AI68" i="25"/>
  <c r="AH68" i="25" s="1"/>
  <c r="AI293" i="25"/>
  <c r="AH293" i="25" s="1"/>
  <c r="AI106" i="25"/>
  <c r="AH106" i="25" s="1"/>
  <c r="AI368" i="25"/>
  <c r="AH368" i="25" s="1"/>
  <c r="AI227" i="25"/>
  <c r="AH227" i="25" s="1"/>
  <c r="AI354" i="25"/>
  <c r="AH354" i="25" s="1"/>
  <c r="AI256" i="25"/>
  <c r="AH256" i="25" s="1"/>
  <c r="AI93" i="25"/>
  <c r="AH93" i="25" s="1"/>
  <c r="AI285" i="25"/>
  <c r="AH285" i="25" s="1"/>
  <c r="AI45" i="25"/>
  <c r="AH45" i="25" s="1"/>
  <c r="AI272" i="25"/>
  <c r="AH272" i="25" s="1"/>
  <c r="AI139" i="25"/>
  <c r="AH139" i="25" s="1"/>
  <c r="AI56" i="25"/>
  <c r="AH56" i="25" s="1"/>
  <c r="AI374" i="25"/>
  <c r="AH374" i="25" s="1"/>
  <c r="AI234" i="25"/>
  <c r="AH234" i="25" s="1"/>
  <c r="AI148" i="25"/>
  <c r="AH148" i="25" s="1"/>
  <c r="AI29" i="25"/>
  <c r="AH29" i="25" s="1"/>
  <c r="AI228" i="25"/>
  <c r="AH228" i="25" s="1"/>
  <c r="AI364" i="25"/>
  <c r="AH364" i="25" s="1"/>
  <c r="AI294" i="25"/>
  <c r="AH294" i="25" s="1"/>
  <c r="AI53" i="25"/>
  <c r="AH53" i="25" s="1"/>
  <c r="AI270" i="25"/>
  <c r="AH270" i="25" s="1"/>
  <c r="AI109" i="25"/>
  <c r="AH109" i="25" s="1"/>
  <c r="AI355" i="25"/>
  <c r="AH355" i="25" s="1"/>
  <c r="AI178" i="25"/>
  <c r="AH178" i="25" s="1"/>
  <c r="AI98" i="25"/>
  <c r="AH98" i="25" s="1"/>
  <c r="AI361" i="25"/>
  <c r="AH361" i="25" s="1"/>
  <c r="AI204" i="25"/>
  <c r="AH204" i="25" s="1"/>
  <c r="AI32" i="25"/>
  <c r="AH32" i="25" s="1"/>
  <c r="AI298" i="25"/>
  <c r="AH298" i="25" s="1"/>
  <c r="AI57" i="25"/>
  <c r="AH57" i="25" s="1"/>
  <c r="AI278" i="25"/>
  <c r="AH278" i="25" s="1"/>
  <c r="AI192" i="25"/>
  <c r="AH192" i="25" s="1"/>
  <c r="AI359" i="25"/>
  <c r="AH359" i="25" s="1"/>
  <c r="AI194" i="25"/>
  <c r="AH194" i="25" s="1"/>
  <c r="AI333" i="25"/>
  <c r="AH333" i="25" s="1"/>
  <c r="AI236" i="25"/>
  <c r="AH236" i="25" s="1"/>
  <c r="AI154" i="25"/>
  <c r="AH154" i="25" s="1"/>
  <c r="AI353" i="25"/>
  <c r="AH353" i="25" s="1"/>
  <c r="AI302" i="25"/>
  <c r="AH302" i="25" s="1"/>
  <c r="AI173" i="25"/>
  <c r="AH173" i="25" s="1"/>
  <c r="AI50" i="25"/>
  <c r="AH50" i="25" s="1"/>
  <c r="AI308" i="25"/>
  <c r="AH308" i="25" s="1"/>
  <c r="AI71" i="25"/>
  <c r="AH71" i="25" s="1"/>
  <c r="AI292" i="25"/>
  <c r="AH292" i="25" s="1"/>
  <c r="BG16" i="7"/>
  <c r="U270" i="25"/>
  <c r="T270" i="25" s="1"/>
  <c r="U299" i="25"/>
  <c r="T299" i="25" s="1"/>
  <c r="U337" i="25"/>
  <c r="T337" i="25" s="1"/>
  <c r="U96" i="25"/>
  <c r="T96" i="25" s="1"/>
  <c r="U101" i="25"/>
  <c r="T101" i="25" s="1"/>
  <c r="U157" i="25"/>
  <c r="T157" i="25" s="1"/>
  <c r="U348" i="25"/>
  <c r="T348" i="25" s="1"/>
  <c r="U173" i="25"/>
  <c r="T173" i="25" s="1"/>
  <c r="U226" i="25"/>
  <c r="T226" i="25" s="1"/>
  <c r="U168" i="25"/>
  <c r="T168" i="25" s="1"/>
  <c r="U350" i="25"/>
  <c r="T350" i="25" s="1"/>
  <c r="U78" i="25"/>
  <c r="T78" i="25" s="1"/>
  <c r="U225" i="25"/>
  <c r="T225" i="25" s="1"/>
  <c r="U174" i="25"/>
  <c r="T174" i="25" s="1"/>
  <c r="U249" i="25"/>
  <c r="T249" i="25" s="1"/>
  <c r="U47" i="25"/>
  <c r="T47" i="25" s="1"/>
  <c r="U365" i="25"/>
  <c r="T365" i="25" s="1"/>
  <c r="U189" i="25"/>
  <c r="T189" i="25" s="1"/>
  <c r="U110" i="25"/>
  <c r="T110" i="25" s="1"/>
  <c r="S110" i="25" s="1"/>
  <c r="R110" i="25" s="1"/>
  <c r="P110" i="25" s="1"/>
  <c r="V110" i="25" s="1"/>
  <c r="B110" i="25" s="1"/>
  <c r="U56" i="25"/>
  <c r="T56" i="25" s="1"/>
  <c r="U366" i="25"/>
  <c r="T366" i="25" s="1"/>
  <c r="U158" i="25"/>
  <c r="T158" i="25" s="1"/>
  <c r="U117" i="25"/>
  <c r="T117" i="25" s="1"/>
  <c r="U316" i="25"/>
  <c r="T316" i="25" s="1"/>
  <c r="U328" i="25"/>
  <c r="T328" i="25" s="1"/>
  <c r="U306" i="25"/>
  <c r="T306" i="25" s="1"/>
  <c r="U253" i="25"/>
  <c r="T253" i="25" s="1"/>
  <c r="U139" i="25"/>
  <c r="T139" i="25" s="1"/>
  <c r="U126" i="25"/>
  <c r="T126" i="25" s="1"/>
  <c r="U311" i="25"/>
  <c r="T311" i="25" s="1"/>
  <c r="U212" i="25"/>
  <c r="T212" i="25" s="1"/>
  <c r="U172" i="25"/>
  <c r="T172" i="25" s="1"/>
  <c r="U133" i="25"/>
  <c r="T133" i="25" s="1"/>
  <c r="S133" i="25" s="1"/>
  <c r="R133" i="25" s="1"/>
  <c r="P133" i="25" s="1"/>
  <c r="V133" i="25" s="1"/>
  <c r="B133" i="25" s="1"/>
  <c r="U325" i="25"/>
  <c r="T325" i="25" s="1"/>
  <c r="U109" i="25"/>
  <c r="T109" i="25" s="1"/>
  <c r="U196" i="25"/>
  <c r="T196" i="25" s="1"/>
  <c r="U137" i="25"/>
  <c r="T137" i="25" s="1"/>
  <c r="U287" i="25"/>
  <c r="T287" i="25" s="1"/>
  <c r="U26" i="25"/>
  <c r="T26" i="25" s="1"/>
  <c r="U326" i="25"/>
  <c r="T326" i="25" s="1"/>
  <c r="U229" i="25"/>
  <c r="T229" i="25" s="1"/>
  <c r="U378" i="25"/>
  <c r="T378" i="25" s="1"/>
  <c r="S378" i="25" s="1"/>
  <c r="R378" i="25" s="1"/>
  <c r="P378" i="25" s="1"/>
  <c r="V378" i="25" s="1"/>
  <c r="B378" i="25" s="1"/>
  <c r="U25" i="25"/>
  <c r="T25" i="25" s="1"/>
  <c r="S25" i="25" s="1"/>
  <c r="R25" i="25" s="1"/>
  <c r="P25" i="25" s="1"/>
  <c r="V25" i="25" s="1"/>
  <c r="B25" i="25" s="1"/>
  <c r="U341" i="25"/>
  <c r="T341" i="25" s="1"/>
  <c r="S341" i="25" s="1"/>
  <c r="R341" i="25" s="1"/>
  <c r="P341" i="25" s="1"/>
  <c r="V341" i="25" s="1"/>
  <c r="B341" i="25" s="1"/>
  <c r="U186" i="25"/>
  <c r="T186" i="25" s="1"/>
  <c r="S186" i="25" s="1"/>
  <c r="R186" i="25" s="1"/>
  <c r="P186" i="25" s="1"/>
  <c r="V186" i="25" s="1"/>
  <c r="B186" i="25" s="1"/>
  <c r="U86" i="25"/>
  <c r="T86" i="25" s="1"/>
  <c r="U69" i="25"/>
  <c r="T69" i="25" s="1"/>
  <c r="U349" i="25"/>
  <c r="T349" i="25" s="1"/>
  <c r="U274" i="25"/>
  <c r="T274" i="25" s="1"/>
  <c r="U64" i="25"/>
  <c r="T64" i="25" s="1"/>
  <c r="U279" i="25"/>
  <c r="T279" i="25" s="1"/>
  <c r="U331" i="25"/>
  <c r="T331" i="25" s="1"/>
  <c r="U292" i="25"/>
  <c r="T292" i="25" s="1"/>
  <c r="U94" i="25"/>
  <c r="T94" i="25" s="1"/>
  <c r="U82" i="25"/>
  <c r="T82" i="25" s="1"/>
  <c r="U163" i="25"/>
  <c r="T163" i="25" s="1"/>
  <c r="U39" i="25"/>
  <c r="T39" i="25" s="1"/>
  <c r="U122" i="25"/>
  <c r="T122" i="25" s="1"/>
  <c r="U177" i="25"/>
  <c r="T177" i="25" s="1"/>
  <c r="U123" i="25"/>
  <c r="T123" i="25" s="1"/>
  <c r="U302" i="25"/>
  <c r="T302" i="25" s="1"/>
  <c r="U330" i="25"/>
  <c r="T330" i="25" s="1"/>
  <c r="U304" i="25"/>
  <c r="T304" i="25" s="1"/>
  <c r="U252" i="25"/>
  <c r="T252" i="25" s="1"/>
  <c r="U37" i="25"/>
  <c r="T37" i="25" s="1"/>
  <c r="U370" i="25"/>
  <c r="T370" i="25" s="1"/>
  <c r="U317" i="25"/>
  <c r="T317" i="25" s="1"/>
  <c r="U206" i="25"/>
  <c r="T206" i="25" s="1"/>
  <c r="U65" i="25"/>
  <c r="T65" i="25" s="1"/>
  <c r="U375" i="25"/>
  <c r="T375" i="25" s="1"/>
  <c r="U18" i="25"/>
  <c r="T18" i="25" s="1"/>
  <c r="U111" i="25"/>
  <c r="T111" i="25" s="1"/>
  <c r="U194" i="25"/>
  <c r="T194" i="25" s="1"/>
  <c r="U205" i="25"/>
  <c r="T205" i="25" s="1"/>
  <c r="U42" i="25"/>
  <c r="T42" i="25" s="1"/>
  <c r="U258" i="25"/>
  <c r="T258" i="25" s="1"/>
  <c r="U204" i="25"/>
  <c r="T204" i="25" s="1"/>
  <c r="U222" i="25"/>
  <c r="T222" i="25" s="1"/>
  <c r="U79" i="25"/>
  <c r="T79" i="25" s="1"/>
  <c r="U263" i="25"/>
  <c r="T263" i="25" s="1"/>
  <c r="U188" i="25"/>
  <c r="T188" i="25" s="1"/>
  <c r="U48" i="25"/>
  <c r="T48" i="25" s="1"/>
  <c r="U198" i="25"/>
  <c r="T198" i="25" s="1"/>
  <c r="U132" i="25"/>
  <c r="T132" i="25" s="1"/>
  <c r="U182" i="25"/>
  <c r="T182" i="25" s="1"/>
  <c r="U217" i="25"/>
  <c r="T217" i="25" s="1"/>
  <c r="U52" i="25"/>
  <c r="T52" i="25" s="1"/>
  <c r="U358" i="25"/>
  <c r="T358" i="25" s="1"/>
  <c r="U27" i="25"/>
  <c r="T27" i="25" s="1"/>
  <c r="U251" i="25"/>
  <c r="T251" i="25" s="1"/>
  <c r="U53" i="25"/>
  <c r="T53" i="25" s="1"/>
  <c r="U113" i="25"/>
  <c r="T113" i="25" s="1"/>
  <c r="U55" i="25"/>
  <c r="T55" i="25" s="1"/>
  <c r="U241" i="25"/>
  <c r="T241" i="25" s="1"/>
  <c r="U71" i="25"/>
  <c r="T71" i="25" s="1"/>
  <c r="U360" i="25"/>
  <c r="T360" i="25" s="1"/>
  <c r="U307" i="25"/>
  <c r="T307" i="25" s="1"/>
  <c r="U246" i="25"/>
  <c r="T246" i="25" s="1"/>
  <c r="U176" i="25"/>
  <c r="T176" i="25" s="1"/>
  <c r="U202" i="25"/>
  <c r="T202" i="25" s="1"/>
  <c r="U68" i="25"/>
  <c r="T68" i="25" s="1"/>
  <c r="U129" i="25"/>
  <c r="T129" i="25" s="1"/>
  <c r="U265" i="25"/>
  <c r="T265" i="25" s="1"/>
  <c r="S265" i="25" s="1"/>
  <c r="R265" i="25" s="1"/>
  <c r="P265" i="25" s="1"/>
  <c r="V265" i="25" s="1"/>
  <c r="B265" i="25" s="1"/>
  <c r="U124" i="25"/>
  <c r="T124" i="25" s="1"/>
  <c r="U88" i="25"/>
  <c r="T88" i="25" s="1"/>
  <c r="U75" i="25"/>
  <c r="T75" i="25" s="1"/>
  <c r="U193" i="25"/>
  <c r="T193" i="25" s="1"/>
  <c r="U138" i="25"/>
  <c r="T138" i="25" s="1"/>
  <c r="U254" i="25"/>
  <c r="T254" i="25" s="1"/>
  <c r="U346" i="25"/>
  <c r="T346" i="25" s="1"/>
  <c r="U321" i="25"/>
  <c r="T321" i="25" s="1"/>
  <c r="U80" i="25"/>
  <c r="T80" i="25" s="1"/>
  <c r="U281" i="25"/>
  <c r="T281" i="25" s="1"/>
  <c r="U35" i="25"/>
  <c r="T35" i="25" s="1"/>
  <c r="U332" i="25"/>
  <c r="T332" i="25" s="1"/>
  <c r="U91" i="25"/>
  <c r="T91" i="25" s="1"/>
  <c r="U210" i="25"/>
  <c r="T210" i="25" s="1"/>
  <c r="S210" i="25" s="1"/>
  <c r="R210" i="25" s="1"/>
  <c r="P210" i="25" s="1"/>
  <c r="U16" i="25"/>
  <c r="T16" i="25" s="1"/>
  <c r="U34" i="25"/>
  <c r="T34" i="25" s="1"/>
  <c r="S34" i="25" s="1"/>
  <c r="R34" i="25" s="1"/>
  <c r="P34" i="25" s="1"/>
  <c r="V34" i="25" s="1"/>
  <c r="B34" i="25" s="1"/>
  <c r="U60" i="25"/>
  <c r="T60" i="25" s="1"/>
  <c r="U209" i="25"/>
  <c r="T209" i="25" s="1"/>
  <c r="U221" i="25"/>
  <c r="T221" i="25" s="1"/>
  <c r="U233" i="25"/>
  <c r="T233" i="25" s="1"/>
  <c r="U29" i="25"/>
  <c r="T29" i="25" s="1"/>
  <c r="S29" i="25" s="1"/>
  <c r="R29" i="25" s="1"/>
  <c r="P29" i="25" s="1"/>
  <c r="U220" i="25"/>
  <c r="T220" i="25" s="1"/>
  <c r="U303" i="25"/>
  <c r="T303" i="25" s="1"/>
  <c r="U95" i="25"/>
  <c r="T95" i="25" s="1"/>
  <c r="S95" i="25" s="1"/>
  <c r="R95" i="25" s="1"/>
  <c r="P95" i="25" s="1"/>
  <c r="V95" i="25" s="1"/>
  <c r="B95" i="25" s="1"/>
  <c r="U40" i="25"/>
  <c r="T40" i="25" s="1"/>
  <c r="S40" i="25" s="1"/>
  <c r="R40" i="25" s="1"/>
  <c r="P40" i="25" s="1"/>
  <c r="V40" i="25" s="1"/>
  <c r="B40" i="25" s="1"/>
  <c r="U112" i="25"/>
  <c r="T112" i="25" s="1"/>
  <c r="U315" i="25"/>
  <c r="T315" i="25" s="1"/>
  <c r="U106" i="25"/>
  <c r="T106" i="25" s="1"/>
  <c r="U175" i="25"/>
  <c r="T175" i="25" s="1"/>
  <c r="U61" i="25"/>
  <c r="T61" i="25" s="1"/>
  <c r="U184" i="25"/>
  <c r="T184" i="25" s="1"/>
  <c r="U19" i="25"/>
  <c r="T19" i="25" s="1"/>
  <c r="U190" i="25"/>
  <c r="T190" i="25" s="1"/>
  <c r="U218" i="25"/>
  <c r="T218" i="25" s="1"/>
  <c r="U376" i="25"/>
  <c r="T376" i="25" s="1"/>
  <c r="U73" i="25"/>
  <c r="T73" i="25" s="1"/>
  <c r="U44" i="25"/>
  <c r="T44" i="25" s="1"/>
  <c r="U268" i="25"/>
  <c r="T268" i="25" s="1"/>
  <c r="U62" i="25"/>
  <c r="T62" i="25" s="1"/>
  <c r="U70" i="25"/>
  <c r="T70" i="25" s="1"/>
  <c r="U191" i="25"/>
  <c r="T191" i="25" s="1"/>
  <c r="U152" i="25"/>
  <c r="T152" i="25" s="1"/>
  <c r="U248" i="25"/>
  <c r="T248" i="25" s="1"/>
  <c r="U31" i="25"/>
  <c r="T31" i="25" s="1"/>
  <c r="U199" i="25"/>
  <c r="T199" i="25" s="1"/>
  <c r="U318" i="25"/>
  <c r="T318" i="25" s="1"/>
  <c r="U283" i="25"/>
  <c r="T283" i="25" s="1"/>
  <c r="U15" i="25"/>
  <c r="U144" i="25"/>
  <c r="T144" i="25" s="1"/>
  <c r="U216" i="25"/>
  <c r="T216" i="25" s="1"/>
  <c r="U77" i="25"/>
  <c r="T77" i="25" s="1"/>
  <c r="U38" i="25"/>
  <c r="T38" i="25" s="1"/>
  <c r="U23" i="25"/>
  <c r="T23" i="25" s="1"/>
  <c r="U275" i="25"/>
  <c r="T275" i="25" s="1"/>
  <c r="U215" i="25"/>
  <c r="T215" i="25" s="1"/>
  <c r="U335" i="25"/>
  <c r="T335" i="25" s="1"/>
  <c r="U127" i="25"/>
  <c r="T127" i="25" s="1"/>
  <c r="U272" i="25"/>
  <c r="T272" i="25" s="1"/>
  <c r="U160" i="25"/>
  <c r="T160" i="25" s="1"/>
  <c r="U297" i="25"/>
  <c r="T297" i="25" s="1"/>
  <c r="U339" i="25"/>
  <c r="T339" i="25" s="1"/>
  <c r="U46" i="25"/>
  <c r="T46" i="25" s="1"/>
  <c r="U107" i="25"/>
  <c r="T107" i="25" s="1"/>
  <c r="U142" i="25"/>
  <c r="T142" i="25" s="1"/>
  <c r="U364" i="25"/>
  <c r="T364" i="25" s="1"/>
  <c r="U213" i="25"/>
  <c r="T213" i="25" s="1"/>
  <c r="U322" i="25"/>
  <c r="T322" i="25" s="1"/>
  <c r="U131" i="25"/>
  <c r="T131" i="25" s="1"/>
  <c r="U24" i="25"/>
  <c r="T24" i="25" s="1"/>
  <c r="U57" i="25"/>
  <c r="T57" i="25" s="1"/>
  <c r="U247" i="25"/>
  <c r="T247" i="25" s="1"/>
  <c r="U145" i="25"/>
  <c r="T145" i="25" s="1"/>
  <c r="U234" i="25"/>
  <c r="T234" i="25" s="1"/>
  <c r="U66" i="25"/>
  <c r="T66" i="25" s="1"/>
  <c r="U333" i="25"/>
  <c r="T333" i="25" s="1"/>
  <c r="U170" i="25"/>
  <c r="T170" i="25" s="1"/>
  <c r="U135" i="25"/>
  <c r="T135" i="25" s="1"/>
  <c r="U74" i="25"/>
  <c r="T74" i="25" s="1"/>
  <c r="U351" i="25"/>
  <c r="T351" i="25" s="1"/>
  <c r="U134" i="25"/>
  <c r="T134" i="25" s="1"/>
  <c r="U130" i="25"/>
  <c r="T130" i="25" s="1"/>
  <c r="U293" i="25"/>
  <c r="T293" i="25" s="1"/>
  <c r="U314" i="25"/>
  <c r="T314" i="25" s="1"/>
  <c r="U320" i="25"/>
  <c r="T320" i="25" s="1"/>
  <c r="U276" i="25"/>
  <c r="T276" i="25" s="1"/>
  <c r="U125" i="25"/>
  <c r="T125" i="25" s="1"/>
  <c r="U150" i="25"/>
  <c r="T150" i="25" s="1"/>
  <c r="U327" i="25"/>
  <c r="T327" i="25" s="1"/>
  <c r="U192" i="25"/>
  <c r="T192" i="25" s="1"/>
  <c r="U151" i="25"/>
  <c r="T151" i="25" s="1"/>
  <c r="U147" i="25"/>
  <c r="T147" i="25" s="1"/>
  <c r="U373" i="25"/>
  <c r="T373" i="25" s="1"/>
  <c r="U85" i="25"/>
  <c r="T85" i="25" s="1"/>
  <c r="U208" i="25"/>
  <c r="T208" i="25" s="1"/>
  <c r="S208" i="25" s="1"/>
  <c r="R208" i="25" s="1"/>
  <c r="P208" i="25" s="1"/>
  <c r="V208" i="25" s="1"/>
  <c r="B208" i="25" s="1"/>
  <c r="U167" i="25"/>
  <c r="T167" i="25" s="1"/>
  <c r="U264" i="25"/>
  <c r="T264" i="25" s="1"/>
  <c r="U33" i="25"/>
  <c r="T33" i="25" s="1"/>
  <c r="U343" i="25"/>
  <c r="T343" i="25" s="1"/>
  <c r="U207" i="25"/>
  <c r="T207" i="25" s="1"/>
  <c r="S207" i="25" s="1"/>
  <c r="R207" i="25" s="1"/>
  <c r="P207" i="25" s="1"/>
  <c r="V207" i="25" s="1"/>
  <c r="B207" i="25" s="1"/>
  <c r="U363" i="25"/>
  <c r="T363" i="25" s="1"/>
  <c r="U21" i="25"/>
  <c r="T21" i="25" s="1"/>
  <c r="U22" i="25"/>
  <c r="T22" i="25" s="1"/>
  <c r="U165" i="25"/>
  <c r="T165" i="25" s="1"/>
  <c r="U93" i="25"/>
  <c r="T93" i="25" s="1"/>
  <c r="U54" i="25"/>
  <c r="T54" i="25" s="1"/>
  <c r="U345" i="25"/>
  <c r="T345" i="25" s="1"/>
  <c r="U291" i="25"/>
  <c r="T291" i="25" s="1"/>
  <c r="U230" i="25"/>
  <c r="T230" i="25" s="1"/>
  <c r="U162" i="25"/>
  <c r="T162" i="25" s="1"/>
  <c r="U379" i="25"/>
  <c r="U288" i="25"/>
  <c r="T288" i="25" s="1"/>
  <c r="S288" i="25" s="1"/>
  <c r="R288" i="25" s="1"/>
  <c r="P288" i="25" s="1"/>
  <c r="V288" i="25" s="1"/>
  <c r="U236" i="25"/>
  <c r="T236" i="25" s="1"/>
  <c r="S236" i="25" s="1"/>
  <c r="R236" i="25" s="1"/>
  <c r="P236" i="25" s="1"/>
  <c r="V236" i="25" s="1"/>
  <c r="U183" i="25"/>
  <c r="T183" i="25" s="1"/>
  <c r="S183" i="25" s="1"/>
  <c r="R183" i="25" s="1"/>
  <c r="P183" i="25" s="1"/>
  <c r="V183" i="25" s="1"/>
  <c r="B183" i="25" s="1"/>
  <c r="U108" i="25"/>
  <c r="T108" i="25" s="1"/>
  <c r="S108" i="25" s="1"/>
  <c r="R108" i="25" s="1"/>
  <c r="P108" i="25" s="1"/>
  <c r="V108" i="25" s="1"/>
  <c r="U301" i="25"/>
  <c r="T301" i="25" s="1"/>
  <c r="U161" i="25"/>
  <c r="T161" i="25" s="1"/>
  <c r="U84" i="25"/>
  <c r="T84" i="25" s="1"/>
  <c r="U361" i="25"/>
  <c r="T361" i="25" s="1"/>
  <c r="U89" i="25"/>
  <c r="T89" i="25" s="1"/>
  <c r="U17" i="25"/>
  <c r="T17" i="25" s="1"/>
  <c r="U245" i="25"/>
  <c r="T245" i="25" s="1"/>
  <c r="U336" i="25"/>
  <c r="T336" i="25" s="1"/>
  <c r="U67" i="25"/>
  <c r="T67" i="25" s="1"/>
  <c r="U105" i="25"/>
  <c r="T105" i="25" s="1"/>
  <c r="U235" i="25"/>
  <c r="T235" i="25" s="1"/>
  <c r="U261" i="25"/>
  <c r="T261" i="25" s="1"/>
  <c r="U224" i="25"/>
  <c r="T224" i="25" s="1"/>
  <c r="U30" i="25"/>
  <c r="T30" i="25" s="1"/>
  <c r="U367" i="25"/>
  <c r="T367" i="25" s="1"/>
  <c r="U87" i="25"/>
  <c r="T87" i="25" s="1"/>
  <c r="U214" i="25"/>
  <c r="T214" i="25" s="1"/>
  <c r="U179" i="25"/>
  <c r="T179" i="25" s="1"/>
  <c r="U20" i="25"/>
  <c r="T20" i="25" s="1"/>
  <c r="U273" i="25"/>
  <c r="T273" i="25" s="1"/>
  <c r="U228" i="25"/>
  <c r="T228" i="25" s="1"/>
  <c r="U201" i="25"/>
  <c r="T201" i="25" s="1"/>
  <c r="U102" i="25"/>
  <c r="T102" i="25" s="1"/>
  <c r="U278" i="25"/>
  <c r="T278" i="25" s="1"/>
  <c r="U146" i="25"/>
  <c r="T146" i="25" s="1"/>
  <c r="U169" i="25"/>
  <c r="T169" i="25" s="1"/>
  <c r="U99" i="25"/>
  <c r="T99" i="25" s="1"/>
  <c r="S99" i="25" s="1"/>
  <c r="R99" i="25" s="1"/>
  <c r="P99" i="25" s="1"/>
  <c r="V99" i="25" s="1"/>
  <c r="B99" i="25" s="1"/>
  <c r="U324" i="25"/>
  <c r="T324" i="25" s="1"/>
  <c r="U347" i="25"/>
  <c r="T347" i="25" s="1"/>
  <c r="U289" i="25"/>
  <c r="T289" i="25" s="1"/>
  <c r="U121" i="25"/>
  <c r="T121" i="25" s="1"/>
  <c r="U45" i="25"/>
  <c r="T45" i="25" s="1"/>
  <c r="U355" i="25"/>
  <c r="T355" i="25" s="1"/>
  <c r="U294" i="25"/>
  <c r="T294" i="25" s="1"/>
  <c r="U223" i="25"/>
  <c r="T223" i="25" s="1"/>
  <c r="U232" i="25"/>
  <c r="T232" i="25" s="1"/>
  <c r="U374" i="25"/>
  <c r="T374" i="25" s="1"/>
  <c r="U72" i="25"/>
  <c r="T72" i="25" s="1"/>
  <c r="U357" i="25"/>
  <c r="T357" i="25" s="1"/>
  <c r="U257" i="25"/>
  <c r="T257" i="25" s="1"/>
  <c r="U344" i="25"/>
  <c r="T344" i="25" s="1"/>
  <c r="U323" i="25"/>
  <c r="T323" i="25" s="1"/>
  <c r="U269" i="25"/>
  <c r="T269" i="25" s="1"/>
  <c r="U155" i="25"/>
  <c r="T155" i="25" s="1"/>
  <c r="U143" i="25"/>
  <c r="T143" i="25" s="1"/>
  <c r="U90" i="25"/>
  <c r="T90" i="25" s="1"/>
  <c r="U97" i="25"/>
  <c r="T97" i="25" s="1"/>
  <c r="U250" i="25"/>
  <c r="T250" i="25" s="1"/>
  <c r="U148" i="25"/>
  <c r="T148" i="25" s="1"/>
  <c r="U284" i="25"/>
  <c r="T284" i="25" s="1"/>
  <c r="U58" i="25"/>
  <c r="T58" i="25" s="1"/>
  <c r="U211" i="25"/>
  <c r="T211" i="25" s="1"/>
  <c r="U153" i="25"/>
  <c r="T153" i="25" s="1"/>
  <c r="U239" i="25"/>
  <c r="T239" i="25" s="1"/>
  <c r="U28" i="25"/>
  <c r="T28" i="25" s="1"/>
  <c r="U342" i="25"/>
  <c r="T342" i="25" s="1"/>
  <c r="U51" i="25"/>
  <c r="T51" i="25" s="1"/>
  <c r="U266" i="25"/>
  <c r="T266" i="25" s="1"/>
  <c r="U36" i="25"/>
  <c r="T36" i="25" s="1"/>
  <c r="U356" i="25"/>
  <c r="T356" i="25" s="1"/>
  <c r="U76" i="25"/>
  <c r="T76" i="25" s="1"/>
  <c r="U227" i="25"/>
  <c r="T227" i="25" s="1"/>
  <c r="U43" i="25"/>
  <c r="T43" i="25" s="1"/>
  <c r="U32" i="25"/>
  <c r="T32" i="25" s="1"/>
  <c r="U41" i="25"/>
  <c r="T41" i="25" s="1"/>
  <c r="U231" i="25"/>
  <c r="T231" i="25" s="1"/>
  <c r="U195" i="25"/>
  <c r="T195" i="25" s="1"/>
  <c r="U219" i="25"/>
  <c r="T219" i="25" s="1"/>
  <c r="U50" i="25"/>
  <c r="T50" i="25" s="1"/>
  <c r="U244" i="25"/>
  <c r="T244" i="25" s="1"/>
  <c r="U280" i="25"/>
  <c r="T280" i="25" s="1"/>
  <c r="U119" i="25"/>
  <c r="T119" i="25" s="1"/>
  <c r="U59" i="25"/>
  <c r="T59" i="25" s="1"/>
  <c r="U98" i="25"/>
  <c r="T98" i="25" s="1"/>
  <c r="U185" i="25"/>
  <c r="T185" i="25" s="1"/>
  <c r="U114" i="25"/>
  <c r="T114" i="25" s="1"/>
  <c r="U277" i="25"/>
  <c r="T277" i="25" s="1"/>
  <c r="U362" i="25"/>
  <c r="T362" i="25" s="1"/>
  <c r="U305" i="25"/>
  <c r="T305" i="25" s="1"/>
  <c r="U260" i="25"/>
  <c r="T260" i="25" s="1"/>
  <c r="U296" i="25"/>
  <c r="T296" i="25" s="1"/>
  <c r="U371" i="25"/>
  <c r="T371" i="25" s="1"/>
  <c r="S371" i="25" s="1"/>
  <c r="R371" i="25" s="1"/>
  <c r="P371" i="25" s="1"/>
  <c r="V371" i="25" s="1"/>
  <c r="B371" i="25" s="1"/>
  <c r="U310" i="25"/>
  <c r="T310" i="25" s="1"/>
  <c r="U115" i="25"/>
  <c r="T115" i="25" s="1"/>
  <c r="S115" i="25" s="1"/>
  <c r="R115" i="25" s="1"/>
  <c r="P115" i="25" s="1"/>
  <c r="V115" i="25" s="1"/>
  <c r="B115" i="25" s="1"/>
  <c r="U267" i="25"/>
  <c r="T267" i="25" s="1"/>
  <c r="S267" i="25" s="1"/>
  <c r="R267" i="25" s="1"/>
  <c r="P267" i="25" s="1"/>
  <c r="V267" i="25" s="1"/>
  <c r="B267" i="25" s="1"/>
  <c r="U368" i="25"/>
  <c r="T368" i="25" s="1"/>
  <c r="U285" i="25"/>
  <c r="T285" i="25" s="1"/>
  <c r="U159" i="25"/>
  <c r="T159" i="25" s="1"/>
  <c r="U136" i="25"/>
  <c r="T136" i="25" s="1"/>
  <c r="U243" i="25"/>
  <c r="T243" i="25" s="1"/>
  <c r="U238" i="25"/>
  <c r="T238" i="25" s="1"/>
  <c r="U240" i="25"/>
  <c r="T240" i="25" s="1"/>
  <c r="U200" i="25"/>
  <c r="T200" i="25" s="1"/>
  <c r="U83" i="25"/>
  <c r="T83" i="25" s="1"/>
  <c r="U259" i="25"/>
  <c r="T259" i="25" s="1"/>
  <c r="U81" i="25"/>
  <c r="T81" i="25" s="1"/>
  <c r="U256" i="25"/>
  <c r="T256" i="25" s="1"/>
  <c r="U203" i="25"/>
  <c r="T203" i="25" s="1"/>
  <c r="U100" i="25"/>
  <c r="T100" i="25" s="1"/>
  <c r="U300" i="25"/>
  <c r="T300" i="25" s="1"/>
  <c r="U377" i="25"/>
  <c r="T377" i="25" s="1"/>
  <c r="U290" i="25"/>
  <c r="T290" i="25" s="1"/>
  <c r="U237" i="25"/>
  <c r="T237" i="25" s="1"/>
  <c r="U319" i="25"/>
  <c r="T319" i="25" s="1"/>
  <c r="U103" i="25"/>
  <c r="T103" i="25" s="1"/>
  <c r="U295" i="25"/>
  <c r="T295" i="25" s="1"/>
  <c r="U128" i="25"/>
  <c r="T128" i="25" s="1"/>
  <c r="U282" i="25"/>
  <c r="T282" i="25" s="1"/>
  <c r="U353" i="25"/>
  <c r="T353" i="25" s="1"/>
  <c r="S353" i="25" s="1"/>
  <c r="R353" i="25" s="1"/>
  <c r="P353" i="25" s="1"/>
  <c r="V353" i="25" s="1"/>
  <c r="U308" i="25"/>
  <c r="T308" i="25" s="1"/>
  <c r="U92" i="25"/>
  <c r="T92" i="25" s="1"/>
  <c r="S92" i="25" s="1"/>
  <c r="R92" i="25" s="1"/>
  <c r="P92" i="25" s="1"/>
  <c r="V92" i="25" s="1"/>
  <c r="B92" i="25" s="1"/>
  <c r="U180" i="25"/>
  <c r="T180" i="25" s="1"/>
  <c r="U120" i="25"/>
  <c r="T120" i="25" s="1"/>
  <c r="U271" i="25"/>
  <c r="T271" i="25" s="1"/>
  <c r="U118" i="25"/>
  <c r="T118" i="25" s="1"/>
  <c r="U181" i="25"/>
  <c r="T181" i="25" s="1"/>
  <c r="U340" i="25"/>
  <c r="T340" i="25" s="1"/>
  <c r="U298" i="25"/>
  <c r="T298" i="25" s="1"/>
  <c r="U369" i="25"/>
  <c r="T369" i="25" s="1"/>
  <c r="U197" i="25"/>
  <c r="T197" i="25" s="1"/>
  <c r="U352" i="25"/>
  <c r="T352" i="25" s="1"/>
  <c r="U116" i="25"/>
  <c r="T116" i="25" s="1"/>
  <c r="U286" i="25"/>
  <c r="T286" i="25" s="1"/>
  <c r="U164" i="25"/>
  <c r="T164" i="25" s="1"/>
  <c r="U313" i="25"/>
  <c r="T313" i="25" s="1"/>
  <c r="U312" i="25"/>
  <c r="T312" i="25" s="1"/>
  <c r="U262" i="25"/>
  <c r="T262" i="25" s="1"/>
  <c r="U187" i="25"/>
  <c r="T187" i="25" s="1"/>
  <c r="U156" i="25"/>
  <c r="T156" i="25" s="1"/>
  <c r="U178" i="25"/>
  <c r="T178" i="25" s="1"/>
  <c r="U140" i="25"/>
  <c r="T140" i="25" s="1"/>
  <c r="U49" i="25"/>
  <c r="T49" i="25" s="1"/>
  <c r="U171" i="25"/>
  <c r="T171" i="25" s="1"/>
  <c r="U154" i="25"/>
  <c r="T154" i="25" s="1"/>
  <c r="U329" i="25"/>
  <c r="T329" i="25" s="1"/>
  <c r="U141" i="25"/>
  <c r="T141" i="25" s="1"/>
  <c r="U309" i="25"/>
  <c r="T309" i="25" s="1"/>
  <c r="I372" i="24"/>
  <c r="I328" i="24"/>
  <c r="J376" i="24"/>
  <c r="I106" i="24"/>
  <c r="I111" i="24"/>
  <c r="I128" i="24"/>
  <c r="I159" i="24"/>
  <c r="J370" i="24"/>
  <c r="J129" i="24"/>
  <c r="J45" i="24"/>
  <c r="I138" i="24"/>
  <c r="J305" i="24"/>
  <c r="I144" i="24"/>
  <c r="J256" i="24"/>
  <c r="I90" i="24"/>
  <c r="I309" i="24"/>
  <c r="I310" i="24"/>
  <c r="I296" i="24"/>
  <c r="J176" i="24"/>
  <c r="I28" i="24"/>
  <c r="I71" i="24"/>
  <c r="J246" i="24"/>
  <c r="J362" i="24"/>
  <c r="I173" i="24"/>
  <c r="I320" i="24"/>
  <c r="I151" i="24"/>
  <c r="I281" i="24"/>
  <c r="I321" i="24"/>
  <c r="I41" i="24"/>
  <c r="J201" i="24"/>
  <c r="J36" i="24"/>
  <c r="I371" i="24"/>
  <c r="J286" i="24"/>
  <c r="J170" i="24"/>
  <c r="I218" i="24"/>
  <c r="I57" i="24"/>
  <c r="I314" i="24"/>
  <c r="J294" i="24"/>
  <c r="I303" i="24"/>
  <c r="I312" i="24"/>
  <c r="AL9" i="20"/>
  <c r="AM7" i="20"/>
  <c r="AK13" i="20"/>
  <c r="E41" i="19"/>
  <c r="E15" i="19"/>
  <c r="R18" i="24"/>
  <c r="S381" i="24"/>
  <c r="S383" i="24"/>
  <c r="S382" i="24"/>
  <c r="AJ11" i="22"/>
  <c r="V383" i="23"/>
  <c r="V381" i="23"/>
  <c r="V382" i="23"/>
  <c r="B68" i="19"/>
  <c r="N68" i="19" s="1"/>
  <c r="AL11" i="18"/>
  <c r="AJ3" i="18" s="1"/>
  <c r="O15" i="19" s="1"/>
  <c r="M15" i="19" s="1"/>
  <c r="AL6" i="18"/>
  <c r="AL12" i="18" s="1"/>
  <c r="AJ4" i="18" s="1"/>
  <c r="P15" i="19" s="1"/>
  <c r="Y381" i="18"/>
  <c r="AM6" i="18"/>
  <c r="AM12" i="18" s="1"/>
  <c r="Y382" i="18"/>
  <c r="Y383" i="18"/>
  <c r="X9" i="18"/>
  <c r="Z11" i="18" s="1"/>
  <c r="Z5" i="18" s="1"/>
  <c r="H15" i="19" s="1"/>
  <c r="AA381" i="20"/>
  <c r="AA382" i="20"/>
  <c r="Z15" i="20"/>
  <c r="AL10" i="20"/>
  <c r="AM8" i="20"/>
  <c r="AA9" i="20"/>
  <c r="AA383" i="20"/>
  <c r="G381" i="20"/>
  <c r="G383" i="20"/>
  <c r="G12" i="20" s="1"/>
  <c r="G382" i="20"/>
  <c r="F11" i="20"/>
  <c r="AB9" i="20"/>
  <c r="G16" i="19"/>
  <c r="J15" i="20"/>
  <c r="C15" i="6" s="1"/>
  <c r="C12" i="6" s="1"/>
  <c r="I15" i="20"/>
  <c r="B15" i="6" s="1"/>
  <c r="BA15" i="6" s="1"/>
  <c r="AK8" i="22"/>
  <c r="E383" i="22"/>
  <c r="AJ10" i="22"/>
  <c r="AJ12" i="22" s="1"/>
  <c r="E9" i="22"/>
  <c r="E11" i="22" s="1"/>
  <c r="E382" i="22"/>
  <c r="E381" i="22"/>
  <c r="F15" i="22"/>
  <c r="AF381" i="24"/>
  <c r="AF383" i="24"/>
  <c r="AD104" i="24"/>
  <c r="AF382" i="24"/>
  <c r="AM7" i="22"/>
  <c r="J302" i="24"/>
  <c r="I29" i="24"/>
  <c r="J272" i="24"/>
  <c r="I272" i="24"/>
  <c r="J105" i="24"/>
  <c r="I105" i="24"/>
  <c r="I258" i="24"/>
  <c r="J258" i="24"/>
  <c r="J135" i="24"/>
  <c r="I135" i="24"/>
  <c r="I119" i="24"/>
  <c r="I46" i="24"/>
  <c r="J46" i="24"/>
  <c r="I149" i="24"/>
  <c r="J149" i="24"/>
  <c r="J379" i="24"/>
  <c r="V15" i="24"/>
  <c r="B15" i="24" s="1"/>
  <c r="I363" i="24"/>
  <c r="J166" i="24"/>
  <c r="I166" i="24"/>
  <c r="I74" i="24"/>
  <c r="J74" i="24"/>
  <c r="J60" i="24"/>
  <c r="I60" i="24"/>
  <c r="J241" i="24"/>
  <c r="J288" i="24"/>
  <c r="I288" i="24"/>
  <c r="J210" i="24"/>
  <c r="I210" i="24"/>
  <c r="J349" i="24"/>
  <c r="I349" i="24"/>
  <c r="J319" i="24"/>
  <c r="I319" i="24"/>
  <c r="I227" i="24"/>
  <c r="J227" i="24"/>
  <c r="I88" i="24"/>
  <c r="J88" i="24"/>
  <c r="J333" i="24"/>
  <c r="I333" i="24"/>
  <c r="J51" i="24" l="1"/>
  <c r="I51" i="24"/>
  <c r="J313" i="24"/>
  <c r="I313" i="24"/>
  <c r="J89" i="24"/>
  <c r="I89" i="24"/>
  <c r="J68" i="24"/>
  <c r="I68" i="24"/>
  <c r="J87" i="24"/>
  <c r="I87" i="24"/>
  <c r="J213" i="24"/>
  <c r="I213" i="24"/>
  <c r="H180" i="24"/>
  <c r="I180" i="24" s="1"/>
  <c r="J226" i="24"/>
  <c r="J260" i="24"/>
  <c r="I374" i="24"/>
  <c r="J374" i="24"/>
  <c r="I123" i="24"/>
  <c r="J123" i="24"/>
  <c r="J237" i="24"/>
  <c r="I237" i="24"/>
  <c r="I158" i="24"/>
  <c r="J158" i="24"/>
  <c r="I255" i="24"/>
  <c r="J255" i="24"/>
  <c r="J130" i="24"/>
  <c r="I130" i="24"/>
  <c r="I187" i="24"/>
  <c r="J187" i="24"/>
  <c r="J318" i="24"/>
  <c r="I318" i="24"/>
  <c r="I292" i="24"/>
  <c r="J292" i="24"/>
  <c r="J20" i="24"/>
  <c r="I20" i="24"/>
  <c r="J38" i="24"/>
  <c r="I38" i="24"/>
  <c r="I56" i="24"/>
  <c r="J125" i="24"/>
  <c r="J185" i="24"/>
  <c r="I185" i="24"/>
  <c r="J108" i="24"/>
  <c r="I108" i="24"/>
  <c r="I244" i="24"/>
  <c r="J244" i="24"/>
  <c r="J120" i="24"/>
  <c r="I120" i="24"/>
  <c r="I63" i="24"/>
  <c r="J63" i="24"/>
  <c r="I251" i="24"/>
  <c r="J251" i="24"/>
  <c r="B108" i="25"/>
  <c r="W108" i="25" s="1"/>
  <c r="B236" i="25"/>
  <c r="W236" i="25" s="1"/>
  <c r="I366" i="24"/>
  <c r="J366" i="24"/>
  <c r="J232" i="24"/>
  <c r="I232" i="24"/>
  <c r="J103" i="24"/>
  <c r="I103" i="24"/>
  <c r="J165" i="24"/>
  <c r="I165" i="24"/>
  <c r="I155" i="24"/>
  <c r="J155" i="24"/>
  <c r="I266" i="24"/>
  <c r="J266" i="24"/>
  <c r="J49" i="24"/>
  <c r="I49" i="24"/>
  <c r="J58" i="24"/>
  <c r="I58" i="24"/>
  <c r="I80" i="24"/>
  <c r="J80" i="24"/>
  <c r="B353" i="25"/>
  <c r="W353" i="25" s="1"/>
  <c r="B288" i="25"/>
  <c r="D288" i="25" s="1"/>
  <c r="E288" i="25" s="1"/>
  <c r="F288" i="25" s="1"/>
  <c r="J347" i="24"/>
  <c r="I347" i="24"/>
  <c r="J112" i="24"/>
  <c r="I112" i="24"/>
  <c r="I136" i="24"/>
  <c r="J136" i="24"/>
  <c r="I299" i="24"/>
  <c r="J299" i="24"/>
  <c r="J21" i="24"/>
  <c r="I21" i="24"/>
  <c r="I345" i="24"/>
  <c r="J345" i="24"/>
  <c r="I153" i="24"/>
  <c r="J153" i="24"/>
  <c r="J43" i="24"/>
  <c r="I43" i="24"/>
  <c r="I146" i="24"/>
  <c r="J146" i="24"/>
  <c r="C13" i="6"/>
  <c r="B13" i="6"/>
  <c r="B11" i="6" s="1"/>
  <c r="B12" i="6"/>
  <c r="J40" i="19"/>
  <c r="G31" i="19"/>
  <c r="AJ5" i="23"/>
  <c r="AK5" i="23"/>
  <c r="F15" i="19"/>
  <c r="W63" i="25"/>
  <c r="D63" i="25"/>
  <c r="E63" i="25" s="1"/>
  <c r="F63" i="25" s="1"/>
  <c r="S141" i="25"/>
  <c r="R141" i="25" s="1"/>
  <c r="P141" i="25" s="1"/>
  <c r="V141" i="25" s="1"/>
  <c r="B141" i="25" s="1"/>
  <c r="S154" i="25"/>
  <c r="R154" i="25" s="1"/>
  <c r="P154" i="25" s="1"/>
  <c r="V154" i="25" s="1"/>
  <c r="B154" i="25" s="1"/>
  <c r="S49" i="25"/>
  <c r="R49" i="25" s="1"/>
  <c r="P49" i="25" s="1"/>
  <c r="V49" i="25" s="1"/>
  <c r="B49" i="25" s="1"/>
  <c r="S178" i="25"/>
  <c r="R178" i="25" s="1"/>
  <c r="P178" i="25" s="1"/>
  <c r="V178" i="25" s="1"/>
  <c r="B178" i="25" s="1"/>
  <c r="S187" i="25"/>
  <c r="R187" i="25" s="1"/>
  <c r="P187" i="25" s="1"/>
  <c r="V187" i="25" s="1"/>
  <c r="B187" i="25" s="1"/>
  <c r="S312" i="25"/>
  <c r="R312" i="25" s="1"/>
  <c r="P312" i="25" s="1"/>
  <c r="V312" i="25" s="1"/>
  <c r="B312" i="25" s="1"/>
  <c r="S164" i="25"/>
  <c r="R164" i="25" s="1"/>
  <c r="P164" i="25" s="1"/>
  <c r="V164" i="25" s="1"/>
  <c r="B164" i="25" s="1"/>
  <c r="S116" i="25"/>
  <c r="R116" i="25" s="1"/>
  <c r="P116" i="25" s="1"/>
  <c r="V116" i="25" s="1"/>
  <c r="B116" i="25" s="1"/>
  <c r="S197" i="25"/>
  <c r="R197" i="25" s="1"/>
  <c r="P197" i="25" s="1"/>
  <c r="V197" i="25" s="1"/>
  <c r="B197" i="25" s="1"/>
  <c r="S298" i="25"/>
  <c r="R298" i="25" s="1"/>
  <c r="P298" i="25" s="1"/>
  <c r="V298" i="25" s="1"/>
  <c r="B298" i="25" s="1"/>
  <c r="S181" i="25"/>
  <c r="R181" i="25" s="1"/>
  <c r="P181" i="25" s="1"/>
  <c r="V181" i="25" s="1"/>
  <c r="B181" i="25" s="1"/>
  <c r="S271" i="25"/>
  <c r="R271" i="25" s="1"/>
  <c r="P271" i="25" s="1"/>
  <c r="V271" i="25" s="1"/>
  <c r="B271" i="25" s="1"/>
  <c r="S180" i="25"/>
  <c r="R180" i="25" s="1"/>
  <c r="P180" i="25" s="1"/>
  <c r="S308" i="25"/>
  <c r="R308" i="25" s="1"/>
  <c r="P308" i="25" s="1"/>
  <c r="V308" i="25" s="1"/>
  <c r="B308" i="25" s="1"/>
  <c r="S282" i="25"/>
  <c r="R282" i="25" s="1"/>
  <c r="P282" i="25" s="1"/>
  <c r="V282" i="25" s="1"/>
  <c r="B282" i="25" s="1"/>
  <c r="S295" i="25"/>
  <c r="R295" i="25" s="1"/>
  <c r="P295" i="25" s="1"/>
  <c r="V295" i="25" s="1"/>
  <c r="B295" i="25" s="1"/>
  <c r="S319" i="25"/>
  <c r="R319" i="25" s="1"/>
  <c r="P319" i="25" s="1"/>
  <c r="V319" i="25" s="1"/>
  <c r="B319" i="25" s="1"/>
  <c r="S290" i="25"/>
  <c r="R290" i="25" s="1"/>
  <c r="P290" i="25" s="1"/>
  <c r="V290" i="25" s="1"/>
  <c r="B290" i="25" s="1"/>
  <c r="S300" i="25"/>
  <c r="R300" i="25" s="1"/>
  <c r="P300" i="25" s="1"/>
  <c r="V300" i="25" s="1"/>
  <c r="B300" i="25" s="1"/>
  <c r="S203" i="25"/>
  <c r="R203" i="25" s="1"/>
  <c r="P203" i="25" s="1"/>
  <c r="V203" i="25" s="1"/>
  <c r="B203" i="25" s="1"/>
  <c r="S81" i="25"/>
  <c r="R81" i="25" s="1"/>
  <c r="P81" i="25" s="1"/>
  <c r="V81" i="25" s="1"/>
  <c r="B81" i="25" s="1"/>
  <c r="S83" i="25"/>
  <c r="R83" i="25" s="1"/>
  <c r="P83" i="25" s="1"/>
  <c r="V83" i="25" s="1"/>
  <c r="B83" i="25" s="1"/>
  <c r="S240" i="25"/>
  <c r="R240" i="25" s="1"/>
  <c r="P240" i="25" s="1"/>
  <c r="V240" i="25" s="1"/>
  <c r="B240" i="25" s="1"/>
  <c r="S243" i="25"/>
  <c r="R243" i="25" s="1"/>
  <c r="P243" i="25" s="1"/>
  <c r="V243" i="25" s="1"/>
  <c r="B243" i="25" s="1"/>
  <c r="S159" i="25"/>
  <c r="R159" i="25" s="1"/>
  <c r="P159" i="25" s="1"/>
  <c r="V159" i="25" s="1"/>
  <c r="B159" i="25" s="1"/>
  <c r="S368" i="25"/>
  <c r="R368" i="25" s="1"/>
  <c r="P368" i="25" s="1"/>
  <c r="V368" i="25" s="1"/>
  <c r="B368" i="25" s="1"/>
  <c r="W115" i="25"/>
  <c r="D115" i="25"/>
  <c r="E115" i="25" s="1"/>
  <c r="F115" i="25" s="1"/>
  <c r="D371" i="25"/>
  <c r="E371" i="25" s="1"/>
  <c r="F371" i="25" s="1"/>
  <c r="W371" i="25"/>
  <c r="S260" i="25"/>
  <c r="R260" i="25" s="1"/>
  <c r="P260" i="25" s="1"/>
  <c r="V260" i="25" s="1"/>
  <c r="B260" i="25" s="1"/>
  <c r="S362" i="25"/>
  <c r="R362" i="25" s="1"/>
  <c r="P362" i="25" s="1"/>
  <c r="V362" i="25" s="1"/>
  <c r="B362" i="25" s="1"/>
  <c r="S114" i="25"/>
  <c r="R114" i="25" s="1"/>
  <c r="P114" i="25" s="1"/>
  <c r="V114" i="25" s="1"/>
  <c r="B114" i="25" s="1"/>
  <c r="S98" i="25"/>
  <c r="R98" i="25" s="1"/>
  <c r="P98" i="25" s="1"/>
  <c r="V98" i="25" s="1"/>
  <c r="B98" i="25" s="1"/>
  <c r="S119" i="25"/>
  <c r="R119" i="25" s="1"/>
  <c r="P119" i="25" s="1"/>
  <c r="S244" i="25"/>
  <c r="R244" i="25" s="1"/>
  <c r="P244" i="25" s="1"/>
  <c r="V244" i="25" s="1"/>
  <c r="B244" i="25" s="1"/>
  <c r="S219" i="25"/>
  <c r="R219" i="25" s="1"/>
  <c r="P219" i="25" s="1"/>
  <c r="V219" i="25" s="1"/>
  <c r="B219" i="25" s="1"/>
  <c r="S231" i="25"/>
  <c r="R231" i="25" s="1"/>
  <c r="P231" i="25" s="1"/>
  <c r="V231" i="25" s="1"/>
  <c r="B231" i="25" s="1"/>
  <c r="S32" i="25"/>
  <c r="R32" i="25" s="1"/>
  <c r="P32" i="25" s="1"/>
  <c r="V32" i="25" s="1"/>
  <c r="B32" i="25" s="1"/>
  <c r="S227" i="25"/>
  <c r="R227" i="25" s="1"/>
  <c r="P227" i="25" s="1"/>
  <c r="V227" i="25" s="1"/>
  <c r="B227" i="25" s="1"/>
  <c r="S356" i="25"/>
  <c r="R356" i="25" s="1"/>
  <c r="P356" i="25" s="1"/>
  <c r="V356" i="25" s="1"/>
  <c r="B356" i="25" s="1"/>
  <c r="S266" i="25"/>
  <c r="R266" i="25" s="1"/>
  <c r="P266" i="25" s="1"/>
  <c r="V266" i="25" s="1"/>
  <c r="B266" i="25" s="1"/>
  <c r="S342" i="25"/>
  <c r="R342" i="25" s="1"/>
  <c r="P342" i="25" s="1"/>
  <c r="V342" i="25" s="1"/>
  <c r="B342" i="25" s="1"/>
  <c r="S239" i="25"/>
  <c r="R239" i="25" s="1"/>
  <c r="P239" i="25" s="1"/>
  <c r="V239" i="25" s="1"/>
  <c r="B239" i="25" s="1"/>
  <c r="S211" i="25"/>
  <c r="R211" i="25" s="1"/>
  <c r="P211" i="25" s="1"/>
  <c r="V211" i="25" s="1"/>
  <c r="B211" i="25" s="1"/>
  <c r="S284" i="25"/>
  <c r="R284" i="25" s="1"/>
  <c r="P284" i="25" s="1"/>
  <c r="V284" i="25" s="1"/>
  <c r="B284" i="25" s="1"/>
  <c r="S250" i="25"/>
  <c r="R250" i="25" s="1"/>
  <c r="P250" i="25" s="1"/>
  <c r="V250" i="25" s="1"/>
  <c r="B250" i="25" s="1"/>
  <c r="S90" i="25"/>
  <c r="R90" i="25" s="1"/>
  <c r="P90" i="25" s="1"/>
  <c r="V90" i="25" s="1"/>
  <c r="B90" i="25" s="1"/>
  <c r="S155" i="25"/>
  <c r="R155" i="25" s="1"/>
  <c r="P155" i="25" s="1"/>
  <c r="V155" i="25" s="1"/>
  <c r="B155" i="25" s="1"/>
  <c r="S323" i="25"/>
  <c r="R323" i="25" s="1"/>
  <c r="P323" i="25" s="1"/>
  <c r="V323" i="25" s="1"/>
  <c r="B323" i="25" s="1"/>
  <c r="S257" i="25"/>
  <c r="R257" i="25" s="1"/>
  <c r="P257" i="25" s="1"/>
  <c r="V257" i="25" s="1"/>
  <c r="B257" i="25" s="1"/>
  <c r="S72" i="25"/>
  <c r="R72" i="25" s="1"/>
  <c r="P72" i="25" s="1"/>
  <c r="V72" i="25" s="1"/>
  <c r="B72" i="25" s="1"/>
  <c r="S232" i="25"/>
  <c r="R232" i="25" s="1"/>
  <c r="P232" i="25" s="1"/>
  <c r="V232" i="25" s="1"/>
  <c r="B232" i="25" s="1"/>
  <c r="S294" i="25"/>
  <c r="R294" i="25" s="1"/>
  <c r="P294" i="25" s="1"/>
  <c r="V294" i="25" s="1"/>
  <c r="B294" i="25" s="1"/>
  <c r="S45" i="25"/>
  <c r="R45" i="25" s="1"/>
  <c r="P45" i="25" s="1"/>
  <c r="V45" i="25" s="1"/>
  <c r="B45" i="25" s="1"/>
  <c r="S289" i="25"/>
  <c r="R289" i="25" s="1"/>
  <c r="P289" i="25" s="1"/>
  <c r="V289" i="25" s="1"/>
  <c r="B289" i="25" s="1"/>
  <c r="S324" i="25"/>
  <c r="R324" i="25" s="1"/>
  <c r="P324" i="25" s="1"/>
  <c r="V324" i="25" s="1"/>
  <c r="B324" i="25" s="1"/>
  <c r="S169" i="25"/>
  <c r="R169" i="25" s="1"/>
  <c r="P169" i="25" s="1"/>
  <c r="V169" i="25" s="1"/>
  <c r="B169" i="25" s="1"/>
  <c r="S278" i="25"/>
  <c r="R278" i="25" s="1"/>
  <c r="P278" i="25" s="1"/>
  <c r="V278" i="25" s="1"/>
  <c r="B278" i="25" s="1"/>
  <c r="S201" i="25"/>
  <c r="R201" i="25" s="1"/>
  <c r="P201" i="25" s="1"/>
  <c r="V201" i="25" s="1"/>
  <c r="B201" i="25" s="1"/>
  <c r="S273" i="25"/>
  <c r="R273" i="25" s="1"/>
  <c r="P273" i="25" s="1"/>
  <c r="V273" i="25" s="1"/>
  <c r="B273" i="25" s="1"/>
  <c r="S179" i="25"/>
  <c r="R179" i="25" s="1"/>
  <c r="P179" i="25" s="1"/>
  <c r="V179" i="25" s="1"/>
  <c r="B179" i="25" s="1"/>
  <c r="S87" i="25"/>
  <c r="R87" i="25" s="1"/>
  <c r="P87" i="25" s="1"/>
  <c r="V87" i="25" s="1"/>
  <c r="B87" i="25" s="1"/>
  <c r="S30" i="25"/>
  <c r="R30" i="25" s="1"/>
  <c r="P30" i="25" s="1"/>
  <c r="V30" i="25" s="1"/>
  <c r="B30" i="25" s="1"/>
  <c r="S261" i="25"/>
  <c r="R261" i="25" s="1"/>
  <c r="P261" i="25" s="1"/>
  <c r="V261" i="25" s="1"/>
  <c r="B261" i="25" s="1"/>
  <c r="S105" i="25"/>
  <c r="R105" i="25" s="1"/>
  <c r="P105" i="25" s="1"/>
  <c r="V105" i="25" s="1"/>
  <c r="B105" i="25" s="1"/>
  <c r="S336" i="25"/>
  <c r="R336" i="25" s="1"/>
  <c r="P336" i="25" s="1"/>
  <c r="V336" i="25" s="1"/>
  <c r="B336" i="25" s="1"/>
  <c r="S17" i="25"/>
  <c r="R17" i="25" s="1"/>
  <c r="P17" i="25" s="1"/>
  <c r="V17" i="25" s="1"/>
  <c r="B17" i="25" s="1"/>
  <c r="S361" i="25"/>
  <c r="R361" i="25" s="1"/>
  <c r="P361" i="25" s="1"/>
  <c r="V361" i="25" s="1"/>
  <c r="B361" i="25" s="1"/>
  <c r="S161" i="25"/>
  <c r="R161" i="25" s="1"/>
  <c r="P161" i="25" s="1"/>
  <c r="V161" i="25" s="1"/>
  <c r="B161" i="25" s="1"/>
  <c r="BF16" i="7"/>
  <c r="T379" i="25"/>
  <c r="S230" i="25"/>
  <c r="R230" i="25" s="1"/>
  <c r="P230" i="25" s="1"/>
  <c r="V230" i="25" s="1"/>
  <c r="B230" i="25" s="1"/>
  <c r="S345" i="25"/>
  <c r="R345" i="25" s="1"/>
  <c r="P345" i="25" s="1"/>
  <c r="V345" i="25" s="1"/>
  <c r="B345" i="25" s="1"/>
  <c r="S93" i="25"/>
  <c r="R93" i="25" s="1"/>
  <c r="P93" i="25" s="1"/>
  <c r="V93" i="25" s="1"/>
  <c r="B93" i="25" s="1"/>
  <c r="S22" i="25"/>
  <c r="R22" i="25" s="1"/>
  <c r="P22" i="25" s="1"/>
  <c r="V22" i="25" s="1"/>
  <c r="B22" i="25" s="1"/>
  <c r="S363" i="25"/>
  <c r="R363" i="25" s="1"/>
  <c r="P363" i="25" s="1"/>
  <c r="S343" i="25"/>
  <c r="R343" i="25" s="1"/>
  <c r="P343" i="25" s="1"/>
  <c r="V343" i="25" s="1"/>
  <c r="B343" i="25" s="1"/>
  <c r="S264" i="25"/>
  <c r="R264" i="25" s="1"/>
  <c r="P264" i="25" s="1"/>
  <c r="V264" i="25" s="1"/>
  <c r="B264" i="25" s="1"/>
  <c r="W208" i="25"/>
  <c r="D208" i="25"/>
  <c r="E208" i="25" s="1"/>
  <c r="F208" i="25" s="1"/>
  <c r="S373" i="25"/>
  <c r="R373" i="25" s="1"/>
  <c r="P373" i="25" s="1"/>
  <c r="V373" i="25" s="1"/>
  <c r="B373" i="25" s="1"/>
  <c r="S151" i="25"/>
  <c r="R151" i="25" s="1"/>
  <c r="P151" i="25" s="1"/>
  <c r="V151" i="25" s="1"/>
  <c r="B151" i="25" s="1"/>
  <c r="S327" i="25"/>
  <c r="R327" i="25" s="1"/>
  <c r="P327" i="25" s="1"/>
  <c r="V327" i="25" s="1"/>
  <c r="B327" i="25" s="1"/>
  <c r="S125" i="25"/>
  <c r="R125" i="25" s="1"/>
  <c r="P125" i="25" s="1"/>
  <c r="V125" i="25" s="1"/>
  <c r="B125" i="25" s="1"/>
  <c r="S320" i="25"/>
  <c r="R320" i="25" s="1"/>
  <c r="P320" i="25" s="1"/>
  <c r="V320" i="25" s="1"/>
  <c r="B320" i="25" s="1"/>
  <c r="S293" i="25"/>
  <c r="R293" i="25" s="1"/>
  <c r="P293" i="25" s="1"/>
  <c r="V293" i="25" s="1"/>
  <c r="B293" i="25" s="1"/>
  <c r="S134" i="25"/>
  <c r="R134" i="25" s="1"/>
  <c r="P134" i="25" s="1"/>
  <c r="V134" i="25" s="1"/>
  <c r="B134" i="25" s="1"/>
  <c r="S74" i="25"/>
  <c r="R74" i="25" s="1"/>
  <c r="P74" i="25" s="1"/>
  <c r="V74" i="25" s="1"/>
  <c r="B74" i="25" s="1"/>
  <c r="S170" i="25"/>
  <c r="R170" i="25" s="1"/>
  <c r="P170" i="25" s="1"/>
  <c r="V170" i="25" s="1"/>
  <c r="B170" i="25" s="1"/>
  <c r="S66" i="25"/>
  <c r="R66" i="25" s="1"/>
  <c r="P66" i="25" s="1"/>
  <c r="V66" i="25" s="1"/>
  <c r="B66" i="25" s="1"/>
  <c r="S145" i="25"/>
  <c r="R145" i="25" s="1"/>
  <c r="P145" i="25" s="1"/>
  <c r="V145" i="25" s="1"/>
  <c r="B145" i="25" s="1"/>
  <c r="S57" i="25"/>
  <c r="R57" i="25" s="1"/>
  <c r="P57" i="25" s="1"/>
  <c r="V57" i="25" s="1"/>
  <c r="B57" i="25" s="1"/>
  <c r="S131" i="25"/>
  <c r="R131" i="25" s="1"/>
  <c r="P131" i="25" s="1"/>
  <c r="V131" i="25" s="1"/>
  <c r="B131" i="25" s="1"/>
  <c r="S213" i="25"/>
  <c r="R213" i="25" s="1"/>
  <c r="P213" i="25" s="1"/>
  <c r="V213" i="25" s="1"/>
  <c r="B213" i="25" s="1"/>
  <c r="S142" i="25"/>
  <c r="R142" i="25" s="1"/>
  <c r="P142" i="25" s="1"/>
  <c r="V142" i="25" s="1"/>
  <c r="B142" i="25" s="1"/>
  <c r="S46" i="25"/>
  <c r="R46" i="25" s="1"/>
  <c r="P46" i="25" s="1"/>
  <c r="V46" i="25" s="1"/>
  <c r="B46" i="25" s="1"/>
  <c r="S297" i="25"/>
  <c r="R297" i="25" s="1"/>
  <c r="P297" i="25" s="1"/>
  <c r="V297" i="25" s="1"/>
  <c r="B297" i="25" s="1"/>
  <c r="S272" i="25"/>
  <c r="R272" i="25" s="1"/>
  <c r="P272" i="25" s="1"/>
  <c r="S335" i="25"/>
  <c r="R335" i="25" s="1"/>
  <c r="P335" i="25" s="1"/>
  <c r="V335" i="25" s="1"/>
  <c r="B335" i="25" s="1"/>
  <c r="S275" i="25"/>
  <c r="R275" i="25" s="1"/>
  <c r="P275" i="25" s="1"/>
  <c r="V275" i="25" s="1"/>
  <c r="B275" i="25" s="1"/>
  <c r="S38" i="25"/>
  <c r="R38" i="25" s="1"/>
  <c r="P38" i="25" s="1"/>
  <c r="V38" i="25" s="1"/>
  <c r="B38" i="25" s="1"/>
  <c r="S216" i="25"/>
  <c r="R216" i="25" s="1"/>
  <c r="P216" i="25" s="1"/>
  <c r="V216" i="25" s="1"/>
  <c r="B216" i="25" s="1"/>
  <c r="U383" i="25"/>
  <c r="U381" i="25"/>
  <c r="U382" i="25"/>
  <c r="T15" i="25"/>
  <c r="S318" i="25"/>
  <c r="R318" i="25" s="1"/>
  <c r="P318" i="25" s="1"/>
  <c r="V318" i="25" s="1"/>
  <c r="B318" i="25" s="1"/>
  <c r="S31" i="25"/>
  <c r="R31" i="25" s="1"/>
  <c r="P31" i="25" s="1"/>
  <c r="V31" i="25" s="1"/>
  <c r="B31" i="25" s="1"/>
  <c r="S152" i="25"/>
  <c r="R152" i="25" s="1"/>
  <c r="P152" i="25" s="1"/>
  <c r="V152" i="25" s="1"/>
  <c r="B152" i="25" s="1"/>
  <c r="S70" i="25"/>
  <c r="R70" i="25" s="1"/>
  <c r="P70" i="25" s="1"/>
  <c r="V70" i="25" s="1"/>
  <c r="B70" i="25" s="1"/>
  <c r="S268" i="25"/>
  <c r="R268" i="25" s="1"/>
  <c r="P268" i="25" s="1"/>
  <c r="V268" i="25" s="1"/>
  <c r="B268" i="25" s="1"/>
  <c r="S73" i="25"/>
  <c r="R73" i="25" s="1"/>
  <c r="P73" i="25" s="1"/>
  <c r="V73" i="25" s="1"/>
  <c r="B73" i="25" s="1"/>
  <c r="S218" i="25"/>
  <c r="R218" i="25" s="1"/>
  <c r="P218" i="25" s="1"/>
  <c r="V218" i="25" s="1"/>
  <c r="B218" i="25" s="1"/>
  <c r="S19" i="25"/>
  <c r="R19" i="25" s="1"/>
  <c r="P19" i="25" s="1"/>
  <c r="V19" i="25" s="1"/>
  <c r="B19" i="25" s="1"/>
  <c r="S61" i="25"/>
  <c r="R61" i="25" s="1"/>
  <c r="P61" i="25" s="1"/>
  <c r="V61" i="25" s="1"/>
  <c r="B61" i="25" s="1"/>
  <c r="S106" i="25"/>
  <c r="R106" i="25" s="1"/>
  <c r="P106" i="25" s="1"/>
  <c r="V106" i="25" s="1"/>
  <c r="B106" i="25" s="1"/>
  <c r="S112" i="25"/>
  <c r="R112" i="25" s="1"/>
  <c r="P112" i="25" s="1"/>
  <c r="V112" i="25" s="1"/>
  <c r="B112" i="25" s="1"/>
  <c r="D95" i="25"/>
  <c r="E95" i="25" s="1"/>
  <c r="F95" i="25" s="1"/>
  <c r="W95" i="25"/>
  <c r="S220" i="25"/>
  <c r="R220" i="25" s="1"/>
  <c r="P220" i="25" s="1"/>
  <c r="V220" i="25" s="1"/>
  <c r="B220" i="25" s="1"/>
  <c r="S233" i="25"/>
  <c r="R233" i="25" s="1"/>
  <c r="P233" i="25" s="1"/>
  <c r="V233" i="25" s="1"/>
  <c r="B233" i="25" s="1"/>
  <c r="S209" i="25"/>
  <c r="R209" i="25" s="1"/>
  <c r="P209" i="25" s="1"/>
  <c r="V209" i="25" s="1"/>
  <c r="B209" i="25" s="1"/>
  <c r="D34" i="25"/>
  <c r="E34" i="25" s="1"/>
  <c r="F34" i="25" s="1"/>
  <c r="W34" i="25"/>
  <c r="AH74" i="7"/>
  <c r="V210" i="25"/>
  <c r="B210" i="25" s="1"/>
  <c r="S332" i="25"/>
  <c r="R332" i="25" s="1"/>
  <c r="P332" i="25" s="1"/>
  <c r="V332" i="25" s="1"/>
  <c r="B332" i="25" s="1"/>
  <c r="S281" i="25"/>
  <c r="R281" i="25" s="1"/>
  <c r="P281" i="25" s="1"/>
  <c r="V281" i="25" s="1"/>
  <c r="B281" i="25" s="1"/>
  <c r="S321" i="25"/>
  <c r="R321" i="25" s="1"/>
  <c r="P321" i="25" s="1"/>
  <c r="V321" i="25" s="1"/>
  <c r="B321" i="25" s="1"/>
  <c r="S254" i="25"/>
  <c r="R254" i="25" s="1"/>
  <c r="P254" i="25" s="1"/>
  <c r="V254" i="25" s="1"/>
  <c r="B254" i="25" s="1"/>
  <c r="S193" i="25"/>
  <c r="R193" i="25" s="1"/>
  <c r="P193" i="25" s="1"/>
  <c r="V193" i="25" s="1"/>
  <c r="B193" i="25" s="1"/>
  <c r="S88" i="25"/>
  <c r="R88" i="25" s="1"/>
  <c r="P88" i="25" s="1"/>
  <c r="W265" i="25"/>
  <c r="D265" i="25"/>
  <c r="E265" i="25" s="1"/>
  <c r="F265" i="25" s="1"/>
  <c r="S68" i="25"/>
  <c r="R68" i="25" s="1"/>
  <c r="P68" i="25" s="1"/>
  <c r="V68" i="25" s="1"/>
  <c r="B68" i="25" s="1"/>
  <c r="S176" i="25"/>
  <c r="R176" i="25" s="1"/>
  <c r="P176" i="25" s="1"/>
  <c r="V176" i="25" s="1"/>
  <c r="B176" i="25" s="1"/>
  <c r="S307" i="25"/>
  <c r="R307" i="25" s="1"/>
  <c r="P307" i="25" s="1"/>
  <c r="V307" i="25" s="1"/>
  <c r="B307" i="25" s="1"/>
  <c r="S71" i="25"/>
  <c r="R71" i="25" s="1"/>
  <c r="P71" i="25" s="1"/>
  <c r="V71" i="25" s="1"/>
  <c r="B71" i="25" s="1"/>
  <c r="S55" i="25"/>
  <c r="R55" i="25" s="1"/>
  <c r="P55" i="25" s="1"/>
  <c r="V55" i="25" s="1"/>
  <c r="B55" i="25" s="1"/>
  <c r="S53" i="25"/>
  <c r="R53" i="25" s="1"/>
  <c r="P53" i="25" s="1"/>
  <c r="V53" i="25" s="1"/>
  <c r="B53" i="25" s="1"/>
  <c r="S27" i="25"/>
  <c r="R27" i="25" s="1"/>
  <c r="P27" i="25" s="1"/>
  <c r="V27" i="25" s="1"/>
  <c r="B27" i="25" s="1"/>
  <c r="S52" i="25"/>
  <c r="R52" i="25" s="1"/>
  <c r="P52" i="25" s="1"/>
  <c r="V52" i="25" s="1"/>
  <c r="B52" i="25" s="1"/>
  <c r="S182" i="25"/>
  <c r="R182" i="25" s="1"/>
  <c r="P182" i="25" s="1"/>
  <c r="V182" i="25" s="1"/>
  <c r="B182" i="25" s="1"/>
  <c r="S198" i="25"/>
  <c r="R198" i="25" s="1"/>
  <c r="P198" i="25" s="1"/>
  <c r="V198" i="25" s="1"/>
  <c r="B198" i="25" s="1"/>
  <c r="S188" i="25"/>
  <c r="R188" i="25" s="1"/>
  <c r="P188" i="25" s="1"/>
  <c r="V188" i="25" s="1"/>
  <c r="B188" i="25" s="1"/>
  <c r="S79" i="25"/>
  <c r="R79" i="25" s="1"/>
  <c r="P79" i="25" s="1"/>
  <c r="V79" i="25" s="1"/>
  <c r="B79" i="25" s="1"/>
  <c r="S204" i="25"/>
  <c r="R204" i="25" s="1"/>
  <c r="P204" i="25" s="1"/>
  <c r="V204" i="25" s="1"/>
  <c r="B204" i="25" s="1"/>
  <c r="S42" i="25"/>
  <c r="R42" i="25" s="1"/>
  <c r="P42" i="25" s="1"/>
  <c r="V42" i="25" s="1"/>
  <c r="B42" i="25" s="1"/>
  <c r="S194" i="25"/>
  <c r="R194" i="25" s="1"/>
  <c r="P194" i="25" s="1"/>
  <c r="V194" i="25" s="1"/>
  <c r="B194" i="25" s="1"/>
  <c r="S18" i="25"/>
  <c r="R18" i="25" s="1"/>
  <c r="P18" i="25" s="1"/>
  <c r="V18" i="25" s="1"/>
  <c r="S65" i="25"/>
  <c r="R65" i="25" s="1"/>
  <c r="P65" i="25" s="1"/>
  <c r="V65" i="25" s="1"/>
  <c r="B65" i="25" s="1"/>
  <c r="S317" i="25"/>
  <c r="R317" i="25" s="1"/>
  <c r="P317" i="25" s="1"/>
  <c r="V317" i="25" s="1"/>
  <c r="B317" i="25" s="1"/>
  <c r="S37" i="25"/>
  <c r="R37" i="25" s="1"/>
  <c r="P37" i="25" s="1"/>
  <c r="V37" i="25" s="1"/>
  <c r="B37" i="25" s="1"/>
  <c r="S304" i="25"/>
  <c r="R304" i="25" s="1"/>
  <c r="P304" i="25" s="1"/>
  <c r="V304" i="25" s="1"/>
  <c r="B304" i="25" s="1"/>
  <c r="S302" i="25"/>
  <c r="R302" i="25" s="1"/>
  <c r="P302" i="25" s="1"/>
  <c r="S177" i="25"/>
  <c r="R177" i="25" s="1"/>
  <c r="P177" i="25" s="1"/>
  <c r="V177" i="25" s="1"/>
  <c r="B177" i="25" s="1"/>
  <c r="S39" i="25"/>
  <c r="R39" i="25" s="1"/>
  <c r="P39" i="25" s="1"/>
  <c r="V39" i="25" s="1"/>
  <c r="B39" i="25" s="1"/>
  <c r="S82" i="25"/>
  <c r="R82" i="25" s="1"/>
  <c r="P82" i="25" s="1"/>
  <c r="V82" i="25" s="1"/>
  <c r="B82" i="25" s="1"/>
  <c r="S292" i="25"/>
  <c r="R292" i="25" s="1"/>
  <c r="P292" i="25" s="1"/>
  <c r="V292" i="25" s="1"/>
  <c r="B292" i="25" s="1"/>
  <c r="S279" i="25"/>
  <c r="R279" i="25" s="1"/>
  <c r="P279" i="25" s="1"/>
  <c r="V279" i="25" s="1"/>
  <c r="B279" i="25" s="1"/>
  <c r="S274" i="25"/>
  <c r="R274" i="25" s="1"/>
  <c r="P274" i="25" s="1"/>
  <c r="V274" i="25" s="1"/>
  <c r="B274" i="25" s="1"/>
  <c r="S69" i="25"/>
  <c r="R69" i="25" s="1"/>
  <c r="P69" i="25" s="1"/>
  <c r="V69" i="25" s="1"/>
  <c r="B69" i="25" s="1"/>
  <c r="D186" i="25"/>
  <c r="E186" i="25" s="1"/>
  <c r="F186" i="25" s="1"/>
  <c r="W186" i="25"/>
  <c r="D25" i="25"/>
  <c r="E25" i="25" s="1"/>
  <c r="F25" i="25" s="1"/>
  <c r="W25" i="25"/>
  <c r="S229" i="25"/>
  <c r="R229" i="25" s="1"/>
  <c r="P229" i="25" s="1"/>
  <c r="V229" i="25" s="1"/>
  <c r="B229" i="25" s="1"/>
  <c r="S26" i="25"/>
  <c r="R26" i="25" s="1"/>
  <c r="P26" i="25" s="1"/>
  <c r="V26" i="25" s="1"/>
  <c r="B26" i="25" s="1"/>
  <c r="S137" i="25"/>
  <c r="R137" i="25" s="1"/>
  <c r="P137" i="25" s="1"/>
  <c r="V137" i="25" s="1"/>
  <c r="B137" i="25" s="1"/>
  <c r="S109" i="25"/>
  <c r="R109" i="25" s="1"/>
  <c r="P109" i="25" s="1"/>
  <c r="V109" i="25" s="1"/>
  <c r="B109" i="25" s="1"/>
  <c r="W133" i="25"/>
  <c r="D133" i="25"/>
  <c r="E133" i="25" s="1"/>
  <c r="F133" i="25" s="1"/>
  <c r="S212" i="25"/>
  <c r="R212" i="25" s="1"/>
  <c r="P212" i="25" s="1"/>
  <c r="V212" i="25" s="1"/>
  <c r="B212" i="25" s="1"/>
  <c r="S126" i="25"/>
  <c r="R126" i="25" s="1"/>
  <c r="P126" i="25" s="1"/>
  <c r="V126" i="25" s="1"/>
  <c r="B126" i="25" s="1"/>
  <c r="S253" i="25"/>
  <c r="R253" i="25" s="1"/>
  <c r="P253" i="25" s="1"/>
  <c r="V253" i="25" s="1"/>
  <c r="B253" i="25" s="1"/>
  <c r="S328" i="25"/>
  <c r="R328" i="25" s="1"/>
  <c r="P328" i="25" s="1"/>
  <c r="V328" i="25" s="1"/>
  <c r="B328" i="25" s="1"/>
  <c r="S117" i="25"/>
  <c r="R117" i="25" s="1"/>
  <c r="P117" i="25" s="1"/>
  <c r="V117" i="25" s="1"/>
  <c r="B117" i="25" s="1"/>
  <c r="S366" i="25"/>
  <c r="R366" i="25" s="1"/>
  <c r="P366" i="25" s="1"/>
  <c r="V366" i="25" s="1"/>
  <c r="B366" i="25" s="1"/>
  <c r="W110" i="25"/>
  <c r="D110" i="25"/>
  <c r="E110" i="25" s="1"/>
  <c r="F110" i="25" s="1"/>
  <c r="S365" i="25"/>
  <c r="R365" i="25" s="1"/>
  <c r="P365" i="25" s="1"/>
  <c r="V365" i="25" s="1"/>
  <c r="B365" i="25" s="1"/>
  <c r="S249" i="25"/>
  <c r="R249" i="25" s="1"/>
  <c r="P249" i="25" s="1"/>
  <c r="V249" i="25" s="1"/>
  <c r="B249" i="25" s="1"/>
  <c r="S225" i="25"/>
  <c r="R225" i="25" s="1"/>
  <c r="P225" i="25" s="1"/>
  <c r="V225" i="25" s="1"/>
  <c r="B225" i="25" s="1"/>
  <c r="S350" i="25"/>
  <c r="R350" i="25" s="1"/>
  <c r="P350" i="25" s="1"/>
  <c r="V350" i="25" s="1"/>
  <c r="B350" i="25" s="1"/>
  <c r="S226" i="25"/>
  <c r="R226" i="25" s="1"/>
  <c r="P226" i="25" s="1"/>
  <c r="V226" i="25" s="1"/>
  <c r="B226" i="25" s="1"/>
  <c r="S348" i="25"/>
  <c r="R348" i="25" s="1"/>
  <c r="P348" i="25" s="1"/>
  <c r="V348" i="25" s="1"/>
  <c r="B348" i="25" s="1"/>
  <c r="S101" i="25"/>
  <c r="R101" i="25" s="1"/>
  <c r="P101" i="25" s="1"/>
  <c r="V101" i="25" s="1"/>
  <c r="B101" i="25" s="1"/>
  <c r="S337" i="25"/>
  <c r="R337" i="25" s="1"/>
  <c r="P337" i="25" s="1"/>
  <c r="V337" i="25" s="1"/>
  <c r="B337" i="25" s="1"/>
  <c r="S270" i="25"/>
  <c r="R270" i="25" s="1"/>
  <c r="P270" i="25" s="1"/>
  <c r="V270" i="25" s="1"/>
  <c r="B270" i="25" s="1"/>
  <c r="AG292" i="25"/>
  <c r="AF292" i="25" s="1"/>
  <c r="AD292" i="25" s="1"/>
  <c r="AG308" i="25"/>
  <c r="AF308" i="25" s="1"/>
  <c r="AD308" i="25" s="1"/>
  <c r="AG173" i="25"/>
  <c r="AF173" i="25" s="1"/>
  <c r="AD173" i="25" s="1"/>
  <c r="AG353" i="25"/>
  <c r="AF353" i="25" s="1"/>
  <c r="AD353" i="25" s="1"/>
  <c r="AG236" i="25"/>
  <c r="AF236" i="25" s="1"/>
  <c r="AD236" i="25" s="1"/>
  <c r="AG194" i="25"/>
  <c r="AF194" i="25" s="1"/>
  <c r="AD194" i="25" s="1"/>
  <c r="AG192" i="25"/>
  <c r="AF192" i="25" s="1"/>
  <c r="AD192" i="25" s="1"/>
  <c r="AG57" i="25"/>
  <c r="AF57" i="25" s="1"/>
  <c r="AD57" i="25" s="1"/>
  <c r="AG32" i="25"/>
  <c r="AF32" i="25" s="1"/>
  <c r="AD32" i="25" s="1"/>
  <c r="AG361" i="25"/>
  <c r="AF361" i="25" s="1"/>
  <c r="AD361" i="25" s="1"/>
  <c r="AG178" i="25"/>
  <c r="AF178" i="25" s="1"/>
  <c r="AD178" i="25" s="1"/>
  <c r="AG109" i="25"/>
  <c r="AF109" i="25" s="1"/>
  <c r="AD109" i="25" s="1"/>
  <c r="AG53" i="25"/>
  <c r="AF53" i="25" s="1"/>
  <c r="AD53" i="25" s="1"/>
  <c r="AG364" i="25"/>
  <c r="AF364" i="25" s="1"/>
  <c r="AD364" i="25" s="1"/>
  <c r="AG29" i="25"/>
  <c r="AF29" i="25" s="1"/>
  <c r="AD29" i="25" s="1"/>
  <c r="AG234" i="25"/>
  <c r="AF234" i="25" s="1"/>
  <c r="AD234" i="25" s="1"/>
  <c r="AG56" i="25"/>
  <c r="AF56" i="25" s="1"/>
  <c r="AD56" i="25" s="1"/>
  <c r="AG272" i="25"/>
  <c r="AF272" i="25" s="1"/>
  <c r="AD272" i="25" s="1"/>
  <c r="AG285" i="25"/>
  <c r="AF285" i="25" s="1"/>
  <c r="AD285" i="25" s="1"/>
  <c r="AG256" i="25"/>
  <c r="AF256" i="25" s="1"/>
  <c r="AD256" i="25" s="1"/>
  <c r="AG227" i="25"/>
  <c r="AF227" i="25" s="1"/>
  <c r="AD227" i="25" s="1"/>
  <c r="AG106" i="25"/>
  <c r="AF106" i="25" s="1"/>
  <c r="AD106" i="25" s="1"/>
  <c r="AG68" i="25"/>
  <c r="AF68" i="25" s="1"/>
  <c r="AD68" i="25" s="1"/>
  <c r="AG279" i="25"/>
  <c r="AF279" i="25" s="1"/>
  <c r="AD279" i="25" s="1"/>
  <c r="AG141" i="25"/>
  <c r="AF141" i="25" s="1"/>
  <c r="AD141" i="25" s="1"/>
  <c r="AG223" i="25"/>
  <c r="AF223" i="25" s="1"/>
  <c r="AD223" i="25" s="1"/>
  <c r="AG197" i="25"/>
  <c r="AF197" i="25" s="1"/>
  <c r="AD197" i="25" s="1"/>
  <c r="AG325" i="25"/>
  <c r="AF325" i="25" s="1"/>
  <c r="AD325" i="25" s="1"/>
  <c r="AG198" i="25"/>
  <c r="AF198" i="25" s="1"/>
  <c r="AD198" i="25" s="1"/>
  <c r="AG213" i="25"/>
  <c r="AF213" i="25" s="1"/>
  <c r="AD213" i="25" s="1"/>
  <c r="AG132" i="25"/>
  <c r="AF132" i="25" s="1"/>
  <c r="AD132" i="25" s="1"/>
  <c r="AG37" i="25"/>
  <c r="AF37" i="25" s="1"/>
  <c r="AD37" i="25" s="1"/>
  <c r="AG19" i="25"/>
  <c r="AF19" i="25" s="1"/>
  <c r="AD19" i="25" s="1"/>
  <c r="AG347" i="25"/>
  <c r="AF347" i="25" s="1"/>
  <c r="AD347" i="25" s="1"/>
  <c r="AG209" i="25"/>
  <c r="AF209" i="25" s="1"/>
  <c r="AD209" i="25" s="1"/>
  <c r="AG87" i="25"/>
  <c r="AF87" i="25" s="1"/>
  <c r="AD87" i="25" s="1"/>
  <c r="AG21" i="25"/>
  <c r="AF21" i="25" s="1"/>
  <c r="AD21" i="25" s="1"/>
  <c r="AG376" i="25"/>
  <c r="AF376" i="25" s="1"/>
  <c r="AD376" i="25" s="1"/>
  <c r="AG271" i="25"/>
  <c r="AF271" i="25" s="1"/>
  <c r="AD271" i="25" s="1"/>
  <c r="AG65" i="25"/>
  <c r="AF65" i="25" s="1"/>
  <c r="AD65" i="25" s="1"/>
  <c r="AG309" i="25"/>
  <c r="AF309" i="25" s="1"/>
  <c r="AD309" i="25" s="1"/>
  <c r="AG352" i="25"/>
  <c r="AF352" i="25" s="1"/>
  <c r="AD352" i="25" s="1"/>
  <c r="AG240" i="25"/>
  <c r="AF240" i="25" s="1"/>
  <c r="AD240" i="25" s="1"/>
  <c r="AG264" i="25"/>
  <c r="AF264" i="25" s="1"/>
  <c r="AD264" i="25" s="1"/>
  <c r="AG201" i="25"/>
  <c r="AF201" i="25" s="1"/>
  <c r="AD201" i="25" s="1"/>
  <c r="AG60" i="25"/>
  <c r="AF60" i="25" s="1"/>
  <c r="AD60" i="25" s="1"/>
  <c r="AG283" i="25"/>
  <c r="AF283" i="25" s="1"/>
  <c r="AD283" i="25" s="1"/>
  <c r="AG235" i="25"/>
  <c r="AF235" i="25" s="1"/>
  <c r="AD235" i="25" s="1"/>
  <c r="AG260" i="25"/>
  <c r="AF260" i="25" s="1"/>
  <c r="AD260" i="25" s="1"/>
  <c r="AG123" i="25"/>
  <c r="AF123" i="25" s="1"/>
  <c r="AD123" i="25" s="1"/>
  <c r="AG286" i="25"/>
  <c r="AF286" i="25" s="1"/>
  <c r="AD286" i="25" s="1"/>
  <c r="AG126" i="25"/>
  <c r="AF126" i="25" s="1"/>
  <c r="AD126" i="25" s="1"/>
  <c r="AG188" i="25"/>
  <c r="AF188" i="25" s="1"/>
  <c r="AD188" i="25" s="1"/>
  <c r="AG107" i="25"/>
  <c r="AF107" i="25" s="1"/>
  <c r="AD107" i="25" s="1"/>
  <c r="AG101" i="25"/>
  <c r="AF101" i="25" s="1"/>
  <c r="AD101" i="25" s="1"/>
  <c r="AG339" i="25"/>
  <c r="AF339" i="25" s="1"/>
  <c r="AD339" i="25" s="1"/>
  <c r="AG265" i="25"/>
  <c r="AF265" i="25" s="1"/>
  <c r="AD265" i="25" s="1"/>
  <c r="AG181" i="25"/>
  <c r="AF181" i="25" s="1"/>
  <c r="AD181" i="25" s="1"/>
  <c r="AG49" i="25"/>
  <c r="AF49" i="25" s="1"/>
  <c r="AD49" i="25" s="1"/>
  <c r="AG83" i="25"/>
  <c r="AF83" i="25" s="1"/>
  <c r="AD83" i="25" s="1"/>
  <c r="AG330" i="25"/>
  <c r="AF330" i="25" s="1"/>
  <c r="AD330" i="25" s="1"/>
  <c r="AG115" i="25"/>
  <c r="AF115" i="25" s="1"/>
  <c r="AD115" i="25" s="1"/>
  <c r="AG33" i="25"/>
  <c r="AF33" i="25" s="1"/>
  <c r="AD33" i="25" s="1"/>
  <c r="AG269" i="25"/>
  <c r="AF269" i="25" s="1"/>
  <c r="AD269" i="25" s="1"/>
  <c r="AG334" i="25"/>
  <c r="AF334" i="25" s="1"/>
  <c r="AD334" i="25" s="1"/>
  <c r="AG217" i="25"/>
  <c r="AF217" i="25" s="1"/>
  <c r="AD217" i="25" s="1"/>
  <c r="AG160" i="25"/>
  <c r="AF160" i="25" s="1"/>
  <c r="AD160" i="25" s="1"/>
  <c r="AG163" i="25"/>
  <c r="AF163" i="25" s="1"/>
  <c r="AD163" i="25" s="1"/>
  <c r="AG26" i="25"/>
  <c r="AF26" i="25" s="1"/>
  <c r="AD26" i="25" s="1"/>
  <c r="AG258" i="25"/>
  <c r="AF258" i="25" s="1"/>
  <c r="AD258" i="25" s="1"/>
  <c r="AG211" i="25"/>
  <c r="AF211" i="25" s="1"/>
  <c r="AD211" i="25" s="1"/>
  <c r="AG150" i="25"/>
  <c r="AF150" i="25" s="1"/>
  <c r="AD150" i="25" s="1"/>
  <c r="AG70" i="25"/>
  <c r="AF70" i="25" s="1"/>
  <c r="AD70" i="25" s="1"/>
  <c r="AG246" i="25"/>
  <c r="AF246" i="25" s="1"/>
  <c r="AD246" i="25" s="1"/>
  <c r="AG105" i="25"/>
  <c r="AF105" i="25" s="1"/>
  <c r="AD105" i="25" s="1"/>
  <c r="AG149" i="25"/>
  <c r="AF149" i="25" s="1"/>
  <c r="AD149" i="25" s="1"/>
  <c r="AG46" i="25"/>
  <c r="AF46" i="25" s="1"/>
  <c r="AD46" i="25" s="1"/>
  <c r="AG66" i="25"/>
  <c r="AF66" i="25" s="1"/>
  <c r="AD66" i="25" s="1"/>
  <c r="AG310" i="25"/>
  <c r="AF310" i="25" s="1"/>
  <c r="AD310" i="25" s="1"/>
  <c r="AG229" i="25"/>
  <c r="AF229" i="25" s="1"/>
  <c r="AD229" i="25" s="1"/>
  <c r="AG145" i="25"/>
  <c r="AF145" i="25" s="1"/>
  <c r="AD145" i="25" s="1"/>
  <c r="AG28" i="25"/>
  <c r="AF28" i="25" s="1"/>
  <c r="AD28" i="25" s="1"/>
  <c r="AG44" i="25"/>
  <c r="AF44" i="25" s="1"/>
  <c r="AD44" i="25" s="1"/>
  <c r="AG306" i="25"/>
  <c r="AF306" i="25" s="1"/>
  <c r="AD306" i="25" s="1"/>
  <c r="AG94" i="25"/>
  <c r="AF94" i="25" s="1"/>
  <c r="AD94" i="25" s="1"/>
  <c r="AG351" i="25"/>
  <c r="AF351" i="25" s="1"/>
  <c r="AD351" i="25" s="1"/>
  <c r="AG324" i="25"/>
  <c r="AF324" i="25" s="1"/>
  <c r="AD324" i="25" s="1"/>
  <c r="AG290" i="25"/>
  <c r="AF290" i="25" s="1"/>
  <c r="AD290" i="25" s="1"/>
  <c r="AG190" i="25"/>
  <c r="AF190" i="25" s="1"/>
  <c r="AD190" i="25" s="1"/>
  <c r="AG131" i="25"/>
  <c r="AF131" i="25" s="1"/>
  <c r="AD131" i="25" s="1"/>
  <c r="AG110" i="25"/>
  <c r="AF110" i="25" s="1"/>
  <c r="AD110" i="25" s="1"/>
  <c r="AG315" i="25"/>
  <c r="AF315" i="25" s="1"/>
  <c r="AD315" i="25" s="1"/>
  <c r="AG183" i="25"/>
  <c r="AF183" i="25" s="1"/>
  <c r="AD183" i="25" s="1"/>
  <c r="AG186" i="25"/>
  <c r="AF186" i="25" s="1"/>
  <c r="AD186" i="25" s="1"/>
  <c r="AG127" i="25"/>
  <c r="AF127" i="25" s="1"/>
  <c r="AD127" i="25" s="1"/>
  <c r="AG35" i="25"/>
  <c r="AF35" i="25" s="1"/>
  <c r="AD35" i="25" s="1"/>
  <c r="AG205" i="25"/>
  <c r="AF205" i="25" s="1"/>
  <c r="AD205" i="25" s="1"/>
  <c r="AG78" i="25"/>
  <c r="AF78" i="25" s="1"/>
  <c r="AD78" i="25" s="1"/>
  <c r="AG82" i="25"/>
  <c r="AF82" i="25" s="1"/>
  <c r="AD82" i="25" s="1"/>
  <c r="AG370" i="25"/>
  <c r="AF370" i="25" s="1"/>
  <c r="AD370" i="25" s="1"/>
  <c r="AG17" i="25"/>
  <c r="AF17" i="25" s="1"/>
  <c r="AD17" i="25" s="1"/>
  <c r="AG307" i="25"/>
  <c r="AF307" i="25" s="1"/>
  <c r="AD307" i="25" s="1"/>
  <c r="AG172" i="25"/>
  <c r="AF172" i="25" s="1"/>
  <c r="AD172" i="25" s="1"/>
  <c r="AG76" i="25"/>
  <c r="AF76" i="25" s="1"/>
  <c r="AD76" i="25" s="1"/>
  <c r="AG362" i="25"/>
  <c r="AF362" i="25" s="1"/>
  <c r="AD362" i="25" s="1"/>
  <c r="AG195" i="25"/>
  <c r="AF195" i="25" s="1"/>
  <c r="AD195" i="25" s="1"/>
  <c r="AG30" i="25"/>
  <c r="AF30" i="25" s="1"/>
  <c r="AD30" i="25" s="1"/>
  <c r="AG247" i="25"/>
  <c r="AF247" i="25" s="1"/>
  <c r="AD247" i="25" s="1"/>
  <c r="AG274" i="25"/>
  <c r="AF274" i="25" s="1"/>
  <c r="AD274" i="25" s="1"/>
  <c r="AG226" i="25"/>
  <c r="AF226" i="25" s="1"/>
  <c r="AD226" i="25" s="1"/>
  <c r="AG182" i="25"/>
  <c r="AF182" i="25" s="1"/>
  <c r="AD182" i="25" s="1"/>
  <c r="AG99" i="25"/>
  <c r="AF99" i="25" s="1"/>
  <c r="AD99" i="25" s="1"/>
  <c r="AG375" i="25"/>
  <c r="AF375" i="25" s="1"/>
  <c r="AD375" i="25" s="1"/>
  <c r="AG267" i="25"/>
  <c r="AF267" i="25" s="1"/>
  <c r="AD267" i="25" s="1"/>
  <c r="AG179" i="25"/>
  <c r="AF179" i="25" s="1"/>
  <c r="AD179" i="25" s="1"/>
  <c r="AG175" i="25"/>
  <c r="AF175" i="25" s="1"/>
  <c r="AD175" i="25" s="1"/>
  <c r="AG81" i="25"/>
  <c r="AF81" i="25" s="1"/>
  <c r="AD81" i="25" s="1"/>
  <c r="AG239" i="25"/>
  <c r="AF239" i="25" s="1"/>
  <c r="AD239" i="25" s="1"/>
  <c r="AG117" i="25"/>
  <c r="AF117" i="25" s="1"/>
  <c r="AD117" i="25" s="1"/>
  <c r="AG20" i="25"/>
  <c r="AF20" i="25" s="1"/>
  <c r="AD20" i="25" s="1"/>
  <c r="AG59" i="25"/>
  <c r="AF59" i="25" s="1"/>
  <c r="AD59" i="25" s="1"/>
  <c r="AG321" i="25"/>
  <c r="AF321" i="25" s="1"/>
  <c r="AD321" i="25" s="1"/>
  <c r="AG288" i="25"/>
  <c r="AF288" i="25" s="1"/>
  <c r="AD288" i="25" s="1"/>
  <c r="AG259" i="25"/>
  <c r="AF259" i="25" s="1"/>
  <c r="AD259" i="25" s="1"/>
  <c r="AG158" i="25"/>
  <c r="AF158" i="25" s="1"/>
  <c r="AD158" i="25" s="1"/>
  <c r="AG360" i="25"/>
  <c r="AF360" i="25" s="1"/>
  <c r="AD360" i="25" s="1"/>
  <c r="AG303" i="25"/>
  <c r="AF303" i="25" s="1"/>
  <c r="AD303" i="25" s="1"/>
  <c r="AG284" i="25"/>
  <c r="AF284" i="25" s="1"/>
  <c r="AD284" i="25" s="1"/>
  <c r="AG152" i="25"/>
  <c r="AF152" i="25" s="1"/>
  <c r="AD152" i="25" s="1"/>
  <c r="AG337" i="25"/>
  <c r="AF337" i="25" s="1"/>
  <c r="AD337" i="25" s="1"/>
  <c r="AG224" i="25"/>
  <c r="AF224" i="25" s="1"/>
  <c r="AD224" i="25" s="1"/>
  <c r="AG237" i="25"/>
  <c r="AF237" i="25" s="1"/>
  <c r="AD237" i="25" s="1"/>
  <c r="AG180" i="25"/>
  <c r="AF180" i="25" s="1"/>
  <c r="AD180" i="25" s="1"/>
  <c r="AG140" i="25"/>
  <c r="AF140" i="25" s="1"/>
  <c r="AD140" i="25" s="1"/>
  <c r="AG64" i="25"/>
  <c r="AF64" i="25" s="1"/>
  <c r="AD64" i="25" s="1"/>
  <c r="AG329" i="25"/>
  <c r="AF329" i="25" s="1"/>
  <c r="AD329" i="25" s="1"/>
  <c r="AG216" i="25"/>
  <c r="AF216" i="25" s="1"/>
  <c r="AD216" i="25" s="1"/>
  <c r="AG166" i="25"/>
  <c r="AF166" i="25" s="1"/>
  <c r="AD166" i="25" s="1"/>
  <c r="AG136" i="25"/>
  <c r="AF136" i="25" s="1"/>
  <c r="AD136" i="25" s="1"/>
  <c r="AG42" i="25"/>
  <c r="AF42" i="25" s="1"/>
  <c r="AD42" i="25" s="1"/>
  <c r="AG214" i="25"/>
  <c r="AF214" i="25" s="1"/>
  <c r="AD214" i="25" s="1"/>
  <c r="AG92" i="25"/>
  <c r="AF92" i="25" s="1"/>
  <c r="AD92" i="25" s="1"/>
  <c r="AG73" i="25"/>
  <c r="AF73" i="25" s="1"/>
  <c r="AD73" i="25" s="1"/>
  <c r="AG23" i="25"/>
  <c r="AF23" i="25" s="1"/>
  <c r="AD23" i="25" s="1"/>
  <c r="AG366" i="25"/>
  <c r="AF366" i="25" s="1"/>
  <c r="AD366" i="25" s="1"/>
  <c r="AG248" i="25"/>
  <c r="AF248" i="25" s="1"/>
  <c r="AD248" i="25" s="1"/>
  <c r="AG184" i="25"/>
  <c r="AF184" i="25" s="1"/>
  <c r="AD184" i="25" s="1"/>
  <c r="AG69" i="25"/>
  <c r="AF69" i="25" s="1"/>
  <c r="AD69" i="25" s="1"/>
  <c r="AG313" i="25"/>
  <c r="AF313" i="25" s="1"/>
  <c r="AD313" i="25" s="1"/>
  <c r="AG356" i="25"/>
  <c r="AF356" i="25" s="1"/>
  <c r="AD356" i="25" s="1"/>
  <c r="AG244" i="25"/>
  <c r="AF244" i="25" s="1"/>
  <c r="AD244" i="25" s="1"/>
  <c r="AG122" i="25"/>
  <c r="AF122" i="25" s="1"/>
  <c r="AD122" i="25" s="1"/>
  <c r="AG297" i="25"/>
  <c r="AF297" i="25" s="1"/>
  <c r="AD297" i="25" s="1"/>
  <c r="AG203" i="25"/>
  <c r="AF203" i="25" s="1"/>
  <c r="AD203" i="25" s="1"/>
  <c r="AG199" i="25"/>
  <c r="AF199" i="25" s="1"/>
  <c r="AD199" i="25" s="1"/>
  <c r="AG144" i="25"/>
  <c r="AF144" i="25" s="1"/>
  <c r="AD144" i="25" s="1"/>
  <c r="AG118" i="25"/>
  <c r="AF118" i="25" s="1"/>
  <c r="AD118" i="25" s="1"/>
  <c r="AG43" i="25"/>
  <c r="AF43" i="25" s="1"/>
  <c r="AD43" i="25" s="1"/>
  <c r="AG305" i="25"/>
  <c r="AF305" i="25" s="1"/>
  <c r="AD305" i="25" s="1"/>
  <c r="AG130" i="25"/>
  <c r="AF130" i="25" s="1"/>
  <c r="AD130" i="25" s="1"/>
  <c r="AG124" i="25"/>
  <c r="AF124" i="25" s="1"/>
  <c r="AD124" i="25" s="1"/>
  <c r="AG114" i="25"/>
  <c r="AF114" i="25" s="1"/>
  <c r="AD114" i="25" s="1"/>
  <c r="AG349" i="25"/>
  <c r="AF349" i="25" s="1"/>
  <c r="AD349" i="25" s="1"/>
  <c r="AG189" i="25"/>
  <c r="AF189" i="25" s="1"/>
  <c r="AD189" i="25" s="1"/>
  <c r="AG379" i="25"/>
  <c r="AF379" i="25" s="1"/>
  <c r="AD379" i="25" s="1"/>
  <c r="AG31" i="25"/>
  <c r="AF31" i="25" s="1"/>
  <c r="AD31" i="25" s="1"/>
  <c r="AG340" i="25"/>
  <c r="AF340" i="25" s="1"/>
  <c r="AD340" i="25" s="1"/>
  <c r="AG345" i="25"/>
  <c r="AF345" i="25" s="1"/>
  <c r="AD345" i="25" s="1"/>
  <c r="AG225" i="25"/>
  <c r="AF225" i="25" s="1"/>
  <c r="AD225" i="25" s="1"/>
  <c r="AG119" i="25"/>
  <c r="AF119" i="25" s="1"/>
  <c r="AD119" i="25" s="1"/>
  <c r="AG34" i="25"/>
  <c r="AF34" i="25" s="1"/>
  <c r="AD34" i="25" s="1"/>
  <c r="AG277" i="25"/>
  <c r="AF277" i="25" s="1"/>
  <c r="AD277" i="25" s="1"/>
  <c r="AG338" i="25"/>
  <c r="AF338" i="25" s="1"/>
  <c r="AD338" i="25" s="1"/>
  <c r="AG221" i="25"/>
  <c r="AF221" i="25" s="1"/>
  <c r="AD221" i="25" s="1"/>
  <c r="AG369" i="25"/>
  <c r="AF369" i="25" s="1"/>
  <c r="AD369" i="25" s="1"/>
  <c r="AG263" i="25"/>
  <c r="AF263" i="25" s="1"/>
  <c r="AD263" i="25" s="1"/>
  <c r="AG165" i="25"/>
  <c r="AF165" i="25" s="1"/>
  <c r="AD165" i="25" s="1"/>
  <c r="AG171" i="25"/>
  <c r="AF171" i="25" s="1"/>
  <c r="AD171" i="25" s="1"/>
  <c r="AG75" i="25"/>
  <c r="AF75" i="25" s="1"/>
  <c r="AD75" i="25" s="1"/>
  <c r="AG54" i="25"/>
  <c r="AF54" i="25" s="1"/>
  <c r="AD54" i="25" s="1"/>
  <c r="AG22" i="25"/>
  <c r="AF22" i="25" s="1"/>
  <c r="AD22" i="25" s="1"/>
  <c r="AG250" i="25"/>
  <c r="AF250" i="25" s="1"/>
  <c r="AD250" i="25" s="1"/>
  <c r="AG112" i="25"/>
  <c r="AF112" i="25" s="1"/>
  <c r="AD112" i="25" s="1"/>
  <c r="S149" i="25"/>
  <c r="R149" i="25" s="1"/>
  <c r="P149" i="25" s="1"/>
  <c r="S338" i="25"/>
  <c r="R338" i="25" s="1"/>
  <c r="P338" i="25" s="1"/>
  <c r="V338" i="25" s="1"/>
  <c r="B338" i="25" s="1"/>
  <c r="S255" i="25"/>
  <c r="R255" i="25" s="1"/>
  <c r="P255" i="25" s="1"/>
  <c r="V255" i="25" s="1"/>
  <c r="B255" i="25" s="1"/>
  <c r="S166" i="25"/>
  <c r="R166" i="25" s="1"/>
  <c r="P166" i="25" s="1"/>
  <c r="V166" i="25" s="1"/>
  <c r="B166" i="25" s="1"/>
  <c r="S242" i="25"/>
  <c r="R242" i="25" s="1"/>
  <c r="P242" i="25" s="1"/>
  <c r="V242" i="25" s="1"/>
  <c r="B242" i="25" s="1"/>
  <c r="H371" i="25"/>
  <c r="I371" i="25" s="1"/>
  <c r="S309" i="25"/>
  <c r="R309" i="25" s="1"/>
  <c r="P309" i="25" s="1"/>
  <c r="V309" i="25" s="1"/>
  <c r="B309" i="25" s="1"/>
  <c r="S329" i="25"/>
  <c r="R329" i="25" s="1"/>
  <c r="P329" i="25" s="1"/>
  <c r="V329" i="25" s="1"/>
  <c r="B329" i="25" s="1"/>
  <c r="S171" i="25"/>
  <c r="R171" i="25" s="1"/>
  <c r="P171" i="25" s="1"/>
  <c r="V171" i="25" s="1"/>
  <c r="B171" i="25" s="1"/>
  <c r="S140" i="25"/>
  <c r="R140" i="25" s="1"/>
  <c r="P140" i="25" s="1"/>
  <c r="V140" i="25" s="1"/>
  <c r="B140" i="25" s="1"/>
  <c r="S156" i="25"/>
  <c r="R156" i="25" s="1"/>
  <c r="P156" i="25" s="1"/>
  <c r="V156" i="25" s="1"/>
  <c r="B156" i="25" s="1"/>
  <c r="S262" i="25"/>
  <c r="R262" i="25" s="1"/>
  <c r="P262" i="25" s="1"/>
  <c r="V262" i="25" s="1"/>
  <c r="B262" i="25" s="1"/>
  <c r="S313" i="25"/>
  <c r="R313" i="25" s="1"/>
  <c r="P313" i="25" s="1"/>
  <c r="V313" i="25" s="1"/>
  <c r="B313" i="25" s="1"/>
  <c r="S286" i="25"/>
  <c r="R286" i="25" s="1"/>
  <c r="P286" i="25" s="1"/>
  <c r="V286" i="25" s="1"/>
  <c r="B286" i="25" s="1"/>
  <c r="S352" i="25"/>
  <c r="R352" i="25" s="1"/>
  <c r="P352" i="25" s="1"/>
  <c r="V352" i="25" s="1"/>
  <c r="B352" i="25" s="1"/>
  <c r="S369" i="25"/>
  <c r="R369" i="25" s="1"/>
  <c r="P369" i="25" s="1"/>
  <c r="V369" i="25" s="1"/>
  <c r="B369" i="25" s="1"/>
  <c r="S340" i="25"/>
  <c r="R340" i="25" s="1"/>
  <c r="P340" i="25" s="1"/>
  <c r="V340" i="25" s="1"/>
  <c r="B340" i="25" s="1"/>
  <c r="S118" i="25"/>
  <c r="R118" i="25" s="1"/>
  <c r="P118" i="25" s="1"/>
  <c r="V118" i="25" s="1"/>
  <c r="B118" i="25" s="1"/>
  <c r="S120" i="25"/>
  <c r="R120" i="25" s="1"/>
  <c r="P120" i="25" s="1"/>
  <c r="V120" i="25" s="1"/>
  <c r="B120" i="25" s="1"/>
  <c r="W92" i="25"/>
  <c r="D92" i="25"/>
  <c r="E92" i="25" s="1"/>
  <c r="F92" i="25" s="1"/>
  <c r="S128" i="25"/>
  <c r="R128" i="25" s="1"/>
  <c r="P128" i="25" s="1"/>
  <c r="V128" i="25" s="1"/>
  <c r="B128" i="25" s="1"/>
  <c r="S103" i="25"/>
  <c r="R103" i="25" s="1"/>
  <c r="P103" i="25" s="1"/>
  <c r="V103" i="25" s="1"/>
  <c r="B103" i="25" s="1"/>
  <c r="S237" i="25"/>
  <c r="R237" i="25" s="1"/>
  <c r="P237" i="25" s="1"/>
  <c r="V237" i="25" s="1"/>
  <c r="B237" i="25" s="1"/>
  <c r="S377" i="25"/>
  <c r="R377" i="25" s="1"/>
  <c r="P377" i="25" s="1"/>
  <c r="V377" i="25" s="1"/>
  <c r="B377" i="25" s="1"/>
  <c r="S100" i="25"/>
  <c r="R100" i="25" s="1"/>
  <c r="P100" i="25" s="1"/>
  <c r="V100" i="25" s="1"/>
  <c r="B100" i="25" s="1"/>
  <c r="S256" i="25"/>
  <c r="R256" i="25" s="1"/>
  <c r="P256" i="25" s="1"/>
  <c r="V256" i="25" s="1"/>
  <c r="B256" i="25" s="1"/>
  <c r="S259" i="25"/>
  <c r="R259" i="25" s="1"/>
  <c r="P259" i="25" s="1"/>
  <c r="V259" i="25" s="1"/>
  <c r="B259" i="25" s="1"/>
  <c r="S200" i="25"/>
  <c r="R200" i="25" s="1"/>
  <c r="P200" i="25" s="1"/>
  <c r="V200" i="25" s="1"/>
  <c r="B200" i="25" s="1"/>
  <c r="S238" i="25"/>
  <c r="R238" i="25" s="1"/>
  <c r="P238" i="25" s="1"/>
  <c r="V238" i="25" s="1"/>
  <c r="B238" i="25" s="1"/>
  <c r="S136" i="25"/>
  <c r="R136" i="25" s="1"/>
  <c r="P136" i="25" s="1"/>
  <c r="V136" i="25" s="1"/>
  <c r="B136" i="25" s="1"/>
  <c r="S285" i="25"/>
  <c r="R285" i="25" s="1"/>
  <c r="P285" i="25" s="1"/>
  <c r="V285" i="25" s="1"/>
  <c r="B285" i="25" s="1"/>
  <c r="D267" i="25"/>
  <c r="E267" i="25" s="1"/>
  <c r="F267" i="25" s="1"/>
  <c r="W267" i="25"/>
  <c r="S310" i="25"/>
  <c r="R310" i="25" s="1"/>
  <c r="P310" i="25" s="1"/>
  <c r="V310" i="25" s="1"/>
  <c r="B310" i="25" s="1"/>
  <c r="S296" i="25"/>
  <c r="R296" i="25" s="1"/>
  <c r="P296" i="25" s="1"/>
  <c r="V296" i="25" s="1"/>
  <c r="B296" i="25" s="1"/>
  <c r="S305" i="25"/>
  <c r="R305" i="25" s="1"/>
  <c r="P305" i="25" s="1"/>
  <c r="V305" i="25" s="1"/>
  <c r="B305" i="25" s="1"/>
  <c r="S277" i="25"/>
  <c r="R277" i="25" s="1"/>
  <c r="P277" i="25" s="1"/>
  <c r="V277" i="25" s="1"/>
  <c r="B277" i="25" s="1"/>
  <c r="S185" i="25"/>
  <c r="R185" i="25" s="1"/>
  <c r="P185" i="25" s="1"/>
  <c r="V185" i="25" s="1"/>
  <c r="B185" i="25" s="1"/>
  <c r="S59" i="25"/>
  <c r="R59" i="25" s="1"/>
  <c r="P59" i="25" s="1"/>
  <c r="V59" i="25" s="1"/>
  <c r="B59" i="25" s="1"/>
  <c r="S280" i="25"/>
  <c r="R280" i="25" s="1"/>
  <c r="P280" i="25" s="1"/>
  <c r="V280" i="25" s="1"/>
  <c r="B280" i="25" s="1"/>
  <c r="S50" i="25"/>
  <c r="R50" i="25" s="1"/>
  <c r="P50" i="25" s="1"/>
  <c r="V50" i="25" s="1"/>
  <c r="B50" i="25" s="1"/>
  <c r="S195" i="25"/>
  <c r="R195" i="25" s="1"/>
  <c r="P195" i="25" s="1"/>
  <c r="V195" i="25" s="1"/>
  <c r="B195" i="25" s="1"/>
  <c r="S41" i="25"/>
  <c r="R41" i="25" s="1"/>
  <c r="P41" i="25" s="1"/>
  <c r="V41" i="25" s="1"/>
  <c r="B41" i="25" s="1"/>
  <c r="S43" i="25"/>
  <c r="R43" i="25" s="1"/>
  <c r="P43" i="25" s="1"/>
  <c r="V43" i="25" s="1"/>
  <c r="B43" i="25" s="1"/>
  <c r="S76" i="25"/>
  <c r="R76" i="25" s="1"/>
  <c r="P76" i="25" s="1"/>
  <c r="V76" i="25" s="1"/>
  <c r="B76" i="25" s="1"/>
  <c r="S36" i="25"/>
  <c r="R36" i="25" s="1"/>
  <c r="P36" i="25" s="1"/>
  <c r="V36" i="25" s="1"/>
  <c r="B36" i="25" s="1"/>
  <c r="S51" i="25"/>
  <c r="R51" i="25" s="1"/>
  <c r="P51" i="25" s="1"/>
  <c r="V51" i="25" s="1"/>
  <c r="B51" i="25" s="1"/>
  <c r="S28" i="25"/>
  <c r="R28" i="25" s="1"/>
  <c r="P28" i="25" s="1"/>
  <c r="V28" i="25" s="1"/>
  <c r="B28" i="25" s="1"/>
  <c r="S153" i="25"/>
  <c r="R153" i="25" s="1"/>
  <c r="P153" i="25" s="1"/>
  <c r="V153" i="25" s="1"/>
  <c r="B153" i="25" s="1"/>
  <c r="S58" i="25"/>
  <c r="R58" i="25" s="1"/>
  <c r="P58" i="25" s="1"/>
  <c r="V58" i="25" s="1"/>
  <c r="B58" i="25" s="1"/>
  <c r="S148" i="25"/>
  <c r="R148" i="25" s="1"/>
  <c r="P148" i="25" s="1"/>
  <c r="V148" i="25" s="1"/>
  <c r="B148" i="25" s="1"/>
  <c r="S97" i="25"/>
  <c r="R97" i="25" s="1"/>
  <c r="P97" i="25" s="1"/>
  <c r="V97" i="25" s="1"/>
  <c r="B97" i="25" s="1"/>
  <c r="S143" i="25"/>
  <c r="R143" i="25" s="1"/>
  <c r="P143" i="25" s="1"/>
  <c r="V143" i="25" s="1"/>
  <c r="B143" i="25" s="1"/>
  <c r="S269" i="25"/>
  <c r="R269" i="25" s="1"/>
  <c r="P269" i="25" s="1"/>
  <c r="V269" i="25" s="1"/>
  <c r="B269" i="25" s="1"/>
  <c r="S344" i="25"/>
  <c r="R344" i="25" s="1"/>
  <c r="P344" i="25" s="1"/>
  <c r="V344" i="25" s="1"/>
  <c r="B344" i="25" s="1"/>
  <c r="S357" i="25"/>
  <c r="R357" i="25" s="1"/>
  <c r="P357" i="25" s="1"/>
  <c r="V357" i="25" s="1"/>
  <c r="B357" i="25" s="1"/>
  <c r="S374" i="25"/>
  <c r="R374" i="25" s="1"/>
  <c r="P374" i="25" s="1"/>
  <c r="V374" i="25" s="1"/>
  <c r="B374" i="25" s="1"/>
  <c r="S223" i="25"/>
  <c r="R223" i="25" s="1"/>
  <c r="P223" i="25" s="1"/>
  <c r="V223" i="25" s="1"/>
  <c r="B223" i="25" s="1"/>
  <c r="S355" i="25"/>
  <c r="R355" i="25" s="1"/>
  <c r="P355" i="25" s="1"/>
  <c r="V355" i="25" s="1"/>
  <c r="B355" i="25" s="1"/>
  <c r="S121" i="25"/>
  <c r="R121" i="25" s="1"/>
  <c r="P121" i="25" s="1"/>
  <c r="V121" i="25" s="1"/>
  <c r="B121" i="25" s="1"/>
  <c r="S347" i="25"/>
  <c r="R347" i="25" s="1"/>
  <c r="P347" i="25" s="1"/>
  <c r="V347" i="25" s="1"/>
  <c r="B347" i="25" s="1"/>
  <c r="D99" i="25"/>
  <c r="E99" i="25" s="1"/>
  <c r="F99" i="25" s="1"/>
  <c r="W99" i="25"/>
  <c r="S146" i="25"/>
  <c r="R146" i="25" s="1"/>
  <c r="P146" i="25" s="1"/>
  <c r="V146" i="25" s="1"/>
  <c r="B146" i="25" s="1"/>
  <c r="S102" i="25"/>
  <c r="R102" i="25" s="1"/>
  <c r="P102" i="25" s="1"/>
  <c r="V102" i="25" s="1"/>
  <c r="B102" i="25" s="1"/>
  <c r="S228" i="25"/>
  <c r="R228" i="25" s="1"/>
  <c r="P228" i="25" s="1"/>
  <c r="V228" i="25" s="1"/>
  <c r="B228" i="25" s="1"/>
  <c r="S20" i="25"/>
  <c r="R20" i="25" s="1"/>
  <c r="P20" i="25" s="1"/>
  <c r="V20" i="25" s="1"/>
  <c r="B20" i="25" s="1"/>
  <c r="S214" i="25"/>
  <c r="R214" i="25" s="1"/>
  <c r="P214" i="25" s="1"/>
  <c r="V214" i="25" s="1"/>
  <c r="B214" i="25" s="1"/>
  <c r="S367" i="25"/>
  <c r="R367" i="25" s="1"/>
  <c r="P367" i="25" s="1"/>
  <c r="V367" i="25" s="1"/>
  <c r="B367" i="25" s="1"/>
  <c r="S224" i="25"/>
  <c r="R224" i="25" s="1"/>
  <c r="P224" i="25" s="1"/>
  <c r="V224" i="25" s="1"/>
  <c r="B224" i="25" s="1"/>
  <c r="S235" i="25"/>
  <c r="R235" i="25" s="1"/>
  <c r="P235" i="25" s="1"/>
  <c r="V235" i="25" s="1"/>
  <c r="B235" i="25" s="1"/>
  <c r="S67" i="25"/>
  <c r="R67" i="25" s="1"/>
  <c r="P67" i="25" s="1"/>
  <c r="V67" i="25" s="1"/>
  <c r="B67" i="25" s="1"/>
  <c r="S245" i="25"/>
  <c r="R245" i="25" s="1"/>
  <c r="P245" i="25" s="1"/>
  <c r="V245" i="25" s="1"/>
  <c r="B245" i="25" s="1"/>
  <c r="S89" i="25"/>
  <c r="R89" i="25" s="1"/>
  <c r="P89" i="25" s="1"/>
  <c r="V89" i="25" s="1"/>
  <c r="B89" i="25" s="1"/>
  <c r="S84" i="25"/>
  <c r="R84" i="25" s="1"/>
  <c r="P84" i="25" s="1"/>
  <c r="V84" i="25" s="1"/>
  <c r="B84" i="25" s="1"/>
  <c r="S301" i="25"/>
  <c r="R301" i="25" s="1"/>
  <c r="P301" i="25" s="1"/>
  <c r="V301" i="25" s="1"/>
  <c r="B301" i="25" s="1"/>
  <c r="W183" i="25"/>
  <c r="D183" i="25"/>
  <c r="E183" i="25" s="1"/>
  <c r="F183" i="25" s="1"/>
  <c r="S162" i="25"/>
  <c r="R162" i="25" s="1"/>
  <c r="P162" i="25" s="1"/>
  <c r="V162" i="25" s="1"/>
  <c r="B162" i="25" s="1"/>
  <c r="S291" i="25"/>
  <c r="R291" i="25" s="1"/>
  <c r="P291" i="25" s="1"/>
  <c r="V291" i="25" s="1"/>
  <c r="B291" i="25" s="1"/>
  <c r="S54" i="25"/>
  <c r="R54" i="25" s="1"/>
  <c r="P54" i="25" s="1"/>
  <c r="V54" i="25" s="1"/>
  <c r="B54" i="25" s="1"/>
  <c r="S165" i="25"/>
  <c r="R165" i="25" s="1"/>
  <c r="P165" i="25" s="1"/>
  <c r="V165" i="25" s="1"/>
  <c r="B165" i="25" s="1"/>
  <c r="S21" i="25"/>
  <c r="R21" i="25" s="1"/>
  <c r="P21" i="25" s="1"/>
  <c r="V21" i="25" s="1"/>
  <c r="B21" i="25" s="1"/>
  <c r="D207" i="25"/>
  <c r="E207" i="25" s="1"/>
  <c r="F207" i="25" s="1"/>
  <c r="W207" i="25"/>
  <c r="S33" i="25"/>
  <c r="R33" i="25" s="1"/>
  <c r="P33" i="25" s="1"/>
  <c r="V33" i="25" s="1"/>
  <c r="B33" i="25" s="1"/>
  <c r="S167" i="25"/>
  <c r="R167" i="25" s="1"/>
  <c r="P167" i="25" s="1"/>
  <c r="V167" i="25" s="1"/>
  <c r="B167" i="25" s="1"/>
  <c r="S85" i="25"/>
  <c r="R85" i="25" s="1"/>
  <c r="P85" i="25" s="1"/>
  <c r="V85" i="25" s="1"/>
  <c r="B85" i="25" s="1"/>
  <c r="S147" i="25"/>
  <c r="R147" i="25" s="1"/>
  <c r="P147" i="25" s="1"/>
  <c r="V147" i="25" s="1"/>
  <c r="B147" i="25" s="1"/>
  <c r="S192" i="25"/>
  <c r="R192" i="25" s="1"/>
  <c r="P192" i="25" s="1"/>
  <c r="V192" i="25" s="1"/>
  <c r="B192" i="25" s="1"/>
  <c r="S150" i="25"/>
  <c r="R150" i="25" s="1"/>
  <c r="P150" i="25" s="1"/>
  <c r="V150" i="25" s="1"/>
  <c r="B150" i="25" s="1"/>
  <c r="S276" i="25"/>
  <c r="R276" i="25" s="1"/>
  <c r="P276" i="25" s="1"/>
  <c r="V276" i="25" s="1"/>
  <c r="B276" i="25" s="1"/>
  <c r="S314" i="25"/>
  <c r="R314" i="25" s="1"/>
  <c r="P314" i="25" s="1"/>
  <c r="V314" i="25" s="1"/>
  <c r="B314" i="25" s="1"/>
  <c r="S130" i="25"/>
  <c r="R130" i="25" s="1"/>
  <c r="P130" i="25" s="1"/>
  <c r="V130" i="25" s="1"/>
  <c r="B130" i="25" s="1"/>
  <c r="S351" i="25"/>
  <c r="R351" i="25" s="1"/>
  <c r="P351" i="25" s="1"/>
  <c r="V351" i="25" s="1"/>
  <c r="B351" i="25" s="1"/>
  <c r="S135" i="25"/>
  <c r="R135" i="25" s="1"/>
  <c r="P135" i="25" s="1"/>
  <c r="V135" i="25" s="1"/>
  <c r="B135" i="25" s="1"/>
  <c r="S333" i="25"/>
  <c r="R333" i="25" s="1"/>
  <c r="P333" i="25" s="1"/>
  <c r="S234" i="25"/>
  <c r="R234" i="25" s="1"/>
  <c r="P234" i="25" s="1"/>
  <c r="V234" i="25" s="1"/>
  <c r="B234" i="25" s="1"/>
  <c r="S247" i="25"/>
  <c r="R247" i="25" s="1"/>
  <c r="P247" i="25" s="1"/>
  <c r="V247" i="25" s="1"/>
  <c r="B247" i="25" s="1"/>
  <c r="S24" i="25"/>
  <c r="R24" i="25" s="1"/>
  <c r="P24" i="25" s="1"/>
  <c r="V24" i="25" s="1"/>
  <c r="B24" i="25" s="1"/>
  <c r="S322" i="25"/>
  <c r="R322" i="25" s="1"/>
  <c r="P322" i="25" s="1"/>
  <c r="V322" i="25" s="1"/>
  <c r="B322" i="25" s="1"/>
  <c r="S364" i="25"/>
  <c r="R364" i="25" s="1"/>
  <c r="P364" i="25" s="1"/>
  <c r="V364" i="25" s="1"/>
  <c r="B364" i="25" s="1"/>
  <c r="S107" i="25"/>
  <c r="R107" i="25" s="1"/>
  <c r="P107" i="25" s="1"/>
  <c r="V107" i="25" s="1"/>
  <c r="B107" i="25" s="1"/>
  <c r="S339" i="25"/>
  <c r="R339" i="25" s="1"/>
  <c r="P339" i="25" s="1"/>
  <c r="V339" i="25" s="1"/>
  <c r="B339" i="25" s="1"/>
  <c r="S160" i="25"/>
  <c r="R160" i="25" s="1"/>
  <c r="P160" i="25" s="1"/>
  <c r="V160" i="25" s="1"/>
  <c r="B160" i="25" s="1"/>
  <c r="S127" i="25"/>
  <c r="R127" i="25" s="1"/>
  <c r="P127" i="25" s="1"/>
  <c r="V127" i="25" s="1"/>
  <c r="B127" i="25" s="1"/>
  <c r="S215" i="25"/>
  <c r="R215" i="25" s="1"/>
  <c r="P215" i="25" s="1"/>
  <c r="V215" i="25" s="1"/>
  <c r="B215" i="25" s="1"/>
  <c r="S23" i="25"/>
  <c r="R23" i="25" s="1"/>
  <c r="P23" i="25" s="1"/>
  <c r="V23" i="25" s="1"/>
  <c r="B23" i="25" s="1"/>
  <c r="S77" i="25"/>
  <c r="R77" i="25" s="1"/>
  <c r="P77" i="25" s="1"/>
  <c r="V77" i="25" s="1"/>
  <c r="B77" i="25" s="1"/>
  <c r="S144" i="25"/>
  <c r="R144" i="25" s="1"/>
  <c r="P144" i="25" s="1"/>
  <c r="V144" i="25" s="1"/>
  <c r="B144" i="25" s="1"/>
  <c r="S283" i="25"/>
  <c r="R283" i="25" s="1"/>
  <c r="P283" i="25" s="1"/>
  <c r="V283" i="25" s="1"/>
  <c r="B283" i="25" s="1"/>
  <c r="S199" i="25"/>
  <c r="R199" i="25" s="1"/>
  <c r="P199" i="25" s="1"/>
  <c r="V199" i="25" s="1"/>
  <c r="B199" i="25" s="1"/>
  <c r="S248" i="25"/>
  <c r="R248" i="25" s="1"/>
  <c r="P248" i="25" s="1"/>
  <c r="V248" i="25" s="1"/>
  <c r="B248" i="25" s="1"/>
  <c r="S191" i="25"/>
  <c r="R191" i="25" s="1"/>
  <c r="P191" i="25" s="1"/>
  <c r="V191" i="25" s="1"/>
  <c r="B191" i="25" s="1"/>
  <c r="S62" i="25"/>
  <c r="R62" i="25" s="1"/>
  <c r="P62" i="25" s="1"/>
  <c r="V62" i="25" s="1"/>
  <c r="B62" i="25" s="1"/>
  <c r="S44" i="25"/>
  <c r="R44" i="25" s="1"/>
  <c r="P44" i="25" s="1"/>
  <c r="V44" i="25" s="1"/>
  <c r="B44" i="25" s="1"/>
  <c r="S376" i="25"/>
  <c r="R376" i="25" s="1"/>
  <c r="P376" i="25" s="1"/>
  <c r="V376" i="25" s="1"/>
  <c r="B376" i="25" s="1"/>
  <c r="S190" i="25"/>
  <c r="R190" i="25" s="1"/>
  <c r="P190" i="25" s="1"/>
  <c r="V190" i="25" s="1"/>
  <c r="B190" i="25" s="1"/>
  <c r="S184" i="25"/>
  <c r="R184" i="25" s="1"/>
  <c r="P184" i="25" s="1"/>
  <c r="V184" i="25" s="1"/>
  <c r="B184" i="25" s="1"/>
  <c r="S175" i="25"/>
  <c r="R175" i="25" s="1"/>
  <c r="P175" i="25" s="1"/>
  <c r="V175" i="25" s="1"/>
  <c r="B175" i="25" s="1"/>
  <c r="S315" i="25"/>
  <c r="R315" i="25" s="1"/>
  <c r="P315" i="25" s="1"/>
  <c r="V315" i="25" s="1"/>
  <c r="B315" i="25" s="1"/>
  <c r="D40" i="25"/>
  <c r="E40" i="25" s="1"/>
  <c r="F40" i="25" s="1"/>
  <c r="W40" i="25"/>
  <c r="S303" i="25"/>
  <c r="R303" i="25" s="1"/>
  <c r="P303" i="25" s="1"/>
  <c r="V303" i="25" s="1"/>
  <c r="B303" i="25" s="1"/>
  <c r="AH68" i="7"/>
  <c r="V29" i="25"/>
  <c r="B29" i="25" s="1"/>
  <c r="S221" i="25"/>
  <c r="R221" i="25" s="1"/>
  <c r="P221" i="25" s="1"/>
  <c r="V221" i="25" s="1"/>
  <c r="B221" i="25" s="1"/>
  <c r="S60" i="25"/>
  <c r="R60" i="25" s="1"/>
  <c r="P60" i="25" s="1"/>
  <c r="S16" i="25"/>
  <c r="R16" i="25" s="1"/>
  <c r="P16" i="25" s="1"/>
  <c r="V16" i="25" s="1"/>
  <c r="B16" i="25" s="1"/>
  <c r="S91" i="25"/>
  <c r="R91" i="25" s="1"/>
  <c r="P91" i="25" s="1"/>
  <c r="V91" i="25" s="1"/>
  <c r="B91" i="25" s="1"/>
  <c r="S35" i="25"/>
  <c r="R35" i="25" s="1"/>
  <c r="P35" i="25" s="1"/>
  <c r="V35" i="25" s="1"/>
  <c r="B35" i="25" s="1"/>
  <c r="S80" i="25"/>
  <c r="R80" i="25" s="1"/>
  <c r="P80" i="25" s="1"/>
  <c r="V80" i="25" s="1"/>
  <c r="B80" i="25" s="1"/>
  <c r="S346" i="25"/>
  <c r="R346" i="25" s="1"/>
  <c r="P346" i="25" s="1"/>
  <c r="V346" i="25" s="1"/>
  <c r="B346" i="25" s="1"/>
  <c r="S138" i="25"/>
  <c r="R138" i="25" s="1"/>
  <c r="P138" i="25" s="1"/>
  <c r="V138" i="25" s="1"/>
  <c r="B138" i="25" s="1"/>
  <c r="S75" i="25"/>
  <c r="R75" i="25" s="1"/>
  <c r="P75" i="25" s="1"/>
  <c r="V75" i="25" s="1"/>
  <c r="B75" i="25" s="1"/>
  <c r="S124" i="25"/>
  <c r="R124" i="25" s="1"/>
  <c r="P124" i="25" s="1"/>
  <c r="V124" i="25" s="1"/>
  <c r="B124" i="25" s="1"/>
  <c r="S129" i="25"/>
  <c r="R129" i="25" s="1"/>
  <c r="P129" i="25" s="1"/>
  <c r="V129" i="25" s="1"/>
  <c r="B129" i="25" s="1"/>
  <c r="S202" i="25"/>
  <c r="R202" i="25" s="1"/>
  <c r="P202" i="25" s="1"/>
  <c r="V202" i="25" s="1"/>
  <c r="B202" i="25" s="1"/>
  <c r="S246" i="25"/>
  <c r="R246" i="25" s="1"/>
  <c r="P246" i="25" s="1"/>
  <c r="V246" i="25" s="1"/>
  <c r="B246" i="25" s="1"/>
  <c r="S360" i="25"/>
  <c r="R360" i="25" s="1"/>
  <c r="P360" i="25" s="1"/>
  <c r="V360" i="25" s="1"/>
  <c r="B360" i="25" s="1"/>
  <c r="S241" i="25"/>
  <c r="R241" i="25" s="1"/>
  <c r="P241" i="25" s="1"/>
  <c r="S113" i="25"/>
  <c r="R113" i="25" s="1"/>
  <c r="P113" i="25" s="1"/>
  <c r="V113" i="25" s="1"/>
  <c r="B113" i="25" s="1"/>
  <c r="S251" i="25"/>
  <c r="R251" i="25" s="1"/>
  <c r="P251" i="25" s="1"/>
  <c r="V251" i="25" s="1"/>
  <c r="B251" i="25" s="1"/>
  <c r="S358" i="25"/>
  <c r="R358" i="25" s="1"/>
  <c r="P358" i="25" s="1"/>
  <c r="V358" i="25" s="1"/>
  <c r="B358" i="25" s="1"/>
  <c r="S217" i="25"/>
  <c r="R217" i="25" s="1"/>
  <c r="P217" i="25" s="1"/>
  <c r="V217" i="25" s="1"/>
  <c r="B217" i="25" s="1"/>
  <c r="S132" i="25"/>
  <c r="R132" i="25" s="1"/>
  <c r="P132" i="25" s="1"/>
  <c r="V132" i="25" s="1"/>
  <c r="B132" i="25" s="1"/>
  <c r="S48" i="25"/>
  <c r="R48" i="25" s="1"/>
  <c r="P48" i="25" s="1"/>
  <c r="V48" i="25" s="1"/>
  <c r="B48" i="25" s="1"/>
  <c r="S263" i="25"/>
  <c r="R263" i="25" s="1"/>
  <c r="P263" i="25" s="1"/>
  <c r="V263" i="25" s="1"/>
  <c r="B263" i="25" s="1"/>
  <c r="S222" i="25"/>
  <c r="R222" i="25" s="1"/>
  <c r="P222" i="25" s="1"/>
  <c r="V222" i="25" s="1"/>
  <c r="B222" i="25" s="1"/>
  <c r="S258" i="25"/>
  <c r="R258" i="25" s="1"/>
  <c r="P258" i="25" s="1"/>
  <c r="V258" i="25" s="1"/>
  <c r="B258" i="25" s="1"/>
  <c r="S205" i="25"/>
  <c r="R205" i="25" s="1"/>
  <c r="P205" i="25" s="1"/>
  <c r="V205" i="25" s="1"/>
  <c r="B205" i="25" s="1"/>
  <c r="S111" i="25"/>
  <c r="R111" i="25" s="1"/>
  <c r="P111" i="25" s="1"/>
  <c r="V111" i="25" s="1"/>
  <c r="B111" i="25" s="1"/>
  <c r="S375" i="25"/>
  <c r="R375" i="25" s="1"/>
  <c r="P375" i="25" s="1"/>
  <c r="V375" i="25" s="1"/>
  <c r="B375" i="25" s="1"/>
  <c r="S206" i="25"/>
  <c r="R206" i="25" s="1"/>
  <c r="P206" i="25" s="1"/>
  <c r="V206" i="25" s="1"/>
  <c r="B206" i="25" s="1"/>
  <c r="S370" i="25"/>
  <c r="R370" i="25" s="1"/>
  <c r="P370" i="25" s="1"/>
  <c r="V370" i="25" s="1"/>
  <c r="B370" i="25" s="1"/>
  <c r="S252" i="25"/>
  <c r="R252" i="25" s="1"/>
  <c r="P252" i="25" s="1"/>
  <c r="V252" i="25" s="1"/>
  <c r="B252" i="25" s="1"/>
  <c r="S330" i="25"/>
  <c r="R330" i="25" s="1"/>
  <c r="P330" i="25" s="1"/>
  <c r="V330" i="25" s="1"/>
  <c r="B330" i="25" s="1"/>
  <c r="S123" i="25"/>
  <c r="R123" i="25" s="1"/>
  <c r="P123" i="25" s="1"/>
  <c r="V123" i="25" s="1"/>
  <c r="B123" i="25" s="1"/>
  <c r="S122" i="25"/>
  <c r="R122" i="25" s="1"/>
  <c r="P122" i="25" s="1"/>
  <c r="V122" i="25" s="1"/>
  <c r="B122" i="25" s="1"/>
  <c r="S163" i="25"/>
  <c r="R163" i="25" s="1"/>
  <c r="P163" i="25" s="1"/>
  <c r="V163" i="25" s="1"/>
  <c r="B163" i="25" s="1"/>
  <c r="S94" i="25"/>
  <c r="R94" i="25" s="1"/>
  <c r="P94" i="25" s="1"/>
  <c r="V94" i="25" s="1"/>
  <c r="B94" i="25" s="1"/>
  <c r="S331" i="25"/>
  <c r="R331" i="25" s="1"/>
  <c r="P331" i="25" s="1"/>
  <c r="V331" i="25" s="1"/>
  <c r="B331" i="25" s="1"/>
  <c r="S64" i="25"/>
  <c r="R64" i="25" s="1"/>
  <c r="P64" i="25" s="1"/>
  <c r="V64" i="25" s="1"/>
  <c r="B64" i="25" s="1"/>
  <c r="S349" i="25"/>
  <c r="R349" i="25" s="1"/>
  <c r="P349" i="25" s="1"/>
  <c r="V349" i="25" s="1"/>
  <c r="B349" i="25" s="1"/>
  <c r="S86" i="25"/>
  <c r="R86" i="25" s="1"/>
  <c r="P86" i="25" s="1"/>
  <c r="V86" i="25" s="1"/>
  <c r="B86" i="25" s="1"/>
  <c r="D341" i="25"/>
  <c r="E341" i="25" s="1"/>
  <c r="F341" i="25" s="1"/>
  <c r="W341" i="25"/>
  <c r="D378" i="25"/>
  <c r="E378" i="25" s="1"/>
  <c r="F378" i="25" s="1"/>
  <c r="W378" i="25"/>
  <c r="S326" i="25"/>
  <c r="R326" i="25" s="1"/>
  <c r="P326" i="25" s="1"/>
  <c r="V326" i="25" s="1"/>
  <c r="B326" i="25" s="1"/>
  <c r="S287" i="25"/>
  <c r="R287" i="25" s="1"/>
  <c r="P287" i="25" s="1"/>
  <c r="V287" i="25" s="1"/>
  <c r="B287" i="25" s="1"/>
  <c r="S196" i="25"/>
  <c r="R196" i="25" s="1"/>
  <c r="P196" i="25" s="1"/>
  <c r="V196" i="25" s="1"/>
  <c r="B196" i="25" s="1"/>
  <c r="S325" i="25"/>
  <c r="R325" i="25" s="1"/>
  <c r="P325" i="25" s="1"/>
  <c r="V325" i="25" s="1"/>
  <c r="B325" i="25" s="1"/>
  <c r="S172" i="25"/>
  <c r="R172" i="25" s="1"/>
  <c r="P172" i="25" s="1"/>
  <c r="V172" i="25" s="1"/>
  <c r="B172" i="25" s="1"/>
  <c r="S311" i="25"/>
  <c r="R311" i="25" s="1"/>
  <c r="P311" i="25" s="1"/>
  <c r="V311" i="25" s="1"/>
  <c r="B311" i="25" s="1"/>
  <c r="S139" i="25"/>
  <c r="R139" i="25" s="1"/>
  <c r="P139" i="25" s="1"/>
  <c r="V139" i="25" s="1"/>
  <c r="B139" i="25" s="1"/>
  <c r="S306" i="25"/>
  <c r="R306" i="25" s="1"/>
  <c r="P306" i="25" s="1"/>
  <c r="V306" i="25" s="1"/>
  <c r="B306" i="25" s="1"/>
  <c r="S316" i="25"/>
  <c r="R316" i="25" s="1"/>
  <c r="P316" i="25" s="1"/>
  <c r="V316" i="25" s="1"/>
  <c r="B316" i="25" s="1"/>
  <c r="S158" i="25"/>
  <c r="R158" i="25" s="1"/>
  <c r="P158" i="25" s="1"/>
  <c r="V158" i="25" s="1"/>
  <c r="B158" i="25" s="1"/>
  <c r="S56" i="25"/>
  <c r="R56" i="25" s="1"/>
  <c r="P56" i="25" s="1"/>
  <c r="V56" i="25" s="1"/>
  <c r="B56" i="25" s="1"/>
  <c r="S189" i="25"/>
  <c r="R189" i="25" s="1"/>
  <c r="P189" i="25" s="1"/>
  <c r="V189" i="25" s="1"/>
  <c r="B189" i="25" s="1"/>
  <c r="S47" i="25"/>
  <c r="R47" i="25" s="1"/>
  <c r="P47" i="25" s="1"/>
  <c r="V47" i="25" s="1"/>
  <c r="B47" i="25" s="1"/>
  <c r="S174" i="25"/>
  <c r="R174" i="25" s="1"/>
  <c r="P174" i="25" s="1"/>
  <c r="V174" i="25" s="1"/>
  <c r="B174" i="25" s="1"/>
  <c r="S78" i="25"/>
  <c r="R78" i="25" s="1"/>
  <c r="P78" i="25" s="1"/>
  <c r="V78" i="25" s="1"/>
  <c r="B78" i="25" s="1"/>
  <c r="S168" i="25"/>
  <c r="R168" i="25" s="1"/>
  <c r="P168" i="25" s="1"/>
  <c r="V168" i="25" s="1"/>
  <c r="B168" i="25" s="1"/>
  <c r="S173" i="25"/>
  <c r="R173" i="25" s="1"/>
  <c r="P173" i="25" s="1"/>
  <c r="V173" i="25" s="1"/>
  <c r="B173" i="25" s="1"/>
  <c r="S157" i="25"/>
  <c r="R157" i="25" s="1"/>
  <c r="P157" i="25" s="1"/>
  <c r="V157" i="25" s="1"/>
  <c r="B157" i="25" s="1"/>
  <c r="S96" i="25"/>
  <c r="R96" i="25" s="1"/>
  <c r="P96" i="25" s="1"/>
  <c r="V96" i="25" s="1"/>
  <c r="B96" i="25" s="1"/>
  <c r="S299" i="25"/>
  <c r="R299" i="25" s="1"/>
  <c r="P299" i="25" s="1"/>
  <c r="V299" i="25" s="1"/>
  <c r="B299" i="25" s="1"/>
  <c r="AG71" i="25"/>
  <c r="AF71" i="25" s="1"/>
  <c r="AD71" i="25" s="1"/>
  <c r="AG50" i="25"/>
  <c r="AF50" i="25" s="1"/>
  <c r="AD50" i="25" s="1"/>
  <c r="AG302" i="25"/>
  <c r="AF302" i="25" s="1"/>
  <c r="AD302" i="25" s="1"/>
  <c r="AG154" i="25"/>
  <c r="AF154" i="25" s="1"/>
  <c r="AD154" i="25" s="1"/>
  <c r="AG333" i="25"/>
  <c r="AF333" i="25" s="1"/>
  <c r="AD333" i="25" s="1"/>
  <c r="AG359" i="25"/>
  <c r="AF359" i="25" s="1"/>
  <c r="AD359" i="25" s="1"/>
  <c r="AG278" i="25"/>
  <c r="AF278" i="25" s="1"/>
  <c r="AD278" i="25" s="1"/>
  <c r="AG298" i="25"/>
  <c r="AF298" i="25" s="1"/>
  <c r="AD298" i="25" s="1"/>
  <c r="AG204" i="25"/>
  <c r="AF204" i="25" s="1"/>
  <c r="AD204" i="25" s="1"/>
  <c r="AG98" i="25"/>
  <c r="AF98" i="25" s="1"/>
  <c r="AD98" i="25" s="1"/>
  <c r="AG355" i="25"/>
  <c r="AF355" i="25" s="1"/>
  <c r="AD355" i="25" s="1"/>
  <c r="AG270" i="25"/>
  <c r="AF270" i="25" s="1"/>
  <c r="AD270" i="25" s="1"/>
  <c r="AG294" i="25"/>
  <c r="AF294" i="25" s="1"/>
  <c r="AD294" i="25" s="1"/>
  <c r="AG228" i="25"/>
  <c r="AF228" i="25" s="1"/>
  <c r="AD228" i="25" s="1"/>
  <c r="AG148" i="25"/>
  <c r="AF148" i="25" s="1"/>
  <c r="AD148" i="25" s="1"/>
  <c r="AG374" i="25"/>
  <c r="AF374" i="25" s="1"/>
  <c r="AD374" i="25" s="1"/>
  <c r="AG139" i="25"/>
  <c r="AF139" i="25" s="1"/>
  <c r="AD139" i="25" s="1"/>
  <c r="AG45" i="25"/>
  <c r="AF45" i="25" s="1"/>
  <c r="AD45" i="25" s="1"/>
  <c r="AG93" i="25"/>
  <c r="AF93" i="25" s="1"/>
  <c r="AD93" i="25" s="1"/>
  <c r="AG354" i="25"/>
  <c r="AF354" i="25" s="1"/>
  <c r="AD354" i="25" s="1"/>
  <c r="AG368" i="25"/>
  <c r="AF368" i="25" s="1"/>
  <c r="AD368" i="25" s="1"/>
  <c r="AG293" i="25"/>
  <c r="AF293" i="25" s="1"/>
  <c r="AD293" i="25" s="1"/>
  <c r="AG193" i="25"/>
  <c r="AF193" i="25" s="1"/>
  <c r="AD193" i="25" s="1"/>
  <c r="AG24" i="25"/>
  <c r="AF24" i="25" s="1"/>
  <c r="AD24" i="25" s="1"/>
  <c r="AG350" i="25"/>
  <c r="AF350" i="25" s="1"/>
  <c r="AD350" i="25" s="1"/>
  <c r="AG18" i="25"/>
  <c r="AF18" i="25" s="1"/>
  <c r="AD18" i="25" s="1"/>
  <c r="AG280" i="25"/>
  <c r="AF280" i="25" s="1"/>
  <c r="AD280" i="25" s="1"/>
  <c r="AG62" i="25"/>
  <c r="AF62" i="25" s="1"/>
  <c r="AD62" i="25" s="1"/>
  <c r="AG342" i="25"/>
  <c r="AF342" i="25" s="1"/>
  <c r="AD342" i="25" s="1"/>
  <c r="AG331" i="25"/>
  <c r="AF331" i="25" s="1"/>
  <c r="AD331" i="25" s="1"/>
  <c r="AG266" i="25"/>
  <c r="AF266" i="25" s="1"/>
  <c r="AD266" i="25" s="1"/>
  <c r="AG276" i="25"/>
  <c r="AF276" i="25" s="1"/>
  <c r="AD276" i="25" s="1"/>
  <c r="AG170" i="25"/>
  <c r="AF170" i="25" s="1"/>
  <c r="AD170" i="25" s="1"/>
  <c r="AG80" i="25"/>
  <c r="AF80" i="25" s="1"/>
  <c r="AD80" i="25" s="1"/>
  <c r="AG327" i="25"/>
  <c r="AF327" i="25" s="1"/>
  <c r="AD327" i="25" s="1"/>
  <c r="AG262" i="25"/>
  <c r="AF262" i="25" s="1"/>
  <c r="AD262" i="25" s="1"/>
  <c r="AG268" i="25"/>
  <c r="AF268" i="25" s="1"/>
  <c r="AD268" i="25" s="1"/>
  <c r="AG108" i="25"/>
  <c r="AF108" i="25" s="1"/>
  <c r="AD108" i="25" s="1"/>
  <c r="AG319" i="25"/>
  <c r="AF319" i="25" s="1"/>
  <c r="AD319" i="25" s="1"/>
  <c r="AG212" i="25"/>
  <c r="AF212" i="25" s="1"/>
  <c r="AD212" i="25" s="1"/>
  <c r="AG161" i="25"/>
  <c r="AF161" i="25" s="1"/>
  <c r="AD161" i="25" s="1"/>
  <c r="AG157" i="25"/>
  <c r="AF157" i="25" s="1"/>
  <c r="AD157" i="25" s="1"/>
  <c r="AG104" i="25"/>
  <c r="AF104" i="25" s="1"/>
  <c r="AD104" i="25" s="1"/>
  <c r="AG371" i="25"/>
  <c r="AF371" i="25" s="1"/>
  <c r="AD371" i="25" s="1"/>
  <c r="AG314" i="25"/>
  <c r="AF314" i="25" s="1"/>
  <c r="AD314" i="25" s="1"/>
  <c r="AG151" i="25"/>
  <c r="AF151" i="25" s="1"/>
  <c r="AD151" i="25" s="1"/>
  <c r="AG67" i="25"/>
  <c r="AF67" i="25" s="1"/>
  <c r="AD67" i="25" s="1"/>
  <c r="AG97" i="25"/>
  <c r="AF97" i="25" s="1"/>
  <c r="AD97" i="25" s="1"/>
  <c r="AG358" i="25"/>
  <c r="AF358" i="25" s="1"/>
  <c r="AD358" i="25" s="1"/>
  <c r="AG242" i="25"/>
  <c r="AF242" i="25" s="1"/>
  <c r="AD242" i="25" s="1"/>
  <c r="AG47" i="25"/>
  <c r="AF47" i="25" s="1"/>
  <c r="AD47" i="25" s="1"/>
  <c r="AG295" i="25"/>
  <c r="AF295" i="25" s="1"/>
  <c r="AD295" i="25" s="1"/>
  <c r="AG328" i="25"/>
  <c r="AF328" i="25" s="1"/>
  <c r="AD328" i="25" s="1"/>
  <c r="AG215" i="25"/>
  <c r="AF215" i="25" s="1"/>
  <c r="AD215" i="25" s="1"/>
  <c r="AG238" i="25"/>
  <c r="AF238" i="25" s="1"/>
  <c r="AD238" i="25" s="1"/>
  <c r="AG135" i="25"/>
  <c r="AF135" i="25" s="1"/>
  <c r="AD135" i="25" s="1"/>
  <c r="AG41" i="25"/>
  <c r="AF41" i="25" s="1"/>
  <c r="AD41" i="25" s="1"/>
  <c r="AG251" i="25"/>
  <c r="AF251" i="25" s="1"/>
  <c r="AD251" i="25" s="1"/>
  <c r="AG196" i="25"/>
  <c r="AF196" i="25" s="1"/>
  <c r="AD196" i="25" s="1"/>
  <c r="AG233" i="25"/>
  <c r="AF233" i="25" s="1"/>
  <c r="AD233" i="25" s="1"/>
  <c r="AG90" i="25"/>
  <c r="AF90" i="25" s="1"/>
  <c r="AD90" i="25" s="1"/>
  <c r="AG282" i="25"/>
  <c r="AF282" i="25" s="1"/>
  <c r="AD282" i="25" s="1"/>
  <c r="AG155" i="25"/>
  <c r="AF155" i="25" s="1"/>
  <c r="AD155" i="25" s="1"/>
  <c r="AG128" i="25"/>
  <c r="AF128" i="25" s="1"/>
  <c r="AD128" i="25" s="1"/>
  <c r="AG100" i="25"/>
  <c r="AF100" i="25" s="1"/>
  <c r="AD100" i="25" s="1"/>
  <c r="AG86" i="25"/>
  <c r="AF86" i="25" s="1"/>
  <c r="AD86" i="25" s="1"/>
  <c r="AG343" i="25"/>
  <c r="AF343" i="25" s="1"/>
  <c r="AD343" i="25" s="1"/>
  <c r="AG243" i="25"/>
  <c r="AF243" i="25" s="1"/>
  <c r="AD243" i="25" s="1"/>
  <c r="AG121" i="25"/>
  <c r="AF121" i="25" s="1"/>
  <c r="AD121" i="25" s="1"/>
  <c r="AG16" i="25"/>
  <c r="AF16" i="25" s="1"/>
  <c r="AD16" i="25" s="1"/>
  <c r="AG63" i="25"/>
  <c r="AF63" i="25" s="1"/>
  <c r="AD63" i="25" s="1"/>
  <c r="AG336" i="25"/>
  <c r="AF336" i="25" s="1"/>
  <c r="AD336" i="25" s="1"/>
  <c r="AG143" i="25"/>
  <c r="AF143" i="25" s="1"/>
  <c r="AD143" i="25" s="1"/>
  <c r="AG365" i="25"/>
  <c r="AF365" i="25" s="1"/>
  <c r="AD365" i="25" s="1"/>
  <c r="AG348" i="25"/>
  <c r="AF348" i="25" s="1"/>
  <c r="AD348" i="25" s="1"/>
  <c r="AG304" i="25"/>
  <c r="AF304" i="25" s="1"/>
  <c r="AD304" i="25" s="1"/>
  <c r="AG169" i="25"/>
  <c r="AF169" i="25" s="1"/>
  <c r="AD169" i="25" s="1"/>
  <c r="AG191" i="25"/>
  <c r="AF191" i="25" s="1"/>
  <c r="AD191" i="25" s="1"/>
  <c r="AG113" i="25"/>
  <c r="AF113" i="25" s="1"/>
  <c r="AD113" i="25" s="1"/>
  <c r="AG344" i="25"/>
  <c r="AF344" i="25" s="1"/>
  <c r="AD344" i="25" s="1"/>
  <c r="AG230" i="25"/>
  <c r="AF230" i="25" s="1"/>
  <c r="AD230" i="25" s="1"/>
  <c r="AG153" i="25"/>
  <c r="AF153" i="25" s="1"/>
  <c r="AD153" i="25" s="1"/>
  <c r="AG187" i="25"/>
  <c r="AF187" i="25" s="1"/>
  <c r="AD187" i="25" s="1"/>
  <c r="AG52" i="25"/>
  <c r="AF52" i="25" s="1"/>
  <c r="AD52" i="25" s="1"/>
  <c r="AG174" i="25"/>
  <c r="AF174" i="25" s="1"/>
  <c r="AD174" i="25" s="1"/>
  <c r="AG84" i="25"/>
  <c r="AF84" i="25" s="1"/>
  <c r="AD84" i="25" s="1"/>
  <c r="AG103" i="25"/>
  <c r="AF103" i="25" s="1"/>
  <c r="AD103" i="25" s="1"/>
  <c r="AG25" i="25"/>
  <c r="AF25" i="25" s="1"/>
  <c r="AD25" i="25" s="1"/>
  <c r="AG48" i="25"/>
  <c r="AF48" i="25" s="1"/>
  <c r="AD48" i="25" s="1"/>
  <c r="AG322" i="25"/>
  <c r="AF322" i="25" s="1"/>
  <c r="AD322" i="25" s="1"/>
  <c r="AG220" i="25"/>
  <c r="AF220" i="25" s="1"/>
  <c r="AD220" i="25" s="1"/>
  <c r="AG96" i="25"/>
  <c r="AF96" i="25" s="1"/>
  <c r="AD96" i="25" s="1"/>
  <c r="AG27" i="25"/>
  <c r="AF27" i="25" s="1"/>
  <c r="AD27" i="25" s="1"/>
  <c r="AG39" i="25"/>
  <c r="AF39" i="25" s="1"/>
  <c r="AD39" i="25" s="1"/>
  <c r="AG257" i="25"/>
  <c r="AF257" i="25" s="1"/>
  <c r="AD257" i="25" s="1"/>
  <c r="AG74" i="25"/>
  <c r="AF74" i="25" s="1"/>
  <c r="AD74" i="25" s="1"/>
  <c r="AG323" i="25"/>
  <c r="AF323" i="25" s="1"/>
  <c r="AD323" i="25" s="1"/>
  <c r="AG318" i="25"/>
  <c r="AF318" i="25" s="1"/>
  <c r="AD318" i="25" s="1"/>
  <c r="AG249" i="25"/>
  <c r="AF249" i="25" s="1"/>
  <c r="AD249" i="25" s="1"/>
  <c r="AG253" i="25"/>
  <c r="AF253" i="25" s="1"/>
  <c r="AD253" i="25" s="1"/>
  <c r="AG156" i="25"/>
  <c r="AF156" i="25" s="1"/>
  <c r="AD156" i="25" s="1"/>
  <c r="AG88" i="25"/>
  <c r="AF88" i="25" s="1"/>
  <c r="AD88" i="25" s="1"/>
  <c r="AG301" i="25"/>
  <c r="AF301" i="25" s="1"/>
  <c r="AD301" i="25" s="1"/>
  <c r="AG207" i="25"/>
  <c r="AF207" i="25" s="1"/>
  <c r="AD207" i="25" s="1"/>
  <c r="AG102" i="25"/>
  <c r="AF102" i="25" s="1"/>
  <c r="AD102" i="25" s="1"/>
  <c r="AG261" i="25"/>
  <c r="AF261" i="25" s="1"/>
  <c r="AD261" i="25" s="1"/>
  <c r="AG167" i="25"/>
  <c r="AF167" i="25" s="1"/>
  <c r="AD167" i="25" s="1"/>
  <c r="AG40" i="25"/>
  <c r="AF40" i="25" s="1"/>
  <c r="AD40" i="25" s="1"/>
  <c r="AG77" i="25"/>
  <c r="AF77" i="25" s="1"/>
  <c r="AD77" i="25" s="1"/>
  <c r="AG326" i="25"/>
  <c r="AF326" i="25" s="1"/>
  <c r="AD326" i="25" s="1"/>
  <c r="AG317" i="25"/>
  <c r="AF317" i="25" s="1"/>
  <c r="AD317" i="25" s="1"/>
  <c r="AG252" i="25"/>
  <c r="AF252" i="25" s="1"/>
  <c r="AD252" i="25" s="1"/>
  <c r="AG133" i="25"/>
  <c r="AF133" i="25" s="1"/>
  <c r="AD133" i="25" s="1"/>
  <c r="AG36" i="25"/>
  <c r="AF36" i="25" s="1"/>
  <c r="AD36" i="25" s="1"/>
  <c r="AG320" i="25"/>
  <c r="AF320" i="25" s="1"/>
  <c r="AD320" i="25" s="1"/>
  <c r="AG300" i="25"/>
  <c r="AF300" i="25" s="1"/>
  <c r="AD300" i="25" s="1"/>
  <c r="AG210" i="25"/>
  <c r="AF210" i="25" s="1"/>
  <c r="AD210" i="25" s="1"/>
  <c r="AG378" i="25"/>
  <c r="AF378" i="25" s="1"/>
  <c r="AD378" i="25" s="1"/>
  <c r="AG254" i="25"/>
  <c r="AF254" i="25" s="1"/>
  <c r="AD254" i="25" s="1"/>
  <c r="AG245" i="25"/>
  <c r="AF245" i="25" s="1"/>
  <c r="AD245" i="25" s="1"/>
  <c r="AG138" i="25"/>
  <c r="AF138" i="25" s="1"/>
  <c r="AD138" i="25" s="1"/>
  <c r="AG206" i="25"/>
  <c r="AF206" i="25" s="1"/>
  <c r="AD206" i="25" s="1"/>
  <c r="AG79" i="25"/>
  <c r="AF79" i="25" s="1"/>
  <c r="AD79" i="25" s="1"/>
  <c r="AG357" i="25"/>
  <c r="AF357" i="25" s="1"/>
  <c r="AD357" i="25" s="1"/>
  <c r="AG241" i="25"/>
  <c r="AF241" i="25" s="1"/>
  <c r="AD241" i="25" s="1"/>
  <c r="AG134" i="25"/>
  <c r="AF134" i="25" s="1"/>
  <c r="AD134" i="25" s="1"/>
  <c r="AG202" i="25"/>
  <c r="AF202" i="25" s="1"/>
  <c r="AD202" i="25" s="1"/>
  <c r="AG61" i="25"/>
  <c r="AF61" i="25" s="1"/>
  <c r="AD61" i="25" s="1"/>
  <c r="AG200" i="25"/>
  <c r="AF200" i="25" s="1"/>
  <c r="AD200" i="25" s="1"/>
  <c r="AG125" i="25"/>
  <c r="AF125" i="25" s="1"/>
  <c r="AD125" i="25" s="1"/>
  <c r="AG89" i="25"/>
  <c r="AF89" i="25" s="1"/>
  <c r="AD89" i="25" s="1"/>
  <c r="AI382" i="25"/>
  <c r="AI383" i="25"/>
  <c r="AH15" i="25"/>
  <c r="AI381" i="25"/>
  <c r="AG287" i="25"/>
  <c r="AF287" i="25" s="1"/>
  <c r="AD287" i="25" s="1"/>
  <c r="AG289" i="25"/>
  <c r="AF289" i="25" s="1"/>
  <c r="AD289" i="25" s="1"/>
  <c r="AG231" i="25"/>
  <c r="AF231" i="25" s="1"/>
  <c r="AD231" i="25" s="1"/>
  <c r="AG85" i="25"/>
  <c r="AF85" i="25" s="1"/>
  <c r="AD85" i="25" s="1"/>
  <c r="AG346" i="25"/>
  <c r="AF346" i="25" s="1"/>
  <c r="AD346" i="25" s="1"/>
  <c r="AG281" i="25"/>
  <c r="AF281" i="25" s="1"/>
  <c r="AD281" i="25" s="1"/>
  <c r="AG273" i="25"/>
  <c r="AF273" i="25" s="1"/>
  <c r="AD273" i="25" s="1"/>
  <c r="AG185" i="25"/>
  <c r="AF185" i="25" s="1"/>
  <c r="AD185" i="25" s="1"/>
  <c r="AG311" i="25"/>
  <c r="AF311" i="25" s="1"/>
  <c r="AD311" i="25" s="1"/>
  <c r="AG176" i="25"/>
  <c r="AF176" i="25" s="1"/>
  <c r="AD176" i="25" s="1"/>
  <c r="AG222" i="25"/>
  <c r="AF222" i="25" s="1"/>
  <c r="AD222" i="25" s="1"/>
  <c r="AG120" i="25"/>
  <c r="AF120" i="25" s="1"/>
  <c r="AD120" i="25" s="1"/>
  <c r="AG168" i="25"/>
  <c r="AF168" i="25" s="1"/>
  <c r="AD168" i="25" s="1"/>
  <c r="AG58" i="25"/>
  <c r="AF58" i="25" s="1"/>
  <c r="AD58" i="25" s="1"/>
  <c r="AG335" i="25"/>
  <c r="AF335" i="25" s="1"/>
  <c r="AD335" i="25" s="1"/>
  <c r="AG218" i="25"/>
  <c r="AF218" i="25" s="1"/>
  <c r="AD218" i="25" s="1"/>
  <c r="AG116" i="25"/>
  <c r="AF116" i="25" s="1"/>
  <c r="AD116" i="25" s="1"/>
  <c r="AG164" i="25"/>
  <c r="AF164" i="25" s="1"/>
  <c r="AD164" i="25" s="1"/>
  <c r="AG363" i="25"/>
  <c r="AF363" i="25" s="1"/>
  <c r="AD363" i="25" s="1"/>
  <c r="AG162" i="25"/>
  <c r="AF162" i="25" s="1"/>
  <c r="AD162" i="25" s="1"/>
  <c r="AG72" i="25"/>
  <c r="AF72" i="25" s="1"/>
  <c r="AD72" i="25" s="1"/>
  <c r="AG55" i="25"/>
  <c r="AF55" i="25" s="1"/>
  <c r="AD55" i="25" s="1"/>
  <c r="AG372" i="25"/>
  <c r="AF372" i="25" s="1"/>
  <c r="AD372" i="25" s="1"/>
  <c r="AG341" i="25"/>
  <c r="AF341" i="25" s="1"/>
  <c r="AD341" i="25" s="1"/>
  <c r="AG255" i="25"/>
  <c r="AF255" i="25" s="1"/>
  <c r="AD255" i="25" s="1"/>
  <c r="AG208" i="25"/>
  <c r="AF208" i="25" s="1"/>
  <c r="AD208" i="25" s="1"/>
  <c r="AG51" i="25"/>
  <c r="AF51" i="25" s="1"/>
  <c r="AD51" i="25" s="1"/>
  <c r="AG299" i="25"/>
  <c r="AF299" i="25" s="1"/>
  <c r="AD299" i="25" s="1"/>
  <c r="AG332" i="25"/>
  <c r="AF332" i="25" s="1"/>
  <c r="AD332" i="25" s="1"/>
  <c r="AG232" i="25"/>
  <c r="AF232" i="25" s="1"/>
  <c r="AD232" i="25" s="1"/>
  <c r="AG146" i="25"/>
  <c r="AF146" i="25" s="1"/>
  <c r="AD146" i="25" s="1"/>
  <c r="AG275" i="25"/>
  <c r="AF275" i="25" s="1"/>
  <c r="AD275" i="25" s="1"/>
  <c r="AG137" i="25"/>
  <c r="AF137" i="25" s="1"/>
  <c r="AD137" i="25" s="1"/>
  <c r="AG219" i="25"/>
  <c r="AF219" i="25" s="1"/>
  <c r="AD219" i="25" s="1"/>
  <c r="AG95" i="25"/>
  <c r="AF95" i="25" s="1"/>
  <c r="AD95" i="25" s="1"/>
  <c r="AG142" i="25"/>
  <c r="AF142" i="25" s="1"/>
  <c r="AD142" i="25" s="1"/>
  <c r="AG38" i="25"/>
  <c r="AF38" i="25" s="1"/>
  <c r="AD38" i="25" s="1"/>
  <c r="AG291" i="25"/>
  <c r="AF291" i="25" s="1"/>
  <c r="AD291" i="25" s="1"/>
  <c r="AG159" i="25"/>
  <c r="AF159" i="25" s="1"/>
  <c r="AD159" i="25" s="1"/>
  <c r="AG91" i="25"/>
  <c r="AF91" i="25" s="1"/>
  <c r="AD91" i="25" s="1"/>
  <c r="AG111" i="25"/>
  <c r="AF111" i="25" s="1"/>
  <c r="AD111" i="25" s="1"/>
  <c r="AG316" i="25"/>
  <c r="AF316" i="25" s="1"/>
  <c r="AD316" i="25" s="1"/>
  <c r="AG129" i="25"/>
  <c r="AF129" i="25" s="1"/>
  <c r="AD129" i="25" s="1"/>
  <c r="AG367" i="25"/>
  <c r="AF367" i="25" s="1"/>
  <c r="AD367" i="25" s="1"/>
  <c r="AG377" i="25"/>
  <c r="AF377" i="25" s="1"/>
  <c r="AD377" i="25" s="1"/>
  <c r="AG296" i="25"/>
  <c r="AF296" i="25" s="1"/>
  <c r="AD296" i="25" s="1"/>
  <c r="AG312" i="25"/>
  <c r="AF312" i="25" s="1"/>
  <c r="AD312" i="25" s="1"/>
  <c r="AG177" i="25"/>
  <c r="AF177" i="25" s="1"/>
  <c r="AD177" i="25" s="1"/>
  <c r="AG147" i="25"/>
  <c r="AF147" i="25" s="1"/>
  <c r="AD147" i="25" s="1"/>
  <c r="AG373" i="25"/>
  <c r="AF373" i="25" s="1"/>
  <c r="AD373" i="25" s="1"/>
  <c r="S104" i="25"/>
  <c r="R104" i="25" s="1"/>
  <c r="P104" i="25" s="1"/>
  <c r="V104" i="25" s="1"/>
  <c r="B104" i="25" s="1"/>
  <c r="S354" i="25"/>
  <c r="R354" i="25" s="1"/>
  <c r="P354" i="25" s="1"/>
  <c r="V354" i="25" s="1"/>
  <c r="B354" i="25" s="1"/>
  <c r="S359" i="25"/>
  <c r="R359" i="25" s="1"/>
  <c r="P359" i="25" s="1"/>
  <c r="V359" i="25" s="1"/>
  <c r="B359" i="25" s="1"/>
  <c r="S372" i="25"/>
  <c r="R372" i="25" s="1"/>
  <c r="P372" i="25" s="1"/>
  <c r="V372" i="25" s="1"/>
  <c r="B372" i="25" s="1"/>
  <c r="S334" i="25"/>
  <c r="R334" i="25" s="1"/>
  <c r="P334" i="25" s="1"/>
  <c r="V334" i="25" s="1"/>
  <c r="B334" i="25" s="1"/>
  <c r="J180" i="24"/>
  <c r="C17" i="19"/>
  <c r="F41" i="19"/>
  <c r="D16" i="19"/>
  <c r="D31" i="19" s="1"/>
  <c r="G40" i="19"/>
  <c r="H39" i="19"/>
  <c r="AJ13" i="22"/>
  <c r="P18" i="24"/>
  <c r="R382" i="24"/>
  <c r="R383" i="24"/>
  <c r="R381" i="24"/>
  <c r="AJ6" i="23"/>
  <c r="AK6" i="23"/>
  <c r="B383" i="23"/>
  <c r="H9" i="23"/>
  <c r="B18" i="19" s="1"/>
  <c r="W15" i="23"/>
  <c r="B381" i="23"/>
  <c r="D15" i="23"/>
  <c r="B382" i="23"/>
  <c r="I382" i="20"/>
  <c r="I383" i="20"/>
  <c r="I381" i="20"/>
  <c r="AI7" i="7"/>
  <c r="F7" i="6"/>
  <c r="AL7" i="20"/>
  <c r="Z382" i="20"/>
  <c r="AL8" i="20"/>
  <c r="Y15" i="20"/>
  <c r="Z9" i="20"/>
  <c r="Z381" i="20"/>
  <c r="Z383" i="20"/>
  <c r="D15" i="6"/>
  <c r="N4" i="6"/>
  <c r="AA11" i="18"/>
  <c r="AA5" i="18" s="1"/>
  <c r="I15" i="19" s="1"/>
  <c r="J15" i="19"/>
  <c r="Y11" i="18"/>
  <c r="AL13" i="18"/>
  <c r="F381" i="22"/>
  <c r="F383" i="22"/>
  <c r="AK10" i="22"/>
  <c r="AK12" i="22" s="1"/>
  <c r="AK13" i="22" s="1"/>
  <c r="AM10" i="22"/>
  <c r="AA15" i="22"/>
  <c r="AL9" i="22" s="1"/>
  <c r="F382" i="22"/>
  <c r="G15" i="22"/>
  <c r="CC15" i="6" s="1"/>
  <c r="H15" i="22"/>
  <c r="F9" i="22"/>
  <c r="J382" i="20"/>
  <c r="J383" i="20"/>
  <c r="J381" i="20"/>
  <c r="AK4" i="18"/>
  <c r="R15" i="19" s="1"/>
  <c r="AM13" i="18"/>
  <c r="AA104" i="24"/>
  <c r="Z104" i="24" s="1"/>
  <c r="Y104" i="24" s="1"/>
  <c r="AD383" i="24"/>
  <c r="AD381" i="24"/>
  <c r="AD382" i="24"/>
  <c r="D108" i="25" l="1"/>
  <c r="E108" i="25" s="1"/>
  <c r="F108" i="25" s="1"/>
  <c r="H108" i="25" s="1"/>
  <c r="G108" i="25"/>
  <c r="CF108" i="6" s="1"/>
  <c r="AA108" i="25"/>
  <c r="Z108" i="25" s="1"/>
  <c r="Y108" i="25" s="1"/>
  <c r="D236" i="25"/>
  <c r="E236" i="25" s="1"/>
  <c r="F236" i="25" s="1"/>
  <c r="H236" i="25" s="1"/>
  <c r="I236" i="25" s="1"/>
  <c r="W288" i="25"/>
  <c r="H288" i="25"/>
  <c r="I288" i="25" s="1"/>
  <c r="G288" i="25"/>
  <c r="CF288" i="6" s="1"/>
  <c r="D353" i="25"/>
  <c r="E353" i="25" s="1"/>
  <c r="F353" i="25" s="1"/>
  <c r="AA288" i="25"/>
  <c r="Z288" i="25" s="1"/>
  <c r="Y288" i="25" s="1"/>
  <c r="G236" i="25"/>
  <c r="CF236" i="6" s="1"/>
  <c r="J371" i="25"/>
  <c r="D372" i="25"/>
  <c r="E372" i="25" s="1"/>
  <c r="F372" i="25" s="1"/>
  <c r="W372" i="25"/>
  <c r="D354" i="25"/>
  <c r="E354" i="25" s="1"/>
  <c r="F354" i="25" s="1"/>
  <c r="W354" i="25"/>
  <c r="D96" i="25"/>
  <c r="E96" i="25" s="1"/>
  <c r="F96" i="25" s="1"/>
  <c r="W96" i="25"/>
  <c r="D173" i="25"/>
  <c r="E173" i="25" s="1"/>
  <c r="F173" i="25" s="1"/>
  <c r="W173" i="25"/>
  <c r="W78" i="25"/>
  <c r="D78" i="25"/>
  <c r="E78" i="25" s="1"/>
  <c r="F78" i="25" s="1"/>
  <c r="D47" i="25"/>
  <c r="E47" i="25" s="1"/>
  <c r="F47" i="25" s="1"/>
  <c r="W47" i="25"/>
  <c r="W56" i="25"/>
  <c r="D56" i="25"/>
  <c r="E56" i="25" s="1"/>
  <c r="F56" i="25" s="1"/>
  <c r="D316" i="25"/>
  <c r="E316" i="25" s="1"/>
  <c r="F316" i="25" s="1"/>
  <c r="W316" i="25"/>
  <c r="D139" i="25"/>
  <c r="E139" i="25" s="1"/>
  <c r="F139" i="25" s="1"/>
  <c r="W139" i="25"/>
  <c r="W172" i="25"/>
  <c r="D172" i="25"/>
  <c r="E172" i="25" s="1"/>
  <c r="F172" i="25" s="1"/>
  <c r="H70" i="19"/>
  <c r="D326" i="25"/>
  <c r="E326" i="25" s="1"/>
  <c r="F326" i="25" s="1"/>
  <c r="W326" i="25"/>
  <c r="W331" i="25"/>
  <c r="D331" i="25"/>
  <c r="E331" i="25" s="1"/>
  <c r="F331" i="25" s="1"/>
  <c r="W163" i="25"/>
  <c r="D163" i="25"/>
  <c r="E163" i="25" s="1"/>
  <c r="F163" i="25" s="1"/>
  <c r="D123" i="25"/>
  <c r="E123" i="25" s="1"/>
  <c r="F123" i="25" s="1"/>
  <c r="W123" i="25"/>
  <c r="W252" i="25"/>
  <c r="D252" i="25"/>
  <c r="E252" i="25" s="1"/>
  <c r="F252" i="25" s="1"/>
  <c r="D206" i="25"/>
  <c r="E206" i="25" s="1"/>
  <c r="F206" i="25" s="1"/>
  <c r="W206" i="25"/>
  <c r="D111" i="25"/>
  <c r="E111" i="25" s="1"/>
  <c r="F111" i="25" s="1"/>
  <c r="W111" i="25"/>
  <c r="W263" i="25"/>
  <c r="D263" i="25"/>
  <c r="E263" i="25" s="1"/>
  <c r="F263" i="25" s="1"/>
  <c r="W132" i="25"/>
  <c r="D132" i="25"/>
  <c r="E132" i="25" s="1"/>
  <c r="F132" i="25" s="1"/>
  <c r="D358" i="25"/>
  <c r="E358" i="25" s="1"/>
  <c r="F358" i="25" s="1"/>
  <c r="W358" i="25"/>
  <c r="D113" i="25"/>
  <c r="E113" i="25" s="1"/>
  <c r="F113" i="25" s="1"/>
  <c r="W113" i="25"/>
  <c r="W360" i="25"/>
  <c r="D360" i="25"/>
  <c r="E360" i="25" s="1"/>
  <c r="F360" i="25" s="1"/>
  <c r="W202" i="25"/>
  <c r="D202" i="25"/>
  <c r="E202" i="25" s="1"/>
  <c r="F202" i="25" s="1"/>
  <c r="W124" i="25"/>
  <c r="D124" i="25"/>
  <c r="E124" i="25" s="1"/>
  <c r="F124" i="25" s="1"/>
  <c r="W138" i="25"/>
  <c r="D138" i="25"/>
  <c r="E138" i="25" s="1"/>
  <c r="F138" i="25" s="1"/>
  <c r="D80" i="25"/>
  <c r="E80" i="25" s="1"/>
  <c r="F80" i="25" s="1"/>
  <c r="W80" i="25"/>
  <c r="W91" i="25"/>
  <c r="D91" i="25"/>
  <c r="E91" i="25" s="1"/>
  <c r="F91" i="25" s="1"/>
  <c r="V60" i="25"/>
  <c r="B60" i="25" s="1"/>
  <c r="AH69" i="7"/>
  <c r="W303" i="25"/>
  <c r="D303" i="25"/>
  <c r="E303" i="25" s="1"/>
  <c r="F303" i="25" s="1"/>
  <c r="W175" i="25"/>
  <c r="D175" i="25"/>
  <c r="E175" i="25" s="1"/>
  <c r="F175" i="25" s="1"/>
  <c r="W190" i="25"/>
  <c r="D190" i="25"/>
  <c r="E190" i="25" s="1"/>
  <c r="F190" i="25" s="1"/>
  <c r="D44" i="25"/>
  <c r="E44" i="25" s="1"/>
  <c r="F44" i="25" s="1"/>
  <c r="W44" i="25"/>
  <c r="W191" i="25"/>
  <c r="D191" i="25"/>
  <c r="E191" i="25" s="1"/>
  <c r="F191" i="25" s="1"/>
  <c r="W199" i="25"/>
  <c r="D199" i="25"/>
  <c r="E199" i="25" s="1"/>
  <c r="F199" i="25" s="1"/>
  <c r="W144" i="25"/>
  <c r="D144" i="25"/>
  <c r="E144" i="25" s="1"/>
  <c r="F144" i="25" s="1"/>
  <c r="D23" i="25"/>
  <c r="E23" i="25" s="1"/>
  <c r="F23" i="25" s="1"/>
  <c r="W23" i="25"/>
  <c r="W127" i="25"/>
  <c r="D127" i="25"/>
  <c r="E127" i="25" s="1"/>
  <c r="F127" i="25" s="1"/>
  <c r="W339" i="25"/>
  <c r="D339" i="25"/>
  <c r="E339" i="25" s="1"/>
  <c r="F339" i="25" s="1"/>
  <c r="W364" i="25"/>
  <c r="D364" i="25"/>
  <c r="E364" i="25" s="1"/>
  <c r="F364" i="25" s="1"/>
  <c r="D24" i="25"/>
  <c r="E24" i="25" s="1"/>
  <c r="F24" i="25" s="1"/>
  <c r="W24" i="25"/>
  <c r="D234" i="25"/>
  <c r="E234" i="25" s="1"/>
  <c r="F234" i="25" s="1"/>
  <c r="W234" i="25"/>
  <c r="D130" i="25"/>
  <c r="E130" i="25" s="1"/>
  <c r="F130" i="25" s="1"/>
  <c r="W130" i="25"/>
  <c r="W276" i="25"/>
  <c r="D276" i="25"/>
  <c r="E276" i="25" s="1"/>
  <c r="F276" i="25" s="1"/>
  <c r="D192" i="25"/>
  <c r="E192" i="25" s="1"/>
  <c r="F192" i="25" s="1"/>
  <c r="W192" i="25"/>
  <c r="W85" i="25"/>
  <c r="D85" i="25"/>
  <c r="E85" i="25" s="1"/>
  <c r="F85" i="25" s="1"/>
  <c r="W33" i="25"/>
  <c r="D33" i="25"/>
  <c r="E33" i="25" s="1"/>
  <c r="F33" i="25" s="1"/>
  <c r="W165" i="25"/>
  <c r="D165" i="25"/>
  <c r="E165" i="25" s="1"/>
  <c r="F165" i="25" s="1"/>
  <c r="W291" i="25"/>
  <c r="D291" i="25"/>
  <c r="E291" i="25" s="1"/>
  <c r="F291" i="25" s="1"/>
  <c r="D301" i="25"/>
  <c r="E301" i="25" s="1"/>
  <c r="F301" i="25" s="1"/>
  <c r="W301" i="25"/>
  <c r="D89" i="25"/>
  <c r="E89" i="25" s="1"/>
  <c r="F89" i="25" s="1"/>
  <c r="W89" i="25"/>
  <c r="W67" i="25"/>
  <c r="D67" i="25"/>
  <c r="E67" i="25" s="1"/>
  <c r="F67" i="25" s="1"/>
  <c r="W224" i="25"/>
  <c r="D224" i="25"/>
  <c r="E224" i="25" s="1"/>
  <c r="F224" i="25" s="1"/>
  <c r="W214" i="25"/>
  <c r="D214" i="25"/>
  <c r="E214" i="25" s="1"/>
  <c r="F214" i="25" s="1"/>
  <c r="W228" i="25"/>
  <c r="D228" i="25"/>
  <c r="E228" i="25" s="1"/>
  <c r="F228" i="25" s="1"/>
  <c r="D146" i="25"/>
  <c r="E146" i="25" s="1"/>
  <c r="F146" i="25" s="1"/>
  <c r="W146" i="25"/>
  <c r="W121" i="25"/>
  <c r="D121" i="25"/>
  <c r="E121" i="25" s="1"/>
  <c r="F121" i="25" s="1"/>
  <c r="D223" i="25"/>
  <c r="E223" i="25" s="1"/>
  <c r="F223" i="25" s="1"/>
  <c r="W223" i="25"/>
  <c r="W357" i="25"/>
  <c r="D357" i="25"/>
  <c r="E357" i="25" s="1"/>
  <c r="F357" i="25" s="1"/>
  <c r="W269" i="25"/>
  <c r="D269" i="25"/>
  <c r="E269" i="25" s="1"/>
  <c r="F269" i="25" s="1"/>
  <c r="D97" i="25"/>
  <c r="E97" i="25" s="1"/>
  <c r="F97" i="25" s="1"/>
  <c r="W97" i="25"/>
  <c r="W58" i="25"/>
  <c r="D58" i="25"/>
  <c r="E58" i="25" s="1"/>
  <c r="F58" i="25" s="1"/>
  <c r="D28" i="25"/>
  <c r="E28" i="25" s="1"/>
  <c r="F28" i="25" s="1"/>
  <c r="W28" i="25"/>
  <c r="D36" i="25"/>
  <c r="E36" i="25" s="1"/>
  <c r="F36" i="25" s="1"/>
  <c r="W36" i="25"/>
  <c r="W43" i="25"/>
  <c r="D43" i="25"/>
  <c r="E43" i="25" s="1"/>
  <c r="F43" i="25" s="1"/>
  <c r="D195" i="25"/>
  <c r="E195" i="25" s="1"/>
  <c r="F195" i="25" s="1"/>
  <c r="W195" i="25"/>
  <c r="W280" i="25"/>
  <c r="D280" i="25"/>
  <c r="E280" i="25" s="1"/>
  <c r="F280" i="25" s="1"/>
  <c r="W185" i="25"/>
  <c r="D185" i="25"/>
  <c r="E185" i="25" s="1"/>
  <c r="F185" i="25" s="1"/>
  <c r="W305" i="25"/>
  <c r="D305" i="25"/>
  <c r="E305" i="25" s="1"/>
  <c r="F305" i="25" s="1"/>
  <c r="D310" i="25"/>
  <c r="E310" i="25" s="1"/>
  <c r="F310" i="25" s="1"/>
  <c r="W310" i="25"/>
  <c r="W136" i="25"/>
  <c r="D136" i="25"/>
  <c r="E136" i="25" s="1"/>
  <c r="F136" i="25" s="1"/>
  <c r="D200" i="25"/>
  <c r="E200" i="25" s="1"/>
  <c r="F200" i="25" s="1"/>
  <c r="W200" i="25"/>
  <c r="D256" i="25"/>
  <c r="E256" i="25" s="1"/>
  <c r="F256" i="25" s="1"/>
  <c r="W256" i="25"/>
  <c r="W377" i="25"/>
  <c r="D377" i="25"/>
  <c r="E377" i="25" s="1"/>
  <c r="F377" i="25" s="1"/>
  <c r="D103" i="25"/>
  <c r="E103" i="25" s="1"/>
  <c r="F103" i="25" s="1"/>
  <c r="W103" i="25"/>
  <c r="D120" i="25"/>
  <c r="E120" i="25" s="1"/>
  <c r="F120" i="25" s="1"/>
  <c r="W120" i="25"/>
  <c r="W340" i="25"/>
  <c r="D340" i="25"/>
  <c r="E340" i="25" s="1"/>
  <c r="F340" i="25" s="1"/>
  <c r="D352" i="25"/>
  <c r="E352" i="25" s="1"/>
  <c r="F352" i="25" s="1"/>
  <c r="W352" i="25"/>
  <c r="D313" i="25"/>
  <c r="E313" i="25" s="1"/>
  <c r="F313" i="25" s="1"/>
  <c r="W313" i="25"/>
  <c r="D156" i="25"/>
  <c r="E156" i="25" s="1"/>
  <c r="F156" i="25" s="1"/>
  <c r="W156" i="25"/>
  <c r="W171" i="25"/>
  <c r="D171" i="25"/>
  <c r="E171" i="25" s="1"/>
  <c r="F171" i="25" s="1"/>
  <c r="D309" i="25"/>
  <c r="E309" i="25" s="1"/>
  <c r="F309" i="25" s="1"/>
  <c r="W309" i="25"/>
  <c r="W334" i="25"/>
  <c r="D334" i="25"/>
  <c r="E334" i="25" s="1"/>
  <c r="F334" i="25" s="1"/>
  <c r="W359" i="25"/>
  <c r="D359" i="25"/>
  <c r="E359" i="25" s="1"/>
  <c r="F359" i="25" s="1"/>
  <c r="W104" i="25"/>
  <c r="D104" i="25"/>
  <c r="E104" i="25" s="1"/>
  <c r="F104" i="25" s="1"/>
  <c r="W299" i="25"/>
  <c r="D299" i="25"/>
  <c r="E299" i="25" s="1"/>
  <c r="F299" i="25" s="1"/>
  <c r="W157" i="25"/>
  <c r="D157" i="25"/>
  <c r="E157" i="25" s="1"/>
  <c r="F157" i="25" s="1"/>
  <c r="W168" i="25"/>
  <c r="D168" i="25"/>
  <c r="E168" i="25" s="1"/>
  <c r="F168" i="25" s="1"/>
  <c r="W174" i="25"/>
  <c r="D174" i="25"/>
  <c r="E174" i="25" s="1"/>
  <c r="F174" i="25" s="1"/>
  <c r="D189" i="25"/>
  <c r="E189" i="25" s="1"/>
  <c r="F189" i="25" s="1"/>
  <c r="W189" i="25"/>
  <c r="W158" i="25"/>
  <c r="D158" i="25"/>
  <c r="E158" i="25" s="1"/>
  <c r="F158" i="25" s="1"/>
  <c r="W306" i="25"/>
  <c r="D306" i="25"/>
  <c r="E306" i="25" s="1"/>
  <c r="F306" i="25" s="1"/>
  <c r="D311" i="25"/>
  <c r="E311" i="25" s="1"/>
  <c r="F311" i="25" s="1"/>
  <c r="W311" i="25"/>
  <c r="W325" i="25"/>
  <c r="D325" i="25"/>
  <c r="E325" i="25" s="1"/>
  <c r="F325" i="25" s="1"/>
  <c r="W287" i="25"/>
  <c r="D287" i="25"/>
  <c r="E287" i="25" s="1"/>
  <c r="F287" i="25" s="1"/>
  <c r="D86" i="25"/>
  <c r="E86" i="25" s="1"/>
  <c r="F86" i="25" s="1"/>
  <c r="W86" i="25"/>
  <c r="W64" i="25"/>
  <c r="D64" i="25"/>
  <c r="E64" i="25" s="1"/>
  <c r="F64" i="25" s="1"/>
  <c r="D94" i="25"/>
  <c r="E94" i="25" s="1"/>
  <c r="F94" i="25" s="1"/>
  <c r="W94" i="25"/>
  <c r="W122" i="25"/>
  <c r="D122" i="25"/>
  <c r="E122" i="25" s="1"/>
  <c r="F122" i="25" s="1"/>
  <c r="D330" i="25"/>
  <c r="E330" i="25" s="1"/>
  <c r="F330" i="25" s="1"/>
  <c r="W330" i="25"/>
  <c r="D370" i="25"/>
  <c r="E370" i="25" s="1"/>
  <c r="F370" i="25" s="1"/>
  <c r="W370" i="25"/>
  <c r="W375" i="25"/>
  <c r="D375" i="25"/>
  <c r="E375" i="25" s="1"/>
  <c r="F375" i="25" s="1"/>
  <c r="W205" i="25"/>
  <c r="D205" i="25"/>
  <c r="E205" i="25" s="1"/>
  <c r="F205" i="25" s="1"/>
  <c r="W222" i="25"/>
  <c r="D222" i="25"/>
  <c r="E222" i="25" s="1"/>
  <c r="F222" i="25" s="1"/>
  <c r="W48" i="25"/>
  <c r="D48" i="25"/>
  <c r="E48" i="25" s="1"/>
  <c r="F48" i="25" s="1"/>
  <c r="W217" i="25"/>
  <c r="D217" i="25"/>
  <c r="E217" i="25" s="1"/>
  <c r="F217" i="25" s="1"/>
  <c r="W251" i="25"/>
  <c r="D251" i="25"/>
  <c r="E251" i="25" s="1"/>
  <c r="F251" i="25" s="1"/>
  <c r="V241" i="25"/>
  <c r="B241" i="25" s="1"/>
  <c r="AH75" i="7"/>
  <c r="W246" i="25"/>
  <c r="D246" i="25"/>
  <c r="E246" i="25" s="1"/>
  <c r="F246" i="25" s="1"/>
  <c r="D129" i="25"/>
  <c r="E129" i="25" s="1"/>
  <c r="F129" i="25" s="1"/>
  <c r="W129" i="25"/>
  <c r="D75" i="25"/>
  <c r="E75" i="25" s="1"/>
  <c r="F75" i="25" s="1"/>
  <c r="W75" i="25"/>
  <c r="D346" i="25"/>
  <c r="E346" i="25" s="1"/>
  <c r="F346" i="25" s="1"/>
  <c r="W346" i="25"/>
  <c r="W35" i="25"/>
  <c r="D35" i="25"/>
  <c r="E35" i="25" s="1"/>
  <c r="F35" i="25" s="1"/>
  <c r="D16" i="25"/>
  <c r="E16" i="25" s="1"/>
  <c r="F16" i="25" s="1"/>
  <c r="W16" i="25"/>
  <c r="D221" i="25"/>
  <c r="E221" i="25" s="1"/>
  <c r="F221" i="25" s="1"/>
  <c r="W221" i="25"/>
  <c r="W315" i="25"/>
  <c r="D315" i="25"/>
  <c r="E315" i="25" s="1"/>
  <c r="F315" i="25" s="1"/>
  <c r="D184" i="25"/>
  <c r="E184" i="25" s="1"/>
  <c r="F184" i="25" s="1"/>
  <c r="W184" i="25"/>
  <c r="D376" i="25"/>
  <c r="E376" i="25" s="1"/>
  <c r="F376" i="25" s="1"/>
  <c r="W376" i="25"/>
  <c r="W62" i="25"/>
  <c r="D62" i="25"/>
  <c r="E62" i="25" s="1"/>
  <c r="F62" i="25" s="1"/>
  <c r="W248" i="25"/>
  <c r="D248" i="25"/>
  <c r="E248" i="25" s="1"/>
  <c r="F248" i="25" s="1"/>
  <c r="W283" i="25"/>
  <c r="D283" i="25"/>
  <c r="E283" i="25" s="1"/>
  <c r="F283" i="25" s="1"/>
  <c r="D77" i="25"/>
  <c r="E77" i="25" s="1"/>
  <c r="F77" i="25" s="1"/>
  <c r="W77" i="25"/>
  <c r="W215" i="25"/>
  <c r="D215" i="25"/>
  <c r="E215" i="25" s="1"/>
  <c r="F215" i="25" s="1"/>
  <c r="D160" i="25"/>
  <c r="E160" i="25" s="1"/>
  <c r="F160" i="25" s="1"/>
  <c r="W160" i="25"/>
  <c r="W107" i="25"/>
  <c r="D107" i="25"/>
  <c r="E107" i="25" s="1"/>
  <c r="F107" i="25" s="1"/>
  <c r="D322" i="25"/>
  <c r="E322" i="25" s="1"/>
  <c r="F322" i="25" s="1"/>
  <c r="W322" i="25"/>
  <c r="W247" i="25"/>
  <c r="D247" i="25"/>
  <c r="E247" i="25" s="1"/>
  <c r="F247" i="25" s="1"/>
  <c r="AH78" i="7"/>
  <c r="V333" i="25"/>
  <c r="B333" i="25" s="1"/>
  <c r="D351" i="25"/>
  <c r="E351" i="25" s="1"/>
  <c r="F351" i="25" s="1"/>
  <c r="W351" i="25"/>
  <c r="W314" i="25"/>
  <c r="D314" i="25"/>
  <c r="E314" i="25" s="1"/>
  <c r="F314" i="25" s="1"/>
  <c r="W150" i="25"/>
  <c r="D150" i="25"/>
  <c r="E150" i="25" s="1"/>
  <c r="F150" i="25" s="1"/>
  <c r="W147" i="25"/>
  <c r="D147" i="25"/>
  <c r="E147" i="25" s="1"/>
  <c r="F147" i="25" s="1"/>
  <c r="D167" i="25"/>
  <c r="E167" i="25" s="1"/>
  <c r="F167" i="25" s="1"/>
  <c r="W167" i="25"/>
  <c r="D21" i="25"/>
  <c r="E21" i="25" s="1"/>
  <c r="F21" i="25" s="1"/>
  <c r="W21" i="25"/>
  <c r="D54" i="25"/>
  <c r="E54" i="25" s="1"/>
  <c r="F54" i="25" s="1"/>
  <c r="W54" i="25"/>
  <c r="W162" i="25"/>
  <c r="D162" i="25"/>
  <c r="E162" i="25" s="1"/>
  <c r="F162" i="25" s="1"/>
  <c r="W84" i="25"/>
  <c r="D84" i="25"/>
  <c r="E84" i="25" s="1"/>
  <c r="F84" i="25" s="1"/>
  <c r="W245" i="25"/>
  <c r="D245" i="25"/>
  <c r="E245" i="25" s="1"/>
  <c r="F245" i="25" s="1"/>
  <c r="D235" i="25"/>
  <c r="E235" i="25" s="1"/>
  <c r="F235" i="25" s="1"/>
  <c r="W235" i="25"/>
  <c r="W367" i="25"/>
  <c r="D367" i="25"/>
  <c r="E367" i="25" s="1"/>
  <c r="F367" i="25" s="1"/>
  <c r="D20" i="25"/>
  <c r="E20" i="25" s="1"/>
  <c r="F20" i="25" s="1"/>
  <c r="W20" i="25"/>
  <c r="W102" i="25"/>
  <c r="D102" i="25"/>
  <c r="E102" i="25" s="1"/>
  <c r="F102" i="25" s="1"/>
  <c r="D347" i="25"/>
  <c r="E347" i="25" s="1"/>
  <c r="F347" i="25" s="1"/>
  <c r="W347" i="25"/>
  <c r="W355" i="25"/>
  <c r="D355" i="25"/>
  <c r="E355" i="25" s="1"/>
  <c r="F355" i="25" s="1"/>
  <c r="W374" i="25"/>
  <c r="D374" i="25"/>
  <c r="E374" i="25" s="1"/>
  <c r="F374" i="25" s="1"/>
  <c r="D344" i="25"/>
  <c r="E344" i="25" s="1"/>
  <c r="F344" i="25" s="1"/>
  <c r="W344" i="25"/>
  <c r="D143" i="25"/>
  <c r="E143" i="25" s="1"/>
  <c r="F143" i="25" s="1"/>
  <c r="W143" i="25"/>
  <c r="W148" i="25"/>
  <c r="D148" i="25"/>
  <c r="E148" i="25" s="1"/>
  <c r="F148" i="25" s="1"/>
  <c r="W153" i="25"/>
  <c r="D153" i="25"/>
  <c r="E153" i="25" s="1"/>
  <c r="F153" i="25" s="1"/>
  <c r="D51" i="25"/>
  <c r="E51" i="25" s="1"/>
  <c r="F51" i="25" s="1"/>
  <c r="W51" i="25"/>
  <c r="D76" i="25"/>
  <c r="E76" i="25" s="1"/>
  <c r="F76" i="25" s="1"/>
  <c r="W76" i="25"/>
  <c r="D41" i="25"/>
  <c r="E41" i="25" s="1"/>
  <c r="F41" i="25" s="1"/>
  <c r="W41" i="25"/>
  <c r="W50" i="25"/>
  <c r="D50" i="25"/>
  <c r="E50" i="25" s="1"/>
  <c r="F50" i="25" s="1"/>
  <c r="D59" i="25"/>
  <c r="E59" i="25" s="1"/>
  <c r="F59" i="25" s="1"/>
  <c r="W59" i="25"/>
  <c r="D277" i="25"/>
  <c r="E277" i="25" s="1"/>
  <c r="F277" i="25" s="1"/>
  <c r="W277" i="25"/>
  <c r="D296" i="25"/>
  <c r="E296" i="25" s="1"/>
  <c r="F296" i="25" s="1"/>
  <c r="W296" i="25"/>
  <c r="W285" i="25"/>
  <c r="D285" i="25"/>
  <c r="E285" i="25" s="1"/>
  <c r="F285" i="25" s="1"/>
  <c r="W238" i="25"/>
  <c r="D238" i="25"/>
  <c r="E238" i="25" s="1"/>
  <c r="F238" i="25" s="1"/>
  <c r="W259" i="25"/>
  <c r="D259" i="25"/>
  <c r="E259" i="25" s="1"/>
  <c r="F259" i="25" s="1"/>
  <c r="D100" i="25"/>
  <c r="E100" i="25" s="1"/>
  <c r="F100" i="25" s="1"/>
  <c r="W100" i="25"/>
  <c r="D237" i="25"/>
  <c r="E237" i="25" s="1"/>
  <c r="F237" i="25" s="1"/>
  <c r="W237" i="25"/>
  <c r="D128" i="25"/>
  <c r="E128" i="25" s="1"/>
  <c r="F128" i="25" s="1"/>
  <c r="W128" i="25"/>
  <c r="W118" i="25"/>
  <c r="D118" i="25"/>
  <c r="E118" i="25" s="1"/>
  <c r="F118" i="25" s="1"/>
  <c r="W369" i="25"/>
  <c r="D369" i="25"/>
  <c r="E369" i="25" s="1"/>
  <c r="F369" i="25" s="1"/>
  <c r="W286" i="25"/>
  <c r="D286" i="25"/>
  <c r="E286" i="25" s="1"/>
  <c r="F286" i="25" s="1"/>
  <c r="W262" i="25"/>
  <c r="D262" i="25"/>
  <c r="E262" i="25" s="1"/>
  <c r="F262" i="25" s="1"/>
  <c r="W140" i="25"/>
  <c r="D140" i="25"/>
  <c r="E140" i="25" s="1"/>
  <c r="F140" i="25" s="1"/>
  <c r="D329" i="25"/>
  <c r="E329" i="25" s="1"/>
  <c r="F329" i="25" s="1"/>
  <c r="W329" i="25"/>
  <c r="AH383" i="25"/>
  <c r="AH382" i="25"/>
  <c r="AG15" i="25"/>
  <c r="AH381" i="25"/>
  <c r="AA341" i="25"/>
  <c r="Z341" i="25" s="1"/>
  <c r="Y341" i="25" s="1"/>
  <c r="H341" i="25"/>
  <c r="G341" i="25"/>
  <c r="CF341" i="6" s="1"/>
  <c r="AA40" i="25"/>
  <c r="Z40" i="25" s="1"/>
  <c r="Y40" i="25" s="1"/>
  <c r="H40" i="25"/>
  <c r="G40" i="25"/>
  <c r="CF40" i="6" s="1"/>
  <c r="G207" i="25"/>
  <c r="CF207" i="6" s="1"/>
  <c r="H207" i="25"/>
  <c r="AA207" i="25"/>
  <c r="Z207" i="25" s="1"/>
  <c r="Y207" i="25" s="1"/>
  <c r="H267" i="25"/>
  <c r="G267" i="25"/>
  <c r="CF267" i="6" s="1"/>
  <c r="AA267" i="25"/>
  <c r="Z267" i="25" s="1"/>
  <c r="Y267" i="25" s="1"/>
  <c r="W242" i="25"/>
  <c r="D242" i="25"/>
  <c r="E242" i="25" s="1"/>
  <c r="F242" i="25" s="1"/>
  <c r="D255" i="25"/>
  <c r="E255" i="25" s="1"/>
  <c r="F255" i="25" s="1"/>
  <c r="W255" i="25"/>
  <c r="AH72" i="7"/>
  <c r="V149" i="25"/>
  <c r="B149" i="25" s="1"/>
  <c r="D270" i="25"/>
  <c r="E270" i="25" s="1"/>
  <c r="F270" i="25" s="1"/>
  <c r="W270" i="25"/>
  <c r="D337" i="25"/>
  <c r="E337" i="25" s="1"/>
  <c r="F337" i="25" s="1"/>
  <c r="W337" i="25"/>
  <c r="W101" i="25"/>
  <c r="D101" i="25"/>
  <c r="E101" i="25" s="1"/>
  <c r="F101" i="25" s="1"/>
  <c r="W348" i="25"/>
  <c r="D348" i="25"/>
  <c r="E348" i="25" s="1"/>
  <c r="F348" i="25" s="1"/>
  <c r="W226" i="25"/>
  <c r="D226" i="25"/>
  <c r="E226" i="25" s="1"/>
  <c r="F226" i="25" s="1"/>
  <c r="W350" i="25"/>
  <c r="D350" i="25"/>
  <c r="E350" i="25" s="1"/>
  <c r="F350" i="25" s="1"/>
  <c r="D225" i="25"/>
  <c r="E225" i="25" s="1"/>
  <c r="F225" i="25" s="1"/>
  <c r="W225" i="25"/>
  <c r="W249" i="25"/>
  <c r="D249" i="25"/>
  <c r="E249" i="25" s="1"/>
  <c r="F249" i="25" s="1"/>
  <c r="W365" i="25"/>
  <c r="D365" i="25"/>
  <c r="E365" i="25" s="1"/>
  <c r="F365" i="25" s="1"/>
  <c r="G110" i="25"/>
  <c r="CF110" i="6" s="1"/>
  <c r="H110" i="25"/>
  <c r="AA110" i="25"/>
  <c r="Z110" i="25" s="1"/>
  <c r="Y110" i="25" s="1"/>
  <c r="W366" i="25"/>
  <c r="D366" i="25"/>
  <c r="E366" i="25" s="1"/>
  <c r="F366" i="25" s="1"/>
  <c r="D117" i="25"/>
  <c r="E117" i="25" s="1"/>
  <c r="F117" i="25" s="1"/>
  <c r="W117" i="25"/>
  <c r="W328" i="25"/>
  <c r="D328" i="25"/>
  <c r="E328" i="25" s="1"/>
  <c r="F328" i="25" s="1"/>
  <c r="W253" i="25"/>
  <c r="D253" i="25"/>
  <c r="E253" i="25" s="1"/>
  <c r="F253" i="25" s="1"/>
  <c r="W126" i="25"/>
  <c r="D126" i="25"/>
  <c r="E126" i="25" s="1"/>
  <c r="F126" i="25" s="1"/>
  <c r="D212" i="25"/>
  <c r="E212" i="25" s="1"/>
  <c r="F212" i="25" s="1"/>
  <c r="W212" i="25"/>
  <c r="H133" i="25"/>
  <c r="AA133" i="25"/>
  <c r="Z133" i="25" s="1"/>
  <c r="Y133" i="25" s="1"/>
  <c r="G133" i="25"/>
  <c r="CF133" i="6" s="1"/>
  <c r="D109" i="25"/>
  <c r="E109" i="25" s="1"/>
  <c r="F109" i="25" s="1"/>
  <c r="W109" i="25"/>
  <c r="D137" i="25"/>
  <c r="E137" i="25" s="1"/>
  <c r="F137" i="25" s="1"/>
  <c r="W137" i="25"/>
  <c r="W26" i="25"/>
  <c r="D26" i="25"/>
  <c r="E26" i="25" s="1"/>
  <c r="F26" i="25" s="1"/>
  <c r="W229" i="25"/>
  <c r="D229" i="25"/>
  <c r="E229" i="25" s="1"/>
  <c r="F229" i="25" s="1"/>
  <c r="D69" i="25"/>
  <c r="E69" i="25" s="1"/>
  <c r="F69" i="25" s="1"/>
  <c r="W69" i="25"/>
  <c r="W274" i="25"/>
  <c r="D274" i="25"/>
  <c r="E274" i="25" s="1"/>
  <c r="F274" i="25" s="1"/>
  <c r="D279" i="25"/>
  <c r="E279" i="25" s="1"/>
  <c r="F279" i="25" s="1"/>
  <c r="W279" i="25"/>
  <c r="D292" i="25"/>
  <c r="E292" i="25" s="1"/>
  <c r="F292" i="25" s="1"/>
  <c r="W292" i="25"/>
  <c r="D82" i="25"/>
  <c r="E82" i="25" s="1"/>
  <c r="F82" i="25" s="1"/>
  <c r="W82" i="25"/>
  <c r="D39" i="25"/>
  <c r="E39" i="25" s="1"/>
  <c r="F39" i="25" s="1"/>
  <c r="W39" i="25"/>
  <c r="W177" i="25"/>
  <c r="D177" i="25"/>
  <c r="E177" i="25" s="1"/>
  <c r="F177" i="25" s="1"/>
  <c r="AH77" i="7"/>
  <c r="V302" i="25"/>
  <c r="B302" i="25" s="1"/>
  <c r="D304" i="25"/>
  <c r="E304" i="25" s="1"/>
  <c r="F304" i="25" s="1"/>
  <c r="W304" i="25"/>
  <c r="D37" i="25"/>
  <c r="E37" i="25" s="1"/>
  <c r="F37" i="25" s="1"/>
  <c r="W37" i="25"/>
  <c r="W317" i="25"/>
  <c r="D317" i="25"/>
  <c r="E317" i="25" s="1"/>
  <c r="F317" i="25" s="1"/>
  <c r="W65" i="25"/>
  <c r="D65" i="25"/>
  <c r="E65" i="25" s="1"/>
  <c r="F65" i="25" s="1"/>
  <c r="D194" i="25"/>
  <c r="E194" i="25" s="1"/>
  <c r="F194" i="25" s="1"/>
  <c r="W194" i="25"/>
  <c r="D42" i="25"/>
  <c r="E42" i="25" s="1"/>
  <c r="F42" i="25" s="1"/>
  <c r="W42" i="25"/>
  <c r="D204" i="25"/>
  <c r="E204" i="25" s="1"/>
  <c r="F204" i="25" s="1"/>
  <c r="W204" i="25"/>
  <c r="D79" i="25"/>
  <c r="E79" i="25" s="1"/>
  <c r="F79" i="25" s="1"/>
  <c r="W79" i="25"/>
  <c r="D188" i="25"/>
  <c r="E188" i="25" s="1"/>
  <c r="F188" i="25" s="1"/>
  <c r="W188" i="25"/>
  <c r="W198" i="25"/>
  <c r="D198" i="25"/>
  <c r="E198" i="25" s="1"/>
  <c r="F198" i="25" s="1"/>
  <c r="D182" i="25"/>
  <c r="E182" i="25" s="1"/>
  <c r="F182" i="25" s="1"/>
  <c r="W182" i="25"/>
  <c r="W52" i="25"/>
  <c r="D52" i="25"/>
  <c r="E52" i="25" s="1"/>
  <c r="F52" i="25" s="1"/>
  <c r="W27" i="25"/>
  <c r="D27" i="25"/>
  <c r="E27" i="25" s="1"/>
  <c r="F27" i="25" s="1"/>
  <c r="W53" i="25"/>
  <c r="D53" i="25"/>
  <c r="E53" i="25" s="1"/>
  <c r="F53" i="25" s="1"/>
  <c r="D55" i="25"/>
  <c r="E55" i="25" s="1"/>
  <c r="F55" i="25" s="1"/>
  <c r="W55" i="25"/>
  <c r="W71" i="25"/>
  <c r="D71" i="25"/>
  <c r="E71" i="25" s="1"/>
  <c r="F71" i="25" s="1"/>
  <c r="D307" i="25"/>
  <c r="E307" i="25" s="1"/>
  <c r="F307" i="25" s="1"/>
  <c r="W307" i="25"/>
  <c r="W176" i="25"/>
  <c r="D176" i="25"/>
  <c r="E176" i="25" s="1"/>
  <c r="F176" i="25" s="1"/>
  <c r="D68" i="25"/>
  <c r="E68" i="25" s="1"/>
  <c r="F68" i="25" s="1"/>
  <c r="W68" i="25"/>
  <c r="G265" i="25"/>
  <c r="CF265" i="6" s="1"/>
  <c r="AA265" i="25"/>
  <c r="Z265" i="25" s="1"/>
  <c r="Y265" i="25" s="1"/>
  <c r="H265" i="25"/>
  <c r="V88" i="25"/>
  <c r="B88" i="25" s="1"/>
  <c r="AH70" i="7"/>
  <c r="W193" i="25"/>
  <c r="D193" i="25"/>
  <c r="E193" i="25" s="1"/>
  <c r="F193" i="25" s="1"/>
  <c r="W254" i="25"/>
  <c r="D254" i="25"/>
  <c r="E254" i="25" s="1"/>
  <c r="F254" i="25" s="1"/>
  <c r="W321" i="25"/>
  <c r="D321" i="25"/>
  <c r="E321" i="25" s="1"/>
  <c r="F321" i="25" s="1"/>
  <c r="W281" i="25"/>
  <c r="D281" i="25"/>
  <c r="E281" i="25" s="1"/>
  <c r="F281" i="25" s="1"/>
  <c r="W332" i="25"/>
  <c r="D332" i="25"/>
  <c r="E332" i="25" s="1"/>
  <c r="F332" i="25" s="1"/>
  <c r="D210" i="25"/>
  <c r="E210" i="25" s="1"/>
  <c r="F210" i="25" s="1"/>
  <c r="W210" i="25"/>
  <c r="W209" i="25"/>
  <c r="D209" i="25"/>
  <c r="E209" i="25" s="1"/>
  <c r="F209" i="25" s="1"/>
  <c r="D233" i="25"/>
  <c r="E233" i="25" s="1"/>
  <c r="F233" i="25" s="1"/>
  <c r="W233" i="25"/>
  <c r="D220" i="25"/>
  <c r="E220" i="25" s="1"/>
  <c r="F220" i="25" s="1"/>
  <c r="W220" i="25"/>
  <c r="W112" i="25"/>
  <c r="D112" i="25"/>
  <c r="E112" i="25" s="1"/>
  <c r="F112" i="25" s="1"/>
  <c r="D106" i="25"/>
  <c r="E106" i="25" s="1"/>
  <c r="F106" i="25" s="1"/>
  <c r="W106" i="25"/>
  <c r="D61" i="25"/>
  <c r="E61" i="25" s="1"/>
  <c r="F61" i="25" s="1"/>
  <c r="W61" i="25"/>
  <c r="W19" i="25"/>
  <c r="D19" i="25"/>
  <c r="E19" i="25" s="1"/>
  <c r="F19" i="25" s="1"/>
  <c r="D218" i="25"/>
  <c r="E218" i="25" s="1"/>
  <c r="F218" i="25" s="1"/>
  <c r="W218" i="25"/>
  <c r="W73" i="25"/>
  <c r="D73" i="25"/>
  <c r="E73" i="25" s="1"/>
  <c r="F73" i="25" s="1"/>
  <c r="D268" i="25"/>
  <c r="E268" i="25" s="1"/>
  <c r="F268" i="25" s="1"/>
  <c r="W268" i="25"/>
  <c r="W70" i="25"/>
  <c r="D70" i="25"/>
  <c r="E70" i="25" s="1"/>
  <c r="F70" i="25" s="1"/>
  <c r="D152" i="25"/>
  <c r="E152" i="25" s="1"/>
  <c r="F152" i="25" s="1"/>
  <c r="W152" i="25"/>
  <c r="W31" i="25"/>
  <c r="D31" i="25"/>
  <c r="E31" i="25" s="1"/>
  <c r="F31" i="25" s="1"/>
  <c r="D318" i="25"/>
  <c r="E318" i="25" s="1"/>
  <c r="F318" i="25" s="1"/>
  <c r="W318" i="25"/>
  <c r="S15" i="25"/>
  <c r="T382" i="25"/>
  <c r="T383" i="25"/>
  <c r="T381" i="25"/>
  <c r="D216" i="25"/>
  <c r="E216" i="25" s="1"/>
  <c r="F216" i="25" s="1"/>
  <c r="W216" i="25"/>
  <c r="D38" i="25"/>
  <c r="E38" i="25" s="1"/>
  <c r="F38" i="25" s="1"/>
  <c r="W38" i="25"/>
  <c r="W275" i="25"/>
  <c r="D275" i="25"/>
  <c r="E275" i="25" s="1"/>
  <c r="F275" i="25" s="1"/>
  <c r="W335" i="25"/>
  <c r="D335" i="25"/>
  <c r="E335" i="25" s="1"/>
  <c r="F335" i="25" s="1"/>
  <c r="V272" i="25"/>
  <c r="B272" i="25" s="1"/>
  <c r="AH76" i="7"/>
  <c r="W297" i="25"/>
  <c r="D297" i="25"/>
  <c r="E297" i="25" s="1"/>
  <c r="F297" i="25" s="1"/>
  <c r="W142" i="25"/>
  <c r="D142" i="25"/>
  <c r="E142" i="25" s="1"/>
  <c r="F142" i="25" s="1"/>
  <c r="D213" i="25"/>
  <c r="E213" i="25" s="1"/>
  <c r="F213" i="25" s="1"/>
  <c r="W213" i="25"/>
  <c r="D131" i="25"/>
  <c r="E131" i="25" s="1"/>
  <c r="F131" i="25" s="1"/>
  <c r="W131" i="25"/>
  <c r="D57" i="25"/>
  <c r="E57" i="25" s="1"/>
  <c r="F57" i="25" s="1"/>
  <c r="W57" i="25"/>
  <c r="W145" i="25"/>
  <c r="D145" i="25"/>
  <c r="E145" i="25" s="1"/>
  <c r="F145" i="25" s="1"/>
  <c r="D66" i="25"/>
  <c r="E66" i="25" s="1"/>
  <c r="F66" i="25" s="1"/>
  <c r="W66" i="25"/>
  <c r="W170" i="25"/>
  <c r="D170" i="25"/>
  <c r="E170" i="25" s="1"/>
  <c r="F170" i="25" s="1"/>
  <c r="W134" i="25"/>
  <c r="D134" i="25"/>
  <c r="E134" i="25" s="1"/>
  <c r="F134" i="25" s="1"/>
  <c r="W293" i="25"/>
  <c r="D293" i="25"/>
  <c r="E293" i="25" s="1"/>
  <c r="F293" i="25" s="1"/>
  <c r="W320" i="25"/>
  <c r="D320" i="25"/>
  <c r="E320" i="25" s="1"/>
  <c r="F320" i="25" s="1"/>
  <c r="W125" i="25"/>
  <c r="D125" i="25"/>
  <c r="E125" i="25" s="1"/>
  <c r="F125" i="25" s="1"/>
  <c r="W327" i="25"/>
  <c r="D327" i="25"/>
  <c r="E327" i="25" s="1"/>
  <c r="F327" i="25" s="1"/>
  <c r="D151" i="25"/>
  <c r="E151" i="25" s="1"/>
  <c r="F151" i="25" s="1"/>
  <c r="W151" i="25"/>
  <c r="W373" i="25"/>
  <c r="D373" i="25"/>
  <c r="E373" i="25" s="1"/>
  <c r="F373" i="25" s="1"/>
  <c r="H208" i="25"/>
  <c r="AA208" i="25"/>
  <c r="Z208" i="25" s="1"/>
  <c r="Y208" i="25" s="1"/>
  <c r="G208" i="25"/>
  <c r="CF208" i="6" s="1"/>
  <c r="W264" i="25"/>
  <c r="D264" i="25"/>
  <c r="E264" i="25" s="1"/>
  <c r="F264" i="25" s="1"/>
  <c r="D343" i="25"/>
  <c r="E343" i="25" s="1"/>
  <c r="F343" i="25" s="1"/>
  <c r="W343" i="25"/>
  <c r="V363" i="25"/>
  <c r="B363" i="25" s="1"/>
  <c r="AH79" i="7"/>
  <c r="W22" i="25"/>
  <c r="D22" i="25"/>
  <c r="E22" i="25" s="1"/>
  <c r="F22" i="25" s="1"/>
  <c r="D93" i="25"/>
  <c r="E93" i="25" s="1"/>
  <c r="F93" i="25" s="1"/>
  <c r="W93" i="25"/>
  <c r="W345" i="25"/>
  <c r="D345" i="25"/>
  <c r="E345" i="25" s="1"/>
  <c r="F345" i="25" s="1"/>
  <c r="D230" i="25"/>
  <c r="E230" i="25" s="1"/>
  <c r="F230" i="25" s="1"/>
  <c r="W230" i="25"/>
  <c r="S379" i="25"/>
  <c r="R379" i="25" s="1"/>
  <c r="P379" i="25" s="1"/>
  <c r="W161" i="25"/>
  <c r="D161" i="25"/>
  <c r="E161" i="25" s="1"/>
  <c r="F161" i="25" s="1"/>
  <c r="D361" i="25"/>
  <c r="E361" i="25" s="1"/>
  <c r="F361" i="25" s="1"/>
  <c r="W361" i="25"/>
  <c r="D17" i="25"/>
  <c r="E17" i="25" s="1"/>
  <c r="F17" i="25" s="1"/>
  <c r="W17" i="25"/>
  <c r="W336" i="25"/>
  <c r="D336" i="25"/>
  <c r="E336" i="25" s="1"/>
  <c r="F336" i="25" s="1"/>
  <c r="W261" i="25"/>
  <c r="D261" i="25"/>
  <c r="E261" i="25" s="1"/>
  <c r="F261" i="25" s="1"/>
  <c r="W30" i="25"/>
  <c r="D30" i="25"/>
  <c r="E30" i="25" s="1"/>
  <c r="F30" i="25" s="1"/>
  <c r="D87" i="25"/>
  <c r="E87" i="25" s="1"/>
  <c r="F87" i="25" s="1"/>
  <c r="W87" i="25"/>
  <c r="D179" i="25"/>
  <c r="E179" i="25" s="1"/>
  <c r="F179" i="25" s="1"/>
  <c r="W179" i="25"/>
  <c r="D273" i="25"/>
  <c r="E273" i="25" s="1"/>
  <c r="F273" i="25" s="1"/>
  <c r="W273" i="25"/>
  <c r="W201" i="25"/>
  <c r="D201" i="25"/>
  <c r="E201" i="25" s="1"/>
  <c r="F201" i="25" s="1"/>
  <c r="D278" i="25"/>
  <c r="E278" i="25" s="1"/>
  <c r="F278" i="25" s="1"/>
  <c r="W278" i="25"/>
  <c r="W169" i="25"/>
  <c r="D169" i="25"/>
  <c r="E169" i="25" s="1"/>
  <c r="F169" i="25" s="1"/>
  <c r="D324" i="25"/>
  <c r="E324" i="25" s="1"/>
  <c r="F324" i="25" s="1"/>
  <c r="W324" i="25"/>
  <c r="K70" i="19"/>
  <c r="D45" i="25"/>
  <c r="E45" i="25" s="1"/>
  <c r="F45" i="25" s="1"/>
  <c r="W45" i="25"/>
  <c r="D294" i="25"/>
  <c r="E294" i="25" s="1"/>
  <c r="F294" i="25" s="1"/>
  <c r="W294" i="25"/>
  <c r="D232" i="25"/>
  <c r="E232" i="25" s="1"/>
  <c r="F232" i="25" s="1"/>
  <c r="W232" i="25"/>
  <c r="D72" i="25"/>
  <c r="E72" i="25" s="1"/>
  <c r="F72" i="25" s="1"/>
  <c r="W72" i="25"/>
  <c r="W257" i="25"/>
  <c r="D257" i="25"/>
  <c r="E257" i="25" s="1"/>
  <c r="F257" i="25" s="1"/>
  <c r="W323" i="25"/>
  <c r="D323" i="25"/>
  <c r="E323" i="25" s="1"/>
  <c r="F323" i="25" s="1"/>
  <c r="W155" i="25"/>
  <c r="D155" i="25"/>
  <c r="E155" i="25" s="1"/>
  <c r="F155" i="25" s="1"/>
  <c r="D90" i="25"/>
  <c r="E90" i="25" s="1"/>
  <c r="F90" i="25" s="1"/>
  <c r="W90" i="25"/>
  <c r="W250" i="25"/>
  <c r="D250" i="25"/>
  <c r="E250" i="25" s="1"/>
  <c r="F250" i="25" s="1"/>
  <c r="D284" i="25"/>
  <c r="E284" i="25" s="1"/>
  <c r="F284" i="25" s="1"/>
  <c r="W284" i="25"/>
  <c r="W211" i="25"/>
  <c r="D211" i="25"/>
  <c r="E211" i="25" s="1"/>
  <c r="F211" i="25" s="1"/>
  <c r="D239" i="25"/>
  <c r="E239" i="25" s="1"/>
  <c r="F239" i="25" s="1"/>
  <c r="W239" i="25"/>
  <c r="W342" i="25"/>
  <c r="D342" i="25"/>
  <c r="E342" i="25" s="1"/>
  <c r="F342" i="25" s="1"/>
  <c r="W266" i="25"/>
  <c r="D266" i="25"/>
  <c r="E266" i="25" s="1"/>
  <c r="F266" i="25" s="1"/>
  <c r="W356" i="25"/>
  <c r="D356" i="25"/>
  <c r="E356" i="25" s="1"/>
  <c r="F356" i="25" s="1"/>
  <c r="D32" i="25"/>
  <c r="E32" i="25" s="1"/>
  <c r="F32" i="25" s="1"/>
  <c r="W32" i="25"/>
  <c r="D231" i="25"/>
  <c r="E231" i="25" s="1"/>
  <c r="F231" i="25" s="1"/>
  <c r="W231" i="25"/>
  <c r="W219" i="25"/>
  <c r="D219" i="25"/>
  <c r="E219" i="25" s="1"/>
  <c r="F219" i="25" s="1"/>
  <c r="W244" i="25"/>
  <c r="D244" i="25"/>
  <c r="E244" i="25" s="1"/>
  <c r="F244" i="25" s="1"/>
  <c r="AH71" i="7"/>
  <c r="V119" i="25"/>
  <c r="B119" i="25" s="1"/>
  <c r="W98" i="25"/>
  <c r="D98" i="25"/>
  <c r="E98" i="25" s="1"/>
  <c r="F98" i="25" s="1"/>
  <c r="W114" i="25"/>
  <c r="D114" i="25"/>
  <c r="E114" i="25" s="1"/>
  <c r="F114" i="25" s="1"/>
  <c r="W362" i="25"/>
  <c r="D362" i="25"/>
  <c r="E362" i="25" s="1"/>
  <c r="F362" i="25" s="1"/>
  <c r="W260" i="25"/>
  <c r="D260" i="25"/>
  <c r="E260" i="25" s="1"/>
  <c r="F260" i="25" s="1"/>
  <c r="AA115" i="25"/>
  <c r="Z115" i="25" s="1"/>
  <c r="Y115" i="25" s="1"/>
  <c r="H115" i="25"/>
  <c r="G115" i="25"/>
  <c r="CF115" i="6" s="1"/>
  <c r="W368" i="25"/>
  <c r="D368" i="25"/>
  <c r="E368" i="25" s="1"/>
  <c r="F368" i="25" s="1"/>
  <c r="W159" i="25"/>
  <c r="D159" i="25"/>
  <c r="E159" i="25" s="1"/>
  <c r="F159" i="25" s="1"/>
  <c r="W243" i="25"/>
  <c r="D243" i="25"/>
  <c r="E243" i="25" s="1"/>
  <c r="F243" i="25" s="1"/>
  <c r="D240" i="25"/>
  <c r="E240" i="25" s="1"/>
  <c r="F240" i="25" s="1"/>
  <c r="W240" i="25"/>
  <c r="W83" i="25"/>
  <c r="D83" i="25"/>
  <c r="E83" i="25" s="1"/>
  <c r="F83" i="25" s="1"/>
  <c r="D81" i="25"/>
  <c r="E81" i="25" s="1"/>
  <c r="F81" i="25" s="1"/>
  <c r="W81" i="25"/>
  <c r="D203" i="25"/>
  <c r="E203" i="25" s="1"/>
  <c r="F203" i="25" s="1"/>
  <c r="W203" i="25"/>
  <c r="D300" i="25"/>
  <c r="E300" i="25" s="1"/>
  <c r="F300" i="25" s="1"/>
  <c r="W300" i="25"/>
  <c r="W290" i="25"/>
  <c r="D290" i="25"/>
  <c r="E290" i="25" s="1"/>
  <c r="F290" i="25" s="1"/>
  <c r="D295" i="25"/>
  <c r="E295" i="25" s="1"/>
  <c r="F295" i="25" s="1"/>
  <c r="W295" i="25"/>
  <c r="W282" i="25"/>
  <c r="D282" i="25"/>
  <c r="E282" i="25" s="1"/>
  <c r="F282" i="25" s="1"/>
  <c r="W308" i="25"/>
  <c r="D308" i="25"/>
  <c r="E308" i="25" s="1"/>
  <c r="F308" i="25" s="1"/>
  <c r="V180" i="25"/>
  <c r="B180" i="25" s="1"/>
  <c r="AH73" i="7"/>
  <c r="D271" i="25"/>
  <c r="E271" i="25" s="1"/>
  <c r="F271" i="25" s="1"/>
  <c r="W271" i="25"/>
  <c r="D181" i="25"/>
  <c r="E181" i="25" s="1"/>
  <c r="F181" i="25" s="1"/>
  <c r="W181" i="25"/>
  <c r="D298" i="25"/>
  <c r="E298" i="25" s="1"/>
  <c r="F298" i="25" s="1"/>
  <c r="W298" i="25"/>
  <c r="W197" i="25"/>
  <c r="D197" i="25"/>
  <c r="E197" i="25" s="1"/>
  <c r="F197" i="25" s="1"/>
  <c r="D116" i="25"/>
  <c r="E116" i="25" s="1"/>
  <c r="F116" i="25" s="1"/>
  <c r="W116" i="25"/>
  <c r="D164" i="25"/>
  <c r="E164" i="25" s="1"/>
  <c r="F164" i="25" s="1"/>
  <c r="W164" i="25"/>
  <c r="W312" i="25"/>
  <c r="D312" i="25"/>
  <c r="E312" i="25" s="1"/>
  <c r="F312" i="25" s="1"/>
  <c r="D187" i="25"/>
  <c r="E187" i="25" s="1"/>
  <c r="F187" i="25" s="1"/>
  <c r="W187" i="25"/>
  <c r="D178" i="25"/>
  <c r="E178" i="25" s="1"/>
  <c r="F178" i="25" s="1"/>
  <c r="W178" i="25"/>
  <c r="W49" i="25"/>
  <c r="D49" i="25"/>
  <c r="E49" i="25" s="1"/>
  <c r="F49" i="25" s="1"/>
  <c r="W154" i="25"/>
  <c r="D154" i="25"/>
  <c r="E154" i="25" s="1"/>
  <c r="F154" i="25" s="1"/>
  <c r="W141" i="25"/>
  <c r="D141" i="25"/>
  <c r="E141" i="25" s="1"/>
  <c r="F141" i="25" s="1"/>
  <c r="AA63" i="25"/>
  <c r="Z63" i="25" s="1"/>
  <c r="Y63" i="25" s="1"/>
  <c r="G63" i="25"/>
  <c r="CF63" i="6" s="1"/>
  <c r="H63" i="25"/>
  <c r="H378" i="25"/>
  <c r="G378" i="25"/>
  <c r="CF378" i="6" s="1"/>
  <c r="AA378" i="25"/>
  <c r="Z378" i="25" s="1"/>
  <c r="Y378" i="25" s="1"/>
  <c r="H99" i="25"/>
  <c r="G99" i="25"/>
  <c r="CF99" i="6" s="1"/>
  <c r="AA99" i="25"/>
  <c r="Z99" i="25" s="1"/>
  <c r="Y99" i="25" s="1"/>
  <c r="W338" i="25"/>
  <c r="D338" i="25"/>
  <c r="E338" i="25" s="1"/>
  <c r="F338" i="25" s="1"/>
  <c r="D29" i="25"/>
  <c r="E29" i="25" s="1"/>
  <c r="F29" i="25" s="1"/>
  <c r="W29" i="25"/>
  <c r="H183" i="25"/>
  <c r="G183" i="25"/>
  <c r="CF183" i="6" s="1"/>
  <c r="AA183" i="25"/>
  <c r="Z183" i="25" s="1"/>
  <c r="Y183" i="25" s="1"/>
  <c r="AA92" i="25"/>
  <c r="Z92" i="25" s="1"/>
  <c r="Y92" i="25" s="1"/>
  <c r="H92" i="25"/>
  <c r="G92" i="25"/>
  <c r="CF92" i="6" s="1"/>
  <c r="AA25" i="25"/>
  <c r="Z25" i="25" s="1"/>
  <c r="Y25" i="25" s="1"/>
  <c r="H25" i="25"/>
  <c r="G25" i="25"/>
  <c r="CF25" i="6" s="1"/>
  <c r="H186" i="25"/>
  <c r="AA186" i="25"/>
  <c r="Z186" i="25" s="1"/>
  <c r="Y186" i="25" s="1"/>
  <c r="G186" i="25"/>
  <c r="CF186" i="6" s="1"/>
  <c r="H34" i="25"/>
  <c r="AA34" i="25"/>
  <c r="Z34" i="25" s="1"/>
  <c r="Y34" i="25" s="1"/>
  <c r="G34" i="25"/>
  <c r="CF34" i="6" s="1"/>
  <c r="H95" i="25"/>
  <c r="AA95" i="25"/>
  <c r="Z95" i="25" s="1"/>
  <c r="Y95" i="25" s="1"/>
  <c r="G95" i="25"/>
  <c r="CF95" i="6" s="1"/>
  <c r="G371" i="25"/>
  <c r="CF371" i="6" s="1"/>
  <c r="AA371" i="25"/>
  <c r="Z371" i="25" s="1"/>
  <c r="Y371" i="25" s="1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E16" i="19"/>
  <c r="I39" i="19"/>
  <c r="V18" i="24"/>
  <c r="B18" i="24" s="1"/>
  <c r="B18" i="25" s="1"/>
  <c r="P383" i="24"/>
  <c r="P382" i="24"/>
  <c r="P381" i="24"/>
  <c r="AJ7" i="23"/>
  <c r="AJ8" i="23"/>
  <c r="D381" i="23"/>
  <c r="D9" i="23"/>
  <c r="D11" i="23" s="1"/>
  <c r="D383" i="23"/>
  <c r="D382" i="23"/>
  <c r="E15" i="23"/>
  <c r="J15" i="22"/>
  <c r="I15" i="22"/>
  <c r="F11" i="22"/>
  <c r="G17" i="19"/>
  <c r="J41" i="19" s="1"/>
  <c r="AB9" i="22"/>
  <c r="G382" i="22"/>
  <c r="G383" i="22"/>
  <c r="G12" i="22" s="1"/>
  <c r="G381" i="22"/>
  <c r="AA383" i="22"/>
  <c r="AM8" i="22"/>
  <c r="AA382" i="22"/>
  <c r="AA9" i="22"/>
  <c r="Z15" i="22"/>
  <c r="AA381" i="22"/>
  <c r="AL10" i="22"/>
  <c r="D12" i="6"/>
  <c r="D13" i="6"/>
  <c r="Y381" i="20"/>
  <c r="Y382" i="20"/>
  <c r="X9" i="20"/>
  <c r="AL6" i="20"/>
  <c r="AL12" i="20" s="1"/>
  <c r="AJ4" i="20" s="1"/>
  <c r="P16" i="19" s="1"/>
  <c r="Y383" i="20"/>
  <c r="AM6" i="20"/>
  <c r="AM12" i="20" s="1"/>
  <c r="AK5" i="24"/>
  <c r="AM5" i="22"/>
  <c r="AM11" i="22" s="1"/>
  <c r="AK3" i="22" s="1"/>
  <c r="Q17" i="19" s="1"/>
  <c r="W15" i="24"/>
  <c r="D15" i="24"/>
  <c r="I108" i="25"/>
  <c r="J108" i="25"/>
  <c r="J236" i="25" l="1"/>
  <c r="J288" i="25"/>
  <c r="AA236" i="25"/>
  <c r="Z236" i="25" s="1"/>
  <c r="Y236" i="25" s="1"/>
  <c r="G70" i="19"/>
  <c r="H353" i="25"/>
  <c r="G353" i="25"/>
  <c r="CF353" i="6" s="1"/>
  <c r="AA353" i="25"/>
  <c r="Z353" i="25" s="1"/>
  <c r="Y353" i="25" s="1"/>
  <c r="F16" i="19"/>
  <c r="F31" i="19" s="1"/>
  <c r="E31" i="19"/>
  <c r="AJ9" i="23"/>
  <c r="AJ11" i="23" s="1"/>
  <c r="AK7" i="23"/>
  <c r="I70" i="19"/>
  <c r="I58" i="19" s="1"/>
  <c r="L70" i="19"/>
  <c r="L59" i="19" s="1"/>
  <c r="D70" i="19"/>
  <c r="D57" i="19" s="1"/>
  <c r="C70" i="19"/>
  <c r="C59" i="19" s="1"/>
  <c r="J95" i="25"/>
  <c r="I95" i="25"/>
  <c r="I186" i="25"/>
  <c r="J186" i="25"/>
  <c r="J25" i="25"/>
  <c r="I25" i="25"/>
  <c r="G338" i="25"/>
  <c r="CF338" i="6" s="1"/>
  <c r="AA338" i="25"/>
  <c r="Z338" i="25" s="1"/>
  <c r="Y338" i="25" s="1"/>
  <c r="H338" i="25"/>
  <c r="G59" i="19"/>
  <c r="G58" i="19"/>
  <c r="G57" i="19"/>
  <c r="I99" i="25"/>
  <c r="J99" i="25"/>
  <c r="J63" i="25"/>
  <c r="I63" i="25"/>
  <c r="AA178" i="25"/>
  <c r="Z178" i="25" s="1"/>
  <c r="Y178" i="25" s="1"/>
  <c r="G178" i="25"/>
  <c r="CF178" i="6" s="1"/>
  <c r="H178" i="25"/>
  <c r="AA187" i="25"/>
  <c r="Z187" i="25" s="1"/>
  <c r="Y187" i="25" s="1"/>
  <c r="G187" i="25"/>
  <c r="CF187" i="6" s="1"/>
  <c r="H187" i="25"/>
  <c r="AA164" i="25"/>
  <c r="Z164" i="25" s="1"/>
  <c r="Y164" i="25" s="1"/>
  <c r="G164" i="25"/>
  <c r="CF164" i="6" s="1"/>
  <c r="H164" i="25"/>
  <c r="AA116" i="25"/>
  <c r="Z116" i="25" s="1"/>
  <c r="Y116" i="25" s="1"/>
  <c r="G116" i="25"/>
  <c r="CF116" i="6" s="1"/>
  <c r="H116" i="25"/>
  <c r="G298" i="25"/>
  <c r="CF298" i="6" s="1"/>
  <c r="H298" i="25"/>
  <c r="AA298" i="25"/>
  <c r="Z298" i="25" s="1"/>
  <c r="Y298" i="25" s="1"/>
  <c r="AA181" i="25"/>
  <c r="Z181" i="25" s="1"/>
  <c r="Y181" i="25" s="1"/>
  <c r="H181" i="25"/>
  <c r="G181" i="25"/>
  <c r="CF181" i="6" s="1"/>
  <c r="G271" i="25"/>
  <c r="CF271" i="6" s="1"/>
  <c r="H271" i="25"/>
  <c r="AA271" i="25"/>
  <c r="Z271" i="25" s="1"/>
  <c r="Y271" i="25" s="1"/>
  <c r="D180" i="25"/>
  <c r="E180" i="25" s="1"/>
  <c r="F180" i="25" s="1"/>
  <c r="W180" i="25"/>
  <c r="G295" i="25"/>
  <c r="CF295" i="6" s="1"/>
  <c r="H295" i="25"/>
  <c r="AA295" i="25"/>
  <c r="Z295" i="25" s="1"/>
  <c r="Y295" i="25" s="1"/>
  <c r="D319" i="25"/>
  <c r="E319" i="25" s="1"/>
  <c r="F319" i="25" s="1"/>
  <c r="W319" i="25"/>
  <c r="AA300" i="25"/>
  <c r="Z300" i="25" s="1"/>
  <c r="Y300" i="25" s="1"/>
  <c r="H300" i="25"/>
  <c r="G300" i="25"/>
  <c r="CF300" i="6" s="1"/>
  <c r="G203" i="25"/>
  <c r="CF203" i="6" s="1"/>
  <c r="H203" i="25"/>
  <c r="AA203" i="25"/>
  <c r="Z203" i="25" s="1"/>
  <c r="Y203" i="25" s="1"/>
  <c r="G81" i="25"/>
  <c r="CF81" i="6" s="1"/>
  <c r="AA81" i="25"/>
  <c r="Z81" i="25" s="1"/>
  <c r="Y81" i="25" s="1"/>
  <c r="H81" i="25"/>
  <c r="AA240" i="25"/>
  <c r="Z240" i="25" s="1"/>
  <c r="Y240" i="25" s="1"/>
  <c r="H240" i="25"/>
  <c r="G240" i="25"/>
  <c r="CF240" i="6" s="1"/>
  <c r="I115" i="25"/>
  <c r="J115" i="25"/>
  <c r="AA260" i="25"/>
  <c r="Z260" i="25" s="1"/>
  <c r="Y260" i="25" s="1"/>
  <c r="H260" i="25"/>
  <c r="G260" i="25"/>
  <c r="CF260" i="6" s="1"/>
  <c r="AA362" i="25"/>
  <c r="Z362" i="25" s="1"/>
  <c r="Y362" i="25" s="1"/>
  <c r="H362" i="25"/>
  <c r="G362" i="25"/>
  <c r="CF362" i="6" s="1"/>
  <c r="AA114" i="25"/>
  <c r="Z114" i="25" s="1"/>
  <c r="Y114" i="25" s="1"/>
  <c r="G114" i="25"/>
  <c r="CF114" i="6" s="1"/>
  <c r="H114" i="25"/>
  <c r="AA98" i="25"/>
  <c r="Z98" i="25" s="1"/>
  <c r="Y98" i="25" s="1"/>
  <c r="G98" i="25"/>
  <c r="CF98" i="6" s="1"/>
  <c r="H98" i="25"/>
  <c r="W119" i="25"/>
  <c r="D119" i="25"/>
  <c r="E119" i="25" s="1"/>
  <c r="F119" i="25" s="1"/>
  <c r="AA244" i="25"/>
  <c r="Z244" i="25" s="1"/>
  <c r="Y244" i="25" s="1"/>
  <c r="G244" i="25"/>
  <c r="CF244" i="6" s="1"/>
  <c r="H244" i="25"/>
  <c r="AA219" i="25"/>
  <c r="Z219" i="25" s="1"/>
  <c r="Y219" i="25" s="1"/>
  <c r="G219" i="25"/>
  <c r="CF219" i="6" s="1"/>
  <c r="H219" i="25"/>
  <c r="I57" i="19"/>
  <c r="AA356" i="25"/>
  <c r="Z356" i="25" s="1"/>
  <c r="Y356" i="25" s="1"/>
  <c r="G356" i="25"/>
  <c r="CF356" i="6" s="1"/>
  <c r="H356" i="25"/>
  <c r="G266" i="25"/>
  <c r="CF266" i="6" s="1"/>
  <c r="AA266" i="25"/>
  <c r="Z266" i="25" s="1"/>
  <c r="Y266" i="25" s="1"/>
  <c r="H266" i="25"/>
  <c r="AA342" i="25"/>
  <c r="Z342" i="25" s="1"/>
  <c r="Y342" i="25" s="1"/>
  <c r="G342" i="25"/>
  <c r="CF342" i="6" s="1"/>
  <c r="H342" i="25"/>
  <c r="AA211" i="25"/>
  <c r="Z211" i="25" s="1"/>
  <c r="Y211" i="25" s="1"/>
  <c r="G211" i="25"/>
  <c r="CF211" i="6" s="1"/>
  <c r="H211" i="25"/>
  <c r="G250" i="25"/>
  <c r="CF250" i="6" s="1"/>
  <c r="AA250" i="25"/>
  <c r="Z250" i="25" s="1"/>
  <c r="Y250" i="25" s="1"/>
  <c r="H250" i="25"/>
  <c r="G155" i="25"/>
  <c r="CF155" i="6" s="1"/>
  <c r="AA155" i="25"/>
  <c r="Z155" i="25" s="1"/>
  <c r="Y155" i="25" s="1"/>
  <c r="H155" i="25"/>
  <c r="G323" i="25"/>
  <c r="CF323" i="6" s="1"/>
  <c r="H323" i="25"/>
  <c r="AA323" i="25"/>
  <c r="Z323" i="25" s="1"/>
  <c r="Y323" i="25" s="1"/>
  <c r="G257" i="25"/>
  <c r="CF257" i="6" s="1"/>
  <c r="AA257" i="25"/>
  <c r="Z257" i="25" s="1"/>
  <c r="Y257" i="25" s="1"/>
  <c r="H257" i="25"/>
  <c r="K58" i="19"/>
  <c r="K59" i="19"/>
  <c r="K57" i="19"/>
  <c r="AA169" i="25"/>
  <c r="Z169" i="25" s="1"/>
  <c r="Y169" i="25" s="1"/>
  <c r="G169" i="25"/>
  <c r="CF169" i="6" s="1"/>
  <c r="H169" i="25"/>
  <c r="G201" i="25"/>
  <c r="CF201" i="6" s="1"/>
  <c r="AA201" i="25"/>
  <c r="Z201" i="25" s="1"/>
  <c r="Y201" i="25" s="1"/>
  <c r="H201" i="25"/>
  <c r="AA30" i="25"/>
  <c r="Z30" i="25" s="1"/>
  <c r="Y30" i="25" s="1"/>
  <c r="G30" i="25"/>
  <c r="CF30" i="6" s="1"/>
  <c r="H30" i="25"/>
  <c r="AA261" i="25"/>
  <c r="Z261" i="25" s="1"/>
  <c r="Y261" i="25" s="1"/>
  <c r="G261" i="25"/>
  <c r="CF261" i="6" s="1"/>
  <c r="H261" i="25"/>
  <c r="E70" i="19"/>
  <c r="H336" i="25"/>
  <c r="AA336" i="25"/>
  <c r="Z336" i="25" s="1"/>
  <c r="Y336" i="25" s="1"/>
  <c r="G336" i="25"/>
  <c r="CF336" i="6" s="1"/>
  <c r="G161" i="25"/>
  <c r="CF161" i="6" s="1"/>
  <c r="H161" i="25"/>
  <c r="AA161" i="25"/>
  <c r="Z161" i="25" s="1"/>
  <c r="Y161" i="25" s="1"/>
  <c r="V379" i="25"/>
  <c r="B379" i="25" s="1"/>
  <c r="D44" i="19"/>
  <c r="D33" i="19" s="1"/>
  <c r="AA345" i="25"/>
  <c r="Z345" i="25" s="1"/>
  <c r="Y345" i="25" s="1"/>
  <c r="G345" i="25"/>
  <c r="CF345" i="6" s="1"/>
  <c r="H345" i="25"/>
  <c r="G22" i="25"/>
  <c r="CF22" i="6" s="1"/>
  <c r="AA22" i="25"/>
  <c r="Z22" i="25" s="1"/>
  <c r="Y22" i="25" s="1"/>
  <c r="H22" i="25"/>
  <c r="AA264" i="25"/>
  <c r="Z264" i="25" s="1"/>
  <c r="Y264" i="25" s="1"/>
  <c r="G264" i="25"/>
  <c r="CF264" i="6" s="1"/>
  <c r="H264" i="25"/>
  <c r="I208" i="25"/>
  <c r="J208" i="25"/>
  <c r="G151" i="25"/>
  <c r="CF151" i="6" s="1"/>
  <c r="AA151" i="25"/>
  <c r="Z151" i="25" s="1"/>
  <c r="Y151" i="25" s="1"/>
  <c r="H151" i="25"/>
  <c r="W74" i="25"/>
  <c r="D74" i="25"/>
  <c r="E74" i="25" s="1"/>
  <c r="F74" i="25" s="1"/>
  <c r="G66" i="25"/>
  <c r="CF66" i="6" s="1"/>
  <c r="AA66" i="25"/>
  <c r="Z66" i="25" s="1"/>
  <c r="Y66" i="25" s="1"/>
  <c r="H66" i="25"/>
  <c r="G57" i="25"/>
  <c r="CF57" i="6" s="1"/>
  <c r="AA57" i="25"/>
  <c r="Z57" i="25" s="1"/>
  <c r="Y57" i="25" s="1"/>
  <c r="H57" i="25"/>
  <c r="AA131" i="25"/>
  <c r="Z131" i="25" s="1"/>
  <c r="Y131" i="25" s="1"/>
  <c r="H131" i="25"/>
  <c r="G131" i="25"/>
  <c r="CF131" i="6" s="1"/>
  <c r="AA213" i="25"/>
  <c r="Z213" i="25" s="1"/>
  <c r="Y213" i="25" s="1"/>
  <c r="G213" i="25"/>
  <c r="CF213" i="6" s="1"/>
  <c r="H213" i="25"/>
  <c r="D46" i="25"/>
  <c r="E46" i="25" s="1"/>
  <c r="F46" i="25" s="1"/>
  <c r="W46" i="25"/>
  <c r="D272" i="25"/>
  <c r="E272" i="25" s="1"/>
  <c r="F272" i="25" s="1"/>
  <c r="W272" i="25"/>
  <c r="AA38" i="25"/>
  <c r="Z38" i="25" s="1"/>
  <c r="Y38" i="25" s="1"/>
  <c r="G38" i="25"/>
  <c r="CF38" i="6" s="1"/>
  <c r="H38" i="25"/>
  <c r="AA216" i="25"/>
  <c r="Z216" i="25" s="1"/>
  <c r="Y216" i="25" s="1"/>
  <c r="G216" i="25"/>
  <c r="CF216" i="6" s="1"/>
  <c r="H216" i="25"/>
  <c r="S383" i="25"/>
  <c r="S382" i="25"/>
  <c r="S381" i="25"/>
  <c r="R15" i="25"/>
  <c r="AA318" i="25"/>
  <c r="Z318" i="25" s="1"/>
  <c r="Y318" i="25" s="1"/>
  <c r="G318" i="25"/>
  <c r="CF318" i="6" s="1"/>
  <c r="H318" i="25"/>
  <c r="G152" i="25"/>
  <c r="CF152" i="6" s="1"/>
  <c r="H152" i="25"/>
  <c r="AA152" i="25"/>
  <c r="Z152" i="25" s="1"/>
  <c r="Y152" i="25" s="1"/>
  <c r="AA268" i="25"/>
  <c r="Z268" i="25" s="1"/>
  <c r="Y268" i="25" s="1"/>
  <c r="G268" i="25"/>
  <c r="CF268" i="6" s="1"/>
  <c r="H268" i="25"/>
  <c r="AA218" i="25"/>
  <c r="Z218" i="25" s="1"/>
  <c r="Y218" i="25" s="1"/>
  <c r="G218" i="25"/>
  <c r="CF218" i="6" s="1"/>
  <c r="H218" i="25"/>
  <c r="G61" i="25"/>
  <c r="CF61" i="6" s="1"/>
  <c r="AA61" i="25"/>
  <c r="Z61" i="25" s="1"/>
  <c r="Y61" i="25" s="1"/>
  <c r="H61" i="25"/>
  <c r="AA106" i="25"/>
  <c r="Z106" i="25" s="1"/>
  <c r="Y106" i="25" s="1"/>
  <c r="G106" i="25"/>
  <c r="CF106" i="6" s="1"/>
  <c r="H106" i="25"/>
  <c r="G220" i="25"/>
  <c r="CF220" i="6" s="1"/>
  <c r="AA220" i="25"/>
  <c r="Z220" i="25" s="1"/>
  <c r="Y220" i="25" s="1"/>
  <c r="H220" i="25"/>
  <c r="AA233" i="25"/>
  <c r="Z233" i="25" s="1"/>
  <c r="Y233" i="25" s="1"/>
  <c r="G233" i="25"/>
  <c r="CF233" i="6" s="1"/>
  <c r="H233" i="25"/>
  <c r="AA210" i="25"/>
  <c r="Z210" i="25" s="1"/>
  <c r="Y210" i="25" s="1"/>
  <c r="H210" i="25"/>
  <c r="G210" i="25"/>
  <c r="CF210" i="6" s="1"/>
  <c r="W88" i="25"/>
  <c r="D88" i="25"/>
  <c r="E88" i="25" s="1"/>
  <c r="F88" i="25" s="1"/>
  <c r="G176" i="25"/>
  <c r="CF176" i="6" s="1"/>
  <c r="H176" i="25"/>
  <c r="AA176" i="25"/>
  <c r="Z176" i="25" s="1"/>
  <c r="Y176" i="25" s="1"/>
  <c r="G71" i="25"/>
  <c r="CF71" i="6" s="1"/>
  <c r="AA71" i="25"/>
  <c r="Z71" i="25" s="1"/>
  <c r="Y71" i="25" s="1"/>
  <c r="H71" i="25"/>
  <c r="H53" i="25"/>
  <c r="G53" i="25"/>
  <c r="CF53" i="6" s="1"/>
  <c r="AA53" i="25"/>
  <c r="Z53" i="25" s="1"/>
  <c r="Y53" i="25" s="1"/>
  <c r="AA27" i="25"/>
  <c r="Z27" i="25" s="1"/>
  <c r="Y27" i="25" s="1"/>
  <c r="H27" i="25"/>
  <c r="G27" i="25"/>
  <c r="CF27" i="6" s="1"/>
  <c r="G52" i="25"/>
  <c r="CF52" i="6" s="1"/>
  <c r="AA52" i="25"/>
  <c r="Z52" i="25" s="1"/>
  <c r="Y52" i="25" s="1"/>
  <c r="H52" i="25"/>
  <c r="G198" i="25"/>
  <c r="CF198" i="6" s="1"/>
  <c r="H198" i="25"/>
  <c r="AA198" i="25"/>
  <c r="Z198" i="25" s="1"/>
  <c r="Y198" i="25" s="1"/>
  <c r="G65" i="25"/>
  <c r="CF65" i="6" s="1"/>
  <c r="AA65" i="25"/>
  <c r="Z65" i="25" s="1"/>
  <c r="Y65" i="25" s="1"/>
  <c r="H65" i="25"/>
  <c r="AA317" i="25"/>
  <c r="Z317" i="25" s="1"/>
  <c r="Y317" i="25" s="1"/>
  <c r="H317" i="25"/>
  <c r="G317" i="25"/>
  <c r="CF317" i="6" s="1"/>
  <c r="W302" i="25"/>
  <c r="D302" i="25"/>
  <c r="E302" i="25" s="1"/>
  <c r="F302" i="25" s="1"/>
  <c r="G177" i="25"/>
  <c r="CF177" i="6" s="1"/>
  <c r="AA177" i="25"/>
  <c r="Z177" i="25" s="1"/>
  <c r="Y177" i="25" s="1"/>
  <c r="H177" i="25"/>
  <c r="AA274" i="25"/>
  <c r="Z274" i="25" s="1"/>
  <c r="Y274" i="25" s="1"/>
  <c r="G274" i="25"/>
  <c r="CF274" i="6" s="1"/>
  <c r="H274" i="25"/>
  <c r="AA229" i="25"/>
  <c r="Z229" i="25" s="1"/>
  <c r="Y229" i="25" s="1"/>
  <c r="H229" i="25"/>
  <c r="G229" i="25"/>
  <c r="CF229" i="6" s="1"/>
  <c r="AA26" i="25"/>
  <c r="Z26" i="25" s="1"/>
  <c r="Y26" i="25" s="1"/>
  <c r="H26" i="25"/>
  <c r="G26" i="25"/>
  <c r="CF26" i="6" s="1"/>
  <c r="J133" i="25"/>
  <c r="I133" i="25"/>
  <c r="G212" i="25"/>
  <c r="CF212" i="6" s="1"/>
  <c r="AA212" i="25"/>
  <c r="Z212" i="25" s="1"/>
  <c r="Y212" i="25" s="1"/>
  <c r="H212" i="25"/>
  <c r="G117" i="25"/>
  <c r="CF117" i="6" s="1"/>
  <c r="H117" i="25"/>
  <c r="AA117" i="25"/>
  <c r="Z117" i="25" s="1"/>
  <c r="Y117" i="25" s="1"/>
  <c r="I110" i="25"/>
  <c r="J110" i="25"/>
  <c r="AA365" i="25"/>
  <c r="Z365" i="25" s="1"/>
  <c r="Y365" i="25" s="1"/>
  <c r="G365" i="25"/>
  <c r="CF365" i="6" s="1"/>
  <c r="H365" i="25"/>
  <c r="AA249" i="25"/>
  <c r="Z249" i="25" s="1"/>
  <c r="Y249" i="25" s="1"/>
  <c r="H249" i="25"/>
  <c r="G249" i="25"/>
  <c r="CF249" i="6" s="1"/>
  <c r="G350" i="25"/>
  <c r="CF350" i="6" s="1"/>
  <c r="H350" i="25"/>
  <c r="AA350" i="25"/>
  <c r="Z350" i="25" s="1"/>
  <c r="Y350" i="25" s="1"/>
  <c r="G226" i="25"/>
  <c r="CF226" i="6" s="1"/>
  <c r="H226" i="25"/>
  <c r="AA226" i="25"/>
  <c r="Z226" i="25" s="1"/>
  <c r="Y226" i="25" s="1"/>
  <c r="AA348" i="25"/>
  <c r="Z348" i="25" s="1"/>
  <c r="Y348" i="25" s="1"/>
  <c r="H348" i="25"/>
  <c r="G348" i="25"/>
  <c r="CF348" i="6" s="1"/>
  <c r="G101" i="25"/>
  <c r="CF101" i="6" s="1"/>
  <c r="H101" i="25"/>
  <c r="AA101" i="25"/>
  <c r="Z101" i="25" s="1"/>
  <c r="Y101" i="25" s="1"/>
  <c r="W149" i="25"/>
  <c r="D149" i="25"/>
  <c r="E149" i="25" s="1"/>
  <c r="F149" i="25" s="1"/>
  <c r="G242" i="25"/>
  <c r="CF242" i="6" s="1"/>
  <c r="AA242" i="25"/>
  <c r="Z242" i="25" s="1"/>
  <c r="Y242" i="25" s="1"/>
  <c r="H242" i="25"/>
  <c r="I267" i="25"/>
  <c r="J267" i="25"/>
  <c r="I207" i="25"/>
  <c r="J207" i="25"/>
  <c r="J341" i="25"/>
  <c r="I341" i="25"/>
  <c r="G140" i="25"/>
  <c r="CF140" i="6" s="1"/>
  <c r="AA140" i="25"/>
  <c r="Z140" i="25" s="1"/>
  <c r="Y140" i="25" s="1"/>
  <c r="H140" i="25"/>
  <c r="G262" i="25"/>
  <c r="CF262" i="6" s="1"/>
  <c r="AA262" i="25"/>
  <c r="Z262" i="25" s="1"/>
  <c r="Y262" i="25" s="1"/>
  <c r="H262" i="25"/>
  <c r="AA286" i="25"/>
  <c r="Z286" i="25" s="1"/>
  <c r="Y286" i="25" s="1"/>
  <c r="H286" i="25"/>
  <c r="G286" i="25"/>
  <c r="CF286" i="6" s="1"/>
  <c r="G369" i="25"/>
  <c r="CF369" i="6" s="1"/>
  <c r="H369" i="25"/>
  <c r="AA369" i="25"/>
  <c r="Z369" i="25" s="1"/>
  <c r="Y369" i="25" s="1"/>
  <c r="AA118" i="25"/>
  <c r="Z118" i="25" s="1"/>
  <c r="Y118" i="25" s="1"/>
  <c r="H118" i="25"/>
  <c r="G118" i="25"/>
  <c r="CF118" i="6" s="1"/>
  <c r="AA259" i="25"/>
  <c r="Z259" i="25" s="1"/>
  <c r="Y259" i="25" s="1"/>
  <c r="G259" i="25"/>
  <c r="CF259" i="6" s="1"/>
  <c r="H259" i="25"/>
  <c r="AA238" i="25"/>
  <c r="Z238" i="25" s="1"/>
  <c r="Y238" i="25" s="1"/>
  <c r="G238" i="25"/>
  <c r="CF238" i="6" s="1"/>
  <c r="H238" i="25"/>
  <c r="G285" i="25"/>
  <c r="CF285" i="6" s="1"/>
  <c r="AA285" i="25"/>
  <c r="Z285" i="25" s="1"/>
  <c r="Y285" i="25" s="1"/>
  <c r="H285" i="25"/>
  <c r="G50" i="25"/>
  <c r="CF50" i="6" s="1"/>
  <c r="AA50" i="25"/>
  <c r="Z50" i="25" s="1"/>
  <c r="Y50" i="25" s="1"/>
  <c r="H50" i="25"/>
  <c r="G153" i="25"/>
  <c r="CF153" i="6" s="1"/>
  <c r="AA153" i="25"/>
  <c r="Z153" i="25" s="1"/>
  <c r="Y153" i="25" s="1"/>
  <c r="H153" i="25"/>
  <c r="AA148" i="25"/>
  <c r="Z148" i="25" s="1"/>
  <c r="Y148" i="25" s="1"/>
  <c r="G148" i="25"/>
  <c r="CF148" i="6" s="1"/>
  <c r="H148" i="25"/>
  <c r="AA374" i="25"/>
  <c r="Z374" i="25" s="1"/>
  <c r="Y374" i="25" s="1"/>
  <c r="G374" i="25"/>
  <c r="CF374" i="6" s="1"/>
  <c r="H374" i="25"/>
  <c r="AA355" i="25"/>
  <c r="Z355" i="25" s="1"/>
  <c r="Y355" i="25" s="1"/>
  <c r="H355" i="25"/>
  <c r="G355" i="25"/>
  <c r="CF355" i="6" s="1"/>
  <c r="G102" i="25"/>
  <c r="CF102" i="6" s="1"/>
  <c r="AA102" i="25"/>
  <c r="Z102" i="25" s="1"/>
  <c r="Y102" i="25" s="1"/>
  <c r="H102" i="25"/>
  <c r="G367" i="25"/>
  <c r="CF367" i="6" s="1"/>
  <c r="AA367" i="25"/>
  <c r="Z367" i="25" s="1"/>
  <c r="Y367" i="25" s="1"/>
  <c r="H367" i="25"/>
  <c r="AA245" i="25"/>
  <c r="Z245" i="25" s="1"/>
  <c r="Y245" i="25" s="1"/>
  <c r="G245" i="25"/>
  <c r="CF245" i="6" s="1"/>
  <c r="H245" i="25"/>
  <c r="G84" i="25"/>
  <c r="CF84" i="6" s="1"/>
  <c r="AA84" i="25"/>
  <c r="Z84" i="25" s="1"/>
  <c r="Y84" i="25" s="1"/>
  <c r="H84" i="25"/>
  <c r="AA162" i="25"/>
  <c r="Z162" i="25" s="1"/>
  <c r="Y162" i="25" s="1"/>
  <c r="H162" i="25"/>
  <c r="G162" i="25"/>
  <c r="CF162" i="6" s="1"/>
  <c r="AA147" i="25"/>
  <c r="Z147" i="25" s="1"/>
  <c r="Y147" i="25" s="1"/>
  <c r="G147" i="25"/>
  <c r="CF147" i="6" s="1"/>
  <c r="H147" i="25"/>
  <c r="G150" i="25"/>
  <c r="CF150" i="6" s="1"/>
  <c r="AA150" i="25"/>
  <c r="Z150" i="25" s="1"/>
  <c r="Y150" i="25" s="1"/>
  <c r="H150" i="25"/>
  <c r="AA314" i="25"/>
  <c r="Z314" i="25" s="1"/>
  <c r="Y314" i="25" s="1"/>
  <c r="G314" i="25"/>
  <c r="CF314" i="6" s="1"/>
  <c r="H314" i="25"/>
  <c r="D333" i="25"/>
  <c r="E333" i="25" s="1"/>
  <c r="F333" i="25" s="1"/>
  <c r="W333" i="25"/>
  <c r="AA247" i="25"/>
  <c r="Z247" i="25" s="1"/>
  <c r="Y247" i="25" s="1"/>
  <c r="G247" i="25"/>
  <c r="CF247" i="6" s="1"/>
  <c r="H247" i="25"/>
  <c r="G107" i="25"/>
  <c r="CF107" i="6" s="1"/>
  <c r="AA107" i="25"/>
  <c r="Z107" i="25" s="1"/>
  <c r="Y107" i="25" s="1"/>
  <c r="H107" i="25"/>
  <c r="G215" i="25"/>
  <c r="CF215" i="6" s="1"/>
  <c r="H215" i="25"/>
  <c r="AA215" i="25"/>
  <c r="Z215" i="25" s="1"/>
  <c r="Y215" i="25" s="1"/>
  <c r="G283" i="25"/>
  <c r="CF283" i="6" s="1"/>
  <c r="AA283" i="25"/>
  <c r="Z283" i="25" s="1"/>
  <c r="Y283" i="25" s="1"/>
  <c r="H283" i="25"/>
  <c r="AA248" i="25"/>
  <c r="Z248" i="25" s="1"/>
  <c r="Y248" i="25" s="1"/>
  <c r="G248" i="25"/>
  <c r="CF248" i="6" s="1"/>
  <c r="H248" i="25"/>
  <c r="G62" i="25"/>
  <c r="CF62" i="6" s="1"/>
  <c r="H62" i="25"/>
  <c r="AA62" i="25"/>
  <c r="Z62" i="25" s="1"/>
  <c r="Y62" i="25" s="1"/>
  <c r="AA315" i="25"/>
  <c r="Z315" i="25" s="1"/>
  <c r="Y315" i="25" s="1"/>
  <c r="G315" i="25"/>
  <c r="CF315" i="6" s="1"/>
  <c r="H315" i="25"/>
  <c r="G35" i="25"/>
  <c r="CF35" i="6" s="1"/>
  <c r="H35" i="25"/>
  <c r="AA35" i="25"/>
  <c r="Z35" i="25" s="1"/>
  <c r="Y35" i="25" s="1"/>
  <c r="AA246" i="25"/>
  <c r="Z246" i="25" s="1"/>
  <c r="Y246" i="25" s="1"/>
  <c r="G246" i="25"/>
  <c r="CF246" i="6" s="1"/>
  <c r="H246" i="25"/>
  <c r="G251" i="25"/>
  <c r="CF251" i="6" s="1"/>
  <c r="AA251" i="25"/>
  <c r="Z251" i="25" s="1"/>
  <c r="Y251" i="25" s="1"/>
  <c r="H251" i="25"/>
  <c r="G217" i="25"/>
  <c r="CF217" i="6" s="1"/>
  <c r="AA217" i="25"/>
  <c r="Z217" i="25" s="1"/>
  <c r="Y217" i="25" s="1"/>
  <c r="H217" i="25"/>
  <c r="AA48" i="25"/>
  <c r="Z48" i="25" s="1"/>
  <c r="Y48" i="25" s="1"/>
  <c r="H48" i="25"/>
  <c r="G48" i="25"/>
  <c r="CF48" i="6" s="1"/>
  <c r="G222" i="25"/>
  <c r="CF222" i="6" s="1"/>
  <c r="H222" i="25"/>
  <c r="AA222" i="25"/>
  <c r="Z222" i="25" s="1"/>
  <c r="Y222" i="25" s="1"/>
  <c r="AA205" i="25"/>
  <c r="Z205" i="25" s="1"/>
  <c r="Y205" i="25" s="1"/>
  <c r="H205" i="25"/>
  <c r="G205" i="25"/>
  <c r="CF205" i="6" s="1"/>
  <c r="G375" i="25"/>
  <c r="CF375" i="6" s="1"/>
  <c r="H375" i="25"/>
  <c r="AA375" i="25"/>
  <c r="Z375" i="25" s="1"/>
  <c r="Y375" i="25" s="1"/>
  <c r="G122" i="25"/>
  <c r="CF122" i="6" s="1"/>
  <c r="AA122" i="25"/>
  <c r="Z122" i="25" s="1"/>
  <c r="Y122" i="25" s="1"/>
  <c r="H122" i="25"/>
  <c r="G64" i="25"/>
  <c r="CF64" i="6" s="1"/>
  <c r="AA64" i="25"/>
  <c r="Z64" i="25" s="1"/>
  <c r="Y64" i="25" s="1"/>
  <c r="H64" i="25"/>
  <c r="G287" i="25"/>
  <c r="CF287" i="6" s="1"/>
  <c r="H287" i="25"/>
  <c r="AA287" i="25"/>
  <c r="Z287" i="25" s="1"/>
  <c r="Y287" i="25" s="1"/>
  <c r="AA325" i="25"/>
  <c r="Z325" i="25" s="1"/>
  <c r="Y325" i="25" s="1"/>
  <c r="H325" i="25"/>
  <c r="G325" i="25"/>
  <c r="CF325" i="6" s="1"/>
  <c r="AA306" i="25"/>
  <c r="Z306" i="25" s="1"/>
  <c r="Y306" i="25" s="1"/>
  <c r="G306" i="25"/>
  <c r="CF306" i="6" s="1"/>
  <c r="H306" i="25"/>
  <c r="AA158" i="25"/>
  <c r="Z158" i="25" s="1"/>
  <c r="Y158" i="25" s="1"/>
  <c r="H158" i="25"/>
  <c r="G158" i="25"/>
  <c r="CF158" i="6" s="1"/>
  <c r="AA174" i="25"/>
  <c r="Z174" i="25" s="1"/>
  <c r="Y174" i="25" s="1"/>
  <c r="H174" i="25"/>
  <c r="G174" i="25"/>
  <c r="CF174" i="6" s="1"/>
  <c r="G168" i="25"/>
  <c r="CF168" i="6" s="1"/>
  <c r="H168" i="25"/>
  <c r="AA168" i="25"/>
  <c r="Z168" i="25" s="1"/>
  <c r="Y168" i="25" s="1"/>
  <c r="AA157" i="25"/>
  <c r="Z157" i="25" s="1"/>
  <c r="Y157" i="25" s="1"/>
  <c r="G157" i="25"/>
  <c r="CF157" i="6" s="1"/>
  <c r="H157" i="25"/>
  <c r="AA299" i="25"/>
  <c r="Z299" i="25" s="1"/>
  <c r="Y299" i="25" s="1"/>
  <c r="G299" i="25"/>
  <c r="CF299" i="6" s="1"/>
  <c r="H299" i="25"/>
  <c r="G104" i="25"/>
  <c r="CF104" i="6" s="1"/>
  <c r="H104" i="25"/>
  <c r="AA104" i="25"/>
  <c r="Z104" i="25" s="1"/>
  <c r="Y104" i="25" s="1"/>
  <c r="AA359" i="25"/>
  <c r="Z359" i="25" s="1"/>
  <c r="Y359" i="25" s="1"/>
  <c r="G359" i="25"/>
  <c r="CF359" i="6" s="1"/>
  <c r="H359" i="25"/>
  <c r="H334" i="25"/>
  <c r="AA334" i="25"/>
  <c r="Z334" i="25" s="1"/>
  <c r="Y334" i="25" s="1"/>
  <c r="G334" i="25"/>
  <c r="CF334" i="6" s="1"/>
  <c r="G171" i="25"/>
  <c r="CF171" i="6" s="1"/>
  <c r="AA171" i="25"/>
  <c r="Z171" i="25" s="1"/>
  <c r="Y171" i="25" s="1"/>
  <c r="H171" i="25"/>
  <c r="G340" i="25"/>
  <c r="CF340" i="6" s="1"/>
  <c r="AA340" i="25"/>
  <c r="Z340" i="25" s="1"/>
  <c r="Y340" i="25" s="1"/>
  <c r="H340" i="25"/>
  <c r="AA377" i="25"/>
  <c r="Z377" i="25" s="1"/>
  <c r="Y377" i="25" s="1"/>
  <c r="G377" i="25"/>
  <c r="CF377" i="6" s="1"/>
  <c r="H377" i="25"/>
  <c r="AA136" i="25"/>
  <c r="Z136" i="25" s="1"/>
  <c r="Y136" i="25" s="1"/>
  <c r="G136" i="25"/>
  <c r="CF136" i="6" s="1"/>
  <c r="H136" i="25"/>
  <c r="AA305" i="25"/>
  <c r="Z305" i="25" s="1"/>
  <c r="Y305" i="25" s="1"/>
  <c r="H305" i="25"/>
  <c r="G305" i="25"/>
  <c r="CF305" i="6" s="1"/>
  <c r="AA185" i="25"/>
  <c r="Z185" i="25" s="1"/>
  <c r="Y185" i="25" s="1"/>
  <c r="H185" i="25"/>
  <c r="G185" i="25"/>
  <c r="CF185" i="6" s="1"/>
  <c r="G280" i="25"/>
  <c r="CF280" i="6" s="1"/>
  <c r="AA280" i="25"/>
  <c r="Z280" i="25" s="1"/>
  <c r="Y280" i="25" s="1"/>
  <c r="H280" i="25"/>
  <c r="H43" i="25"/>
  <c r="AA43" i="25"/>
  <c r="Z43" i="25" s="1"/>
  <c r="Y43" i="25" s="1"/>
  <c r="G43" i="25"/>
  <c r="CF43" i="6" s="1"/>
  <c r="G58" i="25"/>
  <c r="CF58" i="6" s="1"/>
  <c r="AA58" i="25"/>
  <c r="Z58" i="25" s="1"/>
  <c r="Y58" i="25" s="1"/>
  <c r="H58" i="25"/>
  <c r="AA269" i="25"/>
  <c r="Z269" i="25" s="1"/>
  <c r="Y269" i="25" s="1"/>
  <c r="G269" i="25"/>
  <c r="CF269" i="6" s="1"/>
  <c r="H269" i="25"/>
  <c r="G357" i="25"/>
  <c r="CF357" i="6" s="1"/>
  <c r="H357" i="25"/>
  <c r="AA357" i="25"/>
  <c r="Z357" i="25" s="1"/>
  <c r="Y357" i="25" s="1"/>
  <c r="AA121" i="25"/>
  <c r="Z121" i="25" s="1"/>
  <c r="Y121" i="25" s="1"/>
  <c r="G121" i="25"/>
  <c r="CF121" i="6" s="1"/>
  <c r="H121" i="25"/>
  <c r="AA228" i="25"/>
  <c r="Z228" i="25" s="1"/>
  <c r="Y228" i="25" s="1"/>
  <c r="H228" i="25"/>
  <c r="G228" i="25"/>
  <c r="CF228" i="6" s="1"/>
  <c r="G214" i="25"/>
  <c r="CF214" i="6" s="1"/>
  <c r="AA214" i="25"/>
  <c r="Z214" i="25" s="1"/>
  <c r="Y214" i="25" s="1"/>
  <c r="H214" i="25"/>
  <c r="G224" i="25"/>
  <c r="CF224" i="6" s="1"/>
  <c r="AA224" i="25"/>
  <c r="Z224" i="25" s="1"/>
  <c r="Y224" i="25" s="1"/>
  <c r="H224" i="25"/>
  <c r="G67" i="25"/>
  <c r="CF67" i="6" s="1"/>
  <c r="H67" i="25"/>
  <c r="AA67" i="25"/>
  <c r="Z67" i="25" s="1"/>
  <c r="Y67" i="25" s="1"/>
  <c r="G291" i="25"/>
  <c r="CF291" i="6" s="1"/>
  <c r="AA291" i="25"/>
  <c r="Z291" i="25" s="1"/>
  <c r="Y291" i="25" s="1"/>
  <c r="H291" i="25"/>
  <c r="AA165" i="25"/>
  <c r="Z165" i="25" s="1"/>
  <c r="Y165" i="25" s="1"/>
  <c r="G165" i="25"/>
  <c r="CF165" i="6" s="1"/>
  <c r="H165" i="25"/>
  <c r="G33" i="25"/>
  <c r="CF33" i="6" s="1"/>
  <c r="H33" i="25"/>
  <c r="AA33" i="25"/>
  <c r="Z33" i="25" s="1"/>
  <c r="Y33" i="25" s="1"/>
  <c r="G85" i="25"/>
  <c r="CF85" i="6" s="1"/>
  <c r="AA85" i="25"/>
  <c r="Z85" i="25" s="1"/>
  <c r="Y85" i="25" s="1"/>
  <c r="H85" i="25"/>
  <c r="G276" i="25"/>
  <c r="CF276" i="6" s="1"/>
  <c r="H276" i="25"/>
  <c r="AA276" i="25"/>
  <c r="Z276" i="25" s="1"/>
  <c r="Y276" i="25" s="1"/>
  <c r="F70" i="19"/>
  <c r="AA364" i="25"/>
  <c r="Z364" i="25" s="1"/>
  <c r="Y364" i="25" s="1"/>
  <c r="H364" i="25"/>
  <c r="G364" i="25"/>
  <c r="CF364" i="6" s="1"/>
  <c r="G339" i="25"/>
  <c r="CF339" i="6" s="1"/>
  <c r="AA339" i="25"/>
  <c r="Z339" i="25" s="1"/>
  <c r="Y339" i="25" s="1"/>
  <c r="H339" i="25"/>
  <c r="AA127" i="25"/>
  <c r="Z127" i="25" s="1"/>
  <c r="Y127" i="25" s="1"/>
  <c r="G127" i="25"/>
  <c r="CF127" i="6" s="1"/>
  <c r="H127" i="25"/>
  <c r="AA144" i="25"/>
  <c r="Z144" i="25" s="1"/>
  <c r="Y144" i="25" s="1"/>
  <c r="G144" i="25"/>
  <c r="CF144" i="6" s="1"/>
  <c r="H144" i="25"/>
  <c r="G199" i="25"/>
  <c r="CF199" i="6" s="1"/>
  <c r="AA199" i="25"/>
  <c r="Z199" i="25" s="1"/>
  <c r="Y199" i="25" s="1"/>
  <c r="H199" i="25"/>
  <c r="H191" i="25"/>
  <c r="AA191" i="25"/>
  <c r="Z191" i="25" s="1"/>
  <c r="Y191" i="25" s="1"/>
  <c r="G191" i="25"/>
  <c r="CF191" i="6" s="1"/>
  <c r="G190" i="25"/>
  <c r="CF190" i="6" s="1"/>
  <c r="H190" i="25"/>
  <c r="AA190" i="25"/>
  <c r="Z190" i="25" s="1"/>
  <c r="Y190" i="25" s="1"/>
  <c r="AA175" i="25"/>
  <c r="Z175" i="25" s="1"/>
  <c r="Y175" i="25" s="1"/>
  <c r="H175" i="25"/>
  <c r="G175" i="25"/>
  <c r="CF175" i="6" s="1"/>
  <c r="G303" i="25"/>
  <c r="CF303" i="6" s="1"/>
  <c r="H303" i="25"/>
  <c r="AA303" i="25"/>
  <c r="Z303" i="25" s="1"/>
  <c r="Y303" i="25" s="1"/>
  <c r="G91" i="25"/>
  <c r="CF91" i="6" s="1"/>
  <c r="H91" i="25"/>
  <c r="AA91" i="25"/>
  <c r="Z91" i="25" s="1"/>
  <c r="Y91" i="25" s="1"/>
  <c r="G138" i="25"/>
  <c r="CF138" i="6" s="1"/>
  <c r="AA138" i="25"/>
  <c r="Z138" i="25" s="1"/>
  <c r="Y138" i="25" s="1"/>
  <c r="H138" i="25"/>
  <c r="G124" i="25"/>
  <c r="CF124" i="6" s="1"/>
  <c r="H124" i="25"/>
  <c r="AA124" i="25"/>
  <c r="Z124" i="25" s="1"/>
  <c r="Y124" i="25" s="1"/>
  <c r="AA202" i="25"/>
  <c r="Z202" i="25" s="1"/>
  <c r="Y202" i="25" s="1"/>
  <c r="G202" i="25"/>
  <c r="CF202" i="6" s="1"/>
  <c r="H202" i="25"/>
  <c r="G360" i="25"/>
  <c r="CF360" i="6" s="1"/>
  <c r="AA360" i="25"/>
  <c r="Z360" i="25" s="1"/>
  <c r="Y360" i="25" s="1"/>
  <c r="H360" i="25"/>
  <c r="AA132" i="25"/>
  <c r="Z132" i="25" s="1"/>
  <c r="Y132" i="25" s="1"/>
  <c r="H132" i="25"/>
  <c r="G132" i="25"/>
  <c r="CF132" i="6" s="1"/>
  <c r="AA263" i="25"/>
  <c r="Z263" i="25" s="1"/>
  <c r="Y263" i="25" s="1"/>
  <c r="G263" i="25"/>
  <c r="CF263" i="6" s="1"/>
  <c r="H263" i="25"/>
  <c r="D258" i="25"/>
  <c r="E258" i="25" s="1"/>
  <c r="F258" i="25" s="1"/>
  <c r="W258" i="25"/>
  <c r="G252" i="25"/>
  <c r="CF252" i="6" s="1"/>
  <c r="AA252" i="25"/>
  <c r="Z252" i="25" s="1"/>
  <c r="Y252" i="25" s="1"/>
  <c r="H252" i="25"/>
  <c r="G163" i="25"/>
  <c r="CF163" i="6" s="1"/>
  <c r="H163" i="25"/>
  <c r="AA163" i="25"/>
  <c r="Z163" i="25" s="1"/>
  <c r="Y163" i="25" s="1"/>
  <c r="AA331" i="25"/>
  <c r="Z331" i="25" s="1"/>
  <c r="Y331" i="25" s="1"/>
  <c r="G331" i="25"/>
  <c r="CF331" i="6" s="1"/>
  <c r="H331" i="25"/>
  <c r="M70" i="19"/>
  <c r="H57" i="19"/>
  <c r="H58" i="19"/>
  <c r="H59" i="19"/>
  <c r="G172" i="25"/>
  <c r="CF172" i="6" s="1"/>
  <c r="H172" i="25"/>
  <c r="AA172" i="25"/>
  <c r="Z172" i="25" s="1"/>
  <c r="Y172" i="25" s="1"/>
  <c r="AA56" i="25"/>
  <c r="Z56" i="25" s="1"/>
  <c r="Y56" i="25" s="1"/>
  <c r="G56" i="25"/>
  <c r="CF56" i="6" s="1"/>
  <c r="H56" i="25"/>
  <c r="AA78" i="25"/>
  <c r="Z78" i="25" s="1"/>
  <c r="Y78" i="25" s="1"/>
  <c r="G78" i="25"/>
  <c r="CF78" i="6" s="1"/>
  <c r="H78" i="25"/>
  <c r="I34" i="25"/>
  <c r="J34" i="25"/>
  <c r="J92" i="25"/>
  <c r="I92" i="25"/>
  <c r="J183" i="25"/>
  <c r="I183" i="25"/>
  <c r="AA29" i="25"/>
  <c r="Z29" i="25" s="1"/>
  <c r="Y29" i="25" s="1"/>
  <c r="G29" i="25"/>
  <c r="CF29" i="6" s="1"/>
  <c r="H29" i="25"/>
  <c r="W166" i="25"/>
  <c r="D166" i="25"/>
  <c r="E166" i="25" s="1"/>
  <c r="F166" i="25" s="1"/>
  <c r="I378" i="25"/>
  <c r="J378" i="25"/>
  <c r="AA141" i="25"/>
  <c r="Z141" i="25" s="1"/>
  <c r="Y141" i="25" s="1"/>
  <c r="H141" i="25"/>
  <c r="G141" i="25"/>
  <c r="CF141" i="6" s="1"/>
  <c r="AA154" i="25"/>
  <c r="Z154" i="25" s="1"/>
  <c r="Y154" i="25" s="1"/>
  <c r="G154" i="25"/>
  <c r="CF154" i="6" s="1"/>
  <c r="H154" i="25"/>
  <c r="G49" i="25"/>
  <c r="CF49" i="6" s="1"/>
  <c r="H49" i="25"/>
  <c r="AA49" i="25"/>
  <c r="Z49" i="25" s="1"/>
  <c r="Y49" i="25" s="1"/>
  <c r="G312" i="25"/>
  <c r="CF312" i="6" s="1"/>
  <c r="AA312" i="25"/>
  <c r="Z312" i="25" s="1"/>
  <c r="Y312" i="25" s="1"/>
  <c r="H312" i="25"/>
  <c r="G197" i="25"/>
  <c r="CF197" i="6" s="1"/>
  <c r="AA197" i="25"/>
  <c r="Z197" i="25" s="1"/>
  <c r="Y197" i="25" s="1"/>
  <c r="H197" i="25"/>
  <c r="AA308" i="25"/>
  <c r="Z308" i="25" s="1"/>
  <c r="Y308" i="25" s="1"/>
  <c r="G308" i="25"/>
  <c r="CF308" i="6" s="1"/>
  <c r="H308" i="25"/>
  <c r="G282" i="25"/>
  <c r="CF282" i="6" s="1"/>
  <c r="AA282" i="25"/>
  <c r="Z282" i="25" s="1"/>
  <c r="Y282" i="25" s="1"/>
  <c r="H282" i="25"/>
  <c r="AA290" i="25"/>
  <c r="Z290" i="25" s="1"/>
  <c r="Y290" i="25" s="1"/>
  <c r="H290" i="25"/>
  <c r="G290" i="25"/>
  <c r="CF290" i="6" s="1"/>
  <c r="AA83" i="25"/>
  <c r="Z83" i="25" s="1"/>
  <c r="Y83" i="25" s="1"/>
  <c r="G83" i="25"/>
  <c r="CF83" i="6" s="1"/>
  <c r="H83" i="25"/>
  <c r="G243" i="25"/>
  <c r="CF243" i="6" s="1"/>
  <c r="AA243" i="25"/>
  <c r="Z243" i="25" s="1"/>
  <c r="Y243" i="25" s="1"/>
  <c r="H243" i="25"/>
  <c r="G159" i="25"/>
  <c r="CF159" i="6" s="1"/>
  <c r="H159" i="25"/>
  <c r="AA159" i="25"/>
  <c r="Z159" i="25" s="1"/>
  <c r="Y159" i="25" s="1"/>
  <c r="AA368" i="25"/>
  <c r="Z368" i="25" s="1"/>
  <c r="Y368" i="25" s="1"/>
  <c r="G368" i="25"/>
  <c r="CF368" i="6" s="1"/>
  <c r="H368" i="25"/>
  <c r="AA231" i="25"/>
  <c r="Z231" i="25" s="1"/>
  <c r="Y231" i="25" s="1"/>
  <c r="G231" i="25"/>
  <c r="CF231" i="6" s="1"/>
  <c r="H231" i="25"/>
  <c r="G32" i="25"/>
  <c r="CF32" i="6" s="1"/>
  <c r="AA32" i="25"/>
  <c r="Z32" i="25" s="1"/>
  <c r="Y32" i="25" s="1"/>
  <c r="H32" i="25"/>
  <c r="D227" i="25"/>
  <c r="E227" i="25" s="1"/>
  <c r="F227" i="25" s="1"/>
  <c r="W227" i="25"/>
  <c r="AA239" i="25"/>
  <c r="Z239" i="25" s="1"/>
  <c r="Y239" i="25" s="1"/>
  <c r="G239" i="25"/>
  <c r="CF239" i="6" s="1"/>
  <c r="H239" i="25"/>
  <c r="AA284" i="25"/>
  <c r="Z284" i="25" s="1"/>
  <c r="Y284" i="25" s="1"/>
  <c r="G284" i="25"/>
  <c r="CF284" i="6" s="1"/>
  <c r="H284" i="25"/>
  <c r="AA90" i="25"/>
  <c r="Z90" i="25" s="1"/>
  <c r="Y90" i="25" s="1"/>
  <c r="G90" i="25"/>
  <c r="CF90" i="6" s="1"/>
  <c r="H90" i="25"/>
  <c r="G72" i="25"/>
  <c r="CF72" i="6" s="1"/>
  <c r="AA72" i="25"/>
  <c r="Z72" i="25" s="1"/>
  <c r="Y72" i="25" s="1"/>
  <c r="H72" i="25"/>
  <c r="G232" i="25"/>
  <c r="CF232" i="6" s="1"/>
  <c r="AA232" i="25"/>
  <c r="Z232" i="25" s="1"/>
  <c r="Y232" i="25" s="1"/>
  <c r="H232" i="25"/>
  <c r="AA294" i="25"/>
  <c r="Z294" i="25" s="1"/>
  <c r="Y294" i="25" s="1"/>
  <c r="G294" i="25"/>
  <c r="CF294" i="6" s="1"/>
  <c r="H294" i="25"/>
  <c r="AA45" i="25"/>
  <c r="Z45" i="25" s="1"/>
  <c r="Y45" i="25" s="1"/>
  <c r="G45" i="25"/>
  <c r="CF45" i="6" s="1"/>
  <c r="H45" i="25"/>
  <c r="W289" i="25"/>
  <c r="D289" i="25"/>
  <c r="E289" i="25" s="1"/>
  <c r="F289" i="25" s="1"/>
  <c r="AA324" i="25"/>
  <c r="Z324" i="25" s="1"/>
  <c r="Y324" i="25" s="1"/>
  <c r="H324" i="25"/>
  <c r="G324" i="25"/>
  <c r="CF324" i="6" s="1"/>
  <c r="AA278" i="25"/>
  <c r="Z278" i="25" s="1"/>
  <c r="Y278" i="25" s="1"/>
  <c r="G278" i="25"/>
  <c r="CF278" i="6" s="1"/>
  <c r="H278" i="25"/>
  <c r="G273" i="25"/>
  <c r="CF273" i="6" s="1"/>
  <c r="H273" i="25"/>
  <c r="AA273" i="25"/>
  <c r="Z273" i="25" s="1"/>
  <c r="Y273" i="25" s="1"/>
  <c r="G179" i="25"/>
  <c r="CF179" i="6" s="1"/>
  <c r="AA179" i="25"/>
  <c r="Z179" i="25" s="1"/>
  <c r="Y179" i="25" s="1"/>
  <c r="H179" i="25"/>
  <c r="AA87" i="25"/>
  <c r="Z87" i="25" s="1"/>
  <c r="Y87" i="25" s="1"/>
  <c r="G87" i="25"/>
  <c r="CF87" i="6" s="1"/>
  <c r="H87" i="25"/>
  <c r="W105" i="25"/>
  <c r="D105" i="25"/>
  <c r="E105" i="25" s="1"/>
  <c r="F105" i="25" s="1"/>
  <c r="AA17" i="25"/>
  <c r="Z17" i="25" s="1"/>
  <c r="Y17" i="25" s="1"/>
  <c r="G17" i="25"/>
  <c r="CF17" i="6" s="1"/>
  <c r="H17" i="25"/>
  <c r="G361" i="25"/>
  <c r="CF361" i="6" s="1"/>
  <c r="AA361" i="25"/>
  <c r="Z361" i="25" s="1"/>
  <c r="Y361" i="25" s="1"/>
  <c r="H361" i="25"/>
  <c r="G230" i="25"/>
  <c r="CF230" i="6" s="1"/>
  <c r="AA230" i="25"/>
  <c r="Z230" i="25" s="1"/>
  <c r="Y230" i="25" s="1"/>
  <c r="H230" i="25"/>
  <c r="G93" i="25"/>
  <c r="CF93" i="6" s="1"/>
  <c r="AA93" i="25"/>
  <c r="Z93" i="25" s="1"/>
  <c r="Y93" i="25" s="1"/>
  <c r="H93" i="25"/>
  <c r="D363" i="25"/>
  <c r="E363" i="25" s="1"/>
  <c r="F363" i="25" s="1"/>
  <c r="W363" i="25"/>
  <c r="AA343" i="25"/>
  <c r="Z343" i="25" s="1"/>
  <c r="Y343" i="25" s="1"/>
  <c r="G343" i="25"/>
  <c r="CF343" i="6" s="1"/>
  <c r="H343" i="25"/>
  <c r="G373" i="25"/>
  <c r="CF373" i="6" s="1"/>
  <c r="H373" i="25"/>
  <c r="AA373" i="25"/>
  <c r="Z373" i="25" s="1"/>
  <c r="Y373" i="25" s="1"/>
  <c r="G327" i="25"/>
  <c r="CF327" i="6" s="1"/>
  <c r="H327" i="25"/>
  <c r="AA327" i="25"/>
  <c r="Z327" i="25" s="1"/>
  <c r="Y327" i="25" s="1"/>
  <c r="AA125" i="25"/>
  <c r="Z125" i="25" s="1"/>
  <c r="Y125" i="25" s="1"/>
  <c r="G125" i="25"/>
  <c r="CF125" i="6" s="1"/>
  <c r="H125" i="25"/>
  <c r="G320" i="25"/>
  <c r="CF320" i="6" s="1"/>
  <c r="AA320" i="25"/>
  <c r="Z320" i="25" s="1"/>
  <c r="Y320" i="25" s="1"/>
  <c r="H320" i="25"/>
  <c r="AA293" i="25"/>
  <c r="Z293" i="25" s="1"/>
  <c r="Y293" i="25" s="1"/>
  <c r="G293" i="25"/>
  <c r="CF293" i="6" s="1"/>
  <c r="H293" i="25"/>
  <c r="G134" i="25"/>
  <c r="CF134" i="6" s="1"/>
  <c r="AA134" i="25"/>
  <c r="Z134" i="25" s="1"/>
  <c r="Y134" i="25" s="1"/>
  <c r="H134" i="25"/>
  <c r="D59" i="19"/>
  <c r="AA170" i="25"/>
  <c r="Z170" i="25" s="1"/>
  <c r="Y170" i="25" s="1"/>
  <c r="G170" i="25"/>
  <c r="CF170" i="6" s="1"/>
  <c r="H170" i="25"/>
  <c r="G145" i="25"/>
  <c r="CF145" i="6" s="1"/>
  <c r="AA145" i="25"/>
  <c r="Z145" i="25" s="1"/>
  <c r="Y145" i="25" s="1"/>
  <c r="H145" i="25"/>
  <c r="H142" i="25"/>
  <c r="G142" i="25"/>
  <c r="CF142" i="6" s="1"/>
  <c r="AA142" i="25"/>
  <c r="Z142" i="25" s="1"/>
  <c r="Y142" i="25" s="1"/>
  <c r="G297" i="25"/>
  <c r="CF297" i="6" s="1"/>
  <c r="H297" i="25"/>
  <c r="AA297" i="25"/>
  <c r="Z297" i="25" s="1"/>
  <c r="Y297" i="25" s="1"/>
  <c r="G335" i="25"/>
  <c r="CF335" i="6" s="1"/>
  <c r="AA335" i="25"/>
  <c r="Z335" i="25" s="1"/>
  <c r="Y335" i="25" s="1"/>
  <c r="H335" i="25"/>
  <c r="AA275" i="25"/>
  <c r="Z275" i="25" s="1"/>
  <c r="Y275" i="25" s="1"/>
  <c r="H275" i="25"/>
  <c r="G275" i="25"/>
  <c r="CF275" i="6" s="1"/>
  <c r="G31" i="25"/>
  <c r="CF31" i="6" s="1"/>
  <c r="AA31" i="25"/>
  <c r="Z31" i="25" s="1"/>
  <c r="Y31" i="25" s="1"/>
  <c r="H31" i="25"/>
  <c r="AA70" i="25"/>
  <c r="Z70" i="25" s="1"/>
  <c r="Y70" i="25" s="1"/>
  <c r="H70" i="25"/>
  <c r="G70" i="25"/>
  <c r="CF70" i="6" s="1"/>
  <c r="G73" i="25"/>
  <c r="CF73" i="6" s="1"/>
  <c r="AA73" i="25"/>
  <c r="Z73" i="25" s="1"/>
  <c r="Y73" i="25" s="1"/>
  <c r="H73" i="25"/>
  <c r="AA19" i="25"/>
  <c r="Z19" i="25" s="1"/>
  <c r="Y19" i="25" s="1"/>
  <c r="G19" i="25"/>
  <c r="CF19" i="6" s="1"/>
  <c r="H19" i="25"/>
  <c r="AA112" i="25"/>
  <c r="Z112" i="25" s="1"/>
  <c r="Y112" i="25" s="1"/>
  <c r="G112" i="25"/>
  <c r="CF112" i="6" s="1"/>
  <c r="H112" i="25"/>
  <c r="AA209" i="25"/>
  <c r="Z209" i="25" s="1"/>
  <c r="Y209" i="25" s="1"/>
  <c r="G209" i="25"/>
  <c r="CF209" i="6" s="1"/>
  <c r="H209" i="25"/>
  <c r="G332" i="25"/>
  <c r="CF332" i="6" s="1"/>
  <c r="H332" i="25"/>
  <c r="AA332" i="25"/>
  <c r="Z332" i="25" s="1"/>
  <c r="Y332" i="25" s="1"/>
  <c r="G281" i="25"/>
  <c r="CF281" i="6" s="1"/>
  <c r="AA281" i="25"/>
  <c r="Z281" i="25" s="1"/>
  <c r="Y281" i="25" s="1"/>
  <c r="H281" i="25"/>
  <c r="AA321" i="25"/>
  <c r="Z321" i="25" s="1"/>
  <c r="Y321" i="25" s="1"/>
  <c r="G321" i="25"/>
  <c r="CF321" i="6" s="1"/>
  <c r="H321" i="25"/>
  <c r="AA254" i="25"/>
  <c r="Z254" i="25" s="1"/>
  <c r="Y254" i="25" s="1"/>
  <c r="G254" i="25"/>
  <c r="CF254" i="6" s="1"/>
  <c r="H254" i="25"/>
  <c r="AA193" i="25"/>
  <c r="Z193" i="25" s="1"/>
  <c r="Y193" i="25" s="1"/>
  <c r="G193" i="25"/>
  <c r="CF193" i="6" s="1"/>
  <c r="H193" i="25"/>
  <c r="J265" i="25"/>
  <c r="I265" i="25"/>
  <c r="G68" i="25"/>
  <c r="CF68" i="6" s="1"/>
  <c r="AA68" i="25"/>
  <c r="Z68" i="25" s="1"/>
  <c r="Y68" i="25" s="1"/>
  <c r="H68" i="25"/>
  <c r="AA307" i="25"/>
  <c r="Z307" i="25" s="1"/>
  <c r="Y307" i="25" s="1"/>
  <c r="G307" i="25"/>
  <c r="CF307" i="6" s="1"/>
  <c r="H307" i="25"/>
  <c r="AA55" i="25"/>
  <c r="Z55" i="25" s="1"/>
  <c r="Y55" i="25" s="1"/>
  <c r="G55" i="25"/>
  <c r="CF55" i="6" s="1"/>
  <c r="H55" i="25"/>
  <c r="G182" i="25"/>
  <c r="CF182" i="6" s="1"/>
  <c r="AA182" i="25"/>
  <c r="Z182" i="25" s="1"/>
  <c r="Y182" i="25" s="1"/>
  <c r="H182" i="25"/>
  <c r="AA188" i="25"/>
  <c r="Z188" i="25" s="1"/>
  <c r="Y188" i="25" s="1"/>
  <c r="H188" i="25"/>
  <c r="G188" i="25"/>
  <c r="CF188" i="6" s="1"/>
  <c r="AA79" i="25"/>
  <c r="Z79" i="25" s="1"/>
  <c r="Y79" i="25" s="1"/>
  <c r="H79" i="25"/>
  <c r="G79" i="25"/>
  <c r="CF79" i="6" s="1"/>
  <c r="G204" i="25"/>
  <c r="CF204" i="6" s="1"/>
  <c r="H204" i="25"/>
  <c r="AA204" i="25"/>
  <c r="Z204" i="25" s="1"/>
  <c r="Y204" i="25" s="1"/>
  <c r="AA42" i="25"/>
  <c r="Z42" i="25" s="1"/>
  <c r="Y42" i="25" s="1"/>
  <c r="G42" i="25"/>
  <c r="CF42" i="6" s="1"/>
  <c r="H42" i="25"/>
  <c r="G194" i="25"/>
  <c r="CF194" i="6" s="1"/>
  <c r="AA194" i="25"/>
  <c r="Z194" i="25" s="1"/>
  <c r="Y194" i="25" s="1"/>
  <c r="H194" i="25"/>
  <c r="G37" i="25"/>
  <c r="CF37" i="6" s="1"/>
  <c r="AA37" i="25"/>
  <c r="Z37" i="25" s="1"/>
  <c r="Y37" i="25" s="1"/>
  <c r="H37" i="25"/>
  <c r="AA304" i="25"/>
  <c r="Z304" i="25" s="1"/>
  <c r="Y304" i="25" s="1"/>
  <c r="G304" i="25"/>
  <c r="CF304" i="6" s="1"/>
  <c r="H304" i="25"/>
  <c r="AA39" i="25"/>
  <c r="Z39" i="25" s="1"/>
  <c r="Y39" i="25" s="1"/>
  <c r="G39" i="25"/>
  <c r="CF39" i="6" s="1"/>
  <c r="H39" i="25"/>
  <c r="AA82" i="25"/>
  <c r="Z82" i="25" s="1"/>
  <c r="Y82" i="25" s="1"/>
  <c r="G82" i="25"/>
  <c r="CF82" i="6" s="1"/>
  <c r="H82" i="25"/>
  <c r="G292" i="25"/>
  <c r="CF292" i="6" s="1"/>
  <c r="H292" i="25"/>
  <c r="AA292" i="25"/>
  <c r="Z292" i="25" s="1"/>
  <c r="Y292" i="25" s="1"/>
  <c r="G279" i="25"/>
  <c r="CF279" i="6" s="1"/>
  <c r="AA279" i="25"/>
  <c r="Z279" i="25" s="1"/>
  <c r="Y279" i="25" s="1"/>
  <c r="H279" i="25"/>
  <c r="G69" i="25"/>
  <c r="CF69" i="6" s="1"/>
  <c r="H69" i="25"/>
  <c r="AA69" i="25"/>
  <c r="Z69" i="25" s="1"/>
  <c r="Y69" i="25" s="1"/>
  <c r="G137" i="25"/>
  <c r="CF137" i="6" s="1"/>
  <c r="AA137" i="25"/>
  <c r="Z137" i="25" s="1"/>
  <c r="Y137" i="25" s="1"/>
  <c r="H137" i="25"/>
  <c r="G109" i="25"/>
  <c r="CF109" i="6" s="1"/>
  <c r="AA109" i="25"/>
  <c r="Z109" i="25" s="1"/>
  <c r="Y109" i="25" s="1"/>
  <c r="H109" i="25"/>
  <c r="AA126" i="25"/>
  <c r="Z126" i="25" s="1"/>
  <c r="Y126" i="25" s="1"/>
  <c r="H126" i="25"/>
  <c r="G126" i="25"/>
  <c r="CF126" i="6" s="1"/>
  <c r="G253" i="25"/>
  <c r="CF253" i="6" s="1"/>
  <c r="AA253" i="25"/>
  <c r="Z253" i="25" s="1"/>
  <c r="Y253" i="25" s="1"/>
  <c r="H253" i="25"/>
  <c r="AA328" i="25"/>
  <c r="Z328" i="25" s="1"/>
  <c r="Y328" i="25" s="1"/>
  <c r="H328" i="25"/>
  <c r="G328" i="25"/>
  <c r="CF328" i="6" s="1"/>
  <c r="AA366" i="25"/>
  <c r="Z366" i="25" s="1"/>
  <c r="Y366" i="25" s="1"/>
  <c r="G366" i="25"/>
  <c r="CF366" i="6" s="1"/>
  <c r="H366" i="25"/>
  <c r="G225" i="25"/>
  <c r="CF225" i="6" s="1"/>
  <c r="AA225" i="25"/>
  <c r="Z225" i="25" s="1"/>
  <c r="Y225" i="25" s="1"/>
  <c r="H225" i="25"/>
  <c r="AA337" i="25"/>
  <c r="Z337" i="25" s="1"/>
  <c r="Y337" i="25" s="1"/>
  <c r="H337" i="25"/>
  <c r="G337" i="25"/>
  <c r="CF337" i="6" s="1"/>
  <c r="AA270" i="25"/>
  <c r="Z270" i="25" s="1"/>
  <c r="Y270" i="25" s="1"/>
  <c r="G270" i="25"/>
  <c r="CF270" i="6" s="1"/>
  <c r="H270" i="25"/>
  <c r="G255" i="25"/>
  <c r="CF255" i="6" s="1"/>
  <c r="AA255" i="25"/>
  <c r="Z255" i="25" s="1"/>
  <c r="Y255" i="25" s="1"/>
  <c r="H255" i="25"/>
  <c r="J40" i="25"/>
  <c r="I40" i="25"/>
  <c r="AG382" i="25"/>
  <c r="AF15" i="25"/>
  <c r="AG383" i="25"/>
  <c r="AG381" i="25"/>
  <c r="G329" i="25"/>
  <c r="CF329" i="6" s="1"/>
  <c r="H329" i="25"/>
  <c r="AA329" i="25"/>
  <c r="Z329" i="25" s="1"/>
  <c r="Y329" i="25" s="1"/>
  <c r="G128" i="25"/>
  <c r="CF128" i="6" s="1"/>
  <c r="AA128" i="25"/>
  <c r="Z128" i="25" s="1"/>
  <c r="Y128" i="25" s="1"/>
  <c r="H128" i="25"/>
  <c r="AA237" i="25"/>
  <c r="Z237" i="25" s="1"/>
  <c r="Y237" i="25" s="1"/>
  <c r="G237" i="25"/>
  <c r="CF237" i="6" s="1"/>
  <c r="H237" i="25"/>
  <c r="AA100" i="25"/>
  <c r="Z100" i="25" s="1"/>
  <c r="Y100" i="25" s="1"/>
  <c r="G100" i="25"/>
  <c r="CF100" i="6" s="1"/>
  <c r="H100" i="25"/>
  <c r="AA296" i="25"/>
  <c r="Z296" i="25" s="1"/>
  <c r="Y296" i="25" s="1"/>
  <c r="G296" i="25"/>
  <c r="CF296" i="6" s="1"/>
  <c r="H296" i="25"/>
  <c r="G277" i="25"/>
  <c r="CF277" i="6" s="1"/>
  <c r="H277" i="25"/>
  <c r="AA277" i="25"/>
  <c r="Z277" i="25" s="1"/>
  <c r="Y277" i="25" s="1"/>
  <c r="G59" i="25"/>
  <c r="CF59" i="6" s="1"/>
  <c r="AA59" i="25"/>
  <c r="Z59" i="25" s="1"/>
  <c r="Y59" i="25" s="1"/>
  <c r="H59" i="25"/>
  <c r="G41" i="25"/>
  <c r="CF41" i="6" s="1"/>
  <c r="AA41" i="25"/>
  <c r="Z41" i="25" s="1"/>
  <c r="Y41" i="25" s="1"/>
  <c r="H41" i="25"/>
  <c r="G76" i="25"/>
  <c r="CF76" i="6" s="1"/>
  <c r="AA76" i="25"/>
  <c r="Z76" i="25" s="1"/>
  <c r="Y76" i="25" s="1"/>
  <c r="H76" i="25"/>
  <c r="G51" i="25"/>
  <c r="CF51" i="6" s="1"/>
  <c r="H51" i="25"/>
  <c r="AA51" i="25"/>
  <c r="Z51" i="25" s="1"/>
  <c r="Y51" i="25" s="1"/>
  <c r="G143" i="25"/>
  <c r="CF143" i="6" s="1"/>
  <c r="AA143" i="25"/>
  <c r="Z143" i="25" s="1"/>
  <c r="Y143" i="25" s="1"/>
  <c r="H143" i="25"/>
  <c r="G344" i="25"/>
  <c r="CF344" i="6" s="1"/>
  <c r="AA344" i="25"/>
  <c r="Z344" i="25" s="1"/>
  <c r="Y344" i="25" s="1"/>
  <c r="H344" i="25"/>
  <c r="G347" i="25"/>
  <c r="CF347" i="6" s="1"/>
  <c r="AA347" i="25"/>
  <c r="Z347" i="25" s="1"/>
  <c r="Y347" i="25" s="1"/>
  <c r="H347" i="25"/>
  <c r="AA20" i="25"/>
  <c r="Z20" i="25" s="1"/>
  <c r="Y20" i="25" s="1"/>
  <c r="G20" i="25"/>
  <c r="CF20" i="6" s="1"/>
  <c r="H20" i="25"/>
  <c r="G235" i="25"/>
  <c r="CF235" i="6" s="1"/>
  <c r="AA235" i="25"/>
  <c r="Z235" i="25" s="1"/>
  <c r="Y235" i="25" s="1"/>
  <c r="H235" i="25"/>
  <c r="G54" i="25"/>
  <c r="CF54" i="6" s="1"/>
  <c r="H54" i="25"/>
  <c r="AA54" i="25"/>
  <c r="Z54" i="25" s="1"/>
  <c r="Y54" i="25" s="1"/>
  <c r="G21" i="25"/>
  <c r="CF21" i="6" s="1"/>
  <c r="AA21" i="25"/>
  <c r="Z21" i="25" s="1"/>
  <c r="Y21" i="25" s="1"/>
  <c r="H21" i="25"/>
  <c r="G167" i="25"/>
  <c r="CF167" i="6" s="1"/>
  <c r="AA167" i="25"/>
  <c r="Z167" i="25" s="1"/>
  <c r="Y167" i="25" s="1"/>
  <c r="H167" i="25"/>
  <c r="G351" i="25"/>
  <c r="CF351" i="6" s="1"/>
  <c r="AA351" i="25"/>
  <c r="Z351" i="25" s="1"/>
  <c r="Y351" i="25" s="1"/>
  <c r="H351" i="25"/>
  <c r="AA322" i="25"/>
  <c r="Z322" i="25" s="1"/>
  <c r="Y322" i="25" s="1"/>
  <c r="G322" i="25"/>
  <c r="CF322" i="6" s="1"/>
  <c r="H322" i="25"/>
  <c r="AA160" i="25"/>
  <c r="Z160" i="25" s="1"/>
  <c r="Y160" i="25" s="1"/>
  <c r="G160" i="25"/>
  <c r="CF160" i="6" s="1"/>
  <c r="H160" i="25"/>
  <c r="G77" i="25"/>
  <c r="CF77" i="6" s="1"/>
  <c r="AA77" i="25"/>
  <c r="Z77" i="25" s="1"/>
  <c r="Y77" i="25" s="1"/>
  <c r="H77" i="25"/>
  <c r="G376" i="25"/>
  <c r="CF376" i="6" s="1"/>
  <c r="AA376" i="25"/>
  <c r="Z376" i="25" s="1"/>
  <c r="Y376" i="25" s="1"/>
  <c r="H376" i="25"/>
  <c r="G184" i="25"/>
  <c r="CF184" i="6" s="1"/>
  <c r="AA184" i="25"/>
  <c r="Z184" i="25" s="1"/>
  <c r="Y184" i="25" s="1"/>
  <c r="H184" i="25"/>
  <c r="AA221" i="25"/>
  <c r="Z221" i="25" s="1"/>
  <c r="Y221" i="25" s="1"/>
  <c r="H221" i="25"/>
  <c r="G221" i="25"/>
  <c r="CF221" i="6" s="1"/>
  <c r="H16" i="25"/>
  <c r="AA16" i="25"/>
  <c r="Z16" i="25" s="1"/>
  <c r="Y16" i="25" s="1"/>
  <c r="G16" i="25"/>
  <c r="CF16" i="6" s="1"/>
  <c r="G346" i="25"/>
  <c r="CF346" i="6" s="1"/>
  <c r="AA346" i="25"/>
  <c r="Z346" i="25" s="1"/>
  <c r="Y346" i="25" s="1"/>
  <c r="H346" i="25"/>
  <c r="G75" i="25"/>
  <c r="CF75" i="6" s="1"/>
  <c r="AA75" i="25"/>
  <c r="Z75" i="25" s="1"/>
  <c r="Y75" i="25" s="1"/>
  <c r="H75" i="25"/>
  <c r="G129" i="25"/>
  <c r="CF129" i="6" s="1"/>
  <c r="H129" i="25"/>
  <c r="AA129" i="25"/>
  <c r="Z129" i="25" s="1"/>
  <c r="Y129" i="25" s="1"/>
  <c r="D241" i="25"/>
  <c r="E241" i="25" s="1"/>
  <c r="F241" i="25" s="1"/>
  <c r="W241" i="25"/>
  <c r="AA370" i="25"/>
  <c r="Z370" i="25" s="1"/>
  <c r="Y370" i="25" s="1"/>
  <c r="G370" i="25"/>
  <c r="CF370" i="6" s="1"/>
  <c r="H370" i="25"/>
  <c r="G330" i="25"/>
  <c r="CF330" i="6" s="1"/>
  <c r="AA330" i="25"/>
  <c r="Z330" i="25" s="1"/>
  <c r="Y330" i="25" s="1"/>
  <c r="H330" i="25"/>
  <c r="AA94" i="25"/>
  <c r="Z94" i="25" s="1"/>
  <c r="Y94" i="25" s="1"/>
  <c r="H94" i="25"/>
  <c r="G94" i="25"/>
  <c r="CF94" i="6" s="1"/>
  <c r="AA86" i="25"/>
  <c r="Z86" i="25" s="1"/>
  <c r="Y86" i="25" s="1"/>
  <c r="G86" i="25"/>
  <c r="CF86" i="6" s="1"/>
  <c r="H86" i="25"/>
  <c r="AA311" i="25"/>
  <c r="Z311" i="25" s="1"/>
  <c r="Y311" i="25" s="1"/>
  <c r="G311" i="25"/>
  <c r="CF311" i="6" s="1"/>
  <c r="H311" i="25"/>
  <c r="G189" i="25"/>
  <c r="CF189" i="6" s="1"/>
  <c r="AA189" i="25"/>
  <c r="Z189" i="25" s="1"/>
  <c r="Y189" i="25" s="1"/>
  <c r="H189" i="25"/>
  <c r="G309" i="25"/>
  <c r="CF309" i="6" s="1"/>
  <c r="AA309" i="25"/>
  <c r="Z309" i="25" s="1"/>
  <c r="Y309" i="25" s="1"/>
  <c r="H309" i="25"/>
  <c r="G156" i="25"/>
  <c r="CF156" i="6" s="1"/>
  <c r="AA156" i="25"/>
  <c r="Z156" i="25" s="1"/>
  <c r="Y156" i="25" s="1"/>
  <c r="H156" i="25"/>
  <c r="G313" i="25"/>
  <c r="CF313" i="6" s="1"/>
  <c r="H313" i="25"/>
  <c r="AA313" i="25"/>
  <c r="Z313" i="25" s="1"/>
  <c r="Y313" i="25" s="1"/>
  <c r="AA352" i="25"/>
  <c r="Z352" i="25" s="1"/>
  <c r="Y352" i="25" s="1"/>
  <c r="G352" i="25"/>
  <c r="CF352" i="6" s="1"/>
  <c r="H352" i="25"/>
  <c r="AA120" i="25"/>
  <c r="Z120" i="25" s="1"/>
  <c r="Y120" i="25" s="1"/>
  <c r="G120" i="25"/>
  <c r="CF120" i="6" s="1"/>
  <c r="H120" i="25"/>
  <c r="AA103" i="25"/>
  <c r="Z103" i="25" s="1"/>
  <c r="Y103" i="25" s="1"/>
  <c r="G103" i="25"/>
  <c r="CF103" i="6" s="1"/>
  <c r="H103" i="25"/>
  <c r="AA256" i="25"/>
  <c r="Z256" i="25" s="1"/>
  <c r="Y256" i="25" s="1"/>
  <c r="H256" i="25"/>
  <c r="G256" i="25"/>
  <c r="CF256" i="6" s="1"/>
  <c r="G200" i="25"/>
  <c r="CF200" i="6" s="1"/>
  <c r="H200" i="25"/>
  <c r="AA200" i="25"/>
  <c r="Z200" i="25" s="1"/>
  <c r="Y200" i="25" s="1"/>
  <c r="AA310" i="25"/>
  <c r="Z310" i="25" s="1"/>
  <c r="Y310" i="25" s="1"/>
  <c r="G310" i="25"/>
  <c r="CF310" i="6" s="1"/>
  <c r="H310" i="25"/>
  <c r="G195" i="25"/>
  <c r="CF195" i="6" s="1"/>
  <c r="AA195" i="25"/>
  <c r="Z195" i="25" s="1"/>
  <c r="Y195" i="25" s="1"/>
  <c r="H195" i="25"/>
  <c r="G36" i="25"/>
  <c r="CF36" i="6" s="1"/>
  <c r="AA36" i="25"/>
  <c r="Z36" i="25" s="1"/>
  <c r="Y36" i="25" s="1"/>
  <c r="H36" i="25"/>
  <c r="AA28" i="25"/>
  <c r="Z28" i="25" s="1"/>
  <c r="Y28" i="25" s="1"/>
  <c r="G28" i="25"/>
  <c r="CF28" i="6" s="1"/>
  <c r="H28" i="25"/>
  <c r="AA97" i="25"/>
  <c r="Z97" i="25" s="1"/>
  <c r="Y97" i="25" s="1"/>
  <c r="G97" i="25"/>
  <c r="CF97" i="6" s="1"/>
  <c r="H97" i="25"/>
  <c r="AA223" i="25"/>
  <c r="Z223" i="25" s="1"/>
  <c r="Y223" i="25" s="1"/>
  <c r="H223" i="25"/>
  <c r="G223" i="25"/>
  <c r="CF223" i="6" s="1"/>
  <c r="G146" i="25"/>
  <c r="CF146" i="6" s="1"/>
  <c r="H146" i="25"/>
  <c r="AA146" i="25"/>
  <c r="Z146" i="25" s="1"/>
  <c r="Y146" i="25" s="1"/>
  <c r="AA89" i="25"/>
  <c r="Z89" i="25" s="1"/>
  <c r="Y89" i="25" s="1"/>
  <c r="G89" i="25"/>
  <c r="CF89" i="6" s="1"/>
  <c r="H89" i="25"/>
  <c r="AA301" i="25"/>
  <c r="Z301" i="25" s="1"/>
  <c r="Y301" i="25" s="1"/>
  <c r="G301" i="25"/>
  <c r="CF301" i="6" s="1"/>
  <c r="H301" i="25"/>
  <c r="G192" i="25"/>
  <c r="CF192" i="6" s="1"/>
  <c r="AA192" i="25"/>
  <c r="Z192" i="25" s="1"/>
  <c r="Y192" i="25" s="1"/>
  <c r="H192" i="25"/>
  <c r="AA130" i="25"/>
  <c r="Z130" i="25" s="1"/>
  <c r="Y130" i="25" s="1"/>
  <c r="G130" i="25"/>
  <c r="CF130" i="6" s="1"/>
  <c r="H130" i="25"/>
  <c r="D135" i="25"/>
  <c r="E135" i="25" s="1"/>
  <c r="F135" i="25" s="1"/>
  <c r="W135" i="25"/>
  <c r="AA234" i="25"/>
  <c r="Z234" i="25" s="1"/>
  <c r="Y234" i="25" s="1"/>
  <c r="G234" i="25"/>
  <c r="CF234" i="6" s="1"/>
  <c r="H234" i="25"/>
  <c r="G24" i="25"/>
  <c r="CF24" i="6" s="1"/>
  <c r="AA24" i="25"/>
  <c r="Z24" i="25" s="1"/>
  <c r="Y24" i="25" s="1"/>
  <c r="H24" i="25"/>
  <c r="G23" i="25"/>
  <c r="CF23" i="6" s="1"/>
  <c r="AA23" i="25"/>
  <c r="Z23" i="25" s="1"/>
  <c r="Y23" i="25" s="1"/>
  <c r="H23" i="25"/>
  <c r="AA44" i="25"/>
  <c r="Z44" i="25" s="1"/>
  <c r="Y44" i="25" s="1"/>
  <c r="G44" i="25"/>
  <c r="CF44" i="6" s="1"/>
  <c r="H44" i="25"/>
  <c r="D60" i="25"/>
  <c r="E60" i="25" s="1"/>
  <c r="F60" i="25" s="1"/>
  <c r="W60" i="25"/>
  <c r="G80" i="25"/>
  <c r="CF80" i="6" s="1"/>
  <c r="AA80" i="25"/>
  <c r="Z80" i="25" s="1"/>
  <c r="Y80" i="25" s="1"/>
  <c r="H80" i="25"/>
  <c r="G113" i="25"/>
  <c r="CF113" i="6" s="1"/>
  <c r="AA113" i="25"/>
  <c r="Z113" i="25" s="1"/>
  <c r="Y113" i="25" s="1"/>
  <c r="H113" i="25"/>
  <c r="AA358" i="25"/>
  <c r="Z358" i="25" s="1"/>
  <c r="Y358" i="25" s="1"/>
  <c r="G358" i="25"/>
  <c r="CF358" i="6" s="1"/>
  <c r="H358" i="25"/>
  <c r="J70" i="19"/>
  <c r="AA111" i="25"/>
  <c r="Z111" i="25" s="1"/>
  <c r="Y111" i="25" s="1"/>
  <c r="G111" i="25"/>
  <c r="CF111" i="6" s="1"/>
  <c r="H111" i="25"/>
  <c r="AA206" i="25"/>
  <c r="Z206" i="25" s="1"/>
  <c r="Y206" i="25" s="1"/>
  <c r="H206" i="25"/>
  <c r="G206" i="25"/>
  <c r="CF206" i="6" s="1"/>
  <c r="G123" i="25"/>
  <c r="CF123" i="6" s="1"/>
  <c r="H123" i="25"/>
  <c r="AA123" i="25"/>
  <c r="Z123" i="25" s="1"/>
  <c r="Y123" i="25" s="1"/>
  <c r="W349" i="25"/>
  <c r="D349" i="25"/>
  <c r="E349" i="25" s="1"/>
  <c r="F349" i="25" s="1"/>
  <c r="AA326" i="25"/>
  <c r="Z326" i="25" s="1"/>
  <c r="Y326" i="25" s="1"/>
  <c r="G326" i="25"/>
  <c r="CF326" i="6" s="1"/>
  <c r="H326" i="25"/>
  <c r="D196" i="25"/>
  <c r="E196" i="25" s="1"/>
  <c r="F196" i="25" s="1"/>
  <c r="W196" i="25"/>
  <c r="G139" i="25"/>
  <c r="CF139" i="6" s="1"/>
  <c r="AA139" i="25"/>
  <c r="Z139" i="25" s="1"/>
  <c r="Y139" i="25" s="1"/>
  <c r="H139" i="25"/>
  <c r="G316" i="25"/>
  <c r="CF316" i="6" s="1"/>
  <c r="H316" i="25"/>
  <c r="AA316" i="25"/>
  <c r="Z316" i="25" s="1"/>
  <c r="Y316" i="25" s="1"/>
  <c r="AA47" i="25"/>
  <c r="Z47" i="25" s="1"/>
  <c r="Y47" i="25" s="1"/>
  <c r="G47" i="25"/>
  <c r="CF47" i="6" s="1"/>
  <c r="H47" i="25"/>
  <c r="AA173" i="25"/>
  <c r="Z173" i="25" s="1"/>
  <c r="Y173" i="25" s="1"/>
  <c r="G173" i="25"/>
  <c r="CF173" i="6" s="1"/>
  <c r="H173" i="25"/>
  <c r="AA96" i="25"/>
  <c r="Z96" i="25" s="1"/>
  <c r="Y96" i="25" s="1"/>
  <c r="H96" i="25"/>
  <c r="G96" i="25"/>
  <c r="CF96" i="6" s="1"/>
  <c r="AA354" i="25"/>
  <c r="Z354" i="25" s="1"/>
  <c r="Y354" i="25" s="1"/>
  <c r="G354" i="25"/>
  <c r="CF354" i="6" s="1"/>
  <c r="H354" i="25"/>
  <c r="G372" i="25"/>
  <c r="CF372" i="6" s="1"/>
  <c r="AA372" i="25"/>
  <c r="Z372" i="25" s="1"/>
  <c r="Y372" i="25" s="1"/>
  <c r="H372" i="25"/>
  <c r="E42" i="19"/>
  <c r="D17" i="19"/>
  <c r="G41" i="19"/>
  <c r="AJ5" i="24"/>
  <c r="V381" i="24"/>
  <c r="B69" i="19"/>
  <c r="N69" i="19" s="1"/>
  <c r="V382" i="24"/>
  <c r="V383" i="24"/>
  <c r="E382" i="23"/>
  <c r="F15" i="23"/>
  <c r="E383" i="23"/>
  <c r="E9" i="23"/>
  <c r="E11" i="23" s="1"/>
  <c r="AJ10" i="23"/>
  <c r="AJ12" i="23" s="1"/>
  <c r="E381" i="23"/>
  <c r="AK8" i="23"/>
  <c r="H15" i="23"/>
  <c r="J15" i="23" s="1"/>
  <c r="AM13" i="20"/>
  <c r="AK4" i="20"/>
  <c r="R16" i="19" s="1"/>
  <c r="N17" i="19" s="1"/>
  <c r="I382" i="22"/>
  <c r="I381" i="22"/>
  <c r="I383" i="22"/>
  <c r="AL13" i="20"/>
  <c r="AA11" i="20"/>
  <c r="AA5" i="20" s="1"/>
  <c r="I16" i="19" s="1"/>
  <c r="I31" i="19" s="1"/>
  <c r="Y11" i="20"/>
  <c r="J16" i="19"/>
  <c r="J31" i="19" s="1"/>
  <c r="Z11" i="20"/>
  <c r="Z5" i="20" s="1"/>
  <c r="H16" i="19" s="1"/>
  <c r="H31" i="19" s="1"/>
  <c r="AL7" i="22"/>
  <c r="AL8" i="22"/>
  <c r="Z383" i="22"/>
  <c r="Z382" i="22"/>
  <c r="Z9" i="22"/>
  <c r="Z381" i="22"/>
  <c r="Y15" i="22"/>
  <c r="AL5" i="22" s="1"/>
  <c r="G7" i="6"/>
  <c r="AO7" i="7"/>
  <c r="J383" i="22"/>
  <c r="J381" i="22"/>
  <c r="J382" i="22"/>
  <c r="E15" i="24"/>
  <c r="I353" i="25" l="1"/>
  <c r="J353" i="25"/>
  <c r="C58" i="19"/>
  <c r="AM9" i="23"/>
  <c r="AK9" i="23"/>
  <c r="AK11" i="23" s="1"/>
  <c r="D58" i="19"/>
  <c r="I59" i="19"/>
  <c r="C57" i="19"/>
  <c r="L57" i="19"/>
  <c r="L58" i="19"/>
  <c r="J354" i="25"/>
  <c r="I354" i="25"/>
  <c r="J96" i="25"/>
  <c r="I96" i="25"/>
  <c r="I173" i="25"/>
  <c r="J173" i="25"/>
  <c r="J326" i="25"/>
  <c r="I326" i="25"/>
  <c r="J123" i="25"/>
  <c r="I123" i="25"/>
  <c r="J57" i="19"/>
  <c r="J58" i="19"/>
  <c r="J59" i="19"/>
  <c r="J113" i="25"/>
  <c r="I113" i="25"/>
  <c r="J44" i="25"/>
  <c r="I44" i="25"/>
  <c r="J24" i="25"/>
  <c r="I24" i="25"/>
  <c r="I130" i="25"/>
  <c r="J130" i="25"/>
  <c r="J301" i="25"/>
  <c r="I301" i="25"/>
  <c r="I223" i="25"/>
  <c r="J223" i="25"/>
  <c r="J97" i="25"/>
  <c r="I97" i="25"/>
  <c r="I36" i="25"/>
  <c r="J36" i="25"/>
  <c r="J310" i="25"/>
  <c r="I310" i="25"/>
  <c r="I200" i="25"/>
  <c r="J200" i="25"/>
  <c r="J120" i="25"/>
  <c r="I120" i="25"/>
  <c r="I309" i="25"/>
  <c r="J309" i="25"/>
  <c r="J311" i="25"/>
  <c r="I311" i="25"/>
  <c r="I370" i="25"/>
  <c r="J370" i="25"/>
  <c r="G241" i="25"/>
  <c r="CF241" i="6" s="1"/>
  <c r="AA241" i="25"/>
  <c r="Z241" i="25" s="1"/>
  <c r="Y241" i="25" s="1"/>
  <c r="H241" i="25"/>
  <c r="I129" i="25"/>
  <c r="J129" i="25"/>
  <c r="I75" i="25"/>
  <c r="J75" i="25"/>
  <c r="I16" i="25"/>
  <c r="J16" i="25"/>
  <c r="I221" i="25"/>
  <c r="J221" i="25"/>
  <c r="I184" i="25"/>
  <c r="J184" i="25"/>
  <c r="J77" i="25"/>
  <c r="I77" i="25"/>
  <c r="I322" i="25"/>
  <c r="J322" i="25"/>
  <c r="I167" i="25"/>
  <c r="J167" i="25"/>
  <c r="I20" i="25"/>
  <c r="J20" i="25"/>
  <c r="I344" i="25"/>
  <c r="J344" i="25"/>
  <c r="I41" i="25"/>
  <c r="J41" i="25"/>
  <c r="I100" i="25"/>
  <c r="J100" i="25"/>
  <c r="J128" i="25"/>
  <c r="I128" i="25"/>
  <c r="I329" i="25"/>
  <c r="J329" i="25"/>
  <c r="AF382" i="25"/>
  <c r="AF381" i="25"/>
  <c r="AF383" i="25"/>
  <c r="AD15" i="25"/>
  <c r="I255" i="25"/>
  <c r="J255" i="25"/>
  <c r="J366" i="25"/>
  <c r="I366" i="25"/>
  <c r="J328" i="25"/>
  <c r="I328" i="25"/>
  <c r="I253" i="25"/>
  <c r="J253" i="25"/>
  <c r="I126" i="25"/>
  <c r="J126" i="25"/>
  <c r="I109" i="25"/>
  <c r="J109" i="25"/>
  <c r="I39" i="25"/>
  <c r="J39" i="25"/>
  <c r="J37" i="25"/>
  <c r="I37" i="25"/>
  <c r="J42" i="25"/>
  <c r="I42" i="25"/>
  <c r="I204" i="25"/>
  <c r="J204" i="25"/>
  <c r="I188" i="25"/>
  <c r="J188" i="25"/>
  <c r="J182" i="25"/>
  <c r="I182" i="25"/>
  <c r="J307" i="25"/>
  <c r="I307" i="25"/>
  <c r="J193" i="25"/>
  <c r="I193" i="25"/>
  <c r="J321" i="25"/>
  <c r="I321" i="25"/>
  <c r="I112" i="25"/>
  <c r="J112" i="25"/>
  <c r="I73" i="25"/>
  <c r="J73" i="25"/>
  <c r="I70" i="25"/>
  <c r="J70" i="25"/>
  <c r="J31" i="25"/>
  <c r="I31" i="25"/>
  <c r="J275" i="25"/>
  <c r="I275" i="25"/>
  <c r="I335" i="25"/>
  <c r="J335" i="25"/>
  <c r="I297" i="25"/>
  <c r="J297" i="25"/>
  <c r="I145" i="25"/>
  <c r="J145" i="25"/>
  <c r="I293" i="25"/>
  <c r="J293" i="25"/>
  <c r="J125" i="25"/>
  <c r="I125" i="25"/>
  <c r="I327" i="25"/>
  <c r="J327" i="25"/>
  <c r="I93" i="25"/>
  <c r="J93" i="25"/>
  <c r="J361" i="25"/>
  <c r="I361" i="25"/>
  <c r="G105" i="25"/>
  <c r="CF105" i="6" s="1"/>
  <c r="AA105" i="25"/>
  <c r="Z105" i="25" s="1"/>
  <c r="Y105" i="25" s="1"/>
  <c r="H105" i="25"/>
  <c r="I87" i="25"/>
  <c r="J87" i="25"/>
  <c r="I294" i="25"/>
  <c r="J294" i="25"/>
  <c r="J72" i="25"/>
  <c r="I72" i="25"/>
  <c r="J284" i="25"/>
  <c r="I284" i="25"/>
  <c r="J32" i="25"/>
  <c r="I32" i="25"/>
  <c r="I368" i="25"/>
  <c r="J368" i="25"/>
  <c r="I159" i="25"/>
  <c r="J159" i="25"/>
  <c r="J243" i="25"/>
  <c r="I243" i="25"/>
  <c r="I282" i="25"/>
  <c r="J282" i="25"/>
  <c r="J197" i="25"/>
  <c r="I197" i="25"/>
  <c r="I78" i="25"/>
  <c r="J78" i="25"/>
  <c r="M58" i="19"/>
  <c r="M59" i="19"/>
  <c r="M57" i="19"/>
  <c r="I263" i="25"/>
  <c r="J263" i="25"/>
  <c r="I132" i="25"/>
  <c r="J132" i="25"/>
  <c r="J360" i="25"/>
  <c r="I360" i="25"/>
  <c r="J303" i="25"/>
  <c r="I303" i="25"/>
  <c r="I190" i="25"/>
  <c r="J190" i="25"/>
  <c r="J191" i="25"/>
  <c r="I191" i="25"/>
  <c r="I144" i="25"/>
  <c r="J144" i="25"/>
  <c r="I339" i="25"/>
  <c r="J339" i="25"/>
  <c r="I364" i="25"/>
  <c r="J364" i="25"/>
  <c r="F59" i="19"/>
  <c r="F58" i="19"/>
  <c r="F57" i="19"/>
  <c r="J276" i="25"/>
  <c r="I276" i="25"/>
  <c r="I85" i="25"/>
  <c r="J85" i="25"/>
  <c r="I33" i="25"/>
  <c r="J33" i="25"/>
  <c r="I165" i="25"/>
  <c r="J165" i="25"/>
  <c r="I214" i="25"/>
  <c r="J214" i="25"/>
  <c r="J228" i="25"/>
  <c r="I228" i="25"/>
  <c r="J121" i="25"/>
  <c r="I121" i="25"/>
  <c r="I357" i="25"/>
  <c r="J357" i="25"/>
  <c r="I269" i="25"/>
  <c r="J269" i="25"/>
  <c r="J43" i="25"/>
  <c r="I43" i="25"/>
  <c r="J305" i="25"/>
  <c r="I305" i="25"/>
  <c r="I136" i="25"/>
  <c r="J136" i="25"/>
  <c r="I340" i="25"/>
  <c r="J340" i="25"/>
  <c r="J334" i="25"/>
  <c r="I334" i="25"/>
  <c r="I157" i="25"/>
  <c r="J157" i="25"/>
  <c r="I168" i="25"/>
  <c r="J168" i="25"/>
  <c r="I158" i="25"/>
  <c r="J158" i="25"/>
  <c r="I306" i="25"/>
  <c r="J306" i="25"/>
  <c r="J325" i="25"/>
  <c r="I325" i="25"/>
  <c r="I122" i="25"/>
  <c r="J122" i="25"/>
  <c r="I375" i="25"/>
  <c r="J375" i="25"/>
  <c r="J222" i="25"/>
  <c r="I222" i="25"/>
  <c r="I251" i="25"/>
  <c r="J251" i="25"/>
  <c r="I283" i="25"/>
  <c r="J283" i="25"/>
  <c r="J215" i="25"/>
  <c r="I215" i="25"/>
  <c r="I107" i="25"/>
  <c r="J107" i="25"/>
  <c r="J314" i="25"/>
  <c r="I314" i="25"/>
  <c r="I147" i="25"/>
  <c r="J147" i="25"/>
  <c r="I162" i="25"/>
  <c r="J162" i="25"/>
  <c r="J84" i="25"/>
  <c r="I84" i="25"/>
  <c r="J367" i="25"/>
  <c r="I367" i="25"/>
  <c r="I148" i="25"/>
  <c r="J148" i="25"/>
  <c r="J50" i="25"/>
  <c r="I50" i="25"/>
  <c r="I238" i="25"/>
  <c r="J238" i="25"/>
  <c r="J369" i="25"/>
  <c r="I369" i="25"/>
  <c r="I140" i="25"/>
  <c r="J140" i="25"/>
  <c r="G149" i="25"/>
  <c r="CF149" i="6" s="1"/>
  <c r="AA149" i="25"/>
  <c r="Z149" i="25" s="1"/>
  <c r="Y149" i="25" s="1"/>
  <c r="H149" i="25"/>
  <c r="J348" i="25"/>
  <c r="I348" i="25"/>
  <c r="J350" i="25"/>
  <c r="I350" i="25"/>
  <c r="I229" i="25"/>
  <c r="J229" i="25"/>
  <c r="I274" i="25"/>
  <c r="J274" i="25"/>
  <c r="AA302" i="25"/>
  <c r="Z302" i="25" s="1"/>
  <c r="Y302" i="25" s="1"/>
  <c r="H302" i="25"/>
  <c r="G302" i="25"/>
  <c r="CF302" i="6" s="1"/>
  <c r="J71" i="25"/>
  <c r="I71" i="25"/>
  <c r="I176" i="25"/>
  <c r="J176" i="25"/>
  <c r="AA88" i="25"/>
  <c r="Z88" i="25" s="1"/>
  <c r="Y88" i="25" s="1"/>
  <c r="G88" i="25"/>
  <c r="CF88" i="6" s="1"/>
  <c r="H88" i="25"/>
  <c r="I220" i="25"/>
  <c r="J220" i="25"/>
  <c r="J61" i="25"/>
  <c r="I61" i="25"/>
  <c r="J268" i="25"/>
  <c r="I268" i="25"/>
  <c r="I152" i="25"/>
  <c r="J152" i="25"/>
  <c r="I318" i="25"/>
  <c r="J318" i="25"/>
  <c r="J38" i="25"/>
  <c r="I38" i="25"/>
  <c r="AA272" i="25"/>
  <c r="Z272" i="25" s="1"/>
  <c r="Y272" i="25" s="1"/>
  <c r="G272" i="25"/>
  <c r="CF272" i="6" s="1"/>
  <c r="H272" i="25"/>
  <c r="G46" i="25"/>
  <c r="CF46" i="6" s="1"/>
  <c r="AA46" i="25"/>
  <c r="Z46" i="25" s="1"/>
  <c r="Y46" i="25" s="1"/>
  <c r="H46" i="25"/>
  <c r="I66" i="25"/>
  <c r="J66" i="25"/>
  <c r="J264" i="25"/>
  <c r="I264" i="25"/>
  <c r="J345" i="25"/>
  <c r="I345" i="25"/>
  <c r="D379" i="25"/>
  <c r="E379" i="25" s="1"/>
  <c r="F379" i="25" s="1"/>
  <c r="W379" i="25"/>
  <c r="J161" i="25"/>
  <c r="I161" i="25"/>
  <c r="J336" i="25"/>
  <c r="I336" i="25"/>
  <c r="I261" i="25"/>
  <c r="J261" i="25"/>
  <c r="J201" i="25"/>
  <c r="I201" i="25"/>
  <c r="I250" i="25"/>
  <c r="J250" i="25"/>
  <c r="J342" i="25"/>
  <c r="I342" i="25"/>
  <c r="I356" i="25"/>
  <c r="J356" i="25"/>
  <c r="J219" i="25"/>
  <c r="I219" i="25"/>
  <c r="AA119" i="25"/>
  <c r="Z119" i="25" s="1"/>
  <c r="Y119" i="25" s="1"/>
  <c r="G119" i="25"/>
  <c r="CF119" i="6" s="1"/>
  <c r="H119" i="25"/>
  <c r="I98" i="25"/>
  <c r="J98" i="25"/>
  <c r="J260" i="25"/>
  <c r="I260" i="25"/>
  <c r="I300" i="25"/>
  <c r="J300" i="25"/>
  <c r="G180" i="25"/>
  <c r="CF180" i="6" s="1"/>
  <c r="AA180" i="25"/>
  <c r="Z180" i="25" s="1"/>
  <c r="Y180" i="25" s="1"/>
  <c r="H180" i="25"/>
  <c r="I271" i="25"/>
  <c r="J271" i="25"/>
  <c r="J298" i="25"/>
  <c r="I298" i="25"/>
  <c r="J116" i="25"/>
  <c r="I116" i="25"/>
  <c r="J187" i="25"/>
  <c r="I187" i="25"/>
  <c r="I372" i="25"/>
  <c r="J372" i="25"/>
  <c r="I47" i="25"/>
  <c r="J47" i="25"/>
  <c r="J316" i="25"/>
  <c r="I316" i="25"/>
  <c r="J139" i="25"/>
  <c r="I139" i="25"/>
  <c r="G196" i="25"/>
  <c r="CF196" i="6" s="1"/>
  <c r="H196" i="25"/>
  <c r="AA196" i="25"/>
  <c r="Z196" i="25" s="1"/>
  <c r="Y196" i="25" s="1"/>
  <c r="AA349" i="25"/>
  <c r="Z349" i="25" s="1"/>
  <c r="Y349" i="25" s="1"/>
  <c r="G349" i="25"/>
  <c r="CF349" i="6" s="1"/>
  <c r="H349" i="25"/>
  <c r="J206" i="25"/>
  <c r="I206" i="25"/>
  <c r="I111" i="25"/>
  <c r="J111" i="25"/>
  <c r="J358" i="25"/>
  <c r="I358" i="25"/>
  <c r="J80" i="25"/>
  <c r="I80" i="25"/>
  <c r="AA60" i="25"/>
  <c r="Z60" i="25" s="1"/>
  <c r="Y60" i="25" s="1"/>
  <c r="G60" i="25"/>
  <c r="CF60" i="6" s="1"/>
  <c r="H60" i="25"/>
  <c r="J23" i="25"/>
  <c r="I23" i="25"/>
  <c r="I234" i="25"/>
  <c r="J234" i="25"/>
  <c r="AA135" i="25"/>
  <c r="Z135" i="25" s="1"/>
  <c r="Y135" i="25" s="1"/>
  <c r="G135" i="25"/>
  <c r="CF135" i="6" s="1"/>
  <c r="H135" i="25"/>
  <c r="I192" i="25"/>
  <c r="J192" i="25"/>
  <c r="J89" i="25"/>
  <c r="I89" i="25"/>
  <c r="I146" i="25"/>
  <c r="J146" i="25"/>
  <c r="J28" i="25"/>
  <c r="I28" i="25"/>
  <c r="I195" i="25"/>
  <c r="J195" i="25"/>
  <c r="J256" i="25"/>
  <c r="I256" i="25"/>
  <c r="I103" i="25"/>
  <c r="J103" i="25"/>
  <c r="J352" i="25"/>
  <c r="I352" i="25"/>
  <c r="J313" i="25"/>
  <c r="I313" i="25"/>
  <c r="I156" i="25"/>
  <c r="J156" i="25"/>
  <c r="I189" i="25"/>
  <c r="J189" i="25"/>
  <c r="I86" i="25"/>
  <c r="J86" i="25"/>
  <c r="I94" i="25"/>
  <c r="J94" i="25"/>
  <c r="I330" i="25"/>
  <c r="J330" i="25"/>
  <c r="J346" i="25"/>
  <c r="I346" i="25"/>
  <c r="I376" i="25"/>
  <c r="J376" i="25"/>
  <c r="J160" i="25"/>
  <c r="I160" i="25"/>
  <c r="J351" i="25"/>
  <c r="I351" i="25"/>
  <c r="J21" i="25"/>
  <c r="I21" i="25"/>
  <c r="J54" i="25"/>
  <c r="I54" i="25"/>
  <c r="I235" i="25"/>
  <c r="J235" i="25"/>
  <c r="I347" i="25"/>
  <c r="J347" i="25"/>
  <c r="I143" i="25"/>
  <c r="J143" i="25"/>
  <c r="J51" i="25"/>
  <c r="I51" i="25"/>
  <c r="I76" i="25"/>
  <c r="J76" i="25"/>
  <c r="J59" i="25"/>
  <c r="I59" i="25"/>
  <c r="I277" i="25"/>
  <c r="J277" i="25"/>
  <c r="I296" i="25"/>
  <c r="J296" i="25"/>
  <c r="I237" i="25"/>
  <c r="J237" i="25"/>
  <c r="I270" i="25"/>
  <c r="J270" i="25"/>
  <c r="I337" i="25"/>
  <c r="J337" i="25"/>
  <c r="J225" i="25"/>
  <c r="I225" i="25"/>
  <c r="I137" i="25"/>
  <c r="J137" i="25"/>
  <c r="I69" i="25"/>
  <c r="J69" i="25"/>
  <c r="J279" i="25"/>
  <c r="I279" i="25"/>
  <c r="I292" i="25"/>
  <c r="J292" i="25"/>
  <c r="J82" i="25"/>
  <c r="I82" i="25"/>
  <c r="I304" i="25"/>
  <c r="J304" i="25"/>
  <c r="J194" i="25"/>
  <c r="I194" i="25"/>
  <c r="I79" i="25"/>
  <c r="J79" i="25"/>
  <c r="J55" i="25"/>
  <c r="I55" i="25"/>
  <c r="I68" i="25"/>
  <c r="J68" i="25"/>
  <c r="I254" i="25"/>
  <c r="J254" i="25"/>
  <c r="I281" i="25"/>
  <c r="J281" i="25"/>
  <c r="I332" i="25"/>
  <c r="J332" i="25"/>
  <c r="J209" i="25"/>
  <c r="I209" i="25"/>
  <c r="J19" i="25"/>
  <c r="I19" i="25"/>
  <c r="J142" i="25"/>
  <c r="I142" i="25"/>
  <c r="I170" i="25"/>
  <c r="J170" i="25"/>
  <c r="I134" i="25"/>
  <c r="J134" i="25"/>
  <c r="J320" i="25"/>
  <c r="I320" i="25"/>
  <c r="I373" i="25"/>
  <c r="J373" i="25"/>
  <c r="J343" i="25"/>
  <c r="I343" i="25"/>
  <c r="AA363" i="25"/>
  <c r="Z363" i="25" s="1"/>
  <c r="Y363" i="25" s="1"/>
  <c r="G363" i="25"/>
  <c r="CF363" i="6" s="1"/>
  <c r="H363" i="25"/>
  <c r="J230" i="25"/>
  <c r="I230" i="25"/>
  <c r="J17" i="25"/>
  <c r="I17" i="25"/>
  <c r="J179" i="25"/>
  <c r="I179" i="25"/>
  <c r="J273" i="25"/>
  <c r="I273" i="25"/>
  <c r="I278" i="25"/>
  <c r="J278" i="25"/>
  <c r="J324" i="25"/>
  <c r="I324" i="25"/>
  <c r="AA289" i="25"/>
  <c r="Z289" i="25" s="1"/>
  <c r="Y289" i="25" s="1"/>
  <c r="H289" i="25"/>
  <c r="G289" i="25"/>
  <c r="CF289" i="6" s="1"/>
  <c r="I45" i="25"/>
  <c r="J45" i="25"/>
  <c r="I232" i="25"/>
  <c r="J232" i="25"/>
  <c r="J90" i="25"/>
  <c r="I90" i="25"/>
  <c r="J239" i="25"/>
  <c r="I239" i="25"/>
  <c r="G227" i="25"/>
  <c r="CF227" i="6" s="1"/>
  <c r="AA227" i="25"/>
  <c r="Z227" i="25" s="1"/>
  <c r="Y227" i="25" s="1"/>
  <c r="H227" i="25"/>
  <c r="J231" i="25"/>
  <c r="I231" i="25"/>
  <c r="J83" i="25"/>
  <c r="I83" i="25"/>
  <c r="I290" i="25"/>
  <c r="J290" i="25"/>
  <c r="J308" i="25"/>
  <c r="I308" i="25"/>
  <c r="I312" i="25"/>
  <c r="J312" i="25"/>
  <c r="I49" i="25"/>
  <c r="J49" i="25"/>
  <c r="J154" i="25"/>
  <c r="I154" i="25"/>
  <c r="J141" i="25"/>
  <c r="I141" i="25"/>
  <c r="G166" i="25"/>
  <c r="CF166" i="6" s="1"/>
  <c r="AA166" i="25"/>
  <c r="Z166" i="25" s="1"/>
  <c r="Y166" i="25" s="1"/>
  <c r="H166" i="25"/>
  <c r="J29" i="25"/>
  <c r="I29" i="25"/>
  <c r="J56" i="25"/>
  <c r="I56" i="25"/>
  <c r="I172" i="25"/>
  <c r="J172" i="25"/>
  <c r="I331" i="25"/>
  <c r="J331" i="25"/>
  <c r="I163" i="25"/>
  <c r="J163" i="25"/>
  <c r="J252" i="25"/>
  <c r="I252" i="25"/>
  <c r="G258" i="25"/>
  <c r="CF258" i="6" s="1"/>
  <c r="H258" i="25"/>
  <c r="AA258" i="25"/>
  <c r="Z258" i="25" s="1"/>
  <c r="Y258" i="25" s="1"/>
  <c r="J202" i="25"/>
  <c r="I202" i="25"/>
  <c r="I124" i="25"/>
  <c r="J124" i="25"/>
  <c r="I138" i="25"/>
  <c r="J138" i="25"/>
  <c r="J91" i="25"/>
  <c r="I91" i="25"/>
  <c r="I175" i="25"/>
  <c r="J175" i="25"/>
  <c r="I199" i="25"/>
  <c r="J199" i="25"/>
  <c r="J127" i="25"/>
  <c r="I127" i="25"/>
  <c r="J291" i="25"/>
  <c r="I291" i="25"/>
  <c r="I67" i="25"/>
  <c r="J67" i="25"/>
  <c r="I224" i="25"/>
  <c r="J224" i="25"/>
  <c r="J58" i="25"/>
  <c r="I58" i="25"/>
  <c r="I280" i="25"/>
  <c r="J280" i="25"/>
  <c r="I185" i="25"/>
  <c r="J185" i="25"/>
  <c r="J377" i="25"/>
  <c r="I377" i="25"/>
  <c r="I171" i="25"/>
  <c r="J171" i="25"/>
  <c r="J359" i="25"/>
  <c r="I359" i="25"/>
  <c r="J104" i="25"/>
  <c r="I104" i="25"/>
  <c r="I299" i="25"/>
  <c r="J299" i="25"/>
  <c r="I174" i="25"/>
  <c r="J174" i="25"/>
  <c r="J287" i="25"/>
  <c r="I287" i="25"/>
  <c r="I64" i="25"/>
  <c r="J64" i="25"/>
  <c r="I205" i="25"/>
  <c r="J205" i="25"/>
  <c r="I48" i="25"/>
  <c r="J48" i="25"/>
  <c r="J217" i="25"/>
  <c r="I217" i="25"/>
  <c r="J246" i="25"/>
  <c r="I246" i="25"/>
  <c r="J35" i="25"/>
  <c r="I35" i="25"/>
  <c r="I315" i="25"/>
  <c r="J315" i="25"/>
  <c r="I62" i="25"/>
  <c r="J62" i="25"/>
  <c r="J248" i="25"/>
  <c r="I248" i="25"/>
  <c r="J247" i="25"/>
  <c r="I247" i="25"/>
  <c r="AA333" i="25"/>
  <c r="Z333" i="25" s="1"/>
  <c r="Y333" i="25" s="1"/>
  <c r="G333" i="25"/>
  <c r="CF333" i="6" s="1"/>
  <c r="H333" i="25"/>
  <c r="J150" i="25"/>
  <c r="I150" i="25"/>
  <c r="I245" i="25"/>
  <c r="J245" i="25"/>
  <c r="I102" i="25"/>
  <c r="J102" i="25"/>
  <c r="J355" i="25"/>
  <c r="I355" i="25"/>
  <c r="I374" i="25"/>
  <c r="J374" i="25"/>
  <c r="I153" i="25"/>
  <c r="J153" i="25"/>
  <c r="I285" i="25"/>
  <c r="J285" i="25"/>
  <c r="I259" i="25"/>
  <c r="J259" i="25"/>
  <c r="J118" i="25"/>
  <c r="I118" i="25"/>
  <c r="J286" i="25"/>
  <c r="I286" i="25"/>
  <c r="I262" i="25"/>
  <c r="J262" i="25"/>
  <c r="I242" i="25"/>
  <c r="J242" i="25"/>
  <c r="I101" i="25"/>
  <c r="J101" i="25"/>
  <c r="J226" i="25"/>
  <c r="I226" i="25"/>
  <c r="J249" i="25"/>
  <c r="I249" i="25"/>
  <c r="J365" i="25"/>
  <c r="I365" i="25"/>
  <c r="J117" i="25"/>
  <c r="I117" i="25"/>
  <c r="I212" i="25"/>
  <c r="J212" i="25"/>
  <c r="I26" i="25"/>
  <c r="J26" i="25"/>
  <c r="I177" i="25"/>
  <c r="J177" i="25"/>
  <c r="J317" i="25"/>
  <c r="I317" i="25"/>
  <c r="J65" i="25"/>
  <c r="I65" i="25"/>
  <c r="I198" i="25"/>
  <c r="J198" i="25"/>
  <c r="I52" i="25"/>
  <c r="J52" i="25"/>
  <c r="I27" i="25"/>
  <c r="J27" i="25"/>
  <c r="J53" i="25"/>
  <c r="I53" i="25"/>
  <c r="I210" i="25"/>
  <c r="J210" i="25"/>
  <c r="J233" i="25"/>
  <c r="I233" i="25"/>
  <c r="J106" i="25"/>
  <c r="I106" i="25"/>
  <c r="J218" i="25"/>
  <c r="I218" i="25"/>
  <c r="R382" i="25"/>
  <c r="P15" i="25"/>
  <c r="R381" i="25"/>
  <c r="R383" i="25"/>
  <c r="I216" i="25"/>
  <c r="J216" i="25"/>
  <c r="J213" i="25"/>
  <c r="I213" i="25"/>
  <c r="J131" i="25"/>
  <c r="I131" i="25"/>
  <c r="I57" i="25"/>
  <c r="J57" i="25"/>
  <c r="G74" i="25"/>
  <c r="CF74" i="6" s="1"/>
  <c r="AA74" i="25"/>
  <c r="Z74" i="25" s="1"/>
  <c r="Y74" i="25" s="1"/>
  <c r="H74" i="25"/>
  <c r="I151" i="25"/>
  <c r="J151" i="25"/>
  <c r="I22" i="25"/>
  <c r="J22" i="25"/>
  <c r="E58" i="19"/>
  <c r="E57" i="19"/>
  <c r="E59" i="19"/>
  <c r="J30" i="25"/>
  <c r="I30" i="25"/>
  <c r="I169" i="25"/>
  <c r="J169" i="25"/>
  <c r="I257" i="25"/>
  <c r="J257" i="25"/>
  <c r="J323" i="25"/>
  <c r="I323" i="25"/>
  <c r="J155" i="25"/>
  <c r="I155" i="25"/>
  <c r="J211" i="25"/>
  <c r="I211" i="25"/>
  <c r="J266" i="25"/>
  <c r="I266" i="25"/>
  <c r="J244" i="25"/>
  <c r="I244" i="25"/>
  <c r="I114" i="25"/>
  <c r="J114" i="25"/>
  <c r="I362" i="25"/>
  <c r="J362" i="25"/>
  <c r="J240" i="25"/>
  <c r="I240" i="25"/>
  <c r="J81" i="25"/>
  <c r="I81" i="25"/>
  <c r="I203" i="25"/>
  <c r="J203" i="25"/>
  <c r="AA319" i="25"/>
  <c r="Z319" i="25" s="1"/>
  <c r="Y319" i="25" s="1"/>
  <c r="G319" i="25"/>
  <c r="CF319" i="6" s="1"/>
  <c r="H319" i="25"/>
  <c r="I295" i="25"/>
  <c r="J295" i="25"/>
  <c r="J181" i="25"/>
  <c r="I181" i="25"/>
  <c r="I164" i="25"/>
  <c r="J164" i="25"/>
  <c r="I178" i="25"/>
  <c r="J178" i="25"/>
  <c r="J338" i="25"/>
  <c r="I338" i="25"/>
  <c r="AJ13" i="23"/>
  <c r="H40" i="19"/>
  <c r="C18" i="19"/>
  <c r="F42" i="19"/>
  <c r="I40" i="19"/>
  <c r="E17" i="19"/>
  <c r="F17" i="19" s="1"/>
  <c r="D18" i="24"/>
  <c r="AJ7" i="24" s="1"/>
  <c r="W18" i="24"/>
  <c r="B381" i="24"/>
  <c r="AJ6" i="24"/>
  <c r="H9" i="24"/>
  <c r="B19" i="19" s="1"/>
  <c r="B383" i="24"/>
  <c r="B382" i="24"/>
  <c r="AK6" i="24"/>
  <c r="I15" i="23"/>
  <c r="I382" i="23" s="1"/>
  <c r="F9" i="23"/>
  <c r="F381" i="23"/>
  <c r="F383" i="23"/>
  <c r="AA15" i="23"/>
  <c r="F382" i="23"/>
  <c r="AK10" i="23"/>
  <c r="AK12" i="23" s="1"/>
  <c r="AM10" i="23"/>
  <c r="G15" i="23"/>
  <c r="CD15" i="6" s="1"/>
  <c r="AL11" i="22"/>
  <c r="AJ3" i="22" s="1"/>
  <c r="O17" i="19" s="1"/>
  <c r="M17" i="19" s="1"/>
  <c r="AL6" i="22"/>
  <c r="AL12" i="22" s="1"/>
  <c r="AJ4" i="22" s="1"/>
  <c r="P17" i="19" s="1"/>
  <c r="Y383" i="22"/>
  <c r="X9" i="22"/>
  <c r="Y382" i="22"/>
  <c r="AM6" i="22"/>
  <c r="AM12" i="22" s="1"/>
  <c r="Y381" i="22"/>
  <c r="AK7" i="24"/>
  <c r="J382" i="23"/>
  <c r="J381" i="23"/>
  <c r="J383" i="23"/>
  <c r="F15" i="24"/>
  <c r="AK13" i="23" l="1"/>
  <c r="AL9" i="23"/>
  <c r="AM7" i="23"/>
  <c r="P382" i="25"/>
  <c r="P381" i="25"/>
  <c r="V15" i="25"/>
  <c r="B15" i="25" s="1"/>
  <c r="P383" i="25"/>
  <c r="I333" i="25"/>
  <c r="J333" i="25"/>
  <c r="I258" i="25"/>
  <c r="J258" i="25"/>
  <c r="I166" i="25"/>
  <c r="J166" i="25"/>
  <c r="I135" i="25"/>
  <c r="J135" i="25"/>
  <c r="J349" i="25"/>
  <c r="I349" i="25"/>
  <c r="J196" i="25"/>
  <c r="I196" i="25"/>
  <c r="J180" i="25"/>
  <c r="I180" i="25"/>
  <c r="J46" i="25"/>
  <c r="I46" i="25"/>
  <c r="J88" i="25"/>
  <c r="I88" i="25"/>
  <c r="J302" i="25"/>
  <c r="I302" i="25"/>
  <c r="I149" i="25"/>
  <c r="J149" i="25"/>
  <c r="AD383" i="25"/>
  <c r="AD382" i="25"/>
  <c r="AD381" i="25"/>
  <c r="J241" i="25"/>
  <c r="I241" i="25"/>
  <c r="J319" i="25"/>
  <c r="I319" i="25"/>
  <c r="I74" i="25"/>
  <c r="J74" i="25"/>
  <c r="I227" i="25"/>
  <c r="J227" i="25"/>
  <c r="I289" i="25"/>
  <c r="J289" i="25"/>
  <c r="I363" i="25"/>
  <c r="J363" i="25"/>
  <c r="I60" i="25"/>
  <c r="J60" i="25"/>
  <c r="I119" i="25"/>
  <c r="J119" i="25"/>
  <c r="G379" i="25"/>
  <c r="CF379" i="6" s="1"/>
  <c r="H379" i="25"/>
  <c r="AA379" i="25"/>
  <c r="Z379" i="25" s="1"/>
  <c r="Y379" i="25" s="1"/>
  <c r="I272" i="25"/>
  <c r="J272" i="25"/>
  <c r="I105" i="25"/>
  <c r="J105" i="25"/>
  <c r="AK5" i="25"/>
  <c r="W18" i="25"/>
  <c r="D18" i="25"/>
  <c r="E18" i="24"/>
  <c r="AJ9" i="24" s="1"/>
  <c r="AJ11" i="24" s="1"/>
  <c r="D382" i="24"/>
  <c r="D9" i="24"/>
  <c r="D11" i="24" s="1"/>
  <c r="D383" i="24"/>
  <c r="AJ8" i="24"/>
  <c r="D381" i="24"/>
  <c r="I383" i="23"/>
  <c r="I381" i="23"/>
  <c r="G383" i="23"/>
  <c r="G12" i="23" s="1"/>
  <c r="G381" i="23"/>
  <c r="G382" i="23"/>
  <c r="AM8" i="23"/>
  <c r="Z15" i="23"/>
  <c r="AA381" i="23"/>
  <c r="AA383" i="23"/>
  <c r="AA382" i="23"/>
  <c r="AA9" i="23"/>
  <c r="AL10" i="23"/>
  <c r="G18" i="19"/>
  <c r="J42" i="19" s="1"/>
  <c r="F11" i="23"/>
  <c r="AB9" i="23"/>
  <c r="AL13" i="22"/>
  <c r="AK4" i="22"/>
  <c r="R17" i="19" s="1"/>
  <c r="AM13" i="22"/>
  <c r="J17" i="19"/>
  <c r="AA11" i="22"/>
  <c r="AA5" i="22" s="1"/>
  <c r="I17" i="19" s="1"/>
  <c r="Y11" i="22"/>
  <c r="Z11" i="22"/>
  <c r="Z5" i="22" s="1"/>
  <c r="H17" i="19" s="1"/>
  <c r="B32" i="19" s="1"/>
  <c r="AK9" i="24"/>
  <c r="AM9" i="24"/>
  <c r="AK11" i="24"/>
  <c r="G15" i="24"/>
  <c r="CE15" i="6" s="1"/>
  <c r="AA15" i="24"/>
  <c r="H15" i="24"/>
  <c r="I379" i="25" l="1"/>
  <c r="J379" i="25"/>
  <c r="AJ6" i="25"/>
  <c r="B70" i="19"/>
  <c r="V380" i="25"/>
  <c r="V381" i="25" s="1"/>
  <c r="E43" i="19"/>
  <c r="H41" i="19"/>
  <c r="I41" i="19"/>
  <c r="D18" i="19"/>
  <c r="G42" i="19"/>
  <c r="E18" i="25"/>
  <c r="F18" i="24"/>
  <c r="E382" i="24"/>
  <c r="AJ10" i="24"/>
  <c r="AJ12" i="24" s="1"/>
  <c r="AJ13" i="24" s="1"/>
  <c r="AK8" i="24"/>
  <c r="E381" i="24"/>
  <c r="E383" i="24"/>
  <c r="E9" i="24"/>
  <c r="E11" i="24" s="1"/>
  <c r="AL7" i="23"/>
  <c r="Z382" i="23"/>
  <c r="Z383" i="23"/>
  <c r="AL8" i="23"/>
  <c r="Y15" i="23"/>
  <c r="Z9" i="23"/>
  <c r="Z381" i="23"/>
  <c r="AU7" i="7"/>
  <c r="H7" i="6"/>
  <c r="AM7" i="24"/>
  <c r="J15" i="24"/>
  <c r="I15" i="24"/>
  <c r="Z15" i="24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V383" i="25"/>
  <c r="W15" i="25"/>
  <c r="D15" i="25"/>
  <c r="AJ8" i="25" s="1"/>
  <c r="AK6" i="25"/>
  <c r="B382" i="25"/>
  <c r="AJ5" i="25"/>
  <c r="B383" i="25"/>
  <c r="H9" i="25"/>
  <c r="B20" i="19" s="1"/>
  <c r="B381" i="25"/>
  <c r="V382" i="25"/>
  <c r="B58" i="19"/>
  <c r="B59" i="19"/>
  <c r="N70" i="19"/>
  <c r="B57" i="19"/>
  <c r="AK7" i="25"/>
  <c r="C19" i="19"/>
  <c r="F43" i="19"/>
  <c r="E18" i="19"/>
  <c r="F18" i="19" s="1"/>
  <c r="H18" i="24"/>
  <c r="AA18" i="24"/>
  <c r="AL9" i="24" s="1"/>
  <c r="G18" i="24"/>
  <c r="CE18" i="6" s="1"/>
  <c r="F382" i="24"/>
  <c r="AK10" i="24"/>
  <c r="AK12" i="24" s="1"/>
  <c r="AK13" i="24" s="1"/>
  <c r="AM10" i="24"/>
  <c r="F9" i="24"/>
  <c r="F383" i="24"/>
  <c r="F381" i="24"/>
  <c r="F18" i="25"/>
  <c r="X9" i="23"/>
  <c r="Y383" i="23"/>
  <c r="Y382" i="23"/>
  <c r="AL6" i="23"/>
  <c r="AL12" i="23" s="1"/>
  <c r="AJ4" i="23" s="1"/>
  <c r="P18" i="19" s="1"/>
  <c r="Y381" i="23"/>
  <c r="AM6" i="23"/>
  <c r="AM12" i="23" s="1"/>
  <c r="Y15" i="24"/>
  <c r="N57" i="19" l="1"/>
  <c r="N58" i="19"/>
  <c r="N59" i="19"/>
  <c r="E15" i="25"/>
  <c r="AJ10" i="25" s="1"/>
  <c r="AJ12" i="25" s="1"/>
  <c r="AJ7" i="25"/>
  <c r="D381" i="25"/>
  <c r="D382" i="25"/>
  <c r="D383" i="25"/>
  <c r="D9" i="25"/>
  <c r="D11" i="25" s="1"/>
  <c r="B9" i="19"/>
  <c r="AM9" i="25"/>
  <c r="AK9" i="25"/>
  <c r="AK11" i="25" s="1"/>
  <c r="AA18" i="25"/>
  <c r="G18" i="25"/>
  <c r="CF18" i="6" s="1"/>
  <c r="Z18" i="24"/>
  <c r="AL7" i="24" s="1"/>
  <c r="AA382" i="24"/>
  <c r="AA383" i="24"/>
  <c r="AM8" i="24"/>
  <c r="AA9" i="24"/>
  <c r="AA381" i="24"/>
  <c r="AL10" i="24"/>
  <c r="G19" i="19"/>
  <c r="J43" i="19" s="1"/>
  <c r="AB9" i="24"/>
  <c r="F11" i="24"/>
  <c r="G382" i="24"/>
  <c r="G381" i="24"/>
  <c r="G383" i="24"/>
  <c r="G12" i="24" s="1"/>
  <c r="J18" i="24"/>
  <c r="I18" i="24"/>
  <c r="AM13" i="23"/>
  <c r="AK4" i="23"/>
  <c r="R18" i="19" s="1"/>
  <c r="AL13" i="23"/>
  <c r="Y11" i="23"/>
  <c r="Z11" i="23"/>
  <c r="Z5" i="23" s="1"/>
  <c r="H18" i="19" s="1"/>
  <c r="J18" i="19"/>
  <c r="AA11" i="23"/>
  <c r="AA5" i="23" s="1"/>
  <c r="I18" i="19" s="1"/>
  <c r="AM5" i="24"/>
  <c r="AM11" i="24" s="1"/>
  <c r="AK3" i="24" s="1"/>
  <c r="Q19" i="19" s="1"/>
  <c r="E44" i="19" l="1"/>
  <c r="F15" i="25"/>
  <c r="AJ9" i="25"/>
  <c r="AJ11" i="25" s="1"/>
  <c r="AJ13" i="25" s="1"/>
  <c r="E382" i="25"/>
  <c r="E383" i="25"/>
  <c r="E9" i="25"/>
  <c r="E11" i="25" s="1"/>
  <c r="E381" i="25"/>
  <c r="AK8" i="25"/>
  <c r="AM7" i="25"/>
  <c r="I42" i="19"/>
  <c r="H42" i="19"/>
  <c r="D19" i="19"/>
  <c r="G43" i="19"/>
  <c r="I383" i="24"/>
  <c r="I382" i="24"/>
  <c r="I381" i="24"/>
  <c r="BA7" i="7"/>
  <c r="I7" i="6"/>
  <c r="Y18" i="24"/>
  <c r="AL5" i="24" s="1"/>
  <c r="AL11" i="24" s="1"/>
  <c r="AJ3" i="24" s="1"/>
  <c r="O19" i="19" s="1"/>
  <c r="M19" i="19" s="1"/>
  <c r="Z383" i="24"/>
  <c r="AL8" i="24"/>
  <c r="Z9" i="24"/>
  <c r="Z382" i="24"/>
  <c r="Z381" i="24"/>
  <c r="H18" i="25"/>
  <c r="J381" i="24"/>
  <c r="J382" i="24"/>
  <c r="J383" i="24"/>
  <c r="Z18" i="25"/>
  <c r="N19" i="19"/>
  <c r="E33" i="19" l="1"/>
  <c r="C20" i="19"/>
  <c r="F44" i="19"/>
  <c r="G15" i="25"/>
  <c r="AA15" i="25"/>
  <c r="AL10" i="25" s="1"/>
  <c r="H15" i="25"/>
  <c r="AK10" i="25"/>
  <c r="AK12" i="25" s="1"/>
  <c r="AK13" i="25" s="1"/>
  <c r="F383" i="25"/>
  <c r="AM10" i="25"/>
  <c r="F381" i="25"/>
  <c r="F9" i="25"/>
  <c r="F382" i="25"/>
  <c r="E19" i="19"/>
  <c r="F19" i="19" s="1"/>
  <c r="Y18" i="25"/>
  <c r="AM6" i="24"/>
  <c r="AM12" i="24" s="1"/>
  <c r="Y382" i="24"/>
  <c r="Y381" i="24"/>
  <c r="X9" i="24"/>
  <c r="Z11" i="24" s="1"/>
  <c r="Z5" i="24" s="1"/>
  <c r="H19" i="19" s="1"/>
  <c r="Y383" i="24"/>
  <c r="AL6" i="24"/>
  <c r="AL12" i="24" s="1"/>
  <c r="J18" i="25"/>
  <c r="I18" i="25"/>
  <c r="F33" i="19" l="1"/>
  <c r="I15" i="25"/>
  <c r="I381" i="25" s="1"/>
  <c r="J15" i="25"/>
  <c r="J382" i="25" s="1"/>
  <c r="CF15" i="6"/>
  <c r="J2" i="6" s="1"/>
  <c r="G382" i="25"/>
  <c r="G383" i="25"/>
  <c r="G12" i="25" s="1"/>
  <c r="G381" i="25"/>
  <c r="C9" i="19"/>
  <c r="F11" i="25"/>
  <c r="AB9" i="25"/>
  <c r="G20" i="19"/>
  <c r="Z15" i="25"/>
  <c r="AL8" i="25" s="1"/>
  <c r="AL9" i="25"/>
  <c r="AA9" i="25"/>
  <c r="AA383" i="25"/>
  <c r="AA382" i="25"/>
  <c r="AM8" i="25"/>
  <c r="AA381" i="25"/>
  <c r="AM5" i="25"/>
  <c r="AM11" i="25" s="1"/>
  <c r="AK3" i="25" s="1"/>
  <c r="Q20" i="19" s="1"/>
  <c r="H43" i="19"/>
  <c r="J381" i="25"/>
  <c r="AK4" i="24"/>
  <c r="R19" i="19" s="1"/>
  <c r="AM13" i="24"/>
  <c r="AJ4" i="24"/>
  <c r="P19" i="19" s="1"/>
  <c r="AL13" i="24"/>
  <c r="Y11" i="24"/>
  <c r="J19" i="19"/>
  <c r="AA11" i="24"/>
  <c r="AA5" i="24" s="1"/>
  <c r="I19" i="19" s="1"/>
  <c r="J383" i="25" l="1"/>
  <c r="I382" i="25"/>
  <c r="I383" i="25"/>
  <c r="Y15" i="25"/>
  <c r="AL6" i="25" s="1"/>
  <c r="AL12" i="25" s="1"/>
  <c r="AJ4" i="25" s="1"/>
  <c r="P20" i="19" s="1"/>
  <c r="AL7" i="25"/>
  <c r="Z9" i="25"/>
  <c r="Z382" i="25"/>
  <c r="Z381" i="25"/>
  <c r="Z383" i="25"/>
  <c r="J44" i="19"/>
  <c r="J33" i="19" s="1"/>
  <c r="G9" i="19"/>
  <c r="D20" i="19"/>
  <c r="G44" i="19"/>
  <c r="BG7" i="7"/>
  <c r="J7" i="6"/>
  <c r="N20" i="19"/>
  <c r="I43" i="19"/>
  <c r="G33" i="19" l="1"/>
  <c r="E20" i="19"/>
  <c r="D9" i="19"/>
  <c r="AL5" i="25"/>
  <c r="AL11" i="25" s="1"/>
  <c r="Y382" i="25"/>
  <c r="X9" i="25"/>
  <c r="Y381" i="25"/>
  <c r="AM6" i="25"/>
  <c r="AM12" i="25" s="1"/>
  <c r="Y383" i="25"/>
  <c r="AM13" i="25" l="1"/>
  <c r="AK4" i="25"/>
  <c r="R20" i="19" s="1"/>
  <c r="J20" i="19"/>
  <c r="Y11" i="25"/>
  <c r="AA11" i="25"/>
  <c r="AA5" i="25" s="1"/>
  <c r="I20" i="19" s="1"/>
  <c r="Z11" i="25"/>
  <c r="Z5" i="25" s="1"/>
  <c r="H20" i="19" s="1"/>
  <c r="AJ3" i="25"/>
  <c r="O20" i="19" s="1"/>
  <c r="M20" i="19" s="1"/>
  <c r="AL13" i="25"/>
  <c r="F20" i="19"/>
  <c r="E9" i="19"/>
  <c r="O33" i="19" l="1"/>
  <c r="O35" i="19"/>
  <c r="N35" i="19" s="1"/>
  <c r="O34" i="19"/>
  <c r="N34" i="19" s="1"/>
  <c r="O36" i="19"/>
  <c r="F9" i="19"/>
  <c r="H44" i="19"/>
  <c r="H33" i="19" s="1"/>
  <c r="H9" i="19"/>
  <c r="I9" i="19"/>
  <c r="I44" i="19"/>
  <c r="I33" i="19" s="1"/>
  <c r="J9" i="19"/>
  <c r="N36" i="19" l="1"/>
  <c r="N33" i="19"/>
  <c r="O32" i="19"/>
  <c r="N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J7" authorId="0" shapeId="0">
      <text>
        <r>
          <rPr>
            <sz val="9"/>
            <color indexed="81"/>
            <rFont val="Tahoma"/>
            <family val="2"/>
          </rPr>
          <t>Normale au champ PV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>Hauteur moyenne du champ PV par rapport au sol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186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1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compensation des valeurs exceptionnelles écrasées</t>
        </r>
      </text>
    </comment>
  </commentList>
</comments>
</file>

<file path=xl/sharedStrings.xml><?xml version="1.0" encoding="utf-8"?>
<sst xmlns="http://schemas.openxmlformats.org/spreadsheetml/2006/main" count="2038" uniqueCount="338">
  <si>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</si>
  <si>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</si>
  <si>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</si>
  <si>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</si>
  <si>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</si>
  <si>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</si>
  <si>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</si>
  <si>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</si>
  <si>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</si>
  <si>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</si>
  <si>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</si>
  <si>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</si>
  <si>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</si>
  <si>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</si>
  <si>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</si>
  <si>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Azimut: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</si>
  <si>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</si>
  <si>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</si>
  <si>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</si>
  <si>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</si>
  <si>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</si>
  <si>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</si>
  <si>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</si>
  <si>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</si>
  <si>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</si>
  <si>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</si>
  <si>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</si>
  <si>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</si>
  <si>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</si>
  <si>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</si>
  <si>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</si>
  <si>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</si>
  <si>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</si>
  <si>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</si>
  <si>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</si>
  <si>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</si>
  <si>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</si>
  <si>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</si>
  <si>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</si>
  <si>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</si>
  <si>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</si>
  <si>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</si>
  <si>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</si>
  <si>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</si>
  <si>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</si>
  <si>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</si>
  <si>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</si>
  <si>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</si>
  <si>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</si>
  <si>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</si>
  <si>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</si>
  <si>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</si>
  <si>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</si>
  <si>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</si>
  <si>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</si>
  <si>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</si>
  <si>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</si>
  <si>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</si>
  <si>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</si>
  <si>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</si>
  <si>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</si>
  <si>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</si>
  <si>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</si>
  <si>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</si>
  <si>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</si>
  <si>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</si>
  <si>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</si>
  <si>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</si>
  <si>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</si>
  <si>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</si>
  <si>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</si>
  <si>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</si>
  <si>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</si>
  <si>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</si>
  <si>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</si>
  <si>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</si>
  <si>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Hauteur au centre du champ PV: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</si>
  <si>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</si>
  <si>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</si>
  <si>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</si>
  <si>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</si>
  <si>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</si>
  <si>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</si>
  <si>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</si>
  <si>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</si>
  <si>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</si>
  <si>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</si>
  <si>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</si>
  <si>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</si>
  <si>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</si>
  <si>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</si>
  <si>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</si>
  <si>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</si>
  <si>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</si>
  <si>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h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</si>
  <si>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</si>
  <si>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</si>
  <si>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</si>
  <si>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</si>
  <si>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</si>
  <si>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</si>
  <si>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</si>
  <si>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</si>
  <si>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</si>
  <si>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</si>
  <si>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</si>
  <si>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</si>
  <si>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</si>
  <si>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</si>
  <si>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</si>
  <si>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</si>
  <si>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</si>
  <si>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</si>
  <si>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</si>
  <si>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</si>
  <si>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</si>
  <si>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</si>
  <si>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</si>
  <si>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</si>
  <si>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</si>
  <si>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</si>
  <si>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</si>
  <si>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</si>
  <si>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</si>
  <si>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</si>
  <si>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</si>
  <si>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</si>
  <si>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</si>
  <si>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</si>
  <si>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</si>
  <si>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</si>
  <si>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</si>
  <si>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</si>
  <si>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</si>
  <si>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</si>
  <si>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</si>
  <si>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</si>
  <si>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</si>
  <si>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</si>
  <si>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</si>
  <si>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</si>
  <si>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</si>
  <si>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Répartition panneaux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</si>
  <si>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</si>
  <si>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</si>
  <si>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</si>
  <si>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</si>
  <si>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</si>
  <si>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</si>
  <si>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</si>
  <si>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</si>
  <si>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</si>
  <si>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</si>
  <si>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</si>
  <si>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</si>
  <si>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</si>
  <si>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</si>
  <si>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</si>
  <si>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</si>
  <si>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</si>
  <si>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Centre PV</t>
  </si>
  <si>
    <t>Arbre 1</t>
  </si>
  <si>
    <t>Arbre 2</t>
  </si>
  <si>
    <t>Arbre 3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</si>
  <si>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</si>
  <si>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</si>
  <si>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</si>
  <si>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</si>
  <si>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</si>
  <si>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</si>
  <si>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</si>
  <si>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</si>
  <si>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</si>
  <si>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</si>
  <si>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</si>
  <si>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</si>
  <si>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</si>
  <si>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</si>
  <si>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</si>
  <si>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</si>
  <si>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</si>
  <si>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</si>
  <si>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</si>
  <si>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</si>
  <si>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</si>
  <si>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</si>
  <si>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</si>
  <si>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</si>
  <si>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</si>
  <si>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</si>
  <si>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</si>
  <si>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</si>
  <si>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</si>
  <si>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</si>
  <si>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moyennes: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</si>
  <si>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</si>
  <si>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</si>
  <si>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</si>
  <si>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</si>
  <si>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</si>
  <si>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</si>
  <si>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</si>
  <si>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</si>
  <si>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</si>
  <si>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</si>
  <si>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</si>
  <si>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</si>
  <si>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</si>
  <si>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</si>
  <si>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</si>
  <si>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</si>
  <si>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</si>
  <si>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</si>
  <si>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</si>
  <si>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</si>
  <si>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</si>
  <si>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</si>
  <si>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</si>
  <si>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</si>
  <si>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</si>
  <si>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</si>
  <si>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</si>
  <si>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</si>
  <si>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</si>
  <si>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</si>
  <si>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</si>
  <si>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</si>
  <si>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</si>
  <si>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</si>
  <si>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</si>
  <si>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</si>
  <si>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</si>
  <si>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</si>
  <si>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</si>
  <si>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</si>
  <si>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</si>
  <si>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Erp max: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</si>
  <si>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</si>
  <si>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</si>
  <si>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</si>
  <si>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</si>
  <si>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</si>
  <si>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</si>
  <si>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</si>
  <si>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</si>
  <si>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</si>
  <si>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</si>
  <si>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</si>
  <si>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</si>
  <si>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</si>
  <si>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</si>
  <si>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</si>
  <si>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</si>
  <si>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</si>
  <si>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</si>
  <si>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</si>
  <si>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</si>
  <si>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</si>
  <si>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</si>
  <si>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</si>
  <si>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</si>
  <si>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</si>
  <si>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</si>
  <si>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>Hauteur 0 = sol base verstiaire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</si>
  <si>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</si>
  <si>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</si>
  <si>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</si>
  <si>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</si>
  <si>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</si>
  <si>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</si>
  <si>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</si>
  <si>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</si>
  <si>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</si>
  <si>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</si>
  <si>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</si>
  <si>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</si>
  <si>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</si>
  <si>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</si>
  <si>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</si>
  <si>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</si>
  <si>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</si>
  <si>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</si>
  <si>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</si>
  <si>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</si>
  <si>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</si>
  <si>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</si>
  <si>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</si>
  <si>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</si>
  <si>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</si>
  <si>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</si>
  <si>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</si>
  <si>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</si>
  <si>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</si>
  <si>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Aureville</t>
  </si>
  <si>
    <t>I</t>
  </si>
  <si>
    <t>Poteau vert de cloture ouest</t>
  </si>
  <si>
    <t>Obs.1 angle bosquet</t>
  </si>
  <si>
    <t>Obs.2 panorama depuis PV's</t>
  </si>
  <si>
    <t>Obs.3 près champ PV</t>
  </si>
  <si>
    <t>Photo1: Aureville de loin.jpg</t>
  </si>
  <si>
    <t>Photo 2: Aureville Panoramique.psd</t>
  </si>
  <si>
    <t>Photo 3: Aureville Champ PV</t>
  </si>
  <si>
    <t>Arbre 0</t>
  </si>
  <si>
    <t>Creux 2 -10,4°</t>
  </si>
  <si>
    <t>Arbre 7</t>
  </si>
  <si>
    <t>Creux 3</t>
  </si>
  <si>
    <t>Creux 4</t>
  </si>
  <si>
    <t>Arbre 9</t>
  </si>
  <si>
    <t>Creux 5</t>
  </si>
  <si>
    <t xml:space="preserve">Arbre 10 </t>
  </si>
  <si>
    <t>Arbre 11</t>
  </si>
  <si>
    <t>mettre dernière version des Masques à l'occasion et tester 3 configu's</t>
  </si>
  <si>
    <t>/ Pousse en hauteur initiale</t>
  </si>
  <si>
    <t>Ratios de forte product.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</si>
  <si>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</si>
  <si>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</si>
  <si>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</si>
  <si>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</si>
  <si>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</si>
  <si>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</si>
  <si>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</si>
  <si>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</si>
  <si>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</si>
  <si>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</si>
  <si>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</si>
  <si>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</si>
  <si>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</si>
  <si>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</si>
  <si>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moyennes annuelles</t>
  </si>
  <si>
    <t>action</t>
  </si>
  <si>
    <t>gain/an</t>
  </si>
  <si>
    <t>23 hors net</t>
  </si>
  <si>
    <t>Gains depuis le "début" ou depuis dernière "action":</t>
  </si>
  <si>
    <t>Cumul 23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</si>
  <si>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</si>
  <si>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</si>
  <si>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Figer en fin d'année les données production (coller 123).</t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</si>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</sst>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&quot;an&quot;"/>
    <numFmt numFmtId="174" formatCode="dd\.mm\.yy;@"/>
    <numFmt numFmtId="175" formatCode="[$-40C]d\-mmm\-yy;@"/>
    <numFmt numFmtId="176" formatCode="mmm"/>
    <numFmt numFmtId="177" formatCode="0&quot; j&quot;"/>
    <numFmt numFmtId="178" formatCode="0.0"/>
    <numFmt numFmtId="179" formatCode="#,##0&quot; kWh&quot;"/>
    <numFmt numFmtId="180" formatCode="0.00000"/>
    <numFmt numFmtId="181" formatCode="0.0&quot;m&quot;"/>
    <numFmt numFmtId="182" formatCode="0.00&quot;m&quot;"/>
    <numFmt numFmtId="183" formatCode="[$-40C]mmmmm\-yy;@"/>
    <numFmt numFmtId="184" formatCode="#,##0_ ;\-#,##0\ "/>
    <numFmt numFmtId="185" formatCode="[$-40C]mmm\-yy;@"/>
    <numFmt numFmtId="186" formatCode="#,##0.0_ ;\-#,##0.0\ "/>
    <numFmt numFmtId="187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36" applyNumberFormat="0" applyAlignment="0" applyProtection="0"/>
    <xf numFmtId="0" fontId="14" fillId="0" borderId="37" applyNumberFormat="0" applyFill="0" applyAlignment="0" applyProtection="0"/>
    <xf numFmtId="0" fontId="10" fillId="27" borderId="38" applyNumberFormat="0" applyFont="0" applyAlignment="0" applyProtection="0"/>
    <xf numFmtId="0" fontId="15" fillId="28" borderId="36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3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0" applyNumberFormat="0" applyFill="0" applyAlignment="0" applyProtection="0"/>
    <xf numFmtId="0" fontId="23" fillId="0" borderId="41" applyNumberFormat="0" applyFill="0" applyAlignment="0" applyProtection="0"/>
    <xf numFmtId="0" fontId="24" fillId="0" borderId="4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43" applyNumberFormat="0" applyFill="0" applyAlignment="0" applyProtection="0"/>
    <xf numFmtId="0" fontId="26" fillId="32" borderId="44" applyNumberFormat="0" applyAlignment="0" applyProtection="0"/>
  </cellStyleXfs>
  <cellXfs count="1229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4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8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7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4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4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4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1" fontId="60" fillId="0" borderId="7" xfId="33" applyNumberFormat="1" applyFont="1" applyFill="1" applyBorder="1" applyAlignment="1" applyProtection="1">
      <alignment horizontal="center"/>
    </xf>
    <xf numFmtId="181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1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4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6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3" fontId="29" fillId="0" borderId="0" xfId="0" applyNumberFormat="1" applyFont="1" applyProtection="1"/>
    <xf numFmtId="183" fontId="31" fillId="0" borderId="15" xfId="0" applyNumberFormat="1" applyFont="1" applyBorder="1" applyAlignment="1" applyProtection="1">
      <alignment horizontal="right"/>
    </xf>
    <xf numFmtId="183" fontId="33" fillId="33" borderId="6" xfId="0" applyNumberFormat="1" applyFont="1" applyFill="1" applyBorder="1" applyAlignment="1" applyProtection="1">
      <alignment horizontal="center" vertical="center" wrapText="1"/>
    </xf>
    <xf numFmtId="183" fontId="33" fillId="0" borderId="0" xfId="0" applyNumberFormat="1" applyFont="1" applyBorder="1" applyProtection="1"/>
    <xf numFmtId="183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2" fontId="35" fillId="0" borderId="0" xfId="0" applyNumberFormat="1" applyFont="1" applyBorder="1" applyProtection="1"/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2" fontId="30" fillId="0" borderId="0" xfId="0" applyNumberFormat="1" applyFont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4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3" fontId="65" fillId="0" borderId="15" xfId="33" applyNumberFormat="1" applyFont="1" applyFill="1" applyBorder="1" applyAlignment="1" applyProtection="1">
      <alignment horizontal="center"/>
      <protection locked="0"/>
    </xf>
    <xf numFmtId="174" fontId="78" fillId="0" borderId="15" xfId="0" applyNumberFormat="1" applyFont="1" applyFill="1" applyBorder="1" applyAlignment="1" applyProtection="1">
      <alignment horizontal="center"/>
      <protection locked="0"/>
    </xf>
    <xf numFmtId="168" fontId="79" fillId="0" borderId="15" xfId="33" applyNumberFormat="1" applyFont="1" applyFill="1" applyBorder="1" applyAlignment="1" applyProtection="1">
      <alignment horizontal="center"/>
      <protection locked="0"/>
    </xf>
    <xf numFmtId="168" fontId="79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3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3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8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3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8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3" fontId="31" fillId="0" borderId="4" xfId="0" applyNumberFormat="1" applyFont="1" applyFill="1" applyBorder="1" applyAlignment="1" applyProtection="1">
      <alignment horizontal="right"/>
    </xf>
    <xf numFmtId="183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3" fontId="31" fillId="0" borderId="2" xfId="0" applyNumberFormat="1" applyFont="1" applyFill="1" applyBorder="1" applyAlignment="1" applyProtection="1">
      <alignment horizontal="right"/>
    </xf>
    <xf numFmtId="183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3" fontId="41" fillId="0" borderId="2" xfId="31" applyNumberFormat="1" applyFont="1" applyFill="1" applyBorder="1" applyAlignment="1" applyProtection="1">
      <alignment vertical="center"/>
    </xf>
    <xf numFmtId="173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3" fontId="41" fillId="0" borderId="2" xfId="31" applyNumberFormat="1" applyFont="1" applyFill="1" applyBorder="1" applyAlignment="1" applyProtection="1">
      <alignment vertical="center" wrapText="1"/>
    </xf>
    <xf numFmtId="173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7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48" fillId="0" borderId="0" xfId="0" applyFont="1" applyBorder="1" applyAlignment="1" applyProtection="1">
      <alignment horizontal="righ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171" fontId="30" fillId="0" borderId="4" xfId="0" applyNumberFormat="1" applyFont="1" applyBorder="1" applyProtection="1"/>
    <xf numFmtId="0" fontId="79" fillId="35" borderId="5" xfId="0" quotePrefix="1" applyFont="1" applyFill="1" applyBorder="1" applyAlignment="1" applyProtection="1">
      <alignment horizontal="center"/>
      <protection locked="0"/>
    </xf>
    <xf numFmtId="174" fontId="63" fillId="0" borderId="15" xfId="0" applyNumberFormat="1" applyFont="1" applyFill="1" applyBorder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</xf>
    <xf numFmtId="174" fontId="78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3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3" fontId="38" fillId="0" borderId="15" xfId="33" applyNumberFormat="1" applyFont="1" applyFill="1" applyBorder="1" applyAlignment="1" applyProtection="1">
      <alignment horizontal="center"/>
    </xf>
    <xf numFmtId="174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4" fontId="91" fillId="0" borderId="1" xfId="0" applyNumberFormat="1" applyFont="1" applyFill="1" applyBorder="1" applyAlignment="1" applyProtection="1">
      <alignment horizontal="center"/>
    </xf>
    <xf numFmtId="181" fontId="71" fillId="0" borderId="1" xfId="33" applyNumberFormat="1" applyFont="1" applyFill="1" applyBorder="1" applyAlignment="1" applyProtection="1"/>
    <xf numFmtId="174" fontId="78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1" fontId="31" fillId="0" borderId="21" xfId="0" applyNumberFormat="1" applyFont="1" applyBorder="1" applyProtection="1"/>
    <xf numFmtId="1" fontId="31" fillId="0" borderId="24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9" fontId="94" fillId="0" borderId="25" xfId="33" applyFont="1" applyBorder="1" applyAlignment="1" applyProtection="1">
      <alignment horizontal="center" vertical="center"/>
      <protection locked="0"/>
    </xf>
    <xf numFmtId="178" fontId="94" fillId="0" borderId="25" xfId="0" applyNumberFormat="1" applyFont="1" applyBorder="1" applyAlignment="1" applyProtection="1">
      <alignment horizontal="center" vertical="center"/>
      <protection locked="0"/>
    </xf>
    <xf numFmtId="2" fontId="35" fillId="0" borderId="15" xfId="0" applyNumberFormat="1" applyFont="1" applyBorder="1" applyProtection="1">
      <protection locked="0"/>
    </xf>
    <xf numFmtId="178" fontId="95" fillId="0" borderId="14" xfId="0" applyNumberFormat="1" applyFont="1" applyBorder="1" applyAlignment="1" applyProtection="1">
      <alignment horizontal="center"/>
      <protection locked="0"/>
    </xf>
    <xf numFmtId="178" fontId="95" fillId="0" borderId="12" xfId="0" applyNumberFormat="1" applyFont="1" applyBorder="1" applyAlignment="1" applyProtection="1">
      <alignment horizontal="center"/>
      <protection locked="0"/>
    </xf>
    <xf numFmtId="0" fontId="25" fillId="0" borderId="1" xfId="0" applyFont="1" applyBorder="1" applyProtection="1">
      <protection locked="0"/>
    </xf>
    <xf numFmtId="2" fontId="48" fillId="0" borderId="15" xfId="0" applyNumberFormat="1" applyFont="1" applyBorder="1" applyAlignment="1" applyProtection="1">
      <alignment horizontal="center"/>
      <protection locked="0"/>
    </xf>
    <xf numFmtId="0" fontId="25" fillId="0" borderId="15" xfId="0" applyFont="1" applyBorder="1" applyProtection="1">
      <protection locked="0"/>
    </xf>
    <xf numFmtId="178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8" fontId="95" fillId="0" borderId="15" xfId="0" applyNumberFormat="1" applyFont="1" applyBorder="1" applyAlignment="1" applyProtection="1">
      <alignment horizontal="center"/>
      <protection locked="0"/>
    </xf>
    <xf numFmtId="2" fontId="96" fillId="0" borderId="14" xfId="0" applyNumberFormat="1" applyFont="1" applyBorder="1" applyProtection="1">
      <protection locked="0"/>
    </xf>
    <xf numFmtId="2" fontId="96" fillId="0" borderId="15" xfId="0" applyNumberFormat="1" applyFont="1" applyBorder="1" applyProtection="1"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7" fillId="0" borderId="0" xfId="33" applyNumberFormat="1" applyFont="1" applyFill="1" applyBorder="1" applyAlignment="1" applyProtection="1">
      <alignment horizontal="center"/>
    </xf>
    <xf numFmtId="168" fontId="98" fillId="0" borderId="0" xfId="33" applyNumberFormat="1" applyFont="1" applyBorder="1" applyAlignment="1" applyProtection="1">
      <alignment horizontal="center" vertical="center"/>
      <protection locked="0"/>
    </xf>
    <xf numFmtId="1" fontId="54" fillId="0" borderId="15" xfId="0" applyNumberFormat="1" applyFont="1" applyBorder="1" applyAlignment="1" applyProtection="1">
      <alignment horizont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178" fontId="81" fillId="0" borderId="0" xfId="0" applyNumberFormat="1" applyFont="1" applyAlignment="1" applyProtection="1">
      <alignment horizontal="center"/>
    </xf>
    <xf numFmtId="1" fontId="54" fillId="0" borderId="14" xfId="0" applyNumberFormat="1" applyFont="1" applyBorder="1" applyAlignment="1" applyProtection="1">
      <alignment horizontal="center"/>
      <protection locked="0"/>
    </xf>
    <xf numFmtId="166" fontId="54" fillId="0" borderId="12" xfId="0" applyNumberFormat="1" applyFont="1" applyBorder="1" applyAlignment="1" applyProtection="1">
      <alignment horizontal="center"/>
      <protection locked="0"/>
    </xf>
    <xf numFmtId="1" fontId="54" fillId="0" borderId="3" xfId="0" applyNumberFormat="1" applyFont="1" applyBorder="1" applyAlignment="1" applyProtection="1">
      <alignment horizontal="center"/>
      <protection locked="0"/>
    </xf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70" fontId="33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1" fontId="99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1" fontId="99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6" xfId="33" applyNumberFormat="1" applyFont="1" applyBorder="1" applyAlignment="1" applyProtection="1">
      <alignment horizontal="center" vertical="center"/>
    </xf>
    <xf numFmtId="173" fontId="65" fillId="0" borderId="21" xfId="33" applyNumberFormat="1" applyFont="1" applyFill="1" applyBorder="1" applyAlignment="1" applyProtection="1">
      <alignment horizontal="center" vertical="center"/>
      <protection locked="0"/>
    </xf>
    <xf numFmtId="177" fontId="100" fillId="0" borderId="27" xfId="31" applyNumberFormat="1" applyFont="1" applyFill="1" applyBorder="1" applyAlignment="1" applyProtection="1">
      <alignment horizontal="center" vertical="center"/>
    </xf>
    <xf numFmtId="0" fontId="101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2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2" fontId="94" fillId="0" borderId="19" xfId="0" applyNumberFormat="1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/>
      <protection locked="0"/>
    </xf>
    <xf numFmtId="0" fontId="37" fillId="0" borderId="5" xfId="0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8" fontId="37" fillId="0" borderId="2" xfId="0" applyNumberFormat="1" applyFont="1" applyBorder="1" applyAlignment="1" applyProtection="1">
      <alignment horizontal="center"/>
      <protection locked="0"/>
    </xf>
    <xf numFmtId="178" fontId="37" fillId="0" borderId="1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178" fontId="37" fillId="0" borderId="0" xfId="0" applyNumberFormat="1" applyFont="1" applyBorder="1" applyAlignment="1" applyProtection="1">
      <alignment horizontal="center"/>
      <protection locked="0"/>
    </xf>
    <xf numFmtId="184" fontId="33" fillId="0" borderId="0" xfId="31" applyNumberFormat="1" applyFont="1" applyBorder="1" applyProtection="1">
      <protection locked="0"/>
    </xf>
    <xf numFmtId="0" fontId="103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4" fillId="0" borderId="0" xfId="0" applyFont="1" applyProtection="1"/>
    <xf numFmtId="0" fontId="104" fillId="0" borderId="0" xfId="0" applyFont="1" applyBorder="1" applyProtection="1"/>
    <xf numFmtId="0" fontId="104" fillId="0" borderId="0" xfId="0" applyFont="1" applyAlignment="1" applyProtection="1">
      <alignment horizontal="center"/>
    </xf>
    <xf numFmtId="0" fontId="104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0" fontId="33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left"/>
    </xf>
    <xf numFmtId="0" fontId="46" fillId="0" borderId="0" xfId="0" applyFont="1" applyProtection="1"/>
    <xf numFmtId="0" fontId="0" fillId="0" borderId="1" xfId="0" applyBorder="1" applyAlignment="1" applyProtection="1"/>
    <xf numFmtId="0" fontId="29" fillId="0" borderId="0" xfId="0" applyFont="1" applyBorder="1" applyAlignment="1" applyProtection="1">
      <alignment horizontal="center"/>
    </xf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30" fillId="0" borderId="0" xfId="0" applyFont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0" fillId="33" borderId="28" xfId="0" applyFont="1" applyFill="1" applyBorder="1" applyAlignment="1" applyProtection="1">
      <alignment horizontal="right"/>
    </xf>
    <xf numFmtId="0" fontId="32" fillId="0" borderId="0" xfId="0" applyFont="1" applyAlignment="1" applyProtection="1">
      <alignment horizontal="right"/>
    </xf>
    <xf numFmtId="0" fontId="40" fillId="33" borderId="28" xfId="0" applyFont="1" applyFill="1" applyBorder="1" applyAlignment="1" applyProtection="1">
      <alignment horizontal="center"/>
    </xf>
    <xf numFmtId="0" fontId="105" fillId="0" borderId="0" xfId="0" applyFont="1" applyAlignment="1" applyProtection="1">
      <alignment horizontal="left"/>
    </xf>
    <xf numFmtId="0" fontId="82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8" fontId="36" fillId="0" borderId="15" xfId="0" applyNumberFormat="1" applyFont="1" applyBorder="1" applyAlignment="1" applyProtection="1">
      <alignment horizontal="center"/>
    </xf>
    <xf numFmtId="178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7" fillId="0" borderId="7" xfId="0" applyFont="1" applyBorder="1" applyAlignment="1" applyProtection="1">
      <alignment horizontal="left"/>
    </xf>
    <xf numFmtId="0" fontId="35" fillId="33" borderId="11" xfId="0" applyFont="1" applyFill="1" applyBorder="1" applyAlignment="1" applyProtection="1">
      <alignment horizontal="right"/>
    </xf>
    <xf numFmtId="178" fontId="35" fillId="0" borderId="0" xfId="0" applyNumberFormat="1" applyFont="1" applyFill="1" applyBorder="1" applyProtection="1"/>
    <xf numFmtId="178" fontId="37" fillId="0" borderId="11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8" fontId="37" fillId="0" borderId="0" xfId="0" applyNumberFormat="1" applyFont="1" applyFill="1" applyBorder="1" applyProtection="1"/>
    <xf numFmtId="178" fontId="35" fillId="0" borderId="0" xfId="0" applyNumberFormat="1" applyFont="1" applyBorder="1" applyProtection="1"/>
    <xf numFmtId="178" fontId="37" fillId="0" borderId="2" xfId="0" applyNumberFormat="1" applyFont="1" applyBorder="1" applyAlignment="1" applyProtection="1">
      <alignment horizontal="center"/>
    </xf>
    <xf numFmtId="178" fontId="37" fillId="0" borderId="10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8" fontId="36" fillId="0" borderId="0" xfId="0" applyNumberFormat="1" applyFont="1" applyBorder="1" applyProtection="1"/>
    <xf numFmtId="0" fontId="37" fillId="0" borderId="2" xfId="0" applyFont="1" applyBorder="1" applyAlignment="1" applyProtection="1">
      <alignment horizontal="right"/>
    </xf>
    <xf numFmtId="2" fontId="37" fillId="0" borderId="0" xfId="0" applyNumberFormat="1" applyFont="1" applyBorder="1" applyProtection="1"/>
    <xf numFmtId="0" fontId="36" fillId="0" borderId="0" xfId="0" applyFont="1" applyBorder="1" applyAlignment="1" applyProtection="1">
      <alignment horizontal="right"/>
    </xf>
    <xf numFmtId="178" fontId="37" fillId="0" borderId="9" xfId="0" applyNumberFormat="1" applyFont="1" applyBorder="1" applyAlignment="1" applyProtection="1">
      <alignment horizontal="center"/>
    </xf>
    <xf numFmtId="2" fontId="37" fillId="0" borderId="14" xfId="0" applyNumberFormat="1" applyFont="1" applyBorder="1" applyProtection="1"/>
    <xf numFmtId="1" fontId="36" fillId="0" borderId="15" xfId="0" applyNumberFormat="1" applyFont="1" applyBorder="1" applyAlignment="1" applyProtection="1">
      <alignment horizontal="right"/>
    </xf>
    <xf numFmtId="178" fontId="36" fillId="0" borderId="15" xfId="0" applyNumberFormat="1" applyFont="1" applyBorder="1" applyProtection="1"/>
    <xf numFmtId="178" fontId="36" fillId="0" borderId="12" xfId="0" applyNumberFormat="1" applyFont="1" applyBorder="1" applyAlignment="1" applyProtection="1">
      <alignment horizontal="center"/>
    </xf>
    <xf numFmtId="178" fontId="37" fillId="0" borderId="0" xfId="0" applyNumberFormat="1" applyFont="1" applyBorder="1" applyAlignment="1" applyProtection="1">
      <alignment horizontal="center"/>
    </xf>
    <xf numFmtId="2" fontId="33" fillId="0" borderId="0" xfId="0" applyNumberFormat="1" applyFont="1" applyBorder="1" applyProtection="1"/>
    <xf numFmtId="178" fontId="33" fillId="0" borderId="0" xfId="0" applyNumberFormat="1" applyFont="1" applyBorder="1" applyProtection="1"/>
    <xf numFmtId="184" fontId="33" fillId="0" borderId="0" xfId="31" applyNumberFormat="1" applyFont="1" applyBorder="1" applyProtection="1"/>
    <xf numFmtId="1" fontId="31" fillId="0" borderId="2" xfId="0" applyNumberFormat="1" applyFont="1" applyBorder="1" applyAlignment="1" applyProtection="1">
      <alignment horizontal="center"/>
    </xf>
    <xf numFmtId="184" fontId="36" fillId="0" borderId="0" xfId="31" applyNumberFormat="1" applyFont="1" applyBorder="1" applyProtection="1"/>
    <xf numFmtId="0" fontId="36" fillId="0" borderId="0" xfId="0" applyFont="1" applyBorder="1" applyAlignment="1" applyProtection="1">
      <alignment horizontal="left"/>
    </xf>
    <xf numFmtId="0" fontId="35" fillId="0" borderId="0" xfId="0" applyFont="1" applyBorder="1" applyAlignment="1" applyProtection="1">
      <alignment horizontal="right"/>
    </xf>
    <xf numFmtId="178" fontId="36" fillId="0" borderId="0" xfId="0" applyNumberFormat="1" applyFont="1" applyBorder="1" applyAlignment="1" applyProtection="1">
      <alignment horizontal="center"/>
    </xf>
    <xf numFmtId="178" fontId="3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182" fontId="36" fillId="0" borderId="0" xfId="0" applyNumberFormat="1" applyFont="1" applyBorder="1" applyProtection="1"/>
    <xf numFmtId="185" fontId="51" fillId="0" borderId="0" xfId="0" applyNumberFormat="1" applyFont="1" applyBorder="1" applyProtection="1"/>
    <xf numFmtId="0" fontId="49" fillId="0" borderId="0" xfId="0" applyFont="1" applyBorder="1" applyAlignment="1" applyProtection="1">
      <alignment horizontal="center"/>
    </xf>
    <xf numFmtId="182" fontId="35" fillId="0" borderId="3" xfId="33" applyNumberFormat="1" applyFont="1" applyBorder="1" applyAlignment="1" applyProtection="1">
      <alignment horizontal="center"/>
    </xf>
    <xf numFmtId="182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37" fillId="0" borderId="6" xfId="0" applyFont="1" applyBorder="1" applyAlignment="1" applyProtection="1">
      <alignment horizontal="left"/>
    </xf>
    <xf numFmtId="0" fontId="36" fillId="0" borderId="7" xfId="0" applyFont="1" applyBorder="1" applyProtection="1"/>
    <xf numFmtId="0" fontId="37" fillId="0" borderId="8" xfId="0" applyFont="1" applyBorder="1" applyAlignment="1" applyProtection="1">
      <alignment horizontal="left"/>
    </xf>
    <xf numFmtId="178" fontId="37" fillId="0" borderId="1" xfId="0" applyNumberFormat="1" applyFont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0" fontId="37" fillId="33" borderId="12" xfId="0" applyFont="1" applyFill="1" applyBorder="1" applyAlignment="1" applyProtection="1">
      <alignment horizontal="center"/>
    </xf>
    <xf numFmtId="0" fontId="44" fillId="33" borderId="3" xfId="0" applyFont="1" applyFill="1" applyBorder="1" applyAlignment="1" applyProtection="1">
      <alignment horizontal="center"/>
    </xf>
    <xf numFmtId="0" fontId="48" fillId="33" borderId="6" xfId="0" applyFont="1" applyFill="1" applyBorder="1" applyAlignment="1" applyProtection="1">
      <alignment horizontal="center"/>
    </xf>
    <xf numFmtId="178" fontId="48" fillId="0" borderId="5" xfId="0" applyNumberFormat="1" applyFont="1" applyBorder="1" applyAlignment="1" applyProtection="1">
      <alignment horizontal="center"/>
    </xf>
    <xf numFmtId="178" fontId="49" fillId="0" borderId="5" xfId="0" applyNumberFormat="1" applyFont="1" applyBorder="1" applyAlignment="1" applyProtection="1">
      <alignment horizontal="center"/>
    </xf>
    <xf numFmtId="178" fontId="35" fillId="0" borderId="5" xfId="0" applyNumberFormat="1" applyFont="1" applyBorder="1" applyAlignment="1" applyProtection="1">
      <alignment horizontal="center"/>
    </xf>
    <xf numFmtId="178" fontId="36" fillId="0" borderId="5" xfId="0" applyNumberFormat="1" applyFont="1" applyBorder="1" applyAlignment="1" applyProtection="1">
      <alignment horizontal="center"/>
    </xf>
    <xf numFmtId="178" fontId="35" fillId="0" borderId="0" xfId="0" applyNumberFormat="1" applyFont="1" applyBorder="1" applyAlignment="1" applyProtection="1">
      <alignment horizontal="center"/>
    </xf>
    <xf numFmtId="178" fontId="35" fillId="0" borderId="1" xfId="0" applyNumberFormat="1" applyFont="1" applyBorder="1" applyAlignment="1" applyProtection="1">
      <alignment horizontal="center"/>
    </xf>
    <xf numFmtId="178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8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106" fillId="33" borderId="3" xfId="0" applyFont="1" applyFill="1" applyBorder="1" applyAlignment="1" applyProtection="1">
      <alignment horizontal="center"/>
    </xf>
    <xf numFmtId="178" fontId="85" fillId="0" borderId="5" xfId="0" applyNumberFormat="1" applyFont="1" applyBorder="1" applyAlignment="1" applyProtection="1">
      <alignment horizontal="center"/>
    </xf>
    <xf numFmtId="178" fontId="85" fillId="0" borderId="11" xfId="0" applyNumberFormat="1" applyFont="1" applyBorder="1" applyAlignment="1" applyProtection="1">
      <alignment horizontal="center"/>
    </xf>
    <xf numFmtId="178" fontId="37" fillId="0" borderId="5" xfId="0" applyNumberFormat="1" applyFont="1" applyBorder="1" applyAlignment="1" applyProtection="1">
      <alignment horizontal="center"/>
    </xf>
    <xf numFmtId="178" fontId="85" fillId="0" borderId="13" xfId="0" applyNumberFormat="1" applyFont="1" applyBorder="1" applyAlignment="1" applyProtection="1">
      <alignment horizontal="center"/>
    </xf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/>
    <xf numFmtId="182" fontId="10" fillId="0" borderId="3" xfId="33" applyNumberFormat="1" applyFont="1" applyBorder="1" applyAlignment="1" applyProtection="1">
      <alignment horizontal="center" vertical="center"/>
    </xf>
    <xf numFmtId="0" fontId="35" fillId="0" borderId="3" xfId="0" applyFont="1" applyBorder="1" applyAlignment="1" applyProtection="1">
      <alignment horizontal="left"/>
    </xf>
    <xf numFmtId="182" fontId="85" fillId="0" borderId="3" xfId="33" applyNumberFormat="1" applyFont="1" applyBorder="1" applyAlignment="1" applyProtection="1">
      <alignment horizontal="center"/>
    </xf>
    <xf numFmtId="182" fontId="10" fillId="0" borderId="14" xfId="33" applyNumberFormat="1" applyFont="1" applyBorder="1" applyAlignment="1" applyProtection="1">
      <alignment horizontal="center" vertical="center"/>
    </xf>
    <xf numFmtId="182" fontId="25" fillId="0" borderId="19" xfId="33" applyNumberFormat="1" applyFont="1" applyBorder="1" applyAlignment="1" applyProtection="1">
      <alignment horizontal="center" vertical="center"/>
    </xf>
    <xf numFmtId="166" fontId="105" fillId="0" borderId="29" xfId="33" applyNumberFormat="1" applyFont="1" applyBorder="1" applyAlignment="1" applyProtection="1">
      <alignment horizontal="center"/>
      <protection locked="0"/>
    </xf>
    <xf numFmtId="166" fontId="107" fillId="0" borderId="29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7" fillId="0" borderId="21" xfId="33" applyNumberFormat="1" applyFont="1" applyBorder="1" applyAlignment="1" applyProtection="1">
      <alignment horizontal="center"/>
      <protection locked="0"/>
    </xf>
    <xf numFmtId="166" fontId="105" fillId="0" borderId="30" xfId="33" applyNumberFormat="1" applyFont="1" applyBorder="1" applyAlignment="1" applyProtection="1">
      <alignment horizontal="center"/>
      <protection locked="0"/>
    </xf>
    <xf numFmtId="166" fontId="107" fillId="0" borderId="30" xfId="33" applyNumberFormat="1" applyFont="1" applyBorder="1" applyAlignment="1" applyProtection="1">
      <alignment horizontal="center"/>
      <protection locked="0"/>
    </xf>
    <xf numFmtId="166" fontId="105" fillId="0" borderId="31" xfId="33" applyNumberFormat="1" applyFont="1" applyBorder="1" applyAlignment="1" applyProtection="1">
      <alignment horizontal="center"/>
      <protection locked="0"/>
    </xf>
    <xf numFmtId="166" fontId="107" fillId="0" borderId="31" xfId="33" applyNumberFormat="1" applyFont="1" applyBorder="1" applyAlignment="1" applyProtection="1">
      <alignment horizontal="center"/>
      <protection locked="0"/>
    </xf>
    <xf numFmtId="182" fontId="35" fillId="0" borderId="6" xfId="33" applyNumberFormat="1" applyFont="1" applyBorder="1" applyAlignment="1" applyProtection="1">
      <alignment horizontal="center"/>
    </xf>
    <xf numFmtId="182" fontId="35" fillId="0" borderId="8" xfId="33" applyNumberFormat="1" applyFont="1" applyBorder="1" applyAlignment="1" applyProtection="1">
      <alignment horizontal="center"/>
    </xf>
    <xf numFmtId="178" fontId="37" fillId="0" borderId="15" xfId="0" applyNumberFormat="1" applyFont="1" applyBorder="1" applyAlignment="1" applyProtection="1">
      <alignment horizontal="center"/>
    </xf>
    <xf numFmtId="178" fontId="35" fillId="0" borderId="15" xfId="0" applyNumberFormat="1" applyFont="1" applyBorder="1" applyAlignment="1" applyProtection="1">
      <alignment horizontal="center"/>
    </xf>
    <xf numFmtId="178" fontId="37" fillId="0" borderId="12" xfId="0" applyNumberFormat="1" applyFont="1" applyBorder="1" applyAlignment="1" applyProtection="1">
      <alignment horizontal="center"/>
    </xf>
    <xf numFmtId="185" fontId="49" fillId="0" borderId="0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/>
    </xf>
    <xf numFmtId="0" fontId="108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8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7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2" fontId="31" fillId="0" borderId="13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2" fontId="31" fillId="0" borderId="2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1" fontId="31" fillId="0" borderId="4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8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32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9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45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10" fillId="0" borderId="0" xfId="0" applyFont="1" applyFill="1" applyBorder="1" applyAlignment="1" applyProtection="1">
      <alignment horizontal="left"/>
    </xf>
    <xf numFmtId="0" fontId="95" fillId="0" borderId="3" xfId="0" applyFont="1" applyBorder="1" applyAlignment="1" applyProtection="1">
      <alignment horizontal="center"/>
      <protection locked="0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11" fillId="0" borderId="0" xfId="0" applyFont="1" applyAlignment="1" applyProtection="1">
      <alignment horizontal="left"/>
      <protection locked="0"/>
    </xf>
    <xf numFmtId="178" fontId="37" fillId="0" borderId="13" xfId="0" quotePrefix="1" applyNumberFormat="1" applyFont="1" applyBorder="1" applyAlignment="1" applyProtection="1">
      <alignment horizontal="center"/>
      <protection locked="0"/>
    </xf>
    <xf numFmtId="178" fontId="37" fillId="0" borderId="5" xfId="0" quotePrefix="1" applyNumberFormat="1" applyFont="1" applyBorder="1" applyAlignment="1" applyProtection="1">
      <alignment horizontal="center"/>
      <protection locked="0"/>
    </xf>
    <xf numFmtId="178" fontId="37" fillId="0" borderId="11" xfId="0" quotePrefix="1" applyNumberFormat="1" applyFont="1" applyBorder="1" applyAlignment="1" applyProtection="1">
      <alignment horizontal="center"/>
      <protection locked="0"/>
    </xf>
    <xf numFmtId="178" fontId="85" fillId="0" borderId="7" xfId="0" quotePrefix="1" applyNumberFormat="1" applyFont="1" applyBorder="1" applyAlignment="1" applyProtection="1">
      <alignment horizontal="center"/>
      <protection locked="0"/>
    </xf>
    <xf numFmtId="178" fontId="35" fillId="0" borderId="2" xfId="0" applyNumberFormat="1" applyFont="1" applyBorder="1" applyAlignment="1" applyProtection="1">
      <alignment horizontal="center"/>
      <protection locked="0"/>
    </xf>
    <xf numFmtId="178" fontId="35" fillId="0" borderId="0" xfId="0" applyNumberFormat="1" applyFont="1" applyBorder="1" applyAlignment="1" applyProtection="1">
      <alignment horizontal="center"/>
      <protection locked="0"/>
    </xf>
    <xf numFmtId="178" fontId="35" fillId="0" borderId="10" xfId="0" applyNumberFormat="1" applyFont="1" applyBorder="1" applyAlignment="1" applyProtection="1">
      <alignment horizontal="center"/>
      <protection locked="0"/>
    </xf>
    <xf numFmtId="178" fontId="48" fillId="0" borderId="7" xfId="0" applyNumberFormat="1" applyFont="1" applyBorder="1" applyAlignment="1" applyProtection="1">
      <alignment horizontal="center"/>
      <protection locked="0"/>
    </xf>
    <xf numFmtId="178" fontId="85" fillId="0" borderId="7" xfId="0" applyNumberFormat="1" applyFont="1" applyBorder="1" applyAlignment="1" applyProtection="1">
      <alignment horizontal="center"/>
      <protection locked="0"/>
    </xf>
    <xf numFmtId="178" fontId="37" fillId="0" borderId="4" xfId="0" applyNumberFormat="1" applyFont="1" applyBorder="1" applyAlignment="1" applyProtection="1">
      <alignment horizontal="center"/>
      <protection locked="0"/>
    </xf>
    <xf numFmtId="178" fontId="37" fillId="0" borderId="1" xfId="0" applyNumberFormat="1" applyFont="1" applyBorder="1" applyAlignment="1" applyProtection="1">
      <alignment horizontal="center"/>
      <protection locked="0"/>
    </xf>
    <xf numFmtId="178" fontId="37" fillId="0" borderId="9" xfId="0" applyNumberFormat="1" applyFont="1" applyBorder="1" applyAlignment="1" applyProtection="1">
      <alignment horizontal="center"/>
      <protection locked="0"/>
    </xf>
    <xf numFmtId="178" fontId="85" fillId="0" borderId="8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Protection="1">
      <protection locked="0"/>
    </xf>
    <xf numFmtId="167" fontId="82" fillId="0" borderId="0" xfId="0" applyNumberFormat="1" applyFont="1" applyProtection="1"/>
    <xf numFmtId="0" fontId="112" fillId="0" borderId="0" xfId="0" applyFont="1" applyProtection="1"/>
    <xf numFmtId="0" fontId="82" fillId="0" borderId="0" xfId="0" applyFont="1" applyBorder="1" applyAlignment="1" applyProtection="1">
      <alignment horizontal="right"/>
    </xf>
    <xf numFmtId="178" fontId="32" fillId="0" borderId="0" xfId="0" applyNumberFormat="1" applyFont="1" applyBorder="1" applyAlignment="1" applyProtection="1">
      <alignment horizontal="center"/>
    </xf>
    <xf numFmtId="178" fontId="82" fillId="0" borderId="0" xfId="0" applyNumberFormat="1" applyFont="1" applyBorder="1" applyAlignment="1" applyProtection="1">
      <alignment horizontal="center"/>
    </xf>
    <xf numFmtId="178" fontId="37" fillId="0" borderId="13" xfId="0" applyNumberFormat="1" applyFont="1" applyBorder="1" applyAlignment="1" applyProtection="1">
      <alignment horizontal="center"/>
    </xf>
    <xf numFmtId="178" fontId="37" fillId="0" borderId="14" xfId="0" applyNumberFormat="1" applyFont="1" applyBorder="1" applyAlignment="1" applyProtection="1">
      <alignment horizontal="center"/>
    </xf>
    <xf numFmtId="178" fontId="37" fillId="0" borderId="4" xfId="0" applyNumberFormat="1" applyFont="1" applyBorder="1" applyAlignment="1" applyProtection="1">
      <alignment horizontal="center"/>
    </xf>
    <xf numFmtId="166" fontId="96" fillId="0" borderId="33" xfId="33" applyNumberFormat="1" applyFont="1" applyBorder="1" applyAlignment="1" applyProtection="1">
      <alignment horizontal="center"/>
      <protection locked="0"/>
    </xf>
    <xf numFmtId="0" fontId="111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3" fillId="0" borderId="31" xfId="0" applyNumberFormat="1" applyFont="1" applyFill="1" applyBorder="1" applyProtection="1">
      <protection locked="0"/>
    </xf>
    <xf numFmtId="0" fontId="113" fillId="0" borderId="0" xfId="0" applyFont="1" applyAlignment="1" applyProtection="1">
      <alignment horizontal="center"/>
    </xf>
    <xf numFmtId="2" fontId="113" fillId="34" borderId="31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182" fontId="51" fillId="0" borderId="1" xfId="0" applyNumberFormat="1" applyFont="1" applyBorder="1" applyAlignment="1" applyProtection="1">
      <alignment horizontal="center" vertical="center"/>
    </xf>
    <xf numFmtId="0" fontId="108" fillId="0" borderId="0" xfId="0" applyFont="1" applyAlignment="1" applyProtection="1">
      <alignment horizontal="center" vertical="center" wrapText="1"/>
    </xf>
    <xf numFmtId="178" fontId="33" fillId="0" borderId="5" xfId="33" applyNumberFormat="1" applyFont="1" applyFill="1" applyBorder="1" applyAlignment="1" applyProtection="1">
      <alignment horizontal="center"/>
    </xf>
    <xf numFmtId="178" fontId="33" fillId="0" borderId="0" xfId="33" applyNumberFormat="1" applyFont="1" applyBorder="1" applyAlignment="1" applyProtection="1">
      <alignment horizontal="center"/>
    </xf>
    <xf numFmtId="178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3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78" fontId="0" fillId="0" borderId="0" xfId="0" applyNumberFormat="1" applyAlignment="1" applyProtection="1">
      <alignment horizontal="center"/>
    </xf>
    <xf numFmtId="167" fontId="105" fillId="0" borderId="29" xfId="33" applyNumberFormat="1" applyFont="1" applyBorder="1" applyAlignment="1" applyProtection="1">
      <alignment horizontal="center"/>
      <protection locked="0"/>
    </xf>
    <xf numFmtId="167" fontId="105" fillId="0" borderId="31" xfId="33" applyNumberFormat="1" applyFont="1" applyBorder="1" applyAlignment="1" applyProtection="1">
      <alignment horizontal="center"/>
      <protection locked="0"/>
    </xf>
    <xf numFmtId="0" fontId="73" fillId="0" borderId="0" xfId="0" applyFont="1" applyProtection="1"/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0" fontId="37" fillId="0" borderId="1" xfId="0" applyFont="1" applyBorder="1" applyAlignment="1" applyProtection="1">
      <alignment horizontal="right"/>
    </xf>
    <xf numFmtId="0" fontId="37" fillId="0" borderId="7" xfId="0" applyFont="1" applyBorder="1" applyProtection="1"/>
    <xf numFmtId="178" fontId="85" fillId="0" borderId="0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4" fillId="0" borderId="0" xfId="0" applyNumberFormat="1" applyFont="1" applyFill="1" applyBorder="1" applyAlignment="1" applyProtection="1">
      <alignment horizontal="center"/>
    </xf>
    <xf numFmtId="1" fontId="99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3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4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3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5" fontId="31" fillId="0" borderId="13" xfId="0" applyNumberFormat="1" applyFont="1" applyBorder="1" applyAlignment="1" applyProtection="1">
      <alignment horizontal="center"/>
    </xf>
    <xf numFmtId="175" fontId="31" fillId="0" borderId="11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</xf>
    <xf numFmtId="175" fontId="31" fillId="0" borderId="10" xfId="0" applyNumberFormat="1" applyFont="1" applyBorder="1" applyAlignment="1" applyProtection="1">
      <alignment horizontal="center"/>
    </xf>
    <xf numFmtId="175" fontId="31" fillId="0" borderId="17" xfId="0" applyNumberFormat="1" applyFont="1" applyBorder="1" applyAlignment="1" applyProtection="1">
      <alignment horizontal="center"/>
    </xf>
    <xf numFmtId="175" fontId="31" fillId="0" borderId="34" xfId="0" applyNumberFormat="1" applyFont="1" applyBorder="1" applyAlignment="1" applyProtection="1">
      <alignment horizontal="center"/>
    </xf>
    <xf numFmtId="175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5" fillId="0" borderId="13" xfId="0" applyNumberFormat="1" applyFont="1" applyBorder="1" applyAlignment="1" applyProtection="1">
      <alignment horizontal="center"/>
    </xf>
    <xf numFmtId="1" fontId="115" fillId="0" borderId="11" xfId="0" applyNumberFormat="1" applyFont="1" applyBorder="1" applyAlignment="1" applyProtection="1">
      <alignment horizontal="center"/>
    </xf>
    <xf numFmtId="1" fontId="115" fillId="0" borderId="2" xfId="0" applyNumberFormat="1" applyFont="1" applyBorder="1" applyAlignment="1" applyProtection="1">
      <alignment horizontal="center"/>
    </xf>
    <xf numFmtId="1" fontId="115" fillId="0" borderId="10" xfId="0" applyNumberFormat="1" applyFont="1" applyBorder="1" applyAlignment="1" applyProtection="1">
      <alignment horizontal="center"/>
    </xf>
    <xf numFmtId="1" fontId="115" fillId="0" borderId="17" xfId="0" applyNumberFormat="1" applyFont="1" applyBorder="1" applyAlignment="1" applyProtection="1">
      <alignment horizontal="center"/>
    </xf>
    <xf numFmtId="1" fontId="115" fillId="0" borderId="34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  <protection locked="0"/>
    </xf>
    <xf numFmtId="175" fontId="31" fillId="0" borderId="10" xfId="0" applyNumberFormat="1" applyFont="1" applyBorder="1" applyAlignment="1" applyProtection="1">
      <alignment horizontal="center"/>
      <protection locked="0"/>
    </xf>
    <xf numFmtId="175" fontId="31" fillId="0" borderId="4" xfId="0" applyNumberFormat="1" applyFont="1" applyBorder="1" applyAlignment="1" applyProtection="1">
      <alignment horizontal="center"/>
      <protection locked="0"/>
    </xf>
    <xf numFmtId="175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7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8" fillId="0" borderId="0" xfId="0" applyNumberFormat="1" applyFont="1" applyAlignment="1" applyProtection="1">
      <alignment horizontal="center"/>
    </xf>
    <xf numFmtId="2" fontId="48" fillId="0" borderId="1" xfId="0" applyNumberFormat="1" applyFont="1" applyFill="1" applyBorder="1" applyAlignment="1" applyProtection="1">
      <alignment horizontal="center"/>
      <protection locked="0"/>
    </xf>
    <xf numFmtId="0" fontId="36" fillId="0" borderId="13" xfId="0" applyFont="1" applyBorder="1" applyAlignment="1" applyProtection="1">
      <alignment horizontal="right"/>
      <protection locked="0"/>
    </xf>
    <xf numFmtId="2" fontId="35" fillId="0" borderId="5" xfId="0" applyNumberFormat="1" applyFont="1" applyBorder="1" applyProtection="1">
      <protection locked="0"/>
    </xf>
    <xf numFmtId="178" fontId="35" fillId="0" borderId="5" xfId="0" applyNumberFormat="1" applyFont="1" applyBorder="1" applyProtection="1">
      <protection locked="0"/>
    </xf>
    <xf numFmtId="0" fontId="37" fillId="0" borderId="13" xfId="0" applyFont="1" applyBorder="1" applyAlignment="1" applyProtection="1">
      <alignment horizontal="right"/>
      <protection locked="0"/>
    </xf>
    <xf numFmtId="0" fontId="37" fillId="0" borderId="4" xfId="0" applyFont="1" applyBorder="1" applyAlignment="1" applyProtection="1">
      <alignment horizontal="right"/>
      <protection locked="0"/>
    </xf>
    <xf numFmtId="2" fontId="35" fillId="0" borderId="1" xfId="0" applyNumberFormat="1" applyFont="1" applyBorder="1" applyProtection="1">
      <protection locked="0"/>
    </xf>
    <xf numFmtId="178" fontId="35" fillId="0" borderId="1" xfId="0" applyNumberFormat="1" applyFont="1" applyBorder="1" applyProtection="1">
      <protection locked="0"/>
    </xf>
    <xf numFmtId="0" fontId="35" fillId="0" borderId="2" xfId="0" applyFont="1" applyBorder="1" applyAlignment="1" applyProtection="1">
      <alignment horizontal="right"/>
      <protection locked="0"/>
    </xf>
    <xf numFmtId="2" fontId="35" fillId="0" borderId="0" xfId="0" applyNumberFormat="1" applyFont="1" applyBorder="1" applyProtection="1">
      <protection locked="0"/>
    </xf>
    <xf numFmtId="178" fontId="35" fillId="0" borderId="0" xfId="0" applyNumberFormat="1" applyFont="1" applyBorder="1" applyProtection="1">
      <protection locked="0"/>
    </xf>
    <xf numFmtId="178" fontId="36" fillId="0" borderId="0" xfId="0" applyNumberFormat="1" applyFont="1" applyBorder="1" applyProtection="1">
      <protection locked="0"/>
    </xf>
    <xf numFmtId="178" fontId="36" fillId="0" borderId="2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Alignment="1" applyProtection="1">
      <alignment horizontal="right"/>
      <protection locked="0"/>
    </xf>
    <xf numFmtId="0" fontId="35" fillId="0" borderId="0" xfId="0" applyFont="1" applyBorder="1" applyProtection="1">
      <protection locked="0"/>
    </xf>
    <xf numFmtId="0" fontId="36" fillId="0" borderId="2" xfId="0" applyFont="1" applyBorder="1" applyAlignment="1" applyProtection="1">
      <alignment horizontal="right"/>
      <protection locked="0"/>
    </xf>
    <xf numFmtId="178" fontId="36" fillId="33" borderId="5" xfId="0" applyNumberFormat="1" applyFont="1" applyFill="1" applyBorder="1" applyProtection="1">
      <protection locked="0"/>
    </xf>
    <xf numFmtId="178" fontId="36" fillId="33" borderId="13" xfId="0" applyNumberFormat="1" applyFont="1" applyFill="1" applyBorder="1" applyAlignment="1" applyProtection="1">
      <alignment horizontal="center"/>
      <protection locked="0"/>
    </xf>
    <xf numFmtId="178" fontId="35" fillId="33" borderId="11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right"/>
      <protection locked="0"/>
    </xf>
    <xf numFmtId="178" fontId="119" fillId="0" borderId="2" xfId="0" applyNumberFormat="1" applyFont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center"/>
      <protection locked="0"/>
    </xf>
    <xf numFmtId="1" fontId="37" fillId="0" borderId="2" xfId="0" applyNumberFormat="1" applyFont="1" applyBorder="1" applyAlignment="1" applyProtection="1">
      <alignment horizontal="left"/>
    </xf>
    <xf numFmtId="0" fontId="35" fillId="0" borderId="5" xfId="0" applyFont="1" applyBorder="1" applyAlignment="1" applyProtection="1">
      <alignment horizontal="right"/>
    </xf>
    <xf numFmtId="0" fontId="37" fillId="0" borderId="7" xfId="0" applyFont="1" applyBorder="1" applyAlignment="1" applyProtection="1">
      <alignment horizontal="right"/>
    </xf>
    <xf numFmtId="0" fontId="35" fillId="0" borderId="7" xfId="0" applyFont="1" applyBorder="1" applyAlignment="1" applyProtection="1">
      <alignment horizontal="right"/>
    </xf>
    <xf numFmtId="1" fontId="37" fillId="0" borderId="2" xfId="0" applyNumberFormat="1" applyFont="1" applyBorder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right"/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33" fillId="0" borderId="0" xfId="0" applyNumberFormat="1" applyFont="1" applyBorder="1" applyProtection="1">
      <protection locked="0"/>
    </xf>
    <xf numFmtId="1" fontId="33" fillId="0" borderId="2" xfId="0" applyNumberFormat="1" applyFont="1" applyBorder="1" applyAlignment="1" applyProtection="1">
      <alignment horizontal="center"/>
      <protection locked="0"/>
    </xf>
    <xf numFmtId="178" fontId="33" fillId="0" borderId="10" xfId="0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left"/>
      <protection locked="0"/>
    </xf>
    <xf numFmtId="0" fontId="31" fillId="0" borderId="2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2" fontId="30" fillId="0" borderId="0" xfId="0" applyNumberFormat="1" applyFont="1" applyBorder="1" applyProtection="1">
      <protection locked="0"/>
    </xf>
    <xf numFmtId="178" fontId="30" fillId="0" borderId="0" xfId="0" applyNumberFormat="1" applyFont="1" applyBorder="1" applyProtection="1">
      <protection locked="0"/>
    </xf>
    <xf numFmtId="178" fontId="31" fillId="0" borderId="0" xfId="0" applyNumberFormat="1" applyFont="1" applyBorder="1" applyProtection="1">
      <protection locked="0"/>
    </xf>
    <xf numFmtId="1" fontId="31" fillId="0" borderId="2" xfId="0" applyNumberFormat="1" applyFont="1" applyBorder="1" applyAlignment="1" applyProtection="1">
      <alignment horizontal="center"/>
      <protection locked="0"/>
    </xf>
    <xf numFmtId="178" fontId="30" fillId="0" borderId="10" xfId="0" applyNumberFormat="1" applyFont="1" applyBorder="1" applyAlignment="1" applyProtection="1">
      <alignment horizontal="center"/>
      <protection locked="0"/>
    </xf>
    <xf numFmtId="0" fontId="37" fillId="0" borderId="6" xfId="0" applyFont="1" applyBorder="1" applyAlignment="1" applyProtection="1">
      <alignment horizontal="left"/>
      <protection locked="0"/>
    </xf>
    <xf numFmtId="2" fontId="37" fillId="0" borderId="13" xfId="0" applyNumberFormat="1" applyFont="1" applyBorder="1" applyAlignment="1" applyProtection="1">
      <alignment horizontal="center"/>
      <protection locked="0"/>
    </xf>
    <xf numFmtId="2" fontId="37" fillId="0" borderId="5" xfId="0" applyNumberFormat="1" applyFont="1" applyBorder="1" applyAlignment="1" applyProtection="1">
      <alignment horizontal="center"/>
      <protection locked="0"/>
    </xf>
    <xf numFmtId="2" fontId="37" fillId="0" borderId="11" xfId="0" applyNumberFormat="1" applyFont="1" applyBorder="1" applyAlignment="1" applyProtection="1">
      <alignment horizontal="center"/>
      <protection locked="0"/>
    </xf>
    <xf numFmtId="186" fontId="85" fillId="0" borderId="7" xfId="31" applyNumberFormat="1" applyFont="1" applyBorder="1" applyAlignment="1" applyProtection="1">
      <alignment horizontal="center"/>
      <protection locked="0"/>
    </xf>
    <xf numFmtId="186" fontId="37" fillId="0" borderId="13" xfId="31" applyNumberFormat="1" applyFont="1" applyBorder="1" applyAlignment="1" applyProtection="1">
      <alignment horizontal="center"/>
      <protection locked="0"/>
    </xf>
    <xf numFmtId="186" fontId="37" fillId="0" borderId="5" xfId="31" applyNumberFormat="1" applyFont="1" applyBorder="1" applyAlignment="1" applyProtection="1">
      <alignment horizontal="center"/>
      <protection locked="0"/>
    </xf>
    <xf numFmtId="186" fontId="37" fillId="0" borderId="11" xfId="31" applyNumberFormat="1" applyFont="1" applyBorder="1" applyAlignment="1" applyProtection="1">
      <alignment horizontal="center"/>
      <protection locked="0"/>
    </xf>
    <xf numFmtId="186" fontId="37" fillId="0" borderId="2" xfId="31" applyNumberFormat="1" applyFont="1" applyBorder="1" applyAlignment="1" applyProtection="1">
      <alignment horizontal="center"/>
      <protection locked="0"/>
    </xf>
    <xf numFmtId="186" fontId="37" fillId="0" borderId="0" xfId="31" applyNumberFormat="1" applyFont="1" applyBorder="1" applyAlignment="1" applyProtection="1">
      <alignment horizontal="center"/>
      <protection locked="0"/>
    </xf>
    <xf numFmtId="186" fontId="37" fillId="0" borderId="10" xfId="31" applyNumberFormat="1" applyFont="1" applyBorder="1" applyAlignment="1" applyProtection="1">
      <alignment horizontal="center"/>
      <protection locked="0"/>
    </xf>
    <xf numFmtId="0" fontId="36" fillId="0" borderId="7" xfId="0" applyFont="1" applyBorder="1" applyProtection="1">
      <protection locked="0"/>
    </xf>
    <xf numFmtId="186" fontId="36" fillId="0" borderId="2" xfId="31" applyNumberFormat="1" applyFont="1" applyBorder="1" applyAlignment="1" applyProtection="1">
      <alignment horizontal="center"/>
      <protection locked="0"/>
    </xf>
    <xf numFmtId="186" fontId="36" fillId="0" borderId="0" xfId="31" applyNumberFormat="1" applyFont="1" applyBorder="1" applyAlignment="1" applyProtection="1">
      <alignment horizontal="center"/>
      <protection locked="0"/>
    </xf>
    <xf numFmtId="186" fontId="36" fillId="0" borderId="10" xfId="31" applyNumberFormat="1" applyFont="1" applyBorder="1" applyAlignment="1" applyProtection="1">
      <alignment horizontal="center"/>
      <protection locked="0"/>
    </xf>
    <xf numFmtId="186" fontId="49" fillId="0" borderId="7" xfId="31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86" fontId="85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86" fontId="85" fillId="0" borderId="8" xfId="31" applyNumberFormat="1" applyFont="1" applyBorder="1" applyAlignment="1" applyProtection="1">
      <alignment horizontal="center"/>
      <protection locked="0"/>
    </xf>
    <xf numFmtId="186" fontId="37" fillId="0" borderId="4" xfId="31" applyNumberFormat="1" applyFont="1" applyBorder="1" applyAlignment="1" applyProtection="1">
      <alignment horizontal="center"/>
      <protection locked="0"/>
    </xf>
    <xf numFmtId="186" fontId="85" fillId="0" borderId="1" xfId="31" applyNumberFormat="1" applyFont="1" applyBorder="1" applyAlignment="1" applyProtection="1">
      <alignment horizontal="center"/>
      <protection locked="0"/>
    </xf>
    <xf numFmtId="186" fontId="37" fillId="0" borderId="1" xfId="31" applyNumberFormat="1" applyFont="1" applyBorder="1" applyAlignment="1" applyProtection="1">
      <alignment horizontal="center"/>
      <protection locked="0"/>
    </xf>
    <xf numFmtId="186" fontId="37" fillId="0" borderId="9" xfId="31" applyNumberFormat="1" applyFont="1" applyBorder="1" applyAlignment="1" applyProtection="1">
      <alignment horizontal="center"/>
      <protection locked="0"/>
    </xf>
    <xf numFmtId="0" fontId="120" fillId="0" borderId="0" xfId="0" applyFont="1" applyProtection="1"/>
    <xf numFmtId="0" fontId="92" fillId="0" borderId="0" xfId="0" applyFont="1" applyProtection="1">
      <protection locked="0"/>
    </xf>
    <xf numFmtId="0" fontId="35" fillId="0" borderId="0" xfId="0" applyFont="1" applyAlignment="1" applyProtection="1">
      <alignment horizontal="left"/>
    </xf>
    <xf numFmtId="182" fontId="49" fillId="0" borderId="3" xfId="33" applyNumberFormat="1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29" fillId="33" borderId="3" xfId="0" applyNumberFormat="1" applyFont="1" applyFill="1" applyBorder="1" applyAlignment="1" applyProtection="1">
      <alignment horizontal="center" vertical="center" wrapText="1"/>
    </xf>
    <xf numFmtId="166" fontId="31" fillId="0" borderId="3" xfId="0" applyNumberFormat="1" applyFont="1" applyFill="1" applyBorder="1" applyAlignment="1" applyProtection="1">
      <alignment horizontal="center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170" fontId="33" fillId="0" borderId="0" xfId="0" applyNumberFormat="1" applyFont="1" applyAlignment="1" applyProtection="1">
      <alignment horizontal="right"/>
    </xf>
    <xf numFmtId="2" fontId="54" fillId="0" borderId="19" xfId="0" applyNumberFormat="1" applyFont="1" applyBorder="1" applyAlignment="1" applyProtection="1">
      <alignment horizontal="center" vertical="center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173" fontId="65" fillId="37" borderId="15" xfId="33" applyNumberFormat="1" applyFont="1" applyFill="1" applyBorder="1" applyAlignment="1" applyProtection="1">
      <alignment horizont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8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5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5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4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4" xfId="33" applyNumberFormat="1" applyFont="1" applyBorder="1" applyAlignment="1" applyProtection="1">
      <alignment horizontal="center"/>
    </xf>
    <xf numFmtId="10" fontId="115" fillId="0" borderId="34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5" fontId="31" fillId="0" borderId="0" xfId="0" applyNumberFormat="1" applyFont="1" applyBorder="1" applyAlignment="1" applyProtection="1">
      <alignment horizontal="center"/>
      <protection locked="0"/>
    </xf>
    <xf numFmtId="10" fontId="79" fillId="0" borderId="19" xfId="0" applyNumberFormat="1" applyFont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0" fontId="36" fillId="0" borderId="5" xfId="0" applyFont="1" applyBorder="1" applyAlignment="1" applyProtection="1">
      <alignment horizontal="left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9" fontId="65" fillId="37" borderId="15" xfId="33" applyNumberFormat="1" applyFont="1" applyFill="1" applyBorder="1" applyAlignment="1" applyProtection="1">
      <alignment horizontal="center"/>
      <protection locked="0"/>
    </xf>
    <xf numFmtId="0" fontId="84" fillId="0" borderId="0" xfId="0" applyFont="1" applyAlignment="1" applyProtection="1">
      <alignment horizontal="left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121" fillId="0" borderId="28" xfId="0" applyFont="1" applyBorder="1" applyAlignment="1" applyProtection="1">
      <alignment horizontal="center"/>
      <protection locked="0"/>
    </xf>
    <xf numFmtId="0" fontId="121" fillId="0" borderId="25" xfId="0" applyFont="1" applyBorder="1" applyAlignment="1" applyProtection="1">
      <alignment horizontal="center"/>
      <protection locked="0"/>
    </xf>
    <xf numFmtId="15" fontId="94" fillId="0" borderId="28" xfId="0" applyNumberFormat="1" applyFont="1" applyBorder="1" applyAlignment="1" applyProtection="1">
      <alignment horizontal="center" vertical="center"/>
      <protection locked="0"/>
    </xf>
    <xf numFmtId="15" fontId="94" fillId="0" borderId="25" xfId="0" applyNumberFormat="1" applyFont="1" applyBorder="1" applyAlignment="1" applyProtection="1">
      <alignment horizontal="center" vertical="center"/>
      <protection locked="0"/>
    </xf>
    <xf numFmtId="0" fontId="51" fillId="33" borderId="5" xfId="0" applyFont="1" applyFill="1" applyBorder="1" applyAlignment="1" applyProtection="1">
      <alignment horizontal="center" wrapText="1"/>
    </xf>
    <xf numFmtId="0" fontId="51" fillId="33" borderId="1" xfId="0" applyFont="1" applyFill="1" applyBorder="1" applyAlignment="1" applyProtection="1">
      <alignment horizont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8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181" fontId="74" fillId="0" borderId="15" xfId="33" applyNumberFormat="1" applyFont="1" applyFill="1" applyBorder="1" applyAlignment="1" applyProtection="1">
      <alignment horizontal="center"/>
      <protection locked="0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81" fontId="89" fillId="0" borderId="15" xfId="33" applyNumberFormat="1" applyFont="1" applyFill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182" fontId="74" fillId="0" borderId="28" xfId="0" applyNumberFormat="1" applyFont="1" applyBorder="1" applyAlignment="1" applyProtection="1">
      <alignment horizontal="center" vertical="center"/>
      <protection locked="0"/>
    </xf>
    <xf numFmtId="182" fontId="74" fillId="0" borderId="25" xfId="0" applyNumberFormat="1" applyFont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68" fontId="65" fillId="0" borderId="28" xfId="33" applyNumberFormat="1" applyFont="1" applyBorder="1" applyAlignment="1" applyProtection="1">
      <alignment horizontal="center" vertical="center"/>
      <protection locked="0"/>
    </xf>
    <xf numFmtId="168" fontId="65" fillId="0" borderId="25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79" fontId="27" fillId="0" borderId="14" xfId="0" applyNumberFormat="1" applyFont="1" applyBorder="1" applyAlignment="1" applyProtection="1">
      <alignment horizontal="center" vertical="center"/>
    </xf>
    <xf numFmtId="179" fontId="27" fillId="0" borderId="15" xfId="0" applyNumberFormat="1" applyFont="1" applyBorder="1" applyAlignment="1" applyProtection="1">
      <alignment horizontal="center" vertical="center"/>
    </xf>
    <xf numFmtId="179" fontId="27" fillId="0" borderId="12" xfId="0" applyNumberFormat="1" applyFont="1" applyBorder="1" applyAlignment="1" applyProtection="1">
      <alignment horizontal="center" vertical="center"/>
    </xf>
    <xf numFmtId="14" fontId="54" fillId="0" borderId="28" xfId="0" applyNumberFormat="1" applyFont="1" applyBorder="1" applyAlignment="1" applyProtection="1">
      <alignment horizontal="center" vertical="center"/>
      <protection locked="0"/>
    </xf>
    <xf numFmtId="14" fontId="54" fillId="0" borderId="25" xfId="0" applyNumberFormat="1" applyFont="1" applyBorder="1" applyAlignment="1" applyProtection="1">
      <alignment horizontal="center" vertical="center"/>
      <protection locked="0"/>
    </xf>
    <xf numFmtId="0" fontId="123" fillId="0" borderId="28" xfId="0" applyFont="1" applyBorder="1" applyAlignment="1" applyProtection="1">
      <alignment horizontal="center" vertical="center"/>
      <protection locked="0"/>
    </xf>
    <xf numFmtId="0" fontId="123" fillId="0" borderId="35" xfId="0" applyFont="1" applyBorder="1" applyAlignment="1" applyProtection="1">
      <alignment horizontal="center" vertical="center"/>
      <protection locked="0"/>
    </xf>
    <xf numFmtId="0" fontId="123" fillId="0" borderId="25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  <xf numFmtId="0" fontId="36" fillId="33" borderId="6" xfId="0" applyFont="1" applyFill="1" applyBorder="1" applyAlignment="1" applyProtection="1">
      <alignment horizontal="center" vertical="top" wrapText="1"/>
    </xf>
    <xf numFmtId="2" fontId="92" fillId="0" borderId="21" xfId="0" applyNumberFormat="1" applyFont="1" applyBorder="1" applyProtection="1"/>
    <xf numFmtId="2" fontId="92" fillId="34" borderId="22" xfId="0" applyNumberFormat="1" applyFont="1" applyFill="1" applyBorder="1" applyProtection="1"/>
    <xf numFmtId="0" fontId="75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7"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rgb="FFFF00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6.5052003713810089</c:v>
                </c:pt>
                <c:pt idx="6">
                  <c:v>6.175402181910286</c:v>
                </c:pt>
                <c:pt idx="7">
                  <c:v>5.7854977042277769</c:v>
                </c:pt>
                <c:pt idx="8">
                  <c:v>5.3232828708512647</c:v>
                </c:pt>
                <c:pt idx="9">
                  <c:v>4.5550365657122889</c:v>
                </c:pt>
                <c:pt idx="10">
                  <c:v>3.544840801026695</c:v>
                </c:pt>
                <c:pt idx="11">
                  <c:v>2.9592962148625324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3.4669739204812746</c:v>
                </c:pt>
                <c:pt idx="1">
                  <c:v>4.4613642429034464</c:v>
                </c:pt>
                <c:pt idx="2">
                  <c:v>5.4273042980076927</c:v>
                </c:pt>
                <c:pt idx="3">
                  <c:v>6.102693092660985</c:v>
                </c:pt>
                <c:pt idx="4">
                  <c:v>6.3050666705295564</c:v>
                </c:pt>
                <c:pt idx="5">
                  <c:v>6.183554536679706</c:v>
                </c:pt>
                <c:pt idx="6">
                  <c:v>5.8750741236261481</c:v>
                </c:pt>
                <c:pt idx="7">
                  <c:v>5.5057766404404944</c:v>
                </c:pt>
                <c:pt idx="8">
                  <c:v>5.059798897614602</c:v>
                </c:pt>
                <c:pt idx="9">
                  <c:v>4.3275116034599508</c:v>
                </c:pt>
                <c:pt idx="10">
                  <c:v>3.3697447331592989</c:v>
                </c:pt>
                <c:pt idx="11">
                  <c:v>2.8151377067161403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3.3021351490003554</c:v>
                </c:pt>
                <c:pt idx="1">
                  <c:v>4.2726377084665321</c:v>
                </c:pt>
                <c:pt idx="2">
                  <c:v>5.2137018113765699</c:v>
                </c:pt>
                <c:pt idx="3">
                  <c:v>5.8515588440549307</c:v>
                </c:pt>
                <c:pt idx="4">
                  <c:v>6.0352467971833441</c:v>
                </c:pt>
                <c:pt idx="5">
                  <c:v>5.9117819247421473</c:v>
                </c:pt>
                <c:pt idx="6">
                  <c:v>5.6215512805585046</c:v>
                </c:pt>
                <c:pt idx="7">
                  <c:v>5.285973425124741</c:v>
                </c:pt>
                <c:pt idx="8">
                  <c:v>4.8710446713105364</c:v>
                </c:pt>
                <c:pt idx="9">
                  <c:v>4.1671129507600959</c:v>
                </c:pt>
                <c:pt idx="10">
                  <c:v>3.2466798546615028</c:v>
                </c:pt>
                <c:pt idx="11">
                  <c:v>2.7404425363137097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3.2198358261126452</c:v>
                </c:pt>
                <c:pt idx="1">
                  <c:v>4.1532469447777576</c:v>
                </c:pt>
                <c:pt idx="2">
                  <c:v>5.0627356661652749</c:v>
                </c:pt>
                <c:pt idx="3">
                  <c:v>5.8818525064761209</c:v>
                </c:pt>
                <c:pt idx="4">
                  <c:v>6.3855563771430424</c:v>
                </c:pt>
                <c:pt idx="5">
                  <c:v>6.2572641534691407</c:v>
                </c:pt>
                <c:pt idx="6">
                  <c:v>5.9477936661758415</c:v>
                </c:pt>
                <c:pt idx="7">
                  <c:v>5.5887895409541972</c:v>
                </c:pt>
                <c:pt idx="8">
                  <c:v>5.1490982792192588</c:v>
                </c:pt>
                <c:pt idx="9">
                  <c:v>4.4078379358008233</c:v>
                </c:pt>
                <c:pt idx="10">
                  <c:v>3.4326787393322236</c:v>
                </c:pt>
                <c:pt idx="11">
                  <c:v>2.8638737456685668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3.353069534606901</c:v>
                </c:pt>
                <c:pt idx="1">
                  <c:v>4.3015105989141054</c:v>
                </c:pt>
                <c:pt idx="2">
                  <c:v>5.214690568209396</c:v>
                </c:pt>
                <c:pt idx="3">
                  <c:v>5.8426439048655778</c:v>
                </c:pt>
                <c:pt idx="4">
                  <c:v>6.0060505655113188</c:v>
                </c:pt>
                <c:pt idx="5">
                  <c:v>5.8573150388877062</c:v>
                </c:pt>
                <c:pt idx="6">
                  <c:v>5.5485648157083505</c:v>
                </c:pt>
                <c:pt idx="7">
                  <c:v>5.2008461729760533</c:v>
                </c:pt>
                <c:pt idx="8">
                  <c:v>4.7798282041670408</c:v>
                </c:pt>
                <c:pt idx="9">
                  <c:v>4.0841118083674708</c:v>
                </c:pt>
                <c:pt idx="10">
                  <c:v>3.1752480649391739</c:v>
                </c:pt>
                <c:pt idx="11">
                  <c:v>2.6439990622971727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3.0988146157156704</c:v>
                </c:pt>
                <c:pt idx="1">
                  <c:v>3.9914286460171899</c:v>
                </c:pt>
                <c:pt idx="2">
                  <c:v>4.8524191343726741</c:v>
                </c:pt>
                <c:pt idx="3">
                  <c:v>5.4725161667464324</c:v>
                </c:pt>
                <c:pt idx="4">
                  <c:v>6.2802665902210322</c:v>
                </c:pt>
                <c:pt idx="5">
                  <c:v>6.1406800562559383</c:v>
                </c:pt>
                <c:pt idx="6">
                  <c:v>5.8312214930842439</c:v>
                </c:pt>
                <c:pt idx="7">
                  <c:v>5.4779172150279374</c:v>
                </c:pt>
                <c:pt idx="8">
                  <c:v>5.041209138400716</c:v>
                </c:pt>
                <c:pt idx="9">
                  <c:v>4.3096212260847366</c:v>
                </c:pt>
                <c:pt idx="10">
                  <c:v>3.3480268641886481</c:v>
                </c:pt>
                <c:pt idx="11">
                  <c:v>2.787306120906154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3.2711458375455202</c:v>
                </c:pt>
                <c:pt idx="1">
                  <c:v>4.2224126277663245</c:v>
                </c:pt>
                <c:pt idx="2">
                  <c:v>5.1384234120776657</c:v>
                </c:pt>
                <c:pt idx="3">
                  <c:v>5.7789296419761387</c:v>
                </c:pt>
                <c:pt idx="4">
                  <c:v>6.2277974505912903</c:v>
                </c:pt>
                <c:pt idx="5">
                  <c:v>6.086750048649388</c:v>
                </c:pt>
                <c:pt idx="6">
                  <c:v>5.780241857177276</c:v>
                </c:pt>
                <c:pt idx="7">
                  <c:v>5.4314865754158896</c:v>
                </c:pt>
                <c:pt idx="8">
                  <c:v>4.9973982119981493</c:v>
                </c:pt>
                <c:pt idx="9">
                  <c:v>4.2711731091654759</c:v>
                </c:pt>
                <c:pt idx="10">
                  <c:v>3.3125528395069463</c:v>
                </c:pt>
                <c:pt idx="11">
                  <c:v>2.7579281422998148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3.2364515396818172</c:v>
                </c:pt>
                <c:pt idx="1">
                  <c:v>4.184429194646091</c:v>
                </c:pt>
                <c:pt idx="2">
                  <c:v>5.0945067097285381</c:v>
                </c:pt>
                <c:pt idx="3">
                  <c:v>5.7470492379953404</c:v>
                </c:pt>
                <c:pt idx="4">
                  <c:v>6.1973064483494271</c:v>
                </c:pt>
                <c:pt idx="5">
                  <c:v>6.0779862214321607</c:v>
                </c:pt>
                <c:pt idx="6">
                  <c:v>5.76732958636065</c:v>
                </c:pt>
                <c:pt idx="7">
                  <c:v>5.4013197111997115</c:v>
                </c:pt>
                <c:pt idx="8">
                  <c:v>4.9686143998617709</c:v>
                </c:pt>
                <c:pt idx="9">
                  <c:v>4.2511829360411335</c:v>
                </c:pt>
                <c:pt idx="10">
                  <c:v>3.308503195637746</c:v>
                </c:pt>
                <c:pt idx="11">
                  <c:v>2.7618802709328407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3.2351950383770971</c:v>
                </c:pt>
                <c:pt idx="1">
                  <c:v>4.1624849886274724</c:v>
                </c:pt>
                <c:pt idx="2">
                  <c:v>5.0629935012045646</c:v>
                </c:pt>
                <c:pt idx="3">
                  <c:v>5.7008324596504618</c:v>
                </c:pt>
                <c:pt idx="4">
                  <c:v>6.1444653354613159</c:v>
                </c:pt>
                <c:pt idx="5">
                  <c:v>6.021618035305865</c:v>
                </c:pt>
                <c:pt idx="6">
                  <c:v>5.7150131245031268</c:v>
                </c:pt>
                <c:pt idx="7">
                  <c:v>5.3566460054035074</c:v>
                </c:pt>
                <c:pt idx="8">
                  <c:v>4.9286144677495596</c:v>
                </c:pt>
                <c:pt idx="9">
                  <c:v>4.2164218141245744</c:v>
                </c:pt>
                <c:pt idx="10">
                  <c:v>3.2814373949678002</c:v>
                </c:pt>
                <c:pt idx="11">
                  <c:v>2.7392340607322812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3.2088037944151213</c:v>
                </c:pt>
                <c:pt idx="1">
                  <c:v>4.1287062948690156</c:v>
                </c:pt>
                <c:pt idx="2">
                  <c:v>5.0222276529582937</c:v>
                </c:pt>
                <c:pt idx="3">
                  <c:v>5.654976722253048</c:v>
                </c:pt>
                <c:pt idx="4">
                  <c:v>6.0921556557182726</c:v>
                </c:pt>
                <c:pt idx="5">
                  <c:v>5.9663772351577649</c:v>
                </c:pt>
                <c:pt idx="6">
                  <c:v>5.6637320675258174</c:v>
                </c:pt>
                <c:pt idx="7">
                  <c:v>5.3121713777399115</c:v>
                </c:pt>
                <c:pt idx="8">
                  <c:v>4.8883373634073202</c:v>
                </c:pt>
                <c:pt idx="9">
                  <c:v>4.1812648111327295</c:v>
                </c:pt>
                <c:pt idx="10">
                  <c:v>3.253752509312891</c:v>
                </c:pt>
                <c:pt idx="11">
                  <c:v>2.7142677714418948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36704"/>
        <c:axId val="495730432"/>
      </c:lineChart>
      <c:dateAx>
        <c:axId val="49573670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573043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9573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573670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3.6507875582788007E-2</c:v>
                </c:pt>
                <c:pt idx="1">
                  <c:v>3.7161852159333209E-2</c:v>
                </c:pt>
                <c:pt idx="2">
                  <c:v>3.7752159138051744E-2</c:v>
                </c:pt>
                <c:pt idx="3">
                  <c:v>3.8405291149001486E-2</c:v>
                </c:pt>
                <c:pt idx="4">
                  <c:v>3.9036932284900461E-2</c:v>
                </c:pt>
                <c:pt idx="5">
                  <c:v>3.9689192247679861E-2</c:v>
                </c:pt>
                <c:pt idx="6">
                  <c:v>4.0319990029574426E-2</c:v>
                </c:pt>
                <c:pt idx="7">
                  <c:v>4.0971379108523998E-2</c:v>
                </c:pt>
                <c:pt idx="8">
                  <c:v>4.1622326052878855E-2</c:v>
                </c:pt>
                <c:pt idx="9">
                  <c:v>4.2251854020348145E-2</c:v>
                </c:pt>
                <c:pt idx="10">
                  <c:v>4.2901931833987939E-2</c:v>
                </c:pt>
                <c:pt idx="11">
                  <c:v>4.3530619268910997E-2</c:v>
                </c:pt>
                <c:pt idx="12">
                  <c:v>4.4179829112280578E-2</c:v>
                </c:pt>
                <c:pt idx="13">
                  <c:v>4.4828598300226008E-2</c:v>
                </c:pt>
                <c:pt idx="14">
                  <c:v>4.5414204869263841E-2</c:v>
                </c:pt>
                <c:pt idx="15">
                  <c:v>4.6062136216596716E-2</c:v>
                </c:pt>
                <c:pt idx="16">
                  <c:v>4.6688747813261156E-2</c:v>
                </c:pt>
                <c:pt idx="17">
                  <c:v>4.7335814056240766E-2</c:v>
                </c:pt>
                <c:pt idx="18">
                  <c:v>4.7961589014236083E-2</c:v>
                </c:pt>
                <c:pt idx="19">
                  <c:v>4.860779130793158E-2</c:v>
                </c:pt>
                <c:pt idx="20">
                  <c:v>4.925355498759687E-2</c:v>
                </c:pt>
                <c:pt idx="21">
                  <c:v>4.9878070242258654E-2</c:v>
                </c:pt>
                <c:pt idx="22">
                  <c:v>5.0522971711795095E-2</c:v>
                </c:pt>
                <c:pt idx="23">
                  <c:v>5.1146653126779795E-2</c:v>
                </c:pt>
                <c:pt idx="24">
                  <c:v>5.1811461754718846E-2</c:v>
                </c:pt>
                <c:pt idx="25">
                  <c:v>5.2455050922130098E-2</c:v>
                </c:pt>
                <c:pt idx="26">
                  <c:v>5.3035981785063413E-2</c:v>
                </c:pt>
                <c:pt idx="27">
                  <c:v>5.3678739801500952E-2</c:v>
                </c:pt>
                <c:pt idx="28">
                  <c:v>5.430034829228747E-2</c:v>
                </c:pt>
                <c:pt idx="29">
                  <c:v>5.4942248111694791E-2</c:v>
                </c:pt>
                <c:pt idx="30">
                  <c:v>5.5563026643854263E-2</c:v>
                </c:pt>
                <c:pt idx="31">
                  <c:v>5.6204069412077895E-2</c:v>
                </c:pt>
                <c:pt idx="32">
                  <c:v>5.6844677068333072E-2</c:v>
                </c:pt>
                <c:pt idx="33">
                  <c:v>5.7464205955110703E-2</c:v>
                </c:pt>
                <c:pt idx="34">
                  <c:v>5.8103958285451229E-2</c:v>
                </c:pt>
                <c:pt idx="35">
                  <c:v>5.8722659990245618E-2</c:v>
                </c:pt>
                <c:pt idx="36">
                  <c:v>5.9361558136684978E-2</c:v>
                </c:pt>
                <c:pt idx="37">
                  <c:v>6.0000022626831906E-2</c:v>
                </c:pt>
                <c:pt idx="38">
                  <c:v>6.0576327738841695E-2</c:v>
                </c:pt>
                <c:pt idx="39">
                  <c:v>6.1213967696181704E-2</c:v>
                </c:pt>
                <c:pt idx="40">
                  <c:v>6.1830626534206123E-2</c:v>
                </c:pt>
                <c:pt idx="41">
                  <c:v>6.2467415128040993E-2</c:v>
                </c:pt>
                <c:pt idx="42">
                  <c:v>6.3083250616111086E-2</c:v>
                </c:pt>
                <c:pt idx="43">
                  <c:v>6.3719188983163644E-2</c:v>
                </c:pt>
                <c:pt idx="44">
                  <c:v>6.4354695702893316E-2</c:v>
                </c:pt>
                <c:pt idx="45">
                  <c:v>6.4969291496074111E-2</c:v>
                </c:pt>
                <c:pt idx="46">
                  <c:v>6.5603949700552833E-2</c:v>
                </c:pt>
                <c:pt idx="47">
                  <c:v>6.6217724898313568E-2</c:v>
                </c:pt>
                <c:pt idx="48">
                  <c:v>6.6851535720461097E-2</c:v>
                </c:pt>
                <c:pt idx="49">
                  <c:v>6.7484916339370704E-2</c:v>
                </c:pt>
                <c:pt idx="50">
                  <c:v>6.8056632533706862E-2</c:v>
                </c:pt>
                <c:pt idx="51">
                  <c:v>6.8689195185278273E-2</c:v>
                </c:pt>
                <c:pt idx="52">
                  <c:v>6.9300943782908409E-2</c:v>
                </c:pt>
                <c:pt idx="53">
                  <c:v>6.9932661850087063E-2</c:v>
                </c:pt>
                <c:pt idx="54">
                  <c:v>7.0543593653812908E-2</c:v>
                </c:pt>
                <c:pt idx="55">
                  <c:v>7.1174468264269986E-2</c:v>
                </c:pt>
                <c:pt idx="56">
                  <c:v>7.1804914664462149E-2</c:v>
                </c:pt>
                <c:pt idx="57">
                  <c:v>7.241461664455906E-2</c:v>
                </c:pt>
                <c:pt idx="58">
                  <c:v>7.3044221285932798E-2</c:v>
                </c:pt>
                <c:pt idx="59">
                  <c:v>7.365310920472623E-2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9.9310519294336735E-2</c:v>
                </c:pt>
                <c:pt idx="1">
                  <c:v>0.10324462375892669</c:v>
                </c:pt>
                <c:pt idx="2">
                  <c:v>0.10668115356773482</c:v>
                </c:pt>
                <c:pt idx="3">
                  <c:v>0.11073696341376002</c:v>
                </c:pt>
                <c:pt idx="4">
                  <c:v>1.0299901067337571E-2</c:v>
                </c:pt>
                <c:pt idx="5">
                  <c:v>1.4910906051472095E-2</c:v>
                </c:pt>
                <c:pt idx="6">
                  <c:v>1.9191282668614692E-2</c:v>
                </c:pt>
                <c:pt idx="7">
                  <c:v>2.3348888029293215E-2</c:v>
                </c:pt>
                <c:pt idx="8">
                  <c:v>2.7280831399853895E-2</c:v>
                </c:pt>
                <c:pt idx="9">
                  <c:v>3.0695705680173213E-2</c:v>
                </c:pt>
                <c:pt idx="10">
                  <c:v>3.3706913088401042E-2</c:v>
                </c:pt>
                <c:pt idx="11">
                  <c:v>3.669733811445245E-2</c:v>
                </c:pt>
                <c:pt idx="12">
                  <c:v>3.9996273570733307E-2</c:v>
                </c:pt>
                <c:pt idx="13">
                  <c:v>4.325221241108361E-2</c:v>
                </c:pt>
                <c:pt idx="14">
                  <c:v>4.612272073116809E-2</c:v>
                </c:pt>
                <c:pt idx="15">
                  <c:v>4.9394064605688924E-2</c:v>
                </c:pt>
                <c:pt idx="16">
                  <c:v>1.0158372366949171E-2</c:v>
                </c:pt>
                <c:pt idx="17">
                  <c:v>1.4771194419343981E-2</c:v>
                </c:pt>
                <c:pt idx="18">
                  <c:v>1.9054853555006974E-2</c:v>
                </c:pt>
                <c:pt idx="19">
                  <c:v>2.3216901024634775E-2</c:v>
                </c:pt>
                <c:pt idx="20">
                  <c:v>2.7153562832598607E-2</c:v>
                </c:pt>
                <c:pt idx="21">
                  <c:v>3.0573801065054723E-2</c:v>
                </c:pt>
                <c:pt idx="22">
                  <c:v>3.3591389173579435E-2</c:v>
                </c:pt>
                <c:pt idx="23">
                  <c:v>3.6586716735347892E-2</c:v>
                </c:pt>
                <c:pt idx="24">
                  <c:v>3.9996273570733307E-2</c:v>
                </c:pt>
                <c:pt idx="25">
                  <c:v>4.325221241108361E-2</c:v>
                </c:pt>
                <c:pt idx="26">
                  <c:v>4.612272073116809E-2</c:v>
                </c:pt>
                <c:pt idx="27">
                  <c:v>4.9394064605688924E-2</c:v>
                </c:pt>
                <c:pt idx="28">
                  <c:v>1.0299901067337571E-2</c:v>
                </c:pt>
                <c:pt idx="29">
                  <c:v>1.4910906051472095E-2</c:v>
                </c:pt>
                <c:pt idx="30">
                  <c:v>1.9191282668614692E-2</c:v>
                </c:pt>
                <c:pt idx="31">
                  <c:v>2.3348888029293215E-2</c:v>
                </c:pt>
                <c:pt idx="32">
                  <c:v>2.7280831399853895E-2</c:v>
                </c:pt>
                <c:pt idx="33">
                  <c:v>3.0695705680173213E-2</c:v>
                </c:pt>
                <c:pt idx="34">
                  <c:v>3.3706913088401042E-2</c:v>
                </c:pt>
                <c:pt idx="35">
                  <c:v>3.669733811445245E-2</c:v>
                </c:pt>
                <c:pt idx="36">
                  <c:v>3.9996273570733307E-2</c:v>
                </c:pt>
                <c:pt idx="37">
                  <c:v>4.325221241108361E-2</c:v>
                </c:pt>
                <c:pt idx="38">
                  <c:v>4.612272073116809E-2</c:v>
                </c:pt>
                <c:pt idx="39">
                  <c:v>4.9394064605688924E-2</c:v>
                </c:pt>
                <c:pt idx="40">
                  <c:v>1.0299901067337571E-2</c:v>
                </c:pt>
                <c:pt idx="41">
                  <c:v>1.4910906051472095E-2</c:v>
                </c:pt>
                <c:pt idx="42">
                  <c:v>1.9191282668614692E-2</c:v>
                </c:pt>
                <c:pt idx="43">
                  <c:v>2.3348888029293215E-2</c:v>
                </c:pt>
                <c:pt idx="44">
                  <c:v>2.7280831399853895E-2</c:v>
                </c:pt>
                <c:pt idx="45">
                  <c:v>3.0695705680173213E-2</c:v>
                </c:pt>
                <c:pt idx="46">
                  <c:v>3.3706913088401042E-2</c:v>
                </c:pt>
                <c:pt idx="47">
                  <c:v>3.669733811445245E-2</c:v>
                </c:pt>
                <c:pt idx="48">
                  <c:v>3.9996273570733307E-2</c:v>
                </c:pt>
                <c:pt idx="49">
                  <c:v>4.325221241108361E-2</c:v>
                </c:pt>
                <c:pt idx="50">
                  <c:v>4.612272073116809E-2</c:v>
                </c:pt>
                <c:pt idx="51">
                  <c:v>4.9394064605688924E-2</c:v>
                </c:pt>
                <c:pt idx="52">
                  <c:v>1.0299901067337571E-2</c:v>
                </c:pt>
                <c:pt idx="53">
                  <c:v>1.4910906051472095E-2</c:v>
                </c:pt>
                <c:pt idx="54">
                  <c:v>1.9191282668614692E-2</c:v>
                </c:pt>
                <c:pt idx="55">
                  <c:v>2.3348888029293215E-2</c:v>
                </c:pt>
                <c:pt idx="56">
                  <c:v>2.7280831399853895E-2</c:v>
                </c:pt>
                <c:pt idx="57">
                  <c:v>3.0695705680173213E-2</c:v>
                </c:pt>
                <c:pt idx="58">
                  <c:v>3.3706913088401042E-2</c:v>
                </c:pt>
                <c:pt idx="59">
                  <c:v>3.669733811445245E-2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3.7855405967432108E-3</c:v>
                </c:pt>
                <c:pt idx="1">
                  <c:v>1.31958125741745E-3</c:v>
                </c:pt>
                <c:pt idx="2">
                  <c:v>9.6521244632986425E-4</c:v>
                </c:pt>
                <c:pt idx="3">
                  <c:v>5.4896776708368393E-4</c:v>
                </c:pt>
                <c:pt idx="4">
                  <c:v>2.6387103019984907E-3</c:v>
                </c:pt>
                <c:pt idx="5">
                  <c:v>6.5934299439332489E-3</c:v>
                </c:pt>
                <c:pt idx="6">
                  <c:v>6.0301997117181557E-3</c:v>
                </c:pt>
                <c:pt idx="7">
                  <c:v>2.0969430906018619E-3</c:v>
                </c:pt>
                <c:pt idx="8">
                  <c:v>1.5206624107728789E-3</c:v>
                </c:pt>
                <c:pt idx="9">
                  <c:v>2.6742692956382586E-3</c:v>
                </c:pt>
                <c:pt idx="10">
                  <c:v>4.1070480814413045E-3</c:v>
                </c:pt>
                <c:pt idx="11">
                  <c:v>7.0679862833915447E-3</c:v>
                </c:pt>
                <c:pt idx="12">
                  <c:v>5.7979860851751289E-3</c:v>
                </c:pt>
                <c:pt idx="13">
                  <c:v>1.7841927150572888E-3</c:v>
                </c:pt>
                <c:pt idx="14">
                  <c:v>1.3564450464588758E-3</c:v>
                </c:pt>
                <c:pt idx="15">
                  <c:v>7.8083555738631529E-4</c:v>
                </c:pt>
                <c:pt idx="16">
                  <c:v>3.1496500920379597E-3</c:v>
                </c:pt>
                <c:pt idx="17">
                  <c:v>7.5755699126974904E-3</c:v>
                </c:pt>
                <c:pt idx="18">
                  <c:v>6.9712019701509073E-3</c:v>
                </c:pt>
                <c:pt idx="19">
                  <c:v>2.7232212312243943E-3</c:v>
                </c:pt>
                <c:pt idx="20">
                  <c:v>2.3846898865737898E-3</c:v>
                </c:pt>
                <c:pt idx="21">
                  <c:v>3.7228640253134898E-3</c:v>
                </c:pt>
                <c:pt idx="22">
                  <c:v>7.2333109545780708E-3</c:v>
                </c:pt>
                <c:pt idx="23">
                  <c:v>9.7004788805254271E-3</c:v>
                </c:pt>
                <c:pt idx="24">
                  <c:v>8.5761219596305893E-3</c:v>
                </c:pt>
                <c:pt idx="25">
                  <c:v>2.5964343930384346E-3</c:v>
                </c:pt>
                <c:pt idx="26">
                  <c:v>1.9953858416323403E-3</c:v>
                </c:pt>
                <c:pt idx="27">
                  <c:v>2.0426380824087133E-6</c:v>
                </c:pt>
                <c:pt idx="28">
                  <c:v>1.0718377862620764E-4</c:v>
                </c:pt>
                <c:pt idx="29">
                  <c:v>6.8448883896271042E-4</c:v>
                </c:pt>
                <c:pt idx="30">
                  <c:v>8.8088961992421042E-4</c:v>
                </c:pt>
                <c:pt idx="31">
                  <c:v>2.6013202159442703E-4</c:v>
                </c:pt>
                <c:pt idx="32">
                  <c:v>7.2340952152851262E-5</c:v>
                </c:pt>
                <c:pt idx="33">
                  <c:v>2.2271530532390883E-4</c:v>
                </c:pt>
                <c:pt idx="34">
                  <c:v>2.0522056421720992E-4</c:v>
                </c:pt>
                <c:pt idx="35">
                  <c:v>2.3119295194811489E-4</c:v>
                </c:pt>
                <c:pt idx="36">
                  <c:v>1.9544743741999572E-4</c:v>
                </c:pt>
                <c:pt idx="37">
                  <c:v>1.4494093923638778E-4</c:v>
                </c:pt>
                <c:pt idx="38">
                  <c:v>8.8137063964623867E-5</c:v>
                </c:pt>
                <c:pt idx="39">
                  <c:v>5.3368002302876817E-5</c:v>
                </c:pt>
                <c:pt idx="40">
                  <c:v>6.3063951681264238E-4</c:v>
                </c:pt>
                <c:pt idx="41">
                  <c:v>2.0513577844110597E-3</c:v>
                </c:pt>
                <c:pt idx="42">
                  <c:v>2.0426690676844622E-3</c:v>
                </c:pt>
                <c:pt idx="43">
                  <c:v>5.5307412787843611E-4</c:v>
                </c:pt>
                <c:pt idx="44">
                  <c:v>1.4995217674921047E-4</c:v>
                </c:pt>
                <c:pt idx="45">
                  <c:v>4.5840205285036667E-4</c:v>
                </c:pt>
                <c:pt idx="46">
                  <c:v>4.2150606909663367E-4</c:v>
                </c:pt>
                <c:pt idx="47">
                  <c:v>4.7457614686731268E-4</c:v>
                </c:pt>
                <c:pt idx="48">
                  <c:v>4.0094185373478017E-4</c:v>
                </c:pt>
                <c:pt idx="49">
                  <c:v>2.9632631049304579E-4</c:v>
                </c:pt>
                <c:pt idx="50">
                  <c:v>1.7844872325258212E-4</c:v>
                </c:pt>
                <c:pt idx="51">
                  <c:v>1.0685597794852506E-4</c:v>
                </c:pt>
                <c:pt idx="52">
                  <c:v>1.1463801502710853E-3</c:v>
                </c:pt>
                <c:pt idx="53">
                  <c:v>3.3140426967141457E-3</c:v>
                </c:pt>
                <c:pt idx="54">
                  <c:v>3.0922968847320979E-3</c:v>
                </c:pt>
                <c:pt idx="55">
                  <c:v>8.7772461161265112E-4</c:v>
                </c:pt>
                <c:pt idx="56">
                  <c:v>3.4518913291341186E-4</c:v>
                </c:pt>
                <c:pt idx="57">
                  <c:v>8.5327150664840515E-4</c:v>
                </c:pt>
                <c:pt idx="58">
                  <c:v>8.0626656048266986E-4</c:v>
                </c:pt>
                <c:pt idx="59">
                  <c:v>1.6820106082346233E-3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188936"/>
        <c:axId val="534190504"/>
      </c:lineChart>
      <c:dateAx>
        <c:axId val="534188936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905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41905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893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5.0363767677874538E-4</c:v>
                </c:pt>
                <c:pt idx="6">
                  <c:v>1.160175209497849E-3</c:v>
                </c:pt>
                <c:pt idx="7">
                  <c:v>1.8381442686933314E-3</c:v>
                </c:pt>
                <c:pt idx="8">
                  <c:v>2.5156531519590075E-3</c:v>
                </c:pt>
                <c:pt idx="9">
                  <c:v>3.1708690553798879E-3</c:v>
                </c:pt>
                <c:pt idx="10">
                  <c:v>3.8474733429861852E-3</c:v>
                </c:pt>
                <c:pt idx="11">
                  <c:v>4.5018144158672779E-3</c:v>
                </c:pt>
                <c:pt idx="12">
                  <c:v>5.1775153156115028E-3</c:v>
                </c:pt>
                <c:pt idx="13">
                  <c:v>5.8527575789538711E-3</c:v>
                </c:pt>
                <c:pt idx="14">
                  <c:v>6.4622598679845433E-3</c:v>
                </c:pt>
                <c:pt idx="15">
                  <c:v>7.1366301025652668E-3</c:v>
                </c:pt>
                <c:pt idx="16">
                  <c:v>7.788810632451848E-3</c:v>
                </c:pt>
                <c:pt idx="17">
                  <c:v>8.4622804620312353E-3</c:v>
                </c:pt>
                <c:pt idx="18">
                  <c:v>9.1135902141450398E-3</c:v>
                </c:pt>
                <c:pt idx="19">
                  <c:v>9.7861608409249845E-3</c:v>
                </c:pt>
                <c:pt idx="20">
                  <c:v>1.0458274955996383E-2</c:v>
                </c:pt>
                <c:pt idx="21">
                  <c:v>1.1108273602487562E-2</c:v>
                </c:pt>
                <c:pt idx="22">
                  <c:v>1.1779490324881015E-2</c:v>
                </c:pt>
                <c:pt idx="23">
                  <c:v>1.2428621106804427E-2</c:v>
                </c:pt>
                <c:pt idx="24">
                  <c:v>1.3098941634700045E-2</c:v>
                </c:pt>
                <c:pt idx="25">
                  <c:v>1.3768807178156206E-2</c:v>
                </c:pt>
                <c:pt idx="26">
                  <c:v>1.4373456211909441E-2</c:v>
                </c:pt>
                <c:pt idx="27">
                  <c:v>1.5042456670266602E-2</c:v>
                </c:pt>
                <c:pt idx="28">
                  <c:v>1.5689444112849782E-2</c:v>
                </c:pt>
                <c:pt idx="29">
                  <c:v>1.6357551335818177E-2</c:v>
                </c:pt>
                <c:pt idx="30">
                  <c:v>1.7003674934329971E-2</c:v>
                </c:pt>
                <c:pt idx="31">
                  <c:v>1.7670890114538929E-2</c:v>
                </c:pt>
                <c:pt idx="32">
                  <c:v>1.8337652418083605E-2</c:v>
                </c:pt>
                <c:pt idx="33">
                  <c:v>1.8982475350851957E-2</c:v>
                </c:pt>
                <c:pt idx="34">
                  <c:v>1.9648347407345335E-2</c:v>
                </c:pt>
                <c:pt idx="35">
                  <c:v>2.0292309386050533E-2</c:v>
                </c:pt>
                <c:pt idx="36">
                  <c:v>2.0978735932075443E-2</c:v>
                </c:pt>
                <c:pt idx="37">
                  <c:v>2.164325301365233E-2</c:v>
                </c:pt>
                <c:pt idx="38">
                  <c:v>2.2243074299002963E-2</c:v>
                </c:pt>
                <c:pt idx="39">
                  <c:v>2.2906733202649909E-2</c:v>
                </c:pt>
                <c:pt idx="40">
                  <c:v>2.3548554850833292E-2</c:v>
                </c:pt>
                <c:pt idx="41">
                  <c:v>2.4211327651023518E-2</c:v>
                </c:pt>
                <c:pt idx="42">
                  <c:v>2.4852292352395833E-2</c:v>
                </c:pt>
                <c:pt idx="43">
                  <c:v>2.5514180232236061E-2</c:v>
                </c:pt>
                <c:pt idx="44">
                  <c:v>2.6175618851351889E-2</c:v>
                </c:pt>
                <c:pt idx="45">
                  <c:v>2.6815293271991947E-2</c:v>
                </c:pt>
                <c:pt idx="46">
                  <c:v>2.7475848752128385E-2</c:v>
                </c:pt>
                <c:pt idx="47">
                  <c:v>2.8114669092890732E-2</c:v>
                </c:pt>
                <c:pt idx="48">
                  <c:v>2.8774342613196335E-2</c:v>
                </c:pt>
                <c:pt idx="49">
                  <c:v>2.9433568375788699E-2</c:v>
                </c:pt>
                <c:pt idx="50">
                  <c:v>3.0028613492335654E-2</c:v>
                </c:pt>
                <c:pt idx="51">
                  <c:v>3.0686987910371166E-2</c:v>
                </c:pt>
                <c:pt idx="52">
                  <c:v>3.1323698955432522E-2</c:v>
                </c:pt>
                <c:pt idx="53">
                  <c:v>3.1981194325745754E-2</c:v>
                </c:pt>
                <c:pt idx="54">
                  <c:v>3.2617055247566196E-2</c:v>
                </c:pt>
                <c:pt idx="55">
                  <c:v>3.3273672743843075E-2</c:v>
                </c:pt>
                <c:pt idx="56">
                  <c:v>3.3929844556703004E-2</c:v>
                </c:pt>
                <c:pt idx="57">
                  <c:v>3.4564425471849125E-2</c:v>
                </c:pt>
                <c:pt idx="58">
                  <c:v>3.5219721177858876E-2</c:v>
                </c:pt>
                <c:pt idx="59">
                  <c:v>3.5853454813868924E-2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3.029021527571001E-3</c:v>
                </c:pt>
                <c:pt idx="6">
                  <c:v>6.942523639729024E-3</c:v>
                </c:pt>
                <c:pt idx="7">
                  <c:v>1.0850064825193696E-2</c:v>
                </c:pt>
                <c:pt idx="8">
                  <c:v>1.4600149437219536E-2</c:v>
                </c:pt>
                <c:pt idx="9">
                  <c:v>1.7963965739457619E-2</c:v>
                </c:pt>
                <c:pt idx="10">
                  <c:v>2.1065516016004707E-2</c:v>
                </c:pt>
                <c:pt idx="11">
                  <c:v>2.4056074733571318E-2</c:v>
                </c:pt>
                <c:pt idx="12">
                  <c:v>2.7250840925785825E-2</c:v>
                </c:pt>
                <c:pt idx="13">
                  <c:v>3.0398844319841366E-2</c:v>
                </c:pt>
                <c:pt idx="14">
                  <c:v>3.3181609218047206E-2</c:v>
                </c:pt>
                <c:pt idx="15">
                  <c:v>3.6322292378121394E-2</c:v>
                </c:pt>
                <c:pt idx="16">
                  <c:v>3.9734038047963216E-2</c:v>
                </c:pt>
                <c:pt idx="17">
                  <c:v>4.3479593943918468E-2</c:v>
                </c:pt>
                <c:pt idx="18">
                  <c:v>4.662584345995615E-2</c:v>
                </c:pt>
                <c:pt idx="19">
                  <c:v>5.0813506860989871E-2</c:v>
                </c:pt>
                <c:pt idx="20">
                  <c:v>5.5806648761982977E-2</c:v>
                </c:pt>
                <c:pt idx="21">
                  <c:v>5.9373376382175505E-2</c:v>
                </c:pt>
                <c:pt idx="22">
                  <c:v>6.1738155916310433E-2</c:v>
                </c:pt>
                <c:pt idx="23">
                  <c:v>6.3939537991923326E-2</c:v>
                </c:pt>
                <c:pt idx="24">
                  <c:v>6.595949078233887E-2</c:v>
                </c:pt>
                <c:pt idx="25">
                  <c:v>6.7468828960920477E-2</c:v>
                </c:pt>
                <c:pt idx="26">
                  <c:v>6.8826935134359224E-2</c:v>
                </c:pt>
                <c:pt idx="27">
                  <c:v>7.0561616421103437E-2</c:v>
                </c:pt>
                <c:pt idx="28">
                  <c:v>7.2999703723786474E-2</c:v>
                </c:pt>
                <c:pt idx="29">
                  <c:v>7.5894390364212694E-2</c:v>
                </c:pt>
                <c:pt idx="30">
                  <c:v>7.7858527764618032E-2</c:v>
                </c:pt>
                <c:pt idx="31">
                  <c:v>7.9199845664670893E-2</c:v>
                </c:pt>
                <c:pt idx="32">
                  <c:v>8.0238265321244576E-2</c:v>
                </c:pt>
                <c:pt idx="33">
                  <c:v>8.0567948217237159E-2</c:v>
                </c:pt>
                <c:pt idx="34">
                  <c:v>8.0111191008973084E-2</c:v>
                </c:pt>
                <c:pt idx="35">
                  <c:v>8.0316563977485059E-2</c:v>
                </c:pt>
                <c:pt idx="36">
                  <c:v>8.1319067801709499E-2</c:v>
                </c:pt>
                <c:pt idx="37">
                  <c:v>8.2399742167189954E-2</c:v>
                </c:pt>
                <c:pt idx="38">
                  <c:v>8.3387530506310342E-2</c:v>
                </c:pt>
                <c:pt idx="39">
                  <c:v>8.4777055313364144E-2</c:v>
                </c:pt>
                <c:pt idx="40">
                  <c:v>1.0740020404700316E-2</c:v>
                </c:pt>
                <c:pt idx="41">
                  <c:v>1.4139586027845716E-2</c:v>
                </c:pt>
                <c:pt idx="42">
                  <c:v>1.7275067394964184E-2</c:v>
                </c:pt>
                <c:pt idx="43">
                  <c:v>2.0308159882481452E-2</c:v>
                </c:pt>
                <c:pt idx="44">
                  <c:v>2.3179842429927284E-2</c:v>
                </c:pt>
                <c:pt idx="45">
                  <c:v>2.5660964047927184E-2</c:v>
                </c:pt>
                <c:pt idx="46">
                  <c:v>2.7828836752240294E-2</c:v>
                </c:pt>
                <c:pt idx="47">
                  <c:v>3.0020831144173876E-2</c:v>
                </c:pt>
                <c:pt idx="48">
                  <c:v>3.4670767720256686E-2</c:v>
                </c:pt>
                <c:pt idx="49">
                  <c:v>4.1754599815375909E-2</c:v>
                </c:pt>
                <c:pt idx="50">
                  <c:v>4.7877382676027896E-2</c:v>
                </c:pt>
                <c:pt idx="51">
                  <c:v>5.4556646478490969E-2</c:v>
                </c:pt>
                <c:pt idx="52">
                  <c:v>6.143326730465716E-2</c:v>
                </c:pt>
                <c:pt idx="53">
                  <c:v>6.8760741343083492E-2</c:v>
                </c:pt>
                <c:pt idx="54">
                  <c:v>7.4974374442812131E-2</c:v>
                </c:pt>
                <c:pt idx="55">
                  <c:v>8.052606477710976E-2</c:v>
                </c:pt>
                <c:pt idx="56">
                  <c:v>8.5524156229583467E-2</c:v>
                </c:pt>
                <c:pt idx="57">
                  <c:v>8.9382366637341781E-2</c:v>
                </c:pt>
                <c:pt idx="58">
                  <c:v>9.2176344069830954E-2</c:v>
                </c:pt>
                <c:pt idx="59">
                  <c:v>9.5347736440680522E-2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2.2285650270742682E-7</c:v>
                </c:pt>
                <c:pt idx="1">
                  <c:v>1.1212375111744845E-6</c:v>
                </c:pt>
                <c:pt idx="2">
                  <c:v>2.3388405743170719E-6</c:v>
                </c:pt>
                <c:pt idx="3">
                  <c:v>4.6076860857243142E-6</c:v>
                </c:pt>
                <c:pt idx="4">
                  <c:v>1.3334412091411951E-4</c:v>
                </c:pt>
                <c:pt idx="5">
                  <c:v>7.5279979033279645E-4</c:v>
                </c:pt>
                <c:pt idx="6">
                  <c:v>9.3895097220161275E-4</c:v>
                </c:pt>
                <c:pt idx="7">
                  <c:v>2.7477216251156107E-4</c:v>
                </c:pt>
                <c:pt idx="8">
                  <c:v>7.6219668255685701E-5</c:v>
                </c:pt>
                <c:pt idx="9">
                  <c:v>2.3449403949038963E-4</c:v>
                </c:pt>
                <c:pt idx="10">
                  <c:v>2.160296974959141E-4</c:v>
                </c:pt>
                <c:pt idx="11">
                  <c:v>2.4335632550911724E-4</c:v>
                </c:pt>
                <c:pt idx="12">
                  <c:v>2.0571727281749197E-4</c:v>
                </c:pt>
                <c:pt idx="13">
                  <c:v>1.5250660876783224E-4</c:v>
                </c:pt>
                <c:pt idx="14">
                  <c:v>9.2650499862275394E-5</c:v>
                </c:pt>
                <c:pt idx="15">
                  <c:v>5.593305030619242E-5</c:v>
                </c:pt>
                <c:pt idx="16">
                  <c:v>6.5679985910055438E-4</c:v>
                </c:pt>
                <c:pt idx="17">
                  <c:v>2.119668735781146E-3</c:v>
                </c:pt>
                <c:pt idx="18">
                  <c:v>2.1007304199618633E-3</c:v>
                </c:pt>
                <c:pt idx="19">
                  <c:v>5.6771426879557009E-4</c:v>
                </c:pt>
                <c:pt idx="20">
                  <c:v>1.5383089285204483E-4</c:v>
                </c:pt>
                <c:pt idx="21">
                  <c:v>4.7018078701684758E-4</c:v>
                </c:pt>
                <c:pt idx="22">
                  <c:v>4.3231520237533796E-4</c:v>
                </c:pt>
                <c:pt idx="23">
                  <c:v>4.86739520428315E-4</c:v>
                </c:pt>
                <c:pt idx="24">
                  <c:v>4.1176245697986815E-4</c:v>
                </c:pt>
                <c:pt idx="25">
                  <c:v>3.0482199509729269E-4</c:v>
                </c:pt>
                <c:pt idx="26">
                  <c:v>1.8568093481625256E-4</c:v>
                </c:pt>
                <c:pt idx="27">
                  <c:v>1.1213159528381337E-4</c:v>
                </c:pt>
                <c:pt idx="28">
                  <c:v>1.1706581602854065E-3</c:v>
                </c:pt>
                <c:pt idx="29">
                  <c:v>3.3719578043903734E-3</c:v>
                </c:pt>
                <c:pt idx="30">
                  <c:v>3.1429668139513513E-3</c:v>
                </c:pt>
                <c:pt idx="31">
                  <c:v>8.9414913761669962E-4</c:v>
                </c:pt>
                <c:pt idx="32">
                  <c:v>3.5537409604817299E-4</c:v>
                </c:pt>
                <c:pt idx="33">
                  <c:v>8.7346825761878012E-4</c:v>
                </c:pt>
                <c:pt idx="34">
                  <c:v>8.2594870259613683E-4</c:v>
                </c:pt>
                <c:pt idx="35">
                  <c:v>1.7448899957139819E-3</c:v>
                </c:pt>
                <c:pt idx="36">
                  <c:v>1.0921012914794927E-3</c:v>
                </c:pt>
                <c:pt idx="37">
                  <c:v>5.8050913467064377E-4</c:v>
                </c:pt>
                <c:pt idx="38">
                  <c:v>3.8067023850612099E-4</c:v>
                </c:pt>
                <c:pt idx="39">
                  <c:v>2.1769413480412096E-4</c:v>
                </c:pt>
                <c:pt idx="40">
                  <c:v>1.6564493442798364E-3</c:v>
                </c:pt>
                <c:pt idx="41">
                  <c:v>4.5308109687396169E-3</c:v>
                </c:pt>
                <c:pt idx="42">
                  <c:v>4.156847477721326E-3</c:v>
                </c:pt>
                <c:pt idx="43">
                  <c:v>1.2227959224786944E-3</c:v>
                </c:pt>
                <c:pt idx="44">
                  <c:v>5.5917025962403722E-4</c:v>
                </c:pt>
                <c:pt idx="45">
                  <c:v>1.2775954311783624E-3</c:v>
                </c:pt>
                <c:pt idx="46">
                  <c:v>1.2197788029712289E-3</c:v>
                </c:pt>
                <c:pt idx="47">
                  <c:v>3.003075986840215E-3</c:v>
                </c:pt>
                <c:pt idx="48">
                  <c:v>1.7739837810806232E-3</c:v>
                </c:pt>
                <c:pt idx="49">
                  <c:v>8.5759012679872721E-4</c:v>
                </c:pt>
                <c:pt idx="50">
                  <c:v>5.8058492634993619E-4</c:v>
                </c:pt>
                <c:pt idx="51">
                  <c:v>3.3316193969947254E-4</c:v>
                </c:pt>
                <c:pt idx="52">
                  <c:v>2.144409014836013E-3</c:v>
                </c:pt>
                <c:pt idx="53">
                  <c:v>5.5990619621774443E-3</c:v>
                </c:pt>
                <c:pt idx="54">
                  <c:v>5.1017092818779032E-3</c:v>
                </c:pt>
                <c:pt idx="55">
                  <c:v>1.6564035949165278E-3</c:v>
                </c:pt>
                <c:pt idx="56">
                  <c:v>1.0374216294367527E-3</c:v>
                </c:pt>
                <c:pt idx="57">
                  <c:v>1.9751971432909934E-3</c:v>
                </c:pt>
                <c:pt idx="58">
                  <c:v>2.6628317181016082E-3</c:v>
                </c:pt>
                <c:pt idx="59">
                  <c:v>5.0355174659549549E-3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188544"/>
        <c:axId val="534065008"/>
      </c:lineChart>
      <c:dateAx>
        <c:axId val="534188544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06500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4065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854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28.584307493807543</c:v>
                </c:pt>
                <c:pt idx="1">
                  <c:v>28.796819122387198</c:v>
                </c:pt>
                <c:pt idx="2">
                  <c:v>29.015231033552446</c:v>
                </c:pt>
                <c:pt idx="3">
                  <c:v>29.237977574299183</c:v>
                </c:pt>
                <c:pt idx="4">
                  <c:v>29.463493096160072</c:v>
                </c:pt>
                <c:pt idx="5">
                  <c:v>29.690211947247786</c:v>
                </c:pt>
                <c:pt idx="6">
                  <c:v>29.916568476516883</c:v>
                </c:pt>
                <c:pt idx="7">
                  <c:v>30.140997032511713</c:v>
                </c:pt>
                <c:pt idx="8">
                  <c:v>30.365319617619665</c:v>
                </c:pt>
                <c:pt idx="9">
                  <c:v>30.592644277900465</c:v>
                </c:pt>
                <c:pt idx="10">
                  <c:v>30.823334437187317</c:v>
                </c:pt>
                <c:pt idx="11">
                  <c:v>31.05775351799765</c:v>
                </c:pt>
                <c:pt idx="12">
                  <c:v>31.29626493936793</c:v>
                </c:pt>
                <c:pt idx="13">
                  <c:v>31.539232122817545</c:v>
                </c:pt>
                <c:pt idx="14">
                  <c:v>31.787018490276854</c:v>
                </c:pt>
                <c:pt idx="15">
                  <c:v>32.039987462935123</c:v>
                </c:pt>
                <c:pt idx="16">
                  <c:v>32.298502468641736</c:v>
                </c:pt>
                <c:pt idx="17">
                  <c:v>32.562926930157573</c:v>
                </c:pt>
                <c:pt idx="18">
                  <c:v>32.833624272170212</c:v>
                </c:pt>
                <c:pt idx="19">
                  <c:v>33.110957917738574</c:v>
                </c:pt>
                <c:pt idx="20">
                  <c:v>33.395291289974104</c:v>
                </c:pt>
                <c:pt idx="21">
                  <c:v>33.686987814101983</c:v>
                </c:pt>
                <c:pt idx="22">
                  <c:v>33.988068958857298</c:v>
                </c:pt>
                <c:pt idx="23">
                  <c:v>34.299524182866421</c:v>
                </c:pt>
                <c:pt idx="24">
                  <c:v>34.620168881197039</c:v>
                </c:pt>
                <c:pt idx="25">
                  <c:v>34.948818468016462</c:v>
                </c:pt>
                <c:pt idx="26">
                  <c:v>35.284288353482644</c:v>
                </c:pt>
                <c:pt idx="27">
                  <c:v>35.62539395409739</c:v>
                </c:pt>
                <c:pt idx="28">
                  <c:v>35.970950679376642</c:v>
                </c:pt>
                <c:pt idx="29">
                  <c:v>36.319773936288833</c:v>
                </c:pt>
                <c:pt idx="30">
                  <c:v>36.670679131626613</c:v>
                </c:pt>
                <c:pt idx="31">
                  <c:v>37.022481675113873</c:v>
                </c:pt>
                <c:pt idx="32">
                  <c:v>37.373996976293682</c:v>
                </c:pt>
                <c:pt idx="33">
                  <c:v>37.724040443683151</c:v>
                </c:pt>
                <c:pt idx="34">
                  <c:v>38.071427485829361</c:v>
                </c:pt>
                <c:pt idx="35">
                  <c:v>38.4149735106338</c:v>
                </c:pt>
                <c:pt idx="36">
                  <c:v>38.757622023382559</c:v>
                </c:pt>
                <c:pt idx="37">
                  <c:v>39.10274727989929</c:v>
                </c:pt>
                <c:pt idx="38">
                  <c:v>39.44981085293405</c:v>
                </c:pt>
                <c:pt idx="39">
                  <c:v>39.798274288588992</c:v>
                </c:pt>
                <c:pt idx="40">
                  <c:v>40.147599133299913</c:v>
                </c:pt>
                <c:pt idx="41">
                  <c:v>40.497246932178292</c:v>
                </c:pt>
                <c:pt idx="42">
                  <c:v>40.846679230378712</c:v>
                </c:pt>
                <c:pt idx="43">
                  <c:v>41.195357558971438</c:v>
                </c:pt>
                <c:pt idx="44">
                  <c:v>41.542743472361792</c:v>
                </c:pt>
                <c:pt idx="45">
                  <c:v>41.888298514325179</c:v>
                </c:pt>
                <c:pt idx="46">
                  <c:v>42.231484227986229</c:v>
                </c:pt>
                <c:pt idx="47">
                  <c:v>42.571762154754744</c:v>
                </c:pt>
                <c:pt idx="48">
                  <c:v>42.908593837184426</c:v>
                </c:pt>
                <c:pt idx="49">
                  <c:v>43.241440814857761</c:v>
                </c:pt>
                <c:pt idx="50">
                  <c:v>43.570877420932007</c:v>
                </c:pt>
                <c:pt idx="51">
                  <c:v>43.897908811713009</c:v>
                </c:pt>
                <c:pt idx="52">
                  <c:v>44.222642685957439</c:v>
                </c:pt>
                <c:pt idx="53">
                  <c:v>44.545186732212883</c:v>
                </c:pt>
                <c:pt idx="54">
                  <c:v>44.86564863834932</c:v>
                </c:pt>
                <c:pt idx="55">
                  <c:v>45.184136091568071</c:v>
                </c:pt>
                <c:pt idx="56">
                  <c:v>45.500756780482384</c:v>
                </c:pt>
                <c:pt idx="57">
                  <c:v>45.815618614781464</c:v>
                </c:pt>
                <c:pt idx="58">
                  <c:v>46.12882934237475</c:v>
                </c:pt>
                <c:pt idx="59">
                  <c:v>46.4404966890461</c:v>
                </c:pt>
                <c:pt idx="60">
                  <c:v>46.750728383397515</c:v>
                </c:pt>
                <c:pt idx="61">
                  <c:v>47.059632158696111</c:v>
                </c:pt>
                <c:pt idx="62">
                  <c:v>47.367315750810853</c:v>
                </c:pt>
                <c:pt idx="63">
                  <c:v>47.67388689941145</c:v>
                </c:pt>
                <c:pt idx="64">
                  <c:v>47.979884108333231</c:v>
                </c:pt>
                <c:pt idx="65">
                  <c:v>48.285558702580509</c:v>
                </c:pt>
                <c:pt idx="66">
                  <c:v>48.590587544935197</c:v>
                </c:pt>
                <c:pt idx="67">
                  <c:v>48.894647617100247</c:v>
                </c:pt>
                <c:pt idx="68">
                  <c:v>49.197415905471324</c:v>
                </c:pt>
                <c:pt idx="69">
                  <c:v>49.498569400929611</c:v>
                </c:pt>
                <c:pt idx="70">
                  <c:v>49.797785098094373</c:v>
                </c:pt>
                <c:pt idx="71">
                  <c:v>50.094739742600098</c:v>
                </c:pt>
                <c:pt idx="72">
                  <c:v>50.389109879959605</c:v>
                </c:pt>
                <c:pt idx="73">
                  <c:v>50.68057242876489</c:v>
                </c:pt>
                <c:pt idx="74">
                  <c:v>50.968804305320916</c:v>
                </c:pt>
                <c:pt idx="75">
                  <c:v>51.253482427860575</c:v>
                </c:pt>
                <c:pt idx="76">
                  <c:v>51.534283708243883</c:v>
                </c:pt>
                <c:pt idx="77">
                  <c:v>51.810885059267207</c:v>
                </c:pt>
                <c:pt idx="78">
                  <c:v>52.085404353296546</c:v>
                </c:pt>
                <c:pt idx="79">
                  <c:v>52.35967224548282</c:v>
                </c:pt>
                <c:pt idx="80">
                  <c:v>52.63293489443528</c:v>
                </c:pt>
                <c:pt idx="81">
                  <c:v>52.90443844188249</c:v>
                </c:pt>
                <c:pt idx="82">
                  <c:v>53.173429025471663</c:v>
                </c:pt>
                <c:pt idx="83">
                  <c:v>53.439152779059576</c:v>
                </c:pt>
                <c:pt idx="84">
                  <c:v>53.700855835194432</c:v>
                </c:pt>
                <c:pt idx="85">
                  <c:v>53.957784193395945</c:v>
                </c:pt>
                <c:pt idx="86">
                  <c:v>54.209184438314125</c:v>
                </c:pt>
                <c:pt idx="87">
                  <c:v>54.454302731587831</c:v>
                </c:pt>
                <c:pt idx="88">
                  <c:v>54.692385235207915</c:v>
                </c:pt>
                <c:pt idx="89">
                  <c:v>54.922678106501557</c:v>
                </c:pt>
                <c:pt idx="90">
                  <c:v>55.144427506680785</c:v>
                </c:pt>
                <c:pt idx="91">
                  <c:v>55.356879590171857</c:v>
                </c:pt>
                <c:pt idx="92">
                  <c:v>55.559998441249981</c:v>
                </c:pt>
                <c:pt idx="93">
                  <c:v>55.754609056442874</c:v>
                </c:pt>
                <c:pt idx="94">
                  <c:v>55.941249863222893</c:v>
                </c:pt>
                <c:pt idx="95">
                  <c:v>56.120459209575195</c:v>
                </c:pt>
                <c:pt idx="96">
                  <c:v>56.292775436431079</c:v>
                </c:pt>
                <c:pt idx="97">
                  <c:v>56.458736879369205</c:v>
                </c:pt>
                <c:pt idx="98">
                  <c:v>56.618881861024718</c:v>
                </c:pt>
                <c:pt idx="99">
                  <c:v>56.773747069793792</c:v>
                </c:pt>
                <c:pt idx="100">
                  <c:v>56.923870835781116</c:v>
                </c:pt>
                <c:pt idx="101">
                  <c:v>57.069791257816725</c:v>
                </c:pt>
                <c:pt idx="102">
                  <c:v>57.212046401850692</c:v>
                </c:pt>
                <c:pt idx="103">
                  <c:v>57.351174305427413</c:v>
                </c:pt>
                <c:pt idx="104">
                  <c:v>57.487712974897704</c:v>
                </c:pt>
                <c:pt idx="105">
                  <c:v>57.622200379469128</c:v>
                </c:pt>
                <c:pt idx="106">
                  <c:v>57.754061663560428</c:v>
                </c:pt>
                <c:pt idx="107">
                  <c:v>57.882288932092166</c:v>
                </c:pt>
                <c:pt idx="108">
                  <c:v>58.006774749195579</c:v>
                </c:pt>
                <c:pt idx="109">
                  <c:v>58.12741062410651</c:v>
                </c:pt>
                <c:pt idx="110">
                  <c:v>58.244088006962372</c:v>
                </c:pt>
                <c:pt idx="111">
                  <c:v>58.356698287284644</c:v>
                </c:pt>
                <c:pt idx="112">
                  <c:v>58.465132786194125</c:v>
                </c:pt>
                <c:pt idx="113">
                  <c:v>58.569281207499479</c:v>
                </c:pt>
                <c:pt idx="114">
                  <c:v>58.669037564776993</c:v>
                </c:pt>
                <c:pt idx="115">
                  <c:v>58.764293136246593</c:v>
                </c:pt>
                <c:pt idx="116">
                  <c:v>58.8549391359739</c:v>
                </c:pt>
                <c:pt idx="117">
                  <c:v>58.940866709620437</c:v>
                </c:pt>
                <c:pt idx="118">
                  <c:v>59.021966935350356</c:v>
                </c:pt>
                <c:pt idx="119">
                  <c:v>59.098130821354133</c:v>
                </c:pt>
                <c:pt idx="120">
                  <c:v>59.168818544330684</c:v>
                </c:pt>
                <c:pt idx="121">
                  <c:v>59.233775378601102</c:v>
                </c:pt>
                <c:pt idx="122">
                  <c:v>59.293326768634124</c:v>
                </c:pt>
                <c:pt idx="123">
                  <c:v>59.347794421850367</c:v>
                </c:pt>
                <c:pt idx="124">
                  <c:v>59.397499986544318</c:v>
                </c:pt>
                <c:pt idx="125">
                  <c:v>59.44276505013007</c:v>
                </c:pt>
                <c:pt idx="126">
                  <c:v>59.483911139887695</c:v>
                </c:pt>
                <c:pt idx="127">
                  <c:v>59.521259373223906</c:v>
                </c:pt>
                <c:pt idx="128">
                  <c:v>59.555133964416243</c:v>
                </c:pt>
                <c:pt idx="129">
                  <c:v>59.585856563766455</c:v>
                </c:pt>
                <c:pt idx="130">
                  <c:v>59.613748783420483</c:v>
                </c:pt>
                <c:pt idx="131">
                  <c:v>59.639132207485574</c:v>
                </c:pt>
                <c:pt idx="132">
                  <c:v>59.662328390367215</c:v>
                </c:pt>
                <c:pt idx="133">
                  <c:v>59.683658862893793</c:v>
                </c:pt>
                <c:pt idx="134">
                  <c:v>59.702404135999842</c:v>
                </c:pt>
                <c:pt idx="135">
                  <c:v>59.71770127933226</c:v>
                </c:pt>
                <c:pt idx="136">
                  <c:v>59.729659991151046</c:v>
                </c:pt>
                <c:pt idx="137">
                  <c:v>59.738386795430998</c:v>
                </c:pt>
                <c:pt idx="138">
                  <c:v>59.743988239535184</c:v>
                </c:pt>
                <c:pt idx="139">
                  <c:v>59.746570900535424</c:v>
                </c:pt>
                <c:pt idx="140">
                  <c:v>59.746241395979375</c:v>
                </c:pt>
                <c:pt idx="141">
                  <c:v>59.743106237101394</c:v>
                </c:pt>
                <c:pt idx="142">
                  <c:v>59.737272812004392</c:v>
                </c:pt>
                <c:pt idx="143">
                  <c:v>59.719704843331584</c:v>
                </c:pt>
                <c:pt idx="144">
                  <c:v>59.699652299626663</c:v>
                </c:pt>
                <c:pt idx="145">
                  <c:v>59.677223248347211</c:v>
                </c:pt>
                <c:pt idx="146">
                  <c:v>59.652525796968881</c:v>
                </c:pt>
                <c:pt idx="147">
                  <c:v>59.625668095072221</c:v>
                </c:pt>
                <c:pt idx="148">
                  <c:v>59.59672247703184</c:v>
                </c:pt>
                <c:pt idx="149">
                  <c:v>59.565627212070687</c:v>
                </c:pt>
                <c:pt idx="150">
                  <c:v>59.532276207880336</c:v>
                </c:pt>
                <c:pt idx="151">
                  <c:v>59.496563825938381</c:v>
                </c:pt>
                <c:pt idx="152">
                  <c:v>59.458384646144808</c:v>
                </c:pt>
                <c:pt idx="153">
                  <c:v>59.417633464772109</c:v>
                </c:pt>
                <c:pt idx="154">
                  <c:v>59.374205293212242</c:v>
                </c:pt>
                <c:pt idx="155">
                  <c:v>59.328014550449353</c:v>
                </c:pt>
                <c:pt idx="156">
                  <c:v>59.278958522987658</c:v>
                </c:pt>
                <c:pt idx="157">
                  <c:v>59.226934508986361</c:v>
                </c:pt>
                <c:pt idx="158">
                  <c:v>59.171840019628483</c:v>
                </c:pt>
                <c:pt idx="159">
                  <c:v>59.113572770682801</c:v>
                </c:pt>
                <c:pt idx="160">
                  <c:v>59.052030664701746</c:v>
                </c:pt>
                <c:pt idx="161">
                  <c:v>58.987111779209165</c:v>
                </c:pt>
                <c:pt idx="162">
                  <c:v>58.918052297811698</c:v>
                </c:pt>
                <c:pt idx="163">
                  <c:v>58.844466237421123</c:v>
                </c:pt>
                <c:pt idx="164">
                  <c:v>58.766776585678699</c:v>
                </c:pt>
                <c:pt idx="165">
                  <c:v>58.685419094227051</c:v>
                </c:pt>
                <c:pt idx="166">
                  <c:v>58.600829261425389</c:v>
                </c:pt>
                <c:pt idx="167">
                  <c:v>58.513442320613734</c:v>
                </c:pt>
                <c:pt idx="168">
                  <c:v>58.423693213212154</c:v>
                </c:pt>
                <c:pt idx="169">
                  <c:v>58.332038764712237</c:v>
                </c:pt>
                <c:pt idx="170">
                  <c:v>58.238887208520772</c:v>
                </c:pt>
                <c:pt idx="171">
                  <c:v>58.144672220237169</c:v>
                </c:pt>
                <c:pt idx="172">
                  <c:v>58.049827119183718</c:v>
                </c:pt>
                <c:pt idx="173">
                  <c:v>57.954785398063663</c:v>
                </c:pt>
                <c:pt idx="174">
                  <c:v>57.859980229093267</c:v>
                </c:pt>
                <c:pt idx="175">
                  <c:v>57.765843873644776</c:v>
                </c:pt>
                <c:pt idx="176">
                  <c:v>57.671736902078749</c:v>
                </c:pt>
                <c:pt idx="177">
                  <c:v>57.5767654902332</c:v>
                </c:pt>
                <c:pt idx="178">
                  <c:v>57.480908814912027</c:v>
                </c:pt>
                <c:pt idx="179">
                  <c:v>57.384170644290073</c:v>
                </c:pt>
                <c:pt idx="180">
                  <c:v>57.286554550799693</c:v>
                </c:pt>
                <c:pt idx="181">
                  <c:v>57.188063903551054</c:v>
                </c:pt>
                <c:pt idx="182">
                  <c:v>57.088701865308032</c:v>
                </c:pt>
                <c:pt idx="183">
                  <c:v>56.988490907134882</c:v>
                </c:pt>
                <c:pt idx="184">
                  <c:v>56.887406280147928</c:v>
                </c:pt>
                <c:pt idx="185">
                  <c:v>56.785450194528849</c:v>
                </c:pt>
                <c:pt idx="186">
                  <c:v>56.682624670527247</c:v>
                </c:pt>
                <c:pt idx="187">
                  <c:v>56.578931541792642</c:v>
                </c:pt>
                <c:pt idx="188">
                  <c:v>56.474372460699534</c:v>
                </c:pt>
                <c:pt idx="189">
                  <c:v>56.368948904820734</c:v>
                </c:pt>
                <c:pt idx="190">
                  <c:v>56.262198955845442</c:v>
                </c:pt>
                <c:pt idx="191">
                  <c:v>56.153802883198445</c:v>
                </c:pt>
                <c:pt idx="192">
                  <c:v>56.043938546836259</c:v>
                </c:pt>
                <c:pt idx="193">
                  <c:v>55.932819754904969</c:v>
                </c:pt>
                <c:pt idx="194">
                  <c:v>55.820660114876922</c:v>
                </c:pt>
                <c:pt idx="195">
                  <c:v>55.707673041428293</c:v>
                </c:pt>
                <c:pt idx="196">
                  <c:v>55.59407176642916</c:v>
                </c:pt>
                <c:pt idx="197">
                  <c:v>55.480069957428057</c:v>
                </c:pt>
                <c:pt idx="198">
                  <c:v>55.365857940790093</c:v>
                </c:pt>
                <c:pt idx="199">
                  <c:v>55.251647986470076</c:v>
                </c:pt>
                <c:pt idx="200">
                  <c:v>55.137652244343748</c:v>
                </c:pt>
                <c:pt idx="201">
                  <c:v>55.024082749674605</c:v>
                </c:pt>
                <c:pt idx="202">
                  <c:v>54.911151428529841</c:v>
                </c:pt>
                <c:pt idx="203">
                  <c:v>54.799070102840041</c:v>
                </c:pt>
                <c:pt idx="204">
                  <c:v>54.687748322742443</c:v>
                </c:pt>
                <c:pt idx="205">
                  <c:v>54.576880468745657</c:v>
                </c:pt>
                <c:pt idx="206">
                  <c:v>54.466359001540184</c:v>
                </c:pt>
                <c:pt idx="207">
                  <c:v>54.356075995071393</c:v>
                </c:pt>
                <c:pt idx="208">
                  <c:v>54.245923622819994</c:v>
                </c:pt>
                <c:pt idx="209">
                  <c:v>54.135794158945068</c:v>
                </c:pt>
                <c:pt idx="210">
                  <c:v>54.02557997916692</c:v>
                </c:pt>
                <c:pt idx="211">
                  <c:v>53.915159001831277</c:v>
                </c:pt>
                <c:pt idx="212">
                  <c:v>53.804422966325554</c:v>
                </c:pt>
                <c:pt idx="213">
                  <c:v>53.693264384322212</c:v>
                </c:pt>
                <c:pt idx="214">
                  <c:v>53.581575883132388</c:v>
                </c:pt>
                <c:pt idx="215">
                  <c:v>53.469250204736049</c:v>
                </c:pt>
                <c:pt idx="216">
                  <c:v>53.356180203194242</c:v>
                </c:pt>
                <c:pt idx="217">
                  <c:v>53.242258844070633</c:v>
                </c:pt>
                <c:pt idx="218">
                  <c:v>53.127454850338445</c:v>
                </c:pt>
                <c:pt idx="219">
                  <c:v>53.011850404891824</c:v>
                </c:pt>
                <c:pt idx="220">
                  <c:v>52.895534917359747</c:v>
                </c:pt>
                <c:pt idx="221">
                  <c:v>52.778595739468358</c:v>
                </c:pt>
                <c:pt idx="222">
                  <c:v>52.661120219818784</c:v>
                </c:pt>
                <c:pt idx="223">
                  <c:v>52.543195702266921</c:v>
                </c:pt>
                <c:pt idx="224">
                  <c:v>52.424909524600935</c:v>
                </c:pt>
                <c:pt idx="225">
                  <c:v>52.306318664879441</c:v>
                </c:pt>
                <c:pt idx="226">
                  <c:v>52.187525481085935</c:v>
                </c:pt>
                <c:pt idx="227">
                  <c:v>52.068617199181311</c:v>
                </c:pt>
                <c:pt idx="228">
                  <c:v>51.94968104080121</c:v>
                </c:pt>
                <c:pt idx="229">
                  <c:v>51.830804221111528</c:v>
                </c:pt>
                <c:pt idx="230">
                  <c:v>51.712073947581516</c:v>
                </c:pt>
                <c:pt idx="231">
                  <c:v>51.593577418224072</c:v>
                </c:pt>
                <c:pt idx="232">
                  <c:v>51.476251784091239</c:v>
                </c:pt>
                <c:pt idx="233">
                  <c:v>51.360615143089639</c:v>
                </c:pt>
                <c:pt idx="234">
                  <c:v>51.246189534049684</c:v>
                </c:pt>
                <c:pt idx="235">
                  <c:v>51.132480742130014</c:v>
                </c:pt>
                <c:pt idx="236">
                  <c:v>51.018994885212585</c:v>
                </c:pt>
                <c:pt idx="237">
                  <c:v>50.905238417436529</c:v>
                </c:pt>
                <c:pt idx="238">
                  <c:v>50.790718123897683</c:v>
                </c:pt>
                <c:pt idx="239">
                  <c:v>50.674926147840914</c:v>
                </c:pt>
                <c:pt idx="240">
                  <c:v>50.557400871988975</c:v>
                </c:pt>
                <c:pt idx="241">
                  <c:v>50.437650092500505</c:v>
                </c:pt>
                <c:pt idx="242">
                  <c:v>50.315181919920832</c:v>
                </c:pt>
                <c:pt idx="243">
                  <c:v>50.189504779941423</c:v>
                </c:pt>
                <c:pt idx="244">
                  <c:v>50.06012740947012</c:v>
                </c:pt>
                <c:pt idx="245">
                  <c:v>49.92655885819763</c:v>
                </c:pt>
                <c:pt idx="246">
                  <c:v>49.790233041199649</c:v>
                </c:pt>
                <c:pt idx="247">
                  <c:v>49.6526937228519</c:v>
                </c:pt>
                <c:pt idx="248">
                  <c:v>49.513653066361961</c:v>
                </c:pt>
                <c:pt idx="249">
                  <c:v>49.372792058898412</c:v>
                </c:pt>
                <c:pt idx="250">
                  <c:v>49.229791889180184</c:v>
                </c:pt>
                <c:pt idx="251">
                  <c:v>49.08433394292372</c:v>
                </c:pt>
                <c:pt idx="252">
                  <c:v>48.936099807473518</c:v>
                </c:pt>
                <c:pt idx="253">
                  <c:v>48.784769392922115</c:v>
                </c:pt>
                <c:pt idx="254">
                  <c:v>48.630039669346687</c:v>
                </c:pt>
                <c:pt idx="255">
                  <c:v>48.471592792987082</c:v>
                </c:pt>
                <c:pt idx="256">
                  <c:v>48.309111109410345</c:v>
                </c:pt>
                <c:pt idx="257">
                  <c:v>48.142277148326272</c:v>
                </c:pt>
                <c:pt idx="258">
                  <c:v>47.970773629782443</c:v>
                </c:pt>
                <c:pt idx="259">
                  <c:v>47.794283453892845</c:v>
                </c:pt>
                <c:pt idx="260">
                  <c:v>47.613134482725059</c:v>
                </c:pt>
                <c:pt idx="261">
                  <c:v>47.427898745374684</c:v>
                </c:pt>
                <c:pt idx="262">
                  <c:v>47.238653514755818</c:v>
                </c:pt>
                <c:pt idx="263">
                  <c:v>47.045471687494086</c:v>
                </c:pt>
                <c:pt idx="264">
                  <c:v>46.848426126099511</c:v>
                </c:pt>
                <c:pt idx="265">
                  <c:v>46.647589628250635</c:v>
                </c:pt>
                <c:pt idx="266">
                  <c:v>46.443034970504684</c:v>
                </c:pt>
                <c:pt idx="267">
                  <c:v>46.234834167392336</c:v>
                </c:pt>
                <c:pt idx="268">
                  <c:v>46.023061781645708</c:v>
                </c:pt>
                <c:pt idx="269">
                  <c:v>45.807790486469862</c:v>
                </c:pt>
                <c:pt idx="270">
                  <c:v>45.589092911522343</c:v>
                </c:pt>
                <c:pt idx="271">
                  <c:v>45.367041640428845</c:v>
                </c:pt>
                <c:pt idx="272">
                  <c:v>45.141709214011264</c:v>
                </c:pt>
                <c:pt idx="273">
                  <c:v>44.913168124620015</c:v>
                </c:pt>
                <c:pt idx="274">
                  <c:v>44.6808179109251</c:v>
                </c:pt>
                <c:pt idx="275">
                  <c:v>44.444188571098479</c:v>
                </c:pt>
                <c:pt idx="276">
                  <c:v>44.203526162219106</c:v>
                </c:pt>
                <c:pt idx="277">
                  <c:v>43.959061173058018</c:v>
                </c:pt>
                <c:pt idx="278">
                  <c:v>43.711023907416674</c:v>
                </c:pt>
                <c:pt idx="279">
                  <c:v>43.459644487566301</c:v>
                </c:pt>
                <c:pt idx="280">
                  <c:v>43.205152848003934</c:v>
                </c:pt>
                <c:pt idx="281">
                  <c:v>42.947788424720706</c:v>
                </c:pt>
                <c:pt idx="282">
                  <c:v>42.68778137133188</c:v>
                </c:pt>
                <c:pt idx="283">
                  <c:v>42.425360923429196</c:v>
                </c:pt>
                <c:pt idx="284">
                  <c:v>42.160756113250237</c:v>
                </c:pt>
                <c:pt idx="285">
                  <c:v>41.894195771004739</c:v>
                </c:pt>
                <c:pt idx="286">
                  <c:v>41.625908525454825</c:v>
                </c:pt>
                <c:pt idx="287">
                  <c:v>41.356122803412006</c:v>
                </c:pt>
                <c:pt idx="288">
                  <c:v>41.084723878524152</c:v>
                </c:pt>
                <c:pt idx="289">
                  <c:v>40.811371558151805</c:v>
                </c:pt>
                <c:pt idx="290">
                  <c:v>40.535936992323215</c:v>
                </c:pt>
                <c:pt idx="291">
                  <c:v>40.258314899036357</c:v>
                </c:pt>
                <c:pt idx="292">
                  <c:v>39.978399992841759</c:v>
                </c:pt>
                <c:pt idx="293">
                  <c:v>39.696086986425918</c:v>
                </c:pt>
                <c:pt idx="294">
                  <c:v>39.411270591095679</c:v>
                </c:pt>
                <c:pt idx="295">
                  <c:v>39.123843780321714</c:v>
                </c:pt>
                <c:pt idx="296">
                  <c:v>38.833692208333339</c:v>
                </c:pt>
                <c:pt idx="297">
                  <c:v>38.540710735375022</c:v>
                </c:pt>
                <c:pt idx="298">
                  <c:v>38.244794307259887</c:v>
                </c:pt>
                <c:pt idx="299">
                  <c:v>37.945837891724281</c:v>
                </c:pt>
                <c:pt idx="300">
                  <c:v>37.643736476720207</c:v>
                </c:pt>
                <c:pt idx="301">
                  <c:v>37.338385075759405</c:v>
                </c:pt>
                <c:pt idx="302">
                  <c:v>37.026750102823009</c:v>
                </c:pt>
                <c:pt idx="303">
                  <c:v>36.706849239501416</c:v>
                </c:pt>
                <c:pt idx="304">
                  <c:v>36.380159928514601</c:v>
                </c:pt>
                <c:pt idx="305">
                  <c:v>36.048156221773503</c:v>
                </c:pt>
                <c:pt idx="306">
                  <c:v>35.712311438851188</c:v>
                </c:pt>
                <c:pt idx="307">
                  <c:v>35.374098179491163</c:v>
                </c:pt>
                <c:pt idx="308">
                  <c:v>35.034988329754796</c:v>
                </c:pt>
                <c:pt idx="309">
                  <c:v>34.696446080571029</c:v>
                </c:pt>
                <c:pt idx="310">
                  <c:v>34.359943636890094</c:v>
                </c:pt>
                <c:pt idx="311">
                  <c:v>34.026950904610779</c:v>
                </c:pt>
                <c:pt idx="312">
                  <c:v>33.698937104409083</c:v>
                </c:pt>
                <c:pt idx="313">
                  <c:v>33.377370770528145</c:v>
                </c:pt>
                <c:pt idx="314">
                  <c:v>33.063719760487494</c:v>
                </c:pt>
                <c:pt idx="315">
                  <c:v>32.759451252619137</c:v>
                </c:pt>
                <c:pt idx="316">
                  <c:v>32.461444969160624</c:v>
                </c:pt>
                <c:pt idx="317">
                  <c:v>32.165883480588491</c:v>
                </c:pt>
                <c:pt idx="318">
                  <c:v>31.873187399472858</c:v>
                </c:pt>
                <c:pt idx="319">
                  <c:v>31.583775084238837</c:v>
                </c:pt>
                <c:pt idx="320">
                  <c:v>31.298064730996924</c:v>
                </c:pt>
                <c:pt idx="321">
                  <c:v>31.016474382689168</c:v>
                </c:pt>
                <c:pt idx="322">
                  <c:v>30.739421918783062</c:v>
                </c:pt>
                <c:pt idx="323">
                  <c:v>30.46733416024049</c:v>
                </c:pt>
                <c:pt idx="324">
                  <c:v>30.20063481781354</c:v>
                </c:pt>
                <c:pt idx="325">
                  <c:v>29.939741027608608</c:v>
                </c:pt>
                <c:pt idx="326">
                  <c:v>29.685069830593076</c:v>
                </c:pt>
                <c:pt idx="327">
                  <c:v>29.437038089898937</c:v>
                </c:pt>
                <c:pt idx="328">
                  <c:v>29.19606249360287</c:v>
                </c:pt>
                <c:pt idx="329">
                  <c:v>28.962559580062702</c:v>
                </c:pt>
                <c:pt idx="330">
                  <c:v>28.732034719680968</c:v>
                </c:pt>
                <c:pt idx="331">
                  <c:v>28.500899415478951</c:v>
                </c:pt>
                <c:pt idx="332">
                  <c:v>28.270934642952199</c:v>
                </c:pt>
                <c:pt idx="333">
                  <c:v>28.043921924844387</c:v>
                </c:pt>
                <c:pt idx="334">
                  <c:v>27.821641962858283</c:v>
                </c:pt>
                <c:pt idx="335">
                  <c:v>27.605874618893147</c:v>
                </c:pt>
                <c:pt idx="336">
                  <c:v>27.398398912881159</c:v>
                </c:pt>
                <c:pt idx="337">
                  <c:v>27.200990080980496</c:v>
                </c:pt>
                <c:pt idx="338">
                  <c:v>27.015417038493641</c:v>
                </c:pt>
                <c:pt idx="339">
                  <c:v>26.843456361357994</c:v>
                </c:pt>
                <c:pt idx="340">
                  <c:v>26.686883722027442</c:v>
                </c:pt>
                <c:pt idx="341">
                  <c:v>26.547473914209402</c:v>
                </c:pt>
                <c:pt idx="342">
                  <c:v>26.427000839981414</c:v>
                </c:pt>
                <c:pt idx="343">
                  <c:v>26.3272374854579</c:v>
                </c:pt>
                <c:pt idx="344">
                  <c:v>26.246595228627243</c:v>
                </c:pt>
                <c:pt idx="345">
                  <c:v>26.181965258963334</c:v>
                </c:pt>
                <c:pt idx="346">
                  <c:v>26.132847280330751</c:v>
                </c:pt>
                <c:pt idx="347">
                  <c:v>26.098733708295875</c:v>
                </c:pt>
                <c:pt idx="348">
                  <c:v>26.079117209847418</c:v>
                </c:pt>
                <c:pt idx="349">
                  <c:v>26.073490697323656</c:v>
                </c:pt>
                <c:pt idx="350">
                  <c:v>26.081347341660511</c:v>
                </c:pt>
                <c:pt idx="351">
                  <c:v>26.102183477582692</c:v>
                </c:pt>
                <c:pt idx="352">
                  <c:v>26.135495588247519</c:v>
                </c:pt>
                <c:pt idx="353">
                  <c:v>26.180777573854691</c:v>
                </c:pt>
                <c:pt idx="354">
                  <c:v>26.237523597291439</c:v>
                </c:pt>
                <c:pt idx="355">
                  <c:v>26.305228075127932</c:v>
                </c:pt>
                <c:pt idx="356">
                  <c:v>26.383385752612401</c:v>
                </c:pt>
                <c:pt idx="357">
                  <c:v>26.471491479483131</c:v>
                </c:pt>
                <c:pt idx="358">
                  <c:v>26.573838483385828</c:v>
                </c:pt>
                <c:pt idx="359">
                  <c:v>26.694039316519028</c:v>
                </c:pt>
                <c:pt idx="360">
                  <c:v>26.83056586988587</c:v>
                </c:pt>
                <c:pt idx="361">
                  <c:v>26.981890724098395</c:v>
                </c:pt>
                <c:pt idx="362">
                  <c:v>27.146490108124055</c:v>
                </c:pt>
                <c:pt idx="363">
                  <c:v>27.322841019847463</c:v>
                </c:pt>
                <c:pt idx="364">
                  <c:v>27.509421218396398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182" formatCode="0.00">
                  <c:v>5.8369999999999997</c:v>
                </c:pt>
                <c:pt idx="183" formatCode="0.00">
                  <c:v>48.012999999999998</c:v>
                </c:pt>
                <c:pt idx="184" formatCode="0.00">
                  <c:v>46.865000000000002</c:v>
                </c:pt>
                <c:pt idx="185" formatCode="0.00">
                  <c:v>40.027000000000001</c:v>
                </c:pt>
                <c:pt idx="186" formatCode="0.00">
                  <c:v>42.344999999999999</c:v>
                </c:pt>
                <c:pt idx="187" formatCode="0.00">
                  <c:v>56.539000000000001</c:v>
                </c:pt>
                <c:pt idx="188" formatCode="0.00">
                  <c:v>56.567999999999998</c:v>
                </c:pt>
                <c:pt idx="189" formatCode="0.00">
                  <c:v>55.289000000000001</c:v>
                </c:pt>
                <c:pt idx="190" formatCode="0.00">
                  <c:v>56.649000000000001</c:v>
                </c:pt>
                <c:pt idx="191" formatCode="0.00">
                  <c:v>55.442</c:v>
                </c:pt>
                <c:pt idx="192" formatCode="0.00">
                  <c:v>45.756</c:v>
                </c:pt>
                <c:pt idx="193" formatCode="0.00">
                  <c:v>53.93</c:v>
                </c:pt>
                <c:pt idx="194" formatCode="0.00">
                  <c:v>51.232999999999997</c:v>
                </c:pt>
                <c:pt idx="195" formatCode="0.00">
                  <c:v>54.439</c:v>
                </c:pt>
                <c:pt idx="196" formatCode="0.00">
                  <c:v>24.225000000000001</c:v>
                </c:pt>
                <c:pt idx="197" formatCode="0.00">
                  <c:v>46.722000000000001</c:v>
                </c:pt>
                <c:pt idx="198" formatCode="0.00">
                  <c:v>43.283999999999999</c:v>
                </c:pt>
                <c:pt idx="199" formatCode="0.00">
                  <c:v>54.176000000000002</c:v>
                </c:pt>
                <c:pt idx="200" formatCode="0.00">
                  <c:v>23.681999999999999</c:v>
                </c:pt>
                <c:pt idx="201" formatCode="0.00">
                  <c:v>30.847000000000001</c:v>
                </c:pt>
                <c:pt idx="202" formatCode="0.00">
                  <c:v>51.277999999999999</c:v>
                </c:pt>
                <c:pt idx="203" formatCode="0.00">
                  <c:v>55.73</c:v>
                </c:pt>
                <c:pt idx="204" formatCode="0.00">
                  <c:v>46.265999999999998</c:v>
                </c:pt>
                <c:pt idx="205" formatCode="0.00">
                  <c:v>53.968000000000004</c:v>
                </c:pt>
                <c:pt idx="206" formatCode="0.00">
                  <c:v>53.863</c:v>
                </c:pt>
                <c:pt idx="207" formatCode="0.00">
                  <c:v>49.65</c:v>
                </c:pt>
                <c:pt idx="208" formatCode="0.00">
                  <c:v>24.204999999999998</c:v>
                </c:pt>
                <c:pt idx="209" formatCode="0.00">
                  <c:v>53.170999999999999</c:v>
                </c:pt>
                <c:pt idx="210" formatCode="0.00">
                  <c:v>52.948</c:v>
                </c:pt>
                <c:pt idx="211" formatCode="0.00">
                  <c:v>49.58</c:v>
                </c:pt>
                <c:pt idx="212" formatCode="0.00">
                  <c:v>51.976999999999997</c:v>
                </c:pt>
                <c:pt idx="213" formatCode="0.00">
                  <c:v>52.179000000000002</c:v>
                </c:pt>
                <c:pt idx="214" formatCode="0.00">
                  <c:v>52.386000000000003</c:v>
                </c:pt>
                <c:pt idx="215" formatCode="0.00">
                  <c:v>50.515000000000001</c:v>
                </c:pt>
                <c:pt idx="216" formatCode="0.00">
                  <c:v>51.131999999999998</c:v>
                </c:pt>
                <c:pt idx="217" formatCode="0.00">
                  <c:v>51.597999999999999</c:v>
                </c:pt>
                <c:pt idx="218" formatCode="0.00">
                  <c:v>30.280999999999999</c:v>
                </c:pt>
                <c:pt idx="219" formatCode="0.00">
                  <c:v>45.744</c:v>
                </c:pt>
                <c:pt idx="220" formatCode="0.00">
                  <c:v>14.711</c:v>
                </c:pt>
                <c:pt idx="221" formatCode="0.00">
                  <c:v>48.536000000000001</c:v>
                </c:pt>
                <c:pt idx="222" formatCode="0.00">
                  <c:v>52.222000000000001</c:v>
                </c:pt>
                <c:pt idx="223" formatCode="0.00">
                  <c:v>50.585000000000001</c:v>
                </c:pt>
                <c:pt idx="224" formatCode="0.00">
                  <c:v>27.457999999999998</c:v>
                </c:pt>
                <c:pt idx="225" formatCode="0.00">
                  <c:v>36.409999999999997</c:v>
                </c:pt>
                <c:pt idx="226" formatCode="0.00">
                  <c:v>53.106999999999999</c:v>
                </c:pt>
                <c:pt idx="227" formatCode="0.00">
                  <c:v>50.119</c:v>
                </c:pt>
                <c:pt idx="228" formatCode="0.00">
                  <c:v>37.314999999999998</c:v>
                </c:pt>
                <c:pt idx="229" formatCode="0.00">
                  <c:v>30.876000000000001</c:v>
                </c:pt>
                <c:pt idx="230" formatCode="0.00">
                  <c:v>49.295999999999999</c:v>
                </c:pt>
                <c:pt idx="231" formatCode="0.00">
                  <c:v>50.850999999999999</c:v>
                </c:pt>
                <c:pt idx="232" formatCode="0.00">
                  <c:v>50.353000000000002</c:v>
                </c:pt>
                <c:pt idx="233" formatCode="0.00">
                  <c:v>49.588999999999999</c:v>
                </c:pt>
                <c:pt idx="234" formatCode="0.00">
                  <c:v>24.058</c:v>
                </c:pt>
                <c:pt idx="235" formatCode="0.00">
                  <c:v>15.885</c:v>
                </c:pt>
                <c:pt idx="236" formatCode="0.00">
                  <c:v>23.423999999999999</c:v>
                </c:pt>
                <c:pt idx="237" formatCode="0.00">
                  <c:v>52.866999999999997</c:v>
                </c:pt>
                <c:pt idx="238" formatCode="0.00">
                  <c:v>50.658999999999999</c:v>
                </c:pt>
                <c:pt idx="239" formatCode="0.00">
                  <c:v>42.625999999999998</c:v>
                </c:pt>
                <c:pt idx="240" formatCode="0.00">
                  <c:v>31.614999999999998</c:v>
                </c:pt>
                <c:pt idx="241" formatCode="0.00">
                  <c:v>46.749000000000002</c:v>
                </c:pt>
                <c:pt idx="242" formatCode="0.00">
                  <c:v>46.843000000000004</c:v>
                </c:pt>
                <c:pt idx="243" formatCode="0.00">
                  <c:v>51.292999999999999</c:v>
                </c:pt>
                <c:pt idx="244" formatCode="0.00">
                  <c:v>49.728999999999999</c:v>
                </c:pt>
                <c:pt idx="245" formatCode="0.00">
                  <c:v>50.831000000000003</c:v>
                </c:pt>
                <c:pt idx="246" formatCode="0.00">
                  <c:v>46.945</c:v>
                </c:pt>
                <c:pt idx="247" formatCode="0.00">
                  <c:v>43.360999999999997</c:v>
                </c:pt>
                <c:pt idx="248" formatCode="0.00">
                  <c:v>31.773</c:v>
                </c:pt>
                <c:pt idx="249" formatCode="0.00">
                  <c:v>32.715000000000003</c:v>
                </c:pt>
                <c:pt idx="250" formatCode="0.00">
                  <c:v>48.423000000000002</c:v>
                </c:pt>
                <c:pt idx="251" formatCode="0.00">
                  <c:v>30.873000000000001</c:v>
                </c:pt>
                <c:pt idx="252" formatCode="0.00">
                  <c:v>37.555</c:v>
                </c:pt>
                <c:pt idx="253" formatCode="0.00">
                  <c:v>47.23</c:v>
                </c:pt>
                <c:pt idx="254" formatCode="0.00">
                  <c:v>31.661000000000001</c:v>
                </c:pt>
                <c:pt idx="255" formatCode="0.00">
                  <c:v>26.545000000000002</c:v>
                </c:pt>
                <c:pt idx="256" formatCode="0.00">
                  <c:v>28.488</c:v>
                </c:pt>
                <c:pt idx="257" formatCode="0.00">
                  <c:v>39.847000000000001</c:v>
                </c:pt>
                <c:pt idx="258" formatCode="0.00">
                  <c:v>46.442</c:v>
                </c:pt>
                <c:pt idx="259" formatCode="0.00">
                  <c:v>44.305</c:v>
                </c:pt>
                <c:pt idx="260" formatCode="0.00">
                  <c:v>40.895000000000003</c:v>
                </c:pt>
                <c:pt idx="261" formatCode="0.00">
                  <c:v>36.292999999999999</c:v>
                </c:pt>
                <c:pt idx="262" formatCode="0.00">
                  <c:v>45.975999999999999</c:v>
                </c:pt>
                <c:pt idx="263" formatCode="0.00">
                  <c:v>33.662999999999997</c:v>
                </c:pt>
                <c:pt idx="264" formatCode="0.00">
                  <c:v>44.999000000000002</c:v>
                </c:pt>
                <c:pt idx="265" formatCode="0.00">
                  <c:v>45.396999999999998</c:v>
                </c:pt>
                <c:pt idx="266" formatCode="0.00">
                  <c:v>33.628</c:v>
                </c:pt>
                <c:pt idx="267" formatCode="0.00">
                  <c:v>48.006</c:v>
                </c:pt>
                <c:pt idx="268" formatCode="0.00">
                  <c:v>47.082000000000001</c:v>
                </c:pt>
                <c:pt idx="269" formatCode="0.00">
                  <c:v>46.103000000000002</c:v>
                </c:pt>
                <c:pt idx="270" formatCode="0.00">
                  <c:v>43.301000000000002</c:v>
                </c:pt>
                <c:pt idx="271" formatCode="0.00">
                  <c:v>44.597999999999999</c:v>
                </c:pt>
                <c:pt idx="272" formatCode="0.00">
                  <c:v>40.588999999999999</c:v>
                </c:pt>
                <c:pt idx="273" formatCode="0.00">
                  <c:v>30.856999999999999</c:v>
                </c:pt>
                <c:pt idx="274" formatCode="0.00">
                  <c:v>46.716000000000001</c:v>
                </c:pt>
                <c:pt idx="275" formatCode="0.00">
                  <c:v>42.497999999999998</c:v>
                </c:pt>
                <c:pt idx="276" formatCode="0.00">
                  <c:v>43.954999999999998</c:v>
                </c:pt>
                <c:pt idx="277" formatCode="0.00">
                  <c:v>43.790999999999997</c:v>
                </c:pt>
                <c:pt idx="278" formatCode="0.00">
                  <c:v>41.433</c:v>
                </c:pt>
                <c:pt idx="279" formatCode="0.00">
                  <c:v>10.583</c:v>
                </c:pt>
                <c:pt idx="280" formatCode="0.00">
                  <c:v>13.284000000000001</c:v>
                </c:pt>
                <c:pt idx="281" formatCode="0.00">
                  <c:v>35.954000000000001</c:v>
                </c:pt>
                <c:pt idx="282" formatCode="0.00">
                  <c:v>23.152999999999999</c:v>
                </c:pt>
                <c:pt idx="283" formatCode="0.00">
                  <c:v>31.094999999999999</c:v>
                </c:pt>
                <c:pt idx="284" formatCode="0.00">
                  <c:v>39.625999999999998</c:v>
                </c:pt>
                <c:pt idx="285" formatCode="0.00">
                  <c:v>31.007999999999999</c:v>
                </c:pt>
                <c:pt idx="286" formatCode="0.00">
                  <c:v>34.676000000000002</c:v>
                </c:pt>
                <c:pt idx="287" formatCode="0.00">
                  <c:v>11.744999999999999</c:v>
                </c:pt>
                <c:pt idx="288" formatCode="0.00">
                  <c:v>25.49</c:v>
                </c:pt>
                <c:pt idx="289" formatCode="0.00">
                  <c:v>22.975000000000001</c:v>
                </c:pt>
                <c:pt idx="290" formatCode="0.00">
                  <c:v>10.602</c:v>
                </c:pt>
                <c:pt idx="291" formatCode="0.00">
                  <c:v>24.963999999999999</c:v>
                </c:pt>
                <c:pt idx="292" formatCode="0.00">
                  <c:v>9.7059999999999995</c:v>
                </c:pt>
                <c:pt idx="293" formatCode="0.00">
                  <c:v>18.215</c:v>
                </c:pt>
                <c:pt idx="294" formatCode="0.00">
                  <c:v>23.86</c:v>
                </c:pt>
                <c:pt idx="295" formatCode="0.00">
                  <c:v>38.948</c:v>
                </c:pt>
                <c:pt idx="296" formatCode="0.00">
                  <c:v>35.939</c:v>
                </c:pt>
                <c:pt idx="297" formatCode="0.00">
                  <c:v>38.493000000000002</c:v>
                </c:pt>
                <c:pt idx="298" formatCode="0.00">
                  <c:v>4.4669999999999996</c:v>
                </c:pt>
                <c:pt idx="299" formatCode="0.00">
                  <c:v>8.51</c:v>
                </c:pt>
                <c:pt idx="300" formatCode="0.00">
                  <c:v>3.6749999999999998</c:v>
                </c:pt>
                <c:pt idx="301" formatCode="0.00">
                  <c:v>4.617</c:v>
                </c:pt>
                <c:pt idx="302" formatCode="0.00">
                  <c:v>34.393999999999998</c:v>
                </c:pt>
                <c:pt idx="303" formatCode="0.00">
                  <c:v>7.6029999999999998</c:v>
                </c:pt>
                <c:pt idx="304" formatCode="0.00">
                  <c:v>24.800999999999998</c:v>
                </c:pt>
                <c:pt idx="305" formatCode="0.00">
                  <c:v>7.2080000000000002</c:v>
                </c:pt>
                <c:pt idx="306" formatCode="0.00">
                  <c:v>30.452999999999999</c:v>
                </c:pt>
                <c:pt idx="307" formatCode="0.00">
                  <c:v>29.116</c:v>
                </c:pt>
                <c:pt idx="308" formatCode="0.00">
                  <c:v>12.119</c:v>
                </c:pt>
                <c:pt idx="309" formatCode="0.00">
                  <c:v>21.164000000000001</c:v>
                </c:pt>
                <c:pt idx="310" formatCode="0.00">
                  <c:v>10.244</c:v>
                </c:pt>
                <c:pt idx="311" formatCode="0.00">
                  <c:v>17.484999999999999</c:v>
                </c:pt>
                <c:pt idx="312" formatCode="0.00">
                  <c:v>5.2430000000000003</c:v>
                </c:pt>
                <c:pt idx="313" formatCode="0.00">
                  <c:v>21.134</c:v>
                </c:pt>
                <c:pt idx="314" formatCode="0.00">
                  <c:v>28.439</c:v>
                </c:pt>
                <c:pt idx="315" formatCode="0.00">
                  <c:v>27.134</c:v>
                </c:pt>
                <c:pt idx="316" formatCode="0.00">
                  <c:v>8.4469999999999992</c:v>
                </c:pt>
                <c:pt idx="317" formatCode="0.00">
                  <c:v>18.725000000000001</c:v>
                </c:pt>
                <c:pt idx="318" formatCode="0.00">
                  <c:v>21.306000000000001</c:v>
                </c:pt>
                <c:pt idx="319" formatCode="0.00">
                  <c:v>25.712</c:v>
                </c:pt>
                <c:pt idx="320" formatCode="0.00">
                  <c:v>30.687000000000001</c:v>
                </c:pt>
                <c:pt idx="321" formatCode="0.00">
                  <c:v>22.553000000000001</c:v>
                </c:pt>
                <c:pt idx="322" formatCode="0.00">
                  <c:v>22.507000000000001</c:v>
                </c:pt>
                <c:pt idx="323" formatCode="0.00">
                  <c:v>10.316000000000001</c:v>
                </c:pt>
                <c:pt idx="324" formatCode="0.00">
                  <c:v>30.09</c:v>
                </c:pt>
                <c:pt idx="325" formatCode="0.00">
                  <c:v>22.675000000000001</c:v>
                </c:pt>
                <c:pt idx="326" formatCode="0.00">
                  <c:v>12.962</c:v>
                </c:pt>
                <c:pt idx="327" formatCode="0.00">
                  <c:v>22.835999999999999</c:v>
                </c:pt>
                <c:pt idx="328" formatCode="0.00">
                  <c:v>11.73</c:v>
                </c:pt>
                <c:pt idx="329" formatCode="0.00">
                  <c:v>4.3040000000000003</c:v>
                </c:pt>
                <c:pt idx="330" formatCode="0.00">
                  <c:v>26.93</c:v>
                </c:pt>
                <c:pt idx="331" formatCode="0.00">
                  <c:v>19.803999999999998</c:v>
                </c:pt>
                <c:pt idx="332" formatCode="0.00">
                  <c:v>28.76</c:v>
                </c:pt>
                <c:pt idx="333" formatCode="0.00">
                  <c:v>10.721</c:v>
                </c:pt>
                <c:pt idx="334" formatCode="0.00">
                  <c:v>19.683</c:v>
                </c:pt>
                <c:pt idx="335" formatCode="0.00">
                  <c:v>7.6029999999999998</c:v>
                </c:pt>
                <c:pt idx="336" formatCode="0.00">
                  <c:v>9.9179999999999993</c:v>
                </c:pt>
                <c:pt idx="337" formatCode="0.00">
                  <c:v>5.9429999999999996</c:v>
                </c:pt>
                <c:pt idx="338" formatCode="0.00">
                  <c:v>21.015000000000001</c:v>
                </c:pt>
                <c:pt idx="339" formatCode="0.00">
                  <c:v>10.673999999999999</c:v>
                </c:pt>
                <c:pt idx="340" formatCode="0.00">
                  <c:v>22.962</c:v>
                </c:pt>
                <c:pt idx="341" formatCode="0.00">
                  <c:v>17.545000000000002</c:v>
                </c:pt>
                <c:pt idx="342" formatCode="0.00">
                  <c:v>4.5650000000000004</c:v>
                </c:pt>
                <c:pt idx="343" formatCode="0.00">
                  <c:v>15.03</c:v>
                </c:pt>
                <c:pt idx="344" formatCode="0.00">
                  <c:v>22.369</c:v>
                </c:pt>
                <c:pt idx="345" formatCode="0.00">
                  <c:v>3.3620000000000001</c:v>
                </c:pt>
                <c:pt idx="346" formatCode="0.00">
                  <c:v>1.8149999999999999</c:v>
                </c:pt>
                <c:pt idx="347" formatCode="0.00">
                  <c:v>1.6919999999999999</c:v>
                </c:pt>
                <c:pt idx="348" formatCode="0.00">
                  <c:v>6.3929999999999998</c:v>
                </c:pt>
                <c:pt idx="349" formatCode="0.00">
                  <c:v>3.819</c:v>
                </c:pt>
                <c:pt idx="350" formatCode="0.00">
                  <c:v>20.666</c:v>
                </c:pt>
                <c:pt idx="351" formatCode="0.00">
                  <c:v>13.035</c:v>
                </c:pt>
                <c:pt idx="352" formatCode="0.00">
                  <c:v>24.201000000000001</c:v>
                </c:pt>
                <c:pt idx="353" formatCode="0.00">
                  <c:v>15.422000000000001</c:v>
                </c:pt>
                <c:pt idx="354" formatCode="0.00">
                  <c:v>8.6959999999999997</c:v>
                </c:pt>
                <c:pt idx="355" formatCode="0.00">
                  <c:v>6.9550000000000001</c:v>
                </c:pt>
                <c:pt idx="356" formatCode="0.00">
                  <c:v>4.7510000000000003</c:v>
                </c:pt>
                <c:pt idx="357" formatCode="0.00">
                  <c:v>4.4889999999999999</c:v>
                </c:pt>
                <c:pt idx="358" formatCode="0.00">
                  <c:v>13.209</c:v>
                </c:pt>
                <c:pt idx="359" formatCode="0.00">
                  <c:v>25.539000000000001</c:v>
                </c:pt>
                <c:pt idx="360" formatCode="0.00">
                  <c:v>26.783000000000001</c:v>
                </c:pt>
                <c:pt idx="361" formatCode="0.00">
                  <c:v>3.0419999999999998</c:v>
                </c:pt>
                <c:pt idx="362" formatCode="0.00">
                  <c:v>3.3839999999999999</c:v>
                </c:pt>
                <c:pt idx="363" formatCode="0.00">
                  <c:v>3.3420000000000001</c:v>
                </c:pt>
                <c:pt idx="364" formatCode="0.00">
                  <c:v>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061088"/>
        <c:axId val="229087728"/>
      </c:lineChart>
      <c:dateAx>
        <c:axId val="53406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87728"/>
        <c:crosses val="autoZero"/>
        <c:auto val="1"/>
        <c:lblOffset val="100"/>
        <c:baseTimeUnit val="days"/>
        <c:majorUnit val="1"/>
        <c:majorTimeUnit val="months"/>
      </c:dateAx>
      <c:valAx>
        <c:axId val="2290877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0610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2.1902566432308035E-5</c:v>
                </c:pt>
                <c:pt idx="144">
                  <c:v>4.3804653142243133E-5</c:v>
                </c:pt>
                <c:pt idx="145">
                  <c:v>6.570626014024139E-5</c:v>
                </c:pt>
                <c:pt idx="146">
                  <c:v>8.7607387436960948E-5</c:v>
                </c:pt>
                <c:pt idx="147">
                  <c:v>1.0950803504261586E-4</c:v>
                </c:pt>
                <c:pt idx="148">
                  <c:v>1.3140820296797528E-4</c:v>
                </c:pt>
                <c:pt idx="149">
                  <c:v>1.5330789122347532E-4</c:v>
                </c:pt>
                <c:pt idx="150">
                  <c:v>1.7520709981955207E-4</c:v>
                </c:pt>
                <c:pt idx="151">
                  <c:v>1.9710582876675264E-4</c:v>
                </c:pt>
                <c:pt idx="152">
                  <c:v>2.1900407807551314E-4</c:v>
                </c:pt>
                <c:pt idx="153">
                  <c:v>2.409018477564917E-4</c:v>
                </c:pt>
                <c:pt idx="154">
                  <c:v>2.6279913782012443E-4</c:v>
                </c:pt>
                <c:pt idx="155">
                  <c:v>2.8469594827695843E-4</c:v>
                </c:pt>
                <c:pt idx="156">
                  <c:v>3.0659227913731879E-4</c:v>
                </c:pt>
                <c:pt idx="157">
                  <c:v>3.2848813041197467E-4</c:v>
                </c:pt>
                <c:pt idx="158">
                  <c:v>3.5038350211114011E-4</c:v>
                </c:pt>
                <c:pt idx="159">
                  <c:v>3.7227839424558429E-4</c:v>
                </c:pt>
                <c:pt idx="160">
                  <c:v>3.9417280682563227E-4</c:v>
                </c:pt>
                <c:pt idx="161">
                  <c:v>4.160667398619422E-4</c:v>
                </c:pt>
                <c:pt idx="162">
                  <c:v>4.3796019336483916E-4</c:v>
                </c:pt>
                <c:pt idx="163">
                  <c:v>4.5985316734498127E-4</c:v>
                </c:pt>
                <c:pt idx="164">
                  <c:v>4.8174566181280465E-4</c:v>
                </c:pt>
                <c:pt idx="165">
                  <c:v>5.0363767677874538E-4</c:v>
                </c:pt>
                <c:pt idx="166">
                  <c:v>5.2552921225346161E-4</c:v>
                </c:pt>
                <c:pt idx="167">
                  <c:v>5.4742026824727841E-4</c:v>
                </c:pt>
                <c:pt idx="168">
                  <c:v>5.6931084477085392E-4</c:v>
                </c:pt>
                <c:pt idx="169">
                  <c:v>5.9120094183462424E-4</c:v>
                </c:pt>
                <c:pt idx="170">
                  <c:v>6.1309055944902546E-4</c:v>
                </c:pt>
                <c:pt idx="171">
                  <c:v>6.3497969762471573E-4</c:v>
                </c:pt>
                <c:pt idx="172">
                  <c:v>6.5686835637202012E-4</c:v>
                </c:pt>
                <c:pt idx="173">
                  <c:v>6.7875653570159677E-4</c:v>
                </c:pt>
                <c:pt idx="174">
                  <c:v>7.0064423562377076E-4</c:v>
                </c:pt>
                <c:pt idx="175">
                  <c:v>7.2253145614920022E-4</c:v>
                </c:pt>
                <c:pt idx="176">
                  <c:v>7.4441819728832126E-4</c:v>
                </c:pt>
                <c:pt idx="177">
                  <c:v>7.6630445905168099E-4</c:v>
                </c:pt>
                <c:pt idx="178">
                  <c:v>7.881902414497155E-4</c:v>
                </c:pt>
                <c:pt idx="179">
                  <c:v>8.100755444928609E-4</c:v>
                </c:pt>
                <c:pt idx="180">
                  <c:v>8.3196036819188635E-4</c:v>
                </c:pt>
                <c:pt idx="181">
                  <c:v>8.5384471255689487E-4</c:v>
                </c:pt>
                <c:pt idx="182">
                  <c:v>8.7572857759876666E-4</c:v>
                </c:pt>
                <c:pt idx="183">
                  <c:v>8.9761196332771576E-4</c:v>
                </c:pt>
                <c:pt idx="184">
                  <c:v>9.1949486975440031E-4</c:v>
                </c:pt>
                <c:pt idx="185">
                  <c:v>9.4137729688936744E-4</c:v>
                </c:pt>
                <c:pt idx="186">
                  <c:v>9.632592447428312E-4</c:v>
                </c:pt>
                <c:pt idx="187">
                  <c:v>9.8514071332567177E-4</c:v>
                </c:pt>
                <c:pt idx="188">
                  <c:v>1.0070217026481032E-3</c:v>
                </c:pt>
                <c:pt idx="189">
                  <c:v>1.0289022127206726E-3</c:v>
                </c:pt>
                <c:pt idx="190">
                  <c:v>1.0507822435539271E-3</c:v>
                </c:pt>
                <c:pt idx="191">
                  <c:v>1.0726617951584139E-3</c:v>
                </c:pt>
                <c:pt idx="192">
                  <c:v>1.0945408675444579E-3</c:v>
                </c:pt>
                <c:pt idx="193">
                  <c:v>1.1164194607228284E-3</c:v>
                </c:pt>
                <c:pt idx="194">
                  <c:v>1.1382975747037394E-3</c:v>
                </c:pt>
                <c:pt idx="195">
                  <c:v>1.160175209497849E-3</c:v>
                </c:pt>
                <c:pt idx="196">
                  <c:v>1.1820523651155934E-3</c:v>
                </c:pt>
                <c:pt idx="197">
                  <c:v>1.2039290415675197E-3</c:v>
                </c:pt>
                <c:pt idx="198">
                  <c:v>1.2258052388639529E-3</c:v>
                </c:pt>
                <c:pt idx="199">
                  <c:v>1.2476809570156622E-3</c:v>
                </c:pt>
                <c:pt idx="200">
                  <c:v>1.2695561960329727E-3</c:v>
                </c:pt>
                <c:pt idx="201">
                  <c:v>1.2914309559264314E-3</c:v>
                </c:pt>
                <c:pt idx="202">
                  <c:v>1.3133052367064746E-3</c:v>
                </c:pt>
                <c:pt idx="203">
                  <c:v>1.3351790383835382E-3</c:v>
                </c:pt>
                <c:pt idx="204">
                  <c:v>1.3570523609683915E-3</c:v>
                </c:pt>
                <c:pt idx="205">
                  <c:v>1.3789252044712486E-3</c:v>
                </c:pt>
                <c:pt idx="206">
                  <c:v>1.4007975689026564E-3</c:v>
                </c:pt>
                <c:pt idx="207">
                  <c:v>1.4226694542731622E-3</c:v>
                </c:pt>
                <c:pt idx="208">
                  <c:v>1.444540860593313E-3</c:v>
                </c:pt>
                <c:pt idx="209">
                  <c:v>1.466411787873434E-3</c:v>
                </c:pt>
                <c:pt idx="210">
                  <c:v>1.4882822361241832E-3</c:v>
                </c:pt>
                <c:pt idx="211">
                  <c:v>1.5101522053559968E-3</c:v>
                </c:pt>
                <c:pt idx="212">
                  <c:v>1.5320216955794219E-3</c:v>
                </c:pt>
                <c:pt idx="213">
                  <c:v>1.5538907068047836E-3</c:v>
                </c:pt>
                <c:pt idx="214">
                  <c:v>1.5757592390426289E-3</c:v>
                </c:pt>
                <c:pt idx="215">
                  <c:v>1.5976272923036161E-3</c:v>
                </c:pt>
                <c:pt idx="216">
                  <c:v>1.6194948665980702E-3</c:v>
                </c:pt>
                <c:pt idx="217">
                  <c:v>1.6413619619365383E-3</c:v>
                </c:pt>
                <c:pt idx="218">
                  <c:v>1.6632285783294565E-3</c:v>
                </c:pt>
                <c:pt idx="219">
                  <c:v>1.6850947157873719E-3</c:v>
                </c:pt>
                <c:pt idx="220">
                  <c:v>1.7069603743207207E-3</c:v>
                </c:pt>
                <c:pt idx="221">
                  <c:v>1.7288255539400499E-3</c:v>
                </c:pt>
                <c:pt idx="222">
                  <c:v>1.7506902546559067E-3</c:v>
                </c:pt>
                <c:pt idx="223">
                  <c:v>1.7725544764786161E-3</c:v>
                </c:pt>
                <c:pt idx="224">
                  <c:v>1.7944182194188363E-3</c:v>
                </c:pt>
                <c:pt idx="225">
                  <c:v>1.8162814834868923E-3</c:v>
                </c:pt>
                <c:pt idx="226">
                  <c:v>1.8381442686933314E-3</c:v>
                </c:pt>
                <c:pt idx="227">
                  <c:v>1.8600065750488115E-3</c:v>
                </c:pt>
                <c:pt idx="228">
                  <c:v>1.8818684025635468E-3</c:v>
                </c:pt>
                <c:pt idx="229">
                  <c:v>1.9037297512481954E-3</c:v>
                </c:pt>
                <c:pt idx="230">
                  <c:v>1.9255906211131935E-3</c:v>
                </c:pt>
                <c:pt idx="231">
                  <c:v>1.947451012168977E-3</c:v>
                </c:pt>
                <c:pt idx="232">
                  <c:v>1.9693109244262041E-3</c:v>
                </c:pt>
                <c:pt idx="233">
                  <c:v>1.9911703578952E-3</c:v>
                </c:pt>
                <c:pt idx="234">
                  <c:v>2.0130293125865117E-3</c:v>
                </c:pt>
                <c:pt idx="235">
                  <c:v>2.0348877885105754E-3</c:v>
                </c:pt>
                <c:pt idx="236">
                  <c:v>2.0567457856779381E-3</c:v>
                </c:pt>
                <c:pt idx="237">
                  <c:v>2.078603304099147E-3</c:v>
                </c:pt>
                <c:pt idx="238">
                  <c:v>2.1004603437845271E-3</c:v>
                </c:pt>
                <c:pt idx="239">
                  <c:v>2.1223169047446255E-3</c:v>
                </c:pt>
                <c:pt idx="240">
                  <c:v>2.1441729869899895E-3</c:v>
                </c:pt>
                <c:pt idx="241">
                  <c:v>2.166028590531055E-3</c:v>
                </c:pt>
                <c:pt idx="242">
                  <c:v>2.1878837153782582E-3</c:v>
                </c:pt>
                <c:pt idx="243">
                  <c:v>2.2097383615422572E-3</c:v>
                </c:pt>
                <c:pt idx="244">
                  <c:v>2.2315925290332661E-3</c:v>
                </c:pt>
                <c:pt idx="245">
                  <c:v>2.253446217862054E-3</c:v>
                </c:pt>
                <c:pt idx="246">
                  <c:v>2.275299428038835E-3</c:v>
                </c:pt>
                <c:pt idx="247">
                  <c:v>2.2971521595743782E-3</c:v>
                </c:pt>
                <c:pt idx="248">
                  <c:v>2.3190044124788978E-3</c:v>
                </c:pt>
                <c:pt idx="249">
                  <c:v>2.3408561867630517E-3</c:v>
                </c:pt>
                <c:pt idx="250">
                  <c:v>2.3627074824372762E-3</c:v>
                </c:pt>
                <c:pt idx="251">
                  <c:v>2.3845582995120074E-3</c:v>
                </c:pt>
                <c:pt idx="252">
                  <c:v>2.4064086379977923E-3</c:v>
                </c:pt>
                <c:pt idx="253">
                  <c:v>2.428258497905067E-3</c:v>
                </c:pt>
                <c:pt idx="254">
                  <c:v>2.4501078792443787E-3</c:v>
                </c:pt>
                <c:pt idx="255">
                  <c:v>2.4719567820261634E-3</c:v>
                </c:pt>
                <c:pt idx="256">
                  <c:v>2.4938052062608573E-3</c:v>
                </c:pt>
                <c:pt idx="257">
                  <c:v>2.5156531519590075E-3</c:v>
                </c:pt>
                <c:pt idx="258">
                  <c:v>2.5375006191310501E-3</c:v>
                </c:pt>
                <c:pt idx="259">
                  <c:v>2.5593476077875321E-3</c:v>
                </c:pt>
                <c:pt idx="260">
                  <c:v>2.5811941179388898E-3</c:v>
                </c:pt>
                <c:pt idx="261">
                  <c:v>2.6030401495955591E-3</c:v>
                </c:pt>
                <c:pt idx="262">
                  <c:v>2.6248857027680872E-3</c:v>
                </c:pt>
                <c:pt idx="263">
                  <c:v>2.6467307774669102E-3</c:v>
                </c:pt>
                <c:pt idx="264">
                  <c:v>2.6685753737025752E-3</c:v>
                </c:pt>
                <c:pt idx="265">
                  <c:v>2.6904194914855184E-3</c:v>
                </c:pt>
                <c:pt idx="266">
                  <c:v>2.7122631308262868E-3</c:v>
                </c:pt>
                <c:pt idx="267">
                  <c:v>2.7341062917352055E-3</c:v>
                </c:pt>
                <c:pt idx="268">
                  <c:v>2.7559489742228216E-3</c:v>
                </c:pt>
                <c:pt idx="269">
                  <c:v>2.7777911782996823E-3</c:v>
                </c:pt>
                <c:pt idx="270">
                  <c:v>2.7996329039762236E-3</c:v>
                </c:pt>
                <c:pt idx="271">
                  <c:v>2.8214741512629926E-3</c:v>
                </c:pt>
                <c:pt idx="272">
                  <c:v>2.8433149201702035E-3</c:v>
                </c:pt>
                <c:pt idx="273">
                  <c:v>2.8651552107086253E-3</c:v>
                </c:pt>
                <c:pt idx="274">
                  <c:v>2.8869950228886943E-3</c:v>
                </c:pt>
                <c:pt idx="275">
                  <c:v>2.9088343567207353E-3</c:v>
                </c:pt>
                <c:pt idx="276">
                  <c:v>2.9306732122152956E-3</c:v>
                </c:pt>
                <c:pt idx="277">
                  <c:v>2.9525115893829224E-3</c:v>
                </c:pt>
                <c:pt idx="278">
                  <c:v>2.9743494882340515E-3</c:v>
                </c:pt>
                <c:pt idx="279">
                  <c:v>2.9961869087792303E-3</c:v>
                </c:pt>
                <c:pt idx="280">
                  <c:v>3.0180238510286728E-3</c:v>
                </c:pt>
                <c:pt idx="281">
                  <c:v>3.039860314993148E-3</c:v>
                </c:pt>
                <c:pt idx="282">
                  <c:v>3.0616963006829812E-3</c:v>
                </c:pt>
                <c:pt idx="283">
                  <c:v>3.0835318081087193E-3</c:v>
                </c:pt>
                <c:pt idx="284">
                  <c:v>3.1053668372807985E-3</c:v>
                </c:pt>
                <c:pt idx="285">
                  <c:v>3.127201388209766E-3</c:v>
                </c:pt>
                <c:pt idx="286">
                  <c:v>3.1490354609059468E-3</c:v>
                </c:pt>
                <c:pt idx="287">
                  <c:v>3.1708690553798879E-3</c:v>
                </c:pt>
                <c:pt idx="288">
                  <c:v>3.1927021716421367E-3</c:v>
                </c:pt>
                <c:pt idx="289">
                  <c:v>3.214534809703018E-3</c:v>
                </c:pt>
                <c:pt idx="290">
                  <c:v>3.23636696957319E-3</c:v>
                </c:pt>
                <c:pt idx="291">
                  <c:v>3.2581986512629779E-3</c:v>
                </c:pt>
                <c:pt idx="292">
                  <c:v>3.2800298547829287E-3</c:v>
                </c:pt>
                <c:pt idx="293">
                  <c:v>3.3018605801434786E-3</c:v>
                </c:pt>
                <c:pt idx="294">
                  <c:v>3.3236908273550636E-3</c:v>
                </c:pt>
                <c:pt idx="295">
                  <c:v>3.3455205964282309E-3</c:v>
                </c:pt>
                <c:pt idx="296">
                  <c:v>3.3673498873735275E-3</c:v>
                </c:pt>
                <c:pt idx="297">
                  <c:v>3.3891787002012785E-3</c:v>
                </c:pt>
                <c:pt idx="298">
                  <c:v>3.4110070349219201E-3</c:v>
                </c:pt>
                <c:pt idx="299">
                  <c:v>3.4328348915461104E-3</c:v>
                </c:pt>
                <c:pt idx="300">
                  <c:v>3.4546622700841745E-3</c:v>
                </c:pt>
                <c:pt idx="301">
                  <c:v>3.4764891705466594E-3</c:v>
                </c:pt>
                <c:pt idx="302">
                  <c:v>3.4983155929440013E-3</c:v>
                </c:pt>
                <c:pt idx="303">
                  <c:v>3.5201415372866363E-3</c:v>
                </c:pt>
                <c:pt idx="304">
                  <c:v>3.5419670035851114E-3</c:v>
                </c:pt>
                <c:pt idx="305">
                  <c:v>3.5637919918498628E-3</c:v>
                </c:pt>
                <c:pt idx="306">
                  <c:v>3.5856165020914377E-3</c:v>
                </c:pt>
                <c:pt idx="307">
                  <c:v>3.60744053432005E-3</c:v>
                </c:pt>
                <c:pt idx="308">
                  <c:v>3.6292640885464689E-3</c:v>
                </c:pt>
                <c:pt idx="309">
                  <c:v>3.6510871647810195E-3</c:v>
                </c:pt>
                <c:pt idx="310">
                  <c:v>3.6729097630342489E-3</c:v>
                </c:pt>
                <c:pt idx="311">
                  <c:v>3.6947318833164822E-3</c:v>
                </c:pt>
                <c:pt idx="312">
                  <c:v>3.7165535256382665E-3</c:v>
                </c:pt>
                <c:pt idx="313">
                  <c:v>3.7383746900101489E-3</c:v>
                </c:pt>
                <c:pt idx="314">
                  <c:v>3.7601953764424545E-3</c:v>
                </c:pt>
                <c:pt idx="315">
                  <c:v>3.7820155849458414E-3</c:v>
                </c:pt>
                <c:pt idx="316">
                  <c:v>3.8038353155305238E-3</c:v>
                </c:pt>
                <c:pt idx="317">
                  <c:v>3.8256545682071597E-3</c:v>
                </c:pt>
                <c:pt idx="318">
                  <c:v>3.8474733429861852E-3</c:v>
                </c:pt>
                <c:pt idx="319">
                  <c:v>3.8692916398780364E-3</c:v>
                </c:pt>
                <c:pt idx="320">
                  <c:v>3.8911094588932604E-3</c:v>
                </c:pt>
                <c:pt idx="321">
                  <c:v>3.9129268000421824E-3</c:v>
                </c:pt>
                <c:pt idx="322">
                  <c:v>3.9347436633353494E-3</c:v>
                </c:pt>
                <c:pt idx="323">
                  <c:v>3.9565600487831976E-3</c:v>
                </c:pt>
                <c:pt idx="324">
                  <c:v>3.9783759563962739E-3</c:v>
                </c:pt>
                <c:pt idx="325">
                  <c:v>4.0001913861849037E-3</c:v>
                </c:pt>
                <c:pt idx="326">
                  <c:v>4.0220063381596338E-3</c:v>
                </c:pt>
                <c:pt idx="327">
                  <c:v>4.0438208123310115E-3</c:v>
                </c:pt>
                <c:pt idx="328">
                  <c:v>4.0656348087093619E-3</c:v>
                </c:pt>
                <c:pt idx="329">
                  <c:v>4.087448327305232E-3</c:v>
                </c:pt>
                <c:pt idx="330">
                  <c:v>4.109261368129058E-3</c:v>
                </c:pt>
                <c:pt idx="331">
                  <c:v>4.1310739311912759E-3</c:v>
                </c:pt>
                <c:pt idx="332">
                  <c:v>4.1528860165024328E-3</c:v>
                </c:pt>
                <c:pt idx="333">
                  <c:v>4.1746976240728539E-3</c:v>
                </c:pt>
                <c:pt idx="334">
                  <c:v>4.1965087539131973E-3</c:v>
                </c:pt>
                <c:pt idx="335">
                  <c:v>4.2183194060337881E-3</c:v>
                </c:pt>
                <c:pt idx="336">
                  <c:v>4.2401295804450623E-3</c:v>
                </c:pt>
                <c:pt idx="337">
                  <c:v>4.2619392771576781E-3</c:v>
                </c:pt>
                <c:pt idx="338">
                  <c:v>4.2837484961818495E-3</c:v>
                </c:pt>
                <c:pt idx="339">
                  <c:v>4.3055572375281237E-3</c:v>
                </c:pt>
                <c:pt idx="340">
                  <c:v>4.3273655012070478E-3</c:v>
                </c:pt>
                <c:pt idx="341">
                  <c:v>4.3491732872290578E-3</c:v>
                </c:pt>
                <c:pt idx="342">
                  <c:v>4.37098059560459E-3</c:v>
                </c:pt>
                <c:pt idx="343">
                  <c:v>4.3927874263440803E-3</c:v>
                </c:pt>
                <c:pt idx="344">
                  <c:v>4.4145937794579648E-3</c:v>
                </c:pt>
                <c:pt idx="345">
                  <c:v>4.4363996549567908E-3</c:v>
                </c:pt>
                <c:pt idx="346">
                  <c:v>4.4582050528509942E-3</c:v>
                </c:pt>
                <c:pt idx="347">
                  <c:v>4.4800099731510112E-3</c:v>
                </c:pt>
                <c:pt idx="348">
                  <c:v>4.5018144158672779E-3</c:v>
                </c:pt>
                <c:pt idx="349">
                  <c:v>4.5236183810103414E-3</c:v>
                </c:pt>
                <c:pt idx="350">
                  <c:v>4.5454218685905268E-3</c:v>
                </c:pt>
                <c:pt idx="351">
                  <c:v>4.5672248786184921E-3</c:v>
                </c:pt>
                <c:pt idx="352">
                  <c:v>4.5890274111044516E-3</c:v>
                </c:pt>
                <c:pt idx="353">
                  <c:v>4.6108294660590632E-3</c:v>
                </c:pt>
                <c:pt idx="354">
                  <c:v>4.6326310434927631E-3</c:v>
                </c:pt>
                <c:pt idx="355">
                  <c:v>4.6544321434158764E-3</c:v>
                </c:pt>
                <c:pt idx="356">
                  <c:v>4.6762327658390612E-3</c:v>
                </c:pt>
                <c:pt idx="357">
                  <c:v>4.6980329107725316E-3</c:v>
                </c:pt>
                <c:pt idx="358">
                  <c:v>4.7198325782269457E-3</c:v>
                </c:pt>
                <c:pt idx="359">
                  <c:v>4.7416317682127396E-3</c:v>
                </c:pt>
                <c:pt idx="360">
                  <c:v>4.7634304807402383E-3</c:v>
                </c:pt>
                <c:pt idx="361">
                  <c:v>4.7852287158201001E-3</c:v>
                </c:pt>
                <c:pt idx="362">
                  <c:v>4.807026473462539E-3</c:v>
                </c:pt>
                <c:pt idx="363">
                  <c:v>4.828823753678213E-3</c:v>
                </c:pt>
                <c:pt idx="364">
                  <c:v>4.8506205564775584E-3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1.3117840564299526E-4</c:v>
                </c:pt>
                <c:pt idx="144">
                  <c:v>2.6242066313447005E-4</c:v>
                </c:pt>
                <c:pt idx="145">
                  <c:v>3.9372652906546744E-4</c:v>
                </c:pt>
                <c:pt idx="146">
                  <c:v>5.2509531585779191E-4</c:v>
                </c:pt>
                <c:pt idx="147">
                  <c:v>6.5652588840542988E-4</c:v>
                </c:pt>
                <c:pt idx="148">
                  <c:v>7.8801666300957497E-4</c:v>
                </c:pt>
                <c:pt idx="149">
                  <c:v>9.1956560868461487E-4</c:v>
                </c:pt>
                <c:pt idx="150">
                  <c:v>1.0511702508938972E-3</c:v>
                </c:pt>
                <c:pt idx="151">
                  <c:v>1.1828276777557868E-3</c:v>
                </c:pt>
                <c:pt idx="152">
                  <c:v>1.3145345487391934E-3</c:v>
                </c:pt>
                <c:pt idx="153">
                  <c:v>1.4462871058479347E-3</c:v>
                </c:pt>
                <c:pt idx="154">
                  <c:v>1.5780811872706923E-3</c:v>
                </c:pt>
                <c:pt idx="155">
                  <c:v>1.7099122434519999E-3</c:v>
                </c:pt>
                <c:pt idx="156">
                  <c:v>1.841775355517432E-3</c:v>
                </c:pt>
                <c:pt idx="157">
                  <c:v>1.9736652559640064E-3</c:v>
                </c:pt>
                <c:pt idx="158">
                  <c:v>2.1055763515055431E-3</c:v>
                </c:pt>
                <c:pt idx="159">
                  <c:v>2.2375027479414507E-3</c:v>
                </c:pt>
                <c:pt idx="160">
                  <c:v>2.3694382768975979E-3</c:v>
                </c:pt>
                <c:pt idx="161">
                  <c:v>2.5013765242684286E-3</c:v>
                </c:pt>
                <c:pt idx="162">
                  <c:v>2.6333108601723693E-3</c:v>
                </c:pt>
                <c:pt idx="163">
                  <c:v>2.765234470215898E-3</c:v>
                </c:pt>
                <c:pt idx="164">
                  <c:v>2.897140387847638E-3</c:v>
                </c:pt>
                <c:pt idx="165">
                  <c:v>3.029021527571001E-3</c:v>
                </c:pt>
                <c:pt idx="166">
                  <c:v>3.1608707187738682E-3</c:v>
                </c:pt>
                <c:pt idx="167">
                  <c:v>3.2926807399253949E-3</c:v>
                </c:pt>
                <c:pt idx="168">
                  <c:v>3.4244443528844088E-3</c:v>
                </c:pt>
                <c:pt idx="169">
                  <c:v>3.5561543370605134E-3</c:v>
                </c:pt>
                <c:pt idx="170">
                  <c:v>3.6878035231680986E-3</c:v>
                </c:pt>
                <c:pt idx="171">
                  <c:v>3.8193848263155012E-3</c:v>
                </c:pt>
                <c:pt idx="172">
                  <c:v>3.9508912781754434E-3</c:v>
                </c:pt>
                <c:pt idx="173">
                  <c:v>4.0823160579902236E-3</c:v>
                </c:pt>
                <c:pt idx="174">
                  <c:v>4.2136525221742188E-3</c:v>
                </c:pt>
                <c:pt idx="175">
                  <c:v>4.3448942322881767E-3</c:v>
                </c:pt>
                <c:pt idx="176">
                  <c:v>4.4760349811736972E-3</c:v>
                </c:pt>
                <c:pt idx="177">
                  <c:v>4.6070688170530135E-3</c:v>
                </c:pt>
                <c:pt idx="178">
                  <c:v>4.73799006541702E-3</c:v>
                </c:pt>
                <c:pt idx="179">
                  <c:v>4.8687933485448438E-3</c:v>
                </c:pt>
                <c:pt idx="180">
                  <c:v>4.9994736025200772E-3</c:v>
                </c:pt>
                <c:pt idx="181">
                  <c:v>5.1300260916320008E-3</c:v>
                </c:pt>
                <c:pt idx="182">
                  <c:v>5.2604464200740747E-3</c:v>
                </c:pt>
                <c:pt idx="183">
                  <c:v>5.390730540877537E-3</c:v>
                </c:pt>
                <c:pt idx="184">
                  <c:v>5.5208747620438146E-3</c:v>
                </c:pt>
                <c:pt idx="185">
                  <c:v>5.6508757498652147E-3</c:v>
                </c:pt>
                <c:pt idx="186">
                  <c:v>5.7807305294498654E-3</c:v>
                </c:pt>
                <c:pt idx="187">
                  <c:v>5.9104364824927973E-3</c:v>
                </c:pt>
                <c:pt idx="188">
                  <c:v>6.0399913423603803E-3</c:v>
                </c:pt>
                <c:pt idx="189">
                  <c:v>6.1693931865800132E-3</c:v>
                </c:pt>
                <c:pt idx="190">
                  <c:v>6.298640426850472E-3</c:v>
                </c:pt>
                <c:pt idx="191">
                  <c:v>6.427731796710379E-3</c:v>
                </c:pt>
                <c:pt idx="192">
                  <c:v>6.5566663370229972E-3</c:v>
                </c:pt>
                <c:pt idx="193">
                  <c:v>6.6854433794541167E-3</c:v>
                </c:pt>
                <c:pt idx="194">
                  <c:v>6.8140625281365198E-3</c:v>
                </c:pt>
                <c:pt idx="195">
                  <c:v>6.942523639729024E-3</c:v>
                </c:pt>
                <c:pt idx="196">
                  <c:v>7.0708268020899063E-3</c:v>
                </c:pt>
                <c:pt idx="197">
                  <c:v>7.1989723117943565E-3</c:v>
                </c:pt>
                <c:pt idx="198">
                  <c:v>7.3269606507320962E-3</c:v>
                </c:pt>
                <c:pt idx="199">
                  <c:v>7.4547924620257996E-3</c:v>
                </c:pt>
                <c:pt idx="200">
                  <c:v>7.5824685255121175E-3</c:v>
                </c:pt>
                <c:pt idx="201">
                  <c:v>7.7099897330256068E-3</c:v>
                </c:pt>
                <c:pt idx="202">
                  <c:v>7.8373570637224662E-3</c:v>
                </c:pt>
                <c:pt idx="203">
                  <c:v>7.9645715596729678E-3</c:v>
                </c:pt>
                <c:pt idx="204">
                  <c:v>8.091634301943507E-3</c:v>
                </c:pt>
                <c:pt idx="205">
                  <c:v>8.2185463873759908E-3</c:v>
                </c:pt>
                <c:pt idx="206">
                  <c:v>8.3453089062591988E-3</c:v>
                </c:pt>
                <c:pt idx="207">
                  <c:v>8.471922921069748E-3</c:v>
                </c:pt>
                <c:pt idx="208">
                  <c:v>8.5983894464422977E-3</c:v>
                </c:pt>
                <c:pt idx="209">
                  <c:v>8.7247094305085947E-3</c:v>
                </c:pt>
                <c:pt idx="210">
                  <c:v>8.8508837377237748E-3</c:v>
                </c:pt>
                <c:pt idx="211">
                  <c:v>8.9769131332753747E-3</c:v>
                </c:pt>
                <c:pt idx="212">
                  <c:v>9.1027982691473594E-3</c:v>
                </c:pt>
                <c:pt idx="213">
                  <c:v>9.2285396718874615E-3</c:v>
                </c:pt>
                <c:pt idx="214">
                  <c:v>9.3541377321013572E-3</c:v>
                </c:pt>
                <c:pt idx="215">
                  <c:v>9.4795926956735468E-3</c:v>
                </c:pt>
                <c:pt idx="216">
                  <c:v>9.6049046566903159E-3</c:v>
                </c:pt>
                <c:pt idx="217">
                  <c:v>9.7300735520172797E-3</c:v>
                </c:pt>
                <c:pt idx="218">
                  <c:v>9.8550991574614007E-3</c:v>
                </c:pt>
                <c:pt idx="219">
                  <c:v>9.9799810854266802E-3</c:v>
                </c:pt>
                <c:pt idx="220">
                  <c:v>1.0104718783952769E-2</c:v>
                </c:pt>
                <c:pt idx="221">
                  <c:v>1.0229311537008533E-2</c:v>
                </c:pt>
                <c:pt idx="222">
                  <c:v>1.0353758465896777E-2</c:v>
                </c:pt>
                <c:pt idx="223">
                  <c:v>1.0478058531612929E-2</c:v>
                </c:pt>
                <c:pt idx="224">
                  <c:v>1.060221053798952E-2</c:v>
                </c:pt>
                <c:pt idx="225">
                  <c:v>1.0726213135450583E-2</c:v>
                </c:pt>
                <c:pt idx="226">
                  <c:v>1.0850064825193696E-2</c:v>
                </c:pt>
                <c:pt idx="227">
                  <c:v>1.0973763963615456E-2</c:v>
                </c:pt>
                <c:pt idx="228">
                  <c:v>1.109730876679621E-2</c:v>
                </c:pt>
                <c:pt idx="229">
                  <c:v>1.1220697314862804E-2</c:v>
                </c:pt>
                <c:pt idx="230">
                  <c:v>1.1343927556054541E-2</c:v>
                </c:pt>
                <c:pt idx="231">
                  <c:v>1.1466997310326424E-2</c:v>
                </c:pt>
                <c:pt idx="232">
                  <c:v>1.1589904272335042E-2</c:v>
                </c:pt>
                <c:pt idx="233">
                  <c:v>1.1712646013667827E-2</c:v>
                </c:pt>
                <c:pt idx="234">
                  <c:v>1.1835219984191932E-2</c:v>
                </c:pt>
                <c:pt idx="235">
                  <c:v>1.1957623512419382E-2</c:v>
                </c:pt>
                <c:pt idx="236">
                  <c:v>1.2079853804805604E-2</c:v>
                </c:pt>
                <c:pt idx="237">
                  <c:v>1.220190794392154E-2</c:v>
                </c:pt>
                <c:pt idx="238">
                  <c:v>1.23237828854644E-2</c:v>
                </c:pt>
                <c:pt idx="239">
                  <c:v>1.2445475454097433E-2</c:v>
                </c:pt>
                <c:pt idx="240">
                  <c:v>1.2566982338135992E-2</c:v>
                </c:pt>
                <c:pt idx="241">
                  <c:v>1.2688300083124042E-2</c:v>
                </c:pt>
                <c:pt idx="242">
                  <c:v>1.2809425084372822E-2</c:v>
                </c:pt>
                <c:pt idx="243">
                  <c:v>1.2930353578560365E-2</c:v>
                </c:pt>
                <c:pt idx="244">
                  <c:v>1.3051081634516865E-2</c:v>
                </c:pt>
                <c:pt idx="245">
                  <c:v>1.317160514334703E-2</c:v>
                </c:pt>
                <c:pt idx="246">
                  <c:v>1.3291919808064236E-2</c:v>
                </c:pt>
                <c:pt idx="247">
                  <c:v>1.3412021132934247E-2</c:v>
                </c:pt>
                <c:pt idx="248">
                  <c:v>1.3531904412747067E-2</c:v>
                </c:pt>
                <c:pt idx="249">
                  <c:v>1.3651564722252965E-2</c:v>
                </c:pt>
                <c:pt idx="250">
                  <c:v>1.377099690601556E-2</c:v>
                </c:pt>
                <c:pt idx="251">
                  <c:v>1.3890195568946275E-2</c:v>
                </c:pt>
                <c:pt idx="252">
                  <c:v>1.40091550677951E-2</c:v>
                </c:pt>
                <c:pt idx="253">
                  <c:v>1.4127869503878046E-2</c:v>
                </c:pt>
                <c:pt idx="254">
                  <c:v>1.424633271732475E-2</c:v>
                </c:pt>
                <c:pt idx="255">
                  <c:v>1.4364538283128215E-2</c:v>
                </c:pt>
                <c:pt idx="256">
                  <c:v>1.4482479509274336E-2</c:v>
                </c:pt>
                <c:pt idx="257">
                  <c:v>1.4600149437219536E-2</c:v>
                </c:pt>
                <c:pt idx="258">
                  <c:v>1.471754084497285E-2</c:v>
                </c:pt>
                <c:pt idx="259">
                  <c:v>1.4834646253021973E-2</c:v>
                </c:pt>
                <c:pt idx="260">
                  <c:v>1.4951457933322957E-2</c:v>
                </c:pt>
                <c:pt idx="261">
                  <c:v>1.5067967921549639E-2</c:v>
                </c:pt>
                <c:pt idx="262">
                  <c:v>1.5184168032771199E-2</c:v>
                </c:pt>
                <c:pt idx="263">
                  <c:v>1.5300049880696647E-2</c:v>
                </c:pt>
                <c:pt idx="264">
                  <c:v>1.5415604900591221E-2</c:v>
                </c:pt>
                <c:pt idx="265">
                  <c:v>1.5530824375933944E-2</c:v>
                </c:pt>
                <c:pt idx="266">
                  <c:v>1.5645699468847345E-2</c:v>
                </c:pt>
                <c:pt idx="267">
                  <c:v>1.5760221254289955E-2</c:v>
                </c:pt>
                <c:pt idx="268">
                  <c:v>1.5874380757960858E-2</c:v>
                </c:pt>
                <c:pt idx="269">
                  <c:v>1.5988168997822426E-2</c:v>
                </c:pt>
                <c:pt idx="270">
                  <c:v>1.6101577029103704E-2</c:v>
                </c:pt>
                <c:pt idx="271">
                  <c:v>1.6214595992603862E-2</c:v>
                </c:pt>
                <c:pt idx="272">
                  <c:v>1.6327217166071037E-2</c:v>
                </c:pt>
                <c:pt idx="273">
                  <c:v>1.6439432018389506E-2</c:v>
                </c:pt>
                <c:pt idx="274">
                  <c:v>1.6551232266266945E-2</c:v>
                </c:pt>
                <c:pt idx="275">
                  <c:v>1.6662609933073742E-2</c:v>
                </c:pt>
                <c:pt idx="276">
                  <c:v>1.6773557409448622E-2</c:v>
                </c:pt>
                <c:pt idx="277">
                  <c:v>1.6884067515250956E-2</c:v>
                </c:pt>
                <c:pt idx="278">
                  <c:v>1.6994133562407466E-2</c:v>
                </c:pt>
                <c:pt idx="279">
                  <c:v>1.7103749418173927E-2</c:v>
                </c:pt>
                <c:pt idx="280">
                  <c:v>1.7212909568307969E-2</c:v>
                </c:pt>
                <c:pt idx="281">
                  <c:v>1.7321609179628994E-2</c:v>
                </c:pt>
                <c:pt idx="282">
                  <c:v>1.742984416142675E-2</c:v>
                </c:pt>
                <c:pt idx="283">
                  <c:v>1.7537611225169007E-2</c:v>
                </c:pt>
                <c:pt idx="284">
                  <c:v>1.7644907941954016E-2</c:v>
                </c:pt>
                <c:pt idx="285">
                  <c:v>1.7751732797153391E-2</c:v>
                </c:pt>
                <c:pt idx="286">
                  <c:v>1.7858085241696374E-2</c:v>
                </c:pt>
                <c:pt idx="287">
                  <c:v>1.7963965739457619E-2</c:v>
                </c:pt>
                <c:pt idx="288">
                  <c:v>1.8069375810226645E-2</c:v>
                </c:pt>
                <c:pt idx="289">
                  <c:v>1.8174318067759505E-2</c:v>
                </c:pt>
                <c:pt idx="290">
                  <c:v>1.8278796252439798E-2</c:v>
                </c:pt>
                <c:pt idx="291">
                  <c:v>1.8382815258109194E-2</c:v>
                </c:pt>
                <c:pt idx="292">
                  <c:v>1.8486381152664117E-2</c:v>
                </c:pt>
                <c:pt idx="293">
                  <c:v>1.8589501192058405E-2</c:v>
                </c:pt>
                <c:pt idx="294">
                  <c:v>1.8692183827396951E-2</c:v>
                </c:pt>
                <c:pt idx="295">
                  <c:v>1.8794438704856746E-2</c:v>
                </c:pt>
                <c:pt idx="296">
                  <c:v>1.889627665822529E-2</c:v>
                </c:pt>
                <c:pt idx="297">
                  <c:v>1.8997709693903301E-2</c:v>
                </c:pt>
                <c:pt idx="298">
                  <c:v>1.9098750968279048E-2</c:v>
                </c:pt>
                <c:pt idx="299">
                  <c:v>1.9199414757442707E-2</c:v>
                </c:pt>
                <c:pt idx="300">
                  <c:v>1.9299716419273201E-2</c:v>
                </c:pt>
                <c:pt idx="301">
                  <c:v>1.939967234799363E-2</c:v>
                </c:pt>
                <c:pt idx="302">
                  <c:v>1.949929992135695E-2</c:v>
                </c:pt>
                <c:pt idx="303">
                  <c:v>1.9598617440686673E-2</c:v>
                </c:pt>
                <c:pt idx="304">
                  <c:v>1.9697644064062197E-2</c:v>
                </c:pt>
                <c:pt idx="305">
                  <c:v>1.9796399732999306E-2</c:v>
                </c:pt>
                <c:pt idx="306">
                  <c:v>1.9894905093036458E-2</c:v>
                </c:pt>
                <c:pt idx="307">
                  <c:v>1.9993181408695042E-2</c:v>
                </c:pt>
                <c:pt idx="308">
                  <c:v>2.0091250473334602E-2</c:v>
                </c:pt>
                <c:pt idx="309">
                  <c:v>2.0189134514474762E-2</c:v>
                </c:pt>
                <c:pt idx="310">
                  <c:v>2.0286856095200655E-2</c:v>
                </c:pt>
                <c:pt idx="311">
                  <c:v>2.0384438012309308E-2</c:v>
                </c:pt>
                <c:pt idx="312">
                  <c:v>2.0481903191889757E-2</c:v>
                </c:pt>
                <c:pt idx="313">
                  <c:v>2.0579274583059311E-2</c:v>
                </c:pt>
                <c:pt idx="314">
                  <c:v>2.0676575050601855E-2</c:v>
                </c:pt>
                <c:pt idx="315">
                  <c:v>2.0773827267271228E-2</c:v>
                </c:pt>
                <c:pt idx="316">
                  <c:v>2.0871053606533484E-2</c:v>
                </c:pt>
                <c:pt idx="317">
                  <c:v>2.0968276036525475E-2</c:v>
                </c:pt>
                <c:pt idx="318">
                  <c:v>2.1065516016004707E-2</c:v>
                </c:pt>
                <c:pt idx="319">
                  <c:v>2.1162794393055247E-2</c:v>
                </c:pt>
                <c:pt idx="320">
                  <c:v>2.1260131307297786E-2</c:v>
                </c:pt>
                <c:pt idx="321">
                  <c:v>2.1357546096329415E-2</c:v>
                </c:pt>
                <c:pt idx="322">
                  <c:v>2.1455057207087503E-2</c:v>
                </c:pt>
                <c:pt idx="323">
                  <c:v>2.155268211279722E-2</c:v>
                </c:pt>
                <c:pt idx="324">
                  <c:v>2.1650437236118918E-2</c:v>
                </c:pt>
                <c:pt idx="325">
                  <c:v>2.1748337879064359E-2</c:v>
                </c:pt>
                <c:pt idx="326">
                  <c:v>2.1846398160197466E-2</c:v>
                </c:pt>
                <c:pt idx="327">
                  <c:v>2.1944630959576973E-2</c:v>
                </c:pt>
                <c:pt idx="328">
                  <c:v>2.2043047871836724E-2</c:v>
                </c:pt>
                <c:pt idx="329">
                  <c:v>2.214165916773304E-2</c:v>
                </c:pt>
                <c:pt idx="330">
                  <c:v>2.2240473764419448E-2</c:v>
                </c:pt>
                <c:pt idx="331">
                  <c:v>2.2339499204637986E-2</c:v>
                </c:pt>
                <c:pt idx="332">
                  <c:v>2.2438741644942525E-2</c:v>
                </c:pt>
                <c:pt idx="333">
                  <c:v>2.2538205852995263E-2</c:v>
                </c:pt>
                <c:pt idx="334">
                  <c:v>2.2637895213902446E-2</c:v>
                </c:pt>
                <c:pt idx="335">
                  <c:v>2.2737811745481212E-2</c:v>
                </c:pt>
                <c:pt idx="336">
                  <c:v>2.2837956122274791E-2</c:v>
                </c:pt>
                <c:pt idx="337">
                  <c:v>2.2938327708062214E-2</c:v>
                </c:pt>
                <c:pt idx="338">
                  <c:v>2.3038924596538255E-2</c:v>
                </c:pt>
                <c:pt idx="339">
                  <c:v>2.3139743659772848E-2</c:v>
                </c:pt>
                <c:pt idx="340">
                  <c:v>2.3240780603995936E-2</c:v>
                </c:pt>
                <c:pt idx="341">
                  <c:v>2.3342030032194861E-2</c:v>
                </c:pt>
                <c:pt idx="342">
                  <c:v>2.3443485512956982E-2</c:v>
                </c:pt>
                <c:pt idx="343">
                  <c:v>2.3545139654941663E-2</c:v>
                </c:pt>
                <c:pt idx="344">
                  <c:v>2.3646984186321971E-2</c:v>
                </c:pt>
                <c:pt idx="345">
                  <c:v>2.3749010038499978E-2</c:v>
                </c:pt>
                <c:pt idx="346">
                  <c:v>2.385120743336841E-2</c:v>
                </c:pt>
                <c:pt idx="347">
                  <c:v>2.3953565973367796E-2</c:v>
                </c:pt>
                <c:pt idx="348">
                  <c:v>2.4056074733571318E-2</c:v>
                </c:pt>
                <c:pt idx="349">
                  <c:v>2.4158722355019584E-2</c:v>
                </c:pt>
                <c:pt idx="350">
                  <c:v>2.4261497138525059E-2</c:v>
                </c:pt>
                <c:pt idx="351">
                  <c:v>2.4364387138170469E-2</c:v>
                </c:pt>
                <c:pt idx="352">
                  <c:v>2.4467380253736782E-2</c:v>
                </c:pt>
                <c:pt idx="353">
                  <c:v>2.4570464321315481E-2</c:v>
                </c:pt>
                <c:pt idx="354">
                  <c:v>2.4673627201384881E-2</c:v>
                </c:pt>
                <c:pt idx="355">
                  <c:v>2.4776856863662163E-2</c:v>
                </c:pt>
                <c:pt idx="356">
                  <c:v>2.4880141468080926E-2</c:v>
                </c:pt>
                <c:pt idx="357">
                  <c:v>2.4983469441287782E-2</c:v>
                </c:pt>
                <c:pt idx="358">
                  <c:v>2.508682954810074E-2</c:v>
                </c:pt>
                <c:pt idx="359">
                  <c:v>2.5190210957425706E-2</c:v>
                </c:pt>
                <c:pt idx="360">
                  <c:v>2.5293603302186132E-2</c:v>
                </c:pt>
                <c:pt idx="361">
                  <c:v>2.5396996732882114E-2</c:v>
                </c:pt>
                <c:pt idx="362">
                  <c:v>2.5500381964460573E-2</c:v>
                </c:pt>
                <c:pt idx="363">
                  <c:v>2.5603750316245247E-2</c:v>
                </c:pt>
                <c:pt idx="364">
                  <c:v>2.5707093744743881E-2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5.3028345570172775E-10</c:v>
                </c:pt>
                <c:pt idx="1">
                  <c:v>1.3346870060753108E-8</c:v>
                </c:pt>
                <c:pt idx="2">
                  <c:v>2.6452324019177261E-8</c:v>
                </c:pt>
                <c:pt idx="3">
                  <c:v>3.990123197560816E-8</c:v>
                </c:pt>
                <c:pt idx="4">
                  <c:v>5.3753560941749427E-8</c:v>
                </c:pt>
                <c:pt idx="5">
                  <c:v>6.8074899690350113E-8</c:v>
                </c:pt>
                <c:pt idx="6">
                  <c:v>8.2936762121049618E-8</c:v>
                </c:pt>
                <c:pt idx="7">
                  <c:v>9.841696031177966E-8</c:v>
                </c:pt>
                <c:pt idx="8">
                  <c:v>1.1458727023119969E-7</c:v>
                </c:pt>
                <c:pt idx="9">
                  <c:v>1.3134389916612899E-7</c:v>
                </c:pt>
                <c:pt idx="10">
                  <c:v>1.4863275079278154E-7</c:v>
                </c:pt>
                <c:pt idx="11">
                  <c:v>1.66442548240223E-7</c:v>
                </c:pt>
                <c:pt idx="12">
                  <c:v>1.8476015734290163E-7</c:v>
                </c:pt>
                <c:pt idx="13">
                  <c:v>2.0357050559110517E-7</c:v>
                </c:pt>
                <c:pt idx="14">
                  <c:v>2.2285650270742682E-7</c:v>
                </c:pt>
                <c:pt idx="15">
                  <c:v>2.4255033698119806E-7</c:v>
                </c:pt>
                <c:pt idx="16">
                  <c:v>2.6243319914398831E-7</c:v>
                </c:pt>
                <c:pt idx="17">
                  <c:v>2.8242546896624176E-7</c:v>
                </c:pt>
                <c:pt idx="18">
                  <c:v>3.0244224896621271E-7</c:v>
                </c:pt>
                <c:pt idx="19">
                  <c:v>3.2239502351619403E-7</c:v>
                </c:pt>
                <c:pt idx="20">
                  <c:v>3.4219103577360474E-7</c:v>
                </c:pt>
                <c:pt idx="21">
                  <c:v>3.6173092886301908E-7</c:v>
                </c:pt>
                <c:pt idx="22">
                  <c:v>3.8089125503589267E-7</c:v>
                </c:pt>
                <c:pt idx="23">
                  <c:v>3.9992328554758351E-7</c:v>
                </c:pt>
                <c:pt idx="24">
                  <c:v>4.1935448737573167E-7</c:v>
                </c:pt>
                <c:pt idx="25">
                  <c:v>4.3924545381042497E-7</c:v>
                </c:pt>
                <c:pt idx="26">
                  <c:v>4.5966160005211096E-7</c:v>
                </c:pt>
                <c:pt idx="27">
                  <c:v>4.8067328134820706E-7</c:v>
                </c:pt>
                <c:pt idx="28">
                  <c:v>5.0235595435462722E-7</c:v>
                </c:pt>
                <c:pt idx="29">
                  <c:v>5.2494990255858129E-7</c:v>
                </c:pt>
                <c:pt idx="30">
                  <c:v>5.4868605459077822E-7</c:v>
                </c:pt>
                <c:pt idx="31">
                  <c:v>5.7369960772095936E-7</c:v>
                </c:pt>
                <c:pt idx="32">
                  <c:v>6.0013465851862919E-7</c:v>
                </c:pt>
                <c:pt idx="33">
                  <c:v>6.2814491311669239E-7</c:v>
                </c:pt>
                <c:pt idx="34">
                  <c:v>6.5789449474094707E-7</c:v>
                </c:pt>
                <c:pt idx="35">
                  <c:v>6.8955885591341658E-7</c:v>
                </c:pt>
                <c:pt idx="36">
                  <c:v>7.2324876204776681E-7</c:v>
                </c:pt>
                <c:pt idx="37">
                  <c:v>7.5923458729251676E-7</c:v>
                </c:pt>
                <c:pt idx="38">
                  <c:v>7.9694975439260094E-7</c:v>
                </c:pt>
                <c:pt idx="39">
                  <c:v>8.3650941684810986E-7</c:v>
                </c:pt>
                <c:pt idx="40">
                  <c:v>8.7803568019321451E-7</c:v>
                </c:pt>
                <c:pt idx="41">
                  <c:v>9.2165805546033561E-7</c:v>
                </c:pt>
                <c:pt idx="42">
                  <c:v>9.6751395244660051E-7</c:v>
                </c:pt>
                <c:pt idx="43">
                  <c:v>1.0160897854452501E-6</c:v>
                </c:pt>
                <c:pt idx="44">
                  <c:v>1.067273768796218E-6</c:v>
                </c:pt>
                <c:pt idx="45">
                  <c:v>1.1212375111744845E-6</c:v>
                </c:pt>
                <c:pt idx="46">
                  <c:v>1.1781634463538041E-6</c:v>
                </c:pt>
                <c:pt idx="47">
                  <c:v>1.2382456203998601E-6</c:v>
                </c:pt>
                <c:pt idx="48">
                  <c:v>1.3016905470751829E-6</c:v>
                </c:pt>
                <c:pt idx="49">
                  <c:v>1.3687181379507095E-6</c:v>
                </c:pt>
                <c:pt idx="50">
                  <c:v>1.4395259474220053E-6</c:v>
                </c:pt>
                <c:pt idx="51">
                  <c:v>1.5127669919565288E-6</c:v>
                </c:pt>
                <c:pt idx="52">
                  <c:v>1.5881717871856988E-6</c:v>
                </c:pt>
                <c:pt idx="53">
                  <c:v>1.6657377395169334E-6</c:v>
                </c:pt>
                <c:pt idx="54">
                  <c:v>1.7454654694141833E-6</c:v>
                </c:pt>
                <c:pt idx="55">
                  <c:v>1.82735138121814E-6</c:v>
                </c:pt>
                <c:pt idx="56">
                  <c:v>1.911387355513587E-6</c:v>
                </c:pt>
                <c:pt idx="57">
                  <c:v>1.9927178426507967E-6</c:v>
                </c:pt>
                <c:pt idx="58">
                  <c:v>2.0701461776769686E-6</c:v>
                </c:pt>
                <c:pt idx="59">
                  <c:v>2.1429731886674939E-6</c:v>
                </c:pt>
                <c:pt idx="60">
                  <c:v>2.210446837286528E-6</c:v>
                </c:pt>
                <c:pt idx="61">
                  <c:v>2.2717590908383585E-6</c:v>
                </c:pt>
                <c:pt idx="62">
                  <c:v>2.3260426179331726E-6</c:v>
                </c:pt>
                <c:pt idx="63">
                  <c:v>2.3723672939561869E-6</c:v>
                </c:pt>
                <c:pt idx="64">
                  <c:v>2.4097148679619544E-6</c:v>
                </c:pt>
                <c:pt idx="65">
                  <c:v>2.4372037234797143E-6</c:v>
                </c:pt>
                <c:pt idx="66">
                  <c:v>2.4564584693648685E-6</c:v>
                </c:pt>
                <c:pt idx="67">
                  <c:v>2.4666129743387862E-6</c:v>
                </c:pt>
                <c:pt idx="68">
                  <c:v>2.4667405295768349E-6</c:v>
                </c:pt>
                <c:pt idx="69">
                  <c:v>2.4558493828707969E-6</c:v>
                </c:pt>
                <c:pt idx="70">
                  <c:v>2.4328779084128239E-6</c:v>
                </c:pt>
                <c:pt idx="71">
                  <c:v>2.4017595946514579E-6</c:v>
                </c:pt>
                <c:pt idx="72">
                  <c:v>2.370326504362107E-6</c:v>
                </c:pt>
                <c:pt idx="73">
                  <c:v>2.3388405743170719E-6</c:v>
                </c:pt>
                <c:pt idx="74">
                  <c:v>2.3075871603258402E-6</c:v>
                </c:pt>
                <c:pt idx="75">
                  <c:v>2.2768769370908606E-6</c:v>
                </c:pt>
                <c:pt idx="76">
                  <c:v>2.2470479743024014E-6</c:v>
                </c:pt>
                <c:pt idx="77">
                  <c:v>2.2184680031931655E-6</c:v>
                </c:pt>
                <c:pt idx="78">
                  <c:v>2.1914342587603572E-6</c:v>
                </c:pt>
                <c:pt idx="79">
                  <c:v>2.1671111527001818E-6</c:v>
                </c:pt>
                <c:pt idx="80">
                  <c:v>2.1457576953227113E-6</c:v>
                </c:pt>
                <c:pt idx="81">
                  <c:v>2.1279698000024508E-6</c:v>
                </c:pt>
                <c:pt idx="82">
                  <c:v>2.1143895238972224E-6</c:v>
                </c:pt>
                <c:pt idx="83">
                  <c:v>2.1057092204105607E-6</c:v>
                </c:pt>
                <c:pt idx="84">
                  <c:v>2.1026761148391464E-6</c:v>
                </c:pt>
                <c:pt idx="85">
                  <c:v>2.1084381813029912E-6</c:v>
                </c:pt>
                <c:pt idx="86">
                  <c:v>2.115319094090109E-6</c:v>
                </c:pt>
                <c:pt idx="87">
                  <c:v>2.1235470143442276E-6</c:v>
                </c:pt>
                <c:pt idx="88">
                  <c:v>2.1333686079576372E-6</c:v>
                </c:pt>
                <c:pt idx="89">
                  <c:v>2.1450508259464511E-6</c:v>
                </c:pt>
                <c:pt idx="90">
                  <c:v>2.1588828687996117E-6</c:v>
                </c:pt>
                <c:pt idx="91">
                  <c:v>2.1751783525941697E-6</c:v>
                </c:pt>
                <c:pt idx="92">
                  <c:v>2.19424933993199E-6</c:v>
                </c:pt>
                <c:pt idx="93">
                  <c:v>2.2272569470081684E-6</c:v>
                </c:pt>
                <c:pt idx="94">
                  <c:v>2.274410695347226E-6</c:v>
                </c:pt>
                <c:pt idx="95">
                  <c:v>2.3373062033145264E-6</c:v>
                </c:pt>
                <c:pt idx="96">
                  <c:v>2.4176757307712337E-6</c:v>
                </c:pt>
                <c:pt idx="97">
                  <c:v>2.5173970163189248E-6</c:v>
                </c:pt>
                <c:pt idx="98">
                  <c:v>2.6385024403454198E-6</c:v>
                </c:pt>
                <c:pt idx="99">
                  <c:v>2.8117949857544118E-6</c:v>
                </c:pt>
                <c:pt idx="100">
                  <c:v>3.0389108218386266E-6</c:v>
                </c:pt>
                <c:pt idx="101">
                  <c:v>3.3256056050957497E-6</c:v>
                </c:pt>
                <c:pt idx="102">
                  <c:v>3.6780893780974475E-6</c:v>
                </c:pt>
                <c:pt idx="103">
                  <c:v>4.1030515476007558E-6</c:v>
                </c:pt>
                <c:pt idx="104">
                  <c:v>4.6076860857243142E-6</c:v>
                </c:pt>
                <c:pt idx="105">
                  <c:v>5.1997167752771779E-6</c:v>
                </c:pt>
                <c:pt idx="106">
                  <c:v>5.8875357293739619E-6</c:v>
                </c:pt>
                <c:pt idx="107">
                  <c:v>6.7189404438905827E-6</c:v>
                </c:pt>
                <c:pt idx="108">
                  <c:v>7.688792267776127E-6</c:v>
                </c:pt>
                <c:pt idx="109">
                  <c:v>8.8101684578923113E-6</c:v>
                </c:pt>
                <c:pt idx="110">
                  <c:v>1.0097136812587108E-5</c:v>
                </c:pt>
                <c:pt idx="111">
                  <c:v>1.156480016888078E-5</c:v>
                </c:pt>
                <c:pt idx="112">
                  <c:v>1.3229321707598427E-5</c:v>
                </c:pt>
                <c:pt idx="113">
                  <c:v>1.5134514900321237E-5</c:v>
                </c:pt>
                <c:pt idx="114">
                  <c:v>1.725052067019766E-5</c:v>
                </c:pt>
                <c:pt idx="115">
                  <c:v>1.9594341492268924E-5</c:v>
                </c:pt>
                <c:pt idx="116">
                  <c:v>2.2184080339007046E-5</c:v>
                </c:pt>
                <c:pt idx="117">
                  <c:v>2.5038990558912567E-5</c:v>
                </c:pt>
                <c:pt idx="118">
                  <c:v>2.8179525600129699E-5</c:v>
                </c:pt>
                <c:pt idx="119">
                  <c:v>3.1627388255069581E-5</c:v>
                </c:pt>
                <c:pt idx="120">
                  <c:v>3.5405836816237815E-5</c:v>
                </c:pt>
                <c:pt idx="121">
                  <c:v>3.9573078929543953E-5</c:v>
                </c:pt>
                <c:pt idx="122">
                  <c:v>4.4088771158398262E-5</c:v>
                </c:pt>
                <c:pt idx="123">
                  <c:v>4.8975741971504905E-5</c:v>
                </c:pt>
                <c:pt idx="124">
                  <c:v>5.4257835934579965E-5</c:v>
                </c:pt>
                <c:pt idx="125">
                  <c:v>5.9959906904193276E-5</c:v>
                </c:pt>
                <c:pt idx="126">
                  <c:v>6.6107804012652756E-5</c:v>
                </c:pt>
                <c:pt idx="127">
                  <c:v>7.2734239592243382E-5</c:v>
                </c:pt>
                <c:pt idx="128">
                  <c:v>7.9819894247396919E-5</c:v>
                </c:pt>
                <c:pt idx="129">
                  <c:v>8.7388552881214644E-5</c:v>
                </c:pt>
                <c:pt idx="130">
                  <c:v>9.5464520623841706E-5</c:v>
                </c:pt>
                <c:pt idx="131">
                  <c:v>1.0407255619111435E-4</c:v>
                </c:pt>
                <c:pt idx="132">
                  <c:v>1.1323779586001682E-4</c:v>
                </c:pt>
                <c:pt idx="133">
                  <c:v>1.2298566774887439E-4</c:v>
                </c:pt>
                <c:pt idx="134">
                  <c:v>1.3334412091411951E-4</c:v>
                </c:pt>
                <c:pt idx="135">
                  <c:v>1.4433968469725704E-4</c:v>
                </c:pt>
                <c:pt idx="136">
                  <c:v>1.5593978644053806E-4</c:v>
                </c:pt>
                <c:pt idx="137">
                  <c:v>1.6816519367943034E-4</c:v>
                </c:pt>
                <c:pt idx="138">
                  <c:v>1.8103635821667348E-4</c:v>
                </c:pt>
                <c:pt idx="139">
                  <c:v>1.9457331035253558E-4</c:v>
                </c:pt>
                <c:pt idx="140">
                  <c:v>2.0879554851765237E-4</c:v>
                </c:pt>
                <c:pt idx="141">
                  <c:v>2.2372440421361924E-4</c:v>
                </c:pt>
                <c:pt idx="142">
                  <c:v>2.3936665217301183E-4</c:v>
                </c:pt>
                <c:pt idx="143">
                  <c:v>2.5573727898933665E-4</c:v>
                </c:pt>
                <c:pt idx="144">
                  <c:v>2.7285154113612458E-4</c:v>
                </c:pt>
                <c:pt idx="145">
                  <c:v>2.9072359731326374E-4</c:v>
                </c:pt>
                <c:pt idx="146">
                  <c:v>3.0936639940346938E-4</c:v>
                </c:pt>
                <c:pt idx="147">
                  <c:v>3.2879158599125649E-4</c:v>
                </c:pt>
                <c:pt idx="148">
                  <c:v>3.4900958941919304E-4</c:v>
                </c:pt>
                <c:pt idx="149">
                  <c:v>3.6987434531959206E-4</c:v>
                </c:pt>
                <c:pt idx="150">
                  <c:v>3.9138406069450562E-4</c:v>
                </c:pt>
                <c:pt idx="151">
                  <c:v>4.1353114325630387E-4</c:v>
                </c:pt>
                <c:pt idx="152">
                  <c:v>4.3630617719914324E-4</c:v>
                </c:pt>
                <c:pt idx="153">
                  <c:v>4.5969792338537599E-4</c:v>
                </c:pt>
                <c:pt idx="154">
                  <c:v>4.8369333265606897E-4</c:v>
                </c:pt>
                <c:pt idx="155">
                  <c:v>5.0795421825091259E-4</c:v>
                </c:pt>
                <c:pt idx="156">
                  <c:v>5.3243196430792625E-4</c:v>
                </c:pt>
                <c:pt idx="157">
                  <c:v>5.5707933587619603E-4</c:v>
                </c:pt>
                <c:pt idx="158">
                  <c:v>5.8184696187027474E-4</c:v>
                </c:pt>
                <c:pt idx="159">
                  <c:v>6.0668349704560921E-4</c:v>
                </c:pt>
                <c:pt idx="160">
                  <c:v>6.3153579855192924E-4</c:v>
                </c:pt>
                <c:pt idx="161">
                  <c:v>6.563491153180358E-4</c:v>
                </c:pt>
                <c:pt idx="162">
                  <c:v>6.8107493642347906E-4</c:v>
                </c:pt>
                <c:pt idx="163">
                  <c:v>7.0532970029702337E-4</c:v>
                </c:pt>
                <c:pt idx="164">
                  <c:v>7.2926229665700652E-4</c:v>
                </c:pt>
                <c:pt idx="165">
                  <c:v>7.5279979033279645E-4</c:v>
                </c:pt>
                <c:pt idx="166">
                  <c:v>7.758677965079378E-4</c:v>
                </c:pt>
                <c:pt idx="167">
                  <c:v>7.983907567824999E-4</c:v>
                </c:pt>
                <c:pt idx="168">
                  <c:v>8.2029222505193469E-4</c:v>
                </c:pt>
                <c:pt idx="169">
                  <c:v>8.4111507910908162E-4</c:v>
                </c:pt>
                <c:pt idx="170">
                  <c:v>8.6122753258837065E-4</c:v>
                </c:pt>
                <c:pt idx="171">
                  <c:v>8.8055752400886843E-4</c:v>
                </c:pt>
                <c:pt idx="172">
                  <c:v>8.9903328418810397E-4</c:v>
                </c:pt>
                <c:pt idx="173">
                  <c:v>9.1657424103331036E-4</c:v>
                </c:pt>
                <c:pt idx="174">
                  <c:v>9.3309948422030389E-4</c:v>
                </c:pt>
                <c:pt idx="175">
                  <c:v>9.4853805819574029E-4</c:v>
                </c:pt>
                <c:pt idx="176">
                  <c:v>9.6283834714740017E-4</c:v>
                </c:pt>
                <c:pt idx="177">
                  <c:v>9.7541848237021867E-4</c:v>
                </c:pt>
                <c:pt idx="178">
                  <c:v>9.8664573103760217E-4</c:v>
                </c:pt>
                <c:pt idx="179">
                  <c:v>9.9646116287951253E-4</c:v>
                </c:pt>
                <c:pt idx="180">
                  <c:v>1.0048083907813969E-3</c:v>
                </c:pt>
                <c:pt idx="181">
                  <c:v>1.0116336637965655E-3</c:v>
                </c:pt>
                <c:pt idx="182">
                  <c:v>1.0168859358867116E-3</c:v>
                </c:pt>
                <c:pt idx="183">
                  <c:v>1.0201747887082877E-3</c:v>
                </c:pt>
                <c:pt idx="184">
                  <c:v>1.0219356871585283E-3</c:v>
                </c:pt>
                <c:pt idx="185">
                  <c:v>1.0221323497353549E-3</c:v>
                </c:pt>
                <c:pt idx="186">
                  <c:v>1.0207310339539978E-3</c:v>
                </c:pt>
                <c:pt idx="187">
                  <c:v>1.0177004867271647E-3</c:v>
                </c:pt>
                <c:pt idx="188">
                  <c:v>1.01301187777477E-3</c:v>
                </c:pt>
                <c:pt idx="189">
                  <c:v>1.0066387175536894E-3</c:v>
                </c:pt>
                <c:pt idx="190">
                  <c:v>9.9856497470668859E-4</c:v>
                </c:pt>
                <c:pt idx="191">
                  <c:v>9.8878186271950151E-4</c:v>
                </c:pt>
                <c:pt idx="192">
                  <c:v>9.7792876531213927E-4</c:v>
                </c:pt>
                <c:pt idx="193">
                  <c:v>9.6600533315553336E-4</c:v>
                </c:pt>
                <c:pt idx="194">
                  <c:v>9.5301221328782451E-4</c:v>
                </c:pt>
                <c:pt idx="195">
                  <c:v>9.3895097220161275E-4</c:v>
                </c:pt>
                <c:pt idx="196">
                  <c:v>9.2382402120440451E-4</c:v>
                </c:pt>
                <c:pt idx="197">
                  <c:v>9.0762353555944486E-4</c:v>
                </c:pt>
                <c:pt idx="198">
                  <c:v>8.907605111491653E-4</c:v>
                </c:pt>
                <c:pt idx="199">
                  <c:v>8.7325028689114355E-4</c:v>
                </c:pt>
                <c:pt idx="200">
                  <c:v>8.5510831185446113E-4</c:v>
                </c:pt>
                <c:pt idx="201">
                  <c:v>8.3635009559873989E-4</c:v>
                </c:pt>
                <c:pt idx="202">
                  <c:v>8.1699116526278792E-4</c:v>
                </c:pt>
                <c:pt idx="203">
                  <c:v>7.9704702944460035E-4</c:v>
                </c:pt>
                <c:pt idx="204">
                  <c:v>7.7653618309777065E-4</c:v>
                </c:pt>
                <c:pt idx="205">
                  <c:v>7.555150878137399E-4</c:v>
                </c:pt>
                <c:pt idx="206">
                  <c:v>7.3399377157620685E-4</c:v>
                </c:pt>
                <c:pt idx="207">
                  <c:v>7.1199052057173765E-4</c:v>
                </c:pt>
                <c:pt idx="208">
                  <c:v>6.8952301487033895E-4</c:v>
                </c:pt>
                <c:pt idx="209">
                  <c:v>6.6660830324959531E-4</c:v>
                </c:pt>
                <c:pt idx="210">
                  <c:v>6.4326278418712986E-4</c:v>
                </c:pt>
                <c:pt idx="211">
                  <c:v>6.1977207803053287E-4</c:v>
                </c:pt>
                <c:pt idx="212">
                  <c:v>5.961685554221061E-4</c:v>
                </c:pt>
                <c:pt idx="213">
                  <c:v>5.7247159738426441E-4</c:v>
                </c:pt>
                <c:pt idx="214">
                  <c:v>5.4869971625851131E-4</c:v>
                </c:pt>
                <c:pt idx="215">
                  <c:v>5.248705750423374E-4</c:v>
                </c:pt>
                <c:pt idx="216">
                  <c:v>5.0100100938738393E-4</c:v>
                </c:pt>
                <c:pt idx="217">
                  <c:v>4.7710705168130409E-4</c:v>
                </c:pt>
                <c:pt idx="218">
                  <c:v>4.5320331171536256E-4</c:v>
                </c:pt>
                <c:pt idx="219">
                  <c:v>4.2960742940343938E-4</c:v>
                </c:pt>
                <c:pt idx="220">
                  <c:v>4.0629744634297491E-4</c:v>
                </c:pt>
                <c:pt idx="221">
                  <c:v>3.8328953936689699E-4</c:v>
                </c:pt>
                <c:pt idx="222">
                  <c:v>3.6059941611097312E-4</c:v>
                </c:pt>
                <c:pt idx="223">
                  <c:v>3.3824234387128138E-4</c:v>
                </c:pt>
                <c:pt idx="224">
                  <c:v>3.1623317652593755E-4</c:v>
                </c:pt>
                <c:pt idx="225">
                  <c:v>2.9516645323104614E-4</c:v>
                </c:pt>
                <c:pt idx="226">
                  <c:v>2.7477216251156107E-4</c:v>
                </c:pt>
                <c:pt idx="227">
                  <c:v>2.5506764207492138E-4</c:v>
                </c:pt>
                <c:pt idx="228">
                  <c:v>2.3606974848772915E-4</c:v>
                </c:pt>
                <c:pt idx="229">
                  <c:v>2.1779487104553474E-4</c:v>
                </c:pt>
                <c:pt idx="230">
                  <c:v>2.0025894286080555E-4</c:v>
                </c:pt>
                <c:pt idx="231">
                  <c:v>1.8347744926137052E-4</c:v>
                </c:pt>
                <c:pt idx="232">
                  <c:v>1.6746266890482137E-4</c:v>
                </c:pt>
                <c:pt idx="233">
                  <c:v>1.5283398430392399E-4</c:v>
                </c:pt>
                <c:pt idx="234">
                  <c:v>1.3928965012790552E-4</c:v>
                </c:pt>
                <c:pt idx="235">
                  <c:v>1.2684807678363535E-4</c:v>
                </c:pt>
                <c:pt idx="236">
                  <c:v>1.1552647020846367E-4</c:v>
                </c:pt>
                <c:pt idx="237">
                  <c:v>1.0534083231810623E-4</c:v>
                </c:pt>
                <c:pt idx="238">
                  <c:v>9.6306177966940307E-5</c:v>
                </c:pt>
                <c:pt idx="239">
                  <c:v>8.8732015824192451E-5</c:v>
                </c:pt>
                <c:pt idx="240">
                  <c:v>8.2021814432273242E-5</c:v>
                </c:pt>
                <c:pt idx="241">
                  <c:v>7.618550891108118E-5</c:v>
                </c:pt>
                <c:pt idx="242">
                  <c:v>7.1232595170835967E-5</c:v>
                </c:pt>
                <c:pt idx="243">
                  <c:v>6.7172225147345537E-5</c:v>
                </c:pt>
                <c:pt idx="244">
                  <c:v>6.4013303425859401E-5</c:v>
                </c:pt>
                <c:pt idx="245">
                  <c:v>6.1764585230484096E-5</c:v>
                </c:pt>
                <c:pt idx="246">
                  <c:v>6.0432439972975377E-5</c:v>
                </c:pt>
                <c:pt idx="247">
                  <c:v>6.011129081373592E-5</c:v>
                </c:pt>
                <c:pt idx="248">
                  <c:v>6.0176532303049208E-5</c:v>
                </c:pt>
                <c:pt idx="249">
                  <c:v>6.0631835711821132E-5</c:v>
                </c:pt>
                <c:pt idx="250">
                  <c:v>6.1480795819415345E-5</c:v>
                </c:pt>
                <c:pt idx="251">
                  <c:v>6.2726955216374066E-5</c:v>
                </c:pt>
                <c:pt idx="252">
                  <c:v>6.4373828649184835E-5</c:v>
                </c:pt>
                <c:pt idx="253">
                  <c:v>6.6463364466990419E-5</c:v>
                </c:pt>
                <c:pt idx="254">
                  <c:v>6.8691250357315225E-5</c:v>
                </c:pt>
                <c:pt idx="255">
                  <c:v>7.1058923618494264E-5</c:v>
                </c:pt>
                <c:pt idx="256">
                  <c:v>7.3567877161951278E-5</c:v>
                </c:pt>
                <c:pt idx="257">
                  <c:v>7.6219668255685701E-5</c:v>
                </c:pt>
                <c:pt idx="258">
                  <c:v>7.9015927613150126E-5</c:v>
                </c:pt>
                <c:pt idx="259">
                  <c:v>8.1958368954693542E-5</c:v>
                </c:pt>
                <c:pt idx="260">
                  <c:v>8.5047647452616071E-5</c:v>
                </c:pt>
                <c:pt idx="261">
                  <c:v>8.8615782620483466E-5</c:v>
                </c:pt>
                <c:pt idx="262">
                  <c:v>9.2574630887104519E-5</c:v>
                </c:pt>
                <c:pt idx="263">
                  <c:v>9.6927003580992764E-5</c:v>
                </c:pt>
                <c:pt idx="264">
                  <c:v>1.0167566810681616E-4</c:v>
                </c:pt>
                <c:pt idx="265">
                  <c:v>1.0682390479974131E-4</c:v>
                </c:pt>
                <c:pt idx="266">
                  <c:v>1.1237474624711897E-4</c:v>
                </c:pt>
                <c:pt idx="267">
                  <c:v>1.1834676863412917E-4</c:v>
                </c:pt>
                <c:pt idx="268">
                  <c:v>1.2470252716449752E-4</c:v>
                </c:pt>
                <c:pt idx="269">
                  <c:v>1.3144414649491259E-4</c:v>
                </c:pt>
                <c:pt idx="270">
                  <c:v>1.3857361340322867E-4</c:v>
                </c:pt>
                <c:pt idx="271">
                  <c:v>1.4609276297724026E-4</c:v>
                </c:pt>
                <c:pt idx="272">
                  <c:v>1.5400326577524249E-4</c:v>
                </c:pt>
                <c:pt idx="273">
                  <c:v>1.6230661622666735E-4</c:v>
                </c:pt>
                <c:pt idx="274">
                  <c:v>1.7100669739604751E-4</c:v>
                </c:pt>
                <c:pt idx="275">
                  <c:v>1.7955232117201276E-4</c:v>
                </c:pt>
                <c:pt idx="276">
                  <c:v>1.8759531668890498E-4</c:v>
                </c:pt>
                <c:pt idx="277">
                  <c:v>1.9512998803246766E-4</c:v>
                </c:pt>
                <c:pt idx="278">
                  <c:v>2.0215052251789064E-4</c:v>
                </c:pt>
                <c:pt idx="279">
                  <c:v>2.0865103533995217E-4</c:v>
                </c:pt>
                <c:pt idx="280">
                  <c:v>2.1462561465049066E-4</c:v>
                </c:pt>
                <c:pt idx="281">
                  <c:v>2.1984278560274251E-4</c:v>
                </c:pt>
                <c:pt idx="282">
                  <c:v>2.242785962043435E-4</c:v>
                </c:pt>
                <c:pt idx="283">
                  <c:v>2.2792581135012537E-4</c:v>
                </c:pt>
                <c:pt idx="284">
                  <c:v>2.307774495456804E-4</c:v>
                </c:pt>
                <c:pt idx="285">
                  <c:v>2.3282683846069521E-4</c:v>
                </c:pt>
                <c:pt idx="286">
                  <c:v>2.3406766786816387E-4</c:v>
                </c:pt>
                <c:pt idx="287">
                  <c:v>2.3449403949038963E-4</c:v>
                </c:pt>
                <c:pt idx="288">
                  <c:v>2.3410246695869594E-4</c:v>
                </c:pt>
                <c:pt idx="289">
                  <c:v>2.329610297389417E-4</c:v>
                </c:pt>
                <c:pt idx="290">
                  <c:v>2.3164021518838458E-4</c:v>
                </c:pt>
                <c:pt idx="291">
                  <c:v>2.3014083600475529E-4</c:v>
                </c:pt>
                <c:pt idx="292">
                  <c:v>2.2846387455293009E-4</c:v>
                </c:pt>
                <c:pt idx="293">
                  <c:v>2.2661047138131815E-4</c:v>
                </c:pt>
                <c:pt idx="294">
                  <c:v>2.2458191146756338E-4</c:v>
                </c:pt>
                <c:pt idx="295">
                  <c:v>2.2242406256468467E-4</c:v>
                </c:pt>
                <c:pt idx="296">
                  <c:v>2.2037273620735694E-4</c:v>
                </c:pt>
                <c:pt idx="297">
                  <c:v>2.184324119604322E-4</c:v>
                </c:pt>
                <c:pt idx="298">
                  <c:v>2.166057914054514E-4</c:v>
                </c:pt>
                <c:pt idx="299">
                  <c:v>2.1489566292556036E-4</c:v>
                </c:pt>
                <c:pt idx="300">
                  <c:v>2.133049090017709E-4</c:v>
                </c:pt>
                <c:pt idx="301">
                  <c:v>2.1183651448228481E-4</c:v>
                </c:pt>
                <c:pt idx="302">
                  <c:v>2.1051022143217998E-4</c:v>
                </c:pt>
                <c:pt idx="303">
                  <c:v>2.0940217465289344E-4</c:v>
                </c:pt>
                <c:pt idx="304">
                  <c:v>2.0843602546252163E-4</c:v>
                </c:pt>
                <c:pt idx="305">
                  <c:v>2.0760654029450604E-4</c:v>
                </c:pt>
                <c:pt idx="306">
                  <c:v>2.0690853658791541E-4</c:v>
                </c:pt>
                <c:pt idx="307">
                  <c:v>2.0633682261398507E-4</c:v>
                </c:pt>
                <c:pt idx="308">
                  <c:v>2.0588613856981072E-4</c:v>
                </c:pt>
                <c:pt idx="309">
                  <c:v>2.0575256558175224E-4</c:v>
                </c:pt>
                <c:pt idx="310">
                  <c:v>2.058863910729001E-4</c:v>
                </c:pt>
                <c:pt idx="311">
                  <c:v>2.0628303674524593E-4</c:v>
                </c:pt>
                <c:pt idx="312">
                  <c:v>2.0693757134004673E-4</c:v>
                </c:pt>
                <c:pt idx="313">
                  <c:v>2.0784460243456751E-4</c:v>
                </c:pt>
                <c:pt idx="314">
                  <c:v>2.0899816680313791E-4</c:v>
                </c:pt>
                <c:pt idx="315">
                  <c:v>2.1039162038125712E-4</c:v>
                </c:pt>
                <c:pt idx="316">
                  <c:v>2.1204748055080624E-4</c:v>
                </c:pt>
                <c:pt idx="317">
                  <c:v>2.1394786755167568E-4</c:v>
                </c:pt>
                <c:pt idx="318">
                  <c:v>2.160296974959141E-4</c:v>
                </c:pt>
                <c:pt idx="319">
                  <c:v>2.1829370857020053E-4</c:v>
                </c:pt>
                <c:pt idx="320">
                  <c:v>2.2074049919448491E-4</c:v>
                </c:pt>
                <c:pt idx="321">
                  <c:v>2.233704957258946E-4</c:v>
                </c:pt>
                <c:pt idx="322">
                  <c:v>2.2618391762986245E-4</c:v>
                </c:pt>
                <c:pt idx="323">
                  <c:v>2.288823283568297E-4</c:v>
                </c:pt>
                <c:pt idx="324">
                  <c:v>2.3125412425609518E-4</c:v>
                </c:pt>
                <c:pt idx="325">
                  <c:v>2.332946324337661E-4</c:v>
                </c:pt>
                <c:pt idx="326">
                  <c:v>2.3499730274816681E-4</c:v>
                </c:pt>
                <c:pt idx="327">
                  <c:v>2.3635613173675834E-4</c:v>
                </c:pt>
                <c:pt idx="328">
                  <c:v>2.3736596168789009E-4</c:v>
                </c:pt>
                <c:pt idx="329">
                  <c:v>2.3802131794164043E-4</c:v>
                </c:pt>
                <c:pt idx="330">
                  <c:v>2.3835716689234922E-4</c:v>
                </c:pt>
                <c:pt idx="331">
                  <c:v>2.3857102318559342E-4</c:v>
                </c:pt>
                <c:pt idx="332">
                  <c:v>2.3869617034883421E-4</c:v>
                </c:pt>
                <c:pt idx="333">
                  <c:v>2.3871731445520433E-4</c:v>
                </c:pt>
                <c:pt idx="334">
                  <c:v>2.3861834641474656E-4</c:v>
                </c:pt>
                <c:pt idx="335">
                  <c:v>2.3838241289055097E-4</c:v>
                </c:pt>
                <c:pt idx="336">
                  <c:v>2.379920162536631E-4</c:v>
                </c:pt>
                <c:pt idx="337">
                  <c:v>2.3753677786097886E-4</c:v>
                </c:pt>
                <c:pt idx="338">
                  <c:v>2.3731116990263125E-4</c:v>
                </c:pt>
                <c:pt idx="339">
                  <c:v>2.3730008223546724E-4</c:v>
                </c:pt>
                <c:pt idx="340">
                  <c:v>2.3748760495572509E-4</c:v>
                </c:pt>
                <c:pt idx="341">
                  <c:v>2.3785695637436384E-4</c:v>
                </c:pt>
                <c:pt idx="342">
                  <c:v>2.3839043635163405E-4</c:v>
                </c:pt>
                <c:pt idx="343">
                  <c:v>2.3906940869417636E-4</c:v>
                </c:pt>
                <c:pt idx="344">
                  <c:v>2.3990502285273541E-4</c:v>
                </c:pt>
                <c:pt idx="345">
                  <c:v>2.4092229691836795E-4</c:v>
                </c:pt>
                <c:pt idx="346">
                  <c:v>2.4183545414326767E-4</c:v>
                </c:pt>
                <c:pt idx="347">
                  <c:v>2.4264613013480713E-4</c:v>
                </c:pt>
                <c:pt idx="348">
                  <c:v>2.4335632550911724E-4</c:v>
                </c:pt>
                <c:pt idx="349">
                  <c:v>2.4396839023752538E-4</c:v>
                </c:pt>
                <c:pt idx="350">
                  <c:v>2.4448500563678191E-4</c:v>
                </c:pt>
                <c:pt idx="351">
                  <c:v>2.4479775576589263E-4</c:v>
                </c:pt>
                <c:pt idx="352">
                  <c:v>2.448030332029162E-4</c:v>
                </c:pt>
                <c:pt idx="353">
                  <c:v>2.4450647751073101E-4</c:v>
                </c:pt>
                <c:pt idx="354">
                  <c:v>2.4391434962770981E-4</c:v>
                </c:pt>
                <c:pt idx="355">
                  <c:v>2.4303346492807312E-4</c:v>
                </c:pt>
                <c:pt idx="356">
                  <c:v>2.4186806588805097E-4</c:v>
                </c:pt>
                <c:pt idx="357">
                  <c:v>2.4042872432671953E-4</c:v>
                </c:pt>
                <c:pt idx="358">
                  <c:v>2.3867931575078947E-4</c:v>
                </c:pt>
                <c:pt idx="359">
                  <c:v>2.3659225914167875E-4</c:v>
                </c:pt>
                <c:pt idx="360">
                  <c:v>2.3429189100089277E-4</c:v>
                </c:pt>
                <c:pt idx="361">
                  <c:v>2.3190347663275547E-4</c:v>
                </c:pt>
                <c:pt idx="362">
                  <c:v>2.2944318441396163E-4</c:v>
                </c:pt>
                <c:pt idx="363">
                  <c:v>2.2692659640840621E-4</c:v>
                </c:pt>
                <c:pt idx="364">
                  <c:v>2.2436861963048049E-4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086552"/>
        <c:axId val="229090080"/>
      </c:lineChart>
      <c:dateAx>
        <c:axId val="2290865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90080"/>
        <c:crosses val="autoZero"/>
        <c:auto val="1"/>
        <c:lblOffset val="100"/>
        <c:baseTimeUnit val="days"/>
        <c:majorUnit val="1"/>
        <c:majorTimeUnit val="months"/>
      </c:dateAx>
      <c:valAx>
        <c:axId val="2290900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865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4.8724168818709002E-3</c:v>
                </c:pt>
                <c:pt idx="1">
                  <c:v>4.8942127298687854E-3</c:v>
                </c:pt>
                <c:pt idx="2">
                  <c:v>4.9160081004816503E-3</c:v>
                </c:pt>
                <c:pt idx="3">
                  <c:v>4.9378029937200418E-3</c:v>
                </c:pt>
                <c:pt idx="4">
                  <c:v>4.9595974095942852E-3</c:v>
                </c:pt>
                <c:pt idx="5">
                  <c:v>4.9813913481149275E-3</c:v>
                </c:pt>
                <c:pt idx="6">
                  <c:v>5.0031848092922937E-3</c:v>
                </c:pt>
                <c:pt idx="7">
                  <c:v>5.0249777931370421E-3</c:v>
                </c:pt>
                <c:pt idx="8">
                  <c:v>5.0467702996593866E-3</c:v>
                </c:pt>
                <c:pt idx="9">
                  <c:v>5.0685623288699855E-3</c:v>
                </c:pt>
                <c:pt idx="10">
                  <c:v>5.0903538807792748E-3</c:v>
                </c:pt>
                <c:pt idx="11">
                  <c:v>5.1121449553975795E-3</c:v>
                </c:pt>
                <c:pt idx="12">
                  <c:v>5.1339355527353359E-3</c:v>
                </c:pt>
                <c:pt idx="13">
                  <c:v>5.1557256728032019E-3</c:v>
                </c:pt>
                <c:pt idx="14">
                  <c:v>5.1775153156115028E-3</c:v>
                </c:pt>
                <c:pt idx="15">
                  <c:v>5.1993044811706746E-3</c:v>
                </c:pt>
                <c:pt idx="16">
                  <c:v>5.2210931694912643E-3</c:v>
                </c:pt>
                <c:pt idx="17">
                  <c:v>5.2428813805835972E-3</c:v>
                </c:pt>
                <c:pt idx="18">
                  <c:v>5.2646691144582203E-3</c:v>
                </c:pt>
                <c:pt idx="19">
                  <c:v>5.2864563711255697E-3</c:v>
                </c:pt>
                <c:pt idx="20">
                  <c:v>5.3082431505960814E-3</c:v>
                </c:pt>
                <c:pt idx="21">
                  <c:v>5.3300294528800807E-3</c:v>
                </c:pt>
                <c:pt idx="22">
                  <c:v>5.3518152779883366E-3</c:v>
                </c:pt>
                <c:pt idx="23">
                  <c:v>5.3736006259309521E-3</c:v>
                </c:pt>
                <c:pt idx="24">
                  <c:v>5.3953854967185855E-3</c:v>
                </c:pt>
                <c:pt idx="25">
                  <c:v>5.4171698903616727E-3</c:v>
                </c:pt>
                <c:pt idx="26">
                  <c:v>5.43895380687065E-3</c:v>
                </c:pt>
                <c:pt idx="27">
                  <c:v>5.4607372462559534E-3</c:v>
                </c:pt>
                <c:pt idx="28">
                  <c:v>5.4825202085280189E-3</c:v>
                </c:pt>
                <c:pt idx="29">
                  <c:v>5.5043026936972828E-3</c:v>
                </c:pt>
                <c:pt idx="30">
                  <c:v>5.526084701774181E-3</c:v>
                </c:pt>
                <c:pt idx="31">
                  <c:v>5.5478662327692607E-3</c:v>
                </c:pt>
                <c:pt idx="32">
                  <c:v>5.569647286692847E-3</c:v>
                </c:pt>
                <c:pt idx="33">
                  <c:v>5.591427863555487E-3</c:v>
                </c:pt>
                <c:pt idx="34">
                  <c:v>5.6132079633676168E-3</c:v>
                </c:pt>
                <c:pt idx="35">
                  <c:v>5.6349875861396725E-3</c:v>
                </c:pt>
                <c:pt idx="36">
                  <c:v>5.6567667318819792E-3</c:v>
                </c:pt>
                <c:pt idx="37">
                  <c:v>5.678545400605195E-3</c:v>
                </c:pt>
                <c:pt idx="38">
                  <c:v>5.7003235923197559E-3</c:v>
                </c:pt>
                <c:pt idx="39">
                  <c:v>5.7221013070358762E-3</c:v>
                </c:pt>
                <c:pt idx="40">
                  <c:v>5.7438785447642138E-3</c:v>
                </c:pt>
                <c:pt idx="41">
                  <c:v>5.7656553055152049E-3</c:v>
                </c:pt>
                <c:pt idx="42">
                  <c:v>5.7874315892991746E-3</c:v>
                </c:pt>
                <c:pt idx="43">
                  <c:v>5.8092073961266699E-3</c:v>
                </c:pt>
                <c:pt idx="44">
                  <c:v>5.8309827260081271E-3</c:v>
                </c:pt>
                <c:pt idx="45">
                  <c:v>5.8527575789538711E-3</c:v>
                </c:pt>
                <c:pt idx="46">
                  <c:v>5.87453195497456E-3</c:v>
                </c:pt>
                <c:pt idx="47">
                  <c:v>5.8963058540805191E-3</c:v>
                </c:pt>
                <c:pt idx="48">
                  <c:v>5.9180792762821843E-3</c:v>
                </c:pt>
                <c:pt idx="49">
                  <c:v>5.9398522215899918E-3</c:v>
                </c:pt>
                <c:pt idx="50">
                  <c:v>5.9616246900144887E-3</c:v>
                </c:pt>
                <c:pt idx="51">
                  <c:v>5.983396681566E-3</c:v>
                </c:pt>
                <c:pt idx="52">
                  <c:v>6.0051681962550729E-3</c:v>
                </c:pt>
                <c:pt idx="53">
                  <c:v>6.0269392340920325E-3</c:v>
                </c:pt>
                <c:pt idx="54">
                  <c:v>6.0487097950874258E-3</c:v>
                </c:pt>
                <c:pt idx="55">
                  <c:v>6.070479879251689E-3</c:v>
                </c:pt>
                <c:pt idx="56">
                  <c:v>6.0922494865951471E-3</c:v>
                </c:pt>
                <c:pt idx="57">
                  <c:v>6.1140186171284583E-3</c:v>
                </c:pt>
                <c:pt idx="58">
                  <c:v>6.1357872708618366E-3</c:v>
                </c:pt>
                <c:pt idx="59">
                  <c:v>6.1575554478058292E-3</c:v>
                </c:pt>
                <c:pt idx="60">
                  <c:v>6.1793231479709831E-3</c:v>
                </c:pt>
                <c:pt idx="61">
                  <c:v>6.2010903713675125E-3</c:v>
                </c:pt>
                <c:pt idx="62">
                  <c:v>6.2228571180060754E-3</c:v>
                </c:pt>
                <c:pt idx="63">
                  <c:v>6.244623387896997E-3</c:v>
                </c:pt>
                <c:pt idx="64">
                  <c:v>6.2663891810507133E-3</c:v>
                </c:pt>
                <c:pt idx="65">
                  <c:v>6.2881544974777714E-3</c:v>
                </c:pt>
                <c:pt idx="66">
                  <c:v>6.3099193371884965E-3</c:v>
                </c:pt>
                <c:pt idx="67">
                  <c:v>6.3316837001933246E-3</c:v>
                </c:pt>
                <c:pt idx="68">
                  <c:v>6.3534475865028028E-3</c:v>
                </c:pt>
                <c:pt idx="69">
                  <c:v>6.3752109961273673E-3</c:v>
                </c:pt>
                <c:pt idx="70">
                  <c:v>6.3969739290773431E-3</c:v>
                </c:pt>
                <c:pt idx="71">
                  <c:v>6.4187363853632773E-3</c:v>
                </c:pt>
                <c:pt idx="72">
                  <c:v>6.440498364995495E-3</c:v>
                </c:pt>
                <c:pt idx="73">
                  <c:v>6.4622598679845433E-3</c:v>
                </c:pt>
                <c:pt idx="74">
                  <c:v>6.4840208943408584E-3</c:v>
                </c:pt>
                <c:pt idx="75">
                  <c:v>6.5057814440747652E-3</c:v>
                </c:pt>
                <c:pt idx="76">
                  <c:v>6.527541517196811E-3</c:v>
                </c:pt>
                <c:pt idx="77">
                  <c:v>6.5493011137175428E-3</c:v>
                </c:pt>
                <c:pt idx="78">
                  <c:v>6.5710602336470636E-3</c:v>
                </c:pt>
                <c:pt idx="79">
                  <c:v>6.5928188769961427E-3</c:v>
                </c:pt>
                <c:pt idx="80">
                  <c:v>6.614577043775105E-3</c:v>
                </c:pt>
                <c:pt idx="81">
                  <c:v>6.6363347339942758E-3</c:v>
                </c:pt>
                <c:pt idx="82">
                  <c:v>6.658091947664313E-3</c:v>
                </c:pt>
                <c:pt idx="83">
                  <c:v>6.6798486847954308E-3</c:v>
                </c:pt>
                <c:pt idx="84">
                  <c:v>6.7016049453981763E-3</c:v>
                </c:pt>
                <c:pt idx="85">
                  <c:v>6.7233607294829856E-3</c:v>
                </c:pt>
                <c:pt idx="86">
                  <c:v>6.7451160370602947E-3</c:v>
                </c:pt>
                <c:pt idx="87">
                  <c:v>6.7668708681405398E-3</c:v>
                </c:pt>
                <c:pt idx="88">
                  <c:v>6.788625222734157E-3</c:v>
                </c:pt>
                <c:pt idx="89">
                  <c:v>6.8103791008515824E-3</c:v>
                </c:pt>
                <c:pt idx="90">
                  <c:v>6.832132502503252E-3</c:v>
                </c:pt>
                <c:pt idx="91">
                  <c:v>6.853885427699602E-3</c:v>
                </c:pt>
                <c:pt idx="92">
                  <c:v>6.8756378764510684E-3</c:v>
                </c:pt>
                <c:pt idx="93">
                  <c:v>6.8973898487680874E-3</c:v>
                </c:pt>
                <c:pt idx="94">
                  <c:v>6.919141344660984E-3</c:v>
                </c:pt>
                <c:pt idx="95">
                  <c:v>6.9408923641404163E-3</c:v>
                </c:pt>
                <c:pt idx="96">
                  <c:v>6.9626429072165985E-3</c:v>
                </c:pt>
                <c:pt idx="97">
                  <c:v>6.9843929739001887E-3</c:v>
                </c:pt>
                <c:pt idx="98">
                  <c:v>7.0061425642014008E-3</c:v>
                </c:pt>
                <c:pt idx="99">
                  <c:v>7.0278916781307821E-3</c:v>
                </c:pt>
                <c:pt idx="100">
                  <c:v>7.0496403156987686E-3</c:v>
                </c:pt>
                <c:pt idx="101">
                  <c:v>7.0713884769157964E-3</c:v>
                </c:pt>
                <c:pt idx="102">
                  <c:v>7.0931361617923017E-3</c:v>
                </c:pt>
                <c:pt idx="103">
                  <c:v>7.1148833703386094E-3</c:v>
                </c:pt>
                <c:pt idx="104">
                  <c:v>7.1366301025652668E-3</c:v>
                </c:pt>
                <c:pt idx="105">
                  <c:v>7.1583763584827098E-3</c:v>
                </c:pt>
                <c:pt idx="106">
                  <c:v>7.1801221381013747E-3</c:v>
                </c:pt>
                <c:pt idx="107">
                  <c:v>7.2018674414315864E-3</c:v>
                </c:pt>
                <c:pt idx="108">
                  <c:v>7.2236122684837811E-3</c:v>
                </c:pt>
                <c:pt idx="109">
                  <c:v>7.245356619268617E-3</c:v>
                </c:pt>
                <c:pt idx="110">
                  <c:v>7.2671004937961969E-3</c:v>
                </c:pt>
                <c:pt idx="111">
                  <c:v>7.2888438920772902E-3</c:v>
                </c:pt>
                <c:pt idx="112">
                  <c:v>7.3105868141219998E-3</c:v>
                </c:pt>
                <c:pt idx="113">
                  <c:v>7.3323292599409839E-3</c:v>
                </c:pt>
                <c:pt idx="114">
                  <c:v>7.3540712295446786E-3</c:v>
                </c:pt>
                <c:pt idx="115">
                  <c:v>7.3758127229432979E-3</c:v>
                </c:pt>
                <c:pt idx="116">
                  <c:v>7.3975537401475E-3</c:v>
                </c:pt>
                <c:pt idx="117">
                  <c:v>7.4192942811676099E-3</c:v>
                </c:pt>
                <c:pt idx="118">
                  <c:v>7.4410343460141748E-3</c:v>
                </c:pt>
                <c:pt idx="119">
                  <c:v>7.4627739346974087E-3</c:v>
                </c:pt>
                <c:pt idx="120">
                  <c:v>7.4845130472278587E-3</c:v>
                </c:pt>
                <c:pt idx="121">
                  <c:v>7.506251683615961E-3</c:v>
                </c:pt>
                <c:pt idx="122">
                  <c:v>7.5279898438721515E-3</c:v>
                </c:pt>
                <c:pt idx="123">
                  <c:v>7.5497275280068665E-3</c:v>
                </c:pt>
                <c:pt idx="124">
                  <c:v>7.571464736030431E-3</c:v>
                </c:pt>
                <c:pt idx="125">
                  <c:v>7.5932014679533921E-3</c:v>
                </c:pt>
                <c:pt idx="126">
                  <c:v>7.6149377237861859E-3</c:v>
                </c:pt>
                <c:pt idx="127">
                  <c:v>7.6366735035391375E-3</c:v>
                </c:pt>
                <c:pt idx="128">
                  <c:v>7.658408807222794E-3</c:v>
                </c:pt>
                <c:pt idx="129">
                  <c:v>7.6801436348474805E-3</c:v>
                </c:pt>
                <c:pt idx="130">
                  <c:v>7.7018779864236331E-3</c:v>
                </c:pt>
                <c:pt idx="131">
                  <c:v>7.7236118619616878E-3</c:v>
                </c:pt>
                <c:pt idx="132">
                  <c:v>7.7453452614721918E-3</c:v>
                </c:pt>
                <c:pt idx="133">
                  <c:v>7.7670781849653592E-3</c:v>
                </c:pt>
                <c:pt idx="134">
                  <c:v>7.788810632451848E-3</c:v>
                </c:pt>
                <c:pt idx="135">
                  <c:v>7.8105426039418724E-3</c:v>
                </c:pt>
                <c:pt idx="136">
                  <c:v>7.8322740994459794E-3</c:v>
                </c:pt>
                <c:pt idx="137">
                  <c:v>7.8540051189744942E-3</c:v>
                </c:pt>
                <c:pt idx="138">
                  <c:v>7.8757356625379638E-3</c:v>
                </c:pt>
                <c:pt idx="139">
                  <c:v>7.8974657301467133E-3</c:v>
                </c:pt>
                <c:pt idx="140">
                  <c:v>7.9191953218112898E-3</c:v>
                </c:pt>
                <c:pt idx="141">
                  <c:v>7.9409244375420185E-3</c:v>
                </c:pt>
                <c:pt idx="142">
                  <c:v>7.9626530773493354E-3</c:v>
                </c:pt>
                <c:pt idx="143">
                  <c:v>7.9843812412436765E-3</c:v>
                </c:pt>
                <c:pt idx="144">
                  <c:v>8.0061089292354781E-3</c:v>
                </c:pt>
                <c:pt idx="145">
                  <c:v>8.0278361413351762E-3</c:v>
                </c:pt>
                <c:pt idx="146">
                  <c:v>8.0495628775530959E-3</c:v>
                </c:pt>
                <c:pt idx="147">
                  <c:v>8.0712891378997842E-3</c:v>
                </c:pt>
                <c:pt idx="148">
                  <c:v>8.0930149223855663E-3</c:v>
                </c:pt>
                <c:pt idx="149">
                  <c:v>8.1147402310209893E-3</c:v>
                </c:pt>
                <c:pt idx="150">
                  <c:v>8.1364650638162672E-3</c:v>
                </c:pt>
                <c:pt idx="151">
                  <c:v>8.1581894207820582E-3</c:v>
                </c:pt>
                <c:pt idx="152">
                  <c:v>8.1799133019286874E-3</c:v>
                </c:pt>
                <c:pt idx="153">
                  <c:v>8.2016367072664798E-3</c:v>
                </c:pt>
                <c:pt idx="154">
                  <c:v>8.2233596368059825E-3</c:v>
                </c:pt>
                <c:pt idx="155">
                  <c:v>8.2450820905576316E-3</c:v>
                </c:pt>
                <c:pt idx="156">
                  <c:v>8.2668040685317523E-3</c:v>
                </c:pt>
                <c:pt idx="157">
                  <c:v>8.2885255707387806E-3</c:v>
                </c:pt>
                <c:pt idx="158">
                  <c:v>8.3102465971891526E-3</c:v>
                </c:pt>
                <c:pt idx="159">
                  <c:v>8.3319671478934154E-3</c:v>
                </c:pt>
                <c:pt idx="160">
                  <c:v>8.3536872228617831E-3</c:v>
                </c:pt>
                <c:pt idx="161">
                  <c:v>8.3754068221046918E-3</c:v>
                </c:pt>
                <c:pt idx="162">
                  <c:v>8.3971259456327996E-3</c:v>
                </c:pt>
                <c:pt idx="163">
                  <c:v>8.4188445934562095E-3</c:v>
                </c:pt>
                <c:pt idx="164">
                  <c:v>8.4405627655855797E-3</c:v>
                </c:pt>
                <c:pt idx="165">
                  <c:v>8.4622804620312353E-3</c:v>
                </c:pt>
                <c:pt idx="166">
                  <c:v>8.4839976828036123E-3</c:v>
                </c:pt>
                <c:pt idx="167">
                  <c:v>8.5057144279130359E-3</c:v>
                </c:pt>
                <c:pt idx="168">
                  <c:v>8.5274306973701641E-3</c:v>
                </c:pt>
                <c:pt idx="169">
                  <c:v>8.5491464911851001E-3</c:v>
                </c:pt>
                <c:pt idx="170">
                  <c:v>8.5708618093685018E-3</c:v>
                </c:pt>
                <c:pt idx="171">
                  <c:v>8.5925766519306945E-3</c:v>
                </c:pt>
                <c:pt idx="172">
                  <c:v>8.6142910188821142E-3</c:v>
                </c:pt>
                <c:pt idx="173">
                  <c:v>8.636004910233086E-3</c:v>
                </c:pt>
                <c:pt idx="174">
                  <c:v>8.657718325994268E-3</c:v>
                </c:pt>
                <c:pt idx="175">
                  <c:v>8.6794312661757633E-3</c:v>
                </c:pt>
                <c:pt idx="176">
                  <c:v>8.70114373078823E-3</c:v>
                </c:pt>
                <c:pt idx="177">
                  <c:v>8.7228557198419931E-3</c:v>
                </c:pt>
                <c:pt idx="178">
                  <c:v>8.7445672333473778E-3</c:v>
                </c:pt>
                <c:pt idx="179">
                  <c:v>8.7662782713150422E-3</c:v>
                </c:pt>
                <c:pt idx="180">
                  <c:v>8.7879888337552003E-3</c:v>
                </c:pt>
                <c:pt idx="181">
                  <c:v>8.8096989206782883E-3</c:v>
                </c:pt>
                <c:pt idx="182">
                  <c:v>8.8314085320947422E-3</c:v>
                </c:pt>
                <c:pt idx="183">
                  <c:v>8.8531176680149981E-3</c:v>
                </c:pt>
                <c:pt idx="184">
                  <c:v>8.8748263284494922E-3</c:v>
                </c:pt>
                <c:pt idx="185">
                  <c:v>8.8965345134086604E-3</c:v>
                </c:pt>
                <c:pt idx="186">
                  <c:v>8.918242222902828E-3</c:v>
                </c:pt>
                <c:pt idx="187">
                  <c:v>8.9399494569424309E-3</c:v>
                </c:pt>
                <c:pt idx="188">
                  <c:v>8.9616562155379054E-3</c:v>
                </c:pt>
                <c:pt idx="189">
                  <c:v>8.9833624986995764E-3</c:v>
                </c:pt>
                <c:pt idx="190">
                  <c:v>9.0050683064379911E-3</c:v>
                </c:pt>
                <c:pt idx="191">
                  <c:v>9.0267736387635855E-3</c:v>
                </c:pt>
                <c:pt idx="192">
                  <c:v>9.0484784956865738E-3</c:v>
                </c:pt>
                <c:pt idx="193">
                  <c:v>9.0701828772176141E-3</c:v>
                </c:pt>
                <c:pt idx="194">
                  <c:v>9.0918867833669204E-3</c:v>
                </c:pt>
                <c:pt idx="195">
                  <c:v>9.1135902141450398E-3</c:v>
                </c:pt>
                <c:pt idx="196">
                  <c:v>9.1352931695622974E-3</c:v>
                </c:pt>
                <c:pt idx="197">
                  <c:v>9.1569956496290184E-3</c:v>
                </c:pt>
                <c:pt idx="198">
                  <c:v>9.1786976543558607E-3</c:v>
                </c:pt>
                <c:pt idx="199">
                  <c:v>9.2003991837530386E-3</c:v>
                </c:pt>
                <c:pt idx="200">
                  <c:v>9.222100237831099E-3</c:v>
                </c:pt>
                <c:pt idx="201">
                  <c:v>9.2438008166003671E-3</c:v>
                </c:pt>
                <c:pt idx="202">
                  <c:v>9.265500920071168E-3</c:v>
                </c:pt>
                <c:pt idx="203">
                  <c:v>9.2872005482541597E-3</c:v>
                </c:pt>
                <c:pt idx="204">
                  <c:v>9.3088997011595565E-3</c:v>
                </c:pt>
                <c:pt idx="205">
                  <c:v>9.3305983787976832E-3</c:v>
                </c:pt>
                <c:pt idx="206">
                  <c:v>9.352296581179198E-3</c:v>
                </c:pt>
                <c:pt idx="207">
                  <c:v>9.3739943083144261E-3</c:v>
                </c:pt>
                <c:pt idx="208">
                  <c:v>9.3956915602136926E-3</c:v>
                </c:pt>
                <c:pt idx="209">
                  <c:v>9.4173883368874334E-3</c:v>
                </c:pt>
                <c:pt idx="210">
                  <c:v>9.4390846383460847E-3</c:v>
                </c:pt>
                <c:pt idx="211">
                  <c:v>9.4607804646000826E-3</c:v>
                </c:pt>
                <c:pt idx="212">
                  <c:v>9.4824758156598632E-3</c:v>
                </c:pt>
                <c:pt idx="213">
                  <c:v>9.5041706915357516E-3</c:v>
                </c:pt>
                <c:pt idx="214">
                  <c:v>9.5258650922380728E-3</c:v>
                </c:pt>
                <c:pt idx="215">
                  <c:v>9.5475590177774849E-3</c:v>
                </c:pt>
                <c:pt idx="216">
                  <c:v>9.5692524681640911E-3</c:v>
                </c:pt>
                <c:pt idx="217">
                  <c:v>9.5909454434085495E-3</c:v>
                </c:pt>
                <c:pt idx="218">
                  <c:v>9.6126379435211851E-3</c:v>
                </c:pt>
                <c:pt idx="219">
                  <c:v>9.634329968512434E-3</c:v>
                </c:pt>
                <c:pt idx="220">
                  <c:v>9.6560215183926212E-3</c:v>
                </c:pt>
                <c:pt idx="221">
                  <c:v>9.677712593172183E-3</c:v>
                </c:pt>
                <c:pt idx="222">
                  <c:v>9.6994031928615554E-3</c:v>
                </c:pt>
                <c:pt idx="223">
                  <c:v>9.7210933174710634E-3</c:v>
                </c:pt>
                <c:pt idx="224">
                  <c:v>9.7427829670112542E-3</c:v>
                </c:pt>
                <c:pt idx="225">
                  <c:v>9.7644721414924529E-3</c:v>
                </c:pt>
                <c:pt idx="226">
                  <c:v>9.7861608409249845E-3</c:v>
                </c:pt>
                <c:pt idx="227">
                  <c:v>9.8078490653193962E-3</c:v>
                </c:pt>
                <c:pt idx="228">
                  <c:v>9.8295368146860129E-3</c:v>
                </c:pt>
                <c:pt idx="229">
                  <c:v>9.8512240890352709E-3</c:v>
                </c:pt>
                <c:pt idx="230">
                  <c:v>9.8729108883776062E-3</c:v>
                </c:pt>
                <c:pt idx="231">
                  <c:v>9.8945972127233439E-3</c:v>
                </c:pt>
                <c:pt idx="232">
                  <c:v>9.9162830620829201E-3</c:v>
                </c:pt>
                <c:pt idx="233">
                  <c:v>9.9379684364667709E-3</c:v>
                </c:pt>
                <c:pt idx="234">
                  <c:v>9.9596533358852213E-3</c:v>
                </c:pt>
                <c:pt idx="235">
                  <c:v>9.9813377603487075E-3</c:v>
                </c:pt>
                <c:pt idx="236">
                  <c:v>1.0003021709867665E-2</c:v>
                </c:pt>
                <c:pt idx="237">
                  <c:v>1.0024705184452531E-2</c:v>
                </c:pt>
                <c:pt idx="238">
                  <c:v>1.0046388184113519E-2</c:v>
                </c:pt>
                <c:pt idx="239">
                  <c:v>1.0068070708861288E-2</c:v>
                </c:pt>
                <c:pt idx="240">
                  <c:v>1.0089752758706161E-2</c:v>
                </c:pt>
                <c:pt idx="241">
                  <c:v>1.0111434333658353E-2</c:v>
                </c:pt>
                <c:pt idx="242">
                  <c:v>1.0133115433728523E-2</c:v>
                </c:pt>
                <c:pt idx="243">
                  <c:v>1.0154796058926885E-2</c:v>
                </c:pt>
                <c:pt idx="244">
                  <c:v>1.0176476209263985E-2</c:v>
                </c:pt>
                <c:pt idx="245">
                  <c:v>1.0198155884750038E-2</c:v>
                </c:pt>
                <c:pt idx="246">
                  <c:v>1.0219835085395701E-2</c:v>
                </c:pt>
                <c:pt idx="247">
                  <c:v>1.0241513811211078E-2</c:v>
                </c:pt>
                <c:pt idx="248">
                  <c:v>1.0263192062206827E-2</c:v>
                </c:pt>
                <c:pt idx="249">
                  <c:v>1.0284869838393274E-2</c:v>
                </c:pt>
                <c:pt idx="250">
                  <c:v>1.0306547139780742E-2</c:v>
                </c:pt>
                <c:pt idx="251">
                  <c:v>1.0328223966379668E-2</c:v>
                </c:pt>
                <c:pt idx="252">
                  <c:v>1.0349900318200489E-2</c:v>
                </c:pt>
                <c:pt idx="253">
                  <c:v>1.0371576195253529E-2</c:v>
                </c:pt>
                <c:pt idx="254">
                  <c:v>1.0393251597549225E-2</c:v>
                </c:pt>
                <c:pt idx="255">
                  <c:v>1.0414926525098012E-2</c:v>
                </c:pt>
                <c:pt idx="256">
                  <c:v>1.0436600977910215E-2</c:v>
                </c:pt>
                <c:pt idx="257">
                  <c:v>1.0458274955996383E-2</c:v>
                </c:pt>
                <c:pt idx="258">
                  <c:v>1.0479948459366728E-2</c:v>
                </c:pt>
                <c:pt idx="259">
                  <c:v>1.0501621488031687E-2</c:v>
                </c:pt>
                <c:pt idx="260">
                  <c:v>1.0523294042001807E-2</c:v>
                </c:pt>
                <c:pt idx="261">
                  <c:v>1.0544966121287302E-2</c:v>
                </c:pt>
                <c:pt idx="262">
                  <c:v>1.0566637725898609E-2</c:v>
                </c:pt>
                <c:pt idx="263">
                  <c:v>1.0588308855846162E-2</c:v>
                </c:pt>
                <c:pt idx="264">
                  <c:v>1.0609979511140399E-2</c:v>
                </c:pt>
                <c:pt idx="265">
                  <c:v>1.0631649691791645E-2</c:v>
                </c:pt>
                <c:pt idx="266">
                  <c:v>1.0653319397810335E-2</c:v>
                </c:pt>
                <c:pt idx="267">
                  <c:v>1.0674988629206905E-2</c:v>
                </c:pt>
                <c:pt idx="268">
                  <c:v>1.069665738599157E-2</c:v>
                </c:pt>
                <c:pt idx="269">
                  <c:v>1.0718325668174988E-2</c:v>
                </c:pt>
                <c:pt idx="270">
                  <c:v>1.0739993475767262E-2</c:v>
                </c:pt>
                <c:pt idx="271">
                  <c:v>1.076166080877905E-2</c:v>
                </c:pt>
                <c:pt idx="272">
                  <c:v>1.0783327667220677E-2</c:v>
                </c:pt>
                <c:pt idx="273">
                  <c:v>1.0804994051102357E-2</c:v>
                </c:pt>
                <c:pt idx="274">
                  <c:v>1.0826659960434748E-2</c:v>
                </c:pt>
                <c:pt idx="275">
                  <c:v>1.0848325395228064E-2</c:v>
                </c:pt>
                <c:pt idx="276">
                  <c:v>1.0869990355492742E-2</c:v>
                </c:pt>
                <c:pt idx="277">
                  <c:v>1.0891654841239218E-2</c:v>
                </c:pt>
                <c:pt idx="278">
                  <c:v>1.0913318852477816E-2</c:v>
                </c:pt>
                <c:pt idx="279">
                  <c:v>1.0934982389218972E-2</c:v>
                </c:pt>
                <c:pt idx="280">
                  <c:v>1.0956645451473124E-2</c:v>
                </c:pt>
                <c:pt idx="281">
                  <c:v>1.0978308039250595E-2</c:v>
                </c:pt>
                <c:pt idx="282">
                  <c:v>1.0999970152561822E-2</c:v>
                </c:pt>
                <c:pt idx="283">
                  <c:v>1.102163179141713E-2</c:v>
                </c:pt>
                <c:pt idx="284">
                  <c:v>1.1043292955826955E-2</c:v>
                </c:pt>
                <c:pt idx="285">
                  <c:v>1.1064953645801734E-2</c:v>
                </c:pt>
                <c:pt idx="286">
                  <c:v>1.1086613861351791E-2</c:v>
                </c:pt>
                <c:pt idx="287">
                  <c:v>1.1108273602487562E-2</c:v>
                </c:pt>
                <c:pt idx="288">
                  <c:v>1.1129932869219372E-2</c:v>
                </c:pt>
                <c:pt idx="289">
                  <c:v>1.1151591661557658E-2</c:v>
                </c:pt>
                <c:pt idx="290">
                  <c:v>1.1173249979512745E-2</c:v>
                </c:pt>
                <c:pt idx="291">
                  <c:v>1.1194907823095179E-2</c:v>
                </c:pt>
                <c:pt idx="292">
                  <c:v>1.1216565192315286E-2</c:v>
                </c:pt>
                <c:pt idx="293">
                  <c:v>1.1238222087183281E-2</c:v>
                </c:pt>
                <c:pt idx="294">
                  <c:v>1.125987850770982E-2</c:v>
                </c:pt>
                <c:pt idx="295">
                  <c:v>1.1281534453905118E-2</c:v>
                </c:pt>
                <c:pt idx="296">
                  <c:v>1.1303189925779611E-2</c:v>
                </c:pt>
                <c:pt idx="297">
                  <c:v>1.1324844923343735E-2</c:v>
                </c:pt>
                <c:pt idx="298">
                  <c:v>1.1346499446607816E-2</c:v>
                </c:pt>
                <c:pt idx="299">
                  <c:v>1.1368153495582289E-2</c:v>
                </c:pt>
                <c:pt idx="300">
                  <c:v>1.138980707027748E-2</c:v>
                </c:pt>
                <c:pt idx="301">
                  <c:v>1.1411460170703824E-2</c:v>
                </c:pt>
                <c:pt idx="302">
                  <c:v>1.1433112796871647E-2</c:v>
                </c:pt>
                <c:pt idx="303">
                  <c:v>1.1454764948791496E-2</c:v>
                </c:pt>
                <c:pt idx="304">
                  <c:v>1.1476416626473585E-2</c:v>
                </c:pt>
                <c:pt idx="305">
                  <c:v>1.1498067829928349E-2</c:v>
                </c:pt>
                <c:pt idx="306">
                  <c:v>1.1519718559166225E-2</c:v>
                </c:pt>
                <c:pt idx="307">
                  <c:v>1.1541368814197539E-2</c:v>
                </c:pt>
                <c:pt idx="308">
                  <c:v>1.1563018595032615E-2</c:v>
                </c:pt>
                <c:pt idx="309">
                  <c:v>1.1584667901682111E-2</c:v>
                </c:pt>
                <c:pt idx="310">
                  <c:v>1.160631673415613E-2</c:v>
                </c:pt>
                <c:pt idx="311">
                  <c:v>1.1627965092465109E-2</c:v>
                </c:pt>
                <c:pt idx="312">
                  <c:v>1.1649612976619594E-2</c:v>
                </c:pt>
                <c:pt idx="313">
                  <c:v>1.16712603866298E-2</c:v>
                </c:pt>
                <c:pt idx="314">
                  <c:v>1.1692907322506163E-2</c:v>
                </c:pt>
                <c:pt idx="315">
                  <c:v>1.1714553784259119E-2</c:v>
                </c:pt>
                <c:pt idx="316">
                  <c:v>1.1736199771898992E-2</c:v>
                </c:pt>
                <c:pt idx="317">
                  <c:v>1.1757845285436108E-2</c:v>
                </c:pt>
                <c:pt idx="318">
                  <c:v>1.1779490324881015E-2</c:v>
                </c:pt>
                <c:pt idx="319">
                  <c:v>1.1801134890244036E-2</c:v>
                </c:pt>
                <c:pt idx="320">
                  <c:v>1.1822778981535387E-2</c:v>
                </c:pt>
                <c:pt idx="321">
                  <c:v>1.1844422598765725E-2</c:v>
                </c:pt>
                <c:pt idx="322">
                  <c:v>1.1866065741945264E-2</c:v>
                </c:pt>
                <c:pt idx="323">
                  <c:v>1.1887708411084441E-2</c:v>
                </c:pt>
                <c:pt idx="324">
                  <c:v>1.1909350606193581E-2</c:v>
                </c:pt>
                <c:pt idx="325">
                  <c:v>1.1930992327283008E-2</c:v>
                </c:pt>
                <c:pt idx="326">
                  <c:v>1.195263357436338E-2</c:v>
                </c:pt>
                <c:pt idx="327">
                  <c:v>1.1974274347444802E-2</c:v>
                </c:pt>
                <c:pt idx="328">
                  <c:v>1.199591464653782E-2</c:v>
                </c:pt>
                <c:pt idx="329">
                  <c:v>1.2017554471652647E-2</c:v>
                </c:pt>
                <c:pt idx="330">
                  <c:v>1.2039193822799832E-2</c:v>
                </c:pt>
                <c:pt idx="331">
                  <c:v>1.2060832699989699E-2</c:v>
                </c:pt>
                <c:pt idx="332">
                  <c:v>1.2082471103232573E-2</c:v>
                </c:pt>
                <c:pt idx="333">
                  <c:v>1.210410903253889E-2</c:v>
                </c:pt>
                <c:pt idx="334">
                  <c:v>1.2125746487919087E-2</c:v>
                </c:pt>
                <c:pt idx="335">
                  <c:v>1.2147383469383488E-2</c:v>
                </c:pt>
                <c:pt idx="336">
                  <c:v>1.2169019976942308E-2</c:v>
                </c:pt>
                <c:pt idx="337">
                  <c:v>1.2190656010606205E-2</c:v>
                </c:pt>
                <c:pt idx="338">
                  <c:v>1.2212291570385503E-2</c:v>
                </c:pt>
                <c:pt idx="339">
                  <c:v>1.2233926656290417E-2</c:v>
                </c:pt>
                <c:pt idx="340">
                  <c:v>1.2255561268331383E-2</c:v>
                </c:pt>
                <c:pt idx="341">
                  <c:v>1.2277195406518948E-2</c:v>
                </c:pt>
                <c:pt idx="342">
                  <c:v>1.2298829070863326E-2</c:v>
                </c:pt>
                <c:pt idx="343">
                  <c:v>1.2320462261374843E-2</c:v>
                </c:pt>
                <c:pt idx="344">
                  <c:v>1.2342094978064044E-2</c:v>
                </c:pt>
                <c:pt idx="345">
                  <c:v>1.2363727220941256E-2</c:v>
                </c:pt>
                <c:pt idx="346">
                  <c:v>1.2385358990016804E-2</c:v>
                </c:pt>
                <c:pt idx="347">
                  <c:v>1.2406990285301012E-2</c:v>
                </c:pt>
                <c:pt idx="348">
                  <c:v>1.2428621106804427E-2</c:v>
                </c:pt>
                <c:pt idx="349">
                  <c:v>1.2450251454537375E-2</c:v>
                </c:pt>
                <c:pt idx="350">
                  <c:v>1.247188132851007E-2</c:v>
                </c:pt>
                <c:pt idx="351">
                  <c:v>1.2493510728733059E-2</c:v>
                </c:pt>
                <c:pt idx="352">
                  <c:v>1.2515139655216778E-2</c:v>
                </c:pt>
                <c:pt idx="353">
                  <c:v>1.253676810797133E-2</c:v>
                </c:pt>
                <c:pt idx="354">
                  <c:v>1.2558396087007373E-2</c:v>
                </c:pt>
                <c:pt idx="355">
                  <c:v>1.2580023592335121E-2</c:v>
                </c:pt>
                <c:pt idx="356">
                  <c:v>1.2601650623965011E-2</c:v>
                </c:pt>
                <c:pt idx="357">
                  <c:v>1.2623277181907477E-2</c:v>
                </c:pt>
                <c:pt idx="358">
                  <c:v>1.2644903266172736E-2</c:v>
                </c:pt>
                <c:pt idx="359">
                  <c:v>1.2666528876771221E-2</c:v>
                </c:pt>
                <c:pt idx="360">
                  <c:v>1.2688154013713371E-2</c:v>
                </c:pt>
                <c:pt idx="361">
                  <c:v>1.270977867700962E-2</c:v>
                </c:pt>
                <c:pt idx="362">
                  <c:v>1.2731402866670072E-2</c:v>
                </c:pt>
                <c:pt idx="363">
                  <c:v>1.2753026582705385E-2</c:v>
                </c:pt>
                <c:pt idx="364">
                  <c:v>1.2774649825125772E-2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2.581040486922101E-2</c:v>
                </c:pt>
                <c:pt idx="1">
                  <c:v>2.5913676989993677E-2</c:v>
                </c:pt>
                <c:pt idx="2">
                  <c:v>2.6016904099478839E-2</c:v>
                </c:pt>
                <c:pt idx="3">
                  <c:v>2.6120080886089119E-2</c:v>
                </c:pt>
                <c:pt idx="4">
                  <c:v>2.6223202731141447E-2</c:v>
                </c:pt>
                <c:pt idx="5">
                  <c:v>2.6326265699007687E-2</c:v>
                </c:pt>
                <c:pt idx="6">
                  <c:v>2.642926652079837E-2</c:v>
                </c:pt>
                <c:pt idx="7">
                  <c:v>2.653220257192887E-2</c:v>
                </c:pt>
                <c:pt idx="8">
                  <c:v>2.6635071843971743E-2</c:v>
                </c:pt>
                <c:pt idx="9">
                  <c:v>2.6737872911248035E-2</c:v>
                </c:pt>
                <c:pt idx="10">
                  <c:v>2.6840604892655395E-2</c:v>
                </c:pt>
                <c:pt idx="11">
                  <c:v>2.6943267409269191E-2</c:v>
                </c:pt>
                <c:pt idx="12">
                  <c:v>2.7045860538286576E-2</c:v>
                </c:pt>
                <c:pt idx="13">
                  <c:v>2.7148384763909721E-2</c:v>
                </c:pt>
                <c:pt idx="14">
                  <c:v>2.7250840925785825E-2</c:v>
                </c:pt>
                <c:pt idx="15">
                  <c:v>2.7353230165635272E-2</c:v>
                </c:pt>
                <c:pt idx="16">
                  <c:v>2.7455553872707334E-2</c:v>
                </c:pt>
                <c:pt idx="17">
                  <c:v>2.7557813628703316E-2</c:v>
                </c:pt>
                <c:pt idx="18">
                  <c:v>2.7660011152802647E-2</c:v>
                </c:pt>
                <c:pt idx="19">
                  <c:v>2.7762148247414596E-2</c:v>
                </c:pt>
                <c:pt idx="20">
                  <c:v>2.7864226745261074E-2</c:v>
                </c:pt>
                <c:pt idx="21">
                  <c:v>2.7966248458371767E-2</c:v>
                </c:pt>
                <c:pt idx="22">
                  <c:v>2.8068215129543436E-2</c:v>
                </c:pt>
                <c:pt idx="23">
                  <c:v>2.8170128386780461E-2</c:v>
                </c:pt>
                <c:pt idx="24">
                  <c:v>2.8271989701193857E-2</c:v>
                </c:pt>
                <c:pt idx="25">
                  <c:v>2.8373800348792527E-2</c:v>
                </c:pt>
                <c:pt idx="26">
                  <c:v>2.847556137655206E-2</c:v>
                </c:pt>
                <c:pt idx="27">
                  <c:v>2.8577273573095682E-2</c:v>
                </c:pt>
                <c:pt idx="28">
                  <c:v>2.8678937444267832E-2</c:v>
                </c:pt>
                <c:pt idx="29">
                  <c:v>2.8780553193824748E-2</c:v>
                </c:pt>
                <c:pt idx="30">
                  <c:v>2.8882120709409171E-2</c:v>
                </c:pt>
                <c:pt idx="31">
                  <c:v>2.8983639553917178E-2</c:v>
                </c:pt>
                <c:pt idx="32">
                  <c:v>2.9085108962306989E-2</c:v>
                </c:pt>
                <c:pt idx="33">
                  <c:v>2.9186527843840845E-2</c:v>
                </c:pt>
                <c:pt idx="34">
                  <c:v>2.9287894789693337E-2</c:v>
                </c:pt>
                <c:pt idx="35">
                  <c:v>2.9389208085804145E-2</c:v>
                </c:pt>
                <c:pt idx="36">
                  <c:v>2.9490465730798832E-2</c:v>
                </c:pt>
                <c:pt idx="37">
                  <c:v>2.95916654587506E-2</c:v>
                </c:pt>
                <c:pt idx="38">
                  <c:v>2.9692804766507295E-2</c:v>
                </c:pt>
                <c:pt idx="39">
                  <c:v>2.9793880945264514E-2</c:v>
                </c:pt>
                <c:pt idx="40">
                  <c:v>2.9894891116024485E-2</c:v>
                </c:pt>
                <c:pt idx="41">
                  <c:v>2.9995832268545276E-2</c:v>
                </c:pt>
                <c:pt idx="42">
                  <c:v>3.009670130335328E-2</c:v>
                </c:pt>
                <c:pt idx="43">
                  <c:v>3.0197495076366238E-2</c:v>
                </c:pt>
                <c:pt idx="44">
                  <c:v>3.0298210445653062E-2</c:v>
                </c:pt>
                <c:pt idx="45">
                  <c:v>3.0398844319841366E-2</c:v>
                </c:pt>
                <c:pt idx="46">
                  <c:v>3.0499393707673707E-2</c:v>
                </c:pt>
                <c:pt idx="47">
                  <c:v>3.059985576820862E-2</c:v>
                </c:pt>
                <c:pt idx="48">
                  <c:v>3.0700227861164265E-2</c:v>
                </c:pt>
                <c:pt idx="49">
                  <c:v>3.0800507596907938E-2</c:v>
                </c:pt>
                <c:pt idx="50">
                  <c:v>3.0900692885606703E-2</c:v>
                </c:pt>
                <c:pt idx="51">
                  <c:v>3.1000781985070766E-2</c:v>
                </c:pt>
                <c:pt idx="52">
                  <c:v>3.1100773546842004E-2</c:v>
                </c:pt>
                <c:pt idx="53">
                  <c:v>3.1200666660106107E-2</c:v>
                </c:pt>
                <c:pt idx="54">
                  <c:v>3.1300460893035641E-2</c:v>
                </c:pt>
                <c:pt idx="55">
                  <c:v>3.1400156331205159E-2</c:v>
                </c:pt>
                <c:pt idx="56">
                  <c:v>3.1499753612754935E-2</c:v>
                </c:pt>
                <c:pt idx="57">
                  <c:v>3.1599253960019696E-2</c:v>
                </c:pt>
                <c:pt idx="58">
                  <c:v>3.169865920737909E-2</c:v>
                </c:pt>
                <c:pt idx="59">
                  <c:v>3.1797971825129834E-2</c:v>
                </c:pt>
                <c:pt idx="60">
                  <c:v>3.1897194939223293E-2</c:v>
                </c:pt>
                <c:pt idx="61">
                  <c:v>3.1996332346756799E-2</c:v>
                </c:pt>
                <c:pt idx="62">
                  <c:v>3.209538852715129E-2</c:v>
                </c:pt>
                <c:pt idx="63">
                  <c:v>3.21943686489925E-2</c:v>
                </c:pt>
                <c:pt idx="64">
                  <c:v>3.2293278572555366E-2</c:v>
                </c:pt>
                <c:pt idx="65">
                  <c:v>3.2392124848073522E-2</c:v>
                </c:pt>
                <c:pt idx="66">
                  <c:v>3.24909147098549E-2</c:v>
                </c:pt>
                <c:pt idx="67">
                  <c:v>3.2589656066382082E-2</c:v>
                </c:pt>
                <c:pt idx="68">
                  <c:v>3.2688357486570188E-2</c:v>
                </c:pt>
                <c:pt idx="69">
                  <c:v>3.2787028182386518E-2</c:v>
                </c:pt>
                <c:pt idx="70">
                  <c:v>3.2885677988063716E-2</c:v>
                </c:pt>
                <c:pt idx="71">
                  <c:v>3.2984317336162319E-2</c:v>
                </c:pt>
                <c:pt idx="72">
                  <c:v>3.308295723075827E-2</c:v>
                </c:pt>
                <c:pt idx="73">
                  <c:v>3.3181609218047206E-2</c:v>
                </c:pt>
                <c:pt idx="74">
                  <c:v>3.3280285354667836E-2</c:v>
                </c:pt>
                <c:pt idx="75">
                  <c:v>3.3378998174055097E-2</c:v>
                </c:pt>
                <c:pt idx="76">
                  <c:v>3.3477760651135356E-2</c:v>
                </c:pt>
                <c:pt idx="77">
                  <c:v>3.3576586165674903E-2</c:v>
                </c:pt>
                <c:pt idx="78">
                  <c:v>3.3675488464587282E-2</c:v>
                </c:pt>
                <c:pt idx="79">
                  <c:v>3.3774481623494827E-2</c:v>
                </c:pt>
                <c:pt idx="80">
                  <c:v>3.3873580007826413E-2</c:v>
                </c:pt>
                <c:pt idx="81">
                  <c:v>3.3972798233716302E-2</c:v>
                </c:pt>
                <c:pt idx="82">
                  <c:v>3.4072151128948083E-2</c:v>
                </c:pt>
                <c:pt idx="83">
                  <c:v>3.4171653694165104E-2</c:v>
                </c:pt>
                <c:pt idx="84">
                  <c:v>3.4271321064542275E-2</c:v>
                </c:pt>
                <c:pt idx="85">
                  <c:v>3.4371168472086648E-2</c:v>
                </c:pt>
                <c:pt idx="86">
                  <c:v>3.4471211208704278E-2</c:v>
                </c:pt>
                <c:pt idx="87">
                  <c:v>3.4571464590140613E-2</c:v>
                </c:pt>
                <c:pt idx="88">
                  <c:v>3.4671943920869829E-2</c:v>
                </c:pt>
                <c:pt idx="89">
                  <c:v>3.4772664459976878E-2</c:v>
                </c:pt>
                <c:pt idx="90">
                  <c:v>3.4873641388045273E-2</c:v>
                </c:pt>
                <c:pt idx="91">
                  <c:v>3.4974889775032221E-2</c:v>
                </c:pt>
                <c:pt idx="92">
                  <c:v>3.5076424549084308E-2</c:v>
                </c:pt>
                <c:pt idx="93">
                  <c:v>3.5178260466218789E-2</c:v>
                </c:pt>
                <c:pt idx="94">
                  <c:v>3.5280412080770276E-2</c:v>
                </c:pt>
                <c:pt idx="95">
                  <c:v>3.5382893716480131E-2</c:v>
                </c:pt>
                <c:pt idx="96">
                  <c:v>3.5485719438085532E-2</c:v>
                </c:pt>
                <c:pt idx="97">
                  <c:v>3.5588903023248783E-2</c:v>
                </c:pt>
                <c:pt idx="98">
                  <c:v>3.5692457934654767E-2</c:v>
                </c:pt>
                <c:pt idx="99">
                  <c:v>3.5796397292094731E-2</c:v>
                </c:pt>
                <c:pt idx="100">
                  <c:v>3.5900733844349754E-2</c:v>
                </c:pt>
                <c:pt idx="101">
                  <c:v>3.6005479940686508E-2</c:v>
                </c:pt>
                <c:pt idx="102">
                  <c:v>3.6110647501780634E-2</c:v>
                </c:pt>
                <c:pt idx="103">
                  <c:v>3.6216247989891245E-2</c:v>
                </c:pt>
                <c:pt idx="104">
                  <c:v>3.6322292378121394E-2</c:v>
                </c:pt>
                <c:pt idx="105">
                  <c:v>3.6428791118615772E-2</c:v>
                </c:pt>
                <c:pt idx="106">
                  <c:v>3.6535754109566346E-2</c:v>
                </c:pt>
                <c:pt idx="107">
                  <c:v>3.6643190660921185E-2</c:v>
                </c:pt>
                <c:pt idx="108">
                  <c:v>3.6751109458718331E-2</c:v>
                </c:pt>
                <c:pt idx="109">
                  <c:v>3.6859518527997466E-2</c:v>
                </c:pt>
                <c:pt idx="110">
                  <c:v>3.6968425194275865E-2</c:v>
                </c:pt>
                <c:pt idx="111">
                  <c:v>3.707783604361032E-2</c:v>
                </c:pt>
                <c:pt idx="112">
                  <c:v>3.7187756881305309E-2</c:v>
                </c:pt>
                <c:pt idx="113">
                  <c:v>3.7298192689366606E-2</c:v>
                </c:pt>
                <c:pt idx="114">
                  <c:v>3.7409147582840384E-2</c:v>
                </c:pt>
                <c:pt idx="115">
                  <c:v>3.7520624765218155E-2</c:v>
                </c:pt>
                <c:pt idx="116">
                  <c:v>3.7632626483129546E-2</c:v>
                </c:pt>
                <c:pt idx="117">
                  <c:v>3.7745153980584131E-2</c:v>
                </c:pt>
                <c:pt idx="118">
                  <c:v>3.785820745306312E-2</c:v>
                </c:pt>
                <c:pt idx="119">
                  <c:v>3.7971786001798388E-2</c:v>
                </c:pt>
                <c:pt idx="120">
                  <c:v>3.8085887588611485E-2</c:v>
                </c:pt>
                <c:pt idx="121">
                  <c:v>3.8200508991716356E-2</c:v>
                </c:pt>
                <c:pt idx="122">
                  <c:v>3.8315645762918973E-2</c:v>
                </c:pt>
                <c:pt idx="123">
                  <c:v>3.8431292186670331E-2</c:v>
                </c:pt>
                <c:pt idx="124">
                  <c:v>3.8547441241450417E-2</c:v>
                </c:pt>
                <c:pt idx="125">
                  <c:v>3.8664084563975104E-2</c:v>
                </c:pt>
                <c:pt idx="126">
                  <c:v>3.8781212416729195E-2</c:v>
                </c:pt>
                <c:pt idx="127">
                  <c:v>3.889881365933226E-2</c:v>
                </c:pt>
                <c:pt idx="128">
                  <c:v>3.9016875724243803E-2</c:v>
                </c:pt>
                <c:pt idx="129">
                  <c:v>3.913538459730722E-2</c:v>
                </c:pt>
                <c:pt idx="130">
                  <c:v>3.9254324803618644E-2</c:v>
                </c:pt>
                <c:pt idx="131">
                  <c:v>3.937367939918817E-2</c:v>
                </c:pt>
                <c:pt idx="132">
                  <c:v>3.949342996883571E-2</c:v>
                </c:pt>
                <c:pt idx="133">
                  <c:v>3.9613556630732634E-2</c:v>
                </c:pt>
                <c:pt idx="134">
                  <c:v>3.9734038047963216E-2</c:v>
                </c:pt>
                <c:pt idx="135">
                  <c:v>3.9854851447438076E-2</c:v>
                </c:pt>
                <c:pt idx="136">
                  <c:v>3.9975972646442919E-2</c:v>
                </c:pt>
                <c:pt idx="137">
                  <c:v>4.0097376087054215E-2</c:v>
                </c:pt>
                <c:pt idx="138">
                  <c:v>4.0219034878595149E-2</c:v>
                </c:pt>
                <c:pt idx="139">
                  <c:v>4.0340920848244588E-2</c:v>
                </c:pt>
                <c:pt idx="140">
                  <c:v>4.0463004599846635E-2</c:v>
                </c:pt>
                <c:pt idx="141">
                  <c:v>4.0585255580900523E-2</c:v>
                </c:pt>
                <c:pt idx="142">
                  <c:v>4.0707642157640805E-2</c:v>
                </c:pt>
                <c:pt idx="143">
                  <c:v>4.0830131698045884E-2</c:v>
                </c:pt>
                <c:pt idx="144">
                  <c:v>4.0952690662540932E-2</c:v>
                </c:pt>
                <c:pt idx="145">
                  <c:v>4.1075284702087954E-2</c:v>
                </c:pt>
                <c:pt idx="146">
                  <c:v>4.1197878763284027E-2</c:v>
                </c:pt>
                <c:pt idx="147">
                  <c:v>4.1320437200018253E-2</c:v>
                </c:pt>
                <c:pt idx="148">
                  <c:v>4.1442923891168569E-2</c:v>
                </c:pt>
                <c:pt idx="149">
                  <c:v>4.1565302363754615E-2</c:v>
                </c:pt>
                <c:pt idx="150">
                  <c:v>4.1687535920900194E-2</c:v>
                </c:pt>
                <c:pt idx="151">
                  <c:v>4.1809587773900807E-2</c:v>
                </c:pt>
                <c:pt idx="152">
                  <c:v>4.1931421177639205E-2</c:v>
                </c:pt>
                <c:pt idx="153">
                  <c:v>4.205299956854424E-2</c:v>
                </c:pt>
                <c:pt idx="154">
                  <c:v>4.2174286704246861E-2</c:v>
                </c:pt>
                <c:pt idx="155">
                  <c:v>4.2295246804053374E-2</c:v>
                </c:pt>
                <c:pt idx="156">
                  <c:v>4.2415844689327853E-2</c:v>
                </c:pt>
                <c:pt idx="157">
                  <c:v>4.2536045922856487E-2</c:v>
                </c:pt>
                <c:pt idx="158">
                  <c:v>4.2655816946254692E-2</c:v>
                </c:pt>
                <c:pt idx="159">
                  <c:v>4.2775125214473977E-2</c:v>
                </c:pt>
                <c:pt idx="160">
                  <c:v>4.2893939326470676E-2</c:v>
                </c:pt>
                <c:pt idx="161">
                  <c:v>4.3012229151111303E-2</c:v>
                </c:pt>
                <c:pt idx="162">
                  <c:v>4.3129965947411433E-2</c:v>
                </c:pt>
                <c:pt idx="163">
                  <c:v>4.3247122478234472E-2</c:v>
                </c:pt>
                <c:pt idx="164">
                  <c:v>4.3363673116615084E-2</c:v>
                </c:pt>
                <c:pt idx="165">
                  <c:v>4.3479593943918468E-2</c:v>
                </c:pt>
                <c:pt idx="166">
                  <c:v>4.3594862839099503E-2</c:v>
                </c:pt>
                <c:pt idx="167">
                  <c:v>4.3709459558387731E-2</c:v>
                </c:pt>
                <c:pt idx="168">
                  <c:v>4.3823365804790994E-2</c:v>
                </c:pt>
                <c:pt idx="169">
                  <c:v>4.3936565286884707E-2</c:v>
                </c:pt>
                <c:pt idx="170">
                  <c:v>4.404904376643265E-2</c:v>
                </c:pt>
                <c:pt idx="171">
                  <c:v>4.416078909446941E-2</c:v>
                </c:pt>
                <c:pt idx="172">
                  <c:v>4.4271791235562498E-2</c:v>
                </c:pt>
                <c:pt idx="173">
                  <c:v>4.438204228006333E-2</c:v>
                </c:pt>
                <c:pt idx="174">
                  <c:v>4.4491536444250412E-2</c:v>
                </c:pt>
                <c:pt idx="175">
                  <c:v>4.460027005836209E-2</c:v>
                </c:pt>
                <c:pt idx="176">
                  <c:v>4.4708241542613478E-2</c:v>
                </c:pt>
                <c:pt idx="177">
                  <c:v>4.4815451371386164E-2</c:v>
                </c:pt>
                <c:pt idx="178">
                  <c:v>4.49219020258744E-2</c:v>
                </c:pt>
                <c:pt idx="179">
                  <c:v>4.5027597935563192E-2</c:v>
                </c:pt>
                <c:pt idx="180">
                  <c:v>4.513254540900271E-2</c:v>
                </c:pt>
                <c:pt idx="181">
                  <c:v>4.5236752554428585E-2</c:v>
                </c:pt>
                <c:pt idx="182">
                  <c:v>4.5340229190858047E-2</c:v>
                </c:pt>
                <c:pt idx="183">
                  <c:v>4.5442986750366322E-2</c:v>
                </c:pt>
                <c:pt idx="184">
                  <c:v>4.5545038172316754E-2</c:v>
                </c:pt>
                <c:pt idx="185">
                  <c:v>4.5646397790378983E-2</c:v>
                </c:pt>
                <c:pt idx="186">
                  <c:v>4.5747081213223718E-2</c:v>
                </c:pt>
                <c:pt idx="187">
                  <c:v>4.5847105199828431E-2</c:v>
                </c:pt>
                <c:pt idx="188">
                  <c:v>4.5946487530365197E-2</c:v>
                </c:pt>
                <c:pt idx="189">
                  <c:v>4.6045246873669905E-2</c:v>
                </c:pt>
                <c:pt idx="190">
                  <c:v>4.6143402652311413E-2</c:v>
                </c:pt>
                <c:pt idx="191">
                  <c:v>4.6240974906287931E-2</c:v>
                </c:pt>
                <c:pt idx="192">
                  <c:v>4.633798415637784E-2</c:v>
                </c:pt>
                <c:pt idx="193">
                  <c:v>4.6434451268162688E-2</c:v>
                </c:pt>
                <c:pt idx="194">
                  <c:v>4.6530397317720067E-2</c:v>
                </c:pt>
                <c:pt idx="195">
                  <c:v>4.662584345995615E-2</c:v>
                </c:pt>
                <c:pt idx="196">
                  <c:v>4.6720810800509396E-2</c:v>
                </c:pt>
                <c:pt idx="197">
                  <c:v>4.6815320272111362E-2</c:v>
                </c:pt>
                <c:pt idx="198">
                  <c:v>4.6909392516235382E-2</c:v>
                </c:pt>
                <c:pt idx="199">
                  <c:v>4.7003047770802601E-2</c:v>
                </c:pt>
                <c:pt idx="200">
                  <c:v>4.7096305764645567E-2</c:v>
                </c:pt>
                <c:pt idx="201">
                  <c:v>4.7189185619354507E-2</c:v>
                </c:pt>
                <c:pt idx="202">
                  <c:v>4.7281705759051045E-2</c:v>
                </c:pt>
                <c:pt idx="203">
                  <c:v>4.7373883828548707E-2</c:v>
                </c:pt>
                <c:pt idx="204">
                  <c:v>4.7465736620270815E-2</c:v>
                </c:pt>
                <c:pt idx="205">
                  <c:v>4.7557280010205157E-2</c:v>
                </c:pt>
                <c:pt idx="206">
                  <c:v>4.7648528903080356E-2</c:v>
                </c:pt>
                <c:pt idx="207">
                  <c:v>4.7739497186856238E-2</c:v>
                </c:pt>
                <c:pt idx="208">
                  <c:v>4.7830197696524884E-2</c:v>
                </c:pt>
                <c:pt idx="209">
                  <c:v>4.7920642187127105E-2</c:v>
                </c:pt>
                <c:pt idx="210">
                  <c:v>4.8010841315798435E-2</c:v>
                </c:pt>
                <c:pt idx="211">
                  <c:v>4.8100804632570562E-2</c:v>
                </c:pt>
                <c:pt idx="212">
                  <c:v>4.819054057957136E-2</c:v>
                </c:pt>
                <c:pt idx="213">
                  <c:v>4.8385524879725812E-2</c:v>
                </c:pt>
                <c:pt idx="214">
                  <c:v>4.8579305080705973E-2</c:v>
                </c:pt>
                <c:pt idx="215">
                  <c:v>4.8771891391656247E-2</c:v>
                </c:pt>
                <c:pt idx="216">
                  <c:v>4.8963293008344511E-2</c:v>
                </c:pt>
                <c:pt idx="217">
                  <c:v>4.9153518134475806E-2</c:v>
                </c:pt>
                <c:pt idx="218">
                  <c:v>4.9342574008770373E-2</c:v>
                </c:pt>
                <c:pt idx="219">
                  <c:v>4.9530466937072921E-2</c:v>
                </c:pt>
                <c:pt idx="220">
                  <c:v>4.9717202328720213E-2</c:v>
                </c:pt>
                <c:pt idx="221">
                  <c:v>4.9902784736364628E-2</c:v>
                </c:pt>
                <c:pt idx="222">
                  <c:v>5.0087217898431804E-2</c:v>
                </c:pt>
                <c:pt idx="223">
                  <c:v>5.0270504783382332E-2</c:v>
                </c:pt>
                <c:pt idx="224">
                  <c:v>5.0452647634949409E-2</c:v>
                </c:pt>
                <c:pt idx="225">
                  <c:v>5.0633648017537385E-2</c:v>
                </c:pt>
                <c:pt idx="226">
                  <c:v>5.0813506860989871E-2</c:v>
                </c:pt>
                <c:pt idx="227">
                  <c:v>5.099222450396982E-2</c:v>
                </c:pt>
                <c:pt idx="228">
                  <c:v>5.1169800735237601E-2</c:v>
                </c:pt>
                <c:pt idx="229">
                  <c:v>5.1346234832166958E-2</c:v>
                </c:pt>
                <c:pt idx="230">
                  <c:v>5.1521525595899835E-2</c:v>
                </c:pt>
                <c:pt idx="231">
                  <c:v>5.1695671382611934E-2</c:v>
                </c:pt>
                <c:pt idx="232">
                  <c:v>5.1868670130437659E-2</c:v>
                </c:pt>
                <c:pt idx="233">
                  <c:v>5.2040519381686932E-2</c:v>
                </c:pt>
                <c:pt idx="234">
                  <c:v>5.2211216300074983E-2</c:v>
                </c:pt>
                <c:pt idx="235">
                  <c:v>5.2380757682779659E-2</c:v>
                </c:pt>
                <c:pt idx="236">
                  <c:v>5.2549139967236813E-2</c:v>
                </c:pt>
                <c:pt idx="237">
                  <c:v>5.2716359232682489E-2</c:v>
                </c:pt>
                <c:pt idx="238">
                  <c:v>5.2882411196549441E-2</c:v>
                </c:pt>
                <c:pt idx="239">
                  <c:v>5.3047291205924031E-2</c:v>
                </c:pt>
                <c:pt idx="240">
                  <c:v>5.3210994224366107E-2</c:v>
                </c:pt>
                <c:pt idx="241">
                  <c:v>5.3373514814487912E-2</c:v>
                </c:pt>
                <c:pt idx="242">
                  <c:v>5.3534847116778035E-2</c:v>
                </c:pt>
                <c:pt idx="243">
                  <c:v>5.3694984825240273E-2</c:v>
                </c:pt>
                <c:pt idx="244">
                  <c:v>5.3853921160495075E-2</c:v>
                </c:pt>
                <c:pt idx="245">
                  <c:v>5.4011648841061709E-2</c:v>
                </c:pt>
                <c:pt idx="246">
                  <c:v>5.4168160053601165E-2</c:v>
                </c:pt>
                <c:pt idx="247">
                  <c:v>5.4323446422952087E-2</c:v>
                </c:pt>
                <c:pt idx="248">
                  <c:v>5.4477498982834681E-2</c:v>
                </c:pt>
                <c:pt idx="249">
                  <c:v>5.4630308148129185E-2</c:v>
                </c:pt>
                <c:pt idx="250">
                  <c:v>5.4781863689655652E-2</c:v>
                </c:pt>
                <c:pt idx="251">
                  <c:v>5.4932154712390227E-2</c:v>
                </c:pt>
                <c:pt idx="252">
                  <c:v>5.5081169638049612E-2</c:v>
                </c:pt>
                <c:pt idx="253">
                  <c:v>5.5228896192959558E-2</c:v>
                </c:pt>
                <c:pt idx="254">
                  <c:v>5.5375321402094745E-2</c:v>
                </c:pt>
                <c:pt idx="255">
                  <c:v>5.552043159013717E-2</c:v>
                </c:pt>
                <c:pt idx="256">
                  <c:v>5.5664212390347911E-2</c:v>
                </c:pt>
                <c:pt idx="257">
                  <c:v>5.5806648761982977E-2</c:v>
                </c:pt>
                <c:pt idx="258">
                  <c:v>5.5947725016908881E-2</c:v>
                </c:pt>
                <c:pt idx="259">
                  <c:v>5.6087424855988527E-2</c:v>
                </c:pt>
                <c:pt idx="260">
                  <c:v>5.6225731415712576E-2</c:v>
                </c:pt>
                <c:pt idx="261">
                  <c:v>5.6362627325447938E-2</c:v>
                </c:pt>
                <c:pt idx="262">
                  <c:v>5.649809477556357E-2</c:v>
                </c:pt>
                <c:pt idx="263">
                  <c:v>5.6632115596575335E-2</c:v>
                </c:pt>
                <c:pt idx="264">
                  <c:v>5.6764671349328867E-2</c:v>
                </c:pt>
                <c:pt idx="265">
                  <c:v>5.6895743426110958E-2</c:v>
                </c:pt>
                <c:pt idx="266">
                  <c:v>5.7025313162450304E-2</c:v>
                </c:pt>
                <c:pt idx="267">
                  <c:v>5.7153361959235961E-2</c:v>
                </c:pt>
                <c:pt idx="268">
                  <c:v>5.7279871414650525E-2</c:v>
                </c:pt>
                <c:pt idx="269">
                  <c:v>5.7404823465284777E-2</c:v>
                </c:pt>
                <c:pt idx="270">
                  <c:v>5.7528200535672265E-2</c:v>
                </c:pt>
                <c:pt idx="271">
                  <c:v>5.7649985695360659E-2</c:v>
                </c:pt>
                <c:pt idx="272">
                  <c:v>5.7770162822517963E-2</c:v>
                </c:pt>
                <c:pt idx="273">
                  <c:v>5.7888716772962548E-2</c:v>
                </c:pt>
                <c:pt idx="274">
                  <c:v>5.8005633553403865E-2</c:v>
                </c:pt>
                <c:pt idx="275">
                  <c:v>5.8120900497588932E-2</c:v>
                </c:pt>
                <c:pt idx="276">
                  <c:v>5.8234506443968236E-2</c:v>
                </c:pt>
                <c:pt idx="277">
                  <c:v>5.8346441913426333E-2</c:v>
                </c:pt>
                <c:pt idx="278">
                  <c:v>5.8456699285565128E-2</c:v>
                </c:pt>
                <c:pt idx="279">
                  <c:v>5.8565272971986548E-2</c:v>
                </c:pt>
                <c:pt idx="280">
                  <c:v>5.8672159584991966E-2</c:v>
                </c:pt>
                <c:pt idx="281">
                  <c:v>5.8777358100103899E-2</c:v>
                </c:pt>
                <c:pt idx="282">
                  <c:v>5.8880870010816613E-2</c:v>
                </c:pt>
                <c:pt idx="283">
                  <c:v>5.8982699474001282E-2</c:v>
                </c:pt>
                <c:pt idx="284">
                  <c:v>5.9082853444424398E-2</c:v>
                </c:pt>
                <c:pt idx="285">
                  <c:v>5.9181341796887728E-2</c:v>
                </c:pt>
                <c:pt idx="286">
                  <c:v>5.9278177434563144E-2</c:v>
                </c:pt>
                <c:pt idx="287">
                  <c:v>5.9373376382175505E-2</c:v>
                </c:pt>
                <c:pt idx="288">
                  <c:v>5.9466957862781208E-2</c:v>
                </c:pt>
                <c:pt idx="289">
                  <c:v>5.9558944356998739E-2</c:v>
                </c:pt>
                <c:pt idx="290">
                  <c:v>5.9649361643668464E-2</c:v>
                </c:pt>
                <c:pt idx="291">
                  <c:v>5.973823882105285E-2</c:v>
                </c:pt>
                <c:pt idx="292">
                  <c:v>5.9825608307832158E-2</c:v>
                </c:pt>
                <c:pt idx="293">
                  <c:v>5.9911505823305032E-2</c:v>
                </c:pt>
                <c:pt idx="294">
                  <c:v>5.9995970346365411E-2</c:v>
                </c:pt>
                <c:pt idx="295">
                  <c:v>6.0079044052996695E-2</c:v>
                </c:pt>
                <c:pt idx="296">
                  <c:v>6.0160772232198262E-2</c:v>
                </c:pt>
                <c:pt idx="297">
                  <c:v>6.0241203180438095E-2</c:v>
                </c:pt>
                <c:pt idx="298">
                  <c:v>6.0320388074905279E-2</c:v>
                </c:pt>
                <c:pt idx="299">
                  <c:v>6.0398380826017194E-2</c:v>
                </c:pt>
                <c:pt idx="300">
                  <c:v>6.0475237909815571E-2</c:v>
                </c:pt>
                <c:pt idx="301">
                  <c:v>6.0551018181061782E-2</c:v>
                </c:pt>
                <c:pt idx="302">
                  <c:v>6.0625782668013967E-2</c:v>
                </c:pt>
                <c:pt idx="303">
                  <c:v>6.069959435003331E-2</c:v>
                </c:pt>
                <c:pt idx="304">
                  <c:v>6.0772517919324746E-2</c:v>
                </c:pt>
                <c:pt idx="305">
                  <c:v>6.0844619528264289E-2</c:v>
                </c:pt>
                <c:pt idx="306">
                  <c:v>6.0915966523902923E-2</c:v>
                </c:pt>
                <c:pt idx="307">
                  <c:v>6.0986627171360414E-2</c:v>
                </c:pt>
                <c:pt idx="308">
                  <c:v>6.1056670367933448E-2</c:v>
                </c:pt>
                <c:pt idx="309">
                  <c:v>6.1126165349838328E-2</c:v>
                </c:pt>
                <c:pt idx="310">
                  <c:v>6.1195181393588219E-2</c:v>
                </c:pt>
                <c:pt idx="311">
                  <c:v>6.126378751406835E-2</c:v>
                </c:pt>
                <c:pt idx="312">
                  <c:v>6.1332052161418515E-2</c:v>
                </c:pt>
                <c:pt idx="313">
                  <c:v>6.1400042918859789E-2</c:v>
                </c:pt>
                <c:pt idx="314">
                  <c:v>6.1467826203612623E-2</c:v>
                </c:pt>
                <c:pt idx="315">
                  <c:v>6.1535466973043761E-2</c:v>
                </c:pt>
                <c:pt idx="316">
                  <c:v>6.1603028438152588E-2</c:v>
                </c:pt>
                <c:pt idx="317">
                  <c:v>6.1670571786461466E-2</c:v>
                </c:pt>
                <c:pt idx="318">
                  <c:v>6.1738155916310433E-2</c:v>
                </c:pt>
                <c:pt idx="319">
                  <c:v>6.1805837184475666E-2</c:v>
                </c:pt>
                <c:pt idx="320">
                  <c:v>6.1873669168932069E-2</c:v>
                </c:pt>
                <c:pt idx="321">
                  <c:v>6.1941702448466682E-2</c:v>
                </c:pt>
                <c:pt idx="322">
                  <c:v>6.2009984400719365E-2</c:v>
                </c:pt>
                <c:pt idx="323">
                  <c:v>6.2078559020084322E-2</c:v>
                </c:pt>
                <c:pt idx="324">
                  <c:v>6.2147466756749585E-2</c:v>
                </c:pt>
                <c:pt idx="325">
                  <c:v>6.221674437798469E-2</c:v>
                </c:pt>
                <c:pt idx="326">
                  <c:v>6.2286424852609004E-2</c:v>
                </c:pt>
                <c:pt idx="327">
                  <c:v>6.2356537259388736E-2</c:v>
                </c:pt>
                <c:pt idx="328">
                  <c:v>6.2427106719918156E-2</c:v>
                </c:pt>
                <c:pt idx="329">
                  <c:v>6.2498154356344739E-2</c:v>
                </c:pt>
                <c:pt idx="330">
                  <c:v>6.2569697274098154E-2</c:v>
                </c:pt>
                <c:pt idx="331">
                  <c:v>6.2641748569582628E-2</c:v>
                </c:pt>
                <c:pt idx="332">
                  <c:v>6.271431736259242E-2</c:v>
                </c:pt>
                <c:pt idx="333">
                  <c:v>6.2787408853012941E-2</c:v>
                </c:pt>
                <c:pt idx="334">
                  <c:v>6.2861024401176649E-2</c:v>
                </c:pt>
                <c:pt idx="335">
                  <c:v>6.2935161631056766E-2</c:v>
                </c:pt>
                <c:pt idx="336">
                  <c:v>6.3009814555301663E-2</c:v>
                </c:pt>
                <c:pt idx="337">
                  <c:v>6.3084973720944168E-2</c:v>
                </c:pt>
                <c:pt idx="338">
                  <c:v>6.316062637446021E-2</c:v>
                </c:pt>
                <c:pt idx="339">
                  <c:v>6.3236756644705294E-2</c:v>
                </c:pt>
                <c:pt idx="340">
                  <c:v>6.3313345742124369E-2</c:v>
                </c:pt>
                <c:pt idx="341">
                  <c:v>6.3390372172512421E-2</c:v>
                </c:pt>
                <c:pt idx="342">
                  <c:v>6.3467811963500945E-2</c:v>
                </c:pt>
                <c:pt idx="343">
                  <c:v>6.3545638901859755E-2</c:v>
                </c:pt>
                <c:pt idx="344">
                  <c:v>6.3623824779636004E-2</c:v>
                </c:pt>
                <c:pt idx="345">
                  <c:v>6.3702339647100953E-2</c:v>
                </c:pt>
                <c:pt idx="346">
                  <c:v>6.3781152070444186E-2</c:v>
                </c:pt>
                <c:pt idx="347">
                  <c:v>6.3860229392140935E-2</c:v>
                </c:pt>
                <c:pt idx="348">
                  <c:v>6.3939537991923326E-2</c:v>
                </c:pt>
                <c:pt idx="349">
                  <c:v>6.4019043546309523E-2</c:v>
                </c:pt>
                <c:pt idx="350">
                  <c:v>6.4098711284686763E-2</c:v>
                </c:pt>
                <c:pt idx="351">
                  <c:v>6.4178506240002126E-2</c:v>
                </c:pt>
                <c:pt idx="352">
                  <c:v>6.4258393492191437E-2</c:v>
                </c:pt>
                <c:pt idx="353">
                  <c:v>6.4338338402567502E-2</c:v>
                </c:pt>
                <c:pt idx="354">
                  <c:v>6.4418306837496372E-2</c:v>
                </c:pt>
                <c:pt idx="355">
                  <c:v>6.4498265379809641E-2</c:v>
                </c:pt>
                <c:pt idx="356">
                  <c:v>6.45781815265348E-2</c:v>
                </c:pt>
                <c:pt idx="357">
                  <c:v>6.465802387166962E-2</c:v>
                </c:pt>
                <c:pt idx="358">
                  <c:v>6.4737762272880389E-2</c:v>
                </c:pt>
                <c:pt idx="359">
                  <c:v>6.4817368001166442E-2</c:v>
                </c:pt>
                <c:pt idx="360">
                  <c:v>6.489681387270281E-2</c:v>
                </c:pt>
                <c:pt idx="361">
                  <c:v>6.4976074362245576E-2</c:v>
                </c:pt>
                <c:pt idx="362">
                  <c:v>6.5055125697663113E-2</c:v>
                </c:pt>
                <c:pt idx="363">
                  <c:v>6.5133945935334267E-2</c:v>
                </c:pt>
                <c:pt idx="364">
                  <c:v>6.5212515016333322E-2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2.2178395099329071E-4</c:v>
                </c:pt>
                <c:pt idx="1">
                  <c:v>2.1946120508253278E-4</c:v>
                </c:pt>
                <c:pt idx="2">
                  <c:v>2.1739499132376056E-4</c:v>
                </c:pt>
                <c:pt idx="3">
                  <c:v>2.1559114993856927E-4</c:v>
                </c:pt>
                <c:pt idx="4">
                  <c:v>2.1405484588594742E-4</c:v>
                </c:pt>
                <c:pt idx="5">
                  <c:v>2.1279071171815067E-4</c:v>
                </c:pt>
                <c:pt idx="6">
                  <c:v>2.1180299073097843E-4</c:v>
                </c:pt>
                <c:pt idx="7">
                  <c:v>2.1109567943982166E-4</c:v>
                </c:pt>
                <c:pt idx="8">
                  <c:v>2.1064916538101965E-4</c:v>
                </c:pt>
                <c:pt idx="9">
                  <c:v>2.1016346629683339E-4</c:v>
                </c:pt>
                <c:pt idx="10">
                  <c:v>2.0954291021718421E-4</c:v>
                </c:pt>
                <c:pt idx="11">
                  <c:v>2.0878763043823801E-4</c:v>
                </c:pt>
                <c:pt idx="12">
                  <c:v>2.0789792356120849E-4</c:v>
                </c:pt>
                <c:pt idx="13">
                  <c:v>2.0687425660595264E-4</c:v>
                </c:pt>
                <c:pt idx="14">
                  <c:v>2.0571727281749197E-4</c:v>
                </c:pt>
                <c:pt idx="15">
                  <c:v>2.0438682123562009E-4</c:v>
                </c:pt>
                <c:pt idx="16">
                  <c:v>2.0274159716736204E-4</c:v>
                </c:pt>
                <c:pt idx="17">
                  <c:v>2.0078720991161436E-4</c:v>
                </c:pt>
                <c:pt idx="18">
                  <c:v>1.9852953767150134E-4</c:v>
                </c:pt>
                <c:pt idx="19">
                  <c:v>1.9597583227219721E-4</c:v>
                </c:pt>
                <c:pt idx="20">
                  <c:v>1.9313405826658253E-4</c:v>
                </c:pt>
                <c:pt idx="21">
                  <c:v>1.9001154535313835E-4</c:v>
                </c:pt>
                <c:pt idx="22">
                  <c:v>1.8660674682379323E-4</c:v>
                </c:pt>
                <c:pt idx="23">
                  <c:v>1.8309485729000368E-4</c:v>
                </c:pt>
                <c:pt idx="24">
                  <c:v>1.7972949437595573E-4</c:v>
                </c:pt>
                <c:pt idx="25">
                  <c:v>1.7651560801521394E-4</c:v>
                </c:pt>
                <c:pt idx="26">
                  <c:v>1.7345729417764523E-4</c:v>
                </c:pt>
                <c:pt idx="27">
                  <c:v>1.7055787769239546E-4</c:v>
                </c:pt>
                <c:pt idx="28">
                  <c:v>1.6781999556966708E-4</c:v>
                </c:pt>
                <c:pt idx="29">
                  <c:v>1.6529590828018016E-4</c:v>
                </c:pt>
                <c:pt idx="30">
                  <c:v>1.6302158173770899E-4</c:v>
                </c:pt>
                <c:pt idx="31">
                  <c:v>1.6099571229628772E-4</c:v>
                </c:pt>
                <c:pt idx="32">
                  <c:v>1.5921673271781747E-4</c:v>
                </c:pt>
                <c:pt idx="33">
                  <c:v>1.576829053098824E-4</c:v>
                </c:pt>
                <c:pt idx="34">
                  <c:v>1.563924088485406E-4</c:v>
                </c:pt>
                <c:pt idx="35">
                  <c:v>1.5534341960542406E-4</c:v>
                </c:pt>
                <c:pt idx="36">
                  <c:v>1.545177273792851E-4</c:v>
                </c:pt>
                <c:pt idx="37">
                  <c:v>1.5393024662525219E-4</c:v>
                </c:pt>
                <c:pt idx="38">
                  <c:v>1.53428987887749E-4</c:v>
                </c:pt>
                <c:pt idx="39">
                  <c:v>1.5301401266757593E-4</c:v>
                </c:pt>
                <c:pt idx="40">
                  <c:v>1.5268534254415074E-4</c:v>
                </c:pt>
                <c:pt idx="41">
                  <c:v>1.5244297529733614E-4</c:v>
                </c:pt>
                <c:pt idx="42">
                  <c:v>1.5228690043199458E-4</c:v>
                </c:pt>
                <c:pt idx="43">
                  <c:v>1.5226815084110602E-4</c:v>
                </c:pt>
                <c:pt idx="44">
                  <c:v>1.5234141004364629E-4</c:v>
                </c:pt>
                <c:pt idx="45">
                  <c:v>1.5250660876783224E-4</c:v>
                </c:pt>
                <c:pt idx="46">
                  <c:v>1.5276373587295238E-4</c:v>
                </c:pt>
                <c:pt idx="47">
                  <c:v>1.5311285186528448E-4</c:v>
                </c:pt>
                <c:pt idx="48">
                  <c:v>1.5355410207470283E-4</c:v>
                </c:pt>
                <c:pt idx="49">
                  <c:v>1.5408772960692066E-4</c:v>
                </c:pt>
                <c:pt idx="50">
                  <c:v>1.5471013672465407E-4</c:v>
                </c:pt>
                <c:pt idx="51">
                  <c:v>1.5525844990944121E-4</c:v>
                </c:pt>
                <c:pt idx="52">
                  <c:v>1.5570321165132855E-4</c:v>
                </c:pt>
                <c:pt idx="53">
                  <c:v>1.5604549367076448E-4</c:v>
                </c:pt>
                <c:pt idx="54">
                  <c:v>1.5628707266823269E-4</c:v>
                </c:pt>
                <c:pt idx="55">
                  <c:v>1.56429672573512E-4</c:v>
                </c:pt>
                <c:pt idx="56">
                  <c:v>1.564749725630605E-4</c:v>
                </c:pt>
                <c:pt idx="57">
                  <c:v>1.5604540174576174E-4</c:v>
                </c:pt>
                <c:pt idx="58">
                  <c:v>1.551034313726256E-4</c:v>
                </c:pt>
                <c:pt idx="59">
                  <c:v>1.5365801522417564E-4</c:v>
                </c:pt>
                <c:pt idx="60">
                  <c:v>1.5171775021351796E-4</c:v>
                </c:pt>
                <c:pt idx="61">
                  <c:v>1.492908926060326E-4</c:v>
                </c:pt>
                <c:pt idx="62">
                  <c:v>1.4638537049388878E-4</c:v>
                </c:pt>
                <c:pt idx="63">
                  <c:v>1.430087926933847E-4</c:v>
                </c:pt>
                <c:pt idx="64">
                  <c:v>1.3916720483895457E-4</c:v>
                </c:pt>
                <c:pt idx="65">
                  <c:v>1.3487800796441738E-4</c:v>
                </c:pt>
                <c:pt idx="66">
                  <c:v>1.3029345891604313E-4</c:v>
                </c:pt>
                <c:pt idx="67">
                  <c:v>1.2541868964597561E-4</c:v>
                </c:pt>
                <c:pt idx="68">
                  <c:v>1.2025842237870456E-4</c:v>
                </c:pt>
                <c:pt idx="69">
                  <c:v>1.1481694323106153E-4</c:v>
                </c:pt>
                <c:pt idx="70">
                  <c:v>1.090980758648518E-4</c:v>
                </c:pt>
                <c:pt idx="71">
                  <c:v>1.0332327472634419E-4</c:v>
                </c:pt>
                <c:pt idx="72">
                  <c:v>9.7842412468171193E-5</c:v>
                </c:pt>
                <c:pt idx="73">
                  <c:v>9.2650499862275394E-5</c:v>
                </c:pt>
                <c:pt idx="74">
                  <c:v>8.7742640352131632E-5</c:v>
                </c:pt>
                <c:pt idx="75">
                  <c:v>8.3114049008156614E-5</c:v>
                </c:pt>
                <c:pt idx="76">
                  <c:v>7.8760071375676092E-5</c:v>
                </c:pt>
                <c:pt idx="77">
                  <c:v>7.467620218674036E-5</c:v>
                </c:pt>
                <c:pt idx="78">
                  <c:v>7.0854785622558649E-5</c:v>
                </c:pt>
                <c:pt idx="79">
                  <c:v>6.7314728019063721E-5</c:v>
                </c:pt>
                <c:pt idx="80">
                  <c:v>6.4043408252162148E-5</c:v>
                </c:pt>
                <c:pt idx="81">
                  <c:v>6.1038108526142846E-5</c:v>
                </c:pt>
                <c:pt idx="82">
                  <c:v>5.8296151308589768E-5</c:v>
                </c:pt>
                <c:pt idx="83">
                  <c:v>5.5814948551797646E-5</c:v>
                </c:pt>
                <c:pt idx="84">
                  <c:v>5.3592049367245498E-5</c:v>
                </c:pt>
                <c:pt idx="85">
                  <c:v>5.1682565590072231E-5</c:v>
                </c:pt>
                <c:pt idx="86">
                  <c:v>4.9876330472324542E-5</c:v>
                </c:pt>
                <c:pt idx="87">
                  <c:v>4.8172262753077785E-5</c:v>
                </c:pt>
                <c:pt idx="88">
                  <c:v>4.6569311969386252E-5</c:v>
                </c:pt>
                <c:pt idx="89">
                  <c:v>4.5066475598818566E-5</c:v>
                </c:pt>
                <c:pt idx="90">
                  <c:v>4.3662815723129949E-5</c:v>
                </c:pt>
                <c:pt idx="91">
                  <c:v>4.235747530984224E-5</c:v>
                </c:pt>
                <c:pt idx="92">
                  <c:v>4.1149162435774123E-5</c:v>
                </c:pt>
                <c:pt idx="93">
                  <c:v>4.0232217092269661E-5</c:v>
                </c:pt>
                <c:pt idx="94">
                  <c:v>3.9581433977630564E-5</c:v>
                </c:pt>
                <c:pt idx="95">
                  <c:v>3.9196678837274128E-5</c:v>
                </c:pt>
                <c:pt idx="96">
                  <c:v>3.9078375966246045E-5</c:v>
                </c:pt>
                <c:pt idx="97">
                  <c:v>3.9227493315784207E-5</c:v>
                </c:pt>
                <c:pt idx="98">
                  <c:v>3.9645528789481289E-5</c:v>
                </c:pt>
                <c:pt idx="99">
                  <c:v>4.07490682732536E-5</c:v>
                </c:pt>
                <c:pt idx="100">
                  <c:v>4.2486482809175878E-5</c:v>
                </c:pt>
                <c:pt idx="101">
                  <c:v>4.4864820574827803E-5</c:v>
                </c:pt>
                <c:pt idx="102">
                  <c:v>4.7892286384624357E-5</c:v>
                </c:pt>
                <c:pt idx="103">
                  <c:v>5.1578216088894425E-5</c:v>
                </c:pt>
                <c:pt idx="104">
                  <c:v>5.593305030619242E-5</c:v>
                </c:pt>
                <c:pt idx="105">
                  <c:v>6.0968306943262727E-5</c:v>
                </c:pt>
                <c:pt idx="106">
                  <c:v>6.6697837036441775E-5</c:v>
                </c:pt>
                <c:pt idx="107">
                  <c:v>7.3561414643894723E-5</c:v>
                </c:pt>
                <c:pt idx="108">
                  <c:v>8.1376365355381679E-5</c:v>
                </c:pt>
                <c:pt idx="109">
                  <c:v>9.0164906542293557E-5</c:v>
                </c:pt>
                <c:pt idx="110">
                  <c:v>9.9951549652991801E-5</c:v>
                </c:pt>
                <c:pt idx="111">
                  <c:v>1.1076300723786953E-4</c:v>
                </c:pt>
                <c:pt idx="112">
                  <c:v>1.2262793353593954E-4</c:v>
                </c:pt>
                <c:pt idx="113">
                  <c:v>1.3581509902903702E-4</c:v>
                </c:pt>
                <c:pt idx="114">
                  <c:v>1.4991481463781265E-4</c:v>
                </c:pt>
                <c:pt idx="115">
                  <c:v>1.649580368550783E-4</c:v>
                </c:pt>
                <c:pt idx="116">
                  <c:v>1.8097765353429927E-4</c:v>
                </c:pt>
                <c:pt idx="117">
                  <c:v>1.9800852511960454E-4</c:v>
                </c:pt>
                <c:pt idx="118">
                  <c:v>2.1608752361581082E-4</c:v>
                </c:pt>
                <c:pt idx="119">
                  <c:v>2.3525356895325448E-4</c:v>
                </c:pt>
                <c:pt idx="120">
                  <c:v>2.5554952271376706E-4</c:v>
                </c:pt>
                <c:pt idx="121">
                  <c:v>2.7725557779147597E-4</c:v>
                </c:pt>
                <c:pt idx="122">
                  <c:v>2.9994666550066178E-4</c:v>
                </c:pt>
                <c:pt idx="123">
                  <c:v>3.2366102036630439E-4</c:v>
                </c:pt>
                <c:pt idx="124">
                  <c:v>3.4843778138465403E-4</c:v>
                </c:pt>
                <c:pt idx="125">
                  <c:v>3.7431691307448605E-4</c:v>
                </c:pt>
                <c:pt idx="126">
                  <c:v>4.0133911518369306E-4</c:v>
                </c:pt>
                <c:pt idx="127">
                  <c:v>4.2958050690445417E-4</c:v>
                </c:pt>
                <c:pt idx="128">
                  <c:v>4.5880950004542419E-4</c:v>
                </c:pt>
                <c:pt idx="129">
                  <c:v>4.8905986560390921E-4</c:v>
                </c:pt>
                <c:pt idx="130">
                  <c:v>5.203651212677664E-4</c:v>
                </c:pt>
                <c:pt idx="131">
                  <c:v>5.5275839173409621E-4</c:v>
                </c:pt>
                <c:pt idx="132">
                  <c:v>5.8627225822752008E-4</c:v>
                </c:pt>
                <c:pt idx="133">
                  <c:v>6.209385971997221E-4</c:v>
                </c:pt>
                <c:pt idx="134">
                  <c:v>6.5679985910055438E-4</c:v>
                </c:pt>
                <c:pt idx="135">
                  <c:v>6.9388907546046941E-4</c:v>
                </c:pt>
                <c:pt idx="136">
                  <c:v>7.3196042561639242E-4</c:v>
                </c:pt>
                <c:pt idx="137">
                  <c:v>7.7103734958125991E-4</c:v>
                </c:pt>
                <c:pt idx="138">
                  <c:v>8.1114202369858329E-4</c:v>
                </c:pt>
                <c:pt idx="139">
                  <c:v>8.5229522722338256E-4</c:v>
                </c:pt>
                <c:pt idx="140">
                  <c:v>8.9451620707630384E-4</c:v>
                </c:pt>
                <c:pt idx="141">
                  <c:v>9.3783293466959128E-4</c:v>
                </c:pt>
                <c:pt idx="142">
                  <c:v>9.8221410129879327E-4</c:v>
                </c:pt>
                <c:pt idx="143">
                  <c:v>1.0276669072116639E-3</c:v>
                </c:pt>
                <c:pt idx="144">
                  <c:v>1.0742020418808777E-3</c:v>
                </c:pt>
                <c:pt idx="145">
                  <c:v>1.1218281902881985E-3</c:v>
                </c:pt>
                <c:pt idx="146">
                  <c:v>1.1705519311509341E-3</c:v>
                </c:pt>
                <c:pt idx="147">
                  <c:v>1.2203776425632061E-3</c:v>
                </c:pt>
                <c:pt idx="148">
                  <c:v>1.2713081807093028E-3</c:v>
                </c:pt>
                <c:pt idx="149">
                  <c:v>1.3227897161490248E-3</c:v>
                </c:pt>
                <c:pt idx="150">
                  <c:v>1.3748178036450422E-3</c:v>
                </c:pt>
                <c:pt idx="151">
                  <c:v>1.4273711245981237E-3</c:v>
                </c:pt>
                <c:pt idx="152">
                  <c:v>1.4804263430080742E-3</c:v>
                </c:pt>
                <c:pt idx="153">
                  <c:v>1.5339581739087598E-3</c:v>
                </c:pt>
                <c:pt idx="154">
                  <c:v>1.5879394674523783E-3</c:v>
                </c:pt>
                <c:pt idx="155">
                  <c:v>1.6412964892203829E-3</c:v>
                </c:pt>
                <c:pt idx="156">
                  <c:v>1.6939449148232273E-3</c:v>
                </c:pt>
                <c:pt idx="157">
                  <c:v>1.7458107347670625E-3</c:v>
                </c:pt>
                <c:pt idx="158">
                  <c:v>1.7968182721540642E-3</c:v>
                </c:pt>
                <c:pt idx="159">
                  <c:v>1.8468904359706126E-3</c:v>
                </c:pt>
                <c:pt idx="160">
                  <c:v>1.8959489844457605E-3</c:v>
                </c:pt>
                <c:pt idx="161">
                  <c:v>1.9439147955494494E-3</c:v>
                </c:pt>
                <c:pt idx="162">
                  <c:v>1.9907304964073883E-3</c:v>
                </c:pt>
                <c:pt idx="163">
                  <c:v>2.0353738476128346E-3</c:v>
                </c:pt>
                <c:pt idx="164">
                  <c:v>2.0783895083882676E-3</c:v>
                </c:pt>
                <c:pt idx="165">
                  <c:v>2.119668735781146E-3</c:v>
                </c:pt>
                <c:pt idx="166">
                  <c:v>2.1591017009601034E-3</c:v>
                </c:pt>
                <c:pt idx="167">
                  <c:v>2.1965779079967723E-3</c:v>
                </c:pt>
                <c:pt idx="168">
                  <c:v>2.231986617545899E-3</c:v>
                </c:pt>
                <c:pt idx="169">
                  <c:v>2.2641941319862962E-3</c:v>
                </c:pt>
                <c:pt idx="170">
                  <c:v>2.2943092549006549E-3</c:v>
                </c:pt>
                <c:pt idx="171">
                  <c:v>2.3222304196615813E-3</c:v>
                </c:pt>
                <c:pt idx="172">
                  <c:v>2.3478574155878502E-3</c:v>
                </c:pt>
                <c:pt idx="173">
                  <c:v>2.3710675144753271E-3</c:v>
                </c:pt>
                <c:pt idx="174">
                  <c:v>2.3917379372935003E-3</c:v>
                </c:pt>
                <c:pt idx="175">
                  <c:v>2.4097717181647735E-3</c:v>
                </c:pt>
                <c:pt idx="176">
                  <c:v>2.4251199666057112E-3</c:v>
                </c:pt>
                <c:pt idx="177">
                  <c:v>2.4364068984197057E-3</c:v>
                </c:pt>
                <c:pt idx="178">
                  <c:v>2.4446485980528054E-3</c:v>
                </c:pt>
                <c:pt idx="179">
                  <c:v>2.4497761225978723E-3</c:v>
                </c:pt>
                <c:pt idx="180">
                  <c:v>2.4517244716840193E-3</c:v>
                </c:pt>
                <c:pt idx="181">
                  <c:v>2.4504326012701988E-3</c:v>
                </c:pt>
                <c:pt idx="182">
                  <c:v>2.4458434047087379E-3</c:v>
                </c:pt>
                <c:pt idx="183">
                  <c:v>2.4370863702758839E-3</c:v>
                </c:pt>
                <c:pt idx="184">
                  <c:v>2.4252696696192219E-3</c:v>
                </c:pt>
                <c:pt idx="185">
                  <c:v>2.4103559382172607E-3</c:v>
                </c:pt>
                <c:pt idx="186">
                  <c:v>2.3923110551696829E-3</c:v>
                </c:pt>
                <c:pt idx="187">
                  <c:v>2.3711039869155738E-3</c:v>
                </c:pt>
                <c:pt idx="188">
                  <c:v>2.3467066122310311E-3</c:v>
                </c:pt>
                <c:pt idx="189">
                  <c:v>2.3190935309421235E-3</c:v>
                </c:pt>
                <c:pt idx="190">
                  <c:v>2.2882606802884071E-3</c:v>
                </c:pt>
                <c:pt idx="191">
                  <c:v>2.2542175566996974E-3</c:v>
                </c:pt>
                <c:pt idx="192">
                  <c:v>2.2184409563166785E-3</c:v>
                </c:pt>
                <c:pt idx="193">
                  <c:v>2.1809324317872908E-3</c:v>
                </c:pt>
                <c:pt idx="194">
                  <c:v>2.1416944760567621E-3</c:v>
                </c:pt>
                <c:pt idx="195">
                  <c:v>2.1007304199618633E-3</c:v>
                </c:pt>
                <c:pt idx="196">
                  <c:v>2.0580443370604887E-3</c:v>
                </c:pt>
                <c:pt idx="197">
                  <c:v>2.0136165318714698E-3</c:v>
                </c:pt>
                <c:pt idx="198">
                  <c:v>1.9683522020642729E-3</c:v>
                </c:pt>
                <c:pt idx="199">
                  <c:v>1.9222708874391974E-3</c:v>
                </c:pt>
                <c:pt idx="200">
                  <c:v>1.8753920000889328E-3</c:v>
                </c:pt>
                <c:pt idx="201">
                  <c:v>1.8277347834876529E-3</c:v>
                </c:pt>
                <c:pt idx="202">
                  <c:v>1.779318282658009E-3</c:v>
                </c:pt>
                <c:pt idx="203">
                  <c:v>1.7301613252570856E-3</c:v>
                </c:pt>
                <c:pt idx="204">
                  <c:v>1.6802890789277621E-3</c:v>
                </c:pt>
                <c:pt idx="205">
                  <c:v>1.6298084620256343E-3</c:v>
                </c:pt>
                <c:pt idx="206">
                  <c:v>1.5787254578580065E-3</c:v>
                </c:pt>
                <c:pt idx="207">
                  <c:v>1.5270639749579867E-3</c:v>
                </c:pt>
                <c:pt idx="208">
                  <c:v>1.4748466638001053E-3</c:v>
                </c:pt>
                <c:pt idx="209">
                  <c:v>1.4220949153429369E-3</c:v>
                </c:pt>
                <c:pt idx="210">
                  <c:v>1.3688288676635988E-3</c:v>
                </c:pt>
                <c:pt idx="211">
                  <c:v>1.3156403275727156E-3</c:v>
                </c:pt>
                <c:pt idx="212">
                  <c:v>1.2625796155754381E-3</c:v>
                </c:pt>
                <c:pt idx="213">
                  <c:v>1.2096698317664695E-3</c:v>
                </c:pt>
                <c:pt idx="214">
                  <c:v>1.1569327341811558E-3</c:v>
                </c:pt>
                <c:pt idx="215">
                  <c:v>1.1043887960062314E-3</c:v>
                </c:pt>
                <c:pt idx="216">
                  <c:v>1.0520572643924497E-3</c:v>
                </c:pt>
                <c:pt idx="217">
                  <c:v>9.9995621999921761E-4</c:v>
                </c:pt>
                <c:pt idx="218">
                  <c:v>9.481012872230391E-4</c:v>
                </c:pt>
                <c:pt idx="219">
                  <c:v>8.9714143230182634E-4</c:v>
                </c:pt>
                <c:pt idx="220">
                  <c:v>8.4701384666765827E-4</c:v>
                </c:pt>
                <c:pt idx="221">
                  <c:v>7.9773635598192737E-4</c:v>
                </c:pt>
                <c:pt idx="222">
                  <c:v>7.4932649131492334E-4</c:v>
                </c:pt>
                <c:pt idx="223">
                  <c:v>7.0180152998539774E-4</c:v>
                </c:pt>
                <c:pt idx="224">
                  <c:v>6.5517853171813401E-4</c:v>
                </c:pt>
                <c:pt idx="225">
                  <c:v>6.1067449388976509E-4</c:v>
                </c:pt>
                <c:pt idx="226">
                  <c:v>5.6771426879557009E-4</c:v>
                </c:pt>
                <c:pt idx="227">
                  <c:v>5.2631964675996809E-4</c:v>
                </c:pt>
                <c:pt idx="228">
                  <c:v>4.8651212435575175E-4</c:v>
                </c:pt>
                <c:pt idx="229">
                  <c:v>4.4831290601394998E-4</c:v>
                </c:pt>
                <c:pt idx="230">
                  <c:v>4.1174290034672647E-4</c:v>
                </c:pt>
                <c:pt idx="231">
                  <c:v>3.7682271146672491E-4</c:v>
                </c:pt>
                <c:pt idx="232">
                  <c:v>3.4356695352971808E-4</c:v>
                </c:pt>
                <c:pt idx="233">
                  <c:v>3.132350937670096E-4</c:v>
                </c:pt>
                <c:pt idx="234">
                  <c:v>2.8519626742729638E-4</c:v>
                </c:pt>
                <c:pt idx="235">
                  <c:v>2.5947775391071503E-4</c:v>
                </c:pt>
                <c:pt idx="236">
                  <c:v>2.3610495283059237E-4</c:v>
                </c:pt>
                <c:pt idx="237">
                  <c:v>2.1510136493371119E-4</c:v>
                </c:pt>
                <c:pt idx="238">
                  <c:v>1.9648901490926395E-4</c:v>
                </c:pt>
                <c:pt idx="239">
                  <c:v>1.8089080301196146E-4</c:v>
                </c:pt>
                <c:pt idx="240">
                  <c:v>1.6708261820568647E-4</c:v>
                </c:pt>
                <c:pt idx="241">
                  <c:v>1.5507909241017323E-4</c:v>
                </c:pt>
                <c:pt idx="242">
                  <c:v>1.4489430825476098E-4</c:v>
                </c:pt>
                <c:pt idx="243">
                  <c:v>1.3654197610733898E-4</c:v>
                </c:pt>
                <c:pt idx="244">
                  <c:v>1.3003561380880491E-4</c:v>
                </c:pt>
                <c:pt idx="245">
                  <c:v>1.253887291470315E-4</c:v>
                </c:pt>
                <c:pt idx="246">
                  <c:v>1.2261026606695844E-4</c:v>
                </c:pt>
                <c:pt idx="247">
                  <c:v>1.2188798711600412E-4</c:v>
                </c:pt>
                <c:pt idx="248">
                  <c:v>1.2195234567588096E-4</c:v>
                </c:pt>
                <c:pt idx="249">
                  <c:v>1.2280936295451937E-4</c:v>
                </c:pt>
                <c:pt idx="250">
                  <c:v>1.2446499816747258E-4</c:v>
                </c:pt>
                <c:pt idx="251">
                  <c:v>1.2692519253902287E-4</c:v>
                </c:pt>
                <c:pt idx="252">
                  <c:v>1.3019591350208666E-4</c:v>
                </c:pt>
                <c:pt idx="253">
                  <c:v>1.3436090263610316E-4</c:v>
                </c:pt>
                <c:pt idx="254">
                  <c:v>1.3880415113294727E-4</c:v>
                </c:pt>
                <c:pt idx="255">
                  <c:v>1.4352833744275898E-4</c:v>
                </c:pt>
                <c:pt idx="256">
                  <c:v>1.4853626783631622E-4</c:v>
                </c:pt>
                <c:pt idx="257">
                  <c:v>1.5383089285204483E-4</c:v>
                </c:pt>
                <c:pt idx="258">
                  <c:v>1.5941532448082111E-4</c:v>
                </c:pt>
                <c:pt idx="259">
                  <c:v>1.6529285434370401E-4</c:v>
                </c:pt>
                <c:pt idx="260">
                  <c:v>1.7146465114094056E-4</c:v>
                </c:pt>
                <c:pt idx="261">
                  <c:v>1.7859974163968916E-4</c:v>
                </c:pt>
                <c:pt idx="262">
                  <c:v>1.865197768702587E-4</c:v>
                </c:pt>
                <c:pt idx="263">
                  <c:v>1.9522988752639244E-4</c:v>
                </c:pt>
                <c:pt idx="264">
                  <c:v>2.0473515578313934E-4</c:v>
                </c:pt>
                <c:pt idx="265">
                  <c:v>2.1504173378840587E-4</c:v>
                </c:pt>
                <c:pt idx="266">
                  <c:v>2.2615530894198744E-4</c:v>
                </c:pt>
                <c:pt idx="267">
                  <c:v>2.3811287440116688E-4</c:v>
                </c:pt>
                <c:pt idx="268">
                  <c:v>2.508387364545115E-4</c:v>
                </c:pt>
                <c:pt idx="269">
                  <c:v>2.6433688334151056E-4</c:v>
                </c:pt>
                <c:pt idx="270">
                  <c:v>2.7861105092807182E-4</c:v>
                </c:pt>
                <c:pt idx="271">
                  <c:v>2.9366469348938144E-4</c:v>
                </c:pt>
                <c:pt idx="272">
                  <c:v>3.0950095655099557E-4</c:v>
                </c:pt>
                <c:pt idx="273">
                  <c:v>3.2612265231709669E-4</c:v>
                </c:pt>
                <c:pt idx="274">
                  <c:v>3.435374108720864E-4</c:v>
                </c:pt>
                <c:pt idx="275">
                  <c:v>3.6063799402822732E-4</c:v>
                </c:pt>
                <c:pt idx="276">
                  <c:v>3.7672566566089171E-4</c:v>
                </c:pt>
                <c:pt idx="277">
                  <c:v>3.9178977170536218E-4</c:v>
                </c:pt>
                <c:pt idx="278">
                  <c:v>4.0581937391038076E-4</c:v>
                </c:pt>
                <c:pt idx="279">
                  <c:v>4.1880334251186412E-4</c:v>
                </c:pt>
                <c:pt idx="280">
                  <c:v>4.3073044951140888E-4</c:v>
                </c:pt>
                <c:pt idx="281">
                  <c:v>4.4113681053672938E-4</c:v>
                </c:pt>
                <c:pt idx="282">
                  <c:v>4.499751117937788E-4</c:v>
                </c:pt>
                <c:pt idx="283">
                  <c:v>4.5723154192293735E-4</c:v>
                </c:pt>
                <c:pt idx="284">
                  <c:v>4.6289274976132145E-4</c:v>
                </c:pt>
                <c:pt idx="285">
                  <c:v>4.6694595840057496E-4</c:v>
                </c:pt>
                <c:pt idx="286">
                  <c:v>4.6937907380036352E-4</c:v>
                </c:pt>
                <c:pt idx="287">
                  <c:v>4.7018078701684758E-4</c:v>
                </c:pt>
                <c:pt idx="288">
                  <c:v>4.6934458598710743E-4</c:v>
                </c:pt>
                <c:pt idx="289">
                  <c:v>4.6700738550191188E-4</c:v>
                </c:pt>
                <c:pt idx="290">
                  <c:v>4.6431306261601561E-4</c:v>
                </c:pt>
                <c:pt idx="291">
                  <c:v>4.6126324280556114E-4</c:v>
                </c:pt>
                <c:pt idx="292">
                  <c:v>4.5785988730188379E-4</c:v>
                </c:pt>
                <c:pt idx="293">
                  <c:v>4.5410527034642613E-4</c:v>
                </c:pt>
                <c:pt idx="294">
                  <c:v>4.5000195189581781E-4</c:v>
                </c:pt>
                <c:pt idx="295">
                  <c:v>4.4564181314944316E-4</c:v>
                </c:pt>
                <c:pt idx="296">
                  <c:v>4.4149723980182727E-4</c:v>
                </c:pt>
                <c:pt idx="297">
                  <c:v>4.3757705694696963E-4</c:v>
                </c:pt>
                <c:pt idx="298">
                  <c:v>4.3388653405367506E-4</c:v>
                </c:pt>
                <c:pt idx="299">
                  <c:v>4.3043112111466994E-4</c:v>
                </c:pt>
                <c:pt idx="300">
                  <c:v>4.2721646290012124E-4</c:v>
                </c:pt>
                <c:pt idx="301">
                  <c:v>4.2424841517343237E-4</c:v>
                </c:pt>
                <c:pt idx="302">
                  <c:v>4.2156639725289405E-4</c:v>
                </c:pt>
                <c:pt idx="303">
                  <c:v>4.1932277108212417E-4</c:v>
                </c:pt>
                <c:pt idx="304">
                  <c:v>4.1736452390899186E-4</c:v>
                </c:pt>
                <c:pt idx="305">
                  <c:v>4.1568107531578848E-4</c:v>
                </c:pt>
                <c:pt idx="306">
                  <c:v>4.1426195533331259E-4</c:v>
                </c:pt>
                <c:pt idx="307">
                  <c:v>4.1309668337020353E-4</c:v>
                </c:pt>
                <c:pt idx="308">
                  <c:v>4.121746497540918E-4</c:v>
                </c:pt>
                <c:pt idx="309">
                  <c:v>4.1188830835682896E-4</c:v>
                </c:pt>
                <c:pt idx="310">
                  <c:v>4.12138024729644E-4</c:v>
                </c:pt>
                <c:pt idx="311">
                  <c:v>4.1291453440563965E-4</c:v>
                </c:pt>
                <c:pt idx="312">
                  <c:v>4.1420787470747294E-4</c:v>
                </c:pt>
                <c:pt idx="313">
                  <c:v>4.160071677420578E-4</c:v>
                </c:pt>
                <c:pt idx="314">
                  <c:v>4.1830040059025875E-4</c:v>
                </c:pt>
                <c:pt idx="315">
                  <c:v>4.2107420476374054E-4</c:v>
                </c:pt>
                <c:pt idx="316">
                  <c:v>4.2437357971464328E-4</c:v>
                </c:pt>
                <c:pt idx="317">
                  <c:v>4.2816267871964071E-4</c:v>
                </c:pt>
                <c:pt idx="318">
                  <c:v>4.3231520237533796E-4</c:v>
                </c:pt>
                <c:pt idx="319">
                  <c:v>4.3683258649519313E-4</c:v>
                </c:pt>
                <c:pt idx="320">
                  <c:v>4.4171598984530991E-4</c:v>
                </c:pt>
                <c:pt idx="321">
                  <c:v>4.4696622939941339E-4</c:v>
                </c:pt>
                <c:pt idx="322">
                  <c:v>4.5258371054057245E-4</c:v>
                </c:pt>
                <c:pt idx="323">
                  <c:v>4.5797125932184156E-4</c:v>
                </c:pt>
                <c:pt idx="324">
                  <c:v>4.6270550315048053E-4</c:v>
                </c:pt>
                <c:pt idx="325">
                  <c:v>4.6677713640729147E-4</c:v>
                </c:pt>
                <c:pt idx="326">
                  <c:v>4.7017309453980524E-4</c:v>
                </c:pt>
                <c:pt idx="327">
                  <c:v>4.7288140424229283E-4</c:v>
                </c:pt>
                <c:pt idx="328">
                  <c:v>4.7489178182243559E-4</c:v>
                </c:pt>
                <c:pt idx="329">
                  <c:v>4.7619330703606956E-4</c:v>
                </c:pt>
                <c:pt idx="330">
                  <c:v>4.7685596351911696E-4</c:v>
                </c:pt>
                <c:pt idx="331">
                  <c:v>4.7727491378721823E-4</c:v>
                </c:pt>
                <c:pt idx="332">
                  <c:v>4.775167418601853E-4</c:v>
                </c:pt>
                <c:pt idx="333">
                  <c:v>4.7755084809815489E-4</c:v>
                </c:pt>
                <c:pt idx="334">
                  <c:v>4.7734500397475114E-4</c:v>
                </c:pt>
                <c:pt idx="335">
                  <c:v>4.768654938938357E-4</c:v>
                </c:pt>
                <c:pt idx="336">
                  <c:v>4.7607731508087701E-4</c:v>
                </c:pt>
                <c:pt idx="337">
                  <c:v>4.7515974316757057E-4</c:v>
                </c:pt>
                <c:pt idx="338">
                  <c:v>4.7470181348904328E-4</c:v>
                </c:pt>
                <c:pt idx="339">
                  <c:v>4.746732698564453E-4</c:v>
                </c:pt>
                <c:pt idx="340">
                  <c:v>4.7504225991238058E-4</c:v>
                </c:pt>
                <c:pt idx="341">
                  <c:v>4.7577519088298575E-4</c:v>
                </c:pt>
                <c:pt idx="342">
                  <c:v>4.7683663607232248E-4</c:v>
                </c:pt>
                <c:pt idx="343">
                  <c:v>4.7818929950078725E-4</c:v>
                </c:pt>
                <c:pt idx="344">
                  <c:v>4.7985546497244418E-4</c:v>
                </c:pt>
                <c:pt idx="345">
                  <c:v>4.8188515602915291E-4</c:v>
                </c:pt>
                <c:pt idx="346">
                  <c:v>4.8370675949888005E-4</c:v>
                </c:pt>
                <c:pt idx="347">
                  <c:v>4.8532354715772686E-4</c:v>
                </c:pt>
                <c:pt idx="348">
                  <c:v>4.86739520428315E-4</c:v>
                </c:pt>
                <c:pt idx="349">
                  <c:v>4.8795937907700649E-4</c:v>
                </c:pt>
                <c:pt idx="350">
                  <c:v>4.8898848520131509E-4</c:v>
                </c:pt>
                <c:pt idx="351">
                  <c:v>4.8962585614803359E-4</c:v>
                </c:pt>
                <c:pt idx="352">
                  <c:v>4.8964759788760082E-4</c:v>
                </c:pt>
                <c:pt idx="353">
                  <c:v>4.8906499783056198E-4</c:v>
                </c:pt>
                <c:pt idx="354">
                  <c:v>4.8789072778546898E-4</c:v>
                </c:pt>
                <c:pt idx="355">
                  <c:v>4.8613855694627198E-4</c:v>
                </c:pt>
                <c:pt idx="356">
                  <c:v>4.8380766976852498E-4</c:v>
                </c:pt>
                <c:pt idx="357">
                  <c:v>4.8092906801744216E-4</c:v>
                </c:pt>
                <c:pt idx="358">
                  <c:v>4.7743048828488295E-4</c:v>
                </c:pt>
                <c:pt idx="359">
                  <c:v>4.7325675568670459E-4</c:v>
                </c:pt>
                <c:pt idx="360">
                  <c:v>4.6865639994258959E-4</c:v>
                </c:pt>
                <c:pt idx="361">
                  <c:v>4.6387986211499235E-4</c:v>
                </c:pt>
                <c:pt idx="362">
                  <c:v>4.5895948372802649E-4</c:v>
                </c:pt>
                <c:pt idx="363">
                  <c:v>4.5392643385776287E-4</c:v>
                </c:pt>
                <c:pt idx="364">
                  <c:v>4.4881053159115674E-4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088120"/>
        <c:axId val="229089296"/>
      </c:lineChart>
      <c:dateAx>
        <c:axId val="2290881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89296"/>
        <c:crosses val="autoZero"/>
        <c:auto val="1"/>
        <c:lblOffset val="100"/>
        <c:baseTimeUnit val="days"/>
        <c:majorUnit val="1"/>
        <c:majorTimeUnit val="months"/>
      </c:dateAx>
      <c:valAx>
        <c:axId val="2290892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88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27.704709209301104</c:v>
                </c:pt>
                <c:pt idx="1">
                  <c:v>27.907176595691787</c:v>
                </c:pt>
                <c:pt idx="2">
                  <c:v>28.115303756222609</c:v>
                </c:pt>
                <c:pt idx="3">
                  <c:v>28.32757149376058</c:v>
                </c:pt>
                <c:pt idx="4">
                  <c:v>28.542461373455584</c:v>
                </c:pt>
                <c:pt idx="5">
                  <c:v>28.758455714293021</c:v>
                </c:pt>
                <c:pt idx="6">
                  <c:v>28.974037592507226</c:v>
                </c:pt>
                <c:pt idx="7">
                  <c:v>29.187690839708413</c:v>
                </c:pt>
                <c:pt idx="8">
                  <c:v>29.401180824813057</c:v>
                </c:pt>
                <c:pt idx="9">
                  <c:v>29.617525373453358</c:v>
                </c:pt>
                <c:pt idx="10">
                  <c:v>29.837078129160478</c:v>
                </c:pt>
                <c:pt idx="11">
                  <c:v>30.060189749136779</c:v>
                </c:pt>
                <c:pt idx="12">
                  <c:v>30.287210694441846</c:v>
                </c:pt>
                <c:pt idx="13">
                  <c:v>30.518491237097884</c:v>
                </c:pt>
                <c:pt idx="14">
                  <c:v>30.754381459552935</c:v>
                </c:pt>
                <c:pt idx="15">
                  <c:v>30.995232523935432</c:v>
                </c:pt>
                <c:pt idx="16">
                  <c:v>31.241398614347158</c:v>
                </c:pt>
                <c:pt idx="17">
                  <c:v>31.49322925217448</c:v>
                </c:pt>
                <c:pt idx="18">
                  <c:v>31.751073776928774</c:v>
                </c:pt>
                <c:pt idx="19">
                  <c:v>32.015281309608255</c:v>
                </c:pt>
                <c:pt idx="20">
                  <c:v>32.286200776228071</c:v>
                </c:pt>
                <c:pt idx="21">
                  <c:v>32.564180954945186</c:v>
                </c:pt>
                <c:pt idx="22">
                  <c:v>32.851173329529843</c:v>
                </c:pt>
                <c:pt idx="23">
                  <c:v>33.148125225979477</c:v>
                </c:pt>
                <c:pt idx="24">
                  <c:v>33.453879868981971</c:v>
                </c:pt>
                <c:pt idx="25">
                  <c:v>33.767289144643016</c:v>
                </c:pt>
                <c:pt idx="26">
                  <c:v>34.087205525474346</c:v>
                </c:pt>
                <c:pt idx="27">
                  <c:v>34.412482081055643</c:v>
                </c:pt>
                <c:pt idx="28">
                  <c:v>34.741972465731564</c:v>
                </c:pt>
                <c:pt idx="29">
                  <c:v>35.074529166924847</c:v>
                </c:pt>
                <c:pt idx="30">
                  <c:v>35.409005755190933</c:v>
                </c:pt>
                <c:pt idx="31">
                  <c:v>35.744257662966788</c:v>
                </c:pt>
                <c:pt idx="32">
                  <c:v>36.079140914858478</c:v>
                </c:pt>
                <c:pt idx="33">
                  <c:v>36.412512126595018</c:v>
                </c:pt>
                <c:pt idx="34">
                  <c:v>36.743228505589165</c:v>
                </c:pt>
                <c:pt idx="35">
                  <c:v>37.070147849576017</c:v>
                </c:pt>
                <c:pt idx="36">
                  <c:v>37.396112241096525</c:v>
                </c:pt>
                <c:pt idx="37">
                  <c:v>37.724376700033979</c:v>
                </c:pt>
                <c:pt idx="38">
                  <c:v>38.054426637263937</c:v>
                </c:pt>
                <c:pt idx="39">
                  <c:v>38.385742098207835</c:v>
                </c:pt>
                <c:pt idx="40">
                  <c:v>38.717803401906679</c:v>
                </c:pt>
                <c:pt idx="41">
                  <c:v>39.050091137713515</c:v>
                </c:pt>
                <c:pt idx="42">
                  <c:v>39.382086164661928</c:v>
                </c:pt>
                <c:pt idx="43">
                  <c:v>39.713267582044558</c:v>
                </c:pt>
                <c:pt idx="44">
                  <c:v>40.043118545050014</c:v>
                </c:pt>
                <c:pt idx="45">
                  <c:v>40.371120706260378</c:v>
                </c:pt>
                <c:pt idx="46">
                  <c:v>40.696755977248401</c:v>
                </c:pt>
                <c:pt idx="47">
                  <c:v>41.019506524581679</c:v>
                </c:pt>
                <c:pt idx="48">
                  <c:v>41.338854769464341</c:v>
                </c:pt>
                <c:pt idx="49">
                  <c:v>41.65428338054182</c:v>
                </c:pt>
                <c:pt idx="50">
                  <c:v>41.966347251870012</c:v>
                </c:pt>
                <c:pt idx="51">
                  <c:v>42.276022565924087</c:v>
                </c:pt>
                <c:pt idx="52">
                  <c:v>42.583415374465972</c:v>
                </c:pt>
                <c:pt idx="53">
                  <c:v>42.888630384759352</c:v>
                </c:pt>
                <c:pt idx="54">
                  <c:v>43.191772196864662</c:v>
                </c:pt>
                <c:pt idx="55">
                  <c:v>43.492945332972994</c:v>
                </c:pt>
                <c:pt idx="56">
                  <c:v>43.79225423696078</c:v>
                </c:pt>
                <c:pt idx="57">
                  <c:v>44.089819991967346</c:v>
                </c:pt>
                <c:pt idx="58">
                  <c:v>44.385748950222144</c:v>
                </c:pt>
                <c:pt idx="59">
                  <c:v>44.68014534182096</c:v>
                </c:pt>
                <c:pt idx="60">
                  <c:v>44.973113311670836</c:v>
                </c:pt>
                <c:pt idx="61">
                  <c:v>45.264756919903775</c:v>
                </c:pt>
                <c:pt idx="62">
                  <c:v>45.555180138812361</c:v>
                </c:pt>
                <c:pt idx="63">
                  <c:v>45.844486853216452</c:v>
                </c:pt>
                <c:pt idx="64">
                  <c:v>46.133195097530376</c:v>
                </c:pt>
                <c:pt idx="65">
                  <c:v>46.421545992778896</c:v>
                </c:pt>
                <c:pt idx="66">
                  <c:v>46.709222078190955</c:v>
                </c:pt>
                <c:pt idx="67">
                  <c:v>46.995912737692841</c:v>
                </c:pt>
                <c:pt idx="68">
                  <c:v>47.281307473634222</c:v>
                </c:pt>
                <c:pt idx="69">
                  <c:v>47.565095907134058</c:v>
                </c:pt>
                <c:pt idx="70">
                  <c:v>47.846967778222499</c:v>
                </c:pt>
                <c:pt idx="71">
                  <c:v>48.126602449791314</c:v>
                </c:pt>
                <c:pt idx="72">
                  <c:v>48.403672925818007</c:v>
                </c:pt>
                <c:pt idx="73">
                  <c:v>48.677869206697778</c:v>
                </c:pt>
                <c:pt idx="74">
                  <c:v>48.948881406149241</c:v>
                </c:pt>
                <c:pt idx="75">
                  <c:v>49.216399756452432</c:v>
                </c:pt>
                <c:pt idx="76">
                  <c:v>49.480114601870063</c:v>
                </c:pt>
                <c:pt idx="77">
                  <c:v>49.739716407257802</c:v>
                </c:pt>
                <c:pt idx="78">
                  <c:v>49.997239018343528</c:v>
                </c:pt>
                <c:pt idx="79">
                  <c:v>50.254438322502224</c:v>
                </c:pt>
                <c:pt idx="80">
                  <c:v>50.510590577274591</c:v>
                </c:pt>
                <c:pt idx="81">
                  <c:v>50.764971875339917</c:v>
                </c:pt>
                <c:pt idx="82">
                  <c:v>51.016858637578743</c:v>
                </c:pt>
                <c:pt idx="83">
                  <c:v>51.265527615881552</c:v>
                </c:pt>
                <c:pt idx="84">
                  <c:v>51.51025589831135</c:v>
                </c:pt>
                <c:pt idx="85">
                  <c:v>51.750317937389404</c:v>
                </c:pt>
                <c:pt idx="86">
                  <c:v>51.985002275865597</c:v>
                </c:pt>
                <c:pt idx="87">
                  <c:v>52.21358708791054</c:v>
                </c:pt>
                <c:pt idx="88">
                  <c:v>52.435350903782172</c:v>
                </c:pt>
                <c:pt idx="89">
                  <c:v>52.649572609322135</c:v>
                </c:pt>
                <c:pt idx="90">
                  <c:v>52.855531458672473</c:v>
                </c:pt>
                <c:pt idx="91">
                  <c:v>53.052507068775135</c:v>
                </c:pt>
                <c:pt idx="92">
                  <c:v>53.240467415166982</c:v>
                </c:pt>
                <c:pt idx="93">
                  <c:v>53.420195504930589</c:v>
                </c:pt>
                <c:pt idx="94">
                  <c:v>53.592210483285655</c:v>
                </c:pt>
                <c:pt idx="95">
                  <c:v>53.757029930597099</c:v>
                </c:pt>
                <c:pt idx="96">
                  <c:v>53.915171165417753</c:v>
                </c:pt>
                <c:pt idx="97">
                  <c:v>54.067151246700931</c:v>
                </c:pt>
                <c:pt idx="98">
                  <c:v>54.213486966984611</c:v>
                </c:pt>
                <c:pt idx="99">
                  <c:v>54.354672320641399</c:v>
                </c:pt>
                <c:pt idx="100">
                  <c:v>54.491226353377925</c:v>
                </c:pt>
                <c:pt idx="101">
                  <c:v>54.623664710642508</c:v>
                </c:pt>
                <c:pt idx="102">
                  <c:v>54.752502736511666</c:v>
                </c:pt>
                <c:pt idx="103">
                  <c:v>54.878255477654015</c:v>
                </c:pt>
                <c:pt idx="104">
                  <c:v>55.001437680372348</c:v>
                </c:pt>
                <c:pt idx="105">
                  <c:v>55.122563784675719</c:v>
                </c:pt>
                <c:pt idx="106">
                  <c:v>55.241083491044108</c:v>
                </c:pt>
                <c:pt idx="107">
                  <c:v>55.356011307225096</c:v>
                </c:pt>
                <c:pt idx="108">
                  <c:v>55.467254784195305</c:v>
                </c:pt>
                <c:pt idx="109">
                  <c:v>55.574710289207026</c:v>
                </c:pt>
                <c:pt idx="110">
                  <c:v>55.678274181192194</c:v>
                </c:pt>
                <c:pt idx="111">
                  <c:v>55.777842821088051</c:v>
                </c:pt>
                <c:pt idx="112">
                  <c:v>55.873312584656624</c:v>
                </c:pt>
                <c:pt idx="113">
                  <c:v>55.964566544072731</c:v>
                </c:pt>
                <c:pt idx="114">
                  <c:v>56.05152585940948</c:v>
                </c:pt>
                <c:pt idx="115">
                  <c:v>56.134087248574048</c:v>
                </c:pt>
                <c:pt idx="116">
                  <c:v>56.21214746600301</c:v>
                </c:pt>
                <c:pt idx="117">
                  <c:v>56.285603303942985</c:v>
                </c:pt>
                <c:pt idx="118">
                  <c:v>56.35435159883405</c:v>
                </c:pt>
                <c:pt idx="119">
                  <c:v>56.418289234614583</c:v>
                </c:pt>
                <c:pt idx="120">
                  <c:v>56.476901894184849</c:v>
                </c:pt>
                <c:pt idx="121">
                  <c:v>56.529936329488827</c:v>
                </c:pt>
                <c:pt idx="122">
                  <c:v>56.577727455686713</c:v>
                </c:pt>
                <c:pt idx="123">
                  <c:v>56.620583952546987</c:v>
                </c:pt>
                <c:pt idx="124">
                  <c:v>56.658814362214059</c:v>
                </c:pt>
                <c:pt idx="125">
                  <c:v>56.692727090887125</c:v>
                </c:pt>
                <c:pt idx="126">
                  <c:v>56.722630412801259</c:v>
                </c:pt>
                <c:pt idx="127">
                  <c:v>56.748830499262858</c:v>
                </c:pt>
                <c:pt idx="128">
                  <c:v>56.771650901419996</c:v>
                </c:pt>
                <c:pt idx="129">
                  <c:v>56.791400021051878</c:v>
                </c:pt>
                <c:pt idx="130">
                  <c:v>56.808386167091811</c:v>
                </c:pt>
                <c:pt idx="131">
                  <c:v>56.822917566985979</c:v>
                </c:pt>
                <c:pt idx="132">
                  <c:v>56.835302366497075</c:v>
                </c:pt>
                <c:pt idx="133">
                  <c:v>56.84584863658371</c:v>
                </c:pt>
                <c:pt idx="134">
                  <c:v>56.853872526691788</c:v>
                </c:pt>
                <c:pt idx="135">
                  <c:v>56.858554639933587</c:v>
                </c:pt>
                <c:pt idx="136">
                  <c:v>56.860014657436921</c:v>
                </c:pt>
                <c:pt idx="137">
                  <c:v>56.858356978343224</c:v>
                </c:pt>
                <c:pt idx="138">
                  <c:v>56.853686098789453</c:v>
                </c:pt>
                <c:pt idx="139">
                  <c:v>56.846106615058055</c:v>
                </c:pt>
                <c:pt idx="140">
                  <c:v>56.835723230259759</c:v>
                </c:pt>
                <c:pt idx="141">
                  <c:v>56.822640160254984</c:v>
                </c:pt>
                <c:pt idx="142">
                  <c:v>56.806964998870846</c:v>
                </c:pt>
                <c:pt idx="143">
                  <c:v>56.788803145198166</c:v>
                </c:pt>
                <c:pt idx="144">
                  <c:v>56.76825979162404</c:v>
                </c:pt>
                <c:pt idx="145">
                  <c:v>56.745440224711679</c:v>
                </c:pt>
                <c:pt idx="146">
                  <c:v>56.720449827460705</c:v>
                </c:pt>
                <c:pt idx="147">
                  <c:v>56.69339407247594</c:v>
                </c:pt>
                <c:pt idx="148">
                  <c:v>56.664344388237161</c:v>
                </c:pt>
                <c:pt idx="149">
                  <c:v>56.633267426758934</c:v>
                </c:pt>
                <c:pt idx="150">
                  <c:v>56.600064638937667</c:v>
                </c:pt>
                <c:pt idx="151">
                  <c:v>56.564638518323264</c:v>
                </c:pt>
                <c:pt idx="152">
                  <c:v>56.526891750641347</c:v>
                </c:pt>
                <c:pt idx="153">
                  <c:v>56.486727199008264</c:v>
                </c:pt>
                <c:pt idx="154">
                  <c:v>56.444047889756881</c:v>
                </c:pt>
                <c:pt idx="155">
                  <c:v>56.39881602165417</c:v>
                </c:pt>
                <c:pt idx="156">
                  <c:v>56.350937793071566</c:v>
                </c:pt>
                <c:pt idx="157">
                  <c:v>56.300318822479426</c:v>
                </c:pt>
                <c:pt idx="158">
                  <c:v>56.246864809609185</c:v>
                </c:pt>
                <c:pt idx="159">
                  <c:v>56.190481513159725</c:v>
                </c:pt>
                <c:pt idx="160">
                  <c:v>56.131074720219843</c:v>
                </c:pt>
                <c:pt idx="161">
                  <c:v>56.068550222128458</c:v>
                </c:pt>
                <c:pt idx="162">
                  <c:v>56.002183673662401</c:v>
                </c:pt>
                <c:pt idx="163">
                  <c:v>55.931645078929854</c:v>
                </c:pt>
                <c:pt idx="164">
                  <c:v>55.857315103019459</c:v>
                </c:pt>
                <c:pt idx="165">
                  <c:v>55.77961062235282</c:v>
                </c:pt>
                <c:pt idx="166">
                  <c:v>55.698948073556302</c:v>
                </c:pt>
                <c:pt idx="167">
                  <c:v>55.615743438996745</c:v>
                </c:pt>
                <c:pt idx="168">
                  <c:v>55.530412219381375</c:v>
                </c:pt>
                <c:pt idx="169">
                  <c:v>55.4434262756225</c:v>
                </c:pt>
                <c:pt idx="170">
                  <c:v>55.355132213576525</c:v>
                </c:pt>
                <c:pt idx="171">
                  <c:v>55.265943638381813</c:v>
                </c:pt>
                <c:pt idx="172">
                  <c:v>55.176273626085802</c:v>
                </c:pt>
                <c:pt idx="173">
                  <c:v>55.086536054630059</c:v>
                </c:pt>
                <c:pt idx="174">
                  <c:v>54.997144366992003</c:v>
                </c:pt>
                <c:pt idx="175">
                  <c:v>54.908510164399154</c:v>
                </c:pt>
                <c:pt idx="176">
                  <c:v>54.820024684781188</c:v>
                </c:pt>
                <c:pt idx="177">
                  <c:v>54.730880954415476</c:v>
                </c:pt>
                <c:pt idx="178">
                  <c:v>54.641022308437186</c:v>
                </c:pt>
                <c:pt idx="179">
                  <c:v>54.550451645844888</c:v>
                </c:pt>
                <c:pt idx="180">
                  <c:v>54.459171500403329</c:v>
                </c:pt>
                <c:pt idx="181">
                  <c:v>54.367184044410216</c:v>
                </c:pt>
                <c:pt idx="182">
                  <c:v>54.274491097589042</c:v>
                </c:pt>
                <c:pt idx="183">
                  <c:v>54.181138527373463</c:v>
                </c:pt>
                <c:pt idx="184">
                  <c:v>54.087064486227945</c:v>
                </c:pt>
                <c:pt idx="185">
                  <c:v>53.992269450072065</c:v>
                </c:pt>
                <c:pt idx="186">
                  <c:v>53.896753618493328</c:v>
                </c:pt>
                <c:pt idx="187">
                  <c:v>53.800516931494144</c:v>
                </c:pt>
                <c:pt idx="188">
                  <c:v>53.703559088218405</c:v>
                </c:pt>
                <c:pt idx="189">
                  <c:v>53.60587956674641</c:v>
                </c:pt>
                <c:pt idx="190">
                  <c:v>53.50703653100102</c:v>
                </c:pt>
                <c:pt idx="191">
                  <c:v>53.406722931879962</c:v>
                </c:pt>
                <c:pt idx="192">
                  <c:v>53.305061114287248</c:v>
                </c:pt>
                <c:pt idx="193">
                  <c:v>53.20225258567617</c:v>
                </c:pt>
                <c:pt idx="194">
                  <c:v>53.098498713523448</c:v>
                </c:pt>
                <c:pt idx="195">
                  <c:v>52.994000742781239</c:v>
                </c:pt>
                <c:pt idx="196">
                  <c:v>52.8889598146163</c:v>
                </c:pt>
                <c:pt idx="197">
                  <c:v>52.783578273500197</c:v>
                </c:pt>
                <c:pt idx="198">
                  <c:v>52.678009594417254</c:v>
                </c:pt>
                <c:pt idx="199">
                  <c:v>52.572454260995613</c:v>
                </c:pt>
                <c:pt idx="200">
                  <c:v>52.467112748084347</c:v>
                </c:pt>
                <c:pt idx="201">
                  <c:v>52.362185530978884</c:v>
                </c:pt>
                <c:pt idx="202">
                  <c:v>52.257873093805578</c:v>
                </c:pt>
                <c:pt idx="203">
                  <c:v>52.154375936789201</c:v>
                </c:pt>
                <c:pt idx="204">
                  <c:v>52.051606791566158</c:v>
                </c:pt>
                <c:pt idx="205">
                  <c:v>51.949271340250277</c:v>
                </c:pt>
                <c:pt idx="206">
                  <c:v>51.847266662146012</c:v>
                </c:pt>
                <c:pt idx="207">
                  <c:v>51.745489000203783</c:v>
                </c:pt>
                <c:pt idx="208">
                  <c:v>51.643834763158154</c:v>
                </c:pt>
                <c:pt idx="209">
                  <c:v>51.542200524779425</c:v>
                </c:pt>
                <c:pt idx="210">
                  <c:v>51.440483022413503</c:v>
                </c:pt>
                <c:pt idx="211">
                  <c:v>51.338549704216419</c:v>
                </c:pt>
                <c:pt idx="212">
                  <c:v>51.236296133816261</c:v>
                </c:pt>
                <c:pt idx="213">
                  <c:v>51.127952815421601</c:v>
                </c:pt>
                <c:pt idx="214">
                  <c:v>51.01915845987952</c:v>
                </c:pt>
                <c:pt idx="215">
                  <c:v>50.909810099379207</c:v>
                </c:pt>
                <c:pt idx="216">
                  <c:v>50.799804960936022</c:v>
                </c:pt>
                <c:pt idx="217">
                  <c:v>50.689040461152828</c:v>
                </c:pt>
                <c:pt idx="218">
                  <c:v>50.577486252225988</c:v>
                </c:pt>
                <c:pt idx="219">
                  <c:v>50.465203350260865</c:v>
                </c:pt>
                <c:pt idx="220">
                  <c:v>50.352278593109972</c:v>
                </c:pt>
                <c:pt idx="221">
                  <c:v>50.238794725205274</c:v>
                </c:pt>
                <c:pt idx="222">
                  <c:v>50.124834500362603</c:v>
                </c:pt>
                <c:pt idx="223">
                  <c:v>50.01048067761176</c:v>
                </c:pt>
                <c:pt idx="224">
                  <c:v>49.895816017458273</c:v>
                </c:pt>
                <c:pt idx="225">
                  <c:v>49.780863496852142</c:v>
                </c:pt>
                <c:pt idx="226">
                  <c:v>49.665735699871576</c:v>
                </c:pt>
                <c:pt idx="227">
                  <c:v>49.550515321165904</c:v>
                </c:pt>
                <c:pt idx="228">
                  <c:v>49.435285051942955</c:v>
                </c:pt>
                <c:pt idx="229">
                  <c:v>49.32012757674736</c:v>
                </c:pt>
                <c:pt idx="230">
                  <c:v>49.205125571400188</c:v>
                </c:pt>
                <c:pt idx="231">
                  <c:v>49.09036170072568</c:v>
                </c:pt>
                <c:pt idx="232">
                  <c:v>48.976727451711781</c:v>
                </c:pt>
                <c:pt idx="233">
                  <c:v>48.864684314034605</c:v>
                </c:pt>
                <c:pt idx="234">
                  <c:v>48.753793656050242</c:v>
                </c:pt>
                <c:pt idx="235">
                  <c:v>48.643584872144579</c:v>
                </c:pt>
                <c:pt idx="236">
                  <c:v>48.533587798645158</c:v>
                </c:pt>
                <c:pt idx="237">
                  <c:v>48.42333271823378</c:v>
                </c:pt>
                <c:pt idx="238">
                  <c:v>48.312350345319061</c:v>
                </c:pt>
                <c:pt idx="239">
                  <c:v>48.20014278996419</c:v>
                </c:pt>
                <c:pt idx="240">
                  <c:v>48.086301639254039</c:v>
                </c:pt>
                <c:pt idx="241">
                  <c:v>47.970358851151644</c:v>
                </c:pt>
                <c:pt idx="242">
                  <c:v>47.851846780862509</c:v>
                </c:pt>
                <c:pt idx="243">
                  <c:v>47.730298177688105</c:v>
                </c:pt>
                <c:pt idx="244">
                  <c:v>47.605246177492347</c:v>
                </c:pt>
                <c:pt idx="245">
                  <c:v>47.476224300434367</c:v>
                </c:pt>
                <c:pt idx="246">
                  <c:v>47.344596581904476</c:v>
                </c:pt>
                <c:pt idx="247">
                  <c:v>47.211827006127812</c:v>
                </c:pt>
                <c:pt idx="248">
                  <c:v>47.077672650037456</c:v>
                </c:pt>
                <c:pt idx="249">
                  <c:v>46.941830271492307</c:v>
                </c:pt>
                <c:pt idx="250">
                  <c:v>46.803996881256126</c:v>
                </c:pt>
                <c:pt idx="251">
                  <c:v>46.663869735930994</c:v>
                </c:pt>
                <c:pt idx="252">
                  <c:v>46.521146339415296</c:v>
                </c:pt>
                <c:pt idx="253">
                  <c:v>46.375520832259511</c:v>
                </c:pt>
                <c:pt idx="254">
                  <c:v>46.2267199928935</c:v>
                </c:pt>
                <c:pt idx="255">
                  <c:v>46.074441955204811</c:v>
                </c:pt>
                <c:pt idx="256">
                  <c:v>45.918385070108137</c:v>
                </c:pt>
                <c:pt idx="257">
                  <c:v>45.758247895871683</c:v>
                </c:pt>
                <c:pt idx="258">
                  <c:v>45.593729198875849</c:v>
                </c:pt>
                <c:pt idx="259">
                  <c:v>45.424527938320971</c:v>
                </c:pt>
                <c:pt idx="260">
                  <c:v>45.250956106286672</c:v>
                </c:pt>
                <c:pt idx="261">
                  <c:v>45.073542510551967</c:v>
                </c:pt>
                <c:pt idx="262">
                  <c:v>44.892365116747129</c:v>
                </c:pt>
                <c:pt idx="263">
                  <c:v>44.7074935024309</c:v>
                </c:pt>
                <c:pt idx="264">
                  <c:v>44.518997184948084</c:v>
                </c:pt>
                <c:pt idx="265">
                  <c:v>44.326945563912965</c:v>
                </c:pt>
                <c:pt idx="266">
                  <c:v>44.13140799380691</c:v>
                </c:pt>
                <c:pt idx="267">
                  <c:v>43.932452373660844</c:v>
                </c:pt>
                <c:pt idx="268">
                  <c:v>43.730151472804202</c:v>
                </c:pt>
                <c:pt idx="269">
                  <c:v>43.524574438486368</c:v>
                </c:pt>
                <c:pt idx="270">
                  <c:v>43.315790329403583</c:v>
                </c:pt>
                <c:pt idx="271">
                  <c:v>43.103868109635037</c:v>
                </c:pt>
                <c:pt idx="272">
                  <c:v>42.888876647953907</c:v>
                </c:pt>
                <c:pt idx="273">
                  <c:v>42.670884708674684</c:v>
                </c:pt>
                <c:pt idx="274">
                  <c:v>42.449321539313203</c:v>
                </c:pt>
                <c:pt idx="275">
                  <c:v>42.223763954218924</c:v>
                </c:pt>
                <c:pt idx="276">
                  <c:v>41.994459852422395</c:v>
                </c:pt>
                <c:pt idx="277">
                  <c:v>41.761627465524874</c:v>
                </c:pt>
                <c:pt idx="278">
                  <c:v>41.525484734671934</c:v>
                </c:pt>
                <c:pt idx="279">
                  <c:v>41.286249312185383</c:v>
                </c:pt>
                <c:pt idx="280">
                  <c:v>41.044138554515094</c:v>
                </c:pt>
                <c:pt idx="281">
                  <c:v>40.799387996725002</c:v>
                </c:pt>
                <c:pt idx="282">
                  <c:v>40.552215531524169</c:v>
                </c:pt>
                <c:pt idx="283">
                  <c:v>40.302837367184665</c:v>
                </c:pt>
                <c:pt idx="284">
                  <c:v>40.051469395304927</c:v>
                </c:pt>
                <c:pt idx="285">
                  <c:v>39.79832719426124</c:v>
                </c:pt>
                <c:pt idx="286">
                  <c:v>39.543626032758475</c:v>
                </c:pt>
                <c:pt idx="287">
                  <c:v>39.287580873173766</c:v>
                </c:pt>
                <c:pt idx="288">
                  <c:v>39.030080499275236</c:v>
                </c:pt>
                <c:pt idx="289">
                  <c:v>38.770796616112435</c:v>
                </c:pt>
                <c:pt idx="290">
                  <c:v>38.5095822305843</c:v>
                </c:pt>
                <c:pt idx="291">
                  <c:v>38.246335163565391</c:v>
                </c:pt>
                <c:pt idx="292">
                  <c:v>37.980953143130399</c:v>
                </c:pt>
                <c:pt idx="293">
                  <c:v>37.71333381037342</c:v>
                </c:pt>
                <c:pt idx="294">
                  <c:v>37.443374724920737</c:v>
                </c:pt>
                <c:pt idx="295">
                  <c:v>37.170970061496135</c:v>
                </c:pt>
                <c:pt idx="296">
                  <c:v>36.895999990235573</c:v>
                </c:pt>
                <c:pt idx="297">
                  <c:v>36.618362141282674</c:v>
                </c:pt>
                <c:pt idx="298">
                  <c:v>36.3379542475477</c:v>
                </c:pt>
                <c:pt idx="299">
                  <c:v>36.054674021794646</c:v>
                </c:pt>
                <c:pt idx="300">
                  <c:v>35.768419162889337</c:v>
                </c:pt>
                <c:pt idx="301">
                  <c:v>35.479087369115923</c:v>
                </c:pt>
                <c:pt idx="302">
                  <c:v>35.183792902459651</c:v>
                </c:pt>
                <c:pt idx="303">
                  <c:v>34.880646768084368</c:v>
                </c:pt>
                <c:pt idx="304">
                  <c:v>34.571052889299608</c:v>
                </c:pt>
                <c:pt idx="305">
                  <c:v>34.256409578069928</c:v>
                </c:pt>
                <c:pt idx="306">
                  <c:v>33.938114608321762</c:v>
                </c:pt>
                <c:pt idx="307">
                  <c:v>33.617565245942835</c:v>
                </c:pt>
                <c:pt idx="308">
                  <c:v>33.296158271088764</c:v>
                </c:pt>
                <c:pt idx="309">
                  <c:v>32.97527669788758</c:v>
                </c:pt>
                <c:pt idx="310">
                  <c:v>32.656319676644955</c:v>
                </c:pt>
                <c:pt idx="311">
                  <c:v>32.340682872754194</c:v>
                </c:pt>
                <c:pt idx="312">
                  <c:v>32.029761538789884</c:v>
                </c:pt>
                <c:pt idx="313">
                  <c:v>31.724950520238245</c:v>
                </c:pt>
                <c:pt idx="314">
                  <c:v>31.42764426978594</c:v>
                </c:pt>
                <c:pt idx="315">
                  <c:v>31.139236848258637</c:v>
                </c:pt>
                <c:pt idx="316">
                  <c:v>30.856760963740292</c:v>
                </c:pt>
                <c:pt idx="317">
                  <c:v>30.576587673131332</c:v>
                </c:pt>
                <c:pt idx="318">
                  <c:v>30.299117861856089</c:v>
                </c:pt>
                <c:pt idx="319">
                  <c:v>30.02474842684245</c:v>
                </c:pt>
                <c:pt idx="320">
                  <c:v>29.753876260091765</c:v>
                </c:pt>
                <c:pt idx="321">
                  <c:v>29.486898256938009</c:v>
                </c:pt>
                <c:pt idx="322">
                  <c:v>29.224211305029396</c:v>
                </c:pt>
                <c:pt idx="323">
                  <c:v>28.966229596353831</c:v>
                </c:pt>
                <c:pt idx="324">
                  <c:v>28.713361700754721</c:v>
                </c:pt>
                <c:pt idx="325">
                  <c:v>28.466003968409513</c:v>
                </c:pt>
                <c:pt idx="326">
                  <c:v>28.224552852411495</c:v>
                </c:pt>
                <c:pt idx="327">
                  <c:v>27.989404757046934</c:v>
                </c:pt>
                <c:pt idx="328">
                  <c:v>27.760956029522578</c:v>
                </c:pt>
                <c:pt idx="329">
                  <c:v>27.539603013464369</c:v>
                </c:pt>
                <c:pt idx="330">
                  <c:v>27.321071079942886</c:v>
                </c:pt>
                <c:pt idx="331">
                  <c:v>27.101942544533426</c:v>
                </c:pt>
                <c:pt idx="332">
                  <c:v>26.883910104361178</c:v>
                </c:pt>
                <c:pt idx="333">
                  <c:v>26.668668541498111</c:v>
                </c:pt>
                <c:pt idx="334">
                  <c:v>26.45791209513337</c:v>
                </c:pt>
                <c:pt idx="335">
                  <c:v>26.253334432630187</c:v>
                </c:pt>
                <c:pt idx="336">
                  <c:v>26.056628636337781</c:v>
                </c:pt>
                <c:pt idx="337">
                  <c:v>25.8694816074449</c:v>
                </c:pt>
                <c:pt idx="338">
                  <c:v>25.693569227796687</c:v>
                </c:pt>
                <c:pt idx="339">
                  <c:v>25.530582953300673</c:v>
                </c:pt>
                <c:pt idx="340">
                  <c:v>25.382213541989422</c:v>
                </c:pt>
                <c:pt idx="341">
                  <c:v>25.250151069245533</c:v>
                </c:pt>
                <c:pt idx="342">
                  <c:v>25.136084908203078</c:v>
                </c:pt>
                <c:pt idx="343">
                  <c:v>25.041703700299383</c:v>
                </c:pt>
                <c:pt idx="344">
                  <c:v>24.965497926021417</c:v>
                </c:pt>
                <c:pt idx="345">
                  <c:v>24.904511567245688</c:v>
                </c:pt>
                <c:pt idx="346">
                  <c:v>24.85827738423669</c:v>
                </c:pt>
                <c:pt idx="347">
                  <c:v>24.826313972141165</c:v>
                </c:pt>
                <c:pt idx="348">
                  <c:v>24.808140126149329</c:v>
                </c:pt>
                <c:pt idx="349">
                  <c:v>24.803274834793768</c:v>
                </c:pt>
                <c:pt idx="350">
                  <c:v>24.811237291587034</c:v>
                </c:pt>
                <c:pt idx="351">
                  <c:v>24.831552032470437</c:v>
                </c:pt>
                <c:pt idx="352">
                  <c:v>24.863744400698184</c:v>
                </c:pt>
                <c:pt idx="353">
                  <c:v>24.907334133891375</c:v>
                </c:pt>
                <c:pt idx="354">
                  <c:v>24.961841174636646</c:v>
                </c:pt>
                <c:pt idx="355">
                  <c:v>25.02678566399781</c:v>
                </c:pt>
                <c:pt idx="356">
                  <c:v>25.101688324667712</c:v>
                </c:pt>
                <c:pt idx="357">
                  <c:v>25.186069304353058</c:v>
                </c:pt>
                <c:pt idx="358">
                  <c:v>25.284015615267236</c:v>
                </c:pt>
                <c:pt idx="359">
                  <c:v>25.398966795080316</c:v>
                </c:pt>
                <c:pt idx="360">
                  <c:v>25.529467483639863</c:v>
                </c:pt>
                <c:pt idx="361">
                  <c:v>25.674062770702545</c:v>
                </c:pt>
                <c:pt idx="362">
                  <c:v>25.831303830592631</c:v>
                </c:pt>
                <c:pt idx="363">
                  <c:v>25.999742433630178</c:v>
                </c:pt>
                <c:pt idx="364">
                  <c:v>26.177930935618885</c:v>
                </c:pt>
                <c:pt idx="365">
                  <c:v>26.941320072459995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2.0030000000000001</c:v>
                </c:pt>
                <c:pt idx="1">
                  <c:v>5.3070000000000004</c:v>
                </c:pt>
                <c:pt idx="2">
                  <c:v>29.332000000000001</c:v>
                </c:pt>
                <c:pt idx="3">
                  <c:v>25.105</c:v>
                </c:pt>
                <c:pt idx="4">
                  <c:v>28.934999999999999</c:v>
                </c:pt>
                <c:pt idx="5">
                  <c:v>5.101</c:v>
                </c:pt>
                <c:pt idx="6">
                  <c:v>2.8239999999999998</c:v>
                </c:pt>
                <c:pt idx="7">
                  <c:v>5.6879999999999997</c:v>
                </c:pt>
                <c:pt idx="8">
                  <c:v>8.6560000000000006</c:v>
                </c:pt>
                <c:pt idx="9">
                  <c:v>10.48</c:v>
                </c:pt>
                <c:pt idx="10">
                  <c:v>28.016999999999999</c:v>
                </c:pt>
                <c:pt idx="11">
                  <c:v>8.0869999999999997</c:v>
                </c:pt>
                <c:pt idx="12">
                  <c:v>3.1240000000000001</c:v>
                </c:pt>
                <c:pt idx="13">
                  <c:v>6.65</c:v>
                </c:pt>
                <c:pt idx="14">
                  <c:v>30.228999999999999</c:v>
                </c:pt>
                <c:pt idx="15">
                  <c:v>31.154</c:v>
                </c:pt>
                <c:pt idx="16">
                  <c:v>8.8719999999999999</c:v>
                </c:pt>
                <c:pt idx="17">
                  <c:v>15.895</c:v>
                </c:pt>
                <c:pt idx="18">
                  <c:v>17.067</c:v>
                </c:pt>
                <c:pt idx="19">
                  <c:v>5.9180000000000001</c:v>
                </c:pt>
                <c:pt idx="20">
                  <c:v>8.9939999999999998</c:v>
                </c:pt>
                <c:pt idx="21">
                  <c:v>11.553000000000001</c:v>
                </c:pt>
                <c:pt idx="22">
                  <c:v>9.2870000000000008</c:v>
                </c:pt>
                <c:pt idx="23">
                  <c:v>11.295999999999999</c:v>
                </c:pt>
                <c:pt idx="24">
                  <c:v>3.5419999999999998</c:v>
                </c:pt>
                <c:pt idx="25">
                  <c:v>16.916</c:v>
                </c:pt>
                <c:pt idx="26">
                  <c:v>14.497</c:v>
                </c:pt>
                <c:pt idx="27">
                  <c:v>12.852</c:v>
                </c:pt>
                <c:pt idx="28">
                  <c:v>5.2350000000000003</c:v>
                </c:pt>
                <c:pt idx="29">
                  <c:v>7.7690000000000001</c:v>
                </c:pt>
                <c:pt idx="30">
                  <c:v>7.9409999999999998</c:v>
                </c:pt>
                <c:pt idx="31">
                  <c:v>28.454999999999998</c:v>
                </c:pt>
                <c:pt idx="32">
                  <c:v>2.8319999999999999</c:v>
                </c:pt>
                <c:pt idx="33">
                  <c:v>13.759</c:v>
                </c:pt>
                <c:pt idx="34">
                  <c:v>28.881</c:v>
                </c:pt>
                <c:pt idx="35">
                  <c:v>3.3540000000000001</c:v>
                </c:pt>
                <c:pt idx="36">
                  <c:v>9.57</c:v>
                </c:pt>
                <c:pt idx="37">
                  <c:v>5.875</c:v>
                </c:pt>
                <c:pt idx="38">
                  <c:v>30.83</c:v>
                </c:pt>
                <c:pt idx="39">
                  <c:v>30.718</c:v>
                </c:pt>
                <c:pt idx="40">
                  <c:v>8.52</c:v>
                </c:pt>
                <c:pt idx="41">
                  <c:v>25.928000000000001</c:v>
                </c:pt>
                <c:pt idx="42">
                  <c:v>39.517000000000003</c:v>
                </c:pt>
                <c:pt idx="43">
                  <c:v>41.386000000000003</c:v>
                </c:pt>
                <c:pt idx="44">
                  <c:v>41.35</c:v>
                </c:pt>
                <c:pt idx="45">
                  <c:v>41.738999999999997</c:v>
                </c:pt>
                <c:pt idx="46">
                  <c:v>42.04</c:v>
                </c:pt>
                <c:pt idx="47">
                  <c:v>42.726999999999997</c:v>
                </c:pt>
                <c:pt idx="48">
                  <c:v>42.084000000000003</c:v>
                </c:pt>
                <c:pt idx="49">
                  <c:v>30.768999999999998</c:v>
                </c:pt>
                <c:pt idx="50">
                  <c:v>41.627000000000002</c:v>
                </c:pt>
                <c:pt idx="51">
                  <c:v>40.874000000000002</c:v>
                </c:pt>
                <c:pt idx="52">
                  <c:v>40.890999999999998</c:v>
                </c:pt>
                <c:pt idx="53">
                  <c:v>41.874000000000002</c:v>
                </c:pt>
                <c:pt idx="54">
                  <c:v>41.665999999999997</c:v>
                </c:pt>
                <c:pt idx="55">
                  <c:v>42.567999999999998</c:v>
                </c:pt>
                <c:pt idx="56">
                  <c:v>40.348999999999997</c:v>
                </c:pt>
                <c:pt idx="57">
                  <c:v>43.268999999999998</c:v>
                </c:pt>
                <c:pt idx="58">
                  <c:v>35.158999999999999</c:v>
                </c:pt>
                <c:pt idx="59">
                  <c:v>14.284000000000001</c:v>
                </c:pt>
                <c:pt idx="60">
                  <c:v>18.321000000000002</c:v>
                </c:pt>
                <c:pt idx="61">
                  <c:v>38.362000000000002</c:v>
                </c:pt>
                <c:pt idx="62">
                  <c:v>10.797000000000001</c:v>
                </c:pt>
                <c:pt idx="63">
                  <c:v>45.228000000000002</c:v>
                </c:pt>
                <c:pt idx="64">
                  <c:v>23.253</c:v>
                </c:pt>
                <c:pt idx="65">
                  <c:v>41.359000000000002</c:v>
                </c:pt>
                <c:pt idx="66">
                  <c:v>25.588999999999999</c:v>
                </c:pt>
                <c:pt idx="67">
                  <c:v>19.140999999999998</c:v>
                </c:pt>
                <c:pt idx="68">
                  <c:v>12.946</c:v>
                </c:pt>
                <c:pt idx="69">
                  <c:v>33.837000000000003</c:v>
                </c:pt>
                <c:pt idx="70">
                  <c:v>42.215000000000003</c:v>
                </c:pt>
                <c:pt idx="71">
                  <c:v>25.216000000000001</c:v>
                </c:pt>
                <c:pt idx="72">
                  <c:v>22.28</c:v>
                </c:pt>
                <c:pt idx="73">
                  <c:v>12.247999999999999</c:v>
                </c:pt>
                <c:pt idx="74">
                  <c:v>48.792000000000002</c:v>
                </c:pt>
                <c:pt idx="75">
                  <c:v>15.459</c:v>
                </c:pt>
                <c:pt idx="76">
                  <c:v>36.746000000000002</c:v>
                </c:pt>
                <c:pt idx="77">
                  <c:v>12.077999999999999</c:v>
                </c:pt>
                <c:pt idx="78">
                  <c:v>51.009</c:v>
                </c:pt>
                <c:pt idx="79">
                  <c:v>51.08</c:v>
                </c:pt>
                <c:pt idx="80">
                  <c:v>50.015999999999998</c:v>
                </c:pt>
                <c:pt idx="81">
                  <c:v>46.890999999999998</c:v>
                </c:pt>
                <c:pt idx="82">
                  <c:v>50.500999999999998</c:v>
                </c:pt>
                <c:pt idx="83">
                  <c:v>44.89</c:v>
                </c:pt>
                <c:pt idx="84">
                  <c:v>53.793999999999997</c:v>
                </c:pt>
                <c:pt idx="85">
                  <c:v>53.014000000000003</c:v>
                </c:pt>
                <c:pt idx="86">
                  <c:v>51.844000000000001</c:v>
                </c:pt>
                <c:pt idx="87">
                  <c:v>52.521000000000001</c:v>
                </c:pt>
                <c:pt idx="88">
                  <c:v>53.832999999999998</c:v>
                </c:pt>
                <c:pt idx="89">
                  <c:v>45.825000000000003</c:v>
                </c:pt>
                <c:pt idx="90">
                  <c:v>41.273000000000003</c:v>
                </c:pt>
                <c:pt idx="91">
                  <c:v>16.454999999999998</c:v>
                </c:pt>
                <c:pt idx="92">
                  <c:v>14.746</c:v>
                </c:pt>
                <c:pt idx="93">
                  <c:v>39.356000000000002</c:v>
                </c:pt>
                <c:pt idx="94">
                  <c:v>49.722999999999999</c:v>
                </c:pt>
                <c:pt idx="95">
                  <c:v>18.399000000000001</c:v>
                </c:pt>
                <c:pt idx="96">
                  <c:v>35.883000000000003</c:v>
                </c:pt>
                <c:pt idx="97">
                  <c:v>33.503</c:v>
                </c:pt>
                <c:pt idx="98">
                  <c:v>44.039000000000001</c:v>
                </c:pt>
                <c:pt idx="99">
                  <c:v>42.213000000000001</c:v>
                </c:pt>
                <c:pt idx="100">
                  <c:v>8.6210000000000004</c:v>
                </c:pt>
                <c:pt idx="101">
                  <c:v>54.454999999999998</c:v>
                </c:pt>
                <c:pt idx="102">
                  <c:v>55.828000000000003</c:v>
                </c:pt>
                <c:pt idx="103">
                  <c:v>26.609000000000002</c:v>
                </c:pt>
                <c:pt idx="104">
                  <c:v>38.674999999999997</c:v>
                </c:pt>
                <c:pt idx="105">
                  <c:v>34.286999999999999</c:v>
                </c:pt>
                <c:pt idx="106">
                  <c:v>34.411999999999999</c:v>
                </c:pt>
                <c:pt idx="107">
                  <c:v>26.748999999999999</c:v>
                </c:pt>
                <c:pt idx="108">
                  <c:v>50.262</c:v>
                </c:pt>
                <c:pt idx="109">
                  <c:v>52.238999999999997</c:v>
                </c:pt>
                <c:pt idx="110">
                  <c:v>18.547000000000001</c:v>
                </c:pt>
                <c:pt idx="111">
                  <c:v>32.277999999999999</c:v>
                </c:pt>
                <c:pt idx="112">
                  <c:v>36.985999999999997</c:v>
                </c:pt>
                <c:pt idx="113">
                  <c:v>50.750999999999998</c:v>
                </c:pt>
                <c:pt idx="114">
                  <c:v>37.003</c:v>
                </c:pt>
                <c:pt idx="115">
                  <c:v>28.614000000000001</c:v>
                </c:pt>
                <c:pt idx="116">
                  <c:v>27.581</c:v>
                </c:pt>
                <c:pt idx="117">
                  <c:v>42.905000000000001</c:v>
                </c:pt>
                <c:pt idx="118">
                  <c:v>50.616999999999997</c:v>
                </c:pt>
                <c:pt idx="119">
                  <c:v>56.923999999999999</c:v>
                </c:pt>
                <c:pt idx="120">
                  <c:v>54.87</c:v>
                </c:pt>
                <c:pt idx="121">
                  <c:v>37.533000000000001</c:v>
                </c:pt>
                <c:pt idx="122">
                  <c:v>23.899000000000001</c:v>
                </c:pt>
                <c:pt idx="123">
                  <c:v>27.419</c:v>
                </c:pt>
                <c:pt idx="124">
                  <c:v>45.368000000000002</c:v>
                </c:pt>
                <c:pt idx="125">
                  <c:v>58.924999999999997</c:v>
                </c:pt>
                <c:pt idx="126">
                  <c:v>46.83</c:v>
                </c:pt>
                <c:pt idx="127">
                  <c:v>30.768999999999998</c:v>
                </c:pt>
                <c:pt idx="128">
                  <c:v>49.502000000000002</c:v>
                </c:pt>
                <c:pt idx="129">
                  <c:v>41.241</c:v>
                </c:pt>
                <c:pt idx="130">
                  <c:v>36.255000000000003</c:v>
                </c:pt>
                <c:pt idx="131">
                  <c:v>51.774999999999999</c:v>
                </c:pt>
                <c:pt idx="132">
                  <c:v>59.043999999999997</c:v>
                </c:pt>
                <c:pt idx="133">
                  <c:v>58.021000000000001</c:v>
                </c:pt>
                <c:pt idx="134">
                  <c:v>58.192</c:v>
                </c:pt>
                <c:pt idx="135">
                  <c:v>50.517000000000003</c:v>
                </c:pt>
                <c:pt idx="136">
                  <c:v>8.0540000000000003</c:v>
                </c:pt>
                <c:pt idx="137">
                  <c:v>40.918999999999997</c:v>
                </c:pt>
                <c:pt idx="138">
                  <c:v>27.721</c:v>
                </c:pt>
                <c:pt idx="139">
                  <c:v>45.854999999999997</c:v>
                </c:pt>
                <c:pt idx="140">
                  <c:v>47.521999999999998</c:v>
                </c:pt>
                <c:pt idx="141">
                  <c:v>55.798000000000002</c:v>
                </c:pt>
                <c:pt idx="142">
                  <c:v>50.908999999999999</c:v>
                </c:pt>
                <c:pt idx="143">
                  <c:v>12.917999999999999</c:v>
                </c:pt>
                <c:pt idx="144">
                  <c:v>25.373000000000001</c:v>
                </c:pt>
                <c:pt idx="145">
                  <c:v>20.041</c:v>
                </c:pt>
                <c:pt idx="146">
                  <c:v>24.469000000000001</c:v>
                </c:pt>
                <c:pt idx="147">
                  <c:v>26.635000000000002</c:v>
                </c:pt>
                <c:pt idx="148">
                  <c:v>31.343</c:v>
                </c:pt>
                <c:pt idx="149">
                  <c:v>55.564999999999998</c:v>
                </c:pt>
                <c:pt idx="150">
                  <c:v>56.301000000000002</c:v>
                </c:pt>
                <c:pt idx="151">
                  <c:v>57.256</c:v>
                </c:pt>
                <c:pt idx="152">
                  <c:v>56.265999999999998</c:v>
                </c:pt>
                <c:pt idx="153">
                  <c:v>41.716999999999999</c:v>
                </c:pt>
                <c:pt idx="154">
                  <c:v>54.171999999999997</c:v>
                </c:pt>
                <c:pt idx="155">
                  <c:v>11.7</c:v>
                </c:pt>
                <c:pt idx="156">
                  <c:v>53.098999999999997</c:v>
                </c:pt>
                <c:pt idx="157">
                  <c:v>17.350999999999999</c:v>
                </c:pt>
                <c:pt idx="158">
                  <c:v>58.271000000000001</c:v>
                </c:pt>
                <c:pt idx="159">
                  <c:v>43.997999999999998</c:v>
                </c:pt>
                <c:pt idx="160">
                  <c:v>21.4</c:v>
                </c:pt>
                <c:pt idx="161">
                  <c:v>31.946000000000002</c:v>
                </c:pt>
                <c:pt idx="162">
                  <c:v>50.261000000000003</c:v>
                </c:pt>
                <c:pt idx="163">
                  <c:v>58.628</c:v>
                </c:pt>
                <c:pt idx="164">
                  <c:v>22.181000000000001</c:v>
                </c:pt>
                <c:pt idx="165">
                  <c:v>22.878</c:v>
                </c:pt>
                <c:pt idx="166">
                  <c:v>56.430999999999997</c:v>
                </c:pt>
                <c:pt idx="167">
                  <c:v>55.484999999999999</c:v>
                </c:pt>
                <c:pt idx="168">
                  <c:v>53.618000000000002</c:v>
                </c:pt>
                <c:pt idx="169">
                  <c:v>46.914999999999999</c:v>
                </c:pt>
                <c:pt idx="170">
                  <c:v>21.844999999999999</c:v>
                </c:pt>
                <c:pt idx="171">
                  <c:v>10.186</c:v>
                </c:pt>
                <c:pt idx="172">
                  <c:v>50.101999999999997</c:v>
                </c:pt>
                <c:pt idx="173">
                  <c:v>49.84</c:v>
                </c:pt>
                <c:pt idx="174">
                  <c:v>37.372999999999998</c:v>
                </c:pt>
                <c:pt idx="175">
                  <c:v>49.98</c:v>
                </c:pt>
                <c:pt idx="176">
                  <c:v>54.594000000000001</c:v>
                </c:pt>
                <c:pt idx="177">
                  <c:v>54.03</c:v>
                </c:pt>
                <c:pt idx="178">
                  <c:v>49.857999999999997</c:v>
                </c:pt>
                <c:pt idx="179">
                  <c:v>51.674999999999997</c:v>
                </c:pt>
                <c:pt idx="180">
                  <c:v>47.822000000000003</c:v>
                </c:pt>
                <c:pt idx="181">
                  <c:v>19.227</c:v>
                </c:pt>
                <c:pt idx="182">
                  <c:v>29.036999999999999</c:v>
                </c:pt>
                <c:pt idx="183">
                  <c:v>46.685000000000002</c:v>
                </c:pt>
                <c:pt idx="184">
                  <c:v>52.610999999999997</c:v>
                </c:pt>
                <c:pt idx="185">
                  <c:v>51.161000000000001</c:v>
                </c:pt>
                <c:pt idx="186">
                  <c:v>51.539000000000001</c:v>
                </c:pt>
                <c:pt idx="187">
                  <c:v>45.000999999999998</c:v>
                </c:pt>
                <c:pt idx="188">
                  <c:v>32.787999999999997</c:v>
                </c:pt>
                <c:pt idx="189">
                  <c:v>20.248000000000001</c:v>
                </c:pt>
                <c:pt idx="190">
                  <c:v>51.978999999999999</c:v>
                </c:pt>
                <c:pt idx="191">
                  <c:v>53.040999999999997</c:v>
                </c:pt>
                <c:pt idx="192">
                  <c:v>54.343000000000004</c:v>
                </c:pt>
                <c:pt idx="193">
                  <c:v>51.462000000000003</c:v>
                </c:pt>
                <c:pt idx="194">
                  <c:v>53.142000000000003</c:v>
                </c:pt>
                <c:pt idx="195">
                  <c:v>54.517000000000003</c:v>
                </c:pt>
                <c:pt idx="196">
                  <c:v>53.921999999999997</c:v>
                </c:pt>
                <c:pt idx="197">
                  <c:v>47.164000000000001</c:v>
                </c:pt>
                <c:pt idx="198">
                  <c:v>37.347000000000001</c:v>
                </c:pt>
                <c:pt idx="199">
                  <c:v>52.235999999999997</c:v>
                </c:pt>
                <c:pt idx="200">
                  <c:v>26.632999999999999</c:v>
                </c:pt>
                <c:pt idx="201">
                  <c:v>41.392000000000003</c:v>
                </c:pt>
                <c:pt idx="202">
                  <c:v>45.494999999999997</c:v>
                </c:pt>
                <c:pt idx="203">
                  <c:v>50.372999999999998</c:v>
                </c:pt>
                <c:pt idx="204">
                  <c:v>50.52</c:v>
                </c:pt>
                <c:pt idx="205">
                  <c:v>50.99</c:v>
                </c:pt>
                <c:pt idx="206">
                  <c:v>17.149000000000001</c:v>
                </c:pt>
                <c:pt idx="207">
                  <c:v>11.242000000000001</c:v>
                </c:pt>
                <c:pt idx="208">
                  <c:v>48.118000000000002</c:v>
                </c:pt>
                <c:pt idx="209">
                  <c:v>52.476999999999997</c:v>
                </c:pt>
                <c:pt idx="210">
                  <c:v>24.233000000000001</c:v>
                </c:pt>
                <c:pt idx="211">
                  <c:v>51.3</c:v>
                </c:pt>
                <c:pt idx="212">
                  <c:v>41.604999999999997</c:v>
                </c:pt>
                <c:pt idx="213">
                  <c:v>47.104999999999997</c:v>
                </c:pt>
                <c:pt idx="214">
                  <c:v>50.587000000000003</c:v>
                </c:pt>
                <c:pt idx="215">
                  <c:v>49.009</c:v>
                </c:pt>
                <c:pt idx="216">
                  <c:v>48.353000000000002</c:v>
                </c:pt>
                <c:pt idx="217">
                  <c:v>37.316000000000003</c:v>
                </c:pt>
                <c:pt idx="218">
                  <c:v>37.881999999999998</c:v>
                </c:pt>
                <c:pt idx="219">
                  <c:v>48.722000000000001</c:v>
                </c:pt>
                <c:pt idx="220">
                  <c:v>47.567999999999998</c:v>
                </c:pt>
                <c:pt idx="221">
                  <c:v>34.655000000000001</c:v>
                </c:pt>
                <c:pt idx="222">
                  <c:v>22.268999999999998</c:v>
                </c:pt>
                <c:pt idx="223">
                  <c:v>24.413</c:v>
                </c:pt>
                <c:pt idx="224">
                  <c:v>45.612000000000002</c:v>
                </c:pt>
                <c:pt idx="225">
                  <c:v>50.301000000000002</c:v>
                </c:pt>
                <c:pt idx="226">
                  <c:v>24.646999999999998</c:v>
                </c:pt>
                <c:pt idx="227">
                  <c:v>50.500999999999998</c:v>
                </c:pt>
                <c:pt idx="228">
                  <c:v>48.728000000000002</c:v>
                </c:pt>
                <c:pt idx="229">
                  <c:v>31.895</c:v>
                </c:pt>
                <c:pt idx="230">
                  <c:v>30.681000000000001</c:v>
                </c:pt>
                <c:pt idx="231">
                  <c:v>28.629000000000001</c:v>
                </c:pt>
                <c:pt idx="232">
                  <c:v>45.167999999999999</c:v>
                </c:pt>
                <c:pt idx="233">
                  <c:v>50.4</c:v>
                </c:pt>
                <c:pt idx="234">
                  <c:v>48.161000000000001</c:v>
                </c:pt>
                <c:pt idx="235">
                  <c:v>48.048000000000002</c:v>
                </c:pt>
                <c:pt idx="236">
                  <c:v>41.621000000000002</c:v>
                </c:pt>
                <c:pt idx="237">
                  <c:v>42.334000000000003</c:v>
                </c:pt>
                <c:pt idx="238">
                  <c:v>29.751999999999999</c:v>
                </c:pt>
                <c:pt idx="239">
                  <c:v>34.357999999999997</c:v>
                </c:pt>
                <c:pt idx="240">
                  <c:v>46.094999999999999</c:v>
                </c:pt>
                <c:pt idx="241">
                  <c:v>45.640999999999998</c:v>
                </c:pt>
                <c:pt idx="242">
                  <c:v>44.063000000000002</c:v>
                </c:pt>
                <c:pt idx="243">
                  <c:v>14.961</c:v>
                </c:pt>
                <c:pt idx="244">
                  <c:v>46.185000000000002</c:v>
                </c:pt>
                <c:pt idx="245">
                  <c:v>48.637</c:v>
                </c:pt>
                <c:pt idx="246">
                  <c:v>48.08</c:v>
                </c:pt>
                <c:pt idx="247">
                  <c:v>36.912999999999997</c:v>
                </c:pt>
                <c:pt idx="248">
                  <c:v>46.872999999999998</c:v>
                </c:pt>
                <c:pt idx="249">
                  <c:v>48.064999999999998</c:v>
                </c:pt>
                <c:pt idx="250">
                  <c:v>41.645000000000003</c:v>
                </c:pt>
                <c:pt idx="251">
                  <c:v>39.493000000000002</c:v>
                </c:pt>
                <c:pt idx="252">
                  <c:v>13.717000000000001</c:v>
                </c:pt>
                <c:pt idx="253">
                  <c:v>41.984000000000002</c:v>
                </c:pt>
                <c:pt idx="254">
                  <c:v>46.311</c:v>
                </c:pt>
                <c:pt idx="255">
                  <c:v>36.96</c:v>
                </c:pt>
                <c:pt idx="256">
                  <c:v>39.335999999999999</c:v>
                </c:pt>
                <c:pt idx="257">
                  <c:v>38.759</c:v>
                </c:pt>
                <c:pt idx="258">
                  <c:v>40.831000000000003</c:v>
                </c:pt>
                <c:pt idx="259">
                  <c:v>39.969000000000001</c:v>
                </c:pt>
                <c:pt idx="260">
                  <c:v>25.01</c:v>
                </c:pt>
                <c:pt idx="261">
                  <c:v>39.323</c:v>
                </c:pt>
                <c:pt idx="262">
                  <c:v>43.860999999999997</c:v>
                </c:pt>
                <c:pt idx="263">
                  <c:v>32.264000000000003</c:v>
                </c:pt>
                <c:pt idx="264">
                  <c:v>9.4290000000000003</c:v>
                </c:pt>
                <c:pt idx="265">
                  <c:v>37.883000000000003</c:v>
                </c:pt>
                <c:pt idx="266">
                  <c:v>26.064</c:v>
                </c:pt>
                <c:pt idx="267">
                  <c:v>25.943999999999999</c:v>
                </c:pt>
                <c:pt idx="268">
                  <c:v>33.423000000000002</c:v>
                </c:pt>
                <c:pt idx="269">
                  <c:v>34.786000000000001</c:v>
                </c:pt>
                <c:pt idx="270">
                  <c:v>32.801000000000002</c:v>
                </c:pt>
                <c:pt idx="271">
                  <c:v>41.271999999999998</c:v>
                </c:pt>
                <c:pt idx="272">
                  <c:v>24.632000000000001</c:v>
                </c:pt>
                <c:pt idx="273">
                  <c:v>29.626999999999999</c:v>
                </c:pt>
                <c:pt idx="274">
                  <c:v>21.754000000000001</c:v>
                </c:pt>
                <c:pt idx="275">
                  <c:v>32.448999999999998</c:v>
                </c:pt>
                <c:pt idx="276">
                  <c:v>10.349</c:v>
                </c:pt>
                <c:pt idx="277">
                  <c:v>32.648000000000003</c:v>
                </c:pt>
                <c:pt idx="278">
                  <c:v>17.731999999999999</c:v>
                </c:pt>
                <c:pt idx="279">
                  <c:v>30.891999999999999</c:v>
                </c:pt>
                <c:pt idx="280">
                  <c:v>38.061999999999998</c:v>
                </c:pt>
                <c:pt idx="281">
                  <c:v>8.9359999999999999</c:v>
                </c:pt>
                <c:pt idx="282">
                  <c:v>29.606000000000002</c:v>
                </c:pt>
                <c:pt idx="283">
                  <c:v>39.968000000000004</c:v>
                </c:pt>
                <c:pt idx="284">
                  <c:v>19.896000000000001</c:v>
                </c:pt>
                <c:pt idx="285">
                  <c:v>38.165999999999997</c:v>
                </c:pt>
                <c:pt idx="286">
                  <c:v>11.289</c:v>
                </c:pt>
                <c:pt idx="287">
                  <c:v>29.2</c:v>
                </c:pt>
                <c:pt idx="288">
                  <c:v>33.329000000000001</c:v>
                </c:pt>
                <c:pt idx="289">
                  <c:v>19.173999999999999</c:v>
                </c:pt>
                <c:pt idx="290">
                  <c:v>14.994999999999999</c:v>
                </c:pt>
                <c:pt idx="291">
                  <c:v>30.895</c:v>
                </c:pt>
                <c:pt idx="292">
                  <c:v>12.718999999999999</c:v>
                </c:pt>
                <c:pt idx="293">
                  <c:v>23.513000000000002</c:v>
                </c:pt>
                <c:pt idx="294">
                  <c:v>4.194</c:v>
                </c:pt>
                <c:pt idx="295">
                  <c:v>18.202999999999999</c:v>
                </c:pt>
                <c:pt idx="296">
                  <c:v>16.027000000000001</c:v>
                </c:pt>
                <c:pt idx="297">
                  <c:v>29.946999999999999</c:v>
                </c:pt>
                <c:pt idx="298">
                  <c:v>36.171999999999997</c:v>
                </c:pt>
                <c:pt idx="299">
                  <c:v>24.478999999999999</c:v>
                </c:pt>
                <c:pt idx="300">
                  <c:v>9.1620000000000008</c:v>
                </c:pt>
                <c:pt idx="301">
                  <c:v>28.521999999999998</c:v>
                </c:pt>
                <c:pt idx="302">
                  <c:v>20.358000000000001</c:v>
                </c:pt>
                <c:pt idx="303">
                  <c:v>16.513999999999999</c:v>
                </c:pt>
                <c:pt idx="304">
                  <c:v>7.7359999999999998</c:v>
                </c:pt>
                <c:pt idx="305">
                  <c:v>5.9130000000000003</c:v>
                </c:pt>
                <c:pt idx="306">
                  <c:v>9.7880000000000003</c:v>
                </c:pt>
                <c:pt idx="307">
                  <c:v>12.765000000000001</c:v>
                </c:pt>
                <c:pt idx="308">
                  <c:v>11.032999999999999</c:v>
                </c:pt>
                <c:pt idx="309">
                  <c:v>10.904</c:v>
                </c:pt>
                <c:pt idx="310">
                  <c:v>3.68</c:v>
                </c:pt>
                <c:pt idx="311">
                  <c:v>13.041</c:v>
                </c:pt>
                <c:pt idx="312">
                  <c:v>18.353999999999999</c:v>
                </c:pt>
                <c:pt idx="313">
                  <c:v>19.512</c:v>
                </c:pt>
                <c:pt idx="314">
                  <c:v>23.876999999999999</c:v>
                </c:pt>
                <c:pt idx="315">
                  <c:v>16.818000000000001</c:v>
                </c:pt>
                <c:pt idx="316">
                  <c:v>18.085999999999999</c:v>
                </c:pt>
                <c:pt idx="317">
                  <c:v>5.524</c:v>
                </c:pt>
                <c:pt idx="318">
                  <c:v>12.43</c:v>
                </c:pt>
                <c:pt idx="319">
                  <c:v>13.731999999999999</c:v>
                </c:pt>
                <c:pt idx="320">
                  <c:v>8.5289999999999999</c:v>
                </c:pt>
                <c:pt idx="321">
                  <c:v>11.336</c:v>
                </c:pt>
                <c:pt idx="322">
                  <c:v>18.986000000000001</c:v>
                </c:pt>
                <c:pt idx="323">
                  <c:v>29.388000000000002</c:v>
                </c:pt>
                <c:pt idx="324">
                  <c:v>28.141999999999999</c:v>
                </c:pt>
                <c:pt idx="325">
                  <c:v>12.17</c:v>
                </c:pt>
                <c:pt idx="326">
                  <c:v>7.8109999999999999</c:v>
                </c:pt>
                <c:pt idx="327">
                  <c:v>9.5069999999999997</c:v>
                </c:pt>
                <c:pt idx="328">
                  <c:v>12.590999999999999</c:v>
                </c:pt>
                <c:pt idx="329">
                  <c:v>20.663</c:v>
                </c:pt>
                <c:pt idx="330">
                  <c:v>19.943999999999999</c:v>
                </c:pt>
                <c:pt idx="331">
                  <c:v>7.7270000000000003</c:v>
                </c:pt>
                <c:pt idx="332">
                  <c:v>18.824000000000002</c:v>
                </c:pt>
                <c:pt idx="333">
                  <c:v>11.237</c:v>
                </c:pt>
                <c:pt idx="334">
                  <c:v>10.395</c:v>
                </c:pt>
                <c:pt idx="335">
                  <c:v>4.016</c:v>
                </c:pt>
                <c:pt idx="336">
                  <c:v>3.9910000000000001</c:v>
                </c:pt>
                <c:pt idx="337">
                  <c:v>5.8710000000000004</c:v>
                </c:pt>
                <c:pt idx="338">
                  <c:v>9.5350000000000001</c:v>
                </c:pt>
                <c:pt idx="339">
                  <c:v>12.106999999999999</c:v>
                </c:pt>
                <c:pt idx="340">
                  <c:v>14.295</c:v>
                </c:pt>
                <c:pt idx="341">
                  <c:v>17.225999999999999</c:v>
                </c:pt>
                <c:pt idx="342">
                  <c:v>8.7639999999999993</c:v>
                </c:pt>
                <c:pt idx="343">
                  <c:v>20.465</c:v>
                </c:pt>
                <c:pt idx="344">
                  <c:v>1.8049999999999999</c:v>
                </c:pt>
                <c:pt idx="345">
                  <c:v>5.4020000000000001</c:v>
                </c:pt>
                <c:pt idx="346">
                  <c:v>1.5620000000000001</c:v>
                </c:pt>
                <c:pt idx="347">
                  <c:v>11.53</c:v>
                </c:pt>
                <c:pt idx="348">
                  <c:v>25.545000000000002</c:v>
                </c:pt>
                <c:pt idx="349">
                  <c:v>14.397</c:v>
                </c:pt>
                <c:pt idx="350">
                  <c:v>6.718</c:v>
                </c:pt>
                <c:pt idx="351">
                  <c:v>16.391999999999999</c:v>
                </c:pt>
                <c:pt idx="352">
                  <c:v>11.365</c:v>
                </c:pt>
                <c:pt idx="353">
                  <c:v>7.81</c:v>
                </c:pt>
                <c:pt idx="354">
                  <c:v>20.875</c:v>
                </c:pt>
                <c:pt idx="355">
                  <c:v>6.3310000000000004</c:v>
                </c:pt>
                <c:pt idx="356">
                  <c:v>7.008</c:v>
                </c:pt>
                <c:pt idx="357">
                  <c:v>13.968999999999999</c:v>
                </c:pt>
                <c:pt idx="358">
                  <c:v>17.347999999999999</c:v>
                </c:pt>
                <c:pt idx="359">
                  <c:v>6.2350000000000003</c:v>
                </c:pt>
                <c:pt idx="360">
                  <c:v>22.507999999999999</c:v>
                </c:pt>
                <c:pt idx="361">
                  <c:v>3.6709999999999998</c:v>
                </c:pt>
                <c:pt idx="362">
                  <c:v>25.116</c:v>
                </c:pt>
                <c:pt idx="363">
                  <c:v>25.632000000000001</c:v>
                </c:pt>
                <c:pt idx="364">
                  <c:v>15.1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088904"/>
        <c:axId val="487013328"/>
      </c:lineChart>
      <c:dateAx>
        <c:axId val="229088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7013328"/>
        <c:crosses val="autoZero"/>
        <c:auto val="1"/>
        <c:lblOffset val="100"/>
        <c:baseTimeUnit val="days"/>
        <c:majorUnit val="1"/>
        <c:majorTimeUnit val="months"/>
      </c:dateAx>
      <c:valAx>
        <c:axId val="4870133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90889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1.2796272593941671E-2</c:v>
                </c:pt>
                <c:pt idx="1">
                  <c:v>1.2817894889163517E-2</c:v>
                </c:pt>
                <c:pt idx="2">
                  <c:v>1.2839516710801524E-2</c:v>
                </c:pt>
                <c:pt idx="3">
                  <c:v>1.2861138058866128E-2</c:v>
                </c:pt>
                <c:pt idx="4">
                  <c:v>1.2882758933367766E-2</c:v>
                </c:pt>
                <c:pt idx="5">
                  <c:v>1.2904379334316651E-2</c:v>
                </c:pt>
                <c:pt idx="6">
                  <c:v>1.2925999261723442E-2</c:v>
                </c:pt>
                <c:pt idx="7">
                  <c:v>1.2947618715598241E-2</c:v>
                </c:pt>
                <c:pt idx="8">
                  <c:v>1.2969237695951485E-2</c:v>
                </c:pt>
                <c:pt idx="9">
                  <c:v>1.299085620279361E-2</c:v>
                </c:pt>
                <c:pt idx="10">
                  <c:v>1.3012474236134941E-2</c:v>
                </c:pt>
                <c:pt idx="11">
                  <c:v>1.3034091795985914E-2</c:v>
                </c:pt>
                <c:pt idx="12">
                  <c:v>1.3055708882356853E-2</c:v>
                </c:pt>
                <c:pt idx="13">
                  <c:v>1.3077325495258085E-2</c:v>
                </c:pt>
                <c:pt idx="14">
                  <c:v>1.3098941634700045E-2</c:v>
                </c:pt>
                <c:pt idx="15">
                  <c:v>1.3120557300692948E-2</c:v>
                </c:pt>
                <c:pt idx="16">
                  <c:v>1.314217249324745E-2</c:v>
                </c:pt>
                <c:pt idx="17">
                  <c:v>1.3163787212373657E-2</c:v>
                </c:pt>
                <c:pt idx="18">
                  <c:v>1.3185401458082113E-2</c:v>
                </c:pt>
                <c:pt idx="19">
                  <c:v>1.3207015230383035E-2</c:v>
                </c:pt>
                <c:pt idx="20">
                  <c:v>1.3228628529286968E-2</c:v>
                </c:pt>
                <c:pt idx="21">
                  <c:v>1.3250241354804126E-2</c:v>
                </c:pt>
                <c:pt idx="22">
                  <c:v>1.3271853706944947E-2</c:v>
                </c:pt>
                <c:pt idx="23">
                  <c:v>1.3293465585719866E-2</c:v>
                </c:pt>
                <c:pt idx="24">
                  <c:v>1.3315076991139096E-2</c:v>
                </c:pt>
                <c:pt idx="25">
                  <c:v>1.3336687923213075E-2</c:v>
                </c:pt>
                <c:pt idx="26">
                  <c:v>1.3358298381952127E-2</c:v>
                </c:pt>
                <c:pt idx="27">
                  <c:v>1.33799083673668E-2</c:v>
                </c:pt>
                <c:pt idx="28">
                  <c:v>1.3401517879467306E-2</c:v>
                </c:pt>
                <c:pt idx="29">
                  <c:v>1.3423126918263972E-2</c:v>
                </c:pt>
                <c:pt idx="30">
                  <c:v>1.3444735483767234E-2</c:v>
                </c:pt>
                <c:pt idx="31">
                  <c:v>1.3466343575987527E-2</c:v>
                </c:pt>
                <c:pt idx="32">
                  <c:v>1.3487951194935066E-2</c:v>
                </c:pt>
                <c:pt idx="33">
                  <c:v>1.3509558340620287E-2</c:v>
                </c:pt>
                <c:pt idx="34">
                  <c:v>1.3531165013053625E-2</c:v>
                </c:pt>
                <c:pt idx="35">
                  <c:v>1.3552771212245407E-2</c:v>
                </c:pt>
                <c:pt idx="36">
                  <c:v>1.3574376938205956E-2</c:v>
                </c:pt>
                <c:pt idx="37">
                  <c:v>1.3595982190945599E-2</c:v>
                </c:pt>
                <c:pt idx="38">
                  <c:v>1.3617586970474771E-2</c:v>
                </c:pt>
                <c:pt idx="39">
                  <c:v>1.3639191276803908E-2</c:v>
                </c:pt>
                <c:pt idx="40">
                  <c:v>1.3660795109943225E-2</c:v>
                </c:pt>
                <c:pt idx="41">
                  <c:v>1.3682398469903156E-2</c:v>
                </c:pt>
                <c:pt idx="42">
                  <c:v>1.3704001356694029E-2</c:v>
                </c:pt>
                <c:pt idx="43">
                  <c:v>1.3725603770326278E-2</c:v>
                </c:pt>
                <c:pt idx="44">
                  <c:v>1.3747205710810229E-2</c:v>
                </c:pt>
                <c:pt idx="45">
                  <c:v>1.3768807178156206E-2</c:v>
                </c:pt>
                <c:pt idx="46">
                  <c:v>1.3790408172374646E-2</c:v>
                </c:pt>
                <c:pt idx="47">
                  <c:v>1.3812008693475875E-2</c:v>
                </c:pt>
                <c:pt idx="48">
                  <c:v>1.3833608741470216E-2</c:v>
                </c:pt>
                <c:pt idx="49">
                  <c:v>1.3855208316368106E-2</c:v>
                </c:pt>
                <c:pt idx="50">
                  <c:v>1.3876807418179871E-2</c:v>
                </c:pt>
                <c:pt idx="51">
                  <c:v>1.3898406046915945E-2</c:v>
                </c:pt>
                <c:pt idx="52">
                  <c:v>1.3920004202586544E-2</c:v>
                </c:pt>
                <c:pt idx="53">
                  <c:v>1.3941601885202104E-2</c:v>
                </c:pt>
                <c:pt idx="54">
                  <c:v>1.3963199094772949E-2</c:v>
                </c:pt>
                <c:pt idx="55">
                  <c:v>1.3984795831309516E-2</c:v>
                </c:pt>
                <c:pt idx="56">
                  <c:v>1.4006392094822129E-2</c:v>
                </c:pt>
                <c:pt idx="57">
                  <c:v>1.4027987885321114E-2</c:v>
                </c:pt>
                <c:pt idx="58">
                  <c:v>1.4049583202816907E-2</c:v>
                </c:pt>
                <c:pt idx="59">
                  <c:v>1.4071178047319832E-2</c:v>
                </c:pt>
                <c:pt idx="60">
                  <c:v>1.4092772418840216E-2</c:v>
                </c:pt>
                <c:pt idx="61">
                  <c:v>1.4114366317388383E-2</c:v>
                </c:pt>
                <c:pt idx="62">
                  <c:v>1.413595974297488E-2</c:v>
                </c:pt>
                <c:pt idx="63">
                  <c:v>1.415755269560981E-2</c:v>
                </c:pt>
                <c:pt idx="64">
                  <c:v>1.417914517530372E-2</c:v>
                </c:pt>
                <c:pt idx="65">
                  <c:v>1.4200737182066936E-2</c:v>
                </c:pt>
                <c:pt idx="66">
                  <c:v>1.4222328715909782E-2</c:v>
                </c:pt>
                <c:pt idx="67">
                  <c:v>1.4243919776842584E-2</c:v>
                </c:pt>
                <c:pt idx="68">
                  <c:v>1.4265510364875778E-2</c:v>
                </c:pt>
                <c:pt idx="69">
                  <c:v>1.4287100480019688E-2</c:v>
                </c:pt>
                <c:pt idx="70">
                  <c:v>1.430869012228464E-2</c:v>
                </c:pt>
                <c:pt idx="71">
                  <c:v>1.4330279291680958E-2</c:v>
                </c:pt>
                <c:pt idx="72">
                  <c:v>1.4351867988219191E-2</c:v>
                </c:pt>
                <c:pt idx="73">
                  <c:v>1.4373456211909441E-2</c:v>
                </c:pt>
                <c:pt idx="74">
                  <c:v>1.4395043962762255E-2</c:v>
                </c:pt>
                <c:pt idx="75">
                  <c:v>1.4416631240787958E-2</c:v>
                </c:pt>
                <c:pt idx="76">
                  <c:v>1.4438218045996765E-2</c:v>
                </c:pt>
                <c:pt idx="77">
                  <c:v>1.4459804378399221E-2</c:v>
                </c:pt>
                <c:pt idx="78">
                  <c:v>1.4481390238005543E-2</c:v>
                </c:pt>
                <c:pt idx="79">
                  <c:v>1.4502975624826164E-2</c:v>
                </c:pt>
                <c:pt idx="80">
                  <c:v>1.4524560538871412E-2</c:v>
                </c:pt>
                <c:pt idx="81">
                  <c:v>1.4546144980151721E-2</c:v>
                </c:pt>
                <c:pt idx="82">
                  <c:v>1.4567728948677305E-2</c:v>
                </c:pt>
                <c:pt idx="83">
                  <c:v>1.4589312444458491E-2</c:v>
                </c:pt>
                <c:pt idx="84">
                  <c:v>1.4610895467505824E-2</c:v>
                </c:pt>
                <c:pt idx="85">
                  <c:v>1.4632478017829631E-2</c:v>
                </c:pt>
                <c:pt idx="86">
                  <c:v>1.4654060095440125E-2</c:v>
                </c:pt>
                <c:pt idx="87">
                  <c:v>1.4675641700347741E-2</c:v>
                </c:pt>
                <c:pt idx="88">
                  <c:v>1.4697222832562806E-2</c:v>
                </c:pt>
                <c:pt idx="89">
                  <c:v>1.4718803492095645E-2</c:v>
                </c:pt>
                <c:pt idx="90">
                  <c:v>1.4740383678956692E-2</c:v>
                </c:pt>
                <c:pt idx="91">
                  <c:v>1.4761963393156274E-2</c:v>
                </c:pt>
                <c:pt idx="92">
                  <c:v>1.4783542634704716E-2</c:v>
                </c:pt>
                <c:pt idx="93">
                  <c:v>1.4805121403612453E-2</c:v>
                </c:pt>
                <c:pt idx="94">
                  <c:v>1.48266996998897E-2</c:v>
                </c:pt>
                <c:pt idx="95">
                  <c:v>1.4848277523546893E-2</c:v>
                </c:pt>
                <c:pt idx="96">
                  <c:v>1.4869854874594357E-2</c:v>
                </c:pt>
                <c:pt idx="97">
                  <c:v>1.4891431753042528E-2</c:v>
                </c:pt>
                <c:pt idx="98">
                  <c:v>1.4913008158901619E-2</c:v>
                </c:pt>
                <c:pt idx="99">
                  <c:v>1.4934584092182068E-2</c:v>
                </c:pt>
                <c:pt idx="100">
                  <c:v>1.4956159552894199E-2</c:v>
                </c:pt>
                <c:pt idx="101">
                  <c:v>1.4977734541048338E-2</c:v>
                </c:pt>
                <c:pt idx="102">
                  <c:v>1.4999309056654919E-2</c:v>
                </c:pt>
                <c:pt idx="103">
                  <c:v>1.5020883099724158E-2</c:v>
                </c:pt>
                <c:pt idx="104">
                  <c:v>1.5042456670266602E-2</c:v>
                </c:pt>
                <c:pt idx="105">
                  <c:v>1.5064029768292353E-2</c:v>
                </c:pt>
                <c:pt idx="106">
                  <c:v>1.5085602393811959E-2</c:v>
                </c:pt>
                <c:pt idx="107">
                  <c:v>1.5107174546835744E-2</c:v>
                </c:pt>
                <c:pt idx="108">
                  <c:v>1.5128746227373924E-2</c:v>
                </c:pt>
                <c:pt idx="109">
                  <c:v>1.5150317435437044E-2</c:v>
                </c:pt>
                <c:pt idx="110">
                  <c:v>1.5171888171035208E-2</c:v>
                </c:pt>
                <c:pt idx="111">
                  <c:v>1.5193458434179075E-2</c:v>
                </c:pt>
                <c:pt idx="112">
                  <c:v>1.5215028224878746E-2</c:v>
                </c:pt>
                <c:pt idx="113">
                  <c:v>1.5236597543144548E-2</c:v>
                </c:pt>
                <c:pt idx="114">
                  <c:v>1.5258166388987027E-2</c:v>
                </c:pt>
                <c:pt idx="115">
                  <c:v>1.5279734762416397E-2</c:v>
                </c:pt>
                <c:pt idx="116">
                  <c:v>1.5301302663443095E-2</c:v>
                </c:pt>
                <c:pt idx="117">
                  <c:v>1.5322870092077334E-2</c:v>
                </c:pt>
                <c:pt idx="118">
                  <c:v>1.5344437048329551E-2</c:v>
                </c:pt>
                <c:pt idx="119">
                  <c:v>1.5366003532210071E-2</c:v>
                </c:pt>
                <c:pt idx="120">
                  <c:v>1.5387569543729218E-2</c:v>
                </c:pt>
                <c:pt idx="121">
                  <c:v>1.5409135082897429E-2</c:v>
                </c:pt>
                <c:pt idx="122">
                  <c:v>1.5430700149724919E-2</c:v>
                </c:pt>
                <c:pt idx="123">
                  <c:v>1.5452264744222122E-2</c:v>
                </c:pt>
                <c:pt idx="124">
                  <c:v>1.5473828866399475E-2</c:v>
                </c:pt>
                <c:pt idx="125">
                  <c:v>1.5495392516267081E-2</c:v>
                </c:pt>
                <c:pt idx="126">
                  <c:v>1.5516955693835377E-2</c:v>
                </c:pt>
                <c:pt idx="127">
                  <c:v>1.5538518399114909E-2</c:v>
                </c:pt>
                <c:pt idx="128">
                  <c:v>1.5560080632115669E-2</c:v>
                </c:pt>
                <c:pt idx="129">
                  <c:v>1.5581642392848316E-2</c:v>
                </c:pt>
                <c:pt idx="130">
                  <c:v>1.5603203681323063E-2</c:v>
                </c:pt>
                <c:pt idx="131">
                  <c:v>1.5624764497550236E-2</c:v>
                </c:pt>
                <c:pt idx="132">
                  <c:v>1.564632484154016E-2</c:v>
                </c:pt>
                <c:pt idx="133">
                  <c:v>1.5667884713303271E-2</c:v>
                </c:pt>
                <c:pt idx="134">
                  <c:v>1.5689444112849782E-2</c:v>
                </c:pt>
                <c:pt idx="135">
                  <c:v>1.571100304019013E-2</c:v>
                </c:pt>
                <c:pt idx="136">
                  <c:v>1.573256149533464E-2</c:v>
                </c:pt>
                <c:pt idx="137">
                  <c:v>1.5754119478293749E-2</c:v>
                </c:pt>
                <c:pt idx="138">
                  <c:v>1.5775676989077669E-2</c:v>
                </c:pt>
                <c:pt idx="139">
                  <c:v>1.5797234027696727E-2</c:v>
                </c:pt>
                <c:pt idx="140">
                  <c:v>1.5818790594161358E-2</c:v>
                </c:pt>
                <c:pt idx="141">
                  <c:v>1.5840346688481777E-2</c:v>
                </c:pt>
                <c:pt idx="142">
                  <c:v>1.586190231066853E-2</c:v>
                </c:pt>
                <c:pt idx="143">
                  <c:v>1.588345746073172E-2</c:v>
                </c:pt>
                <c:pt idx="144">
                  <c:v>1.5905012138681895E-2</c:v>
                </c:pt>
                <c:pt idx="145">
                  <c:v>1.5926566344529269E-2</c:v>
                </c:pt>
                <c:pt idx="146">
                  <c:v>1.5948120078284167E-2</c:v>
                </c:pt>
                <c:pt idx="147">
                  <c:v>1.5969673339957025E-2</c:v>
                </c:pt>
                <c:pt idx="148">
                  <c:v>1.5991226129558167E-2</c:v>
                </c:pt>
                <c:pt idx="149">
                  <c:v>1.6012778447097809E-2</c:v>
                </c:pt>
                <c:pt idx="150">
                  <c:v>1.6034330292586496E-2</c:v>
                </c:pt>
                <c:pt idx="151">
                  <c:v>1.6055881666034444E-2</c:v>
                </c:pt>
                <c:pt idx="152">
                  <c:v>1.6077432567451977E-2</c:v>
                </c:pt>
                <c:pt idx="153">
                  <c:v>1.609898299684942E-2</c:v>
                </c:pt>
                <c:pt idx="154">
                  <c:v>1.612053295423721E-2</c:v>
                </c:pt>
                <c:pt idx="155">
                  <c:v>1.614208243962556E-2</c:v>
                </c:pt>
                <c:pt idx="156">
                  <c:v>1.6163631453024907E-2</c:v>
                </c:pt>
                <c:pt idx="157">
                  <c:v>1.6185179994445575E-2</c:v>
                </c:pt>
                <c:pt idx="158">
                  <c:v>1.6206728063897891E-2</c:v>
                </c:pt>
                <c:pt idx="159">
                  <c:v>1.6228275661392177E-2</c:v>
                </c:pt>
                <c:pt idx="160">
                  <c:v>1.6249822786938761E-2</c:v>
                </c:pt>
                <c:pt idx="161">
                  <c:v>1.6271369440547967E-2</c:v>
                </c:pt>
                <c:pt idx="162">
                  <c:v>1.6292915622230231E-2</c:v>
                </c:pt>
                <c:pt idx="163">
                  <c:v>1.6314461331995767E-2</c:v>
                </c:pt>
                <c:pt idx="164">
                  <c:v>1.6336006569855011E-2</c:v>
                </c:pt>
                <c:pt idx="165">
                  <c:v>1.6357551335818177E-2</c:v>
                </c:pt>
                <c:pt idx="166">
                  <c:v>1.6379095629895701E-2</c:v>
                </c:pt>
                <c:pt idx="167">
                  <c:v>1.6400639452097909E-2</c:v>
                </c:pt>
                <c:pt idx="168">
                  <c:v>1.6422182802435126E-2</c:v>
                </c:pt>
                <c:pt idx="169">
                  <c:v>1.6443725680917676E-2</c:v>
                </c:pt>
                <c:pt idx="170">
                  <c:v>1.6465268087555995E-2</c:v>
                </c:pt>
                <c:pt idx="171">
                  <c:v>1.6486810022360188E-2</c:v>
                </c:pt>
                <c:pt idx="172">
                  <c:v>1.65083514853408E-2</c:v>
                </c:pt>
                <c:pt idx="173">
                  <c:v>1.6529892476508046E-2</c:v>
                </c:pt>
                <c:pt idx="174">
                  <c:v>1.6551432995872251E-2</c:v>
                </c:pt>
                <c:pt idx="175">
                  <c:v>1.657297304344385E-2</c:v>
                </c:pt>
                <c:pt idx="176">
                  <c:v>1.659451261923317E-2</c:v>
                </c:pt>
                <c:pt idx="177">
                  <c:v>1.6616051723250425E-2</c:v>
                </c:pt>
                <c:pt idx="178">
                  <c:v>1.6637590355506049E-2</c:v>
                </c:pt>
                <c:pt idx="179">
                  <c:v>1.6659128516010369E-2</c:v>
                </c:pt>
                <c:pt idx="180">
                  <c:v>1.6680666204773709E-2</c:v>
                </c:pt>
                <c:pt idx="181">
                  <c:v>1.6702203421806394E-2</c:v>
                </c:pt>
                <c:pt idx="182">
                  <c:v>1.672374016711875E-2</c:v>
                </c:pt>
                <c:pt idx="183">
                  <c:v>1.6745276440720991E-2</c:v>
                </c:pt>
                <c:pt idx="184">
                  <c:v>1.6766812242623663E-2</c:v>
                </c:pt>
                <c:pt idx="185">
                  <c:v>1.6788347572837092E-2</c:v>
                </c:pt>
                <c:pt idx="186">
                  <c:v>1.6809882431371381E-2</c:v>
                </c:pt>
                <c:pt idx="187">
                  <c:v>1.6831416818237077E-2</c:v>
                </c:pt>
                <c:pt idx="188">
                  <c:v>1.6852950733444394E-2</c:v>
                </c:pt>
                <c:pt idx="189">
                  <c:v>1.6874484177003768E-2</c:v>
                </c:pt>
                <c:pt idx="190">
                  <c:v>1.6896017148925413E-2</c:v>
                </c:pt>
                <c:pt idx="191">
                  <c:v>1.6917549649219654E-2</c:v>
                </c:pt>
                <c:pt idx="192">
                  <c:v>1.6939081677896928E-2</c:v>
                </c:pt>
                <c:pt idx="193">
                  <c:v>1.6960613234967559E-2</c:v>
                </c:pt>
                <c:pt idx="194">
                  <c:v>1.6982144320441761E-2</c:v>
                </c:pt>
                <c:pt idx="195">
                  <c:v>1.7003674934329971E-2</c:v>
                </c:pt>
                <c:pt idx="196">
                  <c:v>1.7025205076642513E-2</c:v>
                </c:pt>
                <c:pt idx="197">
                  <c:v>1.7046734747389602E-2</c:v>
                </c:pt>
                <c:pt idx="198">
                  <c:v>1.7068263946581674E-2</c:v>
                </c:pt>
                <c:pt idx="199">
                  <c:v>1.7089792674229054E-2</c:v>
                </c:pt>
                <c:pt idx="200">
                  <c:v>1.7111320930342067E-2</c:v>
                </c:pt>
                <c:pt idx="201">
                  <c:v>1.7132848714931037E-2</c:v>
                </c:pt>
                <c:pt idx="202">
                  <c:v>1.715437602800618E-2</c:v>
                </c:pt>
                <c:pt idx="203">
                  <c:v>1.717590286957793E-2</c:v>
                </c:pt>
                <c:pt idx="204">
                  <c:v>1.7197429239656725E-2</c:v>
                </c:pt>
                <c:pt idx="205">
                  <c:v>1.7218955138252667E-2</c:v>
                </c:pt>
                <c:pt idx="206">
                  <c:v>1.7240480565376193E-2</c:v>
                </c:pt>
                <c:pt idx="207">
                  <c:v>1.7262005521037627E-2</c:v>
                </c:pt>
                <c:pt idx="208">
                  <c:v>1.7283530005247294E-2</c:v>
                </c:pt>
                <c:pt idx="209">
                  <c:v>1.730505401801552E-2</c:v>
                </c:pt>
                <c:pt idx="210">
                  <c:v>1.7326577559352629E-2</c:v>
                </c:pt>
                <c:pt idx="211">
                  <c:v>1.7348100629268948E-2</c:v>
                </c:pt>
                <c:pt idx="212">
                  <c:v>1.73696232277748E-2</c:v>
                </c:pt>
                <c:pt idx="213">
                  <c:v>1.73911453548804E-2</c:v>
                </c:pt>
                <c:pt idx="214">
                  <c:v>1.7412667010596294E-2</c:v>
                </c:pt>
                <c:pt idx="215">
                  <c:v>1.7434188194932698E-2</c:v>
                </c:pt>
                <c:pt idx="216">
                  <c:v>1.7455708907899936E-2</c:v>
                </c:pt>
                <c:pt idx="217">
                  <c:v>1.7477229149508333E-2</c:v>
                </c:pt>
                <c:pt idx="218">
                  <c:v>1.7498748919768103E-2</c:v>
                </c:pt>
                <c:pt idx="219">
                  <c:v>1.7520268218689794E-2</c:v>
                </c:pt>
                <c:pt idx="220">
                  <c:v>1.7541787046283508E-2</c:v>
                </c:pt>
                <c:pt idx="221">
                  <c:v>1.7563305402559792E-2</c:v>
                </c:pt>
                <c:pt idx="222">
                  <c:v>1.758482328752875E-2</c:v>
                </c:pt>
                <c:pt idx="223">
                  <c:v>1.7606340701200818E-2</c:v>
                </c:pt>
                <c:pt idx="224">
                  <c:v>1.762785764358632E-2</c:v>
                </c:pt>
                <c:pt idx="225">
                  <c:v>1.7649374114695582E-2</c:v>
                </c:pt>
                <c:pt idx="226">
                  <c:v>1.7670890114538929E-2</c:v>
                </c:pt>
                <c:pt idx="227">
                  <c:v>1.7692405643126574E-2</c:v>
                </c:pt>
                <c:pt idx="228">
                  <c:v>1.7713920700469066E-2</c:v>
                </c:pt>
                <c:pt idx="229">
                  <c:v>1.7735435286576395E-2</c:v>
                </c:pt>
                <c:pt idx="230">
                  <c:v>1.7756949401459221E-2</c:v>
                </c:pt>
                <c:pt idx="231">
                  <c:v>1.7778463045127646E-2</c:v>
                </c:pt>
                <c:pt idx="232">
                  <c:v>1.7799976217592106E-2</c:v>
                </c:pt>
                <c:pt idx="233">
                  <c:v>1.7821488918862816E-2</c:v>
                </c:pt>
                <c:pt idx="234">
                  <c:v>1.784300114895021E-2</c:v>
                </c:pt>
                <c:pt idx="235">
                  <c:v>1.7864512907864505E-2</c:v>
                </c:pt>
                <c:pt idx="236">
                  <c:v>1.7886024195616135E-2</c:v>
                </c:pt>
                <c:pt idx="237">
                  <c:v>1.7907535012215314E-2</c:v>
                </c:pt>
                <c:pt idx="238">
                  <c:v>1.792904535767248E-2</c:v>
                </c:pt>
                <c:pt idx="239">
                  <c:v>1.7950555231997734E-2</c:v>
                </c:pt>
                <c:pt idx="240">
                  <c:v>1.7972064635201623E-2</c:v>
                </c:pt>
                <c:pt idx="241">
                  <c:v>1.7993573567294363E-2</c:v>
                </c:pt>
                <c:pt idx="242">
                  <c:v>1.8015082028286278E-2</c:v>
                </c:pt>
                <c:pt idx="243">
                  <c:v>1.8036590018187804E-2</c:v>
                </c:pt>
                <c:pt idx="244">
                  <c:v>1.8058097537009044E-2</c:v>
                </c:pt>
                <c:pt idx="245">
                  <c:v>1.8079604584760434E-2</c:v>
                </c:pt>
                <c:pt idx="246">
                  <c:v>1.8101111161452299E-2</c:v>
                </c:pt>
                <c:pt idx="247">
                  <c:v>1.8122617267094965E-2</c:v>
                </c:pt>
                <c:pt idx="248">
                  <c:v>1.8144122901698645E-2</c:v>
                </c:pt>
                <c:pt idx="249">
                  <c:v>1.8165628065273776E-2</c:v>
                </c:pt>
                <c:pt idx="250">
                  <c:v>1.8187132757830682E-2</c:v>
                </c:pt>
                <c:pt idx="251">
                  <c:v>1.8208636979379578E-2</c:v>
                </c:pt>
                <c:pt idx="252">
                  <c:v>1.8230140729930788E-2</c:v>
                </c:pt>
                <c:pt idx="253">
                  <c:v>1.825164400949475E-2</c:v>
                </c:pt>
                <c:pt idx="254">
                  <c:v>1.8273146818081676E-2</c:v>
                </c:pt>
                <c:pt idx="255">
                  <c:v>1.8294649155701892E-2</c:v>
                </c:pt>
                <c:pt idx="256">
                  <c:v>1.8316151022365723E-2</c:v>
                </c:pt>
                <c:pt idx="257">
                  <c:v>1.8337652418083605E-2</c:v>
                </c:pt>
                <c:pt idx="258">
                  <c:v>1.8359153342865642E-2</c:v>
                </c:pt>
                <c:pt idx="259">
                  <c:v>1.8380653796722268E-2</c:v>
                </c:pt>
                <c:pt idx="260">
                  <c:v>1.8402153779663699E-2</c:v>
                </c:pt>
                <c:pt idx="261">
                  <c:v>1.842365329170037E-2</c:v>
                </c:pt>
                <c:pt idx="262">
                  <c:v>1.8445152332842607E-2</c:v>
                </c:pt>
                <c:pt idx="263">
                  <c:v>1.8466650903100623E-2</c:v>
                </c:pt>
                <c:pt idx="264">
                  <c:v>1.8488149002484744E-2</c:v>
                </c:pt>
                <c:pt idx="265">
                  <c:v>1.8509646631005405E-2</c:v>
                </c:pt>
                <c:pt idx="266">
                  <c:v>1.853114378867271E-2</c:v>
                </c:pt>
                <c:pt idx="267">
                  <c:v>1.8552640475497206E-2</c:v>
                </c:pt>
                <c:pt idx="268">
                  <c:v>1.8574136691488996E-2</c:v>
                </c:pt>
                <c:pt idx="269">
                  <c:v>1.8595632436658627E-2</c:v>
                </c:pt>
                <c:pt idx="270">
                  <c:v>1.861712771101609E-2</c:v>
                </c:pt>
                <c:pt idx="271">
                  <c:v>1.8638622514572045E-2</c:v>
                </c:pt>
                <c:pt idx="272">
                  <c:v>1.8660116847336483E-2</c:v>
                </c:pt>
                <c:pt idx="273">
                  <c:v>1.8681610709319951E-2</c:v>
                </c:pt>
                <c:pt idx="274">
                  <c:v>1.8703104100532664E-2</c:v>
                </c:pt>
                <c:pt idx="275">
                  <c:v>1.8724597020985057E-2</c:v>
                </c:pt>
                <c:pt idx="276">
                  <c:v>1.8746089470687233E-2</c:v>
                </c:pt>
                <c:pt idx="277">
                  <c:v>1.8767581449649517E-2</c:v>
                </c:pt>
                <c:pt idx="278">
                  <c:v>1.8789072957882458E-2</c:v>
                </c:pt>
                <c:pt idx="279">
                  <c:v>1.8810563995396046E-2</c:v>
                </c:pt>
                <c:pt idx="280">
                  <c:v>1.8832054562200939E-2</c:v>
                </c:pt>
                <c:pt idx="281">
                  <c:v>1.8853544658307131E-2</c:v>
                </c:pt>
                <c:pt idx="282">
                  <c:v>1.8875034283725167E-2</c:v>
                </c:pt>
                <c:pt idx="283">
                  <c:v>1.8896523438465151E-2</c:v>
                </c:pt>
                <c:pt idx="284">
                  <c:v>1.891801212253752E-2</c:v>
                </c:pt>
                <c:pt idx="285">
                  <c:v>1.8939500335952597E-2</c:v>
                </c:pt>
                <c:pt idx="286">
                  <c:v>1.8960988078720709E-2</c:v>
                </c:pt>
                <c:pt idx="287">
                  <c:v>1.8982475350851957E-2</c:v>
                </c:pt>
                <c:pt idx="288">
                  <c:v>1.900396215235689E-2</c:v>
                </c:pt>
                <c:pt idx="289">
                  <c:v>1.9025448483245722E-2</c:v>
                </c:pt>
                <c:pt idx="290">
                  <c:v>1.9046934343528776E-2</c:v>
                </c:pt>
                <c:pt idx="291">
                  <c:v>1.906841973321638E-2</c:v>
                </c:pt>
                <c:pt idx="292">
                  <c:v>1.9089904652318745E-2</c:v>
                </c:pt>
                <c:pt idx="293">
                  <c:v>1.9111389100846199E-2</c:v>
                </c:pt>
                <c:pt idx="294">
                  <c:v>1.9132873078809176E-2</c:v>
                </c:pt>
                <c:pt idx="295">
                  <c:v>1.9154356586217891E-2</c:v>
                </c:pt>
                <c:pt idx="296">
                  <c:v>1.9175839623082669E-2</c:v>
                </c:pt>
                <c:pt idx="297">
                  <c:v>1.9197322189413724E-2</c:v>
                </c:pt>
                <c:pt idx="298">
                  <c:v>1.9218804285221491E-2</c:v>
                </c:pt>
                <c:pt idx="299">
                  <c:v>1.9240285910516186E-2</c:v>
                </c:pt>
                <c:pt idx="300">
                  <c:v>1.9261767065308244E-2</c:v>
                </c:pt>
                <c:pt idx="301">
                  <c:v>1.9283247749607879E-2</c:v>
                </c:pt>
                <c:pt idx="302">
                  <c:v>1.9304727963425306E-2</c:v>
                </c:pt>
                <c:pt idx="303">
                  <c:v>1.9326207706770959E-2</c:v>
                </c:pt>
                <c:pt idx="304">
                  <c:v>1.9347686979655165E-2</c:v>
                </c:pt>
                <c:pt idx="305">
                  <c:v>1.9369165782088138E-2</c:v>
                </c:pt>
                <c:pt idx="306">
                  <c:v>1.9390644114080202E-2</c:v>
                </c:pt>
                <c:pt idx="307">
                  <c:v>1.9412121975641683E-2</c:v>
                </c:pt>
                <c:pt idx="308">
                  <c:v>1.9433599366782794E-2</c:v>
                </c:pt>
                <c:pt idx="309">
                  <c:v>1.9455076287514084E-2</c:v>
                </c:pt>
                <c:pt idx="310">
                  <c:v>1.9476552737845543E-2</c:v>
                </c:pt>
                <c:pt idx="311">
                  <c:v>1.9498028717787719E-2</c:v>
                </c:pt>
                <c:pt idx="312">
                  <c:v>1.9519504227350715E-2</c:v>
                </c:pt>
                <c:pt idx="313">
                  <c:v>1.9540979266544967E-2</c:v>
                </c:pt>
                <c:pt idx="314">
                  <c:v>1.95624538353808E-2</c:v>
                </c:pt>
                <c:pt idx="315">
                  <c:v>1.9583927933868428E-2</c:v>
                </c:pt>
                <c:pt idx="316">
                  <c:v>1.9605401562018177E-2</c:v>
                </c:pt>
                <c:pt idx="317">
                  <c:v>1.962687471984037E-2</c:v>
                </c:pt>
                <c:pt idx="318">
                  <c:v>1.9648347407345335E-2</c:v>
                </c:pt>
                <c:pt idx="319">
                  <c:v>1.9669819624543283E-2</c:v>
                </c:pt>
                <c:pt idx="320">
                  <c:v>1.9691291371444652E-2</c:v>
                </c:pt>
                <c:pt idx="321">
                  <c:v>1.9712762648059545E-2</c:v>
                </c:pt>
                <c:pt idx="322">
                  <c:v>1.9734233454398509E-2</c:v>
                </c:pt>
                <c:pt idx="323">
                  <c:v>1.9755703790471535E-2</c:v>
                </c:pt>
                <c:pt idx="324">
                  <c:v>1.9777173656289282E-2</c:v>
                </c:pt>
                <c:pt idx="325">
                  <c:v>1.9798643051861742E-2</c:v>
                </c:pt>
                <c:pt idx="326">
                  <c:v>1.9820111977199351E-2</c:v>
                </c:pt>
                <c:pt idx="327">
                  <c:v>1.9841580432312433E-2</c:v>
                </c:pt>
                <c:pt idx="328">
                  <c:v>1.9863048417211204E-2</c:v>
                </c:pt>
                <c:pt idx="329">
                  <c:v>1.9884515931906099E-2</c:v>
                </c:pt>
                <c:pt idx="330">
                  <c:v>1.9905982976407222E-2</c:v>
                </c:pt>
                <c:pt idx="331">
                  <c:v>1.9927449550725007E-2</c:v>
                </c:pt>
                <c:pt idx="332">
                  <c:v>1.9948915654869781E-2</c:v>
                </c:pt>
                <c:pt idx="333">
                  <c:v>1.9970381288851757E-2</c:v>
                </c:pt>
                <c:pt idx="334">
                  <c:v>1.9991846452681261E-2</c:v>
                </c:pt>
                <c:pt idx="335">
                  <c:v>2.0013311146368506E-2</c:v>
                </c:pt>
                <c:pt idx="336">
                  <c:v>2.0034775369924041E-2</c:v>
                </c:pt>
                <c:pt idx="337">
                  <c:v>2.0056239123357855E-2</c:v>
                </c:pt>
                <c:pt idx="338">
                  <c:v>2.0077702406680387E-2</c:v>
                </c:pt>
                <c:pt idx="339">
                  <c:v>2.009916521990196E-2</c:v>
                </c:pt>
                <c:pt idx="340">
                  <c:v>2.01206275630329E-2</c:v>
                </c:pt>
                <c:pt idx="341">
                  <c:v>2.014208943608331E-2</c:v>
                </c:pt>
                <c:pt idx="342">
                  <c:v>2.0163550839063737E-2</c:v>
                </c:pt>
                <c:pt idx="343">
                  <c:v>2.0185011771984285E-2</c:v>
                </c:pt>
                <c:pt idx="344">
                  <c:v>2.0206472234855388E-2</c:v>
                </c:pt>
                <c:pt idx="345">
                  <c:v>2.0227932227687262E-2</c:v>
                </c:pt>
                <c:pt idx="346">
                  <c:v>2.0249391750490231E-2</c:v>
                </c:pt>
                <c:pt idx="347">
                  <c:v>2.0270850803274509E-2</c:v>
                </c:pt>
                <c:pt idx="348">
                  <c:v>2.0292309386050533E-2</c:v>
                </c:pt>
                <c:pt idx="349">
                  <c:v>2.0313767498828406E-2</c:v>
                </c:pt>
                <c:pt idx="350">
                  <c:v>2.0335225141618674E-2</c:v>
                </c:pt>
                <c:pt idx="351">
                  <c:v>2.035668231443144E-2</c:v>
                </c:pt>
                <c:pt idx="352">
                  <c:v>2.037813901727703E-2</c:v>
                </c:pt>
                <c:pt idx="353">
                  <c:v>2.039959525016577E-2</c:v>
                </c:pt>
                <c:pt idx="354">
                  <c:v>2.0421051013107983E-2</c:v>
                </c:pt>
                <c:pt idx="355">
                  <c:v>2.0442506306113883E-2</c:v>
                </c:pt>
                <c:pt idx="356">
                  <c:v>2.0463961129193797E-2</c:v>
                </c:pt>
                <c:pt idx="357">
                  <c:v>2.0485415482358049E-2</c:v>
                </c:pt>
                <c:pt idx="358">
                  <c:v>2.0506869365616853E-2</c:v>
                </c:pt>
                <c:pt idx="359">
                  <c:v>2.0528322778980646E-2</c:v>
                </c:pt>
                <c:pt idx="360">
                  <c:v>2.054977572245964E-2</c:v>
                </c:pt>
                <c:pt idx="361">
                  <c:v>2.0571228196064051E-2</c:v>
                </c:pt>
                <c:pt idx="362">
                  <c:v>2.0592680199804203E-2</c:v>
                </c:pt>
                <c:pt idx="363">
                  <c:v>2.0614131733690422E-2</c:v>
                </c:pt>
                <c:pt idx="364">
                  <c:v>2.0635582797733032E-2</c:v>
                </c:pt>
                <c:pt idx="365">
                  <c:v>2.0657033391942248E-2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6.529081480349877E-2</c:v>
                </c:pt>
                <c:pt idx="1">
                  <c:v>6.5338204890775436E-2</c:v>
                </c:pt>
                <c:pt idx="2">
                  <c:v>6.5385692455811301E-2</c:v>
                </c:pt>
                <c:pt idx="3">
                  <c:v>6.5433262569857334E-2</c:v>
                </c:pt>
                <c:pt idx="4">
                  <c:v>6.5480902233612664E-2</c:v>
                </c:pt>
                <c:pt idx="5">
                  <c:v>6.552860032073575E-2</c:v>
                </c:pt>
                <c:pt idx="6">
                  <c:v>6.5576347506616464E-2</c:v>
                </c:pt>
                <c:pt idx="7">
                  <c:v>6.5624136183587936E-2</c:v>
                </c:pt>
                <c:pt idx="8">
                  <c:v>6.5671960363857584E-2</c:v>
                </c:pt>
                <c:pt idx="9">
                  <c:v>6.571981557152401E-2</c:v>
                </c:pt>
                <c:pt idx="10">
                  <c:v>6.5767698725118853E-2</c:v>
                </c:pt>
                <c:pt idx="11">
                  <c:v>6.581560801217004E-2</c:v>
                </c:pt>
                <c:pt idx="12">
                  <c:v>6.5863542757325505E-2</c:v>
                </c:pt>
                <c:pt idx="13">
                  <c:v>6.5911503285602552E-2</c:v>
                </c:pt>
                <c:pt idx="14">
                  <c:v>6.595949078233887E-2</c:v>
                </c:pt>
                <c:pt idx="15">
                  <c:v>6.6007507151417538E-2</c:v>
                </c:pt>
                <c:pt idx="16">
                  <c:v>6.6055554873317365E-2</c:v>
                </c:pt>
                <c:pt idx="17">
                  <c:v>6.6103636864506266E-2</c:v>
                </c:pt>
                <c:pt idx="18">
                  <c:v>6.6151756339646442E-2</c:v>
                </c:pt>
                <c:pt idx="19">
                  <c:v>6.6199916678017598E-2</c:v>
                </c:pt>
                <c:pt idx="20">
                  <c:v>6.624812129548964E-2</c:v>
                </c:pt>
                <c:pt idx="21">
                  <c:v>6.6296373523289542E-2</c:v>
                </c:pt>
                <c:pt idx="22">
                  <c:v>6.6344676494709459E-2</c:v>
                </c:pt>
                <c:pt idx="23">
                  <c:v>6.6393033040796495E-2</c:v>
                </c:pt>
                <c:pt idx="24">
                  <c:v>6.6441445595948848E-2</c:v>
                </c:pt>
                <c:pt idx="25">
                  <c:v>6.6489916114220796E-2</c:v>
                </c:pt>
                <c:pt idx="26">
                  <c:v>6.6538445997011267E-2</c:v>
                </c:pt>
                <c:pt idx="27">
                  <c:v>6.658703603267753E-2</c:v>
                </c:pt>
                <c:pt idx="28">
                  <c:v>6.6635686348481632E-2</c:v>
                </c:pt>
                <c:pt idx="29">
                  <c:v>6.6684396375138899E-2</c:v>
                </c:pt>
                <c:pt idx="30">
                  <c:v>6.6733164824102645E-2</c:v>
                </c:pt>
                <c:pt idx="31">
                  <c:v>6.6781989677582615E-2</c:v>
                </c:pt>
                <c:pt idx="32">
                  <c:v>6.6830868191162809E-2</c:v>
                </c:pt>
                <c:pt idx="33">
                  <c:v>6.6879796908755243E-2</c:v>
                </c:pt>
                <c:pt idx="34">
                  <c:v>6.6928771689503078E-2</c:v>
                </c:pt>
                <c:pt idx="35">
                  <c:v>6.697778774612953E-2</c:v>
                </c:pt>
                <c:pt idx="36">
                  <c:v>6.7026839694119725E-2</c:v>
                </c:pt>
                <c:pt idx="37">
                  <c:v>6.707592161102191E-2</c:v>
                </c:pt>
                <c:pt idx="38">
                  <c:v>6.7125027105062879E-2</c:v>
                </c:pt>
                <c:pt idx="39">
                  <c:v>6.7174149392191684E-2</c:v>
                </c:pt>
                <c:pt idx="40">
                  <c:v>6.7223281380595301E-2</c:v>
                </c:pt>
                <c:pt idx="41">
                  <c:v>6.7272415761670964E-2</c:v>
                </c:pt>
                <c:pt idx="42">
                  <c:v>6.7321545106393238E-2</c:v>
                </c:pt>
                <c:pt idx="43">
                  <c:v>6.7370661965978865E-2</c:v>
                </c:pt>
                <c:pt idx="44">
                  <c:v>6.7419758975729147E-2</c:v>
                </c:pt>
                <c:pt idx="45">
                  <c:v>6.7468828960920477E-2</c:v>
                </c:pt>
                <c:pt idx="46">
                  <c:v>6.7517865043613456E-2</c:v>
                </c:pt>
                <c:pt idx="47">
                  <c:v>6.7566860749266114E-2</c:v>
                </c:pt>
                <c:pt idx="48">
                  <c:v>6.7615810112060484E-2</c:v>
                </c:pt>
                <c:pt idx="49">
                  <c:v>6.7664707777887981E-2</c:v>
                </c:pt>
                <c:pt idx="50">
                  <c:v>6.7713549103985207E-2</c:v>
                </c:pt>
                <c:pt idx="51">
                  <c:v>6.7762330254266992E-2</c:v>
                </c:pt>
                <c:pt idx="52">
                  <c:v>6.7811048289468767E-2</c:v>
                </c:pt>
                <c:pt idx="53">
                  <c:v>6.7859701251281754E-2</c:v>
                </c:pt>
                <c:pt idx="54">
                  <c:v>6.7908288239744263E-2</c:v>
                </c:pt>
                <c:pt idx="55">
                  <c:v>6.7956809483237415E-2</c:v>
                </c:pt>
                <c:pt idx="56">
                  <c:v>6.8005266400523373E-2</c:v>
                </c:pt>
                <c:pt idx="57">
                  <c:v>6.8053661654357653E-2</c:v>
                </c:pt>
                <c:pt idx="58">
                  <c:v>6.8101999196303775E-2</c:v>
                </c:pt>
                <c:pt idx="59">
                  <c:v>6.8150284302474884E-2</c:v>
                </c:pt>
                <c:pt idx="60">
                  <c:v>6.8198523600026331E-2</c:v>
                </c:pt>
                <c:pt idx="61">
                  <c:v>6.8246725084318158E-2</c:v>
                </c:pt>
                <c:pt idx="62">
                  <c:v>6.829489812676337E-2</c:v>
                </c:pt>
                <c:pt idx="63">
                  <c:v>6.8343053473467807E-2</c:v>
                </c:pt>
                <c:pt idx="64">
                  <c:v>6.8391203234856798E-2</c:v>
                </c:pt>
                <c:pt idx="65">
                  <c:v>6.843936086656574E-2</c:v>
                </c:pt>
                <c:pt idx="66">
                  <c:v>6.848754114194909E-2</c:v>
                </c:pt>
                <c:pt idx="67">
                  <c:v>6.8535760116632496E-2</c:v>
                </c:pt>
                <c:pt idx="68">
                  <c:v>6.8584035085596476E-2</c:v>
                </c:pt>
                <c:pt idx="69">
                  <c:v>6.8632384533334145E-2</c:v>
                </c:pt>
                <c:pt idx="70">
                  <c:v>6.8680828077673756E-2</c:v>
                </c:pt>
                <c:pt idx="71">
                  <c:v>6.8729386407893792E-2</c:v>
                </c:pt>
                <c:pt idx="72">
                  <c:v>6.8778081217788306E-2</c:v>
                </c:pt>
                <c:pt idx="73">
                  <c:v>6.8826935134359224E-2</c:v>
                </c:pt>
                <c:pt idx="74">
                  <c:v>6.8875971642824649E-2</c:v>
                </c:pt>
                <c:pt idx="75">
                  <c:v>6.8925215008631982E-2</c:v>
                </c:pt>
                <c:pt idx="76">
                  <c:v>6.8974690197159488E-2</c:v>
                </c:pt>
                <c:pt idx="77">
                  <c:v>6.9024422791772594E-2</c:v>
                </c:pt>
                <c:pt idx="78">
                  <c:v>6.9074438910878305E-2</c:v>
                </c:pt>
                <c:pt idx="79">
                  <c:v>6.9124765124588997E-2</c:v>
                </c:pt>
                <c:pt idx="80">
                  <c:v>6.9175428371568662E-2</c:v>
                </c:pt>
                <c:pt idx="81">
                  <c:v>6.9226455876589071E-2</c:v>
                </c:pt>
                <c:pt idx="82">
                  <c:v>6.9277875069273381E-2</c:v>
                </c:pt>
                <c:pt idx="83">
                  <c:v>6.932971350444872E-2</c:v>
                </c:pt>
                <c:pt idx="84">
                  <c:v>6.9381998784470419E-2</c:v>
                </c:pt>
                <c:pt idx="85">
                  <c:v>6.9434758483817624E-2</c:v>
                </c:pt>
                <c:pt idx="86">
                  <c:v>6.9488020076196602E-2</c:v>
                </c:pt>
                <c:pt idx="87">
                  <c:v>6.9541810864321277E-2</c:v>
                </c:pt>
                <c:pt idx="88">
                  <c:v>6.9596157912476544E-2</c:v>
                </c:pt>
                <c:pt idx="89">
                  <c:v>6.9651087981903767E-2</c:v>
                </c:pt>
                <c:pt idx="90">
                  <c:v>6.9706627468985968E-2</c:v>
                </c:pt>
                <c:pt idx="91">
                  <c:v>6.9762802346149802E-2</c:v>
                </c:pt>
                <c:pt idx="92">
                  <c:v>6.9819638105344861E-2</c:v>
                </c:pt>
                <c:pt idx="93">
                  <c:v>6.9877159703908856E-2</c:v>
                </c:pt>
                <c:pt idx="94">
                  <c:v>6.9935391512580755E-2</c:v>
                </c:pt>
                <c:pt idx="95">
                  <c:v>6.9994357265382515E-2</c:v>
                </c:pt>
                <c:pt idx="96">
                  <c:v>7.0054080011056272E-2</c:v>
                </c:pt>
                <c:pt idx="97">
                  <c:v>7.0114582065716094E-2</c:v>
                </c:pt>
                <c:pt idx="98">
                  <c:v>7.0175884966354213E-2</c:v>
                </c:pt>
                <c:pt idx="99">
                  <c:v>7.0238009424829093E-2</c:v>
                </c:pt>
                <c:pt idx="100">
                  <c:v>7.0300975281958986E-2</c:v>
                </c:pt>
                <c:pt idx="101">
                  <c:v>7.0364801461349366E-2</c:v>
                </c:pt>
                <c:pt idx="102">
                  <c:v>7.0429505922594102E-2</c:v>
                </c:pt>
                <c:pt idx="103">
                  <c:v>7.0495105613511327E-2</c:v>
                </c:pt>
                <c:pt idx="104">
                  <c:v>7.0561616421103437E-2</c:v>
                </c:pt>
                <c:pt idx="105">
                  <c:v>7.0629053120965513E-2</c:v>
                </c:pt>
                <c:pt idx="106">
                  <c:v>7.0697429324910743E-2</c:v>
                </c:pt>
                <c:pt idx="107">
                  <c:v>7.0766757426629273E-2</c:v>
                </c:pt>
                <c:pt idx="108">
                  <c:v>7.0837048545253731E-2</c:v>
                </c:pt>
                <c:pt idx="109">
                  <c:v>7.0908312466764392E-2</c:v>
                </c:pt>
                <c:pt idx="110">
                  <c:v>7.0980557583232004E-2</c:v>
                </c:pt>
                <c:pt idx="111">
                  <c:v>7.105379082996531E-2</c:v>
                </c:pt>
                <c:pt idx="112">
                  <c:v>7.1128017620701506E-2</c:v>
                </c:pt>
                <c:pt idx="113">
                  <c:v>7.1203241781050058E-2</c:v>
                </c:pt>
                <c:pt idx="114">
                  <c:v>7.1279465480475007E-2</c:v>
                </c:pt>
                <c:pt idx="115">
                  <c:v>7.1356689163173503E-2</c:v>
                </c:pt>
                <c:pt idx="116">
                  <c:v>7.1434911478280488E-2</c:v>
                </c:pt>
                <c:pt idx="117">
                  <c:v>7.1514129209898927E-2</c:v>
                </c:pt>
                <c:pt idx="118">
                  <c:v>7.1594337207520536E-2</c:v>
                </c:pt>
                <c:pt idx="119">
                  <c:v>7.1675528317465126E-2</c:v>
                </c:pt>
                <c:pt idx="120">
                  <c:v>7.1757693316020735E-2</c:v>
                </c:pt>
                <c:pt idx="121">
                  <c:v>7.1840820845018374E-2</c:v>
                </c:pt>
                <c:pt idx="122">
                  <c:v>7.1924897350617245E-2</c:v>
                </c:pt>
                <c:pt idx="123">
                  <c:v>7.2009907026110959E-2</c:v>
                </c:pt>
                <c:pt idx="124">
                  <c:v>7.2095831759591944E-2</c:v>
                </c:pt>
                <c:pt idx="125">
                  <c:v>7.218265108732734E-2</c:v>
                </c:pt>
                <c:pt idx="126">
                  <c:v>7.2270342153707659E-2</c:v>
                </c:pt>
                <c:pt idx="127">
                  <c:v>7.2358879678625879E-2</c:v>
                </c:pt>
                <c:pt idx="128">
                  <c:v>7.2448235933131114E-2</c:v>
                </c:pt>
                <c:pt idx="129">
                  <c:v>7.253838072417769E-2</c:v>
                </c:pt>
                <c:pt idx="130">
                  <c:v>7.2629281389254438E-2</c:v>
                </c:pt>
                <c:pt idx="131">
                  <c:v>7.2720902801635026E-2</c:v>
                </c:pt>
                <c:pt idx="132">
                  <c:v>7.2813207386933379E-2</c:v>
                </c:pt>
                <c:pt idx="133">
                  <c:v>7.2906155151583496E-2</c:v>
                </c:pt>
                <c:pt idx="134">
                  <c:v>7.2999703723786474E-2</c:v>
                </c:pt>
                <c:pt idx="135">
                  <c:v>7.3093808407384692E-2</c:v>
                </c:pt>
                <c:pt idx="136">
                  <c:v>7.3188422249028759E-2</c:v>
                </c:pt>
                <c:pt idx="137">
                  <c:v>7.3283496118904168E-2</c:v>
                </c:pt>
                <c:pt idx="138">
                  <c:v>7.337897880517652E-2</c:v>
                </c:pt>
                <c:pt idx="139">
                  <c:v>7.347481712220244E-2</c:v>
                </c:pt>
                <c:pt idx="140">
                  <c:v>7.3570956032435297E-2</c:v>
                </c:pt>
                <c:pt idx="141">
                  <c:v>7.3667338781835304E-2</c:v>
                </c:pt>
                <c:pt idx="142">
                  <c:v>7.376390704846926E-2</c:v>
                </c:pt>
                <c:pt idx="143">
                  <c:v>7.3860601103862333E-2</c:v>
                </c:pt>
                <c:pt idx="144">
                  <c:v>7.3957359986539961E-2</c:v>
                </c:pt>
                <c:pt idx="145">
                  <c:v>7.4054121687075786E-2</c:v>
                </c:pt>
                <c:pt idx="146">
                  <c:v>7.4150823343841737E-2</c:v>
                </c:pt>
                <c:pt idx="147">
                  <c:v>7.4247401448542055E-2</c:v>
                </c:pt>
                <c:pt idx="148">
                  <c:v>7.4343792060501748E-2</c:v>
                </c:pt>
                <c:pt idx="149">
                  <c:v>7.4439931028577544E-2</c:v>
                </c:pt>
                <c:pt idx="150">
                  <c:v>7.4535754219463624E-2</c:v>
                </c:pt>
                <c:pt idx="151">
                  <c:v>7.463119775107746E-2</c:v>
                </c:pt>
                <c:pt idx="152">
                  <c:v>7.4726198229634846E-2</c:v>
                </c:pt>
                <c:pt idx="153">
                  <c:v>7.4820692988956938E-2</c:v>
                </c:pt>
                <c:pt idx="154">
                  <c:v>7.4914620330498588E-2</c:v>
                </c:pt>
                <c:pt idx="155">
                  <c:v>7.5007919762545186E-2</c:v>
                </c:pt>
                <c:pt idx="156">
                  <c:v>7.5100532236997267E-2</c:v>
                </c:pt>
                <c:pt idx="157">
                  <c:v>7.519240038214714E-2</c:v>
                </c:pt>
                <c:pt idx="158">
                  <c:v>7.5283468729851172E-2</c:v>
                </c:pt>
                <c:pt idx="159">
                  <c:v>7.5373683935514635E-2</c:v>
                </c:pt>
                <c:pt idx="160">
                  <c:v>7.5462994989333856E-2</c:v>
                </c:pt>
                <c:pt idx="161">
                  <c:v>7.5551353417282696E-2</c:v>
                </c:pt>
                <c:pt idx="162">
                  <c:v>7.5638713470385741E-2</c:v>
                </c:pt>
                <c:pt idx="163">
                  <c:v>7.572503230089124E-2</c:v>
                </c:pt>
                <c:pt idx="164">
                  <c:v>7.5810270124038723E-2</c:v>
                </c:pt>
                <c:pt idx="165">
                  <c:v>7.5894390364212694E-2</c:v>
                </c:pt>
                <c:pt idx="166">
                  <c:v>7.5977359784380166E-2</c:v>
                </c:pt>
                <c:pt idx="167">
                  <c:v>7.6059148597828516E-2</c:v>
                </c:pt>
                <c:pt idx="168">
                  <c:v>7.6139730561347915E-2</c:v>
                </c:pt>
                <c:pt idx="169">
                  <c:v>7.6219083049139602E-2</c:v>
                </c:pt>
                <c:pt idx="170">
                  <c:v>7.62971871068749E-2</c:v>
                </c:pt>
                <c:pt idx="171">
                  <c:v>7.6374027485481513E-2</c:v>
                </c:pt>
                <c:pt idx="172">
                  <c:v>7.6449592654387735E-2</c:v>
                </c:pt>
                <c:pt idx="173">
                  <c:v>7.6523874794115238E-2</c:v>
                </c:pt>
                <c:pt idx="174">
                  <c:v>7.659686976827082E-2</c:v>
                </c:pt>
                <c:pt idx="175">
                  <c:v>7.6668577075149041E-2</c:v>
                </c:pt>
                <c:pt idx="176">
                  <c:v>7.6738999779317807E-2</c:v>
                </c:pt>
                <c:pt idx="177">
                  <c:v>7.6808144423716029E-2</c:v>
                </c:pt>
                <c:pt idx="178">
                  <c:v>7.6876020922945709E-2</c:v>
                </c:pt>
                <c:pt idx="179">
                  <c:v>7.6942642438588699E-2</c:v>
                </c:pt>
                <c:pt idx="180">
                  <c:v>7.7008025237518207E-2</c:v>
                </c:pt>
                <c:pt idx="181">
                  <c:v>7.7072188534308028E-2</c:v>
                </c:pt>
                <c:pt idx="182">
                  <c:v>7.7135154318964116E-2</c:v>
                </c:pt>
                <c:pt idx="183">
                  <c:v>7.7196947171314811E-2</c:v>
                </c:pt>
                <c:pt idx="184">
                  <c:v>7.7257594063495708E-2</c:v>
                </c:pt>
                <c:pt idx="185">
                  <c:v>7.7317124152050956E-2</c:v>
                </c:pt>
                <c:pt idx="186">
                  <c:v>7.7375568561246263E-2</c:v>
                </c:pt>
                <c:pt idx="187">
                  <c:v>7.7432960159245945E-2</c:v>
                </c:pt>
                <c:pt idx="188">
                  <c:v>7.7489333328850232E-2</c:v>
                </c:pt>
                <c:pt idx="189">
                  <c:v>7.7544723734515916E-2</c:v>
                </c:pt>
                <c:pt idx="190">
                  <c:v>7.7599168087395073E-2</c:v>
                </c:pt>
                <c:pt idx="191">
                  <c:v>7.7652703910122675E-2</c:v>
                </c:pt>
                <c:pt idx="192">
                  <c:v>7.7705369303063404E-2</c:v>
                </c:pt>
                <c:pt idx="193">
                  <c:v>7.7757202713692491E-2</c:v>
                </c:pt>
                <c:pt idx="194">
                  <c:v>7.7808242710734526E-2</c:v>
                </c:pt>
                <c:pt idx="195">
                  <c:v>7.7858527764618032E-2</c:v>
                </c:pt>
                <c:pt idx="196">
                  <c:v>7.7908096035724642E-2</c:v>
                </c:pt>
                <c:pt idx="197">
                  <c:v>7.7956985171818205E-2</c:v>
                </c:pt>
                <c:pt idx="198">
                  <c:v>7.8005232115934381E-2</c:v>
                </c:pt>
                <c:pt idx="199">
                  <c:v>7.8052872925894787E-2</c:v>
                </c:pt>
                <c:pt idx="200">
                  <c:v>7.8099942606483883E-2</c:v>
                </c:pt>
                <c:pt idx="201">
                  <c:v>7.8146474955191655E-2</c:v>
                </c:pt>
                <c:pt idx="202">
                  <c:v>7.8192502422283414E-2</c:v>
                </c:pt>
                <c:pt idx="203">
                  <c:v>7.8238055985809768E-2</c:v>
                </c:pt>
                <c:pt idx="204">
                  <c:v>7.8283165042018391E-2</c:v>
                </c:pt>
                <c:pt idx="205">
                  <c:v>7.8327857311474181E-2</c:v>
                </c:pt>
                <c:pt idx="206">
                  <c:v>7.8372158761038591E-2</c:v>
                </c:pt>
                <c:pt idx="207">
                  <c:v>7.8416093541704285E-2</c:v>
                </c:pt>
                <c:pt idx="208">
                  <c:v>7.8459683942127559E-2</c:v>
                </c:pt>
                <c:pt idx="209">
                  <c:v>7.8502950357552601E-2</c:v>
                </c:pt>
                <c:pt idx="210">
                  <c:v>7.8545911273676994E-2</c:v>
                </c:pt>
                <c:pt idx="211">
                  <c:v>7.8588583264871559E-2</c:v>
                </c:pt>
                <c:pt idx="212">
                  <c:v>7.8630981006037937E-2</c:v>
                </c:pt>
                <c:pt idx="213">
                  <c:v>7.8673117297268738E-2</c:v>
                </c:pt>
                <c:pt idx="214">
                  <c:v>7.8715003100365874E-2</c:v>
                </c:pt>
                <c:pt idx="215">
                  <c:v>7.8756647586176606E-2</c:v>
                </c:pt>
                <c:pt idx="216">
                  <c:v>7.8798058191622319E-2</c:v>
                </c:pt>
                <c:pt idx="217">
                  <c:v>7.8839240685225659E-2</c:v>
                </c:pt>
                <c:pt idx="218">
                  <c:v>7.8880199239885221E-2</c:v>
                </c:pt>
                <c:pt idx="219">
                  <c:v>7.8920936511606712E-2</c:v>
                </c:pt>
                <c:pt idx="220">
                  <c:v>7.8961453722873651E-2</c:v>
                </c:pt>
                <c:pt idx="221">
                  <c:v>7.9001750749331454E-2</c:v>
                </c:pt>
                <c:pt idx="222">
                  <c:v>7.9041826208462979E-2</c:v>
                </c:pt>
                <c:pt idx="223">
                  <c:v>7.908167754895673E-2</c:v>
                </c:pt>
                <c:pt idx="224">
                  <c:v>7.9121301139503275E-2</c:v>
                </c:pt>
                <c:pt idx="225">
                  <c:v>7.9160692355807777E-2</c:v>
                </c:pt>
                <c:pt idx="226">
                  <c:v>7.9199845664670893E-2</c:v>
                </c:pt>
                <c:pt idx="227">
                  <c:v>7.92387547040692E-2</c:v>
                </c:pt>
                <c:pt idx="228">
                  <c:v>7.9277412358256499E-2</c:v>
                </c:pt>
                <c:pt idx="229">
                  <c:v>7.9315810827010225E-2</c:v>
                </c:pt>
                <c:pt idx="230">
                  <c:v>7.9353941688258711E-2</c:v>
                </c:pt>
                <c:pt idx="231">
                  <c:v>7.9391795953446934E-2</c:v>
                </c:pt>
                <c:pt idx="232">
                  <c:v>7.9429364115125828E-2</c:v>
                </c:pt>
                <c:pt idx="233">
                  <c:v>7.9466636186386344E-2</c:v>
                </c:pt>
                <c:pt idx="234">
                  <c:v>7.9503601731896328E-2</c:v>
                </c:pt>
                <c:pt idx="235">
                  <c:v>7.9540249890441644E-2</c:v>
                </c:pt>
                <c:pt idx="236">
                  <c:v>7.9576569389014737E-2</c:v>
                </c:pt>
                <c:pt idx="237">
                  <c:v>7.961254854863628E-2</c:v>
                </c:pt>
                <c:pt idx="238">
                  <c:v>7.9648175282235473E-2</c:v>
                </c:pt>
                <c:pt idx="239">
                  <c:v>7.9683437085050587E-2</c:v>
                </c:pt>
                <c:pt idx="240">
                  <c:v>7.9718321018142205E-2</c:v>
                </c:pt>
                <c:pt idx="241">
                  <c:v>7.9752813685734406E-2</c:v>
                </c:pt>
                <c:pt idx="242">
                  <c:v>7.9786901207214905E-2</c:v>
                </c:pt>
                <c:pt idx="243">
                  <c:v>7.9820569184729392E-2</c:v>
                </c:pt>
                <c:pt idx="244">
                  <c:v>7.985380266739929E-2</c:v>
                </c:pt>
                <c:pt idx="245">
                  <c:v>7.9886586113273539E-2</c:v>
                </c:pt>
                <c:pt idx="246">
                  <c:v>7.9918903350191875E-2</c:v>
                </c:pt>
                <c:pt idx="247">
                  <c:v>7.9950737536791175E-2</c:v>
                </c:pt>
                <c:pt idx="248">
                  <c:v>7.9982071124923768E-2</c:v>
                </c:pt>
                <c:pt idx="249">
                  <c:v>8.0012885824778932E-2</c:v>
                </c:pt>
                <c:pt idx="250">
                  <c:v>8.004316257400472E-2</c:v>
                </c:pt>
                <c:pt idx="251">
                  <c:v>8.0072881512116695E-2</c:v>
                </c:pt>
                <c:pt idx="252">
                  <c:v>8.0102021961452496E-2</c:v>
                </c:pt>
                <c:pt idx="253">
                  <c:v>8.0130562415888368E-2</c:v>
                </c:pt>
                <c:pt idx="254">
                  <c:v>8.0158480538472951E-2</c:v>
                </c:pt>
                <c:pt idx="255">
                  <c:v>8.0185753169058571E-2</c:v>
                </c:pt>
                <c:pt idx="256">
                  <c:v>8.021235634292001E-2</c:v>
                </c:pt>
                <c:pt idx="257">
                  <c:v>8.0238265321244576E-2</c:v>
                </c:pt>
                <c:pt idx="258">
                  <c:v>8.0263454634260878E-2</c:v>
                </c:pt>
                <c:pt idx="259">
                  <c:v>8.0287898137641686E-2</c:v>
                </c:pt>
                <c:pt idx="260">
                  <c:v>8.0311569082676573E-2</c:v>
                </c:pt>
                <c:pt idx="261">
                  <c:v>8.0334440200558341E-2</c:v>
                </c:pt>
                <c:pt idx="262">
                  <c:v>8.0356483800969561E-2</c:v>
                </c:pt>
                <c:pt idx="263">
                  <c:v>8.0377671884989788E-2</c:v>
                </c:pt>
                <c:pt idx="264">
                  <c:v>8.0397976272175861E-2</c:v>
                </c:pt>
                <c:pt idx="265">
                  <c:v>8.041736874149423E-2</c:v>
                </c:pt>
                <c:pt idx="266">
                  <c:v>8.0435821185612058E-2</c:v>
                </c:pt>
                <c:pt idx="267">
                  <c:v>8.0453305777880665E-2</c:v>
                </c:pt>
                <c:pt idx="268">
                  <c:v>8.0469795151176332E-2</c:v>
                </c:pt>
                <c:pt idx="269">
                  <c:v>8.0485262587597819E-2</c:v>
                </c:pt>
                <c:pt idx="270">
                  <c:v>8.0499682217861343E-2</c:v>
                </c:pt>
                <c:pt idx="271">
                  <c:v>8.0513029229084571E-2</c:v>
                </c:pt>
                <c:pt idx="272">
                  <c:v>8.0525280079509737E-2</c:v>
                </c:pt>
                <c:pt idx="273">
                  <c:v>8.0536412718587747E-2</c:v>
                </c:pt>
                <c:pt idx="274">
                  <c:v>8.0546406810730192E-2</c:v>
                </c:pt>
                <c:pt idx="275">
                  <c:v>8.055524396093415E-2</c:v>
                </c:pt>
                <c:pt idx="276">
                  <c:v>8.0562907940400205E-2</c:v>
                </c:pt>
                <c:pt idx="277">
                  <c:v>8.0569384910196148E-2</c:v>
                </c:pt>
                <c:pt idx="278">
                  <c:v>8.0574663640967367E-2</c:v>
                </c:pt>
                <c:pt idx="279">
                  <c:v>8.0578735726665449E-2</c:v>
                </c:pt>
                <c:pt idx="280">
                  <c:v>8.0581595790251967E-2</c:v>
                </c:pt>
                <c:pt idx="281">
                  <c:v>8.0583241679344331E-2</c:v>
                </c:pt>
                <c:pt idx="282">
                  <c:v>8.0583674649796419E-2</c:v>
                </c:pt>
                <c:pt idx="283">
                  <c:v>8.0582899535255714E-2</c:v>
                </c:pt>
                <c:pt idx="284">
                  <c:v>8.0580924900805193E-2</c:v>
                </c:pt>
                <c:pt idx="285">
                  <c:v>8.0577763178886042E-2</c:v>
                </c:pt>
                <c:pt idx="286">
                  <c:v>8.0573430785802869E-2</c:v>
                </c:pt>
                <c:pt idx="287">
                  <c:v>8.0567948217237159E-2</c:v>
                </c:pt>
                <c:pt idx="288">
                  <c:v>8.0561340121336186E-2</c:v>
                </c:pt>
                <c:pt idx="289">
                  <c:v>8.0553635348102254E-2</c:v>
                </c:pt>
                <c:pt idx="290">
                  <c:v>8.0544866973978571E-2</c:v>
                </c:pt>
                <c:pt idx="291">
                  <c:v>8.0535072300714342E-2</c:v>
                </c:pt>
                <c:pt idx="292">
                  <c:v>8.0524292827788349E-2</c:v>
                </c:pt>
                <c:pt idx="293">
                  <c:v>8.0512574197877357E-2</c:v>
                </c:pt>
                <c:pt idx="294">
                  <c:v>8.0499966115071389E-2</c:v>
                </c:pt>
                <c:pt idx="295">
                  <c:v>8.0486522235758529E-2</c:v>
                </c:pt>
                <c:pt idx="296">
                  <c:v>8.0472300032328095E-2</c:v>
                </c:pt>
                <c:pt idx="297">
                  <c:v>8.0457360630068295E-2</c:v>
                </c:pt>
                <c:pt idx="298">
                  <c:v>8.0441768617861772E-2</c:v>
                </c:pt>
                <c:pt idx="299">
                  <c:v>8.0425591833508309E-2</c:v>
                </c:pt>
                <c:pt idx="300">
                  <c:v>8.0408901124724402E-2</c:v>
                </c:pt>
                <c:pt idx="301">
                  <c:v>8.0391770087084313E-2</c:v>
                </c:pt>
                <c:pt idx="302">
                  <c:v>8.037427478037304E-2</c:v>
                </c:pt>
                <c:pt idx="303">
                  <c:v>8.0356493425017911E-2</c:v>
                </c:pt>
                <c:pt idx="304">
                  <c:v>8.0338506080447805E-2</c:v>
                </c:pt>
                <c:pt idx="305">
                  <c:v>8.0320394307399082E-2</c:v>
                </c:pt>
                <c:pt idx="306">
                  <c:v>8.0302240816339993E-2</c:v>
                </c:pt>
                <c:pt idx="307">
                  <c:v>8.0284129104322019E-2</c:v>
                </c:pt>
                <c:pt idx="308">
                  <c:v>8.0266143082682456E-2</c:v>
                </c:pt>
                <c:pt idx="309">
                  <c:v>8.0248366698122089E-2</c:v>
                </c:pt>
                <c:pt idx="310">
                  <c:v>8.023088354975566E-2</c:v>
                </c:pt>
                <c:pt idx="311">
                  <c:v>8.0213776504789724E-2</c:v>
                </c:pt>
                <c:pt idx="312">
                  <c:v>8.0197127315513178E-2</c:v>
                </c:pt>
                <c:pt idx="313">
                  <c:v>8.018101624029593E-2</c:v>
                </c:pt>
                <c:pt idx="314">
                  <c:v>8.0165521671277579E-2</c:v>
                </c:pt>
                <c:pt idx="315">
                  <c:v>8.0150719771391099E-2</c:v>
                </c:pt>
                <c:pt idx="316">
                  <c:v>8.0136684123307614E-2</c:v>
                </c:pt>
                <c:pt idx="317">
                  <c:v>8.0123485392806754E-2</c:v>
                </c:pt>
                <c:pt idx="318">
                  <c:v>8.0111191008973084E-2</c:v>
                </c:pt>
                <c:pt idx="319">
                  <c:v>8.0099864863496711E-2</c:v>
                </c:pt>
                <c:pt idx="320">
                  <c:v>8.0089567031210229E-2</c:v>
                </c:pt>
                <c:pt idx="321">
                  <c:v>8.008035351383419E-2</c:v>
                </c:pt>
                <c:pt idx="322">
                  <c:v>8.0072276008722063E-2</c:v>
                </c:pt>
                <c:pt idx="323">
                  <c:v>8.0065381704202299E-2</c:v>
                </c:pt>
                <c:pt idx="324">
                  <c:v>8.0059713102905813E-2</c:v>
                </c:pt>
                <c:pt idx="325">
                  <c:v>8.0055307874247056E-2</c:v>
                </c:pt>
                <c:pt idx="326">
                  <c:v>8.0052198736996538E-2</c:v>
                </c:pt>
                <c:pt idx="327">
                  <c:v>8.0050413372644694E-2</c:v>
                </c:pt>
                <c:pt idx="328">
                  <c:v>8.004997437001253E-2</c:v>
                </c:pt>
                <c:pt idx="329">
                  <c:v>8.0050899201317943E-2</c:v>
                </c:pt>
                <c:pt idx="330">
                  <c:v>8.0053200229657215E-2</c:v>
                </c:pt>
                <c:pt idx="331">
                  <c:v>8.0056884747613924E-2</c:v>
                </c:pt>
                <c:pt idx="332">
                  <c:v>8.0061955046462463E-2</c:v>
                </c:pt>
                <c:pt idx="333">
                  <c:v>8.0068408515194867E-2</c:v>
                </c:pt>
                <c:pt idx="334">
                  <c:v>8.007623776836699E-2</c:v>
                </c:pt>
                <c:pt idx="335">
                  <c:v>8.0085430801538696E-2</c:v>
                </c:pt>
                <c:pt idx="336">
                  <c:v>8.0095971172871608E-2</c:v>
                </c:pt>
                <c:pt idx="337">
                  <c:v>8.0107838209250617E-2</c:v>
                </c:pt>
                <c:pt idx="338">
                  <c:v>8.0121007235113589E-2</c:v>
                </c:pt>
                <c:pt idx="339">
                  <c:v>8.0135449822007807E-2</c:v>
                </c:pt>
                <c:pt idx="340">
                  <c:v>8.0151134056743983E-2</c:v>
                </c:pt>
                <c:pt idx="341">
                  <c:v>8.0168024825891804E-2</c:v>
                </c:pt>
                <c:pt idx="342">
                  <c:v>8.0186084114251363E-2</c:v>
                </c:pt>
                <c:pt idx="343">
                  <c:v>8.020527131485039E-2</c:v>
                </c:pt>
                <c:pt idx="344">
                  <c:v>8.0225543547951292E-2</c:v>
                </c:pt>
                <c:pt idx="345">
                  <c:v>8.0246855986510338E-2</c:v>
                </c:pt>
                <c:pt idx="346">
                  <c:v>8.0269162185511972E-2</c:v>
                </c:pt>
                <c:pt idx="347">
                  <c:v>8.0292414412603971E-2</c:v>
                </c:pt>
                <c:pt idx="348">
                  <c:v>8.0316563977485059E-2</c:v>
                </c:pt>
                <c:pt idx="349">
                  <c:v>8.0341561557543573E-2</c:v>
                </c:pt>
                <c:pt idx="350">
                  <c:v>8.0367357517315594E-2</c:v>
                </c:pt>
                <c:pt idx="351">
                  <c:v>8.0393902219419944E-2</c:v>
                </c:pt>
                <c:pt idx="352">
                  <c:v>8.0421146324736875E-2</c:v>
                </c:pt>
                <c:pt idx="353">
                  <c:v>8.0449041079725184E-2</c:v>
                </c:pt>
                <c:pt idx="354">
                  <c:v>8.0477538588917291E-2</c:v>
                </c:pt>
                <c:pt idx="355">
                  <c:v>8.0506592070792193E-2</c:v>
                </c:pt>
                <c:pt idx="356">
                  <c:v>8.0536156095400643E-2</c:v>
                </c:pt>
                <c:pt idx="357">
                  <c:v>8.0566186802304054E-2</c:v>
                </c:pt>
                <c:pt idx="358">
                  <c:v>8.0596642097585408E-2</c:v>
                </c:pt>
                <c:pt idx="359">
                  <c:v>8.0627481828895953E-2</c:v>
                </c:pt>
                <c:pt idx="360">
                  <c:v>8.0658667937714021E-2</c:v>
                </c:pt>
                <c:pt idx="361">
                  <c:v>8.0690164588208435E-2</c:v>
                </c:pt>
                <c:pt idx="362">
                  <c:v>8.0721938272317453E-2</c:v>
                </c:pt>
                <c:pt idx="363">
                  <c:v>8.0753957890874348E-2</c:v>
                </c:pt>
                <c:pt idx="364">
                  <c:v>8.0786194810826384E-2</c:v>
                </c:pt>
                <c:pt idx="365">
                  <c:v>8.081862289880927E-2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4.4364296909716266E-4</c:v>
                </c:pt>
                <c:pt idx="1">
                  <c:v>4.3904060255740547E-4</c:v>
                </c:pt>
                <c:pt idx="2">
                  <c:v>4.3495150807742685E-4</c:v>
                </c:pt>
                <c:pt idx="3">
                  <c:v>4.3138632063193964E-4</c:v>
                </c:pt>
                <c:pt idx="4">
                  <c:v>4.283542759610866E-4</c:v>
                </c:pt>
                <c:pt idx="5">
                  <c:v>4.2586349226516945E-4</c:v>
                </c:pt>
                <c:pt idx="6">
                  <c:v>4.2392125124824487E-4</c:v>
                </c:pt>
                <c:pt idx="7">
                  <c:v>4.2253427651942603E-4</c:v>
                </c:pt>
                <c:pt idx="8">
                  <c:v>4.2166196071148106E-4</c:v>
                </c:pt>
                <c:pt idx="9">
                  <c:v>4.20704138253755E-4</c:v>
                </c:pt>
                <c:pt idx="10">
                  <c:v>4.1946977917560734E-4</c:v>
                </c:pt>
                <c:pt idx="11">
                  <c:v>4.179584355177575E-4</c:v>
                </c:pt>
                <c:pt idx="12">
                  <c:v>4.1616994999380501E-4</c:v>
                </c:pt>
                <c:pt idx="13">
                  <c:v>4.1410446965000123E-4</c:v>
                </c:pt>
                <c:pt idx="14">
                  <c:v>4.1176245697986815E-4</c:v>
                </c:pt>
                <c:pt idx="15">
                  <c:v>4.0906599621311007E-4</c:v>
                </c:pt>
                <c:pt idx="16">
                  <c:v>4.0573724759529136E-4</c:v>
                </c:pt>
                <c:pt idx="17">
                  <c:v>4.0178836557708877E-4</c:v>
                </c:pt>
                <c:pt idx="18">
                  <c:v>3.9723210327125805E-4</c:v>
                </c:pt>
                <c:pt idx="19">
                  <c:v>3.9208402486278599E-4</c:v>
                </c:pt>
                <c:pt idx="20">
                  <c:v>3.8636118452899988E-4</c:v>
                </c:pt>
                <c:pt idx="21">
                  <c:v>3.8007943250457601E-4</c:v>
                </c:pt>
                <c:pt idx="22">
                  <c:v>3.7323693379462251E-4</c:v>
                </c:pt>
                <c:pt idx="23">
                  <c:v>3.6618515019704544E-4</c:v>
                </c:pt>
                <c:pt idx="24">
                  <c:v>3.5942872263535803E-4</c:v>
                </c:pt>
                <c:pt idx="25">
                  <c:v>3.5297832521839556E-4</c:v>
                </c:pt>
                <c:pt idx="26">
                  <c:v>3.4684296193490021E-4</c:v>
                </c:pt>
                <c:pt idx="27">
                  <c:v>3.4103013535034127E-4</c:v>
                </c:pt>
                <c:pt idx="28">
                  <c:v>3.3554601691297849E-4</c:v>
                </c:pt>
                <c:pt idx="29">
                  <c:v>3.3049605876476156E-4</c:v>
                </c:pt>
                <c:pt idx="30">
                  <c:v>3.2594543332326042E-4</c:v>
                </c:pt>
                <c:pt idx="31">
                  <c:v>3.2189148098499298E-4</c:v>
                </c:pt>
                <c:pt idx="32">
                  <c:v>3.1833101189888675E-4</c:v>
                </c:pt>
                <c:pt idx="33">
                  <c:v>3.152604919612141E-4</c:v>
                </c:pt>
                <c:pt idx="34">
                  <c:v>3.1267621633831891E-4</c:v>
                </c:pt>
                <c:pt idx="35">
                  <c:v>3.105744711534738E-4</c:v>
                </c:pt>
                <c:pt idx="36">
                  <c:v>3.0891877756395066E-4</c:v>
                </c:pt>
                <c:pt idx="37">
                  <c:v>3.0773863955906613E-4</c:v>
                </c:pt>
                <c:pt idx="38">
                  <c:v>3.067305149434167E-4</c:v>
                </c:pt>
                <c:pt idx="39">
                  <c:v>3.0589448126112131E-4</c:v>
                </c:pt>
                <c:pt idx="40">
                  <c:v>3.0523053337596354E-4</c:v>
                </c:pt>
                <c:pt idx="41">
                  <c:v>3.0473861550731562E-4</c:v>
                </c:pt>
                <c:pt idx="42">
                  <c:v>3.044186520533643E-4</c:v>
                </c:pt>
                <c:pt idx="43">
                  <c:v>3.0437136615435348E-4</c:v>
                </c:pt>
                <c:pt idx="44">
                  <c:v>3.0450593700332438E-4</c:v>
                </c:pt>
                <c:pt idx="45">
                  <c:v>3.0482199509729269E-4</c:v>
                </c:pt>
                <c:pt idx="46">
                  <c:v>3.0531927139547242E-4</c:v>
                </c:pt>
                <c:pt idx="47">
                  <c:v>3.059976230827137E-4</c:v>
                </c:pt>
                <c:pt idx="48">
                  <c:v>3.0685705854708662E-4</c:v>
                </c:pt>
                <c:pt idx="49">
                  <c:v>3.07897761791458E-4</c:v>
                </c:pt>
                <c:pt idx="50">
                  <c:v>3.0911222144233436E-4</c:v>
                </c:pt>
                <c:pt idx="51">
                  <c:v>3.1017659159379918E-4</c:v>
                </c:pt>
                <c:pt idx="52">
                  <c:v>3.110323515617755E-4</c:v>
                </c:pt>
                <c:pt idx="53">
                  <c:v>3.1168160765585707E-4</c:v>
                </c:pt>
                <c:pt idx="54">
                  <c:v>3.1212787441402799E-4</c:v>
                </c:pt>
                <c:pt idx="55">
                  <c:v>3.1237456068483165E-4</c:v>
                </c:pt>
                <c:pt idx="56">
                  <c:v>3.124249857195315E-4</c:v>
                </c:pt>
                <c:pt idx="57">
                  <c:v>3.1153054133639283E-4</c:v>
                </c:pt>
                <c:pt idx="58">
                  <c:v>3.0961920203441694E-4</c:v>
                </c:pt>
                <c:pt idx="59">
                  <c:v>3.0670992155385217E-4</c:v>
                </c:pt>
                <c:pt idx="60">
                  <c:v>3.0282101564782363E-4</c:v>
                </c:pt>
                <c:pt idx="61">
                  <c:v>2.9797019898910606E-4</c:v>
                </c:pt>
                <c:pt idx="62">
                  <c:v>2.9217461483555473E-4</c:v>
                </c:pt>
                <c:pt idx="63">
                  <c:v>2.8545085780846399E-4</c:v>
                </c:pt>
                <c:pt idx="64">
                  <c:v>2.7781249603627163E-4</c:v>
                </c:pt>
                <c:pt idx="65">
                  <c:v>2.6929223872118423E-4</c:v>
                </c:pt>
                <c:pt idx="66">
                  <c:v>2.6019191054353717E-4</c:v>
                </c:pt>
                <c:pt idx="67">
                  <c:v>2.5052267298361256E-4</c:v>
                </c:pt>
                <c:pt idx="68">
                  <c:v>2.4029492827282552E-4</c:v>
                </c:pt>
                <c:pt idx="69">
                  <c:v>2.2951827096330784E-4</c:v>
                </c:pt>
                <c:pt idx="70">
                  <c:v>2.1820143990260396E-4</c:v>
                </c:pt>
                <c:pt idx="71">
                  <c:v>2.067804651974915E-4</c:v>
                </c:pt>
                <c:pt idx="72">
                  <c:v>1.9594393365579934E-4</c:v>
                </c:pt>
                <c:pt idx="73">
                  <c:v>1.8568093481625256E-4</c:v>
                </c:pt>
                <c:pt idx="74">
                  <c:v>1.7598066654613012E-4</c:v>
                </c:pt>
                <c:pt idx="75">
                  <c:v>1.6683246671395625E-4</c:v>
                </c:pt>
                <c:pt idx="76">
                  <c:v>1.5822584409894806E-4</c:v>
                </c:pt>
                <c:pt idx="77">
                  <c:v>1.5015050843491447E-4</c:v>
                </c:pt>
                <c:pt idx="78">
                  <c:v>1.4258972169427047E-4</c:v>
                </c:pt>
                <c:pt idx="79">
                  <c:v>1.3558202651525541E-4</c:v>
                </c:pt>
                <c:pt idx="80">
                  <c:v>1.2910717483128088E-4</c:v>
                </c:pt>
                <c:pt idx="81">
                  <c:v>1.2315896946254399E-4</c:v>
                </c:pt>
                <c:pt idx="82">
                  <c:v>1.177312333898486E-4</c:v>
                </c:pt>
                <c:pt idx="83">
                  <c:v>1.1281790259725855E-4</c:v>
                </c:pt>
                <c:pt idx="84">
                  <c:v>1.0841311528091001E-4</c:v>
                </c:pt>
                <c:pt idx="85">
                  <c:v>1.0462579714053314E-4</c:v>
                </c:pt>
                <c:pt idx="86">
                  <c:v>1.010484376147496E-4</c:v>
                </c:pt>
                <c:pt idx="87">
                  <c:v>9.767921260456107E-5</c:v>
                </c:pt>
                <c:pt idx="88">
                  <c:v>9.4516386191119273E-5</c:v>
                </c:pt>
                <c:pt idx="89">
                  <c:v>9.155834726528175E-5</c:v>
                </c:pt>
                <c:pt idx="90">
                  <c:v>8.8803645415009547E-5</c:v>
                </c:pt>
                <c:pt idx="91">
                  <c:v>8.6251026284440117E-5</c:v>
                </c:pt>
                <c:pt idx="92">
                  <c:v>8.3898382397588843E-5</c:v>
                </c:pt>
                <c:pt idx="93">
                  <c:v>8.2121818805267277E-5</c:v>
                </c:pt>
                <c:pt idx="94">
                  <c:v>8.0865949189769663E-5</c:v>
                </c:pt>
                <c:pt idx="95">
                  <c:v>8.0128947674238443E-5</c:v>
                </c:pt>
                <c:pt idx="96">
                  <c:v>7.9909967029876528E-5</c:v>
                </c:pt>
                <c:pt idx="97">
                  <c:v>8.0209099713927711E-5</c:v>
                </c:pt>
                <c:pt idx="98">
                  <c:v>8.1027340943516714E-5</c:v>
                </c:pt>
                <c:pt idx="99">
                  <c:v>8.3162631764465423E-5</c:v>
                </c:pt>
                <c:pt idx="100">
                  <c:v>8.6505888091957788E-5</c:v>
                </c:pt>
                <c:pt idx="101">
                  <c:v>9.1064457260752517E-5</c:v>
                </c:pt>
                <c:pt idx="102">
                  <c:v>9.6847457946092793E-5</c:v>
                </c:pt>
                <c:pt idx="103">
                  <c:v>1.0386569877160384E-4</c:v>
                </c:pt>
                <c:pt idx="104">
                  <c:v>1.1213159528381337E-4</c:v>
                </c:pt>
                <c:pt idx="105">
                  <c:v>1.2165908441348747E-4</c:v>
                </c:pt>
                <c:pt idx="106">
                  <c:v>1.324660878247414E-4</c:v>
                </c:pt>
                <c:pt idx="107">
                  <c:v>1.4537729135888415E-4</c:v>
                </c:pt>
                <c:pt idx="108">
                  <c:v>1.600341072225668E-4</c:v>
                </c:pt>
                <c:pt idx="109">
                  <c:v>1.7646584675163325E-4</c:v>
                </c:pt>
                <c:pt idx="110">
                  <c:v>1.9470527456476653E-4</c:v>
                </c:pt>
                <c:pt idx="111">
                  <c:v>2.1478835426887898E-4</c:v>
                </c:pt>
                <c:pt idx="112">
                  <c:v>2.3675368018861791E-4</c:v>
                </c:pt>
                <c:pt idx="113">
                  <c:v>2.610891355901874E-4</c:v>
                </c:pt>
                <c:pt idx="114">
                  <c:v>2.8700991892939337E-4</c:v>
                </c:pt>
                <c:pt idx="115">
                  <c:v>3.145583580199063E-4</c:v>
                </c:pt>
                <c:pt idx="116">
                  <c:v>3.437793689595741E-4</c:v>
                </c:pt>
                <c:pt idx="117">
                  <c:v>3.7472048068498004E-4</c:v>
                </c:pt>
                <c:pt idx="118">
                  <c:v>4.0743185518693481E-4</c:v>
                </c:pt>
                <c:pt idx="119">
                  <c:v>4.4196630307491772E-4</c:v>
                </c:pt>
                <c:pt idx="120">
                  <c:v>4.78382776671268E-4</c:v>
                </c:pt>
                <c:pt idx="121">
                  <c:v>5.1717635135704963E-4</c:v>
                </c:pt>
                <c:pt idx="122">
                  <c:v>5.5754295060519781E-4</c:v>
                </c:pt>
                <c:pt idx="123">
                  <c:v>5.9953278678117413E-4</c:v>
                </c:pt>
                <c:pt idx="124">
                  <c:v>6.4319670777418568E-4</c:v>
                </c:pt>
                <c:pt idx="125">
                  <c:v>6.8858604686187184E-4</c:v>
                </c:pt>
                <c:pt idx="126">
                  <c:v>7.3575245821371502E-4</c:v>
                </c:pt>
                <c:pt idx="127">
                  <c:v>7.848040997384528E-4</c:v>
                </c:pt>
                <c:pt idx="128">
                  <c:v>8.3529764988877749E-4</c:v>
                </c:pt>
                <c:pt idx="129">
                  <c:v>8.8727226468964806E-4</c:v>
                </c:pt>
                <c:pt idx="130">
                  <c:v>9.4076592406037887E-4</c:v>
                </c:pt>
                <c:pt idx="131">
                  <c:v>9.9581522818043542E-4</c:v>
                </c:pt>
                <c:pt idx="132">
                  <c:v>1.0524551834720354E-3</c:v>
                </c:pt>
                <c:pt idx="133">
                  <c:v>1.1107189785671298E-3</c:v>
                </c:pt>
                <c:pt idx="134">
                  <c:v>1.1706581602854065E-3</c:v>
                </c:pt>
                <c:pt idx="135">
                  <c:v>1.2322789533264252E-3</c:v>
                </c:pt>
                <c:pt idx="136">
                  <c:v>1.2951195070411232E-3</c:v>
                </c:pt>
                <c:pt idx="137">
                  <c:v>1.3591975783816233E-3</c:v>
                </c:pt>
                <c:pt idx="138">
                  <c:v>1.4245284870746688E-3</c:v>
                </c:pt>
                <c:pt idx="139">
                  <c:v>1.4911249738006102E-3</c:v>
                </c:pt>
                <c:pt idx="140">
                  <c:v>1.5589970619986052E-3</c:v>
                </c:pt>
                <c:pt idx="141">
                  <c:v>1.6282387480151968E-3</c:v>
                </c:pt>
                <c:pt idx="142">
                  <c:v>1.6987915709066833E-3</c:v>
                </c:pt>
                <c:pt idx="143">
                  <c:v>1.77065474525546E-3</c:v>
                </c:pt>
                <c:pt idx="144">
                  <c:v>1.8438343894606377E-3</c:v>
                </c:pt>
                <c:pt idx="145">
                  <c:v>1.9183340519450369E-3</c:v>
                </c:pt>
                <c:pt idx="146">
                  <c:v>1.9941546334461386E-3</c:v>
                </c:pt>
                <c:pt idx="147">
                  <c:v>2.0712943200335622E-3</c:v>
                </c:pt>
                <c:pt idx="148">
                  <c:v>2.1497498205945158E-3</c:v>
                </c:pt>
                <c:pt idx="149">
                  <c:v>2.2286095795075742E-3</c:v>
                </c:pt>
                <c:pt idx="150">
                  <c:v>2.3079195248927663E-3</c:v>
                </c:pt>
                <c:pt idx="151">
                  <c:v>2.3876561661703272E-3</c:v>
                </c:pt>
                <c:pt idx="152">
                  <c:v>2.4677944351209099E-3</c:v>
                </c:pt>
                <c:pt idx="153">
                  <c:v>2.5483077989038715E-3</c:v>
                </c:pt>
                <c:pt idx="154">
                  <c:v>2.6291683869578554E-3</c:v>
                </c:pt>
                <c:pt idx="155">
                  <c:v>2.708355401916929E-3</c:v>
                </c:pt>
                <c:pt idx="156">
                  <c:v>2.7856332718444975E-3</c:v>
                </c:pt>
                <c:pt idx="157">
                  <c:v>2.8608867673377233E-3</c:v>
                </c:pt>
                <c:pt idx="158">
                  <c:v>2.9339993581404206E-3</c:v>
                </c:pt>
                <c:pt idx="159">
                  <c:v>3.0048535941937897E-3</c:v>
                </c:pt>
                <c:pt idx="160">
                  <c:v>3.0733314916271373E-3</c:v>
                </c:pt>
                <c:pt idx="161">
                  <c:v>3.1393149191100999E-3</c:v>
                </c:pt>
                <c:pt idx="162">
                  <c:v>3.2027219447838466E-3</c:v>
                </c:pt>
                <c:pt idx="163">
                  <c:v>3.2622152698954408E-3</c:v>
                </c:pt>
                <c:pt idx="164">
                  <c:v>3.3186732154871445E-3</c:v>
                </c:pt>
                <c:pt idx="165">
                  <c:v>3.3719578043903734E-3</c:v>
                </c:pt>
                <c:pt idx="166">
                  <c:v>3.4219307731138716E-3</c:v>
                </c:pt>
                <c:pt idx="167">
                  <c:v>3.4684541118297544E-3</c:v>
                </c:pt>
                <c:pt idx="168">
                  <c:v>3.5113906018362038E-3</c:v>
                </c:pt>
                <c:pt idx="169">
                  <c:v>3.5493276294617762E-3</c:v>
                </c:pt>
                <c:pt idx="170">
                  <c:v>3.5844761438040794E-3</c:v>
                </c:pt>
                <c:pt idx="171">
                  <c:v>3.6167596461598559E-3</c:v>
                </c:pt>
                <c:pt idx="172">
                  <c:v>3.6461038156901074E-3</c:v>
                </c:pt>
                <c:pt idx="173">
                  <c:v>3.6723992041870425E-3</c:v>
                </c:pt>
                <c:pt idx="174">
                  <c:v>3.695536073419394E-3</c:v>
                </c:pt>
                <c:pt idx="175">
                  <c:v>3.7154438870514038E-3</c:v>
                </c:pt>
                <c:pt idx="176">
                  <c:v>3.732124805517541E-3</c:v>
                </c:pt>
                <c:pt idx="177">
                  <c:v>3.7430803035226356E-3</c:v>
                </c:pt>
                <c:pt idx="178">
                  <c:v>3.7495400949508336E-3</c:v>
                </c:pt>
                <c:pt idx="179">
                  <c:v>3.7514288159848524E-3</c:v>
                </c:pt>
                <c:pt idx="180">
                  <c:v>3.7486760107679389E-3</c:v>
                </c:pt>
                <c:pt idx="181">
                  <c:v>3.7412160746000209E-3</c:v>
                </c:pt>
                <c:pt idx="182">
                  <c:v>3.7289881588444831E-3</c:v>
                </c:pt>
                <c:pt idx="183">
                  <c:v>3.7107496185560672E-3</c:v>
                </c:pt>
                <c:pt idx="184">
                  <c:v>3.6877794269654708E-3</c:v>
                </c:pt>
                <c:pt idx="185">
                  <c:v>3.660023457267533E-3</c:v>
                </c:pt>
                <c:pt idx="186">
                  <c:v>3.6274317578086864E-3</c:v>
                </c:pt>
                <c:pt idx="187">
                  <c:v>3.5899583236193278E-3</c:v>
                </c:pt>
                <c:pt idx="188">
                  <c:v>3.5475608433265166E-3</c:v>
                </c:pt>
                <c:pt idx="189">
                  <c:v>3.5002004247914088E-3</c:v>
                </c:pt>
                <c:pt idx="190">
                  <c:v>3.4478696623704511E-3</c:v>
                </c:pt>
                <c:pt idx="191">
                  <c:v>3.390799462082881E-3</c:v>
                </c:pt>
                <c:pt idx="192">
                  <c:v>3.3317608612529583E-3</c:v>
                </c:pt>
                <c:pt idx="193">
                  <c:v>3.270766894547558E-3</c:v>
                </c:pt>
                <c:pt idx="194">
                  <c:v>3.2078309830857426E-3</c:v>
                </c:pt>
                <c:pt idx="195">
                  <c:v>3.1429668139513513E-3</c:v>
                </c:pt>
                <c:pt idx="196">
                  <c:v>3.076188233022525E-3</c:v>
                </c:pt>
                <c:pt idx="197">
                  <c:v>3.0073550416263328E-3</c:v>
                </c:pt>
                <c:pt idx="198">
                  <c:v>2.9377442688659819E-3</c:v>
                </c:pt>
                <c:pt idx="199">
                  <c:v>2.8673798096496002E-3</c:v>
                </c:pt>
                <c:pt idx="200">
                  <c:v>2.7962850420327123E-3</c:v>
                </c:pt>
                <c:pt idx="201">
                  <c:v>2.724482802750808E-3</c:v>
                </c:pt>
                <c:pt idx="202">
                  <c:v>2.6519953770344864E-3</c:v>
                </c:pt>
                <c:pt idx="203">
                  <c:v>2.5788445022749871E-3</c:v>
                </c:pt>
                <c:pt idx="204">
                  <c:v>2.5050611733439259E-3</c:v>
                </c:pt>
                <c:pt idx="205">
                  <c:v>2.4307571021136704E-3</c:v>
                </c:pt>
                <c:pt idx="206">
                  <c:v>2.3556827190940803E-3</c:v>
                </c:pt>
                <c:pt idx="207">
                  <c:v>2.2798604170513165E-3</c:v>
                </c:pt>
                <c:pt idx="208">
                  <c:v>2.2033109806640829E-3</c:v>
                </c:pt>
                <c:pt idx="209">
                  <c:v>2.1260536021029557E-3</c:v>
                </c:pt>
                <c:pt idx="210">
                  <c:v>2.0481059054428975E-3</c:v>
                </c:pt>
                <c:pt idx="211">
                  <c:v>1.9703330481853822E-3</c:v>
                </c:pt>
                <c:pt idx="212">
                  <c:v>1.8929273724438483E-3</c:v>
                </c:pt>
                <c:pt idx="213">
                  <c:v>1.8159121121565014E-3</c:v>
                </c:pt>
                <c:pt idx="214">
                  <c:v>1.7393088604873914E-3</c:v>
                </c:pt>
                <c:pt idx="215">
                  <c:v>1.6631376594670624E-3</c:v>
                </c:pt>
                <c:pt idx="216">
                  <c:v>1.5874170898549081E-3</c:v>
                </c:pt>
                <c:pt idx="217">
                  <c:v>1.5121643601609654E-3</c:v>
                </c:pt>
                <c:pt idx="218">
                  <c:v>1.4373933482946907E-3</c:v>
                </c:pt>
                <c:pt idx="219">
                  <c:v>1.3640460344973495E-3</c:v>
                </c:pt>
                <c:pt idx="220">
                  <c:v>1.2920643966005283E-3</c:v>
                </c:pt>
                <c:pt idx="221">
                  <c:v>1.2214655897867504E-3</c:v>
                </c:pt>
                <c:pt idx="222">
                  <c:v>1.1522666967328805E-3</c:v>
                </c:pt>
                <c:pt idx="223">
                  <c:v>1.0844847753024417E-3</c:v>
                </c:pt>
                <c:pt idx="224">
                  <c:v>1.0181368990970243E-3</c:v>
                </c:pt>
                <c:pt idx="225">
                  <c:v>9.5497651372495446E-4</c:v>
                </c:pt>
                <c:pt idx="226">
                  <c:v>8.9414913761669962E-4</c:v>
                </c:pt>
                <c:pt idx="227">
                  <c:v>8.3567822160181867E-4</c:v>
                </c:pt>
                <c:pt idx="228">
                  <c:v>7.7958716057838272E-4</c:v>
                </c:pt>
                <c:pt idx="229">
                  <c:v>7.258992799707109E-4</c:v>
                </c:pt>
                <c:pt idx="230">
                  <c:v>6.7463781480222478E-4</c:v>
                </c:pt>
                <c:pt idx="231">
                  <c:v>6.2582588183615628E-4</c:v>
                </c:pt>
                <c:pt idx="232">
                  <c:v>5.794768784579083E-4</c:v>
                </c:pt>
                <c:pt idx="233">
                  <c:v>5.3739282006458452E-4</c:v>
                </c:pt>
                <c:pt idx="234">
                  <c:v>4.9864873871619084E-4</c:v>
                </c:pt>
                <c:pt idx="235">
                  <c:v>4.6327850002268907E-4</c:v>
                </c:pt>
                <c:pt idx="236">
                  <c:v>4.3131369783893021E-4</c:v>
                </c:pt>
                <c:pt idx="237">
                  <c:v>4.0278352772529574E-4</c:v>
                </c:pt>
                <c:pt idx="238">
                  <c:v>3.7771543909959619E-4</c:v>
                </c:pt>
                <c:pt idx="239">
                  <c:v>3.569843263292971E-4</c:v>
                </c:pt>
                <c:pt idx="240">
                  <c:v>3.3882530838216779E-4</c:v>
                </c:pt>
                <c:pt idx="241">
                  <c:v>3.2325693601883526E-4</c:v>
                </c:pt>
                <c:pt idx="242">
                  <c:v>3.1029724053678143E-4</c:v>
                </c:pt>
                <c:pt idx="243">
                  <c:v>2.9996397697752177E-4</c:v>
                </c:pt>
                <c:pt idx="244">
                  <c:v>2.9227487133629123E-4</c:v>
                </c:pt>
                <c:pt idx="245">
                  <c:v>2.8724787188397661E-4</c:v>
                </c:pt>
                <c:pt idx="246">
                  <c:v>2.8489039325563871E-4</c:v>
                </c:pt>
                <c:pt idx="247">
                  <c:v>2.8555717070855697E-4</c:v>
                </c:pt>
                <c:pt idx="248">
                  <c:v>2.8743210261348309E-4</c:v>
                </c:pt>
                <c:pt idx="249">
                  <c:v>2.9052417583150274E-4</c:v>
                </c:pt>
                <c:pt idx="250">
                  <c:v>2.9484236412087789E-4</c:v>
                </c:pt>
                <c:pt idx="251">
                  <c:v>3.0039569269990754E-4</c:v>
                </c:pt>
                <c:pt idx="252">
                  <c:v>3.0719330329211726E-4</c:v>
                </c:pt>
                <c:pt idx="253">
                  <c:v>3.1550814381346091E-4</c:v>
                </c:pt>
                <c:pt idx="254">
                  <c:v>3.2447708519950814E-4</c:v>
                </c:pt>
                <c:pt idx="255">
                  <c:v>3.3410655232856578E-4</c:v>
                </c:pt>
                <c:pt idx="256">
                  <c:v>3.4440322874328778E-4</c:v>
                </c:pt>
                <c:pt idx="257">
                  <c:v>3.5537409604817299E-4</c:v>
                </c:pt>
                <c:pt idx="258">
                  <c:v>3.6702647492525045E-4</c:v>
                </c:pt>
                <c:pt idx="259">
                  <c:v>3.7936806834090394E-4</c:v>
                </c:pt>
                <c:pt idx="260">
                  <c:v>3.9240169360258369E-4</c:v>
                </c:pt>
                <c:pt idx="261">
                  <c:v>4.0693952965534008E-4</c:v>
                </c:pt>
                <c:pt idx="262">
                  <c:v>4.2263159553235588E-4</c:v>
                </c:pt>
                <c:pt idx="263">
                  <c:v>4.3948464229815994E-4</c:v>
                </c:pt>
                <c:pt idx="264">
                  <c:v>4.5750531998135828E-4</c:v>
                </c:pt>
                <c:pt idx="265">
                  <c:v>4.7670267443151949E-4</c:v>
                </c:pt>
                <c:pt idx="266">
                  <c:v>4.9708468384770498E-4</c:v>
                </c:pt>
                <c:pt idx="267">
                  <c:v>5.1841845979703702E-4</c:v>
                </c:pt>
                <c:pt idx="268">
                  <c:v>5.4043400774501634E-4</c:v>
                </c:pt>
                <c:pt idx="269">
                  <c:v>5.6313253527394977E-4</c:v>
                </c:pt>
                <c:pt idx="270">
                  <c:v>5.8651486948413367E-4</c:v>
                </c:pt>
                <c:pt idx="271">
                  <c:v>6.1058143708221115E-4</c:v>
                </c:pt>
                <c:pt idx="272">
                  <c:v>6.3533224820254419E-4</c:v>
                </c:pt>
                <c:pt idx="273">
                  <c:v>6.6076688456734843E-4</c:v>
                </c:pt>
                <c:pt idx="274">
                  <c:v>6.8689483514852766E-4</c:v>
                </c:pt>
                <c:pt idx="275">
                  <c:v>7.1224782952311833E-4</c:v>
                </c:pt>
                <c:pt idx="276">
                  <c:v>7.3597505945190676E-4</c:v>
                </c:pt>
                <c:pt idx="277">
                  <c:v>7.5805906363659106E-4</c:v>
                </c:pt>
                <c:pt idx="278">
                  <c:v>7.7848197831720625E-4</c:v>
                </c:pt>
                <c:pt idx="279">
                  <c:v>7.9722568830482713E-4</c:v>
                </c:pt>
                <c:pt idx="280">
                  <c:v>8.1427197868283051E-4</c:v>
                </c:pt>
                <c:pt idx="281">
                  <c:v>8.2902409406317081E-4</c:v>
                </c:pt>
                <c:pt idx="282">
                  <c:v>8.4170862222855767E-4</c:v>
                </c:pt>
                <c:pt idx="283">
                  <c:v>8.5230630988242999E-4</c:v>
                </c:pt>
                <c:pt idx="284">
                  <c:v>8.6079851500853145E-4</c:v>
                </c:pt>
                <c:pt idx="285">
                  <c:v>8.67167365248756E-4</c:v>
                </c:pt>
                <c:pt idx="286">
                  <c:v>8.7139590895390451E-4</c:v>
                </c:pt>
                <c:pt idx="287">
                  <c:v>8.7346825761878012E-4</c:v>
                </c:pt>
                <c:pt idx="288">
                  <c:v>8.7337700710182374E-4</c:v>
                </c:pt>
                <c:pt idx="289">
                  <c:v>8.7113965131645156E-4</c:v>
                </c:pt>
                <c:pt idx="290">
                  <c:v>8.6827119928493089E-4</c:v>
                </c:pt>
                <c:pt idx="291">
                  <c:v>8.6477442735228313E-4</c:v>
                </c:pt>
                <c:pt idx="292">
                  <c:v>8.6065277986744097E-4</c:v>
                </c:pt>
                <c:pt idx="293">
                  <c:v>8.559103360238358E-4</c:v>
                </c:pt>
                <c:pt idx="294">
                  <c:v>8.5055176874665646E-4</c:v>
                </c:pt>
                <c:pt idx="295">
                  <c:v>8.4469041764561204E-4</c:v>
                </c:pt>
                <c:pt idx="296">
                  <c:v>8.3893468372012853E-4</c:v>
                </c:pt>
                <c:pt idx="297">
                  <c:v>8.3330004063038722E-4</c:v>
                </c:pt>
                <c:pt idx="298">
                  <c:v>8.2779530528376494E-4</c:v>
                </c:pt>
                <c:pt idx="299">
                  <c:v>8.2242967350586367E-4</c:v>
                </c:pt>
                <c:pt idx="300">
                  <c:v>8.1721271746729325E-4</c:v>
                </c:pt>
                <c:pt idx="301">
                  <c:v>8.1215438327145748E-4</c:v>
                </c:pt>
                <c:pt idx="302">
                  <c:v>8.0732882627870199E-4</c:v>
                </c:pt>
                <c:pt idx="303">
                  <c:v>8.0302979657367098E-4</c:v>
                </c:pt>
                <c:pt idx="304">
                  <c:v>7.9921747287991542E-4</c:v>
                </c:pt>
                <c:pt idx="305">
                  <c:v>7.9587118374682762E-4</c:v>
                </c:pt>
                <c:pt idx="306">
                  <c:v>7.9297041851962102E-4</c:v>
                </c:pt>
                <c:pt idx="307">
                  <c:v>7.9049461136251572E-4</c:v>
                </c:pt>
                <c:pt idx="308">
                  <c:v>7.8842293145065564E-4</c:v>
                </c:pt>
                <c:pt idx="309">
                  <c:v>7.8739664744849195E-4</c:v>
                </c:pt>
                <c:pt idx="310">
                  <c:v>7.8728787690109906E-4</c:v>
                </c:pt>
                <c:pt idx="311">
                  <c:v>7.880780668676824E-4</c:v>
                </c:pt>
                <c:pt idx="312">
                  <c:v>7.8974741906385039E-4</c:v>
                </c:pt>
                <c:pt idx="313">
                  <c:v>7.9227451738007957E-4</c:v>
                </c:pt>
                <c:pt idx="314">
                  <c:v>7.9563595339633968E-4</c:v>
                </c:pt>
                <c:pt idx="315">
                  <c:v>7.998059537881961E-4</c:v>
                </c:pt>
                <c:pt idx="316">
                  <c:v>8.0486970111720839E-4</c:v>
                </c:pt>
                <c:pt idx="317">
                  <c:v>8.1365940179520735E-4</c:v>
                </c:pt>
                <c:pt idx="318">
                  <c:v>8.2594870259613683E-4</c:v>
                </c:pt>
                <c:pt idx="319">
                  <c:v>8.4176055971813609E-4</c:v>
                </c:pt>
                <c:pt idx="320">
                  <c:v>8.6111847132887926E-4</c:v>
                </c:pt>
                <c:pt idx="321">
                  <c:v>8.8404620713514138E-4</c:v>
                </c:pt>
                <c:pt idx="322">
                  <c:v>9.1056748544356288E-4</c:v>
                </c:pt>
                <c:pt idx="323">
                  <c:v>9.4155174341739947E-4</c:v>
                </c:pt>
                <c:pt idx="324">
                  <c:v>9.7634126757708574E-4</c:v>
                </c:pt>
                <c:pt idx="325">
                  <c:v>1.0149585141222787E-3</c:v>
                </c:pt>
                <c:pt idx="326">
                  <c:v>1.0574173674269666E-3</c:v>
                </c:pt>
                <c:pt idx="327">
                  <c:v>1.1037324737964195E-3</c:v>
                </c:pt>
                <c:pt idx="328">
                  <c:v>1.1539204279320979E-3</c:v>
                </c:pt>
                <c:pt idx="329">
                  <c:v>1.2079940679942873E-3</c:v>
                </c:pt>
                <c:pt idx="330">
                  <c:v>1.2661780453113074E-3</c:v>
                </c:pt>
                <c:pt idx="331">
                  <c:v>1.3251261379778135E-3</c:v>
                </c:pt>
                <c:pt idx="332">
                  <c:v>1.3819750900075833E-3</c:v>
                </c:pt>
                <c:pt idx="333">
                  <c:v>1.4366506108361102E-3</c:v>
                </c:pt>
                <c:pt idx="334">
                  <c:v>1.4890588688437766E-3</c:v>
                </c:pt>
                <c:pt idx="335">
                  <c:v>1.5390870830600529E-3</c:v>
                </c:pt>
                <c:pt idx="336">
                  <c:v>1.5866043734501089E-3</c:v>
                </c:pt>
                <c:pt idx="337">
                  <c:v>1.6298147926606327E-3</c:v>
                </c:pt>
                <c:pt idx="338">
                  <c:v>1.6676554933110648E-3</c:v>
                </c:pt>
                <c:pt idx="339">
                  <c:v>1.6999299561949995E-3</c:v>
                </c:pt>
                <c:pt idx="340">
                  <c:v>1.726436241211549E-3</c:v>
                </c:pt>
                <c:pt idx="341">
                  <c:v>1.7469718924517594E-3</c:v>
                </c:pt>
                <c:pt idx="342">
                  <c:v>1.7613393533575559E-3</c:v>
                </c:pt>
                <c:pt idx="343">
                  <c:v>1.7693518288684198E-3</c:v>
                </c:pt>
                <c:pt idx="344">
                  <c:v>1.7710661872307539E-3</c:v>
                </c:pt>
                <c:pt idx="345">
                  <c:v>1.766664716010618E-3</c:v>
                </c:pt>
                <c:pt idx="346">
                  <c:v>1.760815365237366E-3</c:v>
                </c:pt>
                <c:pt idx="347">
                  <c:v>1.7535464567648459E-3</c:v>
                </c:pt>
                <c:pt idx="348">
                  <c:v>1.7448899957139819E-3</c:v>
                </c:pt>
                <c:pt idx="349">
                  <c:v>1.7348813854473376E-3</c:v>
                </c:pt>
                <c:pt idx="350">
                  <c:v>1.7235591208151744E-3</c:v>
                </c:pt>
                <c:pt idx="351">
                  <c:v>1.7119098254764638E-3</c:v>
                </c:pt>
                <c:pt idx="352">
                  <c:v>1.7016202314397843E-3</c:v>
                </c:pt>
                <c:pt idx="353">
                  <c:v>1.6927117608809593E-3</c:v>
                </c:pt>
                <c:pt idx="354">
                  <c:v>1.6852030881149699E-3</c:v>
                </c:pt>
                <c:pt idx="355">
                  <c:v>1.6791103042212549E-3</c:v>
                </c:pt>
                <c:pt idx="356">
                  <c:v>1.6744323796401789E-3</c:v>
                </c:pt>
                <c:pt idx="357">
                  <c:v>1.6711936087212933E-3</c:v>
                </c:pt>
                <c:pt idx="358">
                  <c:v>1.6690943408553291E-3</c:v>
                </c:pt>
                <c:pt idx="359">
                  <c:v>1.6678814399464668E-3</c:v>
                </c:pt>
                <c:pt idx="360">
                  <c:v>1.6660275090701151E-3</c:v>
                </c:pt>
                <c:pt idx="361">
                  <c:v>1.6627206682342137E-3</c:v>
                </c:pt>
                <c:pt idx="362">
                  <c:v>1.6580726979672437E-3</c:v>
                </c:pt>
                <c:pt idx="363">
                  <c:v>1.6521959749014497E-3</c:v>
                </c:pt>
                <c:pt idx="364">
                  <c:v>1.6452023080135993E-3</c:v>
                </c:pt>
                <c:pt idx="365">
                  <c:v>1.6372019344213634E-3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014504"/>
        <c:axId val="487011760"/>
      </c:lineChart>
      <c:dateAx>
        <c:axId val="4870145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7011760"/>
        <c:crosses val="autoZero"/>
        <c:auto val="1"/>
        <c:lblOffset val="100"/>
        <c:baseTimeUnit val="days"/>
        <c:majorUnit val="1"/>
        <c:majorTimeUnit val="months"/>
      </c:dateAx>
      <c:valAx>
        <c:axId val="4870117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7014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26.364422198935763</c:v>
                </c:pt>
                <c:pt idx="1">
                  <c:v>26.558624257751628</c:v>
                </c:pt>
                <c:pt idx="2">
                  <c:v>26.758224517359036</c:v>
                </c:pt>
                <c:pt idx="3">
                  <c:v>26.961777868660608</c:v>
                </c:pt>
                <c:pt idx="4">
                  <c:v>27.167839576735123</c:v>
                </c:pt>
                <c:pt idx="5">
                  <c:v>27.374965275696589</c:v>
                </c:pt>
                <c:pt idx="6">
                  <c:v>27.581710974846597</c:v>
                </c:pt>
                <c:pt idx="7">
                  <c:v>27.786633059853056</c:v>
                </c:pt>
                <c:pt idx="8">
                  <c:v>27.99141242565997</c:v>
                </c:pt>
                <c:pt idx="9">
                  <c:v>28.198930675056591</c:v>
                </c:pt>
                <c:pt idx="10">
                  <c:v>28.409527728693089</c:v>
                </c:pt>
                <c:pt idx="11">
                  <c:v>28.623538081676728</c:v>
                </c:pt>
                <c:pt idx="12">
                  <c:v>28.84129609336323</c:v>
                </c:pt>
                <c:pt idx="13">
                  <c:v>29.063135995957026</c:v>
                </c:pt>
                <c:pt idx="14">
                  <c:v>29.289391895979229</c:v>
                </c:pt>
                <c:pt idx="15">
                  <c:v>29.520400099652409</c:v>
                </c:pt>
                <c:pt idx="16">
                  <c:v>29.75650283180698</c:v>
                </c:pt>
                <c:pt idx="17">
                  <c:v>29.998033781210459</c:v>
                </c:pt>
                <c:pt idx="18">
                  <c:v>30.245326521426762</c:v>
                </c:pt>
                <c:pt idx="19">
                  <c:v>30.49871444435043</c:v>
                </c:pt>
                <c:pt idx="20">
                  <c:v>30.758530803625927</c:v>
                </c:pt>
                <c:pt idx="21">
                  <c:v>31.025108802665542</c:v>
                </c:pt>
                <c:pt idx="22">
                  <c:v>31.300309040348175</c:v>
                </c:pt>
                <c:pt idx="23">
                  <c:v>31.585030163634556</c:v>
                </c:pt>
                <c:pt idx="24">
                  <c:v>31.878163452955143</c:v>
                </c:pt>
                <c:pt idx="25">
                  <c:v>32.178615797966081</c:v>
                </c:pt>
                <c:pt idx="26">
                  <c:v>32.485294420180693</c:v>
                </c:pt>
                <c:pt idx="27">
                  <c:v>32.797106885835646</c:v>
                </c:pt>
                <c:pt idx="28">
                  <c:v>33.112961096680458</c:v>
                </c:pt>
                <c:pt idx="29">
                  <c:v>33.43176194306006</c:v>
                </c:pt>
                <c:pt idx="30">
                  <c:v>33.752415859475491</c:v>
                </c:pt>
                <c:pt idx="31">
                  <c:v>34.073831833386777</c:v>
                </c:pt>
                <c:pt idx="32">
                  <c:v>34.394919205877606</c:v>
                </c:pt>
                <c:pt idx="33">
                  <c:v>34.714587672024457</c:v>
                </c:pt>
                <c:pt idx="34">
                  <c:v>35.031747282464096</c:v>
                </c:pt>
                <c:pt idx="35">
                  <c:v>35.345308442777693</c:v>
                </c:pt>
                <c:pt idx="36">
                  <c:v>35.657981037123363</c:v>
                </c:pt>
                <c:pt idx="37">
                  <c:v>35.972868144014562</c:v>
                </c:pt>
                <c:pt idx="38">
                  <c:v>36.289484740409769</c:v>
                </c:pt>
                <c:pt idx="39">
                  <c:v>36.607335235530201</c:v>
                </c:pt>
                <c:pt idx="40">
                  <c:v>36.925924208139378</c:v>
                </c:pt>
                <c:pt idx="41">
                  <c:v>37.244756401857465</c:v>
                </c:pt>
                <c:pt idx="42">
                  <c:v>37.563336722766046</c:v>
                </c:pt>
                <c:pt idx="43">
                  <c:v>37.88116641603655</c:v>
                </c:pt>
                <c:pt idx="44">
                  <c:v>38.19775407186124</c:v>
                </c:pt>
                <c:pt idx="45">
                  <c:v>38.512605063069479</c:v>
                </c:pt>
                <c:pt idx="46">
                  <c:v>38.825224905989252</c:v>
                </c:pt>
                <c:pt idx="47">
                  <c:v>39.135119253927009</c:v>
                </c:pt>
                <c:pt idx="48">
                  <c:v>39.441793894021707</c:v>
                </c:pt>
                <c:pt idx="49">
                  <c:v>39.74475473751481</c:v>
                </c:pt>
                <c:pt idx="50">
                  <c:v>40.04453086241687</c:v>
                </c:pt>
                <c:pt idx="51">
                  <c:v>40.34205979848732</c:v>
                </c:pt>
                <c:pt idx="52">
                  <c:v>40.637443704886849</c:v>
                </c:pt>
                <c:pt idx="53">
                  <c:v>40.93078225649672</c:v>
                </c:pt>
                <c:pt idx="54">
                  <c:v>41.222174989775731</c:v>
                </c:pt>
                <c:pt idx="55">
                  <c:v>41.511721358797239</c:v>
                </c:pt>
                <c:pt idx="56">
                  <c:v>41.799520732408119</c:v>
                </c:pt>
                <c:pt idx="57">
                  <c:v>42.085704039873256</c:v>
                </c:pt>
                <c:pt idx="58">
                  <c:v>42.370374294085721</c:v>
                </c:pt>
                <c:pt idx="59">
                  <c:v>42.653630603745817</c:v>
                </c:pt>
                <c:pt idx="60">
                  <c:v>42.935571976815467</c:v>
                </c:pt>
                <c:pt idx="61">
                  <c:v>43.216297319840578</c:v>
                </c:pt>
                <c:pt idx="62">
                  <c:v>43.495905434288908</c:v>
                </c:pt>
                <c:pt idx="63">
                  <c:v>43.774495016501341</c:v>
                </c:pt>
                <c:pt idx="64">
                  <c:v>44.052560267211931</c:v>
                </c:pt>
                <c:pt idx="65">
                  <c:v>44.330330660147609</c:v>
                </c:pt>
                <c:pt idx="66">
                  <c:v>44.607496222061712</c:v>
                </c:pt>
                <c:pt idx="67">
                  <c:v>44.883759689024828</c:v>
                </c:pt>
                <c:pt idx="68">
                  <c:v>45.15882381365487</c:v>
                </c:pt>
                <c:pt idx="69">
                  <c:v>45.432391367281767</c:v>
                </c:pt>
                <c:pt idx="70">
                  <c:v>45.704165142242147</c:v>
                </c:pt>
                <c:pt idx="71">
                  <c:v>45.97382826681573</c:v>
                </c:pt>
                <c:pt idx="72">
                  <c:v>46.24105171878719</c:v>
                </c:pt>
                <c:pt idx="73">
                  <c:v>46.505538287015789</c:v>
                </c:pt>
                <c:pt idx="74">
                  <c:v>46.766990784666106</c:v>
                </c:pt>
                <c:pt idx="75">
                  <c:v>47.025112056896262</c:v>
                </c:pt>
                <c:pt idx="76">
                  <c:v>47.279604977439377</c:v>
                </c:pt>
                <c:pt idx="77">
                  <c:v>47.530172459868332</c:v>
                </c:pt>
                <c:pt idx="78">
                  <c:v>47.778756906252092</c:v>
                </c:pt>
                <c:pt idx="79">
                  <c:v>48.027034103154953</c:v>
                </c:pt>
                <c:pt idx="80">
                  <c:v>48.274311618002635</c:v>
                </c:pt>
                <c:pt idx="81">
                  <c:v>48.51989651081351</c:v>
                </c:pt>
                <c:pt idx="82">
                  <c:v>48.763096009533683</c:v>
                </c:pt>
                <c:pt idx="83">
                  <c:v>49.003217516747419</c:v>
                </c:pt>
                <c:pt idx="84">
                  <c:v>49.239568618808214</c:v>
                </c:pt>
                <c:pt idx="85">
                  <c:v>49.471451423076587</c:v>
                </c:pt>
                <c:pt idx="86">
                  <c:v>49.698193817345462</c:v>
                </c:pt>
                <c:pt idx="87">
                  <c:v>49.919104020983454</c:v>
                </c:pt>
                <c:pt idx="88">
                  <c:v>50.133490475071184</c:v>
                </c:pt>
                <c:pt idx="89">
                  <c:v>50.340661846845464</c:v>
                </c:pt>
                <c:pt idx="90">
                  <c:v>50.539927046868527</c:v>
                </c:pt>
                <c:pt idx="91">
                  <c:v>50.730595228852806</c:v>
                </c:pt>
                <c:pt idx="92">
                  <c:v>50.912633737481428</c:v>
                </c:pt>
                <c:pt idx="93">
                  <c:v>51.086780052092514</c:v>
                </c:pt>
                <c:pt idx="94">
                  <c:v>51.253530220263293</c:v>
                </c:pt>
                <c:pt idx="95">
                  <c:v>51.413377481808439</c:v>
                </c:pt>
                <c:pt idx="96">
                  <c:v>51.56681493733447</c:v>
                </c:pt>
                <c:pt idx="97">
                  <c:v>51.714335549873617</c:v>
                </c:pt>
                <c:pt idx="98">
                  <c:v>51.856432137747703</c:v>
                </c:pt>
                <c:pt idx="99">
                  <c:v>51.99355598233835</c:v>
                </c:pt>
                <c:pt idx="100">
                  <c:v>52.126205125119014</c:v>
                </c:pt>
                <c:pt idx="101">
                  <c:v>52.254871499244722</c:v>
                </c:pt>
                <c:pt idx="102">
                  <c:v>52.380046844945653</c:v>
                </c:pt>
                <c:pt idx="103">
                  <c:v>52.502222712270118</c:v>
                </c:pt>
                <c:pt idx="104">
                  <c:v>52.621890457260307</c:v>
                </c:pt>
                <c:pt idx="105">
                  <c:v>52.739541235362545</c:v>
                </c:pt>
                <c:pt idx="106">
                  <c:v>52.854647484305943</c:v>
                </c:pt>
                <c:pt idx="107">
                  <c:v>52.966245040495103</c:v>
                </c:pt>
                <c:pt idx="108">
                  <c:v>53.074253800320534</c:v>
                </c:pt>
                <c:pt idx="109">
                  <c:v>53.178573357453359</c:v>
                </c:pt>
                <c:pt idx="110">
                  <c:v>53.27910329029551</c:v>
                </c:pt>
                <c:pt idx="111">
                  <c:v>53.375743183341626</c:v>
                </c:pt>
                <c:pt idx="112">
                  <c:v>53.468392659003364</c:v>
                </c:pt>
                <c:pt idx="113">
                  <c:v>53.556927465159717</c:v>
                </c:pt>
                <c:pt idx="114">
                  <c:v>53.641291682979315</c:v>
                </c:pt>
                <c:pt idx="115">
                  <c:v>53.721385434663915</c:v>
                </c:pt>
                <c:pt idx="116">
                  <c:v>53.797108911776981</c:v>
                </c:pt>
                <c:pt idx="117">
                  <c:v>53.868362380527628</c:v>
                </c:pt>
                <c:pt idx="118">
                  <c:v>53.93504619203393</c:v>
                </c:pt>
                <c:pt idx="119">
                  <c:v>53.997060789711767</c:v>
                </c:pt>
                <c:pt idx="120">
                  <c:v>54.053913020767176</c:v>
                </c:pt>
                <c:pt idx="121">
                  <c:v>54.105348904819735</c:v>
                </c:pt>
                <c:pt idx="122">
                  <c:v>54.151709637628201</c:v>
                </c:pt>
                <c:pt idx="123">
                  <c:v>54.193290284675058</c:v>
                </c:pt>
                <c:pt idx="124">
                  <c:v>54.230385898124943</c:v>
                </c:pt>
                <c:pt idx="125">
                  <c:v>54.263291520116219</c:v>
                </c:pt>
                <c:pt idx="126">
                  <c:v>54.29230218815438</c:v>
                </c:pt>
                <c:pt idx="127">
                  <c:v>54.317709876508218</c:v>
                </c:pt>
                <c:pt idx="128">
                  <c:v>54.339836549785943</c:v>
                </c:pt>
                <c:pt idx="129">
                  <c:v>54.358977965019896</c:v>
                </c:pt>
                <c:pt idx="130">
                  <c:v>54.375429924184495</c:v>
                </c:pt>
                <c:pt idx="131">
                  <c:v>54.389488285134874</c:v>
                </c:pt>
                <c:pt idx="132">
                  <c:v>54.401448961168811</c:v>
                </c:pt>
                <c:pt idx="133">
                  <c:v>54.41160792702977</c:v>
                </c:pt>
                <c:pt idx="134">
                  <c:v>54.419311355086343</c:v>
                </c:pt>
                <c:pt idx="135">
                  <c:v>54.423777696661951</c:v>
                </c:pt>
                <c:pt idx="136">
                  <c:v>54.425134655340621</c:v>
                </c:pt>
                <c:pt idx="137">
                  <c:v>54.423483900788156</c:v>
                </c:pt>
                <c:pt idx="138">
                  <c:v>54.418927313875777</c:v>
                </c:pt>
                <c:pt idx="139">
                  <c:v>54.411566985292652</c:v>
                </c:pt>
                <c:pt idx="140">
                  <c:v>54.401505216888566</c:v>
                </c:pt>
                <c:pt idx="141">
                  <c:v>54.388839783201739</c:v>
                </c:pt>
                <c:pt idx="142">
                  <c:v>54.373676805676546</c:v>
                </c:pt>
                <c:pt idx="143">
                  <c:v>54.356119287030033</c:v>
                </c:pt>
                <c:pt idx="144">
                  <c:v>54.336269867612984</c:v>
                </c:pt>
                <c:pt idx="145">
                  <c:v>54.314231324036008</c:v>
                </c:pt>
                <c:pt idx="146">
                  <c:v>54.290106563421318</c:v>
                </c:pt>
                <c:pt idx="147">
                  <c:v>54.263998608632363</c:v>
                </c:pt>
                <c:pt idx="148">
                  <c:v>54.235977890102809</c:v>
                </c:pt>
                <c:pt idx="149">
                  <c:v>54.206033668896453</c:v>
                </c:pt>
                <c:pt idx="150">
                  <c:v>54.174070560078441</c:v>
                </c:pt>
                <c:pt idx="151">
                  <c:v>54.139997009179986</c:v>
                </c:pt>
                <c:pt idx="152">
                  <c:v>54.103721589255279</c:v>
                </c:pt>
                <c:pt idx="153">
                  <c:v>54.065152977241013</c:v>
                </c:pt>
                <c:pt idx="154">
                  <c:v>54.024199931054874</c:v>
                </c:pt>
                <c:pt idx="155">
                  <c:v>53.98087907415097</c:v>
                </c:pt>
                <c:pt idx="156">
                  <c:v>53.935110116786184</c:v>
                </c:pt>
                <c:pt idx="157">
                  <c:v>53.886806158844841</c:v>
                </c:pt>
                <c:pt idx="158">
                  <c:v>53.835880258852981</c:v>
                </c:pt>
                <c:pt idx="159">
                  <c:v>53.78224539749403</c:v>
                </c:pt>
                <c:pt idx="160">
                  <c:v>53.72581443377203</c:v>
                </c:pt>
                <c:pt idx="161">
                  <c:v>53.66650006805267</c:v>
                </c:pt>
                <c:pt idx="162">
                  <c:v>53.603610943810025</c:v>
                </c:pt>
                <c:pt idx="163">
                  <c:v>53.536848668806272</c:v>
                </c:pt>
                <c:pt idx="164">
                  <c:v>53.466559951775132</c:v>
                </c:pt>
                <c:pt idx="165">
                  <c:v>53.393145619320286</c:v>
                </c:pt>
                <c:pt idx="166">
                  <c:v>53.317005917738747</c:v>
                </c:pt>
                <c:pt idx="167">
                  <c:v>53.238540498197196</c:v>
                </c:pt>
                <c:pt idx="168">
                  <c:v>53.158148390910732</c:v>
                </c:pt>
                <c:pt idx="169">
                  <c:v>53.076295999033803</c:v>
                </c:pt>
                <c:pt idx="170">
                  <c:v>52.993256045699141</c:v>
                </c:pt>
                <c:pt idx="171">
                  <c:v>52.909422956239126</c:v>
                </c:pt>
                <c:pt idx="172">
                  <c:v>52.825190555066314</c:v>
                </c:pt>
                <c:pt idx="173">
                  <c:v>52.7409540599255</c:v>
                </c:pt>
                <c:pt idx="174">
                  <c:v>52.657108244527436</c:v>
                </c:pt>
                <c:pt idx="175">
                  <c:v>52.574045378162729</c:v>
                </c:pt>
                <c:pt idx="176">
                  <c:v>52.491179392421124</c:v>
                </c:pt>
                <c:pt idx="177">
                  <c:v>52.407796112065071</c:v>
                </c:pt>
                <c:pt idx="178">
                  <c:v>52.323828925131153</c:v>
                </c:pt>
                <c:pt idx="179">
                  <c:v>52.239279852035331</c:v>
                </c:pt>
                <c:pt idx="180">
                  <c:v>52.154150431355731</c:v>
                </c:pt>
                <c:pt idx="181">
                  <c:v>52.068441732653781</c:v>
                </c:pt>
                <c:pt idx="182">
                  <c:v>51.982154374745512</c:v>
                </c:pt>
                <c:pt idx="183">
                  <c:v>51.895350344819391</c:v>
                </c:pt>
                <c:pt idx="184">
                  <c:v>51.807959908584792</c:v>
                </c:pt>
                <c:pt idx="185">
                  <c:v>51.719982842296588</c:v>
                </c:pt>
                <c:pt idx="186">
                  <c:v>51.631418556977891</c:v>
                </c:pt>
                <c:pt idx="187">
                  <c:v>51.542266124659122</c:v>
                </c:pt>
                <c:pt idx="188">
                  <c:v>51.452524306805017</c:v>
                </c:pt>
                <c:pt idx="189">
                  <c:v>51.362191583960929</c:v>
                </c:pt>
                <c:pt idx="190">
                  <c:v>51.270843015982557</c:v>
                </c:pt>
                <c:pt idx="191">
                  <c:v>51.178171151733693</c:v>
                </c:pt>
                <c:pt idx="192">
                  <c:v>51.084224962573742</c:v>
                </c:pt>
                <c:pt idx="193">
                  <c:v>50.989195534325653</c:v>
                </c:pt>
                <c:pt idx="194">
                  <c:v>50.893273912228878</c:v>
                </c:pt>
                <c:pt idx="195">
                  <c:v>50.796651124719205</c:v>
                </c:pt>
                <c:pt idx="196">
                  <c:v>50.699518207702653</c:v>
                </c:pt>
                <c:pt idx="197">
                  <c:v>50.602074046569854</c:v>
                </c:pt>
                <c:pt idx="198">
                  <c:v>50.50444572484087</c:v>
                </c:pt>
                <c:pt idx="199">
                  <c:v>50.406824248340641</c:v>
                </c:pt>
                <c:pt idx="200">
                  <c:v>50.309400728088697</c:v>
                </c:pt>
                <c:pt idx="201">
                  <c:v>50.212366391338549</c:v>
                </c:pt>
                <c:pt idx="202">
                  <c:v>50.115912591185165</c:v>
                </c:pt>
                <c:pt idx="203">
                  <c:v>50.020230814494049</c:v>
                </c:pt>
                <c:pt idx="204">
                  <c:v>49.925236492364853</c:v>
                </c:pt>
                <c:pt idx="205">
                  <c:v>49.830646525682397</c:v>
                </c:pt>
                <c:pt idx="206">
                  <c:v>49.736374374021942</c:v>
                </c:pt>
                <c:pt idx="207">
                  <c:v>49.642319975314756</c:v>
                </c:pt>
                <c:pt idx="208">
                  <c:v>49.548383464949879</c:v>
                </c:pt>
                <c:pt idx="209">
                  <c:v>49.454465173634389</c:v>
                </c:pt>
                <c:pt idx="210">
                  <c:v>49.360465624226627</c:v>
                </c:pt>
                <c:pt idx="211">
                  <c:v>49.266243614920072</c:v>
                </c:pt>
                <c:pt idx="212">
                  <c:v>49.171691533734524</c:v>
                </c:pt>
                <c:pt idx="213">
                  <c:v>49.076710260808682</c:v>
                </c:pt>
                <c:pt idx="214">
                  <c:v>48.98120086541384</c:v>
                </c:pt>
                <c:pt idx="215">
                  <c:v>48.885064597875761</c:v>
                </c:pt>
                <c:pt idx="216">
                  <c:v>48.788202879788066</c:v>
                </c:pt>
                <c:pt idx="217">
                  <c:v>48.690517295914475</c:v>
                </c:pt>
                <c:pt idx="218">
                  <c:v>48.5919788427776</c:v>
                </c:pt>
                <c:pt idx="219">
                  <c:v>48.492631998075339</c:v>
                </c:pt>
                <c:pt idx="220">
                  <c:v>48.392560237800303</c:v>
                </c:pt>
                <c:pt idx="221">
                  <c:v>48.291843457255133</c:v>
                </c:pt>
                <c:pt idx="222">
                  <c:v>48.19056163332295</c:v>
                </c:pt>
                <c:pt idx="223">
                  <c:v>48.088794816354209</c:v>
                </c:pt>
                <c:pt idx="224">
                  <c:v>47.986623122704387</c:v>
                </c:pt>
                <c:pt idx="225">
                  <c:v>47.884043504365401</c:v>
                </c:pt>
                <c:pt idx="226">
                  <c:v>47.781178424546439</c:v>
                </c:pt>
                <c:pt idx="227">
                  <c:v>47.678108133493353</c:v>
                </c:pt>
                <c:pt idx="228">
                  <c:v>47.574912929793101</c:v>
                </c:pt>
                <c:pt idx="229">
                  <c:v>47.471673154982092</c:v>
                </c:pt>
                <c:pt idx="230">
                  <c:v>47.368469189562276</c:v>
                </c:pt>
                <c:pt idx="231">
                  <c:v>47.265381449097617</c:v>
                </c:pt>
                <c:pt idx="232">
                  <c:v>47.163269451179865</c:v>
                </c:pt>
                <c:pt idx="233">
                  <c:v>47.062553481444517</c:v>
                </c:pt>
                <c:pt idx="234">
                  <c:v>46.962826582160197</c:v>
                </c:pt>
                <c:pt idx="235">
                  <c:v>46.863636497404016</c:v>
                </c:pt>
                <c:pt idx="236">
                  <c:v>46.764531139468957</c:v>
                </c:pt>
                <c:pt idx="237">
                  <c:v>46.665058606460171</c:v>
                </c:pt>
                <c:pt idx="238">
                  <c:v>46.564767165917296</c:v>
                </c:pt>
                <c:pt idx="239">
                  <c:v>46.463165795761171</c:v>
                </c:pt>
                <c:pt idx="240">
                  <c:v>46.359886363889842</c:v>
                </c:pt>
                <c:pt idx="241">
                  <c:v>46.254477599003955</c:v>
                </c:pt>
                <c:pt idx="242">
                  <c:v>46.146488382615871</c:v>
                </c:pt>
                <c:pt idx="243">
                  <c:v>46.035467750565743</c:v>
                </c:pt>
                <c:pt idx="244">
                  <c:v>45.920964890283166</c:v>
                </c:pt>
                <c:pt idx="245">
                  <c:v>45.802529143083156</c:v>
                </c:pt>
                <c:pt idx="246">
                  <c:v>45.681476137345818</c:v>
                </c:pt>
                <c:pt idx="247">
                  <c:v>45.559210983796163</c:v>
                </c:pt>
                <c:pt idx="248">
                  <c:v>45.435524690192175</c:v>
                </c:pt>
                <c:pt idx="249">
                  <c:v>45.310124749484274</c:v>
                </c:pt>
                <c:pt idx="250">
                  <c:v>45.182718763939725</c:v>
                </c:pt>
                <c:pt idx="251">
                  <c:v>45.053014440871564</c:v>
                </c:pt>
                <c:pt idx="252">
                  <c:v>44.920719596439127</c:v>
                </c:pt>
                <c:pt idx="253">
                  <c:v>44.785530341208919</c:v>
                </c:pt>
                <c:pt idx="254">
                  <c:v>44.64719378239306</c:v>
                </c:pt>
                <c:pt idx="255">
                  <c:v>44.505417943047448</c:v>
                </c:pt>
                <c:pt idx="256">
                  <c:v>44.359910934395977</c:v>
                </c:pt>
                <c:pt idx="257">
                  <c:v>44.21038094770082</c:v>
                </c:pt>
                <c:pt idx="258">
                  <c:v>44.056536255988313</c:v>
                </c:pt>
                <c:pt idx="259">
                  <c:v>43.898085200037173</c:v>
                </c:pt>
                <c:pt idx="260">
                  <c:v>43.735328633534429</c:v>
                </c:pt>
                <c:pt idx="261">
                  <c:v>43.568770972238333</c:v>
                </c:pt>
                <c:pt idx="262">
                  <c:v>43.398494810960798</c:v>
                </c:pt>
                <c:pt idx="263">
                  <c:v>43.224567071251684</c:v>
                </c:pt>
                <c:pt idx="264">
                  <c:v>43.047054658939395</c:v>
                </c:pt>
                <c:pt idx="265">
                  <c:v>42.866024346462993</c:v>
                </c:pt>
                <c:pt idx="266">
                  <c:v>42.681542923710523</c:v>
                </c:pt>
                <c:pt idx="267">
                  <c:v>42.493687375989737</c:v>
                </c:pt>
                <c:pt idx="268">
                  <c:v>42.302536023484024</c:v>
                </c:pt>
                <c:pt idx="269">
                  <c:v>42.108155482228192</c:v>
                </c:pt>
                <c:pt idx="270">
                  <c:v>41.91061229825366</c:v>
                </c:pt>
                <c:pt idx="271">
                  <c:v>41.709972938447777</c:v>
                </c:pt>
                <c:pt idx="272">
                  <c:v>41.506303786633211</c:v>
                </c:pt>
                <c:pt idx="273">
                  <c:v>41.299671131503182</c:v>
                </c:pt>
                <c:pt idx="274">
                  <c:v>41.089522021096357</c:v>
                </c:pt>
                <c:pt idx="275">
                  <c:v>40.875460961793088</c:v>
                </c:pt>
                <c:pt idx="276">
                  <c:v>40.657733164175582</c:v>
                </c:pt>
                <c:pt idx="277">
                  <c:v>40.436549153419804</c:v>
                </c:pt>
                <c:pt idx="278">
                  <c:v>40.212119218514424</c:v>
                </c:pt>
                <c:pt idx="279">
                  <c:v>39.984653410286995</c:v>
                </c:pt>
                <c:pt idx="280">
                  <c:v>39.754361531403987</c:v>
                </c:pt>
                <c:pt idx="281">
                  <c:v>39.521476017875067</c:v>
                </c:pt>
                <c:pt idx="282">
                  <c:v>39.286196140869968</c:v>
                </c:pt>
                <c:pt idx="283">
                  <c:v>39.048730759615545</c:v>
                </c:pt>
                <c:pt idx="284">
                  <c:v>38.809288462524854</c:v>
                </c:pt>
                <c:pt idx="285">
                  <c:v>38.568077569552607</c:v>
                </c:pt>
                <c:pt idx="286">
                  <c:v>38.32530613510604</c:v>
                </c:pt>
                <c:pt idx="287">
                  <c:v>38.081181951216529</c:v>
                </c:pt>
                <c:pt idx="288">
                  <c:v>37.83559652095726</c:v>
                </c:pt>
                <c:pt idx="289">
                  <c:v>37.58823526534043</c:v>
                </c:pt>
                <c:pt idx="290">
                  <c:v>37.338940761059227</c:v>
                </c:pt>
                <c:pt idx="291">
                  <c:v>37.087613073645251</c:v>
                </c:pt>
                <c:pt idx="292">
                  <c:v>36.834152101105914</c:v>
                </c:pt>
                <c:pt idx="293">
                  <c:v>36.578457583564266</c:v>
                </c:pt>
                <c:pt idx="294">
                  <c:v>36.320429112976157</c:v>
                </c:pt>
                <c:pt idx="295">
                  <c:v>36.059962244177271</c:v>
                </c:pt>
                <c:pt idx="296">
                  <c:v>35.796934804055745</c:v>
                </c:pt>
                <c:pt idx="297">
                  <c:v>35.531246258443538</c:v>
                </c:pt>
                <c:pt idx="298">
                  <c:v>35.262796248413565</c:v>
                </c:pt>
                <c:pt idx="299">
                  <c:v>34.991484355956423</c:v>
                </c:pt>
                <c:pt idx="300">
                  <c:v>34.717210115647887</c:v>
                </c:pt>
                <c:pt idx="301">
                  <c:v>34.439873033304814</c:v>
                </c:pt>
                <c:pt idx="302">
                  <c:v>34.156669369921502</c:v>
                </c:pt>
                <c:pt idx="303">
                  <c:v>33.865758452786743</c:v>
                </c:pt>
                <c:pt idx="304">
                  <c:v>33.568497463260051</c:v>
                </c:pt>
                <c:pt idx="305">
                  <c:v>33.266242966181366</c:v>
                </c:pt>
                <c:pt idx="306">
                  <c:v>32.96035157674622</c:v>
                </c:pt>
                <c:pt idx="307">
                  <c:v>32.652179983644288</c:v>
                </c:pt>
                <c:pt idx="308">
                  <c:v>32.343084964031299</c:v>
                </c:pt>
                <c:pt idx="309">
                  <c:v>32.03440215811743</c:v>
                </c:pt>
                <c:pt idx="310">
                  <c:v>31.727492535640742</c:v>
                </c:pt>
                <c:pt idx="311">
                  <c:v>31.423713581773878</c:v>
                </c:pt>
                <c:pt idx="312">
                  <c:v>31.124422904113075</c:v>
                </c:pt>
                <c:pt idx="313">
                  <c:v>30.8309782271918</c:v>
                </c:pt>
                <c:pt idx="314">
                  <c:v>30.544737394669497</c:v>
                </c:pt>
                <c:pt idx="315">
                  <c:v>30.267058357943188</c:v>
                </c:pt>
                <c:pt idx="316">
                  <c:v>29.995058371851048</c:v>
                </c:pt>
                <c:pt idx="317">
                  <c:v>29.72512638880178</c:v>
                </c:pt>
                <c:pt idx="318">
                  <c:v>29.457658712422468</c:v>
                </c:pt>
                <c:pt idx="319">
                  <c:v>29.19304421334823</c:v>
                </c:pt>
                <c:pt idx="320">
                  <c:v>28.931671844835549</c:v>
                </c:pt>
                <c:pt idx="321">
                  <c:v>28.673930640499247</c:v>
                </c:pt>
                <c:pt idx="322">
                  <c:v>28.420209693839428</c:v>
                </c:pt>
                <c:pt idx="323">
                  <c:v>28.170874298175615</c:v>
                </c:pt>
                <c:pt idx="324">
                  <c:v>27.926333277760175</c:v>
                </c:pt>
                <c:pt idx="325">
                  <c:v>27.686975924120812</c:v>
                </c:pt>
                <c:pt idx="326">
                  <c:v>27.453191729038963</c:v>
                </c:pt>
                <c:pt idx="327">
                  <c:v>27.225370084509596</c:v>
                </c:pt>
                <c:pt idx="328">
                  <c:v>27.003900233623948</c:v>
                </c:pt>
                <c:pt idx="329">
                  <c:v>26.789171388510006</c:v>
                </c:pt>
                <c:pt idx="330">
                  <c:v>26.577025370301225</c:v>
                </c:pt>
                <c:pt idx="331">
                  <c:v>26.364240212329175</c:v>
                </c:pt>
                <c:pt idx="332">
                  <c:v>26.152540704691255</c:v>
                </c:pt>
                <c:pt idx="333">
                  <c:v>25.943576346171053</c:v>
                </c:pt>
                <c:pt idx="334">
                  <c:v>25.738996673723388</c:v>
                </c:pt>
                <c:pt idx="335">
                  <c:v>25.540451221631592</c:v>
                </c:pt>
                <c:pt idx="336">
                  <c:v>25.349589495248736</c:v>
                </c:pt>
                <c:pt idx="337">
                  <c:v>25.16810248182362</c:v>
                </c:pt>
                <c:pt idx="338">
                  <c:v>24.997661215346046</c:v>
                </c:pt>
                <c:pt idx="339">
                  <c:v>24.839914281589646</c:v>
                </c:pt>
                <c:pt idx="340">
                  <c:v>24.696510169361662</c:v>
                </c:pt>
                <c:pt idx="341">
                  <c:v>24.569097266332598</c:v>
                </c:pt>
                <c:pt idx="342">
                  <c:v>24.459323820173719</c:v>
                </c:pt>
                <c:pt idx="343">
                  <c:v>24.368837889512097</c:v>
                </c:pt>
                <c:pt idx="344">
                  <c:v>24.296171592179949</c:v>
                </c:pt>
                <c:pt idx="345">
                  <c:v>24.238447147688142</c:v>
                </c:pt>
                <c:pt idx="346">
                  <c:v>24.195085201259261</c:v>
                </c:pt>
                <c:pt idx="347">
                  <c:v>24.165619811880859</c:v>
                </c:pt>
                <c:pt idx="348">
                  <c:v>24.149585076004904</c:v>
                </c:pt>
                <c:pt idx="349">
                  <c:v>24.146515122100489</c:v>
                </c:pt>
                <c:pt idx="350">
                  <c:v>24.155944123077386</c:v>
                </c:pt>
                <c:pt idx="351">
                  <c:v>24.177383397593218</c:v>
                </c:pt>
                <c:pt idx="352">
                  <c:v>24.210327258973081</c:v>
                </c:pt>
                <c:pt idx="353">
                  <c:v>24.254310210444839</c:v>
                </c:pt>
                <c:pt idx="354">
                  <c:v>24.308866751064372</c:v>
                </c:pt>
                <c:pt idx="355">
                  <c:v>24.373531371204859</c:v>
                </c:pt>
                <c:pt idx="356">
                  <c:v>24.447838911401764</c:v>
                </c:pt>
                <c:pt idx="357">
                  <c:v>24.531323545036106</c:v>
                </c:pt>
                <c:pt idx="358">
                  <c:v>24.62797300871647</c:v>
                </c:pt>
                <c:pt idx="359">
                  <c:v>24.741144320045741</c:v>
                </c:pt>
                <c:pt idx="360">
                  <c:v>24.869465981501431</c:v>
                </c:pt>
                <c:pt idx="361">
                  <c:v>25.011549594810756</c:v>
                </c:pt>
                <c:pt idx="362">
                  <c:v>25.165984262462203</c:v>
                </c:pt>
                <c:pt idx="363">
                  <c:v>25.331359336998272</c:v>
                </c:pt>
                <c:pt idx="364">
                  <c:v>25.506264416841923</c:v>
                </c:pt>
                <c:pt idx="365">
                  <c:v>25.689289349219596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12.042</c:v>
                </c:pt>
                <c:pt idx="1">
                  <c:v>23.951000000000001</c:v>
                </c:pt>
                <c:pt idx="2">
                  <c:v>8.7759999999999998</c:v>
                </c:pt>
                <c:pt idx="3">
                  <c:v>6.4189999999999996</c:v>
                </c:pt>
                <c:pt idx="4">
                  <c:v>14.082000000000001</c:v>
                </c:pt>
                <c:pt idx="5">
                  <c:v>26.297999999999998</c:v>
                </c:pt>
                <c:pt idx="6">
                  <c:v>7.2960000000000003</c:v>
                </c:pt>
                <c:pt idx="7">
                  <c:v>11.561999999999999</c:v>
                </c:pt>
                <c:pt idx="8">
                  <c:v>25.681999999999999</c:v>
                </c:pt>
                <c:pt idx="9">
                  <c:v>8.1850000000000005</c:v>
                </c:pt>
                <c:pt idx="10">
                  <c:v>27.814</c:v>
                </c:pt>
                <c:pt idx="11">
                  <c:v>27.896000000000001</c:v>
                </c:pt>
                <c:pt idx="12">
                  <c:v>15.74</c:v>
                </c:pt>
                <c:pt idx="13">
                  <c:v>26.937999999999999</c:v>
                </c:pt>
                <c:pt idx="14">
                  <c:v>22.309000000000001</c:v>
                </c:pt>
                <c:pt idx="15">
                  <c:v>27.503</c:v>
                </c:pt>
                <c:pt idx="16">
                  <c:v>4.4189999999999996</c:v>
                </c:pt>
                <c:pt idx="17">
                  <c:v>20.774999999999999</c:v>
                </c:pt>
                <c:pt idx="18">
                  <c:v>27.963999999999999</c:v>
                </c:pt>
                <c:pt idx="19">
                  <c:v>11.042999999999999</c:v>
                </c:pt>
                <c:pt idx="20">
                  <c:v>4.0069999999999997</c:v>
                </c:pt>
                <c:pt idx="21">
                  <c:v>1.982</c:v>
                </c:pt>
                <c:pt idx="22">
                  <c:v>14.2</c:v>
                </c:pt>
                <c:pt idx="23">
                  <c:v>15.438000000000001</c:v>
                </c:pt>
                <c:pt idx="24">
                  <c:v>17.105</c:v>
                </c:pt>
                <c:pt idx="25">
                  <c:v>7.2969999999999997</c:v>
                </c:pt>
                <c:pt idx="26">
                  <c:v>10.266999999999999</c:v>
                </c:pt>
                <c:pt idx="27">
                  <c:v>15.191000000000001</c:v>
                </c:pt>
                <c:pt idx="28">
                  <c:v>20.727</c:v>
                </c:pt>
                <c:pt idx="29">
                  <c:v>9.5980000000000008</c:v>
                </c:pt>
                <c:pt idx="30">
                  <c:v>24.128</c:v>
                </c:pt>
                <c:pt idx="31">
                  <c:v>14.878</c:v>
                </c:pt>
                <c:pt idx="32">
                  <c:v>28.776</c:v>
                </c:pt>
                <c:pt idx="33">
                  <c:v>26.414000000000001</c:v>
                </c:pt>
                <c:pt idx="34">
                  <c:v>17.2</c:v>
                </c:pt>
                <c:pt idx="35">
                  <c:v>34.588000000000001</c:v>
                </c:pt>
                <c:pt idx="36">
                  <c:v>36.569000000000003</c:v>
                </c:pt>
                <c:pt idx="37">
                  <c:v>23.27</c:v>
                </c:pt>
                <c:pt idx="38">
                  <c:v>28.445</c:v>
                </c:pt>
                <c:pt idx="39">
                  <c:v>26.402999999999999</c:v>
                </c:pt>
                <c:pt idx="40">
                  <c:v>7.3179999999999996</c:v>
                </c:pt>
                <c:pt idx="41">
                  <c:v>6.9290000000000003</c:v>
                </c:pt>
                <c:pt idx="42">
                  <c:v>19.186</c:v>
                </c:pt>
                <c:pt idx="43">
                  <c:v>17.577999999999999</c:v>
                </c:pt>
                <c:pt idx="44">
                  <c:v>28.763000000000002</c:v>
                </c:pt>
                <c:pt idx="45">
                  <c:v>36.554000000000002</c:v>
                </c:pt>
                <c:pt idx="46">
                  <c:v>21.596</c:v>
                </c:pt>
                <c:pt idx="47">
                  <c:v>5.7039999999999997</c:v>
                </c:pt>
                <c:pt idx="48">
                  <c:v>34.369999999999997</c:v>
                </c:pt>
                <c:pt idx="49">
                  <c:v>30.841999999999999</c:v>
                </c:pt>
                <c:pt idx="50">
                  <c:v>39.555999999999997</c:v>
                </c:pt>
                <c:pt idx="51">
                  <c:v>16.716000000000001</c:v>
                </c:pt>
                <c:pt idx="52">
                  <c:v>37.956000000000003</c:v>
                </c:pt>
                <c:pt idx="53">
                  <c:v>39.493000000000002</c:v>
                </c:pt>
                <c:pt idx="54">
                  <c:v>40.56</c:v>
                </c:pt>
                <c:pt idx="55">
                  <c:v>13.7</c:v>
                </c:pt>
                <c:pt idx="56">
                  <c:v>15.178000000000001</c:v>
                </c:pt>
                <c:pt idx="57">
                  <c:v>4.6109999999999998</c:v>
                </c:pt>
                <c:pt idx="58">
                  <c:v>19.128</c:v>
                </c:pt>
                <c:pt idx="59">
                  <c:v>15.359</c:v>
                </c:pt>
                <c:pt idx="60">
                  <c:v>30.271000000000001</c:v>
                </c:pt>
                <c:pt idx="61">
                  <c:v>21.905999999999999</c:v>
                </c:pt>
                <c:pt idx="62">
                  <c:v>5.0540000000000003</c:v>
                </c:pt>
                <c:pt idx="63">
                  <c:v>7.1740000000000004</c:v>
                </c:pt>
                <c:pt idx="64">
                  <c:v>10.196</c:v>
                </c:pt>
                <c:pt idx="65">
                  <c:v>17.263000000000002</c:v>
                </c:pt>
                <c:pt idx="66">
                  <c:v>29.140999999999998</c:v>
                </c:pt>
                <c:pt idx="67">
                  <c:v>33.134999999999998</c:v>
                </c:pt>
                <c:pt idx="68">
                  <c:v>24.3</c:v>
                </c:pt>
                <c:pt idx="69">
                  <c:v>32.557000000000002</c:v>
                </c:pt>
                <c:pt idx="70">
                  <c:v>39.25</c:v>
                </c:pt>
                <c:pt idx="71">
                  <c:v>15.474</c:v>
                </c:pt>
                <c:pt idx="72">
                  <c:v>33.856999999999999</c:v>
                </c:pt>
                <c:pt idx="73">
                  <c:v>32.075000000000003</c:v>
                </c:pt>
                <c:pt idx="74">
                  <c:v>47.966000000000001</c:v>
                </c:pt>
                <c:pt idx="75">
                  <c:v>7.3940000000000001</c:v>
                </c:pt>
                <c:pt idx="76">
                  <c:v>11.38</c:v>
                </c:pt>
                <c:pt idx="77">
                  <c:v>42.963000000000001</c:v>
                </c:pt>
                <c:pt idx="78">
                  <c:v>43.72</c:v>
                </c:pt>
                <c:pt idx="79">
                  <c:v>47.05</c:v>
                </c:pt>
                <c:pt idx="80">
                  <c:v>45.137</c:v>
                </c:pt>
                <c:pt idx="81">
                  <c:v>34.767000000000003</c:v>
                </c:pt>
                <c:pt idx="82">
                  <c:v>36.328000000000003</c:v>
                </c:pt>
                <c:pt idx="83">
                  <c:v>43.63</c:v>
                </c:pt>
                <c:pt idx="84">
                  <c:v>49.701999999999998</c:v>
                </c:pt>
                <c:pt idx="85">
                  <c:v>31.452000000000002</c:v>
                </c:pt>
                <c:pt idx="86">
                  <c:v>46.645000000000003</c:v>
                </c:pt>
                <c:pt idx="87">
                  <c:v>45.598999999999997</c:v>
                </c:pt>
                <c:pt idx="88">
                  <c:v>32.200000000000003</c:v>
                </c:pt>
                <c:pt idx="89">
                  <c:v>18.411000000000001</c:v>
                </c:pt>
                <c:pt idx="90">
                  <c:v>42.649000000000001</c:v>
                </c:pt>
                <c:pt idx="91">
                  <c:v>40.764000000000003</c:v>
                </c:pt>
                <c:pt idx="92">
                  <c:v>23.545999999999999</c:v>
                </c:pt>
                <c:pt idx="93">
                  <c:v>51.075000000000003</c:v>
                </c:pt>
                <c:pt idx="94">
                  <c:v>53.375</c:v>
                </c:pt>
                <c:pt idx="95">
                  <c:v>52.847000000000001</c:v>
                </c:pt>
                <c:pt idx="96">
                  <c:v>25.571000000000002</c:v>
                </c:pt>
                <c:pt idx="97">
                  <c:v>33.348999999999997</c:v>
                </c:pt>
                <c:pt idx="98">
                  <c:v>39.085999999999999</c:v>
                </c:pt>
                <c:pt idx="99">
                  <c:v>51.713999999999999</c:v>
                </c:pt>
                <c:pt idx="100">
                  <c:v>52.128</c:v>
                </c:pt>
                <c:pt idx="101">
                  <c:v>51.448</c:v>
                </c:pt>
                <c:pt idx="102">
                  <c:v>40.603999999999999</c:v>
                </c:pt>
                <c:pt idx="103">
                  <c:v>16.279</c:v>
                </c:pt>
                <c:pt idx="104">
                  <c:v>49.320999999999998</c:v>
                </c:pt>
                <c:pt idx="105">
                  <c:v>48.87</c:v>
                </c:pt>
                <c:pt idx="106">
                  <c:v>41.332000000000001</c:v>
                </c:pt>
                <c:pt idx="107">
                  <c:v>29.709</c:v>
                </c:pt>
                <c:pt idx="108">
                  <c:v>40.918999999999997</c:v>
                </c:pt>
                <c:pt idx="109">
                  <c:v>16.091999999999999</c:v>
                </c:pt>
                <c:pt idx="110">
                  <c:v>11.981</c:v>
                </c:pt>
                <c:pt idx="111">
                  <c:v>16.161999999999999</c:v>
                </c:pt>
                <c:pt idx="112">
                  <c:v>8.4570000000000007</c:v>
                </c:pt>
                <c:pt idx="113">
                  <c:v>14.967000000000001</c:v>
                </c:pt>
                <c:pt idx="114">
                  <c:v>50.667000000000002</c:v>
                </c:pt>
                <c:pt idx="115">
                  <c:v>42.76</c:v>
                </c:pt>
                <c:pt idx="116">
                  <c:v>21.02</c:v>
                </c:pt>
                <c:pt idx="117">
                  <c:v>19.497</c:v>
                </c:pt>
                <c:pt idx="118">
                  <c:v>31.262</c:v>
                </c:pt>
                <c:pt idx="119">
                  <c:v>50.244999999999997</c:v>
                </c:pt>
                <c:pt idx="120">
                  <c:v>39.390999999999998</c:v>
                </c:pt>
                <c:pt idx="121">
                  <c:v>18.920000000000002</c:v>
                </c:pt>
                <c:pt idx="122">
                  <c:v>31.760999999999999</c:v>
                </c:pt>
                <c:pt idx="123">
                  <c:v>51.161000000000001</c:v>
                </c:pt>
                <c:pt idx="124">
                  <c:v>53.405999999999999</c:v>
                </c:pt>
                <c:pt idx="125">
                  <c:v>47.170999999999999</c:v>
                </c:pt>
                <c:pt idx="126">
                  <c:v>52.268999999999998</c:v>
                </c:pt>
                <c:pt idx="127">
                  <c:v>46.887</c:v>
                </c:pt>
                <c:pt idx="128">
                  <c:v>46.526000000000003</c:v>
                </c:pt>
                <c:pt idx="129">
                  <c:v>44.570999999999998</c:v>
                </c:pt>
                <c:pt idx="130">
                  <c:v>11.074999999999999</c:v>
                </c:pt>
                <c:pt idx="131">
                  <c:v>5.359</c:v>
                </c:pt>
                <c:pt idx="132">
                  <c:v>18.669</c:v>
                </c:pt>
                <c:pt idx="133">
                  <c:v>29.655999999999999</c:v>
                </c:pt>
                <c:pt idx="134">
                  <c:v>17.96</c:v>
                </c:pt>
                <c:pt idx="135">
                  <c:v>15.401</c:v>
                </c:pt>
                <c:pt idx="136">
                  <c:v>31.707000000000001</c:v>
                </c:pt>
                <c:pt idx="137">
                  <c:v>54.311</c:v>
                </c:pt>
                <c:pt idx="138">
                  <c:v>54.438000000000002</c:v>
                </c:pt>
                <c:pt idx="139">
                  <c:v>51.847000000000001</c:v>
                </c:pt>
                <c:pt idx="140">
                  <c:v>53.027999999999999</c:v>
                </c:pt>
                <c:pt idx="141">
                  <c:v>49.594000000000001</c:v>
                </c:pt>
                <c:pt idx="142">
                  <c:v>49.110999999999997</c:v>
                </c:pt>
                <c:pt idx="143">
                  <c:v>16.334</c:v>
                </c:pt>
                <c:pt idx="144">
                  <c:v>49.579000000000001</c:v>
                </c:pt>
                <c:pt idx="145">
                  <c:v>53.499000000000002</c:v>
                </c:pt>
                <c:pt idx="146">
                  <c:v>53.119</c:v>
                </c:pt>
                <c:pt idx="147">
                  <c:v>52.438000000000002</c:v>
                </c:pt>
                <c:pt idx="148">
                  <c:v>52.661000000000001</c:v>
                </c:pt>
                <c:pt idx="149">
                  <c:v>51.375</c:v>
                </c:pt>
                <c:pt idx="150">
                  <c:v>53.113</c:v>
                </c:pt>
                <c:pt idx="151">
                  <c:v>54.371000000000002</c:v>
                </c:pt>
                <c:pt idx="152">
                  <c:v>25.518999999999998</c:v>
                </c:pt>
                <c:pt idx="153">
                  <c:v>48.021000000000001</c:v>
                </c:pt>
                <c:pt idx="154">
                  <c:v>24.585999999999999</c:v>
                </c:pt>
                <c:pt idx="155">
                  <c:v>32.959000000000003</c:v>
                </c:pt>
                <c:pt idx="156">
                  <c:v>19.620999999999999</c:v>
                </c:pt>
                <c:pt idx="157">
                  <c:v>23.69</c:v>
                </c:pt>
                <c:pt idx="158">
                  <c:v>33.296999999999997</c:v>
                </c:pt>
                <c:pt idx="159">
                  <c:v>40.067999999999998</c:v>
                </c:pt>
                <c:pt idx="160">
                  <c:v>27.266999999999999</c:v>
                </c:pt>
                <c:pt idx="161">
                  <c:v>39.584000000000003</c:v>
                </c:pt>
                <c:pt idx="162">
                  <c:v>23.728999999999999</c:v>
                </c:pt>
                <c:pt idx="163">
                  <c:v>47.293999999999997</c:v>
                </c:pt>
                <c:pt idx="164">
                  <c:v>39.32</c:v>
                </c:pt>
                <c:pt idx="165">
                  <c:v>42.286000000000001</c:v>
                </c:pt>
                <c:pt idx="166">
                  <c:v>43.646999999999998</c:v>
                </c:pt>
                <c:pt idx="167">
                  <c:v>28.311</c:v>
                </c:pt>
                <c:pt idx="168">
                  <c:v>47.500999999999998</c:v>
                </c:pt>
                <c:pt idx="169">
                  <c:v>35.881</c:v>
                </c:pt>
                <c:pt idx="170">
                  <c:v>45.969000000000001</c:v>
                </c:pt>
                <c:pt idx="171">
                  <c:v>45.533999999999999</c:v>
                </c:pt>
                <c:pt idx="172">
                  <c:v>53.079000000000001</c:v>
                </c:pt>
                <c:pt idx="173">
                  <c:v>44.581000000000003</c:v>
                </c:pt>
                <c:pt idx="174">
                  <c:v>52.369</c:v>
                </c:pt>
                <c:pt idx="175">
                  <c:v>50.929000000000002</c:v>
                </c:pt>
                <c:pt idx="176">
                  <c:v>44.982999999999997</c:v>
                </c:pt>
                <c:pt idx="177">
                  <c:v>45.64</c:v>
                </c:pt>
                <c:pt idx="178">
                  <c:v>34.853999999999999</c:v>
                </c:pt>
                <c:pt idx="179">
                  <c:v>48.006</c:v>
                </c:pt>
                <c:pt idx="180">
                  <c:v>13.175000000000001</c:v>
                </c:pt>
                <c:pt idx="181">
                  <c:v>1.2999999999999999E-2</c:v>
                </c:pt>
                <c:pt idx="182">
                  <c:v>39.552</c:v>
                </c:pt>
                <c:pt idx="183">
                  <c:v>15.797000000000001</c:v>
                </c:pt>
                <c:pt idx="184">
                  <c:v>40.162999999999997</c:v>
                </c:pt>
                <c:pt idx="185">
                  <c:v>51.14</c:v>
                </c:pt>
                <c:pt idx="186">
                  <c:v>50.902999999999999</c:v>
                </c:pt>
                <c:pt idx="187">
                  <c:v>28.934000000000001</c:v>
                </c:pt>
                <c:pt idx="188">
                  <c:v>53.869</c:v>
                </c:pt>
                <c:pt idx="189">
                  <c:v>51.737000000000002</c:v>
                </c:pt>
                <c:pt idx="190">
                  <c:v>48.845999999999997</c:v>
                </c:pt>
                <c:pt idx="191">
                  <c:v>42.402999999999999</c:v>
                </c:pt>
                <c:pt idx="192">
                  <c:v>36.786999999999999</c:v>
                </c:pt>
                <c:pt idx="193">
                  <c:v>33.01</c:v>
                </c:pt>
                <c:pt idx="194">
                  <c:v>50.264000000000003</c:v>
                </c:pt>
                <c:pt idx="195">
                  <c:v>42.417000000000002</c:v>
                </c:pt>
                <c:pt idx="196">
                  <c:v>18.670999999999999</c:v>
                </c:pt>
                <c:pt idx="197">
                  <c:v>23.024000000000001</c:v>
                </c:pt>
                <c:pt idx="198">
                  <c:v>24.11</c:v>
                </c:pt>
                <c:pt idx="199">
                  <c:v>51.207999999999998</c:v>
                </c:pt>
                <c:pt idx="200">
                  <c:v>50.314</c:v>
                </c:pt>
                <c:pt idx="201">
                  <c:v>45.688000000000002</c:v>
                </c:pt>
                <c:pt idx="202">
                  <c:v>47.591999999999999</c:v>
                </c:pt>
                <c:pt idx="203">
                  <c:v>45.164999999999999</c:v>
                </c:pt>
                <c:pt idx="204">
                  <c:v>44.866999999999997</c:v>
                </c:pt>
                <c:pt idx="205">
                  <c:v>49.183</c:v>
                </c:pt>
                <c:pt idx="206">
                  <c:v>49.463999999999999</c:v>
                </c:pt>
                <c:pt idx="207">
                  <c:v>39.548000000000002</c:v>
                </c:pt>
                <c:pt idx="208">
                  <c:v>47.476999999999997</c:v>
                </c:pt>
                <c:pt idx="209">
                  <c:v>30.087</c:v>
                </c:pt>
                <c:pt idx="210">
                  <c:v>43.015000000000001</c:v>
                </c:pt>
                <c:pt idx="211">
                  <c:v>47.421999999999997</c:v>
                </c:pt>
                <c:pt idx="212">
                  <c:v>46.23</c:v>
                </c:pt>
                <c:pt idx="213">
                  <c:v>38.340000000000003</c:v>
                </c:pt>
                <c:pt idx="214">
                  <c:v>31.388000000000002</c:v>
                </c:pt>
                <c:pt idx="215">
                  <c:v>42.819000000000003</c:v>
                </c:pt>
                <c:pt idx="216">
                  <c:v>48.222000000000001</c:v>
                </c:pt>
                <c:pt idx="217">
                  <c:v>48.982999999999997</c:v>
                </c:pt>
                <c:pt idx="218">
                  <c:v>47.804000000000002</c:v>
                </c:pt>
                <c:pt idx="219">
                  <c:v>46.445999999999998</c:v>
                </c:pt>
                <c:pt idx="220">
                  <c:v>45.225999999999999</c:v>
                </c:pt>
                <c:pt idx="221">
                  <c:v>37.572000000000003</c:v>
                </c:pt>
                <c:pt idx="222">
                  <c:v>35.747999999999998</c:v>
                </c:pt>
                <c:pt idx="223">
                  <c:v>40.353999999999999</c:v>
                </c:pt>
                <c:pt idx="224">
                  <c:v>23.923999999999999</c:v>
                </c:pt>
                <c:pt idx="225">
                  <c:v>15.898999999999999</c:v>
                </c:pt>
                <c:pt idx="226">
                  <c:v>43.780999999999999</c:v>
                </c:pt>
                <c:pt idx="227">
                  <c:v>43.356999999999999</c:v>
                </c:pt>
                <c:pt idx="228">
                  <c:v>18.72</c:v>
                </c:pt>
                <c:pt idx="229">
                  <c:v>39.917000000000002</c:v>
                </c:pt>
                <c:pt idx="230">
                  <c:v>34.932000000000002</c:v>
                </c:pt>
                <c:pt idx="231">
                  <c:v>45.94</c:v>
                </c:pt>
                <c:pt idx="232">
                  <c:v>46.786000000000001</c:v>
                </c:pt>
                <c:pt idx="233">
                  <c:v>41.898000000000003</c:v>
                </c:pt>
                <c:pt idx="234">
                  <c:v>31.678999999999998</c:v>
                </c:pt>
                <c:pt idx="235">
                  <c:v>36.780999999999999</c:v>
                </c:pt>
                <c:pt idx="236">
                  <c:v>43.128999999999998</c:v>
                </c:pt>
                <c:pt idx="237">
                  <c:v>45.765000000000001</c:v>
                </c:pt>
                <c:pt idx="238">
                  <c:v>21.742999999999999</c:v>
                </c:pt>
                <c:pt idx="239">
                  <c:v>44.64</c:v>
                </c:pt>
                <c:pt idx="240">
                  <c:v>8.5340000000000007</c:v>
                </c:pt>
                <c:pt idx="241">
                  <c:v>22.512</c:v>
                </c:pt>
                <c:pt idx="242">
                  <c:v>24.390999999999998</c:v>
                </c:pt>
                <c:pt idx="243">
                  <c:v>38.948999999999998</c:v>
                </c:pt>
                <c:pt idx="244">
                  <c:v>39.341999999999999</c:v>
                </c:pt>
                <c:pt idx="245">
                  <c:v>47.180999999999997</c:v>
                </c:pt>
                <c:pt idx="246">
                  <c:v>45.472000000000001</c:v>
                </c:pt>
                <c:pt idx="247">
                  <c:v>46.045000000000002</c:v>
                </c:pt>
                <c:pt idx="248">
                  <c:v>41.213000000000001</c:v>
                </c:pt>
                <c:pt idx="249">
                  <c:v>24.533000000000001</c:v>
                </c:pt>
                <c:pt idx="250">
                  <c:v>40.334000000000003</c:v>
                </c:pt>
                <c:pt idx="251">
                  <c:v>44.106999999999999</c:v>
                </c:pt>
                <c:pt idx="252">
                  <c:v>21.669</c:v>
                </c:pt>
                <c:pt idx="253">
                  <c:v>30.875</c:v>
                </c:pt>
                <c:pt idx="254">
                  <c:v>39.103000000000002</c:v>
                </c:pt>
                <c:pt idx="255">
                  <c:v>42.926000000000002</c:v>
                </c:pt>
                <c:pt idx="256">
                  <c:v>42.625999999999998</c:v>
                </c:pt>
                <c:pt idx="257">
                  <c:v>43.338999999999999</c:v>
                </c:pt>
                <c:pt idx="258">
                  <c:v>37.43</c:v>
                </c:pt>
                <c:pt idx="259">
                  <c:v>38.506</c:v>
                </c:pt>
                <c:pt idx="260">
                  <c:v>39.256</c:v>
                </c:pt>
                <c:pt idx="261">
                  <c:v>17.954000000000001</c:v>
                </c:pt>
                <c:pt idx="262">
                  <c:v>30.042000000000002</c:v>
                </c:pt>
                <c:pt idx="263">
                  <c:v>27.881</c:v>
                </c:pt>
                <c:pt idx="264">
                  <c:v>26.396999999999998</c:v>
                </c:pt>
                <c:pt idx="265">
                  <c:v>21.440999999999999</c:v>
                </c:pt>
                <c:pt idx="266">
                  <c:v>35.042000000000002</c:v>
                </c:pt>
                <c:pt idx="267">
                  <c:v>20.484999999999999</c:v>
                </c:pt>
                <c:pt idx="268">
                  <c:v>15.157</c:v>
                </c:pt>
                <c:pt idx="269">
                  <c:v>13.584</c:v>
                </c:pt>
                <c:pt idx="270">
                  <c:v>11.923</c:v>
                </c:pt>
                <c:pt idx="271">
                  <c:v>29.321999999999999</c:v>
                </c:pt>
                <c:pt idx="272">
                  <c:v>31.73</c:v>
                </c:pt>
                <c:pt idx="273">
                  <c:v>39.658999999999999</c:v>
                </c:pt>
                <c:pt idx="274">
                  <c:v>7.5350000000000001</c:v>
                </c:pt>
                <c:pt idx="275">
                  <c:v>4.8609999999999998</c:v>
                </c:pt>
                <c:pt idx="276">
                  <c:v>15.76</c:v>
                </c:pt>
                <c:pt idx="277">
                  <c:v>16.981000000000002</c:v>
                </c:pt>
                <c:pt idx="278">
                  <c:v>27.521999999999998</c:v>
                </c:pt>
                <c:pt idx="279">
                  <c:v>5.82</c:v>
                </c:pt>
                <c:pt idx="280">
                  <c:v>30.757000000000001</c:v>
                </c:pt>
                <c:pt idx="281">
                  <c:v>33.713999999999999</c:v>
                </c:pt>
                <c:pt idx="282">
                  <c:v>23.231999999999999</c:v>
                </c:pt>
                <c:pt idx="283">
                  <c:v>20.503</c:v>
                </c:pt>
                <c:pt idx="284">
                  <c:v>14.680999999999999</c:v>
                </c:pt>
                <c:pt idx="285">
                  <c:v>23.178999999999998</c:v>
                </c:pt>
                <c:pt idx="286">
                  <c:v>19.251999999999999</c:v>
                </c:pt>
                <c:pt idx="287">
                  <c:v>14.426</c:v>
                </c:pt>
                <c:pt idx="288">
                  <c:v>15.44</c:v>
                </c:pt>
                <c:pt idx="289">
                  <c:v>9.7420000000000009</c:v>
                </c:pt>
                <c:pt idx="290">
                  <c:v>36.621000000000002</c:v>
                </c:pt>
                <c:pt idx="291">
                  <c:v>35.646999999999998</c:v>
                </c:pt>
                <c:pt idx="292">
                  <c:v>29.523</c:v>
                </c:pt>
                <c:pt idx="293">
                  <c:v>5.8380000000000001</c:v>
                </c:pt>
                <c:pt idx="294">
                  <c:v>25.201000000000001</c:v>
                </c:pt>
                <c:pt idx="295">
                  <c:v>5.2770000000000001</c:v>
                </c:pt>
                <c:pt idx="296">
                  <c:v>9.8379999999999992</c:v>
                </c:pt>
                <c:pt idx="297">
                  <c:v>30.231000000000002</c:v>
                </c:pt>
                <c:pt idx="298">
                  <c:v>21.856000000000002</c:v>
                </c:pt>
                <c:pt idx="299">
                  <c:v>22.600999999999999</c:v>
                </c:pt>
                <c:pt idx="300">
                  <c:v>21.984999999999999</c:v>
                </c:pt>
                <c:pt idx="301">
                  <c:v>11.914</c:v>
                </c:pt>
                <c:pt idx="302">
                  <c:v>28.870999999999999</c:v>
                </c:pt>
                <c:pt idx="303">
                  <c:v>32.325000000000003</c:v>
                </c:pt>
                <c:pt idx="304">
                  <c:v>28.981999999999999</c:v>
                </c:pt>
                <c:pt idx="305">
                  <c:v>28.224</c:v>
                </c:pt>
                <c:pt idx="306">
                  <c:v>27.805</c:v>
                </c:pt>
                <c:pt idx="307">
                  <c:v>4.8410000000000002</c:v>
                </c:pt>
                <c:pt idx="308">
                  <c:v>13.96</c:v>
                </c:pt>
                <c:pt idx="309">
                  <c:v>21.617999999999999</c:v>
                </c:pt>
                <c:pt idx="310">
                  <c:v>15.45</c:v>
                </c:pt>
                <c:pt idx="311">
                  <c:v>3.9079999999999999</c:v>
                </c:pt>
                <c:pt idx="312">
                  <c:v>23.594000000000001</c:v>
                </c:pt>
                <c:pt idx="313">
                  <c:v>19.379000000000001</c:v>
                </c:pt>
                <c:pt idx="314">
                  <c:v>15.119</c:v>
                </c:pt>
                <c:pt idx="315">
                  <c:v>29.594000000000001</c:v>
                </c:pt>
                <c:pt idx="316">
                  <c:v>27.763999999999999</c:v>
                </c:pt>
                <c:pt idx="317">
                  <c:v>18.71</c:v>
                </c:pt>
                <c:pt idx="318">
                  <c:v>26.585999999999999</c:v>
                </c:pt>
                <c:pt idx="319">
                  <c:v>19.091999999999999</c:v>
                </c:pt>
                <c:pt idx="320">
                  <c:v>21.074999999999999</c:v>
                </c:pt>
                <c:pt idx="321">
                  <c:v>26.978000000000002</c:v>
                </c:pt>
                <c:pt idx="322">
                  <c:v>27.724</c:v>
                </c:pt>
                <c:pt idx="323">
                  <c:v>8.5180000000000007</c:v>
                </c:pt>
                <c:pt idx="324">
                  <c:v>20.904</c:v>
                </c:pt>
                <c:pt idx="325">
                  <c:v>28.44</c:v>
                </c:pt>
                <c:pt idx="326">
                  <c:v>28.422000000000001</c:v>
                </c:pt>
                <c:pt idx="327">
                  <c:v>26.312000000000001</c:v>
                </c:pt>
                <c:pt idx="328">
                  <c:v>24.57</c:v>
                </c:pt>
                <c:pt idx="329">
                  <c:v>25.018000000000001</c:v>
                </c:pt>
                <c:pt idx="330">
                  <c:v>19.797000000000001</c:v>
                </c:pt>
                <c:pt idx="331">
                  <c:v>17.082000000000001</c:v>
                </c:pt>
                <c:pt idx="332">
                  <c:v>10.257</c:v>
                </c:pt>
                <c:pt idx="333">
                  <c:v>24.61</c:v>
                </c:pt>
                <c:pt idx="334">
                  <c:v>25.443000000000001</c:v>
                </c:pt>
                <c:pt idx="335">
                  <c:v>3.956</c:v>
                </c:pt>
                <c:pt idx="336">
                  <c:v>1.0309999999999999</c:v>
                </c:pt>
                <c:pt idx="337">
                  <c:v>12.429</c:v>
                </c:pt>
                <c:pt idx="338">
                  <c:v>8.8710000000000004</c:v>
                </c:pt>
                <c:pt idx="339">
                  <c:v>20.725000000000001</c:v>
                </c:pt>
                <c:pt idx="340">
                  <c:v>12.45</c:v>
                </c:pt>
                <c:pt idx="341">
                  <c:v>2.222</c:v>
                </c:pt>
                <c:pt idx="342">
                  <c:v>7.4189999999999996</c:v>
                </c:pt>
                <c:pt idx="343">
                  <c:v>7.1680000000000001</c:v>
                </c:pt>
                <c:pt idx="344">
                  <c:v>4.4829999999999997</c:v>
                </c:pt>
                <c:pt idx="345">
                  <c:v>6.383</c:v>
                </c:pt>
                <c:pt idx="346">
                  <c:v>10.333</c:v>
                </c:pt>
                <c:pt idx="347">
                  <c:v>8.8569999999999993</c:v>
                </c:pt>
                <c:pt idx="348">
                  <c:v>2.7690000000000001</c:v>
                </c:pt>
                <c:pt idx="349">
                  <c:v>2.0569999999999999</c:v>
                </c:pt>
                <c:pt idx="350">
                  <c:v>13.835000000000001</c:v>
                </c:pt>
                <c:pt idx="351">
                  <c:v>6.766</c:v>
                </c:pt>
                <c:pt idx="352">
                  <c:v>8.8330000000000002</c:v>
                </c:pt>
                <c:pt idx="353">
                  <c:v>7.6020000000000003</c:v>
                </c:pt>
                <c:pt idx="354">
                  <c:v>13.398</c:v>
                </c:pt>
                <c:pt idx="355">
                  <c:v>7.22</c:v>
                </c:pt>
                <c:pt idx="356">
                  <c:v>20.126999999999999</c:v>
                </c:pt>
                <c:pt idx="357">
                  <c:v>10.404999999999999</c:v>
                </c:pt>
                <c:pt idx="358">
                  <c:v>9.984</c:v>
                </c:pt>
                <c:pt idx="359">
                  <c:v>3.7650000000000001</c:v>
                </c:pt>
                <c:pt idx="360">
                  <c:v>18.428000000000001</c:v>
                </c:pt>
                <c:pt idx="361">
                  <c:v>6.117</c:v>
                </c:pt>
                <c:pt idx="362">
                  <c:v>6.4550000000000001</c:v>
                </c:pt>
                <c:pt idx="363">
                  <c:v>5.7489999999999997</c:v>
                </c:pt>
                <c:pt idx="364">
                  <c:v>6.0289999999999999</c:v>
                </c:pt>
                <c:pt idx="365">
                  <c:v>14.057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849608"/>
        <c:axId val="494846472"/>
      </c:lineChart>
      <c:dateAx>
        <c:axId val="49484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46472"/>
        <c:crosses val="autoZero"/>
        <c:auto val="1"/>
        <c:lblOffset val="100"/>
        <c:baseTimeUnit val="days"/>
        <c:majorUnit val="1"/>
        <c:majorTimeUnit val="months"/>
      </c:dateAx>
      <c:valAx>
        <c:axId val="4948464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496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-0.49996118112779597</c:v>
                </c:pt>
                <c:pt idx="1">
                  <c:v>-0.49993196651380173</c:v>
                </c:pt>
                <c:pt idx="2">
                  <c:v>-0.4999015299183121</c:v>
                </c:pt>
                <c:pt idx="3">
                  <c:v>-0.49986982038701699</c:v>
                </c:pt>
                <c:pt idx="4">
                  <c:v>-0.49983678485445532</c:v>
                </c:pt>
                <c:pt idx="5">
                  <c:v>-0.49980236805770462</c:v>
                </c:pt>
                <c:pt idx="6">
                  <c:v>-0.49976651244664144</c:v>
                </c:pt>
                <c:pt idx="7">
                  <c:v>-0.49972915809064428</c:v>
                </c:pt>
                <c:pt idx="8">
                  <c:v>-0.49969024258160916</c:v>
                </c:pt>
                <c:pt idx="9">
                  <c:v>-0.4996497009331396</c:v>
                </c:pt>
                <c:pt idx="10">
                  <c:v>-0.49960746547577362</c:v>
                </c:pt>
                <c:pt idx="11">
                  <c:v>-0.49956346574810251</c:v>
                </c:pt>
                <c:pt idx="12">
                  <c:v>-0.49951762838363339</c:v>
                </c:pt>
                <c:pt idx="13">
                  <c:v>-0.49946987699324391</c:v>
                </c:pt>
                <c:pt idx="14">
                  <c:v>-0.49942013204307156</c:v>
                </c:pt>
                <c:pt idx="15">
                  <c:v>-0.49936831072767829</c:v>
                </c:pt>
                <c:pt idx="16">
                  <c:v>-0.49931432683832416</c:v>
                </c:pt>
                <c:pt idx="17">
                  <c:v>-0.49925809062618248</c:v>
                </c:pt>
                <c:pt idx="18">
                  <c:v>-0.49919950866032159</c:v>
                </c:pt>
                <c:pt idx="19">
                  <c:v>-0.49913848368027897</c:v>
                </c:pt>
                <c:pt idx="20">
                  <c:v>-0.49907491444304275</c:v>
                </c:pt>
                <c:pt idx="21">
                  <c:v>-0.4990086955642607</c:v>
                </c:pt>
                <c:pt idx="22">
                  <c:v>-0.49893971735348336</c:v>
                </c:pt>
                <c:pt idx="23">
                  <c:v>-0.49886786564325392</c:v>
                </c:pt>
                <c:pt idx="24">
                  <c:v>-0.49879302161184569</c:v>
                </c:pt>
                <c:pt idx="25">
                  <c:v>-0.498715061599453</c:v>
                </c:pt>
                <c:pt idx="26">
                  <c:v>-0.49863385691763124</c:v>
                </c:pt>
                <c:pt idx="27">
                  <c:v>-0.49854927365178531</c:v>
                </c:pt>
                <c:pt idx="28">
                  <c:v>-0.49846117245650001</c:v>
                </c:pt>
                <c:pt idx="29">
                  <c:v>-0.49836940834350657</c:v>
                </c:pt>
                <c:pt idx="30">
                  <c:v>-0.49827383046207652</c:v>
                </c:pt>
                <c:pt idx="31">
                  <c:v>-0.49817428187163604</c:v>
                </c:pt>
                <c:pt idx="32">
                  <c:v>-0.49807059930639114</c:v>
                </c:pt>
                <c:pt idx="33">
                  <c:v>-0.49796261293175814</c:v>
                </c:pt>
                <c:pt idx="34">
                  <c:v>-0.4978501460923922</c:v>
                </c:pt>
                <c:pt idx="35">
                  <c:v>-0.49773301505161133</c:v>
                </c:pt>
                <c:pt idx="36">
                  <c:v>-0.49761102872201718</c:v>
                </c:pt>
                <c:pt idx="37">
                  <c:v>-0.49748398838711572</c:v>
                </c:pt>
                <c:pt idx="38">
                  <c:v>-0.49735168741374947</c:v>
                </c:pt>
                <c:pt idx="39">
                  <c:v>-0.49721391095515832</c:v>
                </c:pt>
                <c:pt idx="40">
                  <c:v>-0.49707043564449582</c:v>
                </c:pt>
                <c:pt idx="41">
                  <c:v>-0.49692102927863463</c:v>
                </c:pt>
                <c:pt idx="42">
                  <c:v>-0.49676545049211179</c:v>
                </c:pt>
                <c:pt idx="43">
                  <c:v>-0.49660344842107262</c:v>
                </c:pt>
                <c:pt idx="44">
                  <c:v>-0.49643476235709089</c:v>
                </c:pt>
                <c:pt idx="45">
                  <c:v>-0.49625912139076045</c:v>
                </c:pt>
                <c:pt idx="46">
                  <c:v>-0.49607624404497236</c:v>
                </c:pt>
                <c:pt idx="47">
                  <c:v>-0.49588583789781604</c:v>
                </c:pt>
                <c:pt idx="48">
                  <c:v>-0.49568759919506777</c:v>
                </c:pt>
                <c:pt idx="49">
                  <c:v>-0.49548121245225879</c:v>
                </c:pt>
                <c:pt idx="50">
                  <c:v>-0.4952663500463485</c:v>
                </c:pt>
                <c:pt idx="51">
                  <c:v>-0.49504267179706191</c:v>
                </c:pt>
                <c:pt idx="52">
                  <c:v>-0.4948098245379926</c:v>
                </c:pt>
                <c:pt idx="53">
                  <c:v>-0.49456744167761474</c:v>
                </c:pt>
                <c:pt idx="54">
                  <c:v>-0.49431514275039645</c:v>
                </c:pt>
                <c:pt idx="55">
                  <c:v>-0.4940525329582604</c:v>
                </c:pt>
                <c:pt idx="56">
                  <c:v>-0.4937792027026951</c:v>
                </c:pt>
                <c:pt idx="57">
                  <c:v>-0.493494727107885</c:v>
                </c:pt>
                <c:pt idx="58">
                  <c:v>-0.49319866553529729</c:v>
                </c:pt>
                <c:pt idx="59">
                  <c:v>-0.49289056109023854</c:v>
                </c:pt>
                <c:pt idx="60">
                  <c:v>-0.49256994012097699</c:v>
                </c:pt>
                <c:pt idx="61">
                  <c:v>-0.49223631171111909</c:v>
                </c:pt>
                <c:pt idx="62">
                  <c:v>-0.49188916716602082</c:v>
                </c:pt>
                <c:pt idx="63">
                  <c:v>-0.49152797949412519</c:v>
                </c:pt>
                <c:pt idx="64">
                  <c:v>-0.49115220288422706</c:v>
                </c:pt>
                <c:pt idx="65">
                  <c:v>-0.49076127217979149</c:v>
                </c:pt>
                <c:pt idx="66">
                  <c:v>-0.4903546023515814</c:v>
                </c:pt>
                <c:pt idx="67">
                  <c:v>-0.48993158796999448</c:v>
                </c:pt>
                <c:pt idx="68">
                  <c:v>-0.48949160267865771</c:v>
                </c:pt>
                <c:pt idx="69">
                  <c:v>-0.48903399867099284</c:v>
                </c:pt>
                <c:pt idx="70">
                  <c:v>-0.48855810617163764</c:v>
                </c:pt>
                <c:pt idx="71">
                  <c:v>-0.48806323292479181</c:v>
                </c:pt>
                <c:pt idx="72">
                  <c:v>-0.4875486636917542</c:v>
                </c:pt>
                <c:pt idx="73">
                  <c:v>-0.48701365976012262</c:v>
                </c:pt>
                <c:pt idx="74">
                  <c:v>-0.48645745846735067</c:v>
                </c:pt>
                <c:pt idx="75">
                  <c:v>-0.48587927274158643</c:v>
                </c:pt>
                <c:pt idx="76">
                  <c:v>-0.48527829066296102</c:v>
                </c:pt>
                <c:pt idx="77">
                  <c:v>-0.4846536750487544</c:v>
                </c:pt>
                <c:pt idx="78">
                  <c:v>-0.48400456306613293</c:v>
                </c:pt>
                <c:pt idx="79">
                  <c:v>-0.48333006587643274</c:v>
                </c:pt>
                <c:pt idx="80">
                  <c:v>-0.48262926831525804</c:v>
                </c:pt>
                <c:pt idx="81">
                  <c:v>-0.48190122861296336</c:v>
                </c:pt>
                <c:pt idx="82">
                  <c:v>-0.48114497816040358</c:v>
                </c:pt>
                <c:pt idx="83">
                  <c:v>-0.4803595213251563</c:v>
                </c:pt>
                <c:pt idx="84">
                  <c:v>-0.47954383532375272</c:v>
                </c:pt>
                <c:pt idx="85">
                  <c:v>-0.4786968701557881</c:v>
                </c:pt>
                <c:pt idx="86">
                  <c:v>-0.47781754860612391</c:v>
                </c:pt>
                <c:pt idx="87">
                  <c:v>-0.47690476632173751</c:v>
                </c:pt>
                <c:pt idx="88">
                  <c:v>-0.47595739197011916</c:v>
                </c:pt>
                <c:pt idx="89">
                  <c:v>-0.47497426748645488</c:v>
                </c:pt>
                <c:pt idx="90">
                  <c:v>-0.47395420841716968</c:v>
                </c:pt>
                <c:pt idx="91">
                  <c:v>-0.47289600436773033</c:v>
                </c:pt>
                <c:pt idx="92">
                  <c:v>-0.47179841956291674</c:v>
                </c:pt>
                <c:pt idx="93">
                  <c:v>-0.47066019352806404</c:v>
                </c:pt>
                <c:pt idx="94">
                  <c:v>-0.46948004190004533</c:v>
                </c:pt>
                <c:pt idx="95">
                  <c:v>-0.46825665737700511</c:v>
                </c:pt>
                <c:pt idx="96">
                  <c:v>-0.46698871081605614</c:v>
                </c:pt>
                <c:pt idx="97">
                  <c:v>-0.46567485248831253</c:v>
                </c:pt>
                <c:pt idx="98">
                  <c:v>-0.46431371350074652</c:v>
                </c:pt>
                <c:pt idx="99">
                  <c:v>-0.46290390739440401</c:v>
                </c:pt>
                <c:pt idx="100">
                  <c:v>-0.46144403192850686</c:v>
                </c:pt>
                <c:pt idx="101">
                  <c:v>-0.45993267105987856</c:v>
                </c:pt>
                <c:pt idx="102">
                  <c:v>-0.45836839712695698</c:v>
                </c:pt>
                <c:pt idx="103">
                  <c:v>-0.45674977324739341</c:v>
                </c:pt>
                <c:pt idx="104">
                  <c:v>-0.45507535593786191</c:v>
                </c:pt>
                <c:pt idx="105">
                  <c:v>-0.45334369796421953</c:v>
                </c:pt>
                <c:pt idx="106">
                  <c:v>-0.45155335142954273</c:v>
                </c:pt>
                <c:pt idx="107">
                  <c:v>-0.44970287110681983</c:v>
                </c:pt>
                <c:pt idx="108">
                  <c:v>-0.44779081802218296</c:v>
                </c:pt>
                <c:pt idx="109">
                  <c:v>-0.44581576329351374</c:v>
                </c:pt>
                <c:pt idx="110">
                  <c:v>-0.44377629222804071</c:v>
                </c:pt>
                <c:pt idx="111">
                  <c:v>-0.44167100868115827</c:v>
                </c:pt>
                <c:pt idx="112">
                  <c:v>-0.43949853967712488</c:v>
                </c:pt>
                <c:pt idx="113">
                  <c:v>-0.43725754029054337</c:v>
                </c:pt>
                <c:pt idx="114">
                  <c:v>-0.43494669878557751</c:v>
                </c:pt>
                <c:pt idx="115">
                  <c:v>-0.43256474200771855</c:v>
                </c:pt>
                <c:pt idx="116">
                  <c:v>-0.4301104410205836</c:v>
                </c:pt>
                <c:pt idx="117">
                  <c:v>-0.42758261697770628</c:v>
                </c:pt>
                <c:pt idx="118">
                  <c:v>-0.42498014721657418</c:v>
                </c:pt>
                <c:pt idx="119">
                  <c:v>-0.42230197155929505</c:v>
                </c:pt>
                <c:pt idx="120">
                  <c:v>-0.41954709880123509</c:v>
                </c:pt>
                <c:pt idx="121">
                  <c:v>-0.41671461336580001</c:v>
                </c:pt>
                <c:pt idx="122">
                  <c:v>-0.41380368210023621</c:v>
                </c:pt>
                <c:pt idx="123">
                  <c:v>-0.41081356118394585</c:v>
                </c:pt>
                <c:pt idx="124">
                  <c:v>-0.40774360311736946</c:v>
                </c:pt>
                <c:pt idx="125">
                  <c:v>-0.40459326375602805</c:v>
                </c:pt>
                <c:pt idx="126">
                  <c:v>-0.40136210935087574</c:v>
                </c:pt>
                <c:pt idx="127">
                  <c:v>-0.39804982355274277</c:v>
                </c:pt>
                <c:pt idx="128">
                  <c:v>-0.39465621433539738</c:v>
                </c:pt>
                <c:pt idx="129">
                  <c:v>-0.39118122078867912</c:v>
                </c:pt>
                <c:pt idx="130">
                  <c:v>-0.38762491973031488</c:v>
                </c:pt>
                <c:pt idx="131">
                  <c:v>-0.38398753208248615</c:v>
                </c:pt>
                <c:pt idx="132">
                  <c:v>-0.38026942895703403</c:v>
                </c:pt>
                <c:pt idx="133">
                  <c:v>-0.37647113739143168</c:v>
                </c:pt>
                <c:pt idx="134">
                  <c:v>-0.37259334567639202</c:v>
                </c:pt>
                <c:pt idx="135">
                  <c:v>-0.36863690821526596</c:v>
                </c:pt>
                <c:pt idx="136">
                  <c:v>-0.36460284985529212</c:v>
                </c:pt>
                <c:pt idx="137">
                  <c:v>-0.36049236963133502</c:v>
                </c:pt>
                <c:pt idx="138">
                  <c:v>-0.35630684386403855</c:v>
                </c:pt>
                <c:pt idx="139">
                  <c:v>-0.35204782855637784</c:v>
                </c:pt>
                <c:pt idx="140">
                  <c:v>-0.34771706103543498</c:v>
                </c:pt>
                <c:pt idx="141">
                  <c:v>-0.34331646078987943</c:v>
                </c:pt>
                <c:pt idx="142">
                  <c:v>-0.33884812945810705</c:v>
                </c:pt>
                <c:pt idx="143">
                  <c:v>-0.3343143499272776</c:v>
                </c:pt>
                <c:pt idx="144">
                  <c:v>-0.32971758450956046</c:v>
                </c:pt>
                <c:pt idx="145">
                  <c:v>-0.32506047216872813</c:v>
                </c:pt>
                <c:pt idx="146">
                  <c:v>-0.32034582477775231</c:v>
                </c:pt>
                <c:pt idx="147">
                  <c:v>-0.31557662239620993</c:v>
                </c:pt>
                <c:pt idx="148">
                  <c:v>-0.31075600756498795</c:v>
                </c:pt>
                <c:pt idx="149">
                  <c:v>-0.30588727862490039</c:v>
                </c:pt>
                <c:pt idx="150">
                  <c:v>-0.30097388207527376</c:v>
                </c:pt>
                <c:pt idx="151">
                  <c:v>-0.29601940399819138</c:v>
                </c:pt>
                <c:pt idx="152">
                  <c:v>-0.29102756058377882</c:v>
                </c:pt>
                <c:pt idx="153">
                  <c:v>-0.28600218780150688</c:v>
                </c:pt>
                <c:pt idx="154">
                  <c:v>-0.28094723027184709</c:v>
                </c:pt>
                <c:pt idx="155">
                  <c:v>-0.27586672940157519</c:v>
                </c:pt>
                <c:pt idx="156">
                  <c:v>-0.27076481085443521</c:v>
                </c:pt>
                <c:pt idx="157">
                  <c:v>-0.26564567143660922</c:v>
                </c:pt>
                <c:pt idx="158">
                  <c:v>-0.2605135654833427</c:v>
                </c:pt>
                <c:pt idx="159">
                  <c:v>-0.25537279083903686</c:v>
                </c:pt>
                <c:pt idx="160">
                  <c:v>-0.2502276745280253</c:v>
                </c:pt>
                <c:pt idx="161">
                  <c:v>-0.2450825582170138</c:v>
                </c:pt>
                <c:pt idx="162">
                  <c:v>-0.2399417835727079</c:v>
                </c:pt>
                <c:pt idx="163">
                  <c:v>-0.23480967761944138</c:v>
                </c:pt>
                <c:pt idx="164">
                  <c:v>-0.22969053820161545</c:v>
                </c:pt>
                <c:pt idx="165">
                  <c:v>-0.22458861965447541</c:v>
                </c:pt>
                <c:pt idx="166">
                  <c:v>-0.21950811878420351</c:v>
                </c:pt>
                <c:pt idx="167">
                  <c:v>-0.21445316125454372</c:v>
                </c:pt>
                <c:pt idx="168">
                  <c:v>-0.20942778847227178</c:v>
                </c:pt>
                <c:pt idx="169">
                  <c:v>-0.20443594505785928</c:v>
                </c:pt>
                <c:pt idx="170">
                  <c:v>-0.19948146698077696</c:v>
                </c:pt>
                <c:pt idx="171">
                  <c:v>-0.19456807043115026</c:v>
                </c:pt>
                <c:pt idx="172">
                  <c:v>-0.18969934149106266</c:v>
                </c:pt>
                <c:pt idx="173">
                  <c:v>-0.18487872665984073</c:v>
                </c:pt>
                <c:pt idx="174">
                  <c:v>-0.18010952427829835</c:v>
                </c:pt>
                <c:pt idx="175">
                  <c:v>-0.17539487688732247</c:v>
                </c:pt>
                <c:pt idx="176">
                  <c:v>-0.1707377645464902</c:v>
                </c:pt>
                <c:pt idx="177">
                  <c:v>-0.16614099912877306</c:v>
                </c:pt>
                <c:pt idx="178">
                  <c:v>-0.16160721959794355</c:v>
                </c:pt>
                <c:pt idx="179">
                  <c:v>-0.15713888826617123</c:v>
                </c:pt>
                <c:pt idx="180">
                  <c:v>-0.15273828802061562</c:v>
                </c:pt>
                <c:pt idx="181">
                  <c:v>-0.14840752049967276</c:v>
                </c:pt>
                <c:pt idx="182">
                  <c:v>-0.14414850519201211</c:v>
                </c:pt>
                <c:pt idx="183">
                  <c:v>-0.13996297942471564</c:v>
                </c:pt>
                <c:pt idx="184">
                  <c:v>-0.13585249920075854</c:v>
                </c:pt>
                <c:pt idx="185">
                  <c:v>-0.1318184408407847</c:v>
                </c:pt>
                <c:pt idx="186">
                  <c:v>-0.12786200337965858</c:v>
                </c:pt>
                <c:pt idx="187">
                  <c:v>-0.12398421166461898</c:v>
                </c:pt>
                <c:pt idx="188">
                  <c:v>-0.12018592009901657</c:v>
                </c:pt>
                <c:pt idx="189">
                  <c:v>-0.11646781697356451</c:v>
                </c:pt>
                <c:pt idx="190">
                  <c:v>-0.11283042932573578</c:v>
                </c:pt>
                <c:pt idx="191">
                  <c:v>-0.10927412826737148</c:v>
                </c:pt>
                <c:pt idx="192">
                  <c:v>-0.10579913472065328</c:v>
                </c:pt>
                <c:pt idx="193">
                  <c:v>-0.10240552550330784</c:v>
                </c:pt>
                <c:pt idx="194">
                  <c:v>-9.9093239705174918E-2</c:v>
                </c:pt>
                <c:pt idx="195">
                  <c:v>-9.5862085300022548E-2</c:v>
                </c:pt>
                <c:pt idx="196">
                  <c:v>-9.2711745938681145E-2</c:v>
                </c:pt>
                <c:pt idx="197">
                  <c:v>-8.9641787872104806E-2</c:v>
                </c:pt>
                <c:pt idx="198">
                  <c:v>-8.6651666955814388E-2</c:v>
                </c:pt>
                <c:pt idx="199">
                  <c:v>-8.3740735690250645E-2</c:v>
                </c:pt>
                <c:pt idx="200">
                  <c:v>-8.0908250254815517E-2</c:v>
                </c:pt>
                <c:pt idx="201">
                  <c:v>-7.8153377496755549E-2</c:v>
                </c:pt>
                <c:pt idx="202">
                  <c:v>-7.5475201839476425E-2</c:v>
                </c:pt>
                <c:pt idx="203">
                  <c:v>-7.2872732078344327E-2</c:v>
                </c:pt>
                <c:pt idx="204">
                  <c:v>-7.0344908035467058E-2</c:v>
                </c:pt>
                <c:pt idx="205">
                  <c:v>-6.7890607048332052E-2</c:v>
                </c:pt>
                <c:pt idx="206">
                  <c:v>-6.5508650270473145E-2</c:v>
                </c:pt>
                <c:pt idx="207">
                  <c:v>-6.3197808765507291E-2</c:v>
                </c:pt>
                <c:pt idx="208">
                  <c:v>-6.095680937892578E-2</c:v>
                </c:pt>
                <c:pt idx="209">
                  <c:v>-5.8784340374892385E-2</c:v>
                </c:pt>
                <c:pt idx="210">
                  <c:v>-5.6679056828009944E-2</c:v>
                </c:pt>
                <c:pt idx="211">
                  <c:v>-5.4639585762536858E-2</c:v>
                </c:pt>
                <c:pt idx="212">
                  <c:v>-5.2664531033867645E-2</c:v>
                </c:pt>
                <c:pt idx="213">
                  <c:v>-5.0752477949230823E-2</c:v>
                </c:pt>
                <c:pt idx="214">
                  <c:v>-4.8901997626507876E-2</c:v>
                </c:pt>
                <c:pt idx="215">
                  <c:v>-4.7111651091831075E-2</c:v>
                </c:pt>
                <c:pt idx="216">
                  <c:v>-4.5379993118188744E-2</c:v>
                </c:pt>
                <c:pt idx="217">
                  <c:v>-4.3705575808657193E-2</c:v>
                </c:pt>
                <c:pt idx="218">
                  <c:v>-4.2086951929093619E-2</c:v>
                </c:pt>
                <c:pt idx="219">
                  <c:v>-4.0522677996172096E-2</c:v>
                </c:pt>
                <c:pt idx="220">
                  <c:v>-3.9011317127543799E-2</c:v>
                </c:pt>
                <c:pt idx="221">
                  <c:v>-3.7551441661646645E-2</c:v>
                </c:pt>
                <c:pt idx="222">
                  <c:v>-3.6141635555304141E-2</c:v>
                </c:pt>
                <c:pt idx="223">
                  <c:v>-3.4780496567738073E-2</c:v>
                </c:pt>
                <c:pt idx="224">
                  <c:v>-3.3466638239994462E-2</c:v>
                </c:pt>
                <c:pt idx="225">
                  <c:v>-3.2198691679045544E-2</c:v>
                </c:pt>
                <c:pt idx="226">
                  <c:v>-3.0975307156005327E-2</c:v>
                </c:pt>
                <c:pt idx="227">
                  <c:v>-2.9795155527986561E-2</c:v>
                </c:pt>
                <c:pt idx="228">
                  <c:v>-2.865692949313392E-2</c:v>
                </c:pt>
                <c:pt idx="229">
                  <c:v>-2.7559344688320331E-2</c:v>
                </c:pt>
                <c:pt idx="230">
                  <c:v>-2.6501140638880982E-2</c:v>
                </c:pt>
                <c:pt idx="231">
                  <c:v>-2.548108156959572E-2</c:v>
                </c:pt>
                <c:pt idx="232">
                  <c:v>-2.4497957085931499E-2</c:v>
                </c:pt>
                <c:pt idx="233">
                  <c:v>-2.3550582734313097E-2</c:v>
                </c:pt>
                <c:pt idx="234">
                  <c:v>-2.2637800449926804E-2</c:v>
                </c:pt>
                <c:pt idx="235">
                  <c:v>-2.1758478900262557E-2</c:v>
                </c:pt>
                <c:pt idx="236">
                  <c:v>-2.0911513732297937E-2</c:v>
                </c:pt>
                <c:pt idx="237">
                  <c:v>-2.00958277308943E-2</c:v>
                </c:pt>
                <c:pt idx="238">
                  <c:v>-1.9310370895647078E-2</c:v>
                </c:pt>
                <c:pt idx="239">
                  <c:v>-1.8554120443087241E-2</c:v>
                </c:pt>
                <c:pt idx="240">
                  <c:v>-1.7826080740792616E-2</c:v>
                </c:pt>
                <c:pt idx="241">
                  <c:v>-1.7125283179617923E-2</c:v>
                </c:pt>
                <c:pt idx="242">
                  <c:v>-1.6450785989917727E-2</c:v>
                </c:pt>
                <c:pt idx="243">
                  <c:v>-1.5801674007296262E-2</c:v>
                </c:pt>
                <c:pt idx="244">
                  <c:v>-1.5177058393089637E-2</c:v>
                </c:pt>
                <c:pt idx="245">
                  <c:v>-1.457607631446417E-2</c:v>
                </c:pt>
                <c:pt idx="246">
                  <c:v>-1.3997890588699935E-2</c:v>
                </c:pt>
                <c:pt idx="247">
                  <c:v>-1.3441689295928039E-2</c:v>
                </c:pt>
                <c:pt idx="248">
                  <c:v>-1.29066853642964E-2</c:v>
                </c:pt>
                <c:pt idx="249">
                  <c:v>-1.239211613125879E-2</c:v>
                </c:pt>
                <c:pt idx="250">
                  <c:v>-1.1897242884412962E-2</c:v>
                </c:pt>
                <c:pt idx="251">
                  <c:v>-1.142135038505776E-2</c:v>
                </c:pt>
                <c:pt idx="252">
                  <c:v>-1.0963746377392891E-2</c:v>
                </c:pt>
                <c:pt idx="253">
                  <c:v>-1.0523761086056183E-2</c:v>
                </c:pt>
                <c:pt idx="254">
                  <c:v>-1.0100746704469199E-2</c:v>
                </c:pt>
                <c:pt idx="255">
                  <c:v>-9.6940768762591167E-3</c:v>
                </c:pt>
                <c:pt idx="256">
                  <c:v>-9.3031461718235398E-3</c:v>
                </c:pt>
                <c:pt idx="257">
                  <c:v>-8.9273695619254689E-3</c:v>
                </c:pt>
                <c:pt idx="258">
                  <c:v>-8.5661818900298337E-3</c:v>
                </c:pt>
                <c:pt idx="259">
                  <c:v>-8.2190373449315124E-3</c:v>
                </c:pt>
                <c:pt idx="260">
                  <c:v>-7.8854089350736678E-3</c:v>
                </c:pt>
                <c:pt idx="261">
                  <c:v>-7.5647879658120587E-3</c:v>
                </c:pt>
                <c:pt idx="262">
                  <c:v>-7.2566835207533154E-3</c:v>
                </c:pt>
                <c:pt idx="263">
                  <c:v>-6.9606219481656573E-3</c:v>
                </c:pt>
                <c:pt idx="264">
                  <c:v>-6.6761463533555054E-3</c:v>
                </c:pt>
                <c:pt idx="265">
                  <c:v>-6.4028160977902537E-3</c:v>
                </c:pt>
                <c:pt idx="266">
                  <c:v>-6.1402063056542056E-3</c:v>
                </c:pt>
                <c:pt idx="267">
                  <c:v>-5.8879073784359193E-3</c:v>
                </c:pt>
                <c:pt idx="268">
                  <c:v>-5.6455245180579983E-3</c:v>
                </c:pt>
                <c:pt idx="269">
                  <c:v>-5.4126772589887517E-3</c:v>
                </c:pt>
                <c:pt idx="270">
                  <c:v>-5.1889990097020999E-3</c:v>
                </c:pt>
                <c:pt idx="271">
                  <c:v>-4.9741366037918677E-3</c:v>
                </c:pt>
                <c:pt idx="272">
                  <c:v>-4.7677498609828839E-3</c:v>
                </c:pt>
                <c:pt idx="273">
                  <c:v>-4.5695111582346182E-3</c:v>
                </c:pt>
                <c:pt idx="274">
                  <c:v>-4.3791050110782437E-3</c:v>
                </c:pt>
                <c:pt idx="275">
                  <c:v>-4.1962276652901531E-3</c:v>
                </c:pt>
                <c:pt idx="276">
                  <c:v>-4.0205866989597161E-3</c:v>
                </c:pt>
                <c:pt idx="277">
                  <c:v>-3.8519006349780338E-3</c:v>
                </c:pt>
                <c:pt idx="278">
                  <c:v>-3.6898985639388648E-3</c:v>
                </c:pt>
                <c:pt idx="279">
                  <c:v>-3.5343197774160284E-3</c:v>
                </c:pt>
                <c:pt idx="280">
                  <c:v>-3.3849134115548352E-3</c:v>
                </c:pt>
                <c:pt idx="281">
                  <c:v>-3.2414381008922799E-3</c:v>
                </c:pt>
                <c:pt idx="282">
                  <c:v>-3.103661642301192E-3</c:v>
                </c:pt>
                <c:pt idx="283">
                  <c:v>-2.9713606689348859E-3</c:v>
                </c:pt>
                <c:pt idx="284">
                  <c:v>-2.8443203340334233E-3</c:v>
                </c:pt>
                <c:pt idx="285">
                  <c:v>-2.7223340044392752E-3</c:v>
                </c:pt>
                <c:pt idx="286">
                  <c:v>-2.6052029636584595E-3</c:v>
                </c:pt>
                <c:pt idx="287">
                  <c:v>-2.4927361242924606E-3</c:v>
                </c:pt>
                <c:pt idx="288">
                  <c:v>-2.384749749659465E-3</c:v>
                </c:pt>
                <c:pt idx="289">
                  <c:v>-2.2810671844146202E-3</c:v>
                </c:pt>
                <c:pt idx="290">
                  <c:v>-2.1815185939741411E-3</c:v>
                </c:pt>
                <c:pt idx="291">
                  <c:v>-2.0859407125440321E-3</c:v>
                </c:pt>
                <c:pt idx="292">
                  <c:v>-1.9941765995506455E-3</c:v>
                </c:pt>
                <c:pt idx="293">
                  <c:v>-1.9060754042653505E-3</c:v>
                </c:pt>
                <c:pt idx="294">
                  <c:v>-1.8214921384194227E-3</c:v>
                </c:pt>
                <c:pt idx="295">
                  <c:v>-1.7402874565976556E-3</c:v>
                </c:pt>
                <c:pt idx="296">
                  <c:v>-1.6623274442049696E-3</c:v>
                </c:pt>
                <c:pt idx="297">
                  <c:v>-1.5874834127967419E-3</c:v>
                </c:pt>
                <c:pt idx="298">
                  <c:v>-1.5156317025672439E-3</c:v>
                </c:pt>
                <c:pt idx="299">
                  <c:v>-1.4466534917899621E-3</c:v>
                </c:pt>
                <c:pt idx="300">
                  <c:v>-1.3804346130078526E-3</c:v>
                </c:pt>
                <c:pt idx="301">
                  <c:v>-1.3168653757716919E-3</c:v>
                </c:pt>
                <c:pt idx="302">
                  <c:v>-1.2558403957290132E-3</c:v>
                </c:pt>
                <c:pt idx="303">
                  <c:v>-1.1972584298681199E-3</c:v>
                </c:pt>
                <c:pt idx="304">
                  <c:v>-1.1410222177264395E-3</c:v>
                </c:pt>
                <c:pt idx="305">
                  <c:v>-1.087038328372314E-3</c:v>
                </c:pt>
                <c:pt idx="306">
                  <c:v>-1.035217012979095E-3</c:v>
                </c:pt>
                <c:pt idx="307">
                  <c:v>-9.8547206280674704E-4</c:v>
                </c:pt>
                <c:pt idx="308">
                  <c:v>-9.3772067241731927E-4</c:v>
                </c:pt>
                <c:pt idx="309">
                  <c:v>-8.9188330794814918E-4</c:v>
                </c:pt>
                <c:pt idx="310">
                  <c:v>-8.4788358027704236E-4</c:v>
                </c:pt>
                <c:pt idx="311">
                  <c:v>-8.0564812291100685E-4</c:v>
                </c:pt>
                <c:pt idx="312">
                  <c:v>-7.6510647444150148E-4</c:v>
                </c:pt>
                <c:pt idx="313">
                  <c:v>-7.2619096540632588E-4</c:v>
                </c:pt>
                <c:pt idx="314">
                  <c:v>-6.8883660940921576E-4</c:v>
                </c:pt>
                <c:pt idx="315">
                  <c:v>-6.5298099834598666E-4</c:v>
                </c:pt>
                <c:pt idx="316">
                  <c:v>-6.1856420159528414E-4</c:v>
                </c:pt>
                <c:pt idx="317">
                  <c:v>-5.8552866903360812E-4</c:v>
                </c:pt>
                <c:pt idx="318">
                  <c:v>-5.5381913773849822E-4</c:v>
                </c:pt>
                <c:pt idx="319">
                  <c:v>-5.2338254224892911E-4</c:v>
                </c:pt>
                <c:pt idx="320">
                  <c:v>-4.9416792825468514E-4</c:v>
                </c:pt>
                <c:pt idx="321">
                  <c:v>-4.6612636959131315E-4</c:v>
                </c:pt>
                <c:pt idx="322">
                  <c:v>-4.3921088842080458E-4</c:v>
                </c:pt>
                <c:pt idx="323">
                  <c:v>-4.1337637848176678E-4</c:v>
                </c:pt>
                <c:pt idx="324">
                  <c:v>-3.8857953129667333E-4</c:v>
                </c:pt>
                <c:pt idx="325">
                  <c:v>-3.6477876522805763E-4</c:v>
                </c:pt>
                <c:pt idx="326">
                  <c:v>-3.419341572783452E-4</c:v>
                </c:pt>
                <c:pt idx="327">
                  <c:v>-3.2000737753035136E-4</c:v>
                </c:pt>
                <c:pt idx="328">
                  <c:v>-2.989616261330208E-4</c:v>
                </c:pt>
                <c:pt idx="329">
                  <c:v>-2.7876157273465374E-4</c:v>
                </c:pt>
                <c:pt idx="330">
                  <c:v>-2.5937329827407929E-4</c:v>
                </c:pt>
                <c:pt idx="331">
                  <c:v>-2.4076423903934829E-4</c:v>
                </c:pt>
                <c:pt idx="332">
                  <c:v>-2.2290313291017938E-4</c:v>
                </c:pt>
                <c:pt idx="333">
                  <c:v>-2.0575996770111349E-4</c:v>
                </c:pt>
                <c:pt idx="334">
                  <c:v>-1.8930593152560737E-4</c:v>
                </c:pt>
                <c:pt idx="335">
                  <c:v>-1.7351336510368354E-4</c:v>
                </c:pt>
                <c:pt idx="336">
                  <c:v>-1.5835571594108311E-4</c:v>
                </c:pt>
                <c:pt idx="337">
                  <c:v>-1.4380749430609185E-4</c:v>
                </c:pt>
                <c:pt idx="338">
                  <c:v>-1.2984423093714836E-4</c:v>
                </c:pt>
                <c:pt idx="339">
                  <c:v>-1.1644243641417695E-4</c:v>
                </c:pt>
                <c:pt idx="340">
                  <c:v>-1.0357956212914132E-4</c:v>
                </c:pt>
                <c:pt idx="341">
                  <c:v>-9.1233962795089774E-5</c:v>
                </c:pt>
                <c:pt idx="342">
                  <c:v>-7.9384860435016691E-5</c:v>
                </c:pt>
                <c:pt idx="343">
                  <c:v>-6.8012309790477232E-5</c:v>
                </c:pt>
                <c:pt idx="344">
                  <c:v>-5.7097165099162517E-5</c:v>
                </c:pt>
                <c:pt idx="345">
                  <c:v>-4.6621048184425362E-5</c:v>
                </c:pt>
                <c:pt idx="346">
                  <c:v>-3.6566317808517379E-5</c:v>
                </c:pt>
                <c:pt idx="347">
                  <c:v>-2.691604023918881E-5</c:v>
                </c:pt>
                <c:pt idx="348">
                  <c:v>-1.7653960982688677E-5</c:v>
                </c:pt>
                <c:pt idx="349">
                  <c:v>-8.7644776374795619E-6</c:v>
                </c:pt>
                <c:pt idx="350">
                  <c:v>-2.3261382503525496E-7</c:v>
                </c:pt>
                <c:pt idx="351">
                  <c:v>7.956005844245162E-6</c:v>
                </c:pt>
                <c:pt idx="352">
                  <c:v>1.5815179810474422E-5</c:v>
                </c:pt>
                <c:pt idx="353">
                  <c:v>2.3358152648811359E-5</c:v>
                </c:pt>
                <c:pt idx="354">
                  <c:v>3.0597637235729724E-5</c:v>
                </c:pt>
                <c:pt idx="355">
                  <c:v>3.7545836032992774E-5</c:v>
                </c:pt>
                <c:pt idx="356">
                  <c:v>3.7545836032992774E-5</c:v>
                </c:pt>
                <c:pt idx="357">
                  <c:v>3.7545836032992774E-5</c:v>
                </c:pt>
                <c:pt idx="358">
                  <c:v>3.7545836032992774E-5</c:v>
                </c:pt>
                <c:pt idx="359">
                  <c:v>3.7545836032992774E-5</c:v>
                </c:pt>
                <c:pt idx="360">
                  <c:v>3.7545836032992774E-5</c:v>
                </c:pt>
                <c:pt idx="361">
                  <c:v>3.7545836032992774E-5</c:v>
                </c:pt>
                <c:pt idx="362">
                  <c:v>3.7545836032992774E-5</c:v>
                </c:pt>
                <c:pt idx="363">
                  <c:v>3.7545836032992774E-5</c:v>
                </c:pt>
                <c:pt idx="364">
                  <c:v>3.7545836032992774E-5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848040"/>
        <c:axId val="494845296"/>
      </c:lineChart>
      <c:dateAx>
        <c:axId val="49484804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45296"/>
        <c:crosses val="autoZero"/>
        <c:auto val="1"/>
        <c:lblOffset val="100"/>
        <c:baseTimeUnit val="days"/>
        <c:majorUnit val="1"/>
      </c:dateAx>
      <c:valAx>
        <c:axId val="4948452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48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2.0678483516328505E-2</c:v>
                </c:pt>
                <c:pt idx="1">
                  <c:v>2.0699933170901907E-2</c:v>
                </c:pt>
                <c:pt idx="2">
                  <c:v>2.0721382355672779E-2</c:v>
                </c:pt>
                <c:pt idx="3">
                  <c:v>2.0742831070651557E-2</c:v>
                </c:pt>
                <c:pt idx="4">
                  <c:v>2.0764279315848344E-2</c:v>
                </c:pt>
                <c:pt idx="5">
                  <c:v>2.0785727091273576E-2</c:v>
                </c:pt>
                <c:pt idx="6">
                  <c:v>2.0807174396937467E-2</c:v>
                </c:pt>
                <c:pt idx="7">
                  <c:v>2.0828621232850342E-2</c:v>
                </c:pt>
                <c:pt idx="8">
                  <c:v>2.0850067599022415E-2</c:v>
                </c:pt>
                <c:pt idx="9">
                  <c:v>2.0871513495464011E-2</c:v>
                </c:pt>
                <c:pt idx="10">
                  <c:v>2.0892958922185567E-2</c:v>
                </c:pt>
                <c:pt idx="11">
                  <c:v>2.0914403879197074E-2</c:v>
                </c:pt>
                <c:pt idx="12">
                  <c:v>2.093584836650908E-2</c:v>
                </c:pt>
                <c:pt idx="13">
                  <c:v>2.0957292384131798E-2</c:v>
                </c:pt>
                <c:pt idx="14">
                  <c:v>2.0978735932075443E-2</c:v>
                </c:pt>
                <c:pt idx="15">
                  <c:v>2.1000179010350339E-2</c:v>
                </c:pt>
                <c:pt idx="16">
                  <c:v>2.1021621618966813E-2</c:v>
                </c:pt>
                <c:pt idx="17">
                  <c:v>2.1043063757935188E-2</c:v>
                </c:pt>
                <c:pt idx="18">
                  <c:v>2.1064505427265567E-2</c:v>
                </c:pt>
                <c:pt idx="19">
                  <c:v>2.1085946626968499E-2</c:v>
                </c:pt>
                <c:pt idx="20">
                  <c:v>2.1107387357054086E-2</c:v>
                </c:pt>
                <c:pt idx="21">
                  <c:v>2.1128827617532542E-2</c:v>
                </c:pt>
                <c:pt idx="22">
                  <c:v>2.1150267408414414E-2</c:v>
                </c:pt>
                <c:pt idx="23">
                  <c:v>2.1171706729709805E-2</c:v>
                </c:pt>
                <c:pt idx="24">
                  <c:v>2.1193145581428929E-2</c:v>
                </c:pt>
                <c:pt idx="25">
                  <c:v>2.1214583963582334E-2</c:v>
                </c:pt>
                <c:pt idx="26">
                  <c:v>2.1236021876180122E-2</c:v>
                </c:pt>
                <c:pt idx="27">
                  <c:v>2.1257459319232508E-2</c:v>
                </c:pt>
                <c:pt idx="28">
                  <c:v>2.1278896292749927E-2</c:v>
                </c:pt>
                <c:pt idx="29">
                  <c:v>2.1300332796742594E-2</c:v>
                </c:pt>
                <c:pt idx="30">
                  <c:v>2.1321768831220833E-2</c:v>
                </c:pt>
                <c:pt idx="31">
                  <c:v>2.134320439619497E-2</c:v>
                </c:pt>
                <c:pt idx="32">
                  <c:v>2.1364639491675108E-2</c:v>
                </c:pt>
                <c:pt idx="33">
                  <c:v>2.1386074117671683E-2</c:v>
                </c:pt>
                <c:pt idx="34">
                  <c:v>2.1407508274194909E-2</c:v>
                </c:pt>
                <c:pt idx="35">
                  <c:v>2.142894196125511E-2</c:v>
                </c:pt>
                <c:pt idx="36">
                  <c:v>2.1450375178862613E-2</c:v>
                </c:pt>
                <c:pt idx="37">
                  <c:v>2.1471807927027631E-2</c:v>
                </c:pt>
                <c:pt idx="38">
                  <c:v>2.1493240205760378E-2</c:v>
                </c:pt>
                <c:pt idx="39">
                  <c:v>2.151467201507129E-2</c:v>
                </c:pt>
                <c:pt idx="40">
                  <c:v>2.1536103354970582E-2</c:v>
                </c:pt>
                <c:pt idx="41">
                  <c:v>2.1557534225468467E-2</c:v>
                </c:pt>
                <c:pt idx="42">
                  <c:v>2.1578964626575381E-2</c:v>
                </c:pt>
                <c:pt idx="43">
                  <c:v>2.1600394558301428E-2</c:v>
                </c:pt>
                <c:pt idx="44">
                  <c:v>2.1621824020657043E-2</c:v>
                </c:pt>
                <c:pt idx="45">
                  <c:v>2.164325301365233E-2</c:v>
                </c:pt>
                <c:pt idx="46">
                  <c:v>2.1664681537297725E-2</c:v>
                </c:pt>
                <c:pt idx="47">
                  <c:v>2.1686109591603442E-2</c:v>
                </c:pt>
                <c:pt idx="48">
                  <c:v>2.1707537176579805E-2</c:v>
                </c:pt>
                <c:pt idx="49">
                  <c:v>2.1728964292237141E-2</c:v>
                </c:pt>
                <c:pt idx="50">
                  <c:v>2.1750390938585551E-2</c:v>
                </c:pt>
                <c:pt idx="51">
                  <c:v>2.1771817115635361E-2</c:v>
                </c:pt>
                <c:pt idx="52">
                  <c:v>2.1793242823397008E-2</c:v>
                </c:pt>
                <c:pt idx="53">
                  <c:v>2.1814668061880704E-2</c:v>
                </c:pt>
                <c:pt idx="54">
                  <c:v>2.1836092831096554E-2</c:v>
                </c:pt>
                <c:pt idx="55">
                  <c:v>2.1857517131055104E-2</c:v>
                </c:pt>
                <c:pt idx="56">
                  <c:v>2.1878940961766347E-2</c:v>
                </c:pt>
                <c:pt idx="57">
                  <c:v>2.1900364323240828E-2</c:v>
                </c:pt>
                <c:pt idx="58">
                  <c:v>2.1921787215488764E-2</c:v>
                </c:pt>
                <c:pt idx="59">
                  <c:v>2.1943209638520256E-2</c:v>
                </c:pt>
                <c:pt idx="60">
                  <c:v>2.196463159234574E-2</c:v>
                </c:pt>
                <c:pt idx="61">
                  <c:v>2.1986053076975542E-2</c:v>
                </c:pt>
                <c:pt idx="62">
                  <c:v>2.2007474092419765E-2</c:v>
                </c:pt>
                <c:pt idx="63">
                  <c:v>2.2028894638688734E-2</c:v>
                </c:pt>
                <c:pt idx="64">
                  <c:v>2.2050314715792885E-2</c:v>
                </c:pt>
                <c:pt idx="65">
                  <c:v>2.207173432374232E-2</c:v>
                </c:pt>
                <c:pt idx="66">
                  <c:v>2.2093153462547366E-2</c:v>
                </c:pt>
                <c:pt idx="67">
                  <c:v>2.2114572132218235E-2</c:v>
                </c:pt>
                <c:pt idx="68">
                  <c:v>2.2135990332765365E-2</c:v>
                </c:pt>
                <c:pt idx="69">
                  <c:v>2.2157408064198858E-2</c:v>
                </c:pt>
                <c:pt idx="70">
                  <c:v>2.217882532652915E-2</c:v>
                </c:pt>
                <c:pt idx="71">
                  <c:v>2.2200242119766345E-2</c:v>
                </c:pt>
                <c:pt idx="72">
                  <c:v>2.2221658443920878E-2</c:v>
                </c:pt>
                <c:pt idx="73">
                  <c:v>2.2243074299002963E-2</c:v>
                </c:pt>
                <c:pt idx="74">
                  <c:v>2.2264489685022815E-2</c:v>
                </c:pt>
                <c:pt idx="75">
                  <c:v>2.2285904601990758E-2</c:v>
                </c:pt>
                <c:pt idx="76">
                  <c:v>2.2307319049917007E-2</c:v>
                </c:pt>
                <c:pt idx="77">
                  <c:v>2.2328733028811998E-2</c:v>
                </c:pt>
                <c:pt idx="78">
                  <c:v>2.2350146538685833E-2</c:v>
                </c:pt>
                <c:pt idx="79">
                  <c:v>2.2371559579548839E-2</c:v>
                </c:pt>
                <c:pt idx="80">
                  <c:v>2.2392972151411228E-2</c:v>
                </c:pt>
                <c:pt idx="81">
                  <c:v>2.2414384254283437E-2</c:v>
                </c:pt>
                <c:pt idx="82">
                  <c:v>2.2435795888175569E-2</c:v>
                </c:pt>
                <c:pt idx="83">
                  <c:v>2.2457207053098061E-2</c:v>
                </c:pt>
                <c:pt idx="84">
                  <c:v>2.2478617749061014E-2</c:v>
                </c:pt>
                <c:pt idx="85">
                  <c:v>2.2500027976074866E-2</c:v>
                </c:pt>
                <c:pt idx="86">
                  <c:v>2.2521437734149719E-2</c:v>
                </c:pt>
                <c:pt idx="87">
                  <c:v>2.2542847023295898E-2</c:v>
                </c:pt>
                <c:pt idx="88">
                  <c:v>2.2564255843523728E-2</c:v>
                </c:pt>
                <c:pt idx="89">
                  <c:v>2.2585664194843535E-2</c:v>
                </c:pt>
                <c:pt idx="90">
                  <c:v>2.2607072077265422E-2</c:v>
                </c:pt>
                <c:pt idx="91">
                  <c:v>2.2628479490799713E-2</c:v>
                </c:pt>
                <c:pt idx="92">
                  <c:v>2.2649886435456734E-2</c:v>
                </c:pt>
                <c:pt idx="93">
                  <c:v>2.267129291124681E-2</c:v>
                </c:pt>
                <c:pt idx="94">
                  <c:v>2.2692698918180043E-2</c:v>
                </c:pt>
                <c:pt idx="95">
                  <c:v>2.2714104456266759E-2</c:v>
                </c:pt>
                <c:pt idx="96">
                  <c:v>2.2735509525517283E-2</c:v>
                </c:pt>
                <c:pt idx="97">
                  <c:v>2.2756914125941941E-2</c:v>
                </c:pt>
                <c:pt idx="98">
                  <c:v>2.2778318257550834E-2</c:v>
                </c:pt>
                <c:pt idx="99">
                  <c:v>2.2799721920354288E-2</c:v>
                </c:pt>
                <c:pt idx="100">
                  <c:v>2.2821125114362628E-2</c:v>
                </c:pt>
                <c:pt idx="101">
                  <c:v>2.284252783958618E-2</c:v>
                </c:pt>
                <c:pt idx="102">
                  <c:v>2.2863930096035046E-2</c:v>
                </c:pt>
                <c:pt idx="103">
                  <c:v>2.2885331883719551E-2</c:v>
                </c:pt>
                <c:pt idx="104">
                  <c:v>2.2906733202649909E-2</c:v>
                </c:pt>
                <c:pt idx="105">
                  <c:v>2.2928134052836557E-2</c:v>
                </c:pt>
                <c:pt idx="106">
                  <c:v>2.2949534434289709E-2</c:v>
                </c:pt>
                <c:pt idx="107">
                  <c:v>2.2970934347019467E-2</c:v>
                </c:pt>
                <c:pt idx="108">
                  <c:v>2.2992333791036268E-2</c:v>
                </c:pt>
                <c:pt idx="109">
                  <c:v>2.3013732766350325E-2</c:v>
                </c:pt>
                <c:pt idx="110">
                  <c:v>2.3035131272971854E-2</c:v>
                </c:pt>
                <c:pt idx="111">
                  <c:v>2.3056529310911289E-2</c:v>
                </c:pt>
                <c:pt idx="112">
                  <c:v>2.3077926880178623E-2</c:v>
                </c:pt>
                <c:pt idx="113">
                  <c:v>2.3099323980784403E-2</c:v>
                </c:pt>
                <c:pt idx="114">
                  <c:v>2.3120720612738732E-2</c:v>
                </c:pt>
                <c:pt idx="115">
                  <c:v>2.3142116776051824E-2</c:v>
                </c:pt>
                <c:pt idx="116">
                  <c:v>2.3163512470734116E-2</c:v>
                </c:pt>
                <c:pt idx="117">
                  <c:v>2.318490769679582E-2</c:v>
                </c:pt>
                <c:pt idx="118">
                  <c:v>2.3206302454247041E-2</c:v>
                </c:pt>
                <c:pt idx="119">
                  <c:v>2.3227696743098325E-2</c:v>
                </c:pt>
                <c:pt idx="120">
                  <c:v>2.3249090563359665E-2</c:v>
                </c:pt>
                <c:pt idx="121">
                  <c:v>2.3270483915041384E-2</c:v>
                </c:pt>
                <c:pt idx="122">
                  <c:v>2.3291876798153921E-2</c:v>
                </c:pt>
                <c:pt idx="123">
                  <c:v>2.3313269212707377E-2</c:v>
                </c:pt>
                <c:pt idx="124">
                  <c:v>2.3334661158711967E-2</c:v>
                </c:pt>
                <c:pt idx="125">
                  <c:v>2.3356052636178126E-2</c:v>
                </c:pt>
                <c:pt idx="126">
                  <c:v>2.3377443645116069E-2</c:v>
                </c:pt>
                <c:pt idx="127">
                  <c:v>2.3398834185535899E-2</c:v>
                </c:pt>
                <c:pt idx="128">
                  <c:v>2.3420224257448052E-2</c:v>
                </c:pt>
                <c:pt idx="129">
                  <c:v>2.3441613860862742E-2</c:v>
                </c:pt>
                <c:pt idx="130">
                  <c:v>2.3463002995790294E-2</c:v>
                </c:pt>
                <c:pt idx="131">
                  <c:v>2.3484391662240811E-2</c:v>
                </c:pt>
                <c:pt idx="132">
                  <c:v>2.3505779860224618E-2</c:v>
                </c:pt>
                <c:pt idx="133">
                  <c:v>2.352716758975204E-2</c:v>
                </c:pt>
                <c:pt idx="134">
                  <c:v>2.3548554850833292E-2</c:v>
                </c:pt>
                <c:pt idx="135">
                  <c:v>2.3569941643478587E-2</c:v>
                </c:pt>
                <c:pt idx="136">
                  <c:v>2.3591327967698361E-2</c:v>
                </c:pt>
                <c:pt idx="137">
                  <c:v>2.3612713823502607E-2</c:v>
                </c:pt>
                <c:pt idx="138">
                  <c:v>2.363409921090176E-2</c:v>
                </c:pt>
                <c:pt idx="139">
                  <c:v>2.3655484129906146E-2</c:v>
                </c:pt>
                <c:pt idx="140">
                  <c:v>2.3676868580525867E-2</c:v>
                </c:pt>
                <c:pt idx="141">
                  <c:v>2.3698252562771138E-2</c:v>
                </c:pt>
                <c:pt idx="142">
                  <c:v>2.3719636076652395E-2</c:v>
                </c:pt>
                <c:pt idx="143">
                  <c:v>2.3741019122179852E-2</c:v>
                </c:pt>
                <c:pt idx="144">
                  <c:v>2.3762401699363722E-2</c:v>
                </c:pt>
                <c:pt idx="145">
                  <c:v>2.3783783808214221E-2</c:v>
                </c:pt>
                <c:pt idx="146">
                  <c:v>2.3805165448741672E-2</c:v>
                </c:pt>
                <c:pt idx="147">
                  <c:v>2.3826546620956401E-2</c:v>
                </c:pt>
                <c:pt idx="148">
                  <c:v>2.3847927324868512E-2</c:v>
                </c:pt>
                <c:pt idx="149">
                  <c:v>2.3869307560488329E-2</c:v>
                </c:pt>
                <c:pt idx="150">
                  <c:v>2.3890687327826177E-2</c:v>
                </c:pt>
                <c:pt idx="151">
                  <c:v>2.3912066626892159E-2</c:v>
                </c:pt>
                <c:pt idx="152">
                  <c:v>2.3933445457696712E-2</c:v>
                </c:pt>
                <c:pt idx="153">
                  <c:v>2.3954823820249938E-2</c:v>
                </c:pt>
                <c:pt idx="154">
                  <c:v>2.3976201714562162E-2</c:v>
                </c:pt>
                <c:pt idx="155">
                  <c:v>2.399757914064371E-2</c:v>
                </c:pt>
                <c:pt idx="156">
                  <c:v>2.4018956098504685E-2</c:v>
                </c:pt>
                <c:pt idx="157">
                  <c:v>2.4040332588155522E-2</c:v>
                </c:pt>
                <c:pt idx="158">
                  <c:v>2.4061708609606214E-2</c:v>
                </c:pt>
                <c:pt idx="159">
                  <c:v>2.4083084162867308E-2</c:v>
                </c:pt>
                <c:pt idx="160">
                  <c:v>2.4104459247948906E-2</c:v>
                </c:pt>
                <c:pt idx="161">
                  <c:v>2.4125833864861224E-2</c:v>
                </c:pt>
                <c:pt idx="162">
                  <c:v>2.4147208013614585E-2</c:v>
                </c:pt>
                <c:pt idx="163">
                  <c:v>2.4168581694219315E-2</c:v>
                </c:pt>
                <c:pt idx="164">
                  <c:v>2.4189954906685518E-2</c:v>
                </c:pt>
                <c:pt idx="165">
                  <c:v>2.4211327651023518E-2</c:v>
                </c:pt>
                <c:pt idx="166">
                  <c:v>2.4232699927243528E-2</c:v>
                </c:pt>
                <c:pt idx="167">
                  <c:v>2.4254071735355875E-2</c:v>
                </c:pt>
                <c:pt idx="168">
                  <c:v>2.4275443075370773E-2</c:v>
                </c:pt>
                <c:pt idx="169">
                  <c:v>2.4296813947298546E-2</c:v>
                </c:pt>
                <c:pt idx="170">
                  <c:v>2.4318184351149297E-2</c:v>
                </c:pt>
                <c:pt idx="171">
                  <c:v>2.4339554286933351E-2</c:v>
                </c:pt>
                <c:pt idx="172">
                  <c:v>2.4360923754661035E-2</c:v>
                </c:pt>
                <c:pt idx="173">
                  <c:v>2.4382292754342449E-2</c:v>
                </c:pt>
                <c:pt idx="174">
                  <c:v>2.4403661285988032E-2</c:v>
                </c:pt>
                <c:pt idx="175">
                  <c:v>2.4425029349607885E-2</c:v>
                </c:pt>
                <c:pt idx="176">
                  <c:v>2.4446396945212223E-2</c:v>
                </c:pt>
                <c:pt idx="177">
                  <c:v>2.4467764072811482E-2</c:v>
                </c:pt>
                <c:pt idx="178">
                  <c:v>2.4489130732415765E-2</c:v>
                </c:pt>
                <c:pt idx="179">
                  <c:v>2.4510496924035396E-2</c:v>
                </c:pt>
                <c:pt idx="180">
                  <c:v>2.4531862647680591E-2</c:v>
                </c:pt>
                <c:pt idx="181">
                  <c:v>2.4553227903361563E-2</c:v>
                </c:pt>
                <c:pt idx="182">
                  <c:v>2.4574592691088637E-2</c:v>
                </c:pt>
                <c:pt idx="183">
                  <c:v>2.4595957010872027E-2</c:v>
                </c:pt>
                <c:pt idx="184">
                  <c:v>2.4617320862721948E-2</c:v>
                </c:pt>
                <c:pt idx="185">
                  <c:v>2.4638684246648723E-2</c:v>
                </c:pt>
                <c:pt idx="186">
                  <c:v>2.4660047162662568E-2</c:v>
                </c:pt>
                <c:pt idx="187">
                  <c:v>2.4681409610773697E-2</c:v>
                </c:pt>
                <c:pt idx="188">
                  <c:v>2.4702771590992434E-2</c:v>
                </c:pt>
                <c:pt idx="189">
                  <c:v>2.4724133103328882E-2</c:v>
                </c:pt>
                <c:pt idx="190">
                  <c:v>2.4745494147793479E-2</c:v>
                </c:pt>
                <c:pt idx="191">
                  <c:v>2.4766854724396326E-2</c:v>
                </c:pt>
                <c:pt idx="192">
                  <c:v>2.4788214833147748E-2</c:v>
                </c:pt>
                <c:pt idx="193">
                  <c:v>2.480957447405796E-2</c:v>
                </c:pt>
                <c:pt idx="194">
                  <c:v>2.4830933647137288E-2</c:v>
                </c:pt>
                <c:pt idx="195">
                  <c:v>2.4852292352395833E-2</c:v>
                </c:pt>
                <c:pt idx="196">
                  <c:v>2.4873650589843921E-2</c:v>
                </c:pt>
                <c:pt idx="197">
                  <c:v>2.4895008359491766E-2</c:v>
                </c:pt>
                <c:pt idx="198">
                  <c:v>2.4916365661349693E-2</c:v>
                </c:pt>
                <c:pt idx="199">
                  <c:v>2.4937722495427916E-2</c:v>
                </c:pt>
                <c:pt idx="200">
                  <c:v>2.495907886173665E-2</c:v>
                </c:pt>
                <c:pt idx="201">
                  <c:v>2.4980434760286108E-2</c:v>
                </c:pt>
                <c:pt idx="202">
                  <c:v>2.5001790191086615E-2</c:v>
                </c:pt>
                <c:pt idx="203">
                  <c:v>2.5023145154148385E-2</c:v>
                </c:pt>
                <c:pt idx="204">
                  <c:v>2.5044499649481633E-2</c:v>
                </c:pt>
                <c:pt idx="205">
                  <c:v>2.5065853677096683E-2</c:v>
                </c:pt>
                <c:pt idx="206">
                  <c:v>2.5087207237003639E-2</c:v>
                </c:pt>
                <c:pt idx="207">
                  <c:v>2.5108560329212937E-2</c:v>
                </c:pt>
                <c:pt idx="208">
                  <c:v>2.5129912953734568E-2</c:v>
                </c:pt>
                <c:pt idx="209">
                  <c:v>2.515126511057908E-2</c:v>
                </c:pt>
                <c:pt idx="210">
                  <c:v>2.5172616799756464E-2</c:v>
                </c:pt>
                <c:pt idx="211">
                  <c:v>2.5193968021277047E-2</c:v>
                </c:pt>
                <c:pt idx="212">
                  <c:v>2.5215318775151152E-2</c:v>
                </c:pt>
                <c:pt idx="213">
                  <c:v>2.5236669061388883E-2</c:v>
                </c:pt>
                <c:pt idx="214">
                  <c:v>2.5258018880000566E-2</c:v>
                </c:pt>
                <c:pt idx="215">
                  <c:v>2.5279368230996413E-2</c:v>
                </c:pt>
                <c:pt idx="216">
                  <c:v>2.530071711438675E-2</c:v>
                </c:pt>
                <c:pt idx="217">
                  <c:v>2.5322065530181681E-2</c:v>
                </c:pt>
                <c:pt idx="218">
                  <c:v>2.5343413478391641E-2</c:v>
                </c:pt>
                <c:pt idx="219">
                  <c:v>2.5364760959026622E-2</c:v>
                </c:pt>
                <c:pt idx="220">
                  <c:v>2.538610797209695E-2</c:v>
                </c:pt>
                <c:pt idx="221">
                  <c:v>2.540745451761306E-2</c:v>
                </c:pt>
                <c:pt idx="222">
                  <c:v>2.5428800595584944E-2</c:v>
                </c:pt>
                <c:pt idx="223">
                  <c:v>2.5450146206022928E-2</c:v>
                </c:pt>
                <c:pt idx="224">
                  <c:v>2.5471491348937336E-2</c:v>
                </c:pt>
                <c:pt idx="225">
                  <c:v>2.5492836024338272E-2</c:v>
                </c:pt>
                <c:pt idx="226">
                  <c:v>2.5514180232236061E-2</c:v>
                </c:pt>
                <c:pt idx="227">
                  <c:v>2.5535523972640806E-2</c:v>
                </c:pt>
                <c:pt idx="228">
                  <c:v>2.5556867245563053E-2</c:v>
                </c:pt>
                <c:pt idx="229">
                  <c:v>2.5578210051012684E-2</c:v>
                </c:pt>
                <c:pt idx="230">
                  <c:v>2.5599552389000135E-2</c:v>
                </c:pt>
                <c:pt idx="231">
                  <c:v>2.5620894259535731E-2</c:v>
                </c:pt>
                <c:pt idx="232">
                  <c:v>2.5642235662629465E-2</c:v>
                </c:pt>
                <c:pt idx="233">
                  <c:v>2.5663576598291771E-2</c:v>
                </c:pt>
                <c:pt idx="234">
                  <c:v>2.5684917066532753E-2</c:v>
                </c:pt>
                <c:pt idx="235">
                  <c:v>2.5706257067362737E-2</c:v>
                </c:pt>
                <c:pt idx="236">
                  <c:v>2.5727596600791935E-2</c:v>
                </c:pt>
                <c:pt idx="237">
                  <c:v>2.5748935666830564E-2</c:v>
                </c:pt>
                <c:pt idx="238">
                  <c:v>2.5770274265488946E-2</c:v>
                </c:pt>
                <c:pt idx="239">
                  <c:v>2.5791612396777186E-2</c:v>
                </c:pt>
                <c:pt idx="240">
                  <c:v>2.5812950060705608E-2</c:v>
                </c:pt>
                <c:pt idx="241">
                  <c:v>2.5834287257284427E-2</c:v>
                </c:pt>
                <c:pt idx="242">
                  <c:v>2.5855623986523857E-2</c:v>
                </c:pt>
                <c:pt idx="243">
                  <c:v>2.5876960248434222E-2</c:v>
                </c:pt>
                <c:pt idx="244">
                  <c:v>2.5898296043025626E-2</c:v>
                </c:pt>
                <c:pt idx="245">
                  <c:v>2.5919631370308505E-2</c:v>
                </c:pt>
                <c:pt idx="246">
                  <c:v>2.594096623029285E-2</c:v>
                </c:pt>
                <c:pt idx="247">
                  <c:v>2.5962300622988987E-2</c:v>
                </c:pt>
                <c:pt idx="248">
                  <c:v>2.5983634548407242E-2</c:v>
                </c:pt>
                <c:pt idx="249">
                  <c:v>2.6004968006557716E-2</c:v>
                </c:pt>
                <c:pt idx="250">
                  <c:v>2.6026300997450735E-2</c:v>
                </c:pt>
                <c:pt idx="251">
                  <c:v>2.6047633521096514E-2</c:v>
                </c:pt>
                <c:pt idx="252">
                  <c:v>2.6068965577505265E-2</c:v>
                </c:pt>
                <c:pt idx="253">
                  <c:v>2.6090297166687204E-2</c:v>
                </c:pt>
                <c:pt idx="254">
                  <c:v>2.6111628288652544E-2</c:v>
                </c:pt>
                <c:pt idx="255">
                  <c:v>2.6132958943411722E-2</c:v>
                </c:pt>
                <c:pt idx="256">
                  <c:v>2.6154289130974728E-2</c:v>
                </c:pt>
                <c:pt idx="257">
                  <c:v>2.6175618851351889E-2</c:v>
                </c:pt>
                <c:pt idx="258">
                  <c:v>2.6196948104553419E-2</c:v>
                </c:pt>
                <c:pt idx="259">
                  <c:v>2.6218276890589531E-2</c:v>
                </c:pt>
                <c:pt idx="260">
                  <c:v>2.6239605209470551E-2</c:v>
                </c:pt>
                <c:pt idx="261">
                  <c:v>2.6260933061206693E-2</c:v>
                </c:pt>
                <c:pt idx="262">
                  <c:v>2.6282260445808059E-2</c:v>
                </c:pt>
                <c:pt idx="263">
                  <c:v>2.6303587363284975E-2</c:v>
                </c:pt>
                <c:pt idx="264">
                  <c:v>2.6324913813647766E-2</c:v>
                </c:pt>
                <c:pt idx="265">
                  <c:v>2.6346239796906423E-2</c:v>
                </c:pt>
                <c:pt idx="266">
                  <c:v>2.6367565313071384E-2</c:v>
                </c:pt>
                <c:pt idx="267">
                  <c:v>2.638889036215275E-2</c:v>
                </c:pt>
                <c:pt idx="268">
                  <c:v>2.6410214944160959E-2</c:v>
                </c:pt>
                <c:pt idx="269">
                  <c:v>2.6431539059106002E-2</c:v>
                </c:pt>
                <c:pt idx="270">
                  <c:v>2.6452862706998204E-2</c:v>
                </c:pt>
                <c:pt idx="271">
                  <c:v>2.6474185887847779E-2</c:v>
                </c:pt>
                <c:pt idx="272">
                  <c:v>2.6495508601664941E-2</c:v>
                </c:pt>
                <c:pt idx="273">
                  <c:v>2.6516830848460016E-2</c:v>
                </c:pt>
                <c:pt idx="274">
                  <c:v>2.6538152628243106E-2</c:v>
                </c:pt>
                <c:pt idx="275">
                  <c:v>2.6559473941024536E-2</c:v>
                </c:pt>
                <c:pt idx="276">
                  <c:v>2.658079478681441E-2</c:v>
                </c:pt>
                <c:pt idx="277">
                  <c:v>2.6602115165623164E-2</c:v>
                </c:pt>
                <c:pt idx="278">
                  <c:v>2.6623435077460789E-2</c:v>
                </c:pt>
                <c:pt idx="279">
                  <c:v>2.6644754522337721E-2</c:v>
                </c:pt>
                <c:pt idx="280">
                  <c:v>2.6666073500264065E-2</c:v>
                </c:pt>
                <c:pt idx="281">
                  <c:v>2.6687392011250144E-2</c:v>
                </c:pt>
                <c:pt idx="282">
                  <c:v>2.6708710055306062E-2</c:v>
                </c:pt>
                <c:pt idx="283">
                  <c:v>2.6730027632442033E-2</c:v>
                </c:pt>
                <c:pt idx="284">
                  <c:v>2.6751344742668492E-2</c:v>
                </c:pt>
                <c:pt idx="285">
                  <c:v>2.6772661385995433E-2</c:v>
                </c:pt>
                <c:pt idx="286">
                  <c:v>2.679397756243318E-2</c:v>
                </c:pt>
                <c:pt idx="287">
                  <c:v>2.6815293271991947E-2</c:v>
                </c:pt>
                <c:pt idx="288">
                  <c:v>2.6836608514682059E-2</c:v>
                </c:pt>
                <c:pt idx="289">
                  <c:v>2.6857923290513508E-2</c:v>
                </c:pt>
                <c:pt idx="290">
                  <c:v>2.6879237599496841E-2</c:v>
                </c:pt>
                <c:pt idx="291">
                  <c:v>2.690055144164194E-2</c:v>
                </c:pt>
                <c:pt idx="292">
                  <c:v>2.6921864816959351E-2</c:v>
                </c:pt>
                <c:pt idx="293">
                  <c:v>2.6943177725459067E-2</c:v>
                </c:pt>
                <c:pt idx="294">
                  <c:v>2.69644901671513E-2</c:v>
                </c:pt>
                <c:pt idx="295">
                  <c:v>2.6985802142046489E-2</c:v>
                </c:pt>
                <c:pt idx="296">
                  <c:v>2.7007113650154624E-2</c:v>
                </c:pt>
                <c:pt idx="297">
                  <c:v>2.7028424691486141E-2</c:v>
                </c:pt>
                <c:pt idx="298">
                  <c:v>2.7049735266051145E-2</c:v>
                </c:pt>
                <c:pt idx="299">
                  <c:v>2.7071045373859848E-2</c:v>
                </c:pt>
                <c:pt idx="300">
                  <c:v>2.7092355014922465E-2</c:v>
                </c:pt>
                <c:pt idx="301">
                  <c:v>2.711366418924932E-2</c:v>
                </c:pt>
                <c:pt idx="302">
                  <c:v>2.7134972896850518E-2</c:v>
                </c:pt>
                <c:pt idx="303">
                  <c:v>2.7156281137736382E-2</c:v>
                </c:pt>
                <c:pt idx="304">
                  <c:v>2.7177588911917017E-2</c:v>
                </c:pt>
                <c:pt idx="305">
                  <c:v>2.7198896219402746E-2</c:v>
                </c:pt>
                <c:pt idx="306">
                  <c:v>2.7220203060203785E-2</c:v>
                </c:pt>
                <c:pt idx="307">
                  <c:v>2.7241509434330347E-2</c:v>
                </c:pt>
                <c:pt idx="308">
                  <c:v>2.7262815341792535E-2</c:v>
                </c:pt>
                <c:pt idx="309">
                  <c:v>2.7284120782600785E-2</c:v>
                </c:pt>
                <c:pt idx="310">
                  <c:v>2.7305425756765089E-2</c:v>
                </c:pt>
                <c:pt idx="311">
                  <c:v>2.7326730264295884E-2</c:v>
                </c:pt>
                <c:pt idx="312">
                  <c:v>2.7348034305203162E-2</c:v>
                </c:pt>
                <c:pt idx="313">
                  <c:v>2.7369337879497357E-2</c:v>
                </c:pt>
                <c:pt idx="314">
                  <c:v>2.7390640987188575E-2</c:v>
                </c:pt>
                <c:pt idx="315">
                  <c:v>2.7411943628287139E-2</c:v>
                </c:pt>
                <c:pt idx="316">
                  <c:v>2.7433245802803041E-2</c:v>
                </c:pt>
                <c:pt idx="317">
                  <c:v>2.745454751074683E-2</c:v>
                </c:pt>
                <c:pt idx="318">
                  <c:v>2.7475848752128385E-2</c:v>
                </c:pt>
                <c:pt idx="319">
                  <c:v>2.7497149526958142E-2</c:v>
                </c:pt>
                <c:pt idx="320">
                  <c:v>2.7518449835246317E-2</c:v>
                </c:pt>
                <c:pt idx="321">
                  <c:v>2.7539749677003011E-2</c:v>
                </c:pt>
                <c:pt idx="322">
                  <c:v>2.7561049052238551E-2</c:v>
                </c:pt>
                <c:pt idx="323">
                  <c:v>2.7582347960963038E-2</c:v>
                </c:pt>
                <c:pt idx="324">
                  <c:v>2.7603646403186799E-2</c:v>
                </c:pt>
                <c:pt idx="325">
                  <c:v>2.7624944378920047E-2</c:v>
                </c:pt>
                <c:pt idx="326">
                  <c:v>2.7646241888172995E-2</c:v>
                </c:pt>
                <c:pt idx="327">
                  <c:v>2.7667538930955748E-2</c:v>
                </c:pt>
                <c:pt idx="328">
                  <c:v>2.7688835507278631E-2</c:v>
                </c:pt>
                <c:pt idx="329">
                  <c:v>2.7710131617151856E-2</c:v>
                </c:pt>
                <c:pt idx="330">
                  <c:v>2.7731427260585639E-2</c:v>
                </c:pt>
                <c:pt idx="331">
                  <c:v>2.7752722437590083E-2</c:v>
                </c:pt>
                <c:pt idx="332">
                  <c:v>2.7774017148175623E-2</c:v>
                </c:pt>
                <c:pt idx="333">
                  <c:v>2.7795311392352251E-2</c:v>
                </c:pt>
                <c:pt idx="334">
                  <c:v>2.7816605170130293E-2</c:v>
                </c:pt>
                <c:pt idx="335">
                  <c:v>2.7837898481519963E-2</c:v>
                </c:pt>
                <c:pt idx="336">
                  <c:v>2.7859191326531474E-2</c:v>
                </c:pt>
                <c:pt idx="337">
                  <c:v>2.7880483705175041E-2</c:v>
                </c:pt>
                <c:pt idx="338">
                  <c:v>2.7901775617460878E-2</c:v>
                </c:pt>
                <c:pt idx="339">
                  <c:v>2.7923067063399198E-2</c:v>
                </c:pt>
                <c:pt idx="340">
                  <c:v>2.7944358043000217E-2</c:v>
                </c:pt>
                <c:pt idx="341">
                  <c:v>2.7965648556274147E-2</c:v>
                </c:pt>
                <c:pt idx="342">
                  <c:v>2.7986938603231093E-2</c:v>
                </c:pt>
                <c:pt idx="343">
                  <c:v>2.8008228183881489E-2</c:v>
                </c:pt>
                <c:pt idx="344">
                  <c:v>2.802951729823544E-2</c:v>
                </c:pt>
                <c:pt idx="345">
                  <c:v>2.8050805946303048E-2</c:v>
                </c:pt>
                <c:pt idx="346">
                  <c:v>2.8072094128094638E-2</c:v>
                </c:pt>
                <c:pt idx="347">
                  <c:v>2.8093381843620424E-2</c:v>
                </c:pt>
                <c:pt idx="348">
                  <c:v>2.8114669092890732E-2</c:v>
                </c:pt>
                <c:pt idx="349">
                  <c:v>2.8135955875915553E-2</c:v>
                </c:pt>
                <c:pt idx="350">
                  <c:v>2.8157242192705101E-2</c:v>
                </c:pt>
                <c:pt idx="351">
                  <c:v>2.8178528043269813E-2</c:v>
                </c:pt>
                <c:pt idx="352">
                  <c:v>2.819981342761968E-2</c:v>
                </c:pt>
                <c:pt idx="353">
                  <c:v>2.8221098345765139E-2</c:v>
                </c:pt>
                <c:pt idx="354">
                  <c:v>2.824238279771607E-2</c:v>
                </c:pt>
                <c:pt idx="355">
                  <c:v>2.8263666783483021E-2</c:v>
                </c:pt>
                <c:pt idx="356">
                  <c:v>2.8284950303075984E-2</c:v>
                </c:pt>
                <c:pt idx="357">
                  <c:v>2.8306233356505284E-2</c:v>
                </c:pt>
                <c:pt idx="358">
                  <c:v>2.8327515943781134E-2</c:v>
                </c:pt>
                <c:pt idx="359">
                  <c:v>2.8348798064913638E-2</c:v>
                </c:pt>
                <c:pt idx="360">
                  <c:v>2.8370079719913122E-2</c:v>
                </c:pt>
                <c:pt idx="361">
                  <c:v>2.8391360908789687E-2</c:v>
                </c:pt>
                <c:pt idx="362">
                  <c:v>2.8412641631553659E-2</c:v>
                </c:pt>
                <c:pt idx="363">
                  <c:v>2.8433921888215141E-2</c:v>
                </c:pt>
                <c:pt idx="364">
                  <c:v>2.8455201678784348E-2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8.0854451332278879E-2</c:v>
                </c:pt>
                <c:pt idx="1">
                  <c:v>8.0887012828700686E-2</c:v>
                </c:pt>
                <c:pt idx="2">
                  <c:v>8.0919720857500585E-2</c:v>
                </c:pt>
                <c:pt idx="3">
                  <c:v>8.0952556748984231E-2</c:v>
                </c:pt>
                <c:pt idx="4">
                  <c:v>8.0985504244417181E-2</c:v>
                </c:pt>
                <c:pt idx="5">
                  <c:v>8.1018549422213246E-2</c:v>
                </c:pt>
                <c:pt idx="6">
                  <c:v>8.1051680606068335E-2</c:v>
                </c:pt>
                <c:pt idx="7">
                  <c:v>8.1084888256535675E-2</c:v>
                </c:pt>
                <c:pt idx="8">
                  <c:v>8.1118164847658325E-2</c:v>
                </c:pt>
                <c:pt idx="9">
                  <c:v>8.1151504730378091E-2</c:v>
                </c:pt>
                <c:pt idx="10">
                  <c:v>8.1184903984525603E-2</c:v>
                </c:pt>
                <c:pt idx="11">
                  <c:v>8.1218360261261224E-2</c:v>
                </c:pt>
                <c:pt idx="12">
                  <c:v>8.1251872617885204E-2</c:v>
                </c:pt>
                <c:pt idx="13">
                  <c:v>8.1285441346961473E-2</c:v>
                </c:pt>
                <c:pt idx="14">
                  <c:v>8.1319067801709499E-2</c:v>
                </c:pt>
                <c:pt idx="15">
                  <c:v>8.135275421960729E-2</c:v>
                </c:pt>
                <c:pt idx="16">
                  <c:v>8.1386503546119482E-2</c:v>
                </c:pt>
                <c:pt idx="17">
                  <c:v>8.1420319260416818E-2</c:v>
                </c:pt>
                <c:pt idx="18">
                  <c:v>8.1454205204889885E-2</c:v>
                </c:pt>
                <c:pt idx="19">
                  <c:v>8.1488165420177075E-2</c:v>
                </c:pt>
                <c:pt idx="20">
                  <c:v>8.1522203987331524E-2</c:v>
                </c:pt>
                <c:pt idx="21">
                  <c:v>8.155632487864091E-2</c:v>
                </c:pt>
                <c:pt idx="22">
                  <c:v>8.1590531818490047E-2</c:v>
                </c:pt>
                <c:pt idx="23">
                  <c:v>8.1624828155522161E-2</c:v>
                </c:pt>
                <c:pt idx="24">
                  <c:v>8.1659216747209232E-2</c:v>
                </c:pt>
                <c:pt idx="25">
                  <c:v>8.1693699857789528E-2</c:v>
                </c:pt>
                <c:pt idx="26">
                  <c:v>8.1728279070370766E-2</c:v>
                </c:pt>
                <c:pt idx="27">
                  <c:v>8.1762955213832977E-2</c:v>
                </c:pt>
                <c:pt idx="28">
                  <c:v>8.1797728304998013E-2</c:v>
                </c:pt>
                <c:pt idx="29">
                  <c:v>8.183259750636393E-2</c:v>
                </c:pt>
                <c:pt idx="30">
                  <c:v>8.1867561099534011E-2</c:v>
                </c:pt>
                <c:pt idx="31">
                  <c:v>8.1902616474304565E-2</c:v>
                </c:pt>
                <c:pt idx="32">
                  <c:v>8.193776013321262E-2</c:v>
                </c:pt>
                <c:pt idx="33">
                  <c:v>8.1972987711188425E-2</c:v>
                </c:pt>
                <c:pt idx="34">
                  <c:v>8.2008294009806901E-2</c:v>
                </c:pt>
                <c:pt idx="35">
                  <c:v>8.2043673045490956E-2</c:v>
                </c:pt>
                <c:pt idx="36">
                  <c:v>8.2079118110887209E-2</c:v>
                </c:pt>
                <c:pt idx="37">
                  <c:v>8.2114621848513508E-2</c:v>
                </c:pt>
                <c:pt idx="38">
                  <c:v>8.2150176335667957E-2</c:v>
                </c:pt>
                <c:pt idx="39">
                  <c:v>8.2185773179492702E-2</c:v>
                </c:pt>
                <c:pt idx="40">
                  <c:v>8.2221403621002942E-2</c:v>
                </c:pt>
                <c:pt idx="41">
                  <c:v>8.2257058646821771E-2</c:v>
                </c:pt>
                <c:pt idx="42">
                  <c:v>8.229272910730806E-2</c:v>
                </c:pt>
                <c:pt idx="43">
                  <c:v>8.2328405839724964E-2</c:v>
                </c:pt>
                <c:pt idx="44">
                  <c:v>8.2364079795071252E-2</c:v>
                </c:pt>
                <c:pt idx="45">
                  <c:v>8.2399742167189954E-2</c:v>
                </c:pt>
                <c:pt idx="46">
                  <c:v>8.2435384522771896E-2</c:v>
                </c:pt>
                <c:pt idx="47">
                  <c:v>8.2470998930893366E-2</c:v>
                </c:pt>
                <c:pt idx="48">
                  <c:v>8.2506578090759175E-2</c:v>
                </c:pt>
                <c:pt idx="49">
                  <c:v>8.2542115456369927E-2</c:v>
                </c:pt>
                <c:pt idx="50">
                  <c:v>8.2577605356891237E-2</c:v>
                </c:pt>
                <c:pt idx="51">
                  <c:v>8.2613043111572901E-2</c:v>
                </c:pt>
                <c:pt idx="52">
                  <c:v>8.2648425138148324E-2</c:v>
                </c:pt>
                <c:pt idx="53">
                  <c:v>8.2683749053733255E-2</c:v>
                </c:pt>
                <c:pt idx="54">
                  <c:v>8.2719013767343474E-2</c:v>
                </c:pt>
                <c:pt idx="55">
                  <c:v>8.2754219563255141E-2</c:v>
                </c:pt>
                <c:pt idx="56">
                  <c:v>8.2789368174543396E-2</c:v>
                </c:pt>
                <c:pt idx="57">
                  <c:v>8.282446284624978E-2</c:v>
                </c:pt>
                <c:pt idx="58">
                  <c:v>8.2859508387747555E-2</c:v>
                </c:pt>
                <c:pt idx="59">
                  <c:v>8.2894511213992342E-2</c:v>
                </c:pt>
                <c:pt idx="60">
                  <c:v>8.292947937546663E-2</c:v>
                </c:pt>
                <c:pt idx="61">
                  <c:v>8.2964422576742802E-2</c:v>
                </c:pt>
                <c:pt idx="62">
                  <c:v>8.2999352183706715E-2</c:v>
                </c:pt>
                <c:pt idx="63">
                  <c:v>8.3034281219592943E-2</c:v>
                </c:pt>
                <c:pt idx="64">
                  <c:v>8.3069224350091439E-2</c:v>
                </c:pt>
                <c:pt idx="65">
                  <c:v>8.3104197857883144E-2</c:v>
                </c:pt>
                <c:pt idx="66">
                  <c:v>8.3139219607055712E-2</c:v>
                </c:pt>
                <c:pt idx="67">
                  <c:v>8.3174308997934931E-2</c:v>
                </c:pt>
                <c:pt idx="68">
                  <c:v>8.3209486912941791E-2</c:v>
                </c:pt>
                <c:pt idx="69">
                  <c:v>8.3244775654151434E-2</c:v>
                </c:pt>
                <c:pt idx="70">
                  <c:v>8.3280198873285263E-2</c:v>
                </c:pt>
                <c:pt idx="71">
                  <c:v>8.3315781494911659E-2</c:v>
                </c:pt>
                <c:pt idx="72">
                  <c:v>8.3351549633664382E-2</c:v>
                </c:pt>
                <c:pt idx="73">
                  <c:v>8.3387530506310342E-2</c:v>
                </c:pt>
                <c:pt idx="74">
                  <c:v>8.3423752339509202E-2</c:v>
                </c:pt>
                <c:pt idx="75">
                  <c:v>8.3460244274107295E-2</c:v>
                </c:pt>
                <c:pt idx="76">
                  <c:v>8.3497036266798899E-2</c:v>
                </c:pt>
                <c:pt idx="77">
                  <c:v>8.3534158989964954E-2</c:v>
                </c:pt>
                <c:pt idx="78">
                  <c:v>8.3571643730470685E-2</c:v>
                </c:pt>
                <c:pt idx="79">
                  <c:v>8.3609522288162333E-2</c:v>
                </c:pt>
                <c:pt idx="80">
                  <c:v>8.3647826874755027E-2</c:v>
                </c:pt>
                <c:pt idx="81">
                  <c:v>8.3686590013748452E-2</c:v>
                </c:pt>
                <c:pt idx="82">
                  <c:v>8.3725844441943864E-2</c:v>
                </c:pt>
                <c:pt idx="83">
                  <c:v>8.3765623013068002E-2</c:v>
                </c:pt>
                <c:pt idx="84">
                  <c:v>8.3805958603936678E-2</c:v>
                </c:pt>
                <c:pt idx="85">
                  <c:v>8.384688402351477E-2</c:v>
                </c:pt>
                <c:pt idx="86">
                  <c:v>8.3888431925150636E-2</c:v>
                </c:pt>
                <c:pt idx="87">
                  <c:v>8.3930634722183775E-2</c:v>
                </c:pt>
                <c:pt idx="88">
                  <c:v>8.3973524507044636E-2</c:v>
                </c:pt>
                <c:pt idx="89">
                  <c:v>8.4017132973887715E-2</c:v>
                </c:pt>
                <c:pt idx="90">
                  <c:v>8.4061491344722947E-2</c:v>
                </c:pt>
                <c:pt idx="91">
                  <c:v>8.4106630298938029E-2</c:v>
                </c:pt>
                <c:pt idx="92">
                  <c:v>8.4152579906036876E-2</c:v>
                </c:pt>
                <c:pt idx="93">
                  <c:v>8.4199369561356555E-2</c:v>
                </c:pt>
                <c:pt idx="94">
                  <c:v>8.4247027924470072E-2</c:v>
                </c:pt>
                <c:pt idx="95">
                  <c:v>8.4295582859932799E-2</c:v>
                </c:pt>
                <c:pt idx="96">
                  <c:v>8.4345061379990871E-2</c:v>
                </c:pt>
                <c:pt idx="97">
                  <c:v>8.4395489588836664E-2</c:v>
                </c:pt>
                <c:pt idx="98">
                  <c:v>8.4446892627975251E-2</c:v>
                </c:pt>
                <c:pt idx="99">
                  <c:v>8.4499294622250129E-2</c:v>
                </c:pt>
                <c:pt idx="100">
                  <c:v>8.4552718626074927E-2</c:v>
                </c:pt>
                <c:pt idx="101">
                  <c:v>8.4607186569422357E-2</c:v>
                </c:pt>
                <c:pt idx="102">
                  <c:v>8.4662719203138281E-2</c:v>
                </c:pt>
                <c:pt idx="103">
                  <c:v>8.471933604317386E-2</c:v>
                </c:pt>
                <c:pt idx="104">
                  <c:v>8.4777055313364144E-2</c:v>
                </c:pt>
                <c:pt idx="105">
                  <c:v>8.4835893886424429E-2</c:v>
                </c:pt>
                <c:pt idx="106">
                  <c:v>8.4895867222888638E-2</c:v>
                </c:pt>
                <c:pt idx="107">
                  <c:v>8.4956989307773401E-2</c:v>
                </c:pt>
                <c:pt idx="108">
                  <c:v>8.5019272584818742E-2</c:v>
                </c:pt>
                <c:pt idx="109">
                  <c:v>8.0531107998261017E-3</c:v>
                </c:pt>
                <c:pt idx="110">
                  <c:v>8.159095730858627E-3</c:v>
                </c:pt>
                <c:pt idx="111">
                  <c:v>8.2651799121882634E-3</c:v>
                </c:pt>
                <c:pt idx="112">
                  <c:v>8.3713680576665197E-3</c:v>
                </c:pt>
                <c:pt idx="113">
                  <c:v>8.4776647038510011E-3</c:v>
                </c:pt>
                <c:pt idx="114">
                  <c:v>8.5840741909008512E-3</c:v>
                </c:pt>
                <c:pt idx="115">
                  <c:v>8.6906006428532096E-3</c:v>
                </c:pt>
                <c:pt idx="116">
                  <c:v>8.7972479473269732E-3</c:v>
                </c:pt>
                <c:pt idx="117">
                  <c:v>8.9040197347131644E-3</c:v>
                </c:pt>
                <c:pt idx="118">
                  <c:v>9.010919356925589E-3</c:v>
                </c:pt>
                <c:pt idx="119">
                  <c:v>9.1179498657985719E-3</c:v>
                </c:pt>
                <c:pt idx="120">
                  <c:v>9.2251139912333368E-3</c:v>
                </c:pt>
                <c:pt idx="121">
                  <c:v>9.3324141192075907E-3</c:v>
                </c:pt>
                <c:pt idx="122">
                  <c:v>9.4398522697766458E-3</c:v>
                </c:pt>
                <c:pt idx="123">
                  <c:v>9.5474300752070394E-3</c:v>
                </c:pt>
                <c:pt idx="124">
                  <c:v>9.655148758395217E-3</c:v>
                </c:pt>
                <c:pt idx="125">
                  <c:v>9.7630091117350496E-3</c:v>
                </c:pt>
                <c:pt idx="126">
                  <c:v>9.8710114766073758E-3</c:v>
                </c:pt>
                <c:pt idx="127">
                  <c:v>9.9791557236732133E-3</c:v>
                </c:pt>
                <c:pt idx="128">
                  <c:v>1.0087441234158525E-2</c:v>
                </c:pt>
                <c:pt idx="129">
                  <c:v>1.0195866882324012E-2</c:v>
                </c:pt>
                <c:pt idx="130">
                  <c:v>1.0304431019315776E-2</c:v>
                </c:pt>
                <c:pt idx="131">
                  <c:v>1.0413131458594333E-2</c:v>
                </c:pt>
                <c:pt idx="132">
                  <c:v>1.0521965463137922E-2</c:v>
                </c:pt>
                <c:pt idx="133">
                  <c:v>1.063092973461314E-2</c:v>
                </c:pt>
                <c:pt idx="134">
                  <c:v>1.0740020404700316E-2</c:v>
                </c:pt>
                <c:pt idx="135">
                  <c:v>1.0849233028753227E-2</c:v>
                </c:pt>
                <c:pt idx="136">
                  <c:v>1.0958562581962821E-2</c:v>
                </c:pt>
                <c:pt idx="137">
                  <c:v>1.1068003458182159E-2</c:v>
                </c:pt>
                <c:pt idx="138">
                  <c:v>1.1177549471555446E-2</c:v>
                </c:pt>
                <c:pt idx="139">
                  <c:v>1.128719386107708E-2</c:v>
                </c:pt>
                <c:pt idx="140">
                  <c:v>1.1396929298188283E-2</c:v>
                </c:pt>
                <c:pt idx="141">
                  <c:v>1.150674789749807E-2</c:v>
                </c:pt>
                <c:pt idx="142">
                  <c:v>1.1616641230693061E-2</c:v>
                </c:pt>
                <c:pt idx="143">
                  <c:v>1.172660034367666E-2</c:v>
                </c:pt>
                <c:pt idx="144">
                  <c:v>1.1836615776953144E-2</c:v>
                </c:pt>
                <c:pt idx="145">
                  <c:v>1.1946677589245537E-2</c:v>
                </c:pt>
                <c:pt idx="146">
                  <c:v>1.205677538430896E-2</c:v>
                </c:pt>
                <c:pt idx="147">
                  <c:v>1.2166898340873502E-2</c:v>
                </c:pt>
                <c:pt idx="148">
                  <c:v>1.2277035245622257E-2</c:v>
                </c:pt>
                <c:pt idx="149">
                  <c:v>1.2387174529081812E-2</c:v>
                </c:pt>
                <c:pt idx="150">
                  <c:v>1.2497304304274613E-2</c:v>
                </c:pt>
                <c:pt idx="151">
                  <c:v>1.2607412407955217E-2</c:v>
                </c:pt>
                <c:pt idx="152">
                  <c:v>1.2717486444225462E-2</c:v>
                </c:pt>
                <c:pt idx="153">
                  <c:v>1.2827513830298277E-2</c:v>
                </c:pt>
                <c:pt idx="154">
                  <c:v>1.2937481844155795E-2</c:v>
                </c:pt>
                <c:pt idx="155">
                  <c:v>1.3047377673824774E-2</c:v>
                </c:pt>
                <c:pt idx="156">
                  <c:v>1.3157188467972288E-2</c:v>
                </c:pt>
                <c:pt idx="157">
                  <c:v>1.3266901387506075E-2</c:v>
                </c:pt>
                <c:pt idx="158">
                  <c:v>1.3376503657848442E-2</c:v>
                </c:pt>
                <c:pt idx="159">
                  <c:v>1.348598262153957E-2</c:v>
                </c:pt>
                <c:pt idx="160">
                  <c:v>1.3595325790815831E-2</c:v>
                </c:pt>
                <c:pt idx="161">
                  <c:v>1.3704520899801658E-2</c:v>
                </c:pt>
                <c:pt idx="162">
                  <c:v>1.3813555955949561E-2</c:v>
                </c:pt>
                <c:pt idx="163">
                  <c:v>1.392241929036208E-2</c:v>
                </c:pt>
                <c:pt idx="164">
                  <c:v>1.4031099606632361E-2</c:v>
                </c:pt>
                <c:pt idx="165">
                  <c:v>1.4139586027845716E-2</c:v>
                </c:pt>
                <c:pt idx="166">
                  <c:v>1.4247868141394339E-2</c:v>
                </c:pt>
                <c:pt idx="167">
                  <c:v>1.4355936041269694E-2</c:v>
                </c:pt>
                <c:pt idx="168">
                  <c:v>1.4463780367513227E-2</c:v>
                </c:pt>
                <c:pt idx="169">
                  <c:v>1.4571392342525514E-2</c:v>
                </c:pt>
                <c:pt idx="170">
                  <c:v>1.4678763803955261E-2</c:v>
                </c:pt>
                <c:pt idx="171">
                  <c:v>1.4785887233915754E-2</c:v>
                </c:pt>
                <c:pt idx="172">
                  <c:v>1.4892755784302634E-2</c:v>
                </c:pt>
                <c:pt idx="173">
                  <c:v>1.4999363298018015E-2</c:v>
                </c:pt>
                <c:pt idx="174">
                  <c:v>1.5105704325937271E-2</c:v>
                </c:pt>
                <c:pt idx="175">
                  <c:v>1.5211774139489011E-2</c:v>
                </c:pt>
                <c:pt idx="176">
                  <c:v>1.5317568738754115E-2</c:v>
                </c:pt>
                <c:pt idx="177">
                  <c:v>1.5423084856026319E-2</c:v>
                </c:pt>
                <c:pt idx="178">
                  <c:v>1.5528319954813989E-2</c:v>
                </c:pt>
                <c:pt idx="179">
                  <c:v>1.5633272224300644E-2</c:v>
                </c:pt>
                <c:pt idx="180">
                  <c:v>1.5737940569319778E-2</c:v>
                </c:pt>
                <c:pt idx="181">
                  <c:v>1.5842324595936621E-2</c:v>
                </c:pt>
                <c:pt idx="182">
                  <c:v>1.5946424592766809E-2</c:v>
                </c:pt>
                <c:pt idx="183">
                  <c:v>1.6050241508197279E-2</c:v>
                </c:pt>
                <c:pt idx="184">
                  <c:v>1.6153776923709291E-2</c:v>
                </c:pt>
                <c:pt idx="185">
                  <c:v>1.6257033023535747E-2</c:v>
                </c:pt>
                <c:pt idx="186">
                  <c:v>1.6360012560915585E-2</c:v>
                </c:pt>
                <c:pt idx="187">
                  <c:v>1.6462718821235567E-2</c:v>
                </c:pt>
                <c:pt idx="188">
                  <c:v>1.6565155582375223E-2</c:v>
                </c:pt>
                <c:pt idx="189">
                  <c:v>1.6667327072592719E-2</c:v>
                </c:pt>
                <c:pt idx="190">
                  <c:v>1.6769237926308141E-2</c:v>
                </c:pt>
                <c:pt idx="191">
                  <c:v>1.6870893138155877E-2</c:v>
                </c:pt>
                <c:pt idx="192">
                  <c:v>1.6972298015690085E-2</c:v>
                </c:pt>
                <c:pt idx="193">
                  <c:v>1.7073458131134249E-2</c:v>
                </c:pt>
                <c:pt idx="194">
                  <c:v>1.7174379272570487E-2</c:v>
                </c:pt>
                <c:pt idx="195">
                  <c:v>1.7275067394964184E-2</c:v>
                </c:pt>
                <c:pt idx="196">
                  <c:v>1.7375528571415458E-2</c:v>
                </c:pt>
                <c:pt idx="197">
                  <c:v>1.7475768945021532E-2</c:v>
                </c:pt>
                <c:pt idx="198">
                  <c:v>1.7575794681722337E-2</c:v>
                </c:pt>
                <c:pt idx="199">
                  <c:v>1.7675611924485992E-2</c:v>
                </c:pt>
                <c:pt idx="200">
                  <c:v>1.7775226749173E-2</c:v>
                </c:pt>
                <c:pt idx="201">
                  <c:v>1.7874645122394204E-2</c:v>
                </c:pt>
                <c:pt idx="202">
                  <c:v>1.7973872861653837E-2</c:v>
                </c:pt>
                <c:pt idx="203">
                  <c:v>1.8072915598039651E-2</c:v>
                </c:pt>
                <c:pt idx="204">
                  <c:v>1.8171778741691832E-2</c:v>
                </c:pt>
                <c:pt idx="205">
                  <c:v>1.8270467450249628E-2</c:v>
                </c:pt>
                <c:pt idx="206">
                  <c:v>1.8368986600439535E-2</c:v>
                </c:pt>
                <c:pt idx="207">
                  <c:v>1.8467340762932879E-2</c:v>
                </c:pt>
                <c:pt idx="208">
                  <c:v>1.856553418056325E-2</c:v>
                </c:pt>
                <c:pt idx="209">
                  <c:v>1.8663570749956469E-2</c:v>
                </c:pt>
                <c:pt idx="210">
                  <c:v>1.8761454006587578E-2</c:v>
                </c:pt>
                <c:pt idx="211">
                  <c:v>1.8859187113241277E-2</c:v>
                </c:pt>
                <c:pt idx="212">
                  <c:v>1.895677285181549E-2</c:v>
                </c:pt>
                <c:pt idx="213">
                  <c:v>1.9054213618370914E-2</c:v>
                </c:pt>
                <c:pt idx="214">
                  <c:v>1.9151511421295276E-2</c:v>
                </c:pt>
                <c:pt idx="215">
                  <c:v>1.924866788241816E-2</c:v>
                </c:pt>
                <c:pt idx="216">
                  <c:v>1.9345684240881303E-2</c:v>
                </c:pt>
                <c:pt idx="217">
                  <c:v>1.944256135954231E-2</c:v>
                </c:pt>
                <c:pt idx="218">
                  <c:v>1.9539299733663834E-2</c:v>
                </c:pt>
                <c:pt idx="219">
                  <c:v>1.9635899501619525E-2</c:v>
                </c:pt>
                <c:pt idx="220">
                  <c:v>1.9732360457329304E-2</c:v>
                </c:pt>
                <c:pt idx="221">
                  <c:v>1.9828682064122791E-2</c:v>
                </c:pt>
                <c:pt idx="222">
                  <c:v>1.992486346971865E-2</c:v>
                </c:pt>
                <c:pt idx="223">
                  <c:v>2.0020903522002004E-2</c:v>
                </c:pt>
                <c:pt idx="224">
                  <c:v>2.0116800785279321E-2</c:v>
                </c:pt>
                <c:pt idx="225">
                  <c:v>2.0212553556692714E-2</c:v>
                </c:pt>
                <c:pt idx="226">
                  <c:v>2.0308159882481452E-2</c:v>
                </c:pt>
                <c:pt idx="227">
                  <c:v>2.0403617573789203E-2</c:v>
                </c:pt>
                <c:pt idx="228">
                  <c:v>2.049892422173006E-2</c:v>
                </c:pt>
                <c:pt idx="229">
                  <c:v>2.0594077211444232E-2</c:v>
                </c:pt>
                <c:pt idx="230">
                  <c:v>2.0689073734897197E-2</c:v>
                </c:pt>
                <c:pt idx="231">
                  <c:v>2.0783910802200895E-2</c:v>
                </c:pt>
                <c:pt idx="232">
                  <c:v>2.0878585251264736E-2</c:v>
                </c:pt>
                <c:pt idx="233">
                  <c:v>2.0973093755615586E-2</c:v>
                </c:pt>
                <c:pt idx="234">
                  <c:v>2.1067432830259705E-2</c:v>
                </c:pt>
                <c:pt idx="235">
                  <c:v>2.1161598835496356E-2</c:v>
                </c:pt>
                <c:pt idx="236">
                  <c:v>2.125558797862992E-2</c:v>
                </c:pt>
                <c:pt idx="237">
                  <c:v>2.1349396313566676E-2</c:v>
                </c:pt>
                <c:pt idx="238">
                  <c:v>2.144301973832231E-2</c:v>
                </c:pt>
                <c:pt idx="239">
                  <c:v>2.1536453990505845E-2</c:v>
                </c:pt>
                <c:pt idx="240">
                  <c:v>2.1629694640885669E-2</c:v>
                </c:pt>
                <c:pt idx="241">
                  <c:v>2.1722737085182405E-2</c:v>
                </c:pt>
                <c:pt idx="242">
                  <c:v>2.1815576534271165E-2</c:v>
                </c:pt>
                <c:pt idx="243">
                  <c:v>2.1908208003011614E-2</c:v>
                </c:pt>
                <c:pt idx="244">
                  <c:v>2.2000626297958563E-2</c:v>
                </c:pt>
                <c:pt idx="245">
                  <c:v>2.2092826004236649E-2</c:v>
                </c:pt>
                <c:pt idx="246">
                  <c:v>2.2184801471891193E-2</c:v>
                </c:pt>
                <c:pt idx="247">
                  <c:v>2.2276546802051937E-2</c:v>
                </c:pt>
                <c:pt idx="248">
                  <c:v>2.2368055833266884E-2</c:v>
                </c:pt>
                <c:pt idx="249">
                  <c:v>2.245932212838091E-2</c:v>
                </c:pt>
                <c:pt idx="250">
                  <c:v>2.2550338962345096E-2</c:v>
                </c:pt>
                <c:pt idx="251">
                  <c:v>2.2641099311350988E-2</c:v>
                </c:pt>
                <c:pt idx="252">
                  <c:v>2.2731595843686215E-2</c:v>
                </c:pt>
                <c:pt idx="253">
                  <c:v>2.2821820912705622E-2</c:v>
                </c:pt>
                <c:pt idx="254">
                  <c:v>2.291176655230448E-2</c:v>
                </c:pt>
                <c:pt idx="255">
                  <c:v>2.300142447526762E-2</c:v>
                </c:pt>
                <c:pt idx="256">
                  <c:v>2.3090786074850791E-2</c:v>
                </c:pt>
                <c:pt idx="257">
                  <c:v>2.3179842429927284E-2</c:v>
                </c:pt>
                <c:pt idx="258">
                  <c:v>2.3268584314005806E-2</c:v>
                </c:pt>
                <c:pt idx="259">
                  <c:v>2.335700220839251E-2</c:v>
                </c:pt>
                <c:pt idx="260">
                  <c:v>2.3445086319734135E-2</c:v>
                </c:pt>
                <c:pt idx="261">
                  <c:v>2.3532826602137659E-2</c:v>
                </c:pt>
                <c:pt idx="262">
                  <c:v>2.3620212784017842E-2</c:v>
                </c:pt>
                <c:pt idx="263">
                  <c:v>2.3707234399775848E-2</c:v>
                </c:pt>
                <c:pt idx="264">
                  <c:v>2.3793880826361542E-2</c:v>
                </c:pt>
                <c:pt idx="265">
                  <c:v>2.3880141324719082E-2</c:v>
                </c:pt>
                <c:pt idx="266">
                  <c:v>2.3966005086060234E-2</c:v>
                </c:pt>
                <c:pt idx="267">
                  <c:v>2.405146128285408E-2</c:v>
                </c:pt>
                <c:pt idx="268">
                  <c:v>2.4136499124364479E-2</c:v>
                </c:pt>
                <c:pt idx="269">
                  <c:v>2.4221107916510408E-2</c:v>
                </c:pt>
                <c:pt idx="270">
                  <c:v>2.4305277125766956E-2</c:v>
                </c:pt>
                <c:pt idx="271">
                  <c:v>2.4388996446770648E-2</c:v>
                </c:pt>
                <c:pt idx="272">
                  <c:v>2.447225587323848E-2</c:v>
                </c:pt>
                <c:pt idx="273">
                  <c:v>2.4555045771759241E-2</c:v>
                </c:pt>
                <c:pt idx="274">
                  <c:v>2.4637356957968089E-2</c:v>
                </c:pt>
                <c:pt idx="275">
                  <c:v>2.4719180774569926E-2</c:v>
                </c:pt>
                <c:pt idx="276">
                  <c:v>2.4800509170637461E-2</c:v>
                </c:pt>
                <c:pt idx="277">
                  <c:v>2.4881334781573894E-2</c:v>
                </c:pt>
                <c:pt idx="278">
                  <c:v>2.4961651009099039E-2</c:v>
                </c:pt>
                <c:pt idx="279">
                  <c:v>2.5041452100592984E-2</c:v>
                </c:pt>
                <c:pt idx="280">
                  <c:v>2.5120733227111756E-2</c:v>
                </c:pt>
                <c:pt idx="281">
                  <c:v>2.5199490559376595E-2</c:v>
                </c:pt>
                <c:pt idx="282">
                  <c:v>2.527772134103148E-2</c:v>
                </c:pt>
                <c:pt idx="283">
                  <c:v>2.5355423958464039E-2</c:v>
                </c:pt>
                <c:pt idx="284">
                  <c:v>2.5432598006491301E-2</c:v>
                </c:pt>
                <c:pt idx="285">
                  <c:v>2.5509244349226131E-2</c:v>
                </c:pt>
                <c:pt idx="286">
                  <c:v>2.5585365175460211E-2</c:v>
                </c:pt>
                <c:pt idx="287">
                  <c:v>2.5660964047927184E-2</c:v>
                </c:pt>
                <c:pt idx="288">
                  <c:v>2.573604594584384E-2</c:v>
                </c:pt>
                <c:pt idx="289">
                  <c:v>2.5810617300167205E-2</c:v>
                </c:pt>
                <c:pt idx="290">
                  <c:v>2.5884686021052958E-2</c:v>
                </c:pt>
                <c:pt idx="291">
                  <c:v>2.5958261517052422E-2</c:v>
                </c:pt>
                <c:pt idx="292">
                  <c:v>2.6031354705643772E-2</c:v>
                </c:pt>
                <c:pt idx="293">
                  <c:v>2.6103978014756335E-2</c:v>
                </c:pt>
                <c:pt idx="294">
                  <c:v>2.6176145375013459E-2</c:v>
                </c:pt>
                <c:pt idx="295">
                  <c:v>2.6247872202491623E-2</c:v>
                </c:pt>
                <c:pt idx="296">
                  <c:v>2.6319175371867395E-2</c:v>
                </c:pt>
                <c:pt idx="297">
                  <c:v>2.6390073179901049E-2</c:v>
                </c:pt>
                <c:pt idx="298">
                  <c:v>2.6460585299284814E-2</c:v>
                </c:pt>
                <c:pt idx="299">
                  <c:v>2.6530732722963687E-2</c:v>
                </c:pt>
                <c:pt idx="300">
                  <c:v>2.660053769911741E-2</c:v>
                </c:pt>
                <c:pt idx="301">
                  <c:v>2.6670023657072255E-2</c:v>
                </c:pt>
                <c:pt idx="302">
                  <c:v>2.6739215124490952E-2</c:v>
                </c:pt>
                <c:pt idx="303">
                  <c:v>2.6808137636265487E-2</c:v>
                </c:pt>
                <c:pt idx="304">
                  <c:v>2.6876817635613153E-2</c:v>
                </c:pt>
                <c:pt idx="305">
                  <c:v>2.694528236794692E-2</c:v>
                </c:pt>
                <c:pt idx="306">
                  <c:v>2.7013559768158845E-2</c:v>
                </c:pt>
                <c:pt idx="307">
                  <c:v>2.7081678342017808E-2</c:v>
                </c:pt>
                <c:pt idx="308">
                  <c:v>2.7149667042440061E-2</c:v>
                </c:pt>
                <c:pt idx="309">
                  <c:v>2.7217555141442543E-2</c:v>
                </c:pt>
                <c:pt idx="310">
                  <c:v>2.728537209863377E-2</c:v>
                </c:pt>
                <c:pt idx="311">
                  <c:v>2.7353147427134884E-2</c:v>
                </c:pt>
                <c:pt idx="312">
                  <c:v>2.7420910557854349E-2</c:v>
                </c:pt>
                <c:pt idx="313">
                  <c:v>2.7488690703062167E-2</c:v>
                </c:pt>
                <c:pt idx="314">
                  <c:v>2.7556516720224848E-2</c:v>
                </c:pt>
                <c:pt idx="315">
                  <c:v>2.7624416977068588E-2</c:v>
                </c:pt>
                <c:pt idx="316">
                  <c:v>2.7692419218836788E-2</c:v>
                </c:pt>
                <c:pt idx="317">
                  <c:v>2.7760550438697768E-2</c:v>
                </c:pt>
                <c:pt idx="318">
                  <c:v>2.7828836752240294E-2</c:v>
                </c:pt>
                <c:pt idx="319">
                  <c:v>2.7897303276967968E-2</c:v>
                </c:pt>
                <c:pt idx="320">
                  <c:v>2.7965974017668722E-2</c:v>
                </c:pt>
                <c:pt idx="321">
                  <c:v>2.8034871758493562E-2</c:v>
                </c:pt>
                <c:pt idx="322">
                  <c:v>2.8104017962528541E-2</c:v>
                </c:pt>
                <c:pt idx="323">
                  <c:v>2.8173432679587398E-2</c:v>
                </c:pt>
                <c:pt idx="324">
                  <c:v>2.8243134462888887E-2</c:v>
                </c:pt>
                <c:pt idx="325">
                  <c:v>2.8313140295213483E-2</c:v>
                </c:pt>
                <c:pt idx="326">
                  <c:v>2.8383465525059437E-2</c:v>
                </c:pt>
                <c:pt idx="327">
                  <c:v>2.845412381323904E-2</c:v>
                </c:pt>
                <c:pt idx="328">
                  <c:v>2.8525127090272228E-2</c:v>
                </c:pt>
                <c:pt idx="329">
                  <c:v>2.8596485524848645E-2</c:v>
                </c:pt>
                <c:pt idx="330">
                  <c:v>2.8668207503539586E-2</c:v>
                </c:pt>
                <c:pt idx="331">
                  <c:v>2.874029962185105E-2</c:v>
                </c:pt>
                <c:pt idx="332">
                  <c:v>2.8812766686617704E-2</c:v>
                </c:pt>
                <c:pt idx="333">
                  <c:v>2.8885611729645575E-2</c:v>
                </c:pt>
                <c:pt idx="334">
                  <c:v>2.8958836032421293E-2</c:v>
                </c:pt>
                <c:pt idx="335">
                  <c:v>2.9032439161616335E-2</c:v>
                </c:pt>
                <c:pt idx="336">
                  <c:v>2.9106419015028664E-2</c:v>
                </c:pt>
                <c:pt idx="337">
                  <c:v>2.9180771877520596E-2</c:v>
                </c:pt>
                <c:pt idx="338">
                  <c:v>2.9255492486433176E-2</c:v>
                </c:pt>
                <c:pt idx="339">
                  <c:v>2.9330574105882554E-2</c:v>
                </c:pt>
                <c:pt idx="340">
                  <c:v>2.9406008609275447E-2</c:v>
                </c:pt>
                <c:pt idx="341">
                  <c:v>2.948178656931771E-2</c:v>
                </c:pt>
                <c:pt idx="342">
                  <c:v>2.955789735473404E-2</c:v>
                </c:pt>
                <c:pt idx="343">
                  <c:v>2.9634329232867934E-2</c:v>
                </c:pt>
                <c:pt idx="344">
                  <c:v>2.971106947728969E-2</c:v>
                </c:pt>
                <c:pt idx="345">
                  <c:v>2.9788104479506486E-2</c:v>
                </c:pt>
                <c:pt idx="346">
                  <c:v>2.9865419863843945E-2</c:v>
                </c:pt>
                <c:pt idx="347">
                  <c:v>2.9943000604551181E-2</c:v>
                </c:pt>
                <c:pt idx="348">
                  <c:v>3.0020831144173876E-2</c:v>
                </c:pt>
                <c:pt idx="349">
                  <c:v>3.009889551223938E-2</c:v>
                </c:pt>
                <c:pt idx="350">
                  <c:v>3.0177177443307893E-2</c:v>
                </c:pt>
                <c:pt idx="351">
                  <c:v>3.0255660493460148E-2</c:v>
                </c:pt>
                <c:pt idx="352">
                  <c:v>3.0334328154318302E-2</c:v>
                </c:pt>
                <c:pt idx="353">
                  <c:v>3.0413163963730037E-2</c:v>
                </c:pt>
                <c:pt idx="354">
                  <c:v>3.0492151612287081E-2</c:v>
                </c:pt>
                <c:pt idx="355">
                  <c:v>3.0571275044897581E-2</c:v>
                </c:pt>
                <c:pt idx="356">
                  <c:v>3.0650518556686716E-2</c:v>
                </c:pt>
                <c:pt idx="357">
                  <c:v>3.0729866882561203E-2</c:v>
                </c:pt>
                <c:pt idx="358">
                  <c:v>3.0809305279839407E-2</c:v>
                </c:pt>
                <c:pt idx="359">
                  <c:v>3.0888819603420509E-2</c:v>
                </c:pt>
                <c:pt idx="360">
                  <c:v>3.0968396373041426E-2</c:v>
                </c:pt>
                <c:pt idx="361">
                  <c:v>3.1048022832248768E-2</c:v>
                </c:pt>
                <c:pt idx="362">
                  <c:v>3.112768699879475E-2</c:v>
                </c:pt>
                <c:pt idx="363">
                  <c:v>3.1207377706248811E-2</c:v>
                </c:pt>
                <c:pt idx="364">
                  <c:v>3.1287084636700706E-2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1.6372047882523388E-3</c:v>
                </c:pt>
                <c:pt idx="1">
                  <c:v>1.6241121880780792E-3</c:v>
                </c:pt>
                <c:pt idx="2">
                  <c:v>1.6060606116904885E-3</c:v>
                </c:pt>
                <c:pt idx="3">
                  <c:v>1.5832468130877689E-3</c:v>
                </c:pt>
                <c:pt idx="4">
                  <c:v>1.5558614038856835E-3</c:v>
                </c:pt>
                <c:pt idx="5">
                  <c:v>1.5240865963340273E-3</c:v>
                </c:pt>
                <c:pt idx="6">
                  <c:v>1.4880942219604534E-3</c:v>
                </c:pt>
                <c:pt idx="7">
                  <c:v>1.4480440002796796E-3</c:v>
                </c:pt>
                <c:pt idx="8">
                  <c:v>1.4039253830644442E-3</c:v>
                </c:pt>
                <c:pt idx="9">
                  <c:v>1.3564546354240296E-3</c:v>
                </c:pt>
                <c:pt idx="10">
                  <c:v>1.3071307997705353E-3</c:v>
                </c:pt>
                <c:pt idx="11">
                  <c:v>1.2559912850718252E-3</c:v>
                </c:pt>
                <c:pt idx="12">
                  <c:v>1.2030767310816097E-3</c:v>
                </c:pt>
                <c:pt idx="13">
                  <c:v>1.1484310234345784E-3</c:v>
                </c:pt>
                <c:pt idx="14">
                  <c:v>1.0921012914794927E-3</c:v>
                </c:pt>
                <c:pt idx="15">
                  <c:v>1.0365500083032244E-3</c:v>
                </c:pt>
                <c:pt idx="16">
                  <c:v>9.8480106536303204E-4</c:v>
                </c:pt>
                <c:pt idx="17">
                  <c:v>9.3678095430856404E-4</c:v>
                </c:pt>
                <c:pt idx="18">
                  <c:v>8.9241684767292983E-4</c:v>
                </c:pt>
                <c:pt idx="19">
                  <c:v>8.5164096336186313E-4</c:v>
                </c:pt>
                <c:pt idx="20">
                  <c:v>8.143866913796952E-4</c:v>
                </c:pt>
                <c:pt idx="21">
                  <c:v>7.8058271886416398E-4</c:v>
                </c:pt>
                <c:pt idx="22">
                  <c:v>7.5012033445810049E-4</c:v>
                </c:pt>
                <c:pt idx="23">
                  <c:v>7.2347586575538232E-4</c:v>
                </c:pt>
                <c:pt idx="24">
                  <c:v>6.999113078398903E-4</c:v>
                </c:pt>
                <c:pt idx="25">
                  <c:v>6.793853452805855E-4</c:v>
                </c:pt>
                <c:pt idx="26">
                  <c:v>6.6185101132160801E-4</c:v>
                </c:pt>
                <c:pt idx="27">
                  <c:v>6.4725709418552292E-4</c:v>
                </c:pt>
                <c:pt idx="28">
                  <c:v>6.3554944384350883E-4</c:v>
                </c:pt>
                <c:pt idx="29">
                  <c:v>6.26866989064071E-4</c:v>
                </c:pt>
                <c:pt idx="30">
                  <c:v>6.1903573563540002E-4</c:v>
                </c:pt>
                <c:pt idx="31">
                  <c:v>6.1205307390509731E-4</c:v>
                </c:pt>
                <c:pt idx="32">
                  <c:v>6.0591538903291184E-4</c:v>
                </c:pt>
                <c:pt idx="33">
                  <c:v>6.0061838260659856E-4</c:v>
                </c:pt>
                <c:pt idx="34">
                  <c:v>5.9615737394749508E-4</c:v>
                </c:pt>
                <c:pt idx="35">
                  <c:v>5.9252758203638895E-4</c:v>
                </c:pt>
                <c:pt idx="36">
                  <c:v>5.8966157747967953E-4</c:v>
                </c:pt>
                <c:pt idx="37">
                  <c:v>5.8757066374811196E-4</c:v>
                </c:pt>
                <c:pt idx="38">
                  <c:v>5.8575798333721776E-4</c:v>
                </c:pt>
                <c:pt idx="39">
                  <c:v>5.8422474905733151E-4</c:v>
                </c:pt>
                <c:pt idx="40">
                  <c:v>5.8297197831290936E-4</c:v>
                </c:pt>
                <c:pt idx="41">
                  <c:v>5.8200054848722162E-4</c:v>
                </c:pt>
                <c:pt idx="42">
                  <c:v>5.8131125058076538E-4</c:v>
                </c:pt>
                <c:pt idx="43">
                  <c:v>5.8091737251683435E-4</c:v>
                </c:pt>
                <c:pt idx="44">
                  <c:v>5.8064849326138076E-4</c:v>
                </c:pt>
                <c:pt idx="45">
                  <c:v>5.8050913467064377E-4</c:v>
                </c:pt>
                <c:pt idx="46">
                  <c:v>5.8050373598216877E-4</c:v>
                </c:pt>
                <c:pt idx="47">
                  <c:v>5.806366893799824E-4</c:v>
                </c:pt>
                <c:pt idx="48">
                  <c:v>5.8091237530874279E-4</c:v>
                </c:pt>
                <c:pt idx="49">
                  <c:v>5.8133519765343549E-4</c:v>
                </c:pt>
                <c:pt idx="50">
                  <c:v>5.8189475670120333E-4</c:v>
                </c:pt>
                <c:pt idx="51">
                  <c:v>5.8217551484877916E-4</c:v>
                </c:pt>
                <c:pt idx="52">
                  <c:v>5.8210699416959136E-4</c:v>
                </c:pt>
                <c:pt idx="53">
                  <c:v>5.8169196089892419E-4</c:v>
                </c:pt>
                <c:pt idx="54">
                  <c:v>5.8093590629984776E-4</c:v>
                </c:pt>
                <c:pt idx="55">
                  <c:v>5.7984419147347113E-4</c:v>
                </c:pt>
                <c:pt idx="56">
                  <c:v>5.7842207269657444E-4</c:v>
                </c:pt>
                <c:pt idx="57">
                  <c:v>5.7568148057426081E-4</c:v>
                </c:pt>
                <c:pt idx="58">
                  <c:v>5.7163612447766205E-4</c:v>
                </c:pt>
                <c:pt idx="59">
                  <c:v>5.6630995552537971E-4</c:v>
                </c:pt>
                <c:pt idx="60">
                  <c:v>5.5972618537677922E-4</c:v>
                </c:pt>
                <c:pt idx="61">
                  <c:v>5.5190733128593437E-4</c:v>
                </c:pt>
                <c:pt idx="62">
                  <c:v>5.4287525164710166E-4</c:v>
                </c:pt>
                <c:pt idx="63">
                  <c:v>5.3265117247717716E-4</c:v>
                </c:pt>
                <c:pt idx="64">
                  <c:v>5.2125102566119564E-4</c:v>
                </c:pt>
                <c:pt idx="65">
                  <c:v>5.0853398384662443E-4</c:v>
                </c:pt>
                <c:pt idx="66">
                  <c:v>4.9488994278518888E-4</c:v>
                </c:pt>
                <c:pt idx="67">
                  <c:v>4.8033816336637888E-4</c:v>
                </c:pt>
                <c:pt idx="68">
                  <c:v>4.6489676701602693E-4</c:v>
                </c:pt>
                <c:pt idx="69">
                  <c:v>4.4858266092744835E-4</c:v>
                </c:pt>
                <c:pt idx="70">
                  <c:v>4.3141146414625667E-4</c:v>
                </c:pt>
                <c:pt idx="71">
                  <c:v>4.1391409200563551E-4</c:v>
                </c:pt>
                <c:pt idx="72">
                  <c:v>3.9700382067330388E-4</c:v>
                </c:pt>
                <c:pt idx="73">
                  <c:v>3.8067023850612099E-4</c:v>
                </c:pt>
                <c:pt idx="74">
                  <c:v>3.6490281307300715E-4</c:v>
                </c:pt>
                <c:pt idx="75">
                  <c:v>3.4969091977694715E-4</c:v>
                </c:pt>
                <c:pt idx="76">
                  <c:v>3.350238698941631E-4</c:v>
                </c:pt>
                <c:pt idx="77">
                  <c:v>3.2089093782845389E-4</c:v>
                </c:pt>
                <c:pt idx="78">
                  <c:v>3.0726699736785621E-4</c:v>
                </c:pt>
                <c:pt idx="79">
                  <c:v>2.9430129796072685E-4</c:v>
                </c:pt>
                <c:pt idx="80">
                  <c:v>2.8213804464990668E-4</c:v>
                </c:pt>
                <c:pt idx="81">
                  <c:v>2.7076871902205794E-4</c:v>
                </c:pt>
                <c:pt idx="82">
                  <c:v>2.601846113276318E-4</c:v>
                </c:pt>
                <c:pt idx="83">
                  <c:v>2.503769618526332E-4</c:v>
                </c:pt>
                <c:pt idx="84">
                  <c:v>2.4133709684769222E-4</c:v>
                </c:pt>
                <c:pt idx="85">
                  <c:v>2.3327495674485907E-4</c:v>
                </c:pt>
                <c:pt idx="86">
                  <c:v>2.2569642715711833E-4</c:v>
                </c:pt>
                <c:pt idx="87">
                  <c:v>2.1859666563995176E-4</c:v>
                </c:pt>
                <c:pt idx="88">
                  <c:v>2.119710093066893E-4</c:v>
                </c:pt>
                <c:pt idx="89">
                  <c:v>2.0581505214607506E-4</c:v>
                </c:pt>
                <c:pt idx="90">
                  <c:v>2.0012472003355601E-4</c:v>
                </c:pt>
                <c:pt idx="91">
                  <c:v>1.9489634388285653E-4</c:v>
                </c:pt>
                <c:pt idx="92">
                  <c:v>1.9012427440054486E-4</c:v>
                </c:pt>
                <c:pt idx="93">
                  <c:v>1.863274661109495E-4</c:v>
                </c:pt>
                <c:pt idx="94">
                  <c:v>1.8333494279596543E-4</c:v>
                </c:pt>
                <c:pt idx="95">
                  <c:v>1.8114170313127587E-4</c:v>
                </c:pt>
                <c:pt idx="96">
                  <c:v>1.7974421316077044E-4</c:v>
                </c:pt>
                <c:pt idx="97">
                  <c:v>1.7914033848360277E-4</c:v>
                </c:pt>
                <c:pt idx="98">
                  <c:v>1.7932927985247557E-4</c:v>
                </c:pt>
                <c:pt idx="99">
                  <c:v>1.8143348520629926E-4</c:v>
                </c:pt>
                <c:pt idx="100">
                  <c:v>1.8524160172088579E-4</c:v>
                </c:pt>
                <c:pt idx="101">
                  <c:v>1.9076093025048084E-4</c:v>
                </c:pt>
                <c:pt idx="102">
                  <c:v>1.9800115118395373E-4</c:v>
                </c:pt>
                <c:pt idx="103">
                  <c:v>2.0697419900936971E-4</c:v>
                </c:pt>
                <c:pt idx="104">
                  <c:v>2.1769413480412096E-4</c:v>
                </c:pt>
                <c:pt idx="105">
                  <c:v>2.3017701544223362E-4</c:v>
                </c:pt>
                <c:pt idx="106">
                  <c:v>2.4444546814532202E-4</c:v>
                </c:pt>
                <c:pt idx="107">
                  <c:v>2.6165990445150373E-4</c:v>
                </c:pt>
                <c:pt idx="108">
                  <c:v>2.81320210292446E-4</c:v>
                </c:pt>
                <c:pt idx="109">
                  <c:v>3.0346295778911083E-4</c:v>
                </c:pt>
                <c:pt idx="110">
                  <c:v>3.2812942648090569E-4</c:v>
                </c:pt>
                <c:pt idx="111">
                  <c:v>3.5536506529872987E-4</c:v>
                </c:pt>
                <c:pt idx="112">
                  <c:v>3.8521852287994312E-4</c:v>
                </c:pt>
                <c:pt idx="113">
                  <c:v>4.1837528208235044E-4</c:v>
                </c:pt>
                <c:pt idx="114">
                  <c:v>4.5372939743800036E-4</c:v>
                </c:pt>
                <c:pt idx="115">
                  <c:v>4.9133455479394913E-4</c:v>
                </c:pt>
                <c:pt idx="116">
                  <c:v>5.3124773435686231E-4</c:v>
                </c:pt>
                <c:pt idx="117">
                  <c:v>5.7352922857469588E-4</c:v>
                </c:pt>
                <c:pt idx="118">
                  <c:v>6.1824265388391475E-4</c:v>
                </c:pt>
                <c:pt idx="119">
                  <c:v>6.6545495600425677E-4</c:v>
                </c:pt>
                <c:pt idx="120">
                  <c:v>7.1524161522763699E-4</c:v>
                </c:pt>
                <c:pt idx="121">
                  <c:v>7.6829621518289257E-4</c:v>
                </c:pt>
                <c:pt idx="122">
                  <c:v>8.2348473815356592E-4</c:v>
                </c:pt>
                <c:pt idx="123">
                  <c:v>8.8086978723318039E-4</c:v>
                </c:pt>
                <c:pt idx="124">
                  <c:v>9.4051454058288611E-4</c:v>
                </c:pt>
                <c:pt idx="125">
                  <c:v>1.0024825389147983E-3</c:v>
                </c:pt>
                <c:pt idx="126">
                  <c:v>1.0668374551955797E-3</c:v>
                </c:pt>
                <c:pt idx="127">
                  <c:v>1.1336922003804286E-3</c:v>
                </c:pt>
                <c:pt idx="128">
                  <c:v>1.2024144446339715E-3</c:v>
                </c:pt>
                <c:pt idx="129">
                  <c:v>1.2730505915646258E-3</c:v>
                </c:pt>
                <c:pt idx="130">
                  <c:v>1.345645208421906E-3</c:v>
                </c:pt>
                <c:pt idx="131">
                  <c:v>1.4202407641083136E-3</c:v>
                </c:pt>
                <c:pt idx="132">
                  <c:v>1.4968773559134129E-3</c:v>
                </c:pt>
                <c:pt idx="133">
                  <c:v>1.5755924255647883E-3</c:v>
                </c:pt>
                <c:pt idx="134">
                  <c:v>1.6564493442798364E-3</c:v>
                </c:pt>
                <c:pt idx="135">
                  <c:v>1.739352545034907E-3</c:v>
                </c:pt>
                <c:pt idx="136">
                  <c:v>1.8236445069903309E-3</c:v>
                </c:pt>
                <c:pt idx="137">
                  <c:v>1.9093417343730467E-3</c:v>
                </c:pt>
                <c:pt idx="138">
                  <c:v>1.9964574413586732E-3</c:v>
                </c:pt>
                <c:pt idx="139">
                  <c:v>2.0850014016912479E-3</c:v>
                </c:pt>
                <c:pt idx="140">
                  <c:v>2.1749798048317079E-3</c:v>
                </c:pt>
                <c:pt idx="141">
                  <c:v>2.2667085042119553E-3</c:v>
                </c:pt>
                <c:pt idx="142">
                  <c:v>2.3601321696435505E-3</c:v>
                </c:pt>
                <c:pt idx="143">
                  <c:v>2.4552449686065206E-3</c:v>
                </c:pt>
                <c:pt idx="144">
                  <c:v>2.5520509817155016E-3</c:v>
                </c:pt>
                <c:pt idx="145">
                  <c:v>2.6505510148728865E-3</c:v>
                </c:pt>
                <c:pt idx="146">
                  <c:v>2.7507425198647247E-3</c:v>
                </c:pt>
                <c:pt idx="147">
                  <c:v>2.8526195294602905E-3</c:v>
                </c:pt>
                <c:pt idx="148">
                  <c:v>2.9561743857922651E-3</c:v>
                </c:pt>
                <c:pt idx="149">
                  <c:v>3.0602153292527143E-3</c:v>
                </c:pt>
                <c:pt idx="150">
                  <c:v>3.1649075661091025E-3</c:v>
                </c:pt>
                <c:pt idx="151">
                  <c:v>3.270221623962493E-3</c:v>
                </c:pt>
                <c:pt idx="152">
                  <c:v>3.3761262548774613E-3</c:v>
                </c:pt>
                <c:pt idx="153">
                  <c:v>3.4825885937621467E-3</c:v>
                </c:pt>
                <c:pt idx="154">
                  <c:v>3.5895743336331856E-3</c:v>
                </c:pt>
                <c:pt idx="155">
                  <c:v>3.6938317962885814E-3</c:v>
                </c:pt>
                <c:pt idx="156">
                  <c:v>3.7948472683722277E-3</c:v>
                </c:pt>
                <c:pt idx="157">
                  <c:v>3.8924729345187416E-3</c:v>
                </c:pt>
                <c:pt idx="158">
                  <c:v>3.9865602437897099E-3</c:v>
                </c:pt>
                <c:pt idx="159">
                  <c:v>4.0769603815420203E-3</c:v>
                </c:pt>
                <c:pt idx="160">
                  <c:v>4.1635247393546253E-3</c:v>
                </c:pt>
                <c:pt idx="161">
                  <c:v>4.2461053771762677E-3</c:v>
                </c:pt>
                <c:pt idx="162">
                  <c:v>4.3246040348795742E-3</c:v>
                </c:pt>
                <c:pt idx="163">
                  <c:v>4.3976771301815019E-3</c:v>
                </c:pt>
                <c:pt idx="164">
                  <c:v>4.4664692274009338E-3</c:v>
                </c:pt>
                <c:pt idx="165">
                  <c:v>4.5308109687396169E-3</c:v>
                </c:pt>
                <c:pt idx="166">
                  <c:v>4.5905331883756111E-3</c:v>
                </c:pt>
                <c:pt idx="167">
                  <c:v>4.645467577406766E-3</c:v>
                </c:pt>
                <c:pt idx="168">
                  <c:v>4.6954473415553883E-3</c:v>
                </c:pt>
                <c:pt idx="169">
                  <c:v>4.7390469494576638E-3</c:v>
                </c:pt>
                <c:pt idx="170">
                  <c:v>4.779777565286988E-3</c:v>
                </c:pt>
                <c:pt idx="171">
                  <c:v>4.8175546329617186E-3</c:v>
                </c:pt>
                <c:pt idx="172">
                  <c:v>4.8522960573547224E-3</c:v>
                </c:pt>
                <c:pt idx="173">
                  <c:v>4.883872511587656E-3</c:v>
                </c:pt>
                <c:pt idx="174">
                  <c:v>4.912153792592351E-3</c:v>
                </c:pt>
                <c:pt idx="175">
                  <c:v>4.9370611350732906E-3</c:v>
                </c:pt>
                <c:pt idx="176">
                  <c:v>4.9586115126215337E-3</c:v>
                </c:pt>
                <c:pt idx="177">
                  <c:v>4.972960750677987E-3</c:v>
                </c:pt>
                <c:pt idx="178">
                  <c:v>4.9813098385700898E-3</c:v>
                </c:pt>
                <c:pt idx="179">
                  <c:v>4.9835722818774705E-3</c:v>
                </c:pt>
                <c:pt idx="180">
                  <c:v>4.9796677903368898E-3</c:v>
                </c:pt>
                <c:pt idx="181">
                  <c:v>4.9695221585886028E-3</c:v>
                </c:pt>
                <c:pt idx="182">
                  <c:v>4.9530671004859427E-3</c:v>
                </c:pt>
                <c:pt idx="183">
                  <c:v>4.9287257128867298E-3</c:v>
                </c:pt>
                <c:pt idx="184">
                  <c:v>4.8977519652569461E-3</c:v>
                </c:pt>
                <c:pt idx="185">
                  <c:v>4.8600844187538707E-3</c:v>
                </c:pt>
                <c:pt idx="186">
                  <c:v>4.8156667964882761E-3</c:v>
                </c:pt>
                <c:pt idx="187">
                  <c:v>4.7644476411484137E-3</c:v>
                </c:pt>
                <c:pt idx="188">
                  <c:v>4.706379944320143E-3</c:v>
                </c:pt>
                <c:pt idx="189">
                  <c:v>4.641420751963516E-3</c:v>
                </c:pt>
                <c:pt idx="190">
                  <c:v>4.5695683362542393E-3</c:v>
                </c:pt>
                <c:pt idx="191">
                  <c:v>4.4913449448351662E-3</c:v>
                </c:pt>
                <c:pt idx="192">
                  <c:v>4.4109438258041278E-3</c:v>
                </c:pt>
                <c:pt idx="193">
                  <c:v>4.3283822093124367E-3</c:v>
                </c:pt>
                <c:pt idx="194">
                  <c:v>4.2436775678720753E-3</c:v>
                </c:pt>
                <c:pt idx="195">
                  <c:v>4.156847477721326E-3</c:v>
                </c:pt>
                <c:pt idx="196">
                  <c:v>4.06790949736195E-3</c:v>
                </c:pt>
                <c:pt idx="197">
                  <c:v>3.9765718694337471E-3</c:v>
                </c:pt>
                <c:pt idx="198">
                  <c:v>3.8844541122110645E-3</c:v>
                </c:pt>
                <c:pt idx="199">
                  <c:v>3.7915843979464802E-3</c:v>
                </c:pt>
                <c:pt idx="200">
                  <c:v>3.6979901462824709E-3</c:v>
                </c:pt>
                <c:pt idx="201">
                  <c:v>3.6036980059185502E-3</c:v>
                </c:pt>
                <c:pt idx="202">
                  <c:v>3.5087338537538389E-3</c:v>
                </c:pt>
                <c:pt idx="203">
                  <c:v>3.4131228108826429E-3</c:v>
                </c:pt>
                <c:pt idx="204">
                  <c:v>3.3169022352522331E-3</c:v>
                </c:pt>
                <c:pt idx="205">
                  <c:v>3.2201822568593817E-3</c:v>
                </c:pt>
                <c:pt idx="206">
                  <c:v>3.1224215955271543E-3</c:v>
                </c:pt>
                <c:pt idx="207">
                  <c:v>3.0236464639679613E-3</c:v>
                </c:pt>
                <c:pt idx="208">
                  <c:v>2.9238809625046136E-3</c:v>
                </c:pt>
                <c:pt idx="209">
                  <c:v>2.8231471051087787E-3</c:v>
                </c:pt>
                <c:pt idx="210">
                  <c:v>2.7214648564392405E-3</c:v>
                </c:pt>
                <c:pt idx="211">
                  <c:v>2.6199741140139391E-3</c:v>
                </c:pt>
                <c:pt idx="212">
                  <c:v>2.5190294319217274E-3</c:v>
                </c:pt>
                <c:pt idx="213">
                  <c:v>2.4186572418142828E-3</c:v>
                </c:pt>
                <c:pt idx="214">
                  <c:v>2.3188819386340724E-3</c:v>
                </c:pt>
                <c:pt idx="215">
                  <c:v>2.2197260007195047E-3</c:v>
                </c:pt>
                <c:pt idx="216">
                  <c:v>2.1212101094174578E-3</c:v>
                </c:pt>
                <c:pt idx="217">
                  <c:v>2.0233532668872188E-3</c:v>
                </c:pt>
                <c:pt idx="218">
                  <c:v>1.9261701697524261E-3</c:v>
                </c:pt>
                <c:pt idx="219">
                  <c:v>1.8308951281859613E-3</c:v>
                </c:pt>
                <c:pt idx="220">
                  <c:v>1.7374817238330687E-3</c:v>
                </c:pt>
                <c:pt idx="221">
                  <c:v>1.6459485650475126E-3</c:v>
                </c:pt>
                <c:pt idx="222">
                  <c:v>1.5563143166585594E-3</c:v>
                </c:pt>
                <c:pt idx="223">
                  <c:v>1.4685977568924112E-3</c:v>
                </c:pt>
                <c:pt idx="224">
                  <c:v>1.3828178248187313E-3</c:v>
                </c:pt>
                <c:pt idx="225">
                  <c:v>1.3012604088185127E-3</c:v>
                </c:pt>
                <c:pt idx="226">
                  <c:v>1.2227959224786944E-3</c:v>
                </c:pt>
                <c:pt idx="227">
                  <c:v>1.1474514569925136E-3</c:v>
                </c:pt>
                <c:pt idx="228">
                  <c:v>1.0752541821426004E-3</c:v>
                </c:pt>
                <c:pt idx="229">
                  <c:v>1.0062313216667844E-3</c:v>
                </c:pt>
                <c:pt idx="230">
                  <c:v>9.404101190938083E-4</c:v>
                </c:pt>
                <c:pt idx="231">
                  <c:v>8.7781779465588366E-4</c:v>
                </c:pt>
                <c:pt idx="232">
                  <c:v>8.1846798151805186E-4</c:v>
                </c:pt>
                <c:pt idx="233">
                  <c:v>7.647019729223358E-4</c:v>
                </c:pt>
                <c:pt idx="234">
                  <c:v>7.1530439375565064E-4</c:v>
                </c:pt>
                <c:pt idx="235">
                  <c:v>6.7031728140869986E-4</c:v>
                </c:pt>
                <c:pt idx="236">
                  <c:v>6.2977992027687653E-4</c:v>
                </c:pt>
                <c:pt idx="237">
                  <c:v>5.9372860717867503E-4</c:v>
                </c:pt>
                <c:pt idx="238">
                  <c:v>5.6219753766560492E-4</c:v>
                </c:pt>
                <c:pt idx="239">
                  <c:v>5.3631252669460421E-4</c:v>
                </c:pt>
                <c:pt idx="240">
                  <c:v>5.1377261945023428E-4</c:v>
                </c:pt>
                <c:pt idx="241">
                  <c:v>4.9460124101642806E-4</c:v>
                </c:pt>
                <c:pt idx="242">
                  <c:v>4.788212629806752E-4</c:v>
                </c:pt>
                <c:pt idx="243">
                  <c:v>4.6645531553378763E-4</c:v>
                </c:pt>
                <c:pt idx="244">
                  <c:v>4.5752610487693199E-4</c:v>
                </c:pt>
                <c:pt idx="245">
                  <c:v>4.5205673610578694E-4</c:v>
                </c:pt>
                <c:pt idx="246">
                  <c:v>4.5005364643135122E-4</c:v>
                </c:pt>
                <c:pt idx="247">
                  <c:v>4.5204120938895711E-4</c:v>
                </c:pt>
                <c:pt idx="248">
                  <c:v>4.5565970649409898E-4</c:v>
                </c:pt>
                <c:pt idx="249">
                  <c:v>4.6092108998037118E-4</c:v>
                </c:pt>
                <c:pt idx="250">
                  <c:v>4.6783734629516748E-4</c:v>
                </c:pt>
                <c:pt idx="251">
                  <c:v>4.7642058130709976E-4</c:v>
                </c:pt>
                <c:pt idx="252">
                  <c:v>4.8668310628028141E-4</c:v>
                </c:pt>
                <c:pt idx="253">
                  <c:v>4.9909022241843284E-4</c:v>
                </c:pt>
                <c:pt idx="254">
                  <c:v>5.1253259999519893E-4</c:v>
                </c:pt>
                <c:pt idx="255">
                  <c:v>5.2701991603955865E-4</c:v>
                </c:pt>
                <c:pt idx="256">
                  <c:v>5.4256227311459757E-4</c:v>
                </c:pt>
                <c:pt idx="257">
                  <c:v>5.5917025962403722E-4</c:v>
                </c:pt>
                <c:pt idx="258">
                  <c:v>5.7685501269656822E-4</c:v>
                </c:pt>
                <c:pt idx="259">
                  <c:v>5.9562828454107317E-4</c:v>
                </c:pt>
                <c:pt idx="260">
                  <c:v>6.1549417812387379E-4</c:v>
                </c:pt>
                <c:pt idx="261">
                  <c:v>6.3740469551596475E-4</c:v>
                </c:pt>
                <c:pt idx="262">
                  <c:v>6.6083707291567258E-4</c:v>
                </c:pt>
                <c:pt idx="263">
                  <c:v>6.8579986738384841E-4</c:v>
                </c:pt>
                <c:pt idx="264">
                  <c:v>7.1230146975908193E-4</c:v>
                </c:pt>
                <c:pt idx="265">
                  <c:v>7.40353991251364E-4</c:v>
                </c:pt>
                <c:pt idx="266">
                  <c:v>7.6996785539469386E-4</c:v>
                </c:pt>
                <c:pt idx="267">
                  <c:v>8.0063700493751349E-4</c:v>
                </c:pt>
                <c:pt idx="268">
                  <c:v>8.3189592876702859E-4</c:v>
                </c:pt>
                <c:pt idx="269">
                  <c:v>8.6374374742413315E-4</c:v>
                </c:pt>
                <c:pt idx="270">
                  <c:v>8.9617902140923938E-4</c:v>
                </c:pt>
                <c:pt idx="271">
                  <c:v>9.2919974397194819E-4</c:v>
                </c:pt>
                <c:pt idx="272">
                  <c:v>9.6280333907938168E-4</c:v>
                </c:pt>
                <c:pt idx="273">
                  <c:v>9.9698666525996609E-4</c:v>
                </c:pt>
                <c:pt idx="274">
                  <c:v>1.0317615612012339E-3</c:v>
                </c:pt>
                <c:pt idx="275">
                  <c:v>1.0653008401060276E-3</c:v>
                </c:pt>
                <c:pt idx="276">
                  <c:v>1.0966034457216649E-3</c:v>
                </c:pt>
                <c:pt idx="277">
                  <c:v>1.1256450845222475E-3</c:v>
                </c:pt>
                <c:pt idx="278">
                  <c:v>1.1524009414007684E-3</c:v>
                </c:pt>
                <c:pt idx="279">
                  <c:v>1.1768458891794834E-3</c:v>
                </c:pt>
                <c:pt idx="280">
                  <c:v>1.1989546988361297E-3</c:v>
                </c:pt>
                <c:pt idx="281">
                  <c:v>1.217998376100134E-3</c:v>
                </c:pt>
                <c:pt idx="282">
                  <c:v>1.2344791634956919E-3</c:v>
                </c:pt>
                <c:pt idx="283">
                  <c:v>1.2483720344493012E-3</c:v>
                </c:pt>
                <c:pt idx="284">
                  <c:v>1.2596527465541655E-3</c:v>
                </c:pt>
                <c:pt idx="285">
                  <c:v>1.2682980429245313E-3</c:v>
                </c:pt>
                <c:pt idx="286">
                  <c:v>1.274285844431701E-3</c:v>
                </c:pt>
                <c:pt idx="287">
                  <c:v>1.2775954311783624E-3</c:v>
                </c:pt>
                <c:pt idx="288">
                  <c:v>1.278218278814308E-3</c:v>
                </c:pt>
                <c:pt idx="289">
                  <c:v>1.2760513750252188E-3</c:v>
                </c:pt>
                <c:pt idx="290">
                  <c:v>1.2729798814576721E-3</c:v>
                </c:pt>
                <c:pt idx="291">
                  <c:v>1.2690077565620116E-3</c:v>
                </c:pt>
                <c:pt idx="292">
                  <c:v>1.2641399555927758E-3</c:v>
                </c:pt>
                <c:pt idx="293">
                  <c:v>1.2583823872086991E-3</c:v>
                </c:pt>
                <c:pt idx="294">
                  <c:v>1.2517418587081838E-3</c:v>
                </c:pt>
                <c:pt idx="295">
                  <c:v>1.2443530973060043E-3</c:v>
                </c:pt>
                <c:pt idx="296">
                  <c:v>1.2369602077056704E-3</c:v>
                </c:pt>
                <c:pt idx="297">
                  <c:v>1.2295853853054857E-3</c:v>
                </c:pt>
                <c:pt idx="298">
                  <c:v>1.222241055453056E-3</c:v>
                </c:pt>
                <c:pt idx="299">
                  <c:v>1.2149402143298267E-3</c:v>
                </c:pt>
                <c:pt idx="300">
                  <c:v>1.2076964099294271E-3</c:v>
                </c:pt>
                <c:pt idx="301">
                  <c:v>1.2005237213817243E-3</c:v>
                </c:pt>
                <c:pt idx="302">
                  <c:v>1.193531112171211E-3</c:v>
                </c:pt>
                <c:pt idx="303">
                  <c:v>1.1871539013381042E-3</c:v>
                </c:pt>
                <c:pt idx="304">
                  <c:v>1.1814658919170244E-3</c:v>
                </c:pt>
                <c:pt idx="305">
                  <c:v>1.176436246367334E-3</c:v>
                </c:pt>
                <c:pt idx="306">
                  <c:v>1.1720343437800402E-3</c:v>
                </c:pt>
                <c:pt idx="307">
                  <c:v>1.1682294685437106E-3</c:v>
                </c:pt>
                <c:pt idx="308">
                  <c:v>1.1649905087851987E-3</c:v>
                </c:pt>
                <c:pt idx="309">
                  <c:v>1.1632075949277144E-3</c:v>
                </c:pt>
                <c:pt idx="310">
                  <c:v>1.1627245751205321E-3</c:v>
                </c:pt>
                <c:pt idx="311">
                  <c:v>1.1635135402293727E-3</c:v>
                </c:pt>
                <c:pt idx="312">
                  <c:v>1.1655447934976254E-3</c:v>
                </c:pt>
                <c:pt idx="313">
                  <c:v>1.1687863222357817E-3</c:v>
                </c:pt>
                <c:pt idx="314">
                  <c:v>1.1732032683466297E-3</c:v>
                </c:pt>
                <c:pt idx="315">
                  <c:v>1.1787574034010536E-3</c:v>
                </c:pt>
                <c:pt idx="316">
                  <c:v>1.1855740758764681E-3</c:v>
                </c:pt>
                <c:pt idx="317">
                  <c:v>1.1993568877609266E-3</c:v>
                </c:pt>
                <c:pt idx="318">
                  <c:v>1.2197788029712289E-3</c:v>
                </c:pt>
                <c:pt idx="319">
                  <c:v>1.2468837850821055E-3</c:v>
                </c:pt>
                <c:pt idx="320">
                  <c:v>1.280717197705338E-3</c:v>
                </c:pt>
                <c:pt idx="321">
                  <c:v>1.3213253255482135E-3</c:v>
                </c:pt>
                <c:pt idx="322">
                  <c:v>1.3687547956916382E-3</c:v>
                </c:pt>
                <c:pt idx="323">
                  <c:v>1.4253427241711768E-3</c:v>
                </c:pt>
                <c:pt idx="324">
                  <c:v>1.490196417099338E-3</c:v>
                </c:pt>
                <c:pt idx="325">
                  <c:v>1.5633695526812012E-3</c:v>
                </c:pt>
                <c:pt idx="326">
                  <c:v>1.6449024642527566E-3</c:v>
                </c:pt>
                <c:pt idx="327">
                  <c:v>1.7348359568873603E-3</c:v>
                </c:pt>
                <c:pt idx="328">
                  <c:v>1.8332130797286685E-3</c:v>
                </c:pt>
                <c:pt idx="329">
                  <c:v>1.9400700387113856E-3</c:v>
                </c:pt>
                <c:pt idx="330">
                  <c:v>2.055785842138556E-3</c:v>
                </c:pt>
                <c:pt idx="331">
                  <c:v>2.1732706362030756E-3</c:v>
                </c:pt>
                <c:pt idx="332">
                  <c:v>2.2867301094097372E-3</c:v>
                </c:pt>
                <c:pt idx="333">
                  <c:v>2.3960466759826902E-3</c:v>
                </c:pt>
                <c:pt idx="334">
                  <c:v>2.5010652668072631E-3</c:v>
                </c:pt>
                <c:pt idx="335">
                  <c:v>2.6015943751255878E-3</c:v>
                </c:pt>
                <c:pt idx="336">
                  <c:v>2.6974075609193082E-3</c:v>
                </c:pt>
                <c:pt idx="337">
                  <c:v>2.7847333856652191E-3</c:v>
                </c:pt>
                <c:pt idx="338">
                  <c:v>2.8608570898012789E-3</c:v>
                </c:pt>
                <c:pt idx="339">
                  <c:v>2.9254164527463943E-3</c:v>
                </c:pt>
                <c:pt idx="340">
                  <c:v>2.9780399775537858E-3</c:v>
                </c:pt>
                <c:pt idx="341">
                  <c:v>3.0183568480469602E-3</c:v>
                </c:pt>
                <c:pt idx="342">
                  <c:v>3.0460078546035835E-3</c:v>
                </c:pt>
                <c:pt idx="343">
                  <c:v>3.0606571550446013E-3</c:v>
                </c:pt>
                <c:pt idx="344">
                  <c:v>3.0623966450569386E-3</c:v>
                </c:pt>
                <c:pt idx="345">
                  <c:v>3.0515412889385498E-3</c:v>
                </c:pt>
                <c:pt idx="346">
                  <c:v>3.0379993650295131E-3</c:v>
                </c:pt>
                <c:pt idx="347">
                  <c:v>3.0218242584911549E-3</c:v>
                </c:pt>
                <c:pt idx="348">
                  <c:v>3.003075986840215E-3</c:v>
                </c:pt>
                <c:pt idx="349">
                  <c:v>2.9818206613898314E-3</c:v>
                </c:pt>
                <c:pt idx="350">
                  <c:v>2.9581299099646205E-3</c:v>
                </c:pt>
                <c:pt idx="351">
                  <c:v>2.9342057286629534E-3</c:v>
                </c:pt>
                <c:pt idx="352">
                  <c:v>2.9136164500185632E-3</c:v>
                </c:pt>
                <c:pt idx="353">
                  <c:v>2.8963931803102747E-3</c:v>
                </c:pt>
                <c:pt idx="354">
                  <c:v>2.8825606476531834E-3</c:v>
                </c:pt>
                <c:pt idx="355">
                  <c:v>2.8721373135997879E-3</c:v>
                </c:pt>
                <c:pt idx="356">
                  <c:v>2.8651121934083145E-3</c:v>
                </c:pt>
                <c:pt idx="357">
                  <c:v>2.8615131382827993E-3</c:v>
                </c:pt>
                <c:pt idx="358">
                  <c:v>2.8608131006139475E-3</c:v>
                </c:pt>
                <c:pt idx="359">
                  <c:v>2.8625609748419828E-3</c:v>
                </c:pt>
                <c:pt idx="360">
                  <c:v>2.8634536427694611E-3</c:v>
                </c:pt>
                <c:pt idx="361">
                  <c:v>2.8616168741462502E-3</c:v>
                </c:pt>
                <c:pt idx="362">
                  <c:v>2.8572418870626854E-3</c:v>
                </c:pt>
                <c:pt idx="363">
                  <c:v>2.8505222639115093E-3</c:v>
                </c:pt>
                <c:pt idx="364">
                  <c:v>2.8416518015240947E-3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807320"/>
        <c:axId val="494809672"/>
      </c:lineChart>
      <c:dateAx>
        <c:axId val="4948073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09672"/>
        <c:crosses val="autoZero"/>
        <c:auto val="1"/>
        <c:lblOffset val="100"/>
        <c:baseTimeUnit val="days"/>
        <c:majorUnit val="1"/>
        <c:majorTimeUnit val="months"/>
      </c:dateAx>
      <c:valAx>
        <c:axId val="494809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8073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Aureville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5769.2136590391265</c:v>
                </c:pt>
                <c:pt idx="1">
                  <c:v>11856.245260033535</c:v>
                </c:pt>
                <c:pt idx="2">
                  <c:v>11577.224299172249</c:v>
                </c:pt>
                <c:pt idx="3">
                  <c:v>11623.386504981814</c:v>
                </c:pt>
                <c:pt idx="4">
                  <c:v>11896.397243331223</c:v>
                </c:pt>
                <c:pt idx="5">
                  <c:v>11800.837535667035</c:v>
                </c:pt>
                <c:pt idx="6">
                  <c:v>11815.592713984559</c:v>
                </c:pt>
                <c:pt idx="7">
                  <c:v>11807.089360146148</c:v>
                </c:pt>
                <c:pt idx="8">
                  <c:v>11808.960697272234</c:v>
                </c:pt>
                <c:pt idx="9">
                  <c:v>11807.449845976644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5755.3923916600488</c:v>
                </c:pt>
                <c:pt idx="1">
                  <c:v>11753.780370391516</c:v>
                </c:pt>
                <c:pt idx="2">
                  <c:v>11384.912143804217</c:v>
                </c:pt>
                <c:pt idx="3">
                  <c:v>11338.039353881362</c:v>
                </c:pt>
                <c:pt idx="4">
                  <c:v>11514.0947898548</c:v>
                </c:pt>
                <c:pt idx="5">
                  <c:v>11327.336170100258</c:v>
                </c:pt>
                <c:pt idx="6">
                  <c:v>11251.805336132851</c:v>
                </c:pt>
                <c:pt idx="7">
                  <c:v>11154.725283112095</c:v>
                </c:pt>
                <c:pt idx="8">
                  <c:v>11067.680335287487</c:v>
                </c:pt>
                <c:pt idx="9">
                  <c:v>10978.028499281596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10919.392000000005</c:v>
                </c:pt>
                <c:pt idx="4">
                  <c:v>10698.169</c:v>
                </c:pt>
                <c:pt idx="5">
                  <c:v>10804.235631965106</c:v>
                </c:pt>
                <c:pt idx="6">
                  <c:v>10903.058442545682</c:v>
                </c:pt>
                <c:pt idx="7">
                  <c:v>10835.682461547529</c:v>
                </c:pt>
                <c:pt idx="8">
                  <c:v>10751.002017245824</c:v>
                </c:pt>
                <c:pt idx="9">
                  <c:v>10659.788818036763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10318.427543848127</c:v>
                </c:pt>
                <c:pt idx="4">
                  <c:v>10154.160661312562</c:v>
                </c:pt>
                <c:pt idx="5">
                  <c:v>9906.6013710274456</c:v>
                </c:pt>
                <c:pt idx="6">
                  <c:v>10351.815706490801</c:v>
                </c:pt>
                <c:pt idx="7">
                  <c:v>10386.295345844757</c:v>
                </c:pt>
                <c:pt idx="8">
                  <c:v>10296.894022653347</c:v>
                </c:pt>
                <c:pt idx="9">
                  <c:v>10204.392996721199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601.44417563785896</c:v>
                </c:pt>
                <c:pt idx="4">
                  <c:v>541.48431288720531</c:v>
                </c:pt>
                <c:pt idx="5">
                  <c:v>898.04591297518277</c:v>
                </c:pt>
                <c:pt idx="6">
                  <c:v>550.92987324325168</c:v>
                </c:pt>
                <c:pt idx="7">
                  <c:v>414.67026961866952</c:v>
                </c:pt>
                <c:pt idx="8">
                  <c:v>410.52312800517728</c:v>
                </c:pt>
                <c:pt idx="9">
                  <c:v>406.64093583722052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-0.76147889062777985</c:v>
                </c:pt>
                <c:pt idx="4">
                  <c:v>-1.028148077575409</c:v>
                </c:pt>
                <c:pt idx="5">
                  <c:v>-2.1466251426651226</c:v>
                </c:pt>
                <c:pt idx="6">
                  <c:v>-1.6684058828595845</c:v>
                </c:pt>
                <c:pt idx="7">
                  <c:v>32.253311422466872</c:v>
                </c:pt>
                <c:pt idx="8">
                  <c:v>40.537427507226695</c:v>
                </c:pt>
                <c:pt idx="9">
                  <c:v>45.210663444758282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31608"/>
        <c:axId val="242802864"/>
      </c:lineChart>
      <c:catAx>
        <c:axId val="495731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802864"/>
        <c:crosses val="autoZero"/>
        <c:auto val="1"/>
        <c:lblAlgn val="ctr"/>
        <c:lblOffset val="100"/>
        <c:noMultiLvlLbl val="0"/>
      </c:catAx>
      <c:valAx>
        <c:axId val="24280286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5731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25.687725302530687</c:v>
                </c:pt>
                <c:pt idx="1">
                  <c:v>25.877558252077755</c:v>
                </c:pt>
                <c:pt idx="2">
                  <c:v>26.072801595983297</c:v>
                </c:pt>
                <c:pt idx="3">
                  <c:v>26.272046042300907</c:v>
                </c:pt>
                <c:pt idx="4">
                  <c:v>26.473882574444772</c:v>
                </c:pt>
                <c:pt idx="5">
                  <c:v>26.67690244054565</c:v>
                </c:pt>
                <c:pt idx="6">
                  <c:v>26.87969715470264</c:v>
                </c:pt>
                <c:pt idx="7">
                  <c:v>27.080858494225197</c:v>
                </c:pt>
                <c:pt idx="8">
                  <c:v>27.282026449724249</c:v>
                </c:pt>
                <c:pt idx="9">
                  <c:v>27.485976302002914</c:v>
                </c:pt>
                <c:pt idx="10">
                  <c:v>27.69299502690555</c:v>
                </c:pt>
                <c:pt idx="11">
                  <c:v>27.903409184551329</c:v>
                </c:pt>
                <c:pt idx="12">
                  <c:v>28.117545193479366</c:v>
                </c:pt>
                <c:pt idx="13">
                  <c:v>28.335729340101686</c:v>
                </c:pt>
                <c:pt idx="14">
                  <c:v>28.55828778123611</c:v>
                </c:pt>
                <c:pt idx="15">
                  <c:v>28.785477040245567</c:v>
                </c:pt>
                <c:pt idx="16">
                  <c:v>29.017535080321263</c:v>
                </c:pt>
                <c:pt idx="17">
                  <c:v>29.254787657486364</c:v>
                </c:pt>
                <c:pt idx="18">
                  <c:v>29.497560430556074</c:v>
                </c:pt>
                <c:pt idx="19">
                  <c:v>29.746178823568346</c:v>
                </c:pt>
                <c:pt idx="20">
                  <c:v>30.000968133946532</c:v>
                </c:pt>
                <c:pt idx="21">
                  <c:v>30.262253707542339</c:v>
                </c:pt>
                <c:pt idx="22">
                  <c:v>30.531851377052661</c:v>
                </c:pt>
                <c:pt idx="23">
                  <c:v>30.810631666753082</c:v>
                </c:pt>
                <c:pt idx="24">
                  <c:v>31.097549213346785</c:v>
                </c:pt>
                <c:pt idx="25">
                  <c:v>31.391537608486555</c:v>
                </c:pt>
                <c:pt idx="26">
                  <c:v>31.69153071203899</c:v>
                </c:pt>
                <c:pt idx="27">
                  <c:v>31.996462664518635</c:v>
                </c:pt>
                <c:pt idx="28">
                  <c:v>32.30526787801481</c:v>
                </c:pt>
                <c:pt idx="29">
                  <c:v>32.616874689824165</c:v>
                </c:pt>
                <c:pt idx="30">
                  <c:v>32.930287666913635</c:v>
                </c:pt>
                <c:pt idx="31">
                  <c:v>33.244442101557084</c:v>
                </c:pt>
                <c:pt idx="32">
                  <c:v>33.55827357880996</c:v>
                </c:pt>
                <c:pt idx="33">
                  <c:v>33.870717977302697</c:v>
                </c:pt>
                <c:pt idx="34">
                  <c:v>34.180711471064235</c:v>
                </c:pt>
                <c:pt idx="35">
                  <c:v>34.48719052906732</c:v>
                </c:pt>
                <c:pt idx="36">
                  <c:v>34.792799900799608</c:v>
                </c:pt>
                <c:pt idx="37">
                  <c:v>35.100567755827143</c:v>
                </c:pt>
                <c:pt idx="38">
                  <c:v>35.410027532252251</c:v>
                </c:pt>
                <c:pt idx="39">
                  <c:v>35.720695618132169</c:v>
                </c:pt>
                <c:pt idx="40">
                  <c:v>36.032088545122001</c:v>
                </c:pt>
                <c:pt idx="41">
                  <c:v>36.343722983121275</c:v>
                </c:pt>
                <c:pt idx="42">
                  <c:v>36.6551157370345</c:v>
                </c:pt>
                <c:pt idx="43">
                  <c:v>36.965783278148415</c:v>
                </c:pt>
                <c:pt idx="44">
                  <c:v>37.275249037697861</c:v>
                </c:pt>
                <c:pt idx="45">
                  <c:v>37.583030200408359</c:v>
                </c:pt>
                <c:pt idx="46">
                  <c:v>37.888644063174262</c:v>
                </c:pt>
                <c:pt idx="47">
                  <c:v>38.191608027335704</c:v>
                </c:pt>
                <c:pt idx="48">
                  <c:v>38.491439594208138</c:v>
                </c:pt>
                <c:pt idx="49">
                  <c:v>38.787656354162017</c:v>
                </c:pt>
                <c:pt idx="50">
                  <c:v>39.080774678691888</c:v>
                </c:pt>
                <c:pt idx="51">
                  <c:v>39.371713093765649</c:v>
                </c:pt>
                <c:pt idx="52">
                  <c:v>39.660571819294809</c:v>
                </c:pt>
                <c:pt idx="53">
                  <c:v>39.947448154286022</c:v>
                </c:pt>
                <c:pt idx="54">
                  <c:v>40.232439202541421</c:v>
                </c:pt>
                <c:pt idx="55">
                  <c:v>40.515641978975339</c:v>
                </c:pt>
                <c:pt idx="56">
                  <c:v>40.797153405692775</c:v>
                </c:pt>
                <c:pt idx="57">
                  <c:v>41.077111127721388</c:v>
                </c:pt>
                <c:pt idx="58">
                  <c:v>41.355612337800352</c:v>
                </c:pt>
                <c:pt idx="59">
                  <c:v>41.632753673282032</c:v>
                </c:pt>
                <c:pt idx="60">
                  <c:v>41.908631660260866</c:v>
                </c:pt>
                <c:pt idx="61">
                  <c:v>42.183342712514346</c:v>
                </c:pt>
                <c:pt idx="62">
                  <c:v>42.456983127702422</c:v>
                </c:pt>
                <c:pt idx="63">
                  <c:v>42.729649087267632</c:v>
                </c:pt>
                <c:pt idx="64">
                  <c:v>43.00182292409351</c:v>
                </c:pt>
                <c:pt idx="65">
                  <c:v>43.273736182055636</c:v>
                </c:pt>
                <c:pt idx="66">
                  <c:v>43.545082592237968</c:v>
                </c:pt>
                <c:pt idx="67">
                  <c:v>43.81557166595308</c:v>
                </c:pt>
                <c:pt idx="68">
                  <c:v>44.084912899003527</c:v>
                </c:pt>
                <c:pt idx="69">
                  <c:v>44.352815774986794</c:v>
                </c:pt>
                <c:pt idx="70">
                  <c:v>44.618989768904129</c:v>
                </c:pt>
                <c:pt idx="71">
                  <c:v>44.883121154533804</c:v>
                </c:pt>
                <c:pt idx="72">
                  <c:v>45.14487833739129</c:v>
                </c:pt>
                <c:pt idx="73">
                  <c:v>45.403970696178412</c:v>
                </c:pt>
                <c:pt idx="74">
                  <c:v>45.660107608039134</c:v>
                </c:pt>
                <c:pt idx="75">
                  <c:v>45.912998457574957</c:v>
                </c:pt>
                <c:pt idx="76">
                  <c:v>46.162352635093136</c:v>
                </c:pt>
                <c:pt idx="77">
                  <c:v>46.407879549262645</c:v>
                </c:pt>
                <c:pt idx="78">
                  <c:v>46.651475600374809</c:v>
                </c:pt>
                <c:pt idx="79">
                  <c:v>46.894771415141449</c:v>
                </c:pt>
                <c:pt idx="80">
                  <c:v>47.137082663847508</c:v>
                </c:pt>
                <c:pt idx="81">
                  <c:v>47.377732210100213</c:v>
                </c:pt>
                <c:pt idx="82">
                  <c:v>47.616043041785581</c:v>
                </c:pt>
                <c:pt idx="83">
                  <c:v>47.851338279111104</c:v>
                </c:pt>
                <c:pt idx="84">
                  <c:v>48.082941185069842</c:v>
                </c:pt>
                <c:pt idx="85">
                  <c:v>48.310164615992946</c:v>
                </c:pt>
                <c:pt idx="86">
                  <c:v>48.532355587355752</c:v>
                </c:pt>
                <c:pt idx="87">
                  <c:v>48.748837875124281</c:v>
                </c:pt>
                <c:pt idx="88">
                  <c:v>48.958935441060021</c:v>
                </c:pt>
                <c:pt idx="89">
                  <c:v>49.161972438812498</c:v>
                </c:pt>
                <c:pt idx="90">
                  <c:v>49.357273232485923</c:v>
                </c:pt>
                <c:pt idx="91">
                  <c:v>49.544162398310078</c:v>
                </c:pt>
                <c:pt idx="92">
                  <c:v>49.722607363814845</c:v>
                </c:pt>
                <c:pt idx="93">
                  <c:v>49.89332041920872</c:v>
                </c:pt>
                <c:pt idx="94">
                  <c:v>50.056790971020398</c:v>
                </c:pt>
                <c:pt idx="95">
                  <c:v>50.213500165094707</c:v>
                </c:pt>
                <c:pt idx="96">
                  <c:v>50.363929037494977</c:v>
                </c:pt>
                <c:pt idx="97">
                  <c:v>50.508558515685806</c:v>
                </c:pt>
                <c:pt idx="98">
                  <c:v>50.647869411105653</c:v>
                </c:pt>
                <c:pt idx="99">
                  <c:v>50.78228543405158</c:v>
                </c:pt>
                <c:pt idx="100">
                  <c:v>50.91229757504059</c:v>
                </c:pt>
                <c:pt idx="101">
                  <c:v>51.038385740490732</c:v>
                </c:pt>
                <c:pt idx="102">
                  <c:v>51.161029661035641</c:v>
                </c:pt>
                <c:pt idx="103">
                  <c:v>51.280708893436021</c:v>
                </c:pt>
                <c:pt idx="104">
                  <c:v>51.397902816128017</c:v>
                </c:pt>
                <c:pt idx="105">
                  <c:v>51.513090622134527</c:v>
                </c:pt>
                <c:pt idx="106">
                  <c:v>51.625756370858859</c:v>
                </c:pt>
                <c:pt idx="107">
                  <c:v>51.734940548169739</c:v>
                </c:pt>
                <c:pt idx="108">
                  <c:v>51.840571776847781</c:v>
                </c:pt>
                <c:pt idx="109">
                  <c:v>56.315749698936067</c:v>
                </c:pt>
                <c:pt idx="110">
                  <c:v>56.420206101123632</c:v>
                </c:pt>
                <c:pt idx="111">
                  <c:v>56.520548888530314</c:v>
                </c:pt>
                <c:pt idx="112">
                  <c:v>56.616671777315446</c:v>
                </c:pt>
                <c:pt idx="113">
                  <c:v>56.70843247882221</c:v>
                </c:pt>
                <c:pt idx="114">
                  <c:v>56.795790394306614</c:v>
                </c:pt>
                <c:pt idx="115">
                  <c:v>56.878639476755922</c:v>
                </c:pt>
                <c:pt idx="116">
                  <c:v>56.956873615871302</c:v>
                </c:pt>
                <c:pt idx="117">
                  <c:v>57.030386640298303</c:v>
                </c:pt>
                <c:pt idx="118">
                  <c:v>57.099072325459012</c:v>
                </c:pt>
                <c:pt idx="119">
                  <c:v>57.162824398719238</c:v>
                </c:pt>
                <c:pt idx="120">
                  <c:v>57.221119682295459</c:v>
                </c:pt>
                <c:pt idx="121">
                  <c:v>57.273677681672289</c:v>
                </c:pt>
                <c:pt idx="122">
                  <c:v>57.320878115027988</c:v>
                </c:pt>
                <c:pt idx="123">
                  <c:v>57.363032098358296</c:v>
                </c:pt>
                <c:pt idx="124">
                  <c:v>57.400450562272873</c:v>
                </c:pt>
                <c:pt idx="125">
                  <c:v>57.433444259341698</c:v>
                </c:pt>
                <c:pt idx="126">
                  <c:v>57.462323774169043</c:v>
                </c:pt>
                <c:pt idx="127">
                  <c:v>57.487396693384845</c:v>
                </c:pt>
                <c:pt idx="128">
                  <c:v>57.509013340253723</c:v>
                </c:pt>
                <c:pt idx="129">
                  <c:v>57.527484834020626</c:v>
                </c:pt>
                <c:pt idx="130">
                  <c:v>57.54312220834526</c:v>
                </c:pt>
                <c:pt idx="131">
                  <c:v>57.556236429185219</c:v>
                </c:pt>
                <c:pt idx="132">
                  <c:v>57.567138401105801</c:v>
                </c:pt>
                <c:pt idx="133">
                  <c:v>57.576138980869985</c:v>
                </c:pt>
                <c:pt idx="134">
                  <c:v>57.58254341948291</c:v>
                </c:pt>
                <c:pt idx="135">
                  <c:v>57.585528351508245</c:v>
                </c:pt>
                <c:pt idx="136">
                  <c:v>57.585237881290389</c:v>
                </c:pt>
                <c:pt idx="137">
                  <c:v>57.581777219999864</c:v>
                </c:pt>
                <c:pt idx="138">
                  <c:v>57.575251738186061</c:v>
                </c:pt>
                <c:pt idx="139">
                  <c:v>57.565766972885569</c:v>
                </c:pt>
                <c:pt idx="140">
                  <c:v>57.553428638061568</c:v>
                </c:pt>
                <c:pt idx="141">
                  <c:v>57.538324552425578</c:v>
                </c:pt>
                <c:pt idx="142">
                  <c:v>57.520563915443972</c:v>
                </c:pt>
                <c:pt idx="143">
                  <c:v>57.500253033209667</c:v>
                </c:pt>
                <c:pt idx="144">
                  <c:v>57.477497601825732</c:v>
                </c:pt>
                <c:pt idx="145">
                  <c:v>57.45240346057593</c:v>
                </c:pt>
                <c:pt idx="146">
                  <c:v>57.425076597387971</c:v>
                </c:pt>
                <c:pt idx="147">
                  <c:v>57.39562314482184</c:v>
                </c:pt>
                <c:pt idx="148">
                  <c:v>57.364114769055803</c:v>
                </c:pt>
                <c:pt idx="149">
                  <c:v>57.33055320445817</c:v>
                </c:pt>
                <c:pt idx="150">
                  <c:v>57.294827661986602</c:v>
                </c:pt>
                <c:pt idx="151">
                  <c:v>57.256838674636967</c:v>
                </c:pt>
                <c:pt idx="152">
                  <c:v>57.216486992896627</c:v>
                </c:pt>
                <c:pt idx="153">
                  <c:v>57.173673570881675</c:v>
                </c:pt>
                <c:pt idx="154">
                  <c:v>57.128299553046197</c:v>
                </c:pt>
                <c:pt idx="155">
                  <c:v>57.08045051902802</c:v>
                </c:pt>
                <c:pt idx="156">
                  <c:v>57.030054829782003</c:v>
                </c:pt>
                <c:pt idx="157">
                  <c:v>56.977019868803488</c:v>
                </c:pt>
                <c:pt idx="158">
                  <c:v>56.921253061692461</c:v>
                </c:pt>
                <c:pt idx="159">
                  <c:v>56.86266184220667</c:v>
                </c:pt>
                <c:pt idx="160">
                  <c:v>56.801153610334978</c:v>
                </c:pt>
                <c:pt idx="161">
                  <c:v>56.736635697428035</c:v>
                </c:pt>
                <c:pt idx="162">
                  <c:v>56.66837622494873</c:v>
                </c:pt>
                <c:pt idx="163">
                  <c:v>56.596058485601844</c:v>
                </c:pt>
                <c:pt idx="164">
                  <c:v>56.520032298100496</c:v>
                </c:pt>
                <c:pt idx="165">
                  <c:v>56.440721830582191</c:v>
                </c:pt>
                <c:pt idx="166">
                  <c:v>56.358550728964225</c:v>
                </c:pt>
                <c:pt idx="167">
                  <c:v>56.273942098499191</c:v>
                </c:pt>
                <c:pt idx="168">
                  <c:v>56.187318472971292</c:v>
                </c:pt>
                <c:pt idx="169">
                  <c:v>56.099172871121461</c:v>
                </c:pt>
                <c:pt idx="170">
                  <c:v>56.009719588285186</c:v>
                </c:pt>
                <c:pt idx="171">
                  <c:v>55.919375826925091</c:v>
                </c:pt>
                <c:pt idx="172">
                  <c:v>55.828558280114692</c:v>
                </c:pt>
                <c:pt idx="173">
                  <c:v>55.737685928320715</c:v>
                </c:pt>
                <c:pt idx="174">
                  <c:v>55.647177437212441</c:v>
                </c:pt>
                <c:pt idx="175">
                  <c:v>55.557448252365688</c:v>
                </c:pt>
                <c:pt idx="176">
                  <c:v>55.467878819075651</c:v>
                </c:pt>
                <c:pt idx="177">
                  <c:v>55.37779036152542</c:v>
                </c:pt>
                <c:pt idx="178">
                  <c:v>55.287114692410604</c:v>
                </c:pt>
                <c:pt idx="179">
                  <c:v>55.19585539923267</c:v>
                </c:pt>
                <c:pt idx="180">
                  <c:v>55.104015619673547</c:v>
                </c:pt>
                <c:pt idx="181">
                  <c:v>55.011598049289731</c:v>
                </c:pt>
                <c:pt idx="182">
                  <c:v>54.918604954822811</c:v>
                </c:pt>
                <c:pt idx="183">
                  <c:v>54.825121623670604</c:v>
                </c:pt>
                <c:pt idx="184">
                  <c:v>54.731076965501074</c:v>
                </c:pt>
                <c:pt idx="185">
                  <c:v>54.636472518811374</c:v>
                </c:pt>
                <c:pt idx="186">
                  <c:v>54.541309446364906</c:v>
                </c:pt>
                <c:pt idx="187">
                  <c:v>54.445588557542116</c:v>
                </c:pt>
                <c:pt idx="188">
                  <c:v>54.349310333081384</c:v>
                </c:pt>
                <c:pt idx="189">
                  <c:v>54.252474951207446</c:v>
                </c:pt>
                <c:pt idx="190">
                  <c:v>54.15463483910203</c:v>
                </c:pt>
                <c:pt idx="191">
                  <c:v>54.055451044727448</c:v>
                </c:pt>
                <c:pt idx="192">
                  <c:v>53.954899779171058</c:v>
                </c:pt>
                <c:pt idx="193">
                  <c:v>53.853184804963036</c:v>
                </c:pt>
                <c:pt idx="194">
                  <c:v>53.750509815710494</c:v>
                </c:pt>
                <c:pt idx="195">
                  <c:v>53.647078450829696</c:v>
                </c:pt>
                <c:pt idx="196">
                  <c:v>53.543094311259267</c:v>
                </c:pt>
                <c:pt idx="197">
                  <c:v>53.438777560328901</c:v>
                </c:pt>
                <c:pt idx="198">
                  <c:v>53.334245867070003</c:v>
                </c:pt>
                <c:pt idx="199">
                  <c:v>53.229702615868717</c:v>
                </c:pt>
                <c:pt idx="200">
                  <c:v>53.125351224591398</c:v>
                </c:pt>
                <c:pt idx="201">
                  <c:v>53.02139514883239</c:v>
                </c:pt>
                <c:pt idx="202">
                  <c:v>52.918037885365045</c:v>
                </c:pt>
                <c:pt idx="203">
                  <c:v>52.815482974553028</c:v>
                </c:pt>
                <c:pt idx="204">
                  <c:v>52.713642211761282</c:v>
                </c:pt>
                <c:pt idx="205">
                  <c:v>52.61221811524738</c:v>
                </c:pt>
                <c:pt idx="206">
                  <c:v>52.511135964558825</c:v>
                </c:pt>
                <c:pt idx="207">
                  <c:v>52.410291005953859</c:v>
                </c:pt>
                <c:pt idx="208">
                  <c:v>52.309578638126773</c:v>
                </c:pt>
                <c:pt idx="209">
                  <c:v>52.208894409133208</c:v>
                </c:pt>
                <c:pt idx="210">
                  <c:v>52.108134012762115</c:v>
                </c:pt>
                <c:pt idx="211">
                  <c:v>52.00713478285229</c:v>
                </c:pt>
                <c:pt idx="212">
                  <c:v>51.905775435022143</c:v>
                </c:pt>
                <c:pt idx="213">
                  <c:v>51.803951905941545</c:v>
                </c:pt>
                <c:pt idx="214">
                  <c:v>51.70156028006172</c:v>
                </c:pt>
                <c:pt idx="215">
                  <c:v>51.598496782949283</c:v>
                </c:pt>
                <c:pt idx="216">
                  <c:v>51.494657773239155</c:v>
                </c:pt>
                <c:pt idx="217">
                  <c:v>51.38993973674885</c:v>
                </c:pt>
                <c:pt idx="218">
                  <c:v>51.284312410705688</c:v>
                </c:pt>
                <c:pt idx="219">
                  <c:v>51.17780805245247</c:v>
                </c:pt>
                <c:pt idx="220">
                  <c:v>51.070514528867484</c:v>
                </c:pt>
                <c:pt idx="221">
                  <c:v>50.962516382557304</c:v>
                </c:pt>
                <c:pt idx="222">
                  <c:v>50.853898174070984</c:v>
                </c:pt>
                <c:pt idx="223">
                  <c:v>50.744744477086314</c:v>
                </c:pt>
                <c:pt idx="224">
                  <c:v>50.635139874307214</c:v>
                </c:pt>
                <c:pt idx="225">
                  <c:v>50.525054275071227</c:v>
                </c:pt>
                <c:pt idx="226">
                  <c:v>50.414631039883517</c:v>
                </c:pt>
                <c:pt idx="227">
                  <c:v>50.303954760733795</c:v>
                </c:pt>
                <c:pt idx="228">
                  <c:v>50.19311003549204</c:v>
                </c:pt>
                <c:pt idx="229">
                  <c:v>50.082181465470541</c:v>
                </c:pt>
                <c:pt idx="230">
                  <c:v>49.971253654222537</c:v>
                </c:pt>
                <c:pt idx="231">
                  <c:v>49.860411206146878</c:v>
                </c:pt>
                <c:pt idx="232">
                  <c:v>49.750560730638199</c:v>
                </c:pt>
                <c:pt idx="233">
                  <c:v>49.642118555660254</c:v>
                </c:pt>
                <c:pt idx="234">
                  <c:v>49.534669761526899</c:v>
                </c:pt>
                <c:pt idx="235">
                  <c:v>49.427736800016866</c:v>
                </c:pt>
                <c:pt idx="236">
                  <c:v>49.32084239962289</c:v>
                </c:pt>
                <c:pt idx="237">
                  <c:v>49.213509595361039</c:v>
                </c:pt>
                <c:pt idx="238">
                  <c:v>49.105261705680874</c:v>
                </c:pt>
                <c:pt idx="239">
                  <c:v>48.995568733669181</c:v>
                </c:pt>
                <c:pt idx="240">
                  <c:v>48.88406899574062</c:v>
                </c:pt>
                <c:pt idx="241">
                  <c:v>48.770286574987459</c:v>
                </c:pt>
                <c:pt idx="242">
                  <c:v>48.653745822285806</c:v>
                </c:pt>
                <c:pt idx="243">
                  <c:v>48.533971358709174</c:v>
                </c:pt>
                <c:pt idx="244">
                  <c:v>48.410488073492978</c:v>
                </c:pt>
                <c:pt idx="245">
                  <c:v>48.282821127401434</c:v>
                </c:pt>
                <c:pt idx="246">
                  <c:v>48.152357923633595</c:v>
                </c:pt>
                <c:pt idx="247">
                  <c:v>48.02057165672506</c:v>
                </c:pt>
                <c:pt idx="248">
                  <c:v>47.88726823471054</c:v>
                </c:pt>
                <c:pt idx="249">
                  <c:v>47.752139176196813</c:v>
                </c:pt>
                <c:pt idx="250">
                  <c:v>47.614876179491091</c:v>
                </c:pt>
                <c:pt idx="251">
                  <c:v>47.475171119348126</c:v>
                </c:pt>
                <c:pt idx="252">
                  <c:v>47.332716052618608</c:v>
                </c:pt>
                <c:pt idx="253">
                  <c:v>47.187181843744597</c:v>
                </c:pt>
                <c:pt idx="254">
                  <c:v>47.038313927995091</c:v>
                </c:pt>
                <c:pt idx="255">
                  <c:v>46.885804780702586</c:v>
                </c:pt>
                <c:pt idx="256">
                  <c:v>46.729347047884886</c:v>
                </c:pt>
                <c:pt idx="257">
                  <c:v>46.568633541779839</c:v>
                </c:pt>
                <c:pt idx="258">
                  <c:v>46.403357247336089</c:v>
                </c:pt>
                <c:pt idx="259">
                  <c:v>46.233211312700497</c:v>
                </c:pt>
                <c:pt idx="260">
                  <c:v>46.058513109673449</c:v>
                </c:pt>
                <c:pt idx="261">
                  <c:v>45.879787935687304</c:v>
                </c:pt>
                <c:pt idx="262">
                  <c:v>45.697131205888226</c:v>
                </c:pt>
                <c:pt idx="263">
                  <c:v>45.510613758251807</c:v>
                </c:pt>
                <c:pt idx="264">
                  <c:v>45.320306432045719</c:v>
                </c:pt>
                <c:pt idx="265">
                  <c:v>45.126279886309156</c:v>
                </c:pt>
                <c:pt idx="266">
                  <c:v>44.928604852926618</c:v>
                </c:pt>
                <c:pt idx="267">
                  <c:v>44.727375167367491</c:v>
                </c:pt>
                <c:pt idx="268">
                  <c:v>44.522682420717146</c:v>
                </c:pt>
                <c:pt idx="269">
                  <c:v>44.314597174642635</c:v>
                </c:pt>
                <c:pt idx="270">
                  <c:v>44.103189961604393</c:v>
                </c:pt>
                <c:pt idx="271">
                  <c:v>43.888531280706978</c:v>
                </c:pt>
                <c:pt idx="272">
                  <c:v>43.67069159890822</c:v>
                </c:pt>
                <c:pt idx="273">
                  <c:v>43.449741343453134</c:v>
                </c:pt>
                <c:pt idx="274">
                  <c:v>43.225099357033208</c:v>
                </c:pt>
                <c:pt idx="275">
                  <c:v>42.996365968730061</c:v>
                </c:pt>
                <c:pt idx="276">
                  <c:v>42.763806363978532</c:v>
                </c:pt>
                <c:pt idx="277">
                  <c:v>42.527643000545474</c:v>
                </c:pt>
                <c:pt idx="278">
                  <c:v>42.288098110216914</c:v>
                </c:pt>
                <c:pt idx="279">
                  <c:v>42.045393697730496</c:v>
                </c:pt>
                <c:pt idx="280">
                  <c:v>41.799751530722737</c:v>
                </c:pt>
                <c:pt idx="281">
                  <c:v>41.551422417712409</c:v>
                </c:pt>
                <c:pt idx="282">
                  <c:v>41.300605315669834</c:v>
                </c:pt>
                <c:pt idx="283">
                  <c:v>41.047521146734795</c:v>
                </c:pt>
                <c:pt idx="284">
                  <c:v>40.792390573375165</c:v>
                </c:pt>
                <c:pt idx="285">
                  <c:v>40.535433998407527</c:v>
                </c:pt>
                <c:pt idx="286">
                  <c:v>40.27687156497494</c:v>
                </c:pt>
                <c:pt idx="287">
                  <c:v>40.016923156187943</c:v>
                </c:pt>
                <c:pt idx="288">
                  <c:v>39.755476193620105</c:v>
                </c:pt>
                <c:pt idx="289">
                  <c:v>39.49220643612292</c:v>
                </c:pt>
                <c:pt idx="290">
                  <c:v>39.226935529405438</c:v>
                </c:pt>
                <c:pt idx="291">
                  <c:v>38.959560469569645</c:v>
                </c:pt>
                <c:pt idx="292">
                  <c:v>38.689978188900788</c:v>
                </c:pt>
                <c:pt idx="293">
                  <c:v>38.41808556011808</c:v>
                </c:pt>
                <c:pt idx="294">
                  <c:v>38.143779399990031</c:v>
                </c:pt>
                <c:pt idx="295">
                  <c:v>37.866951657533093</c:v>
                </c:pt>
                <c:pt idx="296">
                  <c:v>37.58747147473305</c:v>
                </c:pt>
                <c:pt idx="297">
                  <c:v>37.305235783442001</c:v>
                </c:pt>
                <c:pt idx="298">
                  <c:v>37.020141896716368</c:v>
                </c:pt>
                <c:pt idx="299">
                  <c:v>36.732087125797982</c:v>
                </c:pt>
                <c:pt idx="300">
                  <c:v>36.440968781875291</c:v>
                </c:pt>
                <c:pt idx="301">
                  <c:v>36.146684184795951</c:v>
                </c:pt>
                <c:pt idx="302">
                  <c:v>35.846292619259067</c:v>
                </c:pt>
                <c:pt idx="303">
                  <c:v>35.53786124107674</c:v>
                </c:pt>
                <c:pt idx="304">
                  <c:v>35.222814470532789</c:v>
                </c:pt>
                <c:pt idx="305">
                  <c:v>34.902580005854581</c:v>
                </c:pt>
                <c:pt idx="306">
                  <c:v>34.57858502481858</c:v>
                </c:pt>
                <c:pt idx="307">
                  <c:v>34.252256198002172</c:v>
                </c:pt>
                <c:pt idx="308">
                  <c:v>33.925019695546347</c:v>
                </c:pt>
                <c:pt idx="309">
                  <c:v>33.598270186145825</c:v>
                </c:pt>
                <c:pt idx="310">
                  <c:v>33.273437874741369</c:v>
                </c:pt>
                <c:pt idx="311">
                  <c:v>32.951948038294233</c:v>
                </c:pt>
                <c:pt idx="312">
                  <c:v>32.635225472072278</c:v>
                </c:pt>
                <c:pt idx="313">
                  <c:v>32.324694485511813</c:v>
                </c:pt>
                <c:pt idx="314">
                  <c:v>32.021778908439011</c:v>
                </c:pt>
                <c:pt idx="315">
                  <c:v>31.727902085303523</c:v>
                </c:pt>
                <c:pt idx="316">
                  <c:v>31.440040088481531</c:v>
                </c:pt>
                <c:pt idx="317">
                  <c:v>31.15431830301576</c:v>
                </c:pt>
                <c:pt idx="318">
                  <c:v>30.871158120617377</c:v>
                </c:pt>
                <c:pt idx="319">
                  <c:v>30.59096897082885</c:v>
                </c:pt>
                <c:pt idx="320">
                  <c:v>30.314160031508461</c:v>
                </c:pt>
                <c:pt idx="321">
                  <c:v>30.041140224446405</c:v>
                </c:pt>
                <c:pt idx="322">
                  <c:v>29.772318193764857</c:v>
                </c:pt>
                <c:pt idx="323">
                  <c:v>29.508034612274852</c:v>
                </c:pt>
                <c:pt idx="324">
                  <c:v>29.248726797541767</c:v>
                </c:pt>
                <c:pt idx="325">
                  <c:v>28.994803204773977</c:v>
                </c:pt>
                <c:pt idx="326">
                  <c:v>28.746672243348701</c:v>
                </c:pt>
                <c:pt idx="327">
                  <c:v>28.504741817680813</c:v>
                </c:pt>
                <c:pt idx="328">
                  <c:v>28.269419248472985</c:v>
                </c:pt>
                <c:pt idx="329">
                  <c:v>28.041111481515451</c:v>
                </c:pt>
                <c:pt idx="330">
                  <c:v>27.815462073779397</c:v>
                </c:pt>
                <c:pt idx="331">
                  <c:v>27.58920433620272</c:v>
                </c:pt>
                <c:pt idx="332">
                  <c:v>27.364223524038561</c:v>
                </c:pt>
                <c:pt idx="333">
                  <c:v>27.142243902145267</c:v>
                </c:pt>
                <c:pt idx="334">
                  <c:v>26.924989331187803</c:v>
                </c:pt>
                <c:pt idx="335">
                  <c:v>26.714183256216415</c:v>
                </c:pt>
                <c:pt idx="336">
                  <c:v>26.511548709064073</c:v>
                </c:pt>
                <c:pt idx="337">
                  <c:v>26.318900991125275</c:v>
                </c:pt>
                <c:pt idx="338">
                  <c:v>26.138023970287261</c:v>
                </c:pt>
                <c:pt idx="339">
                  <c:v>25.970637784451466</c:v>
                </c:pt>
                <c:pt idx="340">
                  <c:v>25.818462296065636</c:v>
                </c:pt>
                <c:pt idx="341">
                  <c:v>25.683217104202701</c:v>
                </c:pt>
                <c:pt idx="342">
                  <c:v>25.566621517422636</c:v>
                </c:pt>
                <c:pt idx="343">
                  <c:v>25.470394513159562</c:v>
                </c:pt>
                <c:pt idx="344">
                  <c:v>25.392994118956903</c:v>
                </c:pt>
                <c:pt idx="345">
                  <c:v>25.331403603515373</c:v>
                </c:pt>
                <c:pt idx="346">
                  <c:v>25.284879862433431</c:v>
                </c:pt>
                <c:pt idx="347">
                  <c:v>25.252932000653324</c:v>
                </c:pt>
                <c:pt idx="348">
                  <c:v>25.235069347598316</c:v>
                </c:pt>
                <c:pt idx="349">
                  <c:v>25.230801445526275</c:v>
                </c:pt>
                <c:pt idx="350">
                  <c:v>25.239638056792078</c:v>
                </c:pt>
                <c:pt idx="351">
                  <c:v>25.261035305826208</c:v>
                </c:pt>
                <c:pt idx="352">
                  <c:v>25.294414686919389</c:v>
                </c:pt>
                <c:pt idx="353">
                  <c:v>25.339287098757787</c:v>
                </c:pt>
                <c:pt idx="354">
                  <c:v>25.395163520628088</c:v>
                </c:pt>
                <c:pt idx="355">
                  <c:v>25.461555017016639</c:v>
                </c:pt>
                <c:pt idx="356">
                  <c:v>25.53797334305969</c:v>
                </c:pt>
                <c:pt idx="357">
                  <c:v>25.623929229878293</c:v>
                </c:pt>
                <c:pt idx="358">
                  <c:v>25.723591088357637</c:v>
                </c:pt>
                <c:pt idx="359">
                  <c:v>25.840466994108446</c:v>
                </c:pt>
                <c:pt idx="360">
                  <c:v>25.973167077076969</c:v>
                </c:pt>
                <c:pt idx="361">
                  <c:v>26.120266366306563</c:v>
                </c:pt>
                <c:pt idx="362">
                  <c:v>26.280287324137419</c:v>
                </c:pt>
                <c:pt idx="363">
                  <c:v>26.451753010170922</c:v>
                </c:pt>
                <c:pt idx="364">
                  <c:v>26.633187070627493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11.795</c:v>
                </c:pt>
                <c:pt idx="1">
                  <c:v>4.3959999999999999</c:v>
                </c:pt>
                <c:pt idx="2">
                  <c:v>25.597999999999999</c:v>
                </c:pt>
                <c:pt idx="3">
                  <c:v>18.911999999999999</c:v>
                </c:pt>
                <c:pt idx="4">
                  <c:v>3.0380000000000003</c:v>
                </c:pt>
                <c:pt idx="5">
                  <c:v>8.4589999999999996</c:v>
                </c:pt>
                <c:pt idx="6">
                  <c:v>13.792</c:v>
                </c:pt>
                <c:pt idx="7">
                  <c:v>18.814</c:v>
                </c:pt>
                <c:pt idx="8">
                  <c:v>5.3410000000000002</c:v>
                </c:pt>
                <c:pt idx="9">
                  <c:v>5.6760000000000002</c:v>
                </c:pt>
                <c:pt idx="10">
                  <c:v>5.1319999999999997</c:v>
                </c:pt>
                <c:pt idx="11">
                  <c:v>12.577999999999999</c:v>
                </c:pt>
                <c:pt idx="12">
                  <c:v>9.1609999999999996</c:v>
                </c:pt>
                <c:pt idx="13">
                  <c:v>9.7420000000000009</c:v>
                </c:pt>
                <c:pt idx="14">
                  <c:v>15.613</c:v>
                </c:pt>
                <c:pt idx="15">
                  <c:v>17.862000000000002</c:v>
                </c:pt>
                <c:pt idx="16">
                  <c:v>4.6450000000000005</c:v>
                </c:pt>
                <c:pt idx="17">
                  <c:v>27.818000000000001</c:v>
                </c:pt>
                <c:pt idx="18">
                  <c:v>29.269000000000002</c:v>
                </c:pt>
                <c:pt idx="19">
                  <c:v>5.8159999999999998</c:v>
                </c:pt>
                <c:pt idx="20">
                  <c:v>12.700000000000001</c:v>
                </c:pt>
                <c:pt idx="21">
                  <c:v>5.5490000000000004</c:v>
                </c:pt>
                <c:pt idx="22">
                  <c:v>6.8540000000000001</c:v>
                </c:pt>
                <c:pt idx="23">
                  <c:v>13.98</c:v>
                </c:pt>
                <c:pt idx="24">
                  <c:v>6.6020000000000003</c:v>
                </c:pt>
                <c:pt idx="25">
                  <c:v>19.145</c:v>
                </c:pt>
                <c:pt idx="26">
                  <c:v>6.0200000000000005</c:v>
                </c:pt>
                <c:pt idx="27">
                  <c:v>15.66</c:v>
                </c:pt>
                <c:pt idx="28">
                  <c:v>13.903</c:v>
                </c:pt>
                <c:pt idx="29">
                  <c:v>7.0410000000000004</c:v>
                </c:pt>
                <c:pt idx="30">
                  <c:v>6.4329999999999998</c:v>
                </c:pt>
                <c:pt idx="31">
                  <c:v>7.9880000000000004</c:v>
                </c:pt>
                <c:pt idx="32">
                  <c:v>28.335000000000001</c:v>
                </c:pt>
                <c:pt idx="33">
                  <c:v>23.451000000000001</c:v>
                </c:pt>
                <c:pt idx="34">
                  <c:v>14.870000000000001</c:v>
                </c:pt>
                <c:pt idx="35">
                  <c:v>12.051</c:v>
                </c:pt>
                <c:pt idx="36">
                  <c:v>8.3740000000000006</c:v>
                </c:pt>
                <c:pt idx="37">
                  <c:v>20.907</c:v>
                </c:pt>
                <c:pt idx="38">
                  <c:v>4.3159999999999998</c:v>
                </c:pt>
                <c:pt idx="39">
                  <c:v>11.96</c:v>
                </c:pt>
                <c:pt idx="40">
                  <c:v>11.246</c:v>
                </c:pt>
                <c:pt idx="41">
                  <c:v>28.785</c:v>
                </c:pt>
                <c:pt idx="42">
                  <c:v>4.0999999999999996</c:v>
                </c:pt>
                <c:pt idx="43">
                  <c:v>6.6560000000000006</c:v>
                </c:pt>
                <c:pt idx="44">
                  <c:v>31.73</c:v>
                </c:pt>
                <c:pt idx="45">
                  <c:v>33.707000000000001</c:v>
                </c:pt>
                <c:pt idx="46">
                  <c:v>31.077999999999999</c:v>
                </c:pt>
                <c:pt idx="47">
                  <c:v>34.814</c:v>
                </c:pt>
                <c:pt idx="48">
                  <c:v>16.138999999999999</c:v>
                </c:pt>
                <c:pt idx="49">
                  <c:v>36.622999999999998</c:v>
                </c:pt>
                <c:pt idx="50">
                  <c:v>30.064</c:v>
                </c:pt>
                <c:pt idx="51">
                  <c:v>12.375999999999999</c:v>
                </c:pt>
                <c:pt idx="52">
                  <c:v>4.1950000000000003</c:v>
                </c:pt>
                <c:pt idx="53">
                  <c:v>28.478000000000002</c:v>
                </c:pt>
                <c:pt idx="54">
                  <c:v>37.249000000000002</c:v>
                </c:pt>
                <c:pt idx="55">
                  <c:v>33.015000000000001</c:v>
                </c:pt>
                <c:pt idx="56">
                  <c:v>7.7370000000000001</c:v>
                </c:pt>
                <c:pt idx="57">
                  <c:v>39.233000000000004</c:v>
                </c:pt>
                <c:pt idx="58">
                  <c:v>33.249000000000002</c:v>
                </c:pt>
                <c:pt idx="59">
                  <c:v>36.247999999999998</c:v>
                </c:pt>
                <c:pt idx="60">
                  <c:v>16.094999999999999</c:v>
                </c:pt>
                <c:pt idx="61">
                  <c:v>14.115</c:v>
                </c:pt>
                <c:pt idx="62">
                  <c:v>29.876000000000001</c:v>
                </c:pt>
                <c:pt idx="63">
                  <c:v>34.515999999999998</c:v>
                </c:pt>
                <c:pt idx="64">
                  <c:v>10.524000000000001</c:v>
                </c:pt>
                <c:pt idx="65">
                  <c:v>7.95</c:v>
                </c:pt>
                <c:pt idx="66">
                  <c:v>18.533999999999999</c:v>
                </c:pt>
                <c:pt idx="67">
                  <c:v>39.984000000000002</c:v>
                </c:pt>
                <c:pt idx="68">
                  <c:v>40.588999999999999</c:v>
                </c:pt>
                <c:pt idx="69">
                  <c:v>32.508000000000003</c:v>
                </c:pt>
                <c:pt idx="70">
                  <c:v>27.844999999999999</c:v>
                </c:pt>
                <c:pt idx="71">
                  <c:v>38.350999999999999</c:v>
                </c:pt>
                <c:pt idx="72">
                  <c:v>22.751999999999999</c:v>
                </c:pt>
                <c:pt idx="73">
                  <c:v>15.115</c:v>
                </c:pt>
                <c:pt idx="74">
                  <c:v>29.225999999999999</c:v>
                </c:pt>
                <c:pt idx="75">
                  <c:v>24.289000000000001</c:v>
                </c:pt>
                <c:pt idx="76">
                  <c:v>22.911999999999999</c:v>
                </c:pt>
                <c:pt idx="77">
                  <c:v>8.7580000000000009</c:v>
                </c:pt>
                <c:pt idx="78">
                  <c:v>38.797000000000004</c:v>
                </c:pt>
                <c:pt idx="79">
                  <c:v>40.285000000000004</c:v>
                </c:pt>
                <c:pt idx="80">
                  <c:v>36.488999999999997</c:v>
                </c:pt>
                <c:pt idx="81">
                  <c:v>47.463999999999999</c:v>
                </c:pt>
                <c:pt idx="82">
                  <c:v>46.797000000000004</c:v>
                </c:pt>
                <c:pt idx="83">
                  <c:v>34.686</c:v>
                </c:pt>
                <c:pt idx="84">
                  <c:v>38.905999999999999</c:v>
                </c:pt>
                <c:pt idx="85">
                  <c:v>39.555999999999997</c:v>
                </c:pt>
                <c:pt idx="86">
                  <c:v>47.15</c:v>
                </c:pt>
                <c:pt idx="87">
                  <c:v>49.179000000000002</c:v>
                </c:pt>
                <c:pt idx="88">
                  <c:v>45.963999999999999</c:v>
                </c:pt>
                <c:pt idx="89">
                  <c:v>44.314999999999998</c:v>
                </c:pt>
                <c:pt idx="90">
                  <c:v>44.258000000000003</c:v>
                </c:pt>
                <c:pt idx="91">
                  <c:v>38.447000000000003</c:v>
                </c:pt>
                <c:pt idx="92">
                  <c:v>47.384999999999998</c:v>
                </c:pt>
                <c:pt idx="93">
                  <c:v>48.094000000000001</c:v>
                </c:pt>
                <c:pt idx="94">
                  <c:v>47.372999999999998</c:v>
                </c:pt>
                <c:pt idx="95">
                  <c:v>26.823</c:v>
                </c:pt>
                <c:pt idx="96">
                  <c:v>50.341999999999999</c:v>
                </c:pt>
                <c:pt idx="97">
                  <c:v>50.286999999999999</c:v>
                </c:pt>
                <c:pt idx="98">
                  <c:v>30.346</c:v>
                </c:pt>
                <c:pt idx="99">
                  <c:v>30.972000000000001</c:v>
                </c:pt>
                <c:pt idx="100">
                  <c:v>7.3870000000000005</c:v>
                </c:pt>
                <c:pt idx="101">
                  <c:v>39.707999999999998</c:v>
                </c:pt>
                <c:pt idx="102">
                  <c:v>46.335000000000001</c:v>
                </c:pt>
                <c:pt idx="103">
                  <c:v>50.622999999999998</c:v>
                </c:pt>
                <c:pt idx="104">
                  <c:v>50.953000000000003</c:v>
                </c:pt>
                <c:pt idx="105">
                  <c:v>42.841999999999999</c:v>
                </c:pt>
                <c:pt idx="106">
                  <c:v>46.285000000000004</c:v>
                </c:pt>
                <c:pt idx="107">
                  <c:v>37.783999999999999</c:v>
                </c:pt>
                <c:pt idx="108">
                  <c:v>50.079000000000001</c:v>
                </c:pt>
                <c:pt idx="109">
                  <c:v>39.698</c:v>
                </c:pt>
                <c:pt idx="110">
                  <c:v>47.753</c:v>
                </c:pt>
                <c:pt idx="111">
                  <c:v>58.203000000000003</c:v>
                </c:pt>
                <c:pt idx="112">
                  <c:v>58.597999999999999</c:v>
                </c:pt>
                <c:pt idx="113">
                  <c:v>57.234000000000002</c:v>
                </c:pt>
                <c:pt idx="114">
                  <c:v>29.279</c:v>
                </c:pt>
                <c:pt idx="115">
                  <c:v>7.3280000000000003</c:v>
                </c:pt>
                <c:pt idx="116">
                  <c:v>20.125</c:v>
                </c:pt>
                <c:pt idx="117">
                  <c:v>18.164999999999999</c:v>
                </c:pt>
                <c:pt idx="118">
                  <c:v>25.065999999999999</c:v>
                </c:pt>
                <c:pt idx="119">
                  <c:v>17.115000000000002</c:v>
                </c:pt>
                <c:pt idx="120">
                  <c:v>18.754000000000001</c:v>
                </c:pt>
                <c:pt idx="121">
                  <c:v>50.322000000000003</c:v>
                </c:pt>
                <c:pt idx="122">
                  <c:v>57.646000000000001</c:v>
                </c:pt>
                <c:pt idx="123">
                  <c:v>51.38</c:v>
                </c:pt>
                <c:pt idx="124">
                  <c:v>37.657000000000004</c:v>
                </c:pt>
                <c:pt idx="125">
                  <c:v>35.331000000000003</c:v>
                </c:pt>
                <c:pt idx="126">
                  <c:v>26.834</c:v>
                </c:pt>
                <c:pt idx="127">
                  <c:v>57.201999999999998</c:v>
                </c:pt>
                <c:pt idx="128">
                  <c:v>22.157</c:v>
                </c:pt>
                <c:pt idx="129">
                  <c:v>40.494</c:v>
                </c:pt>
                <c:pt idx="130">
                  <c:v>31.297000000000001</c:v>
                </c:pt>
                <c:pt idx="131">
                  <c:v>38.800000000000004</c:v>
                </c:pt>
                <c:pt idx="132">
                  <c:v>48.884999999999998</c:v>
                </c:pt>
                <c:pt idx="133">
                  <c:v>40.997</c:v>
                </c:pt>
                <c:pt idx="134">
                  <c:v>22.206</c:v>
                </c:pt>
                <c:pt idx="135">
                  <c:v>10.608000000000001</c:v>
                </c:pt>
                <c:pt idx="136">
                  <c:v>52.828000000000003</c:v>
                </c:pt>
                <c:pt idx="137">
                  <c:v>35.96</c:v>
                </c:pt>
                <c:pt idx="138">
                  <c:v>46.426000000000002</c:v>
                </c:pt>
                <c:pt idx="139">
                  <c:v>59.480000000000004</c:v>
                </c:pt>
                <c:pt idx="140">
                  <c:v>42.017000000000003</c:v>
                </c:pt>
                <c:pt idx="141">
                  <c:v>33.207000000000001</c:v>
                </c:pt>
                <c:pt idx="142">
                  <c:v>39.746000000000002</c:v>
                </c:pt>
                <c:pt idx="143">
                  <c:v>24.852</c:v>
                </c:pt>
                <c:pt idx="144">
                  <c:v>53.055</c:v>
                </c:pt>
                <c:pt idx="145">
                  <c:v>52.063000000000002</c:v>
                </c:pt>
                <c:pt idx="146">
                  <c:v>58.239000000000004</c:v>
                </c:pt>
                <c:pt idx="147">
                  <c:v>48.469000000000001</c:v>
                </c:pt>
                <c:pt idx="148">
                  <c:v>34.067999999999998</c:v>
                </c:pt>
                <c:pt idx="149">
                  <c:v>53.767000000000003</c:v>
                </c:pt>
                <c:pt idx="150">
                  <c:v>56.313000000000002</c:v>
                </c:pt>
                <c:pt idx="151">
                  <c:v>36.124000000000002</c:v>
                </c:pt>
                <c:pt idx="152">
                  <c:v>39.593000000000004</c:v>
                </c:pt>
                <c:pt idx="153">
                  <c:v>46.945999999999998</c:v>
                </c:pt>
                <c:pt idx="154">
                  <c:v>8.7149999999999999</c:v>
                </c:pt>
                <c:pt idx="155">
                  <c:v>41.055999999999997</c:v>
                </c:pt>
                <c:pt idx="156">
                  <c:v>46.643999999999998</c:v>
                </c:pt>
                <c:pt idx="157">
                  <c:v>52.931000000000004</c:v>
                </c:pt>
                <c:pt idx="158">
                  <c:v>57.52</c:v>
                </c:pt>
                <c:pt idx="159">
                  <c:v>56.350999999999999</c:v>
                </c:pt>
                <c:pt idx="160">
                  <c:v>56.328000000000003</c:v>
                </c:pt>
                <c:pt idx="161">
                  <c:v>46.664999999999999</c:v>
                </c:pt>
                <c:pt idx="162">
                  <c:v>46.716999999999999</c:v>
                </c:pt>
                <c:pt idx="163">
                  <c:v>55.536999999999999</c:v>
                </c:pt>
                <c:pt idx="164">
                  <c:v>55.152999999999999</c:v>
                </c:pt>
                <c:pt idx="165">
                  <c:v>49.941000000000003</c:v>
                </c:pt>
                <c:pt idx="166">
                  <c:v>49.451000000000001</c:v>
                </c:pt>
                <c:pt idx="167">
                  <c:v>14.087</c:v>
                </c:pt>
                <c:pt idx="168">
                  <c:v>43.697000000000003</c:v>
                </c:pt>
                <c:pt idx="169">
                  <c:v>35.896999999999998</c:v>
                </c:pt>
                <c:pt idx="170">
                  <c:v>33.497999999999998</c:v>
                </c:pt>
                <c:pt idx="171">
                  <c:v>37.448999999999998</c:v>
                </c:pt>
                <c:pt idx="172">
                  <c:v>40.597999999999999</c:v>
                </c:pt>
                <c:pt idx="173">
                  <c:v>24.722999999999999</c:v>
                </c:pt>
                <c:pt idx="174">
                  <c:v>36.459000000000003</c:v>
                </c:pt>
                <c:pt idx="175">
                  <c:v>51.588999999999999</c:v>
                </c:pt>
                <c:pt idx="176">
                  <c:v>56.582999999999998</c:v>
                </c:pt>
                <c:pt idx="177">
                  <c:v>9.35</c:v>
                </c:pt>
                <c:pt idx="178">
                  <c:v>30.706</c:v>
                </c:pt>
                <c:pt idx="179">
                  <c:v>39.811999999999998</c:v>
                </c:pt>
                <c:pt idx="180">
                  <c:v>49.617000000000004</c:v>
                </c:pt>
                <c:pt idx="181">
                  <c:v>52.904000000000003</c:v>
                </c:pt>
                <c:pt idx="182">
                  <c:v>52.893999999999998</c:v>
                </c:pt>
                <c:pt idx="183">
                  <c:v>34.003999999999998</c:v>
                </c:pt>
                <c:pt idx="184">
                  <c:v>32.94</c:v>
                </c:pt>
                <c:pt idx="185">
                  <c:v>56.114000000000004</c:v>
                </c:pt>
                <c:pt idx="186">
                  <c:v>22.091999999999999</c:v>
                </c:pt>
                <c:pt idx="187">
                  <c:v>37.51</c:v>
                </c:pt>
                <c:pt idx="188">
                  <c:v>48.18</c:v>
                </c:pt>
                <c:pt idx="189">
                  <c:v>51.343000000000004</c:v>
                </c:pt>
                <c:pt idx="190">
                  <c:v>48.212000000000003</c:v>
                </c:pt>
                <c:pt idx="191">
                  <c:v>50.823</c:v>
                </c:pt>
                <c:pt idx="192">
                  <c:v>13.814</c:v>
                </c:pt>
                <c:pt idx="193">
                  <c:v>26.422000000000001</c:v>
                </c:pt>
                <c:pt idx="194">
                  <c:v>28.329000000000001</c:v>
                </c:pt>
                <c:pt idx="195">
                  <c:v>28.852</c:v>
                </c:pt>
                <c:pt idx="196">
                  <c:v>43.17</c:v>
                </c:pt>
                <c:pt idx="197">
                  <c:v>54.588999999999999</c:v>
                </c:pt>
                <c:pt idx="198">
                  <c:v>51.027000000000001</c:v>
                </c:pt>
                <c:pt idx="199">
                  <c:v>55.117000000000004</c:v>
                </c:pt>
                <c:pt idx="200">
                  <c:v>47.179000000000002</c:v>
                </c:pt>
                <c:pt idx="201">
                  <c:v>43.883000000000003</c:v>
                </c:pt>
                <c:pt idx="202">
                  <c:v>52.011000000000003</c:v>
                </c:pt>
                <c:pt idx="203">
                  <c:v>44.038000000000004</c:v>
                </c:pt>
                <c:pt idx="204">
                  <c:v>26.408000000000001</c:v>
                </c:pt>
                <c:pt idx="205">
                  <c:v>36.480000000000004</c:v>
                </c:pt>
                <c:pt idx="206">
                  <c:v>32.29</c:v>
                </c:pt>
                <c:pt idx="207">
                  <c:v>48.93</c:v>
                </c:pt>
                <c:pt idx="208">
                  <c:v>26.266999999999999</c:v>
                </c:pt>
                <c:pt idx="209">
                  <c:v>52.262</c:v>
                </c:pt>
                <c:pt idx="210">
                  <c:v>16.852</c:v>
                </c:pt>
                <c:pt idx="211">
                  <c:v>12.197000000000001</c:v>
                </c:pt>
                <c:pt idx="212">
                  <c:v>45.404000000000003</c:v>
                </c:pt>
                <c:pt idx="213">
                  <c:v>47.74</c:v>
                </c:pt>
                <c:pt idx="214">
                  <c:v>35.694000000000003</c:v>
                </c:pt>
                <c:pt idx="215">
                  <c:v>31.626000000000001</c:v>
                </c:pt>
                <c:pt idx="216">
                  <c:v>46.753999999999998</c:v>
                </c:pt>
                <c:pt idx="217">
                  <c:v>17.541</c:v>
                </c:pt>
                <c:pt idx="218">
                  <c:v>22.959</c:v>
                </c:pt>
                <c:pt idx="219">
                  <c:v>36.548999999999999</c:v>
                </c:pt>
                <c:pt idx="220">
                  <c:v>51.983000000000004</c:v>
                </c:pt>
                <c:pt idx="221">
                  <c:v>50.408000000000001</c:v>
                </c:pt>
                <c:pt idx="222">
                  <c:v>48.728999999999999</c:v>
                </c:pt>
                <c:pt idx="223">
                  <c:v>47.204999999999998</c:v>
                </c:pt>
                <c:pt idx="224">
                  <c:v>31.372</c:v>
                </c:pt>
                <c:pt idx="225">
                  <c:v>47.983000000000004</c:v>
                </c:pt>
                <c:pt idx="226">
                  <c:v>19.454000000000001</c:v>
                </c:pt>
                <c:pt idx="227">
                  <c:v>28.868000000000002</c:v>
                </c:pt>
                <c:pt idx="228">
                  <c:v>43.895000000000003</c:v>
                </c:pt>
                <c:pt idx="229">
                  <c:v>46.896000000000001</c:v>
                </c:pt>
                <c:pt idx="230">
                  <c:v>42.14</c:v>
                </c:pt>
                <c:pt idx="231">
                  <c:v>50.09</c:v>
                </c:pt>
                <c:pt idx="232">
                  <c:v>48.151000000000003</c:v>
                </c:pt>
                <c:pt idx="233">
                  <c:v>15.889000000000001</c:v>
                </c:pt>
                <c:pt idx="234">
                  <c:v>45.564</c:v>
                </c:pt>
                <c:pt idx="235">
                  <c:v>44.704999999999998</c:v>
                </c:pt>
                <c:pt idx="236">
                  <c:v>48.298000000000002</c:v>
                </c:pt>
                <c:pt idx="237">
                  <c:v>49.276000000000003</c:v>
                </c:pt>
                <c:pt idx="238">
                  <c:v>44.433999999999997</c:v>
                </c:pt>
                <c:pt idx="239">
                  <c:v>50.820999999999998</c:v>
                </c:pt>
                <c:pt idx="240">
                  <c:v>50.308</c:v>
                </c:pt>
                <c:pt idx="241">
                  <c:v>48.599000000000004</c:v>
                </c:pt>
                <c:pt idx="242">
                  <c:v>49.183</c:v>
                </c:pt>
                <c:pt idx="243">
                  <c:v>35.747</c:v>
                </c:pt>
                <c:pt idx="244">
                  <c:v>18.286000000000001</c:v>
                </c:pt>
                <c:pt idx="245">
                  <c:v>28.182000000000002</c:v>
                </c:pt>
                <c:pt idx="246">
                  <c:v>37.322000000000003</c:v>
                </c:pt>
                <c:pt idx="247">
                  <c:v>44.112000000000002</c:v>
                </c:pt>
                <c:pt idx="248">
                  <c:v>47.474000000000004</c:v>
                </c:pt>
                <c:pt idx="249">
                  <c:v>38.036999999999999</c:v>
                </c:pt>
                <c:pt idx="250">
                  <c:v>30.847000000000001</c:v>
                </c:pt>
                <c:pt idx="251">
                  <c:v>17.638999999999999</c:v>
                </c:pt>
                <c:pt idx="252">
                  <c:v>37.054000000000002</c:v>
                </c:pt>
                <c:pt idx="253">
                  <c:v>36.619999999999997</c:v>
                </c:pt>
                <c:pt idx="254">
                  <c:v>45.797000000000004</c:v>
                </c:pt>
                <c:pt idx="255">
                  <c:v>33.241999999999997</c:v>
                </c:pt>
                <c:pt idx="256">
                  <c:v>19.981000000000002</c:v>
                </c:pt>
                <c:pt idx="257">
                  <c:v>28.574999999999999</c:v>
                </c:pt>
                <c:pt idx="258">
                  <c:v>22.664999999999999</c:v>
                </c:pt>
                <c:pt idx="259">
                  <c:v>42.658999999999999</c:v>
                </c:pt>
                <c:pt idx="260">
                  <c:v>7.9050000000000002</c:v>
                </c:pt>
                <c:pt idx="261">
                  <c:v>29.126999999999999</c:v>
                </c:pt>
                <c:pt idx="262">
                  <c:v>30.381</c:v>
                </c:pt>
                <c:pt idx="263">
                  <c:v>13.3</c:v>
                </c:pt>
                <c:pt idx="264">
                  <c:v>44.347999999999999</c:v>
                </c:pt>
                <c:pt idx="265">
                  <c:v>39.003</c:v>
                </c:pt>
                <c:pt idx="266">
                  <c:v>40.210999999999999</c:v>
                </c:pt>
                <c:pt idx="267">
                  <c:v>33.499000000000002</c:v>
                </c:pt>
                <c:pt idx="268">
                  <c:v>36.512999999999998</c:v>
                </c:pt>
                <c:pt idx="269">
                  <c:v>24.55</c:v>
                </c:pt>
                <c:pt idx="270">
                  <c:v>25.85</c:v>
                </c:pt>
                <c:pt idx="271">
                  <c:v>27.596</c:v>
                </c:pt>
                <c:pt idx="272">
                  <c:v>14.441000000000001</c:v>
                </c:pt>
                <c:pt idx="273">
                  <c:v>31.411000000000001</c:v>
                </c:pt>
                <c:pt idx="274">
                  <c:v>39.789000000000001</c:v>
                </c:pt>
                <c:pt idx="275">
                  <c:v>6.6269999999999998</c:v>
                </c:pt>
                <c:pt idx="276">
                  <c:v>33.783000000000001</c:v>
                </c:pt>
                <c:pt idx="277">
                  <c:v>11.889000000000001</c:v>
                </c:pt>
                <c:pt idx="278">
                  <c:v>39.137</c:v>
                </c:pt>
                <c:pt idx="279">
                  <c:v>42.261000000000003</c:v>
                </c:pt>
                <c:pt idx="280">
                  <c:v>39.582999999999998</c:v>
                </c:pt>
                <c:pt idx="281">
                  <c:v>14.613</c:v>
                </c:pt>
                <c:pt idx="282">
                  <c:v>30.475999999999999</c:v>
                </c:pt>
                <c:pt idx="283">
                  <c:v>41.228000000000002</c:v>
                </c:pt>
                <c:pt idx="284">
                  <c:v>40.552</c:v>
                </c:pt>
                <c:pt idx="285">
                  <c:v>38.447000000000003</c:v>
                </c:pt>
                <c:pt idx="286">
                  <c:v>42.094999999999999</c:v>
                </c:pt>
                <c:pt idx="287">
                  <c:v>35.518000000000001</c:v>
                </c:pt>
                <c:pt idx="288">
                  <c:v>37.274000000000001</c:v>
                </c:pt>
                <c:pt idx="289">
                  <c:v>37.79</c:v>
                </c:pt>
                <c:pt idx="290">
                  <c:v>35.502000000000002</c:v>
                </c:pt>
                <c:pt idx="291">
                  <c:v>34.551000000000002</c:v>
                </c:pt>
                <c:pt idx="292">
                  <c:v>28.432000000000002</c:v>
                </c:pt>
                <c:pt idx="293">
                  <c:v>13.711</c:v>
                </c:pt>
                <c:pt idx="294">
                  <c:v>14.129</c:v>
                </c:pt>
                <c:pt idx="295">
                  <c:v>38.247</c:v>
                </c:pt>
                <c:pt idx="296">
                  <c:v>39.352000000000004</c:v>
                </c:pt>
                <c:pt idx="297">
                  <c:v>34.616</c:v>
                </c:pt>
                <c:pt idx="298">
                  <c:v>29.347000000000001</c:v>
                </c:pt>
                <c:pt idx="299">
                  <c:v>31.406000000000002</c:v>
                </c:pt>
                <c:pt idx="300">
                  <c:v>36.337000000000003</c:v>
                </c:pt>
                <c:pt idx="301">
                  <c:v>17.423000000000002</c:v>
                </c:pt>
                <c:pt idx="302">
                  <c:v>11.609</c:v>
                </c:pt>
                <c:pt idx="303">
                  <c:v>20.519000000000002</c:v>
                </c:pt>
                <c:pt idx="304">
                  <c:v>16.317</c:v>
                </c:pt>
                <c:pt idx="305">
                  <c:v>28.801000000000002</c:v>
                </c:pt>
                <c:pt idx="306">
                  <c:v>18.747</c:v>
                </c:pt>
                <c:pt idx="307">
                  <c:v>16.022000000000002</c:v>
                </c:pt>
                <c:pt idx="308">
                  <c:v>10.355</c:v>
                </c:pt>
                <c:pt idx="309">
                  <c:v>17.972999999999999</c:v>
                </c:pt>
                <c:pt idx="310">
                  <c:v>9.7919999999999998</c:v>
                </c:pt>
                <c:pt idx="311">
                  <c:v>25.92</c:v>
                </c:pt>
                <c:pt idx="312">
                  <c:v>23.858000000000001</c:v>
                </c:pt>
                <c:pt idx="313">
                  <c:v>6.7869999999999999</c:v>
                </c:pt>
                <c:pt idx="314">
                  <c:v>9.1110000000000007</c:v>
                </c:pt>
                <c:pt idx="315">
                  <c:v>10.986000000000001</c:v>
                </c:pt>
                <c:pt idx="316">
                  <c:v>5.7940000000000005</c:v>
                </c:pt>
                <c:pt idx="317">
                  <c:v>4.8479999999999999</c:v>
                </c:pt>
                <c:pt idx="318">
                  <c:v>7.1920000000000002</c:v>
                </c:pt>
                <c:pt idx="319">
                  <c:v>7.6710000000000003</c:v>
                </c:pt>
                <c:pt idx="320">
                  <c:v>3.1619999999999999</c:v>
                </c:pt>
                <c:pt idx="321">
                  <c:v>18.077000000000002</c:v>
                </c:pt>
                <c:pt idx="322">
                  <c:v>29.777000000000001</c:v>
                </c:pt>
                <c:pt idx="323">
                  <c:v>22.193000000000001</c:v>
                </c:pt>
                <c:pt idx="324">
                  <c:v>10.013</c:v>
                </c:pt>
                <c:pt idx="325">
                  <c:v>17.687999999999999</c:v>
                </c:pt>
                <c:pt idx="326">
                  <c:v>10.934000000000001</c:v>
                </c:pt>
                <c:pt idx="327">
                  <c:v>1.48</c:v>
                </c:pt>
                <c:pt idx="328">
                  <c:v>13.215</c:v>
                </c:pt>
                <c:pt idx="329">
                  <c:v>7.7940000000000005</c:v>
                </c:pt>
                <c:pt idx="330">
                  <c:v>13.575000000000001</c:v>
                </c:pt>
                <c:pt idx="331">
                  <c:v>6.0659999999999998</c:v>
                </c:pt>
                <c:pt idx="332">
                  <c:v>8.2360000000000007</c:v>
                </c:pt>
                <c:pt idx="333">
                  <c:v>21.177</c:v>
                </c:pt>
                <c:pt idx="334">
                  <c:v>4.0410000000000004</c:v>
                </c:pt>
                <c:pt idx="335">
                  <c:v>10.811999999999999</c:v>
                </c:pt>
                <c:pt idx="336">
                  <c:v>15.72</c:v>
                </c:pt>
                <c:pt idx="337">
                  <c:v>7.1550000000000002</c:v>
                </c:pt>
                <c:pt idx="338">
                  <c:v>6.5369999999999999</c:v>
                </c:pt>
                <c:pt idx="339">
                  <c:v>10.399000000000001</c:v>
                </c:pt>
                <c:pt idx="340">
                  <c:v>5.9539999999999997</c:v>
                </c:pt>
                <c:pt idx="341">
                  <c:v>8.4930000000000003</c:v>
                </c:pt>
                <c:pt idx="342">
                  <c:v>8.0850000000000009</c:v>
                </c:pt>
                <c:pt idx="343">
                  <c:v>2.6230000000000002</c:v>
                </c:pt>
                <c:pt idx="344">
                  <c:v>15.167</c:v>
                </c:pt>
                <c:pt idx="345">
                  <c:v>25.039000000000001</c:v>
                </c:pt>
                <c:pt idx="346">
                  <c:v>26.179000000000002</c:v>
                </c:pt>
                <c:pt idx="347">
                  <c:v>26.242000000000001</c:v>
                </c:pt>
                <c:pt idx="348">
                  <c:v>24.663</c:v>
                </c:pt>
                <c:pt idx="349">
                  <c:v>25.949000000000002</c:v>
                </c:pt>
                <c:pt idx="350">
                  <c:v>26.283999999999999</c:v>
                </c:pt>
                <c:pt idx="351">
                  <c:v>26.341000000000001</c:v>
                </c:pt>
                <c:pt idx="352">
                  <c:v>25.818000000000001</c:v>
                </c:pt>
                <c:pt idx="353">
                  <c:v>26.382000000000001</c:v>
                </c:pt>
                <c:pt idx="354">
                  <c:v>20.23</c:v>
                </c:pt>
                <c:pt idx="355">
                  <c:v>25.417000000000002</c:v>
                </c:pt>
                <c:pt idx="356">
                  <c:v>9.1560000000000006</c:v>
                </c:pt>
                <c:pt idx="357">
                  <c:v>16.818999999999999</c:v>
                </c:pt>
                <c:pt idx="358">
                  <c:v>11.063000000000001</c:v>
                </c:pt>
                <c:pt idx="359">
                  <c:v>11.221</c:v>
                </c:pt>
                <c:pt idx="360">
                  <c:v>9.3030000000000008</c:v>
                </c:pt>
                <c:pt idx="361">
                  <c:v>4.5680000000000005</c:v>
                </c:pt>
                <c:pt idx="362">
                  <c:v>4.0549999999999997</c:v>
                </c:pt>
                <c:pt idx="363">
                  <c:v>20.003</c:v>
                </c:pt>
                <c:pt idx="364">
                  <c:v>26.315999999999999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594096"/>
        <c:axId val="634593704"/>
      </c:lineChart>
      <c:dateAx>
        <c:axId val="634594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93704"/>
        <c:crosses val="autoZero"/>
        <c:auto val="1"/>
        <c:lblOffset val="100"/>
        <c:baseTimeUnit val="days"/>
        <c:majorUnit val="1"/>
        <c:majorTimeUnit val="months"/>
      </c:dateAx>
      <c:valAx>
        <c:axId val="6345937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94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2.8476481003271603E-2</c:v>
                </c:pt>
                <c:pt idx="1">
                  <c:v>2.8497759861687011E-2</c:v>
                </c:pt>
                <c:pt idx="2">
                  <c:v>2.8519038254040785E-2</c:v>
                </c:pt>
                <c:pt idx="3">
                  <c:v>2.854031618034325E-2</c:v>
                </c:pt>
                <c:pt idx="4">
                  <c:v>2.8561593640604399E-2</c:v>
                </c:pt>
                <c:pt idx="5">
                  <c:v>2.8582870634834667E-2</c:v>
                </c:pt>
                <c:pt idx="6">
                  <c:v>2.8604147163044047E-2</c:v>
                </c:pt>
                <c:pt idx="7">
                  <c:v>2.8625423225242974E-2</c:v>
                </c:pt>
                <c:pt idx="8">
                  <c:v>2.8646698821441441E-2</c:v>
                </c:pt>
                <c:pt idx="9">
                  <c:v>2.8667973951649772E-2</c:v>
                </c:pt>
                <c:pt idx="10">
                  <c:v>2.8689248615878182E-2</c:v>
                </c:pt>
                <c:pt idx="11">
                  <c:v>2.8710522814136885E-2</c:v>
                </c:pt>
                <c:pt idx="12">
                  <c:v>2.8731796546435984E-2</c:v>
                </c:pt>
                <c:pt idx="13">
                  <c:v>2.8753069812785692E-2</c:v>
                </c:pt>
                <c:pt idx="14">
                  <c:v>2.8774342613196335E-2</c:v>
                </c:pt>
                <c:pt idx="15">
                  <c:v>2.8795614947678017E-2</c:v>
                </c:pt>
                <c:pt idx="16">
                  <c:v>2.8816886816241061E-2</c:v>
                </c:pt>
                <c:pt idx="17">
                  <c:v>2.8838158218895571E-2</c:v>
                </c:pt>
                <c:pt idx="18">
                  <c:v>2.8859429155651761E-2</c:v>
                </c:pt>
                <c:pt idx="19">
                  <c:v>2.8880699626519735E-2</c:v>
                </c:pt>
                <c:pt idx="20">
                  <c:v>2.8901969631509927E-2</c:v>
                </c:pt>
                <c:pt idx="21">
                  <c:v>2.8923239170632442E-2</c:v>
                </c:pt>
                <c:pt idx="22">
                  <c:v>2.8944508243897382E-2</c:v>
                </c:pt>
                <c:pt idx="23">
                  <c:v>2.8965776851315073E-2</c:v>
                </c:pt>
                <c:pt idx="24">
                  <c:v>2.8987044992895616E-2</c:v>
                </c:pt>
                <c:pt idx="25">
                  <c:v>2.9008312668649339E-2</c:v>
                </c:pt>
                <c:pt idx="26">
                  <c:v>2.9029579878586453E-2</c:v>
                </c:pt>
                <c:pt idx="27">
                  <c:v>2.9050846622716953E-2</c:v>
                </c:pt>
                <c:pt idx="28">
                  <c:v>2.9072112901051272E-2</c:v>
                </c:pt>
                <c:pt idx="29">
                  <c:v>2.9093378713599405E-2</c:v>
                </c:pt>
                <c:pt idx="30">
                  <c:v>2.9114644060371786E-2</c:v>
                </c:pt>
                <c:pt idx="31">
                  <c:v>2.9135908941378408E-2</c:v>
                </c:pt>
                <c:pt idx="32">
                  <c:v>2.9157173356629595E-2</c:v>
                </c:pt>
                <c:pt idx="33">
                  <c:v>2.9178437306135563E-2</c:v>
                </c:pt>
                <c:pt idx="34">
                  <c:v>2.9199700789906413E-2</c:v>
                </c:pt>
                <c:pt idx="35">
                  <c:v>2.922096380795236E-2</c:v>
                </c:pt>
                <c:pt idx="36">
                  <c:v>2.924222636028373E-2</c:v>
                </c:pt>
                <c:pt idx="37">
                  <c:v>2.9263488446910513E-2</c:v>
                </c:pt>
                <c:pt idx="38">
                  <c:v>2.9284750067843146E-2</c:v>
                </c:pt>
                <c:pt idx="39">
                  <c:v>2.9306011223091732E-2</c:v>
                </c:pt>
                <c:pt idx="40">
                  <c:v>2.9327271912666375E-2</c:v>
                </c:pt>
                <c:pt idx="41">
                  <c:v>2.9348532136577399E-2</c:v>
                </c:pt>
                <c:pt idx="42">
                  <c:v>2.9369791894834907E-2</c:v>
                </c:pt>
                <c:pt idx="43">
                  <c:v>2.9391051187449113E-2</c:v>
                </c:pt>
                <c:pt idx="44">
                  <c:v>2.9412310014430343E-2</c:v>
                </c:pt>
                <c:pt idx="45">
                  <c:v>2.9433568375788699E-2</c:v>
                </c:pt>
                <c:pt idx="46">
                  <c:v>2.9454826271534285E-2</c:v>
                </c:pt>
                <c:pt idx="47">
                  <c:v>2.9476083701677536E-2</c:v>
                </c:pt>
                <c:pt idx="48">
                  <c:v>2.9497340666228444E-2</c:v>
                </c:pt>
                <c:pt idx="49">
                  <c:v>2.9518597165197225E-2</c:v>
                </c:pt>
                <c:pt idx="50">
                  <c:v>2.9539853198594201E-2</c:v>
                </c:pt>
                <c:pt idx="51">
                  <c:v>2.9561108766429478E-2</c:v>
                </c:pt>
                <c:pt idx="52">
                  <c:v>2.9582363868713268E-2</c:v>
                </c:pt>
                <c:pt idx="53">
                  <c:v>2.9603618505455676E-2</c:v>
                </c:pt>
                <c:pt idx="54">
                  <c:v>2.9624872676667136E-2</c:v>
                </c:pt>
                <c:pt idx="55">
                  <c:v>2.964612638235764E-2</c:v>
                </c:pt>
                <c:pt idx="56">
                  <c:v>2.9667379622537404E-2</c:v>
                </c:pt>
                <c:pt idx="57">
                  <c:v>2.9688632397216641E-2</c:v>
                </c:pt>
                <c:pt idx="58">
                  <c:v>2.9709884706405676E-2</c:v>
                </c:pt>
                <c:pt idx="59">
                  <c:v>2.9731136550114501E-2</c:v>
                </c:pt>
                <c:pt idx="60">
                  <c:v>2.9752387928353441E-2</c:v>
                </c:pt>
                <c:pt idx="61">
                  <c:v>2.977363884113271E-2</c:v>
                </c:pt>
                <c:pt idx="62">
                  <c:v>2.9794889288462412E-2</c:v>
                </c:pt>
                <c:pt idx="63">
                  <c:v>2.9816139270352759E-2</c:v>
                </c:pt>
                <c:pt idx="64">
                  <c:v>2.9837388786813968E-2</c:v>
                </c:pt>
                <c:pt idx="65">
                  <c:v>2.985863783785625E-2</c:v>
                </c:pt>
                <c:pt idx="66">
                  <c:v>2.9879886423489821E-2</c:v>
                </c:pt>
                <c:pt idx="67">
                  <c:v>2.9901134543724783E-2</c:v>
                </c:pt>
                <c:pt idx="68">
                  <c:v>2.9922382198571351E-2</c:v>
                </c:pt>
                <c:pt idx="69">
                  <c:v>2.9943629388039739E-2</c:v>
                </c:pt>
                <c:pt idx="70">
                  <c:v>2.9964876112140271E-2</c:v>
                </c:pt>
                <c:pt idx="71">
                  <c:v>2.9986122370882939E-2</c:v>
                </c:pt>
                <c:pt idx="72">
                  <c:v>3.0007368164277959E-2</c:v>
                </c:pt>
                <c:pt idx="73">
                  <c:v>3.0028613492335654E-2</c:v>
                </c:pt>
                <c:pt idx="74">
                  <c:v>3.0049858355066128E-2</c:v>
                </c:pt>
                <c:pt idx="75">
                  <c:v>3.0071102752479484E-2</c:v>
                </c:pt>
                <c:pt idx="76">
                  <c:v>3.0092346684586158E-2</c:v>
                </c:pt>
                <c:pt idx="77">
                  <c:v>3.0113590151396141E-2</c:v>
                </c:pt>
                <c:pt idx="78">
                  <c:v>3.0134833152919649E-2</c:v>
                </c:pt>
                <c:pt idx="79">
                  <c:v>3.0156075689166895E-2</c:v>
                </c:pt>
                <c:pt idx="80">
                  <c:v>3.0177317760148203E-2</c:v>
                </c:pt>
                <c:pt idx="81">
                  <c:v>3.0198559365873567E-2</c:v>
                </c:pt>
                <c:pt idx="82">
                  <c:v>3.02198005063532E-2</c:v>
                </c:pt>
                <c:pt idx="83">
                  <c:v>3.0241041181597428E-2</c:v>
                </c:pt>
                <c:pt idx="84">
                  <c:v>3.0262281391616241E-2</c:v>
                </c:pt>
                <c:pt idx="85">
                  <c:v>3.0283521136420077E-2</c:v>
                </c:pt>
                <c:pt idx="86">
                  <c:v>3.0304760416018928E-2</c:v>
                </c:pt>
                <c:pt idx="87">
                  <c:v>3.0325999230423006E-2</c:v>
                </c:pt>
                <c:pt idx="88">
                  <c:v>3.0347237579642639E-2</c:v>
                </c:pt>
                <c:pt idx="89">
                  <c:v>3.0368475463687816E-2</c:v>
                </c:pt>
                <c:pt idx="90">
                  <c:v>3.0389712882568864E-2</c:v>
                </c:pt>
                <c:pt idx="91">
                  <c:v>3.0410949836295886E-2</c:v>
                </c:pt>
                <c:pt idx="92">
                  <c:v>3.0432186324879207E-2</c:v>
                </c:pt>
                <c:pt idx="93">
                  <c:v>3.0453422348328929E-2</c:v>
                </c:pt>
                <c:pt idx="94">
                  <c:v>3.0474657906655156E-2</c:v>
                </c:pt>
                <c:pt idx="95">
                  <c:v>3.0495892999868213E-2</c:v>
                </c:pt>
                <c:pt idx="96">
                  <c:v>3.0517127627978202E-2</c:v>
                </c:pt>
                <c:pt idx="97">
                  <c:v>3.0538361790995339E-2</c:v>
                </c:pt>
                <c:pt idx="98">
                  <c:v>3.0559595488929836E-2</c:v>
                </c:pt>
                <c:pt idx="99">
                  <c:v>3.0580828721791908E-2</c:v>
                </c:pt>
                <c:pt idx="100">
                  <c:v>3.0602061489591548E-2</c:v>
                </c:pt>
                <c:pt idx="101">
                  <c:v>3.062329379233919E-2</c:v>
                </c:pt>
                <c:pt idx="102">
                  <c:v>3.0644525630044828E-2</c:v>
                </c:pt>
                <c:pt idx="103">
                  <c:v>3.0665757002718785E-2</c:v>
                </c:pt>
                <c:pt idx="104">
                  <c:v>3.0686987910371166E-2</c:v>
                </c:pt>
                <c:pt idx="105">
                  <c:v>3.0708218353012184E-2</c:v>
                </c:pt>
                <c:pt idx="106">
                  <c:v>3.0729448330652054E-2</c:v>
                </c:pt>
                <c:pt idx="107">
                  <c:v>3.0750677843300989E-2</c:v>
                </c:pt>
                <c:pt idx="108">
                  <c:v>3.0771906890968981E-2</c:v>
                </c:pt>
                <c:pt idx="109">
                  <c:v>3.0793135473666355E-2</c:v>
                </c:pt>
                <c:pt idx="110">
                  <c:v>3.0814363591403326E-2</c:v>
                </c:pt>
                <c:pt idx="111">
                  <c:v>3.0835591244190108E-2</c:v>
                </c:pt>
                <c:pt idx="112">
                  <c:v>3.0856818432036692E-2</c:v>
                </c:pt>
                <c:pt idx="113">
                  <c:v>3.0878045154953515E-2</c:v>
                </c:pt>
                <c:pt idx="114">
                  <c:v>3.0899271412950458E-2</c:v>
                </c:pt>
                <c:pt idx="115">
                  <c:v>3.0920497206038067E-2</c:v>
                </c:pt>
                <c:pt idx="116">
                  <c:v>3.0941722534226224E-2</c:v>
                </c:pt>
                <c:pt idx="117">
                  <c:v>3.0962947397525253E-2</c:v>
                </c:pt>
                <c:pt idx="118">
                  <c:v>3.0984171795945259E-2</c:v>
                </c:pt>
                <c:pt idx="119">
                  <c:v>3.1005395729496454E-2</c:v>
                </c:pt>
                <c:pt idx="120">
                  <c:v>3.1026619198189054E-2</c:v>
                </c:pt>
                <c:pt idx="121">
                  <c:v>3.1047842202033271E-2</c:v>
                </c:pt>
                <c:pt idx="122">
                  <c:v>3.106906474103921E-2</c:v>
                </c:pt>
                <c:pt idx="123">
                  <c:v>3.1090286815217083E-2</c:v>
                </c:pt>
                <c:pt idx="124">
                  <c:v>3.1111508424576995E-2</c:v>
                </c:pt>
                <c:pt idx="125">
                  <c:v>3.1132729569129269E-2</c:v>
                </c:pt>
                <c:pt idx="126">
                  <c:v>3.115395024888401E-2</c:v>
                </c:pt>
                <c:pt idx="127">
                  <c:v>3.1175170463851432E-2</c:v>
                </c:pt>
                <c:pt idx="128">
                  <c:v>3.1196390214041636E-2</c:v>
                </c:pt>
                <c:pt idx="129">
                  <c:v>3.1217609499464949E-2</c:v>
                </c:pt>
                <c:pt idx="130">
                  <c:v>3.1238828320131362E-2</c:v>
                </c:pt>
                <c:pt idx="131">
                  <c:v>3.126004667605109E-2</c:v>
                </c:pt>
                <c:pt idx="132">
                  <c:v>3.1281264567234457E-2</c:v>
                </c:pt>
                <c:pt idx="133">
                  <c:v>3.1302481993691567E-2</c:v>
                </c:pt>
                <c:pt idx="134">
                  <c:v>3.1323698955432522E-2</c:v>
                </c:pt>
                <c:pt idx="135">
                  <c:v>3.1344915452467537E-2</c:v>
                </c:pt>
                <c:pt idx="136">
                  <c:v>3.1366131484806936E-2</c:v>
                </c:pt>
                <c:pt idx="137">
                  <c:v>3.1387347052460712E-2</c:v>
                </c:pt>
                <c:pt idx="138">
                  <c:v>3.1408562155439079E-2</c:v>
                </c:pt>
                <c:pt idx="139">
                  <c:v>3.1429776793752251E-2</c:v>
                </c:pt>
                <c:pt idx="140">
                  <c:v>3.1450990967410442E-2</c:v>
                </c:pt>
                <c:pt idx="141">
                  <c:v>3.1472204676423754E-2</c:v>
                </c:pt>
                <c:pt idx="142">
                  <c:v>3.1493417920802402E-2</c:v>
                </c:pt>
                <c:pt idx="143">
                  <c:v>3.1514630700556601E-2</c:v>
                </c:pt>
                <c:pt idx="144">
                  <c:v>3.1535843015696452E-2</c:v>
                </c:pt>
                <c:pt idx="145">
                  <c:v>3.1557054866232059E-2</c:v>
                </c:pt>
                <c:pt idx="146">
                  <c:v>3.1578266252173859E-2</c:v>
                </c:pt>
                <c:pt idx="147">
                  <c:v>3.1599477173531731E-2</c:v>
                </c:pt>
                <c:pt idx="148">
                  <c:v>3.1620687630316113E-2</c:v>
                </c:pt>
                <c:pt idx="149">
                  <c:v>3.1641897622536996E-2</c:v>
                </c:pt>
                <c:pt idx="150">
                  <c:v>3.1663107150204595E-2</c:v>
                </c:pt>
                <c:pt idx="151">
                  <c:v>3.1684316213329122E-2</c:v>
                </c:pt>
                <c:pt idx="152">
                  <c:v>3.1705524811920793E-2</c:v>
                </c:pt>
                <c:pt idx="153">
                  <c:v>3.17267329459896E-2</c:v>
                </c:pt>
                <c:pt idx="154">
                  <c:v>3.1747940615545978E-2</c:v>
                </c:pt>
                <c:pt idx="155">
                  <c:v>3.1769147820599919E-2</c:v>
                </c:pt>
                <c:pt idx="156">
                  <c:v>3.1790354561161638E-2</c:v>
                </c:pt>
                <c:pt idx="157">
                  <c:v>3.1811560837241237E-2</c:v>
                </c:pt>
                <c:pt idx="158">
                  <c:v>3.1832766648849042E-2</c:v>
                </c:pt>
                <c:pt idx="159">
                  <c:v>3.1853971995995156E-2</c:v>
                </c:pt>
                <c:pt idx="160">
                  <c:v>3.1875176878689682E-2</c:v>
                </c:pt>
                <c:pt idx="161">
                  <c:v>3.1896381296942944E-2</c:v>
                </c:pt>
                <c:pt idx="162">
                  <c:v>3.1917585250764935E-2</c:v>
                </c:pt>
                <c:pt idx="163">
                  <c:v>3.193878874016598E-2</c:v>
                </c:pt>
                <c:pt idx="164">
                  <c:v>3.1959991765156182E-2</c:v>
                </c:pt>
                <c:pt idx="165">
                  <c:v>3.1981194325745754E-2</c:v>
                </c:pt>
                <c:pt idx="166">
                  <c:v>3.2002396421944801E-2</c:v>
                </c:pt>
                <c:pt idx="167">
                  <c:v>3.2023598053763536E-2</c:v>
                </c:pt>
                <c:pt idx="168">
                  <c:v>3.2044799221212061E-2</c:v>
                </c:pt>
                <c:pt idx="169">
                  <c:v>3.2065999924300703E-2</c:v>
                </c:pt>
                <c:pt idx="170">
                  <c:v>3.2087200163039453E-2</c:v>
                </c:pt>
                <c:pt idx="171">
                  <c:v>3.2108399937438525E-2</c:v>
                </c:pt>
                <c:pt idx="172">
                  <c:v>3.2129599247508245E-2</c:v>
                </c:pt>
                <c:pt idx="173">
                  <c:v>3.2150798093258603E-2</c:v>
                </c:pt>
                <c:pt idx="174">
                  <c:v>3.2171996474699927E-2</c:v>
                </c:pt>
                <c:pt idx="175">
                  <c:v>3.2193194391842206E-2</c:v>
                </c:pt>
                <c:pt idx="176">
                  <c:v>3.2214391844695656E-2</c:v>
                </c:pt>
                <c:pt idx="177">
                  <c:v>3.2235588833270601E-2</c:v>
                </c:pt>
                <c:pt idx="178">
                  <c:v>3.2256785357577034E-2</c:v>
                </c:pt>
                <c:pt idx="179">
                  <c:v>3.2277981417625168E-2</c:v>
                </c:pt>
                <c:pt idx="180">
                  <c:v>3.2299177013425218E-2</c:v>
                </c:pt>
                <c:pt idx="181">
                  <c:v>3.2320372144987286E-2</c:v>
                </c:pt>
                <c:pt idx="182">
                  <c:v>3.2341566812321698E-2</c:v>
                </c:pt>
                <c:pt idx="183">
                  <c:v>3.2362761015438335E-2</c:v>
                </c:pt>
                <c:pt idx="184">
                  <c:v>3.2383954754347632E-2</c:v>
                </c:pt>
                <c:pt idx="185">
                  <c:v>3.2405148029059694E-2</c:v>
                </c:pt>
                <c:pt idx="186">
                  <c:v>3.2426340839584511E-2</c:v>
                </c:pt>
                <c:pt idx="187">
                  <c:v>3.244753318593252E-2</c:v>
                </c:pt>
                <c:pt idx="188">
                  <c:v>3.2468725068113713E-2</c:v>
                </c:pt>
                <c:pt idx="189">
                  <c:v>3.2489916486138193E-2</c:v>
                </c:pt>
                <c:pt idx="190">
                  <c:v>3.2511107440016396E-2</c:v>
                </c:pt>
                <c:pt idx="191">
                  <c:v>3.2532297929758203E-2</c:v>
                </c:pt>
                <c:pt idx="192">
                  <c:v>3.2553487955373939E-2</c:v>
                </c:pt>
                <c:pt idx="193">
                  <c:v>3.2574677516873707E-2</c:v>
                </c:pt>
                <c:pt idx="194">
                  <c:v>3.2595866614267721E-2</c:v>
                </c:pt>
                <c:pt idx="195">
                  <c:v>3.2617055247566196E-2</c:v>
                </c:pt>
                <c:pt idx="196">
                  <c:v>3.2638243416779122E-2</c:v>
                </c:pt>
                <c:pt idx="197">
                  <c:v>3.2659431121916827E-2</c:v>
                </c:pt>
                <c:pt idx="198">
                  <c:v>3.2680618362989411E-2</c:v>
                </c:pt>
                <c:pt idx="199">
                  <c:v>3.2701805140006979E-2</c:v>
                </c:pt>
                <c:pt idx="200">
                  <c:v>3.2722991452979744E-2</c:v>
                </c:pt>
                <c:pt idx="201">
                  <c:v>3.2744177301917921E-2</c:v>
                </c:pt>
                <c:pt idx="202">
                  <c:v>3.2765362686831723E-2</c:v>
                </c:pt>
                <c:pt idx="203">
                  <c:v>3.2786547607731142E-2</c:v>
                </c:pt>
                <c:pt idx="204">
                  <c:v>3.2807732064626394E-2</c:v>
                </c:pt>
                <c:pt idx="205">
                  <c:v>3.2828916057527691E-2</c:v>
                </c:pt>
                <c:pt idx="206">
                  <c:v>3.2850099586445136E-2</c:v>
                </c:pt>
                <c:pt idx="207">
                  <c:v>3.2871282651389055E-2</c:v>
                </c:pt>
                <c:pt idx="208">
                  <c:v>3.2892465252369329E-2</c:v>
                </c:pt>
                <c:pt idx="209">
                  <c:v>3.2913647389396394E-2</c:v>
                </c:pt>
                <c:pt idx="210">
                  <c:v>3.2934829062480242E-2</c:v>
                </c:pt>
                <c:pt idx="211">
                  <c:v>3.2956010271631198E-2</c:v>
                </c:pt>
                <c:pt idx="212">
                  <c:v>3.2977191016859142E-2</c:v>
                </c:pt>
                <c:pt idx="213">
                  <c:v>3.2998371298174511E-2</c:v>
                </c:pt>
                <c:pt idx="214">
                  <c:v>3.3019551115587298E-2</c:v>
                </c:pt>
                <c:pt idx="215">
                  <c:v>3.3040730469107826E-2</c:v>
                </c:pt>
                <c:pt idx="216">
                  <c:v>3.3061909358746089E-2</c:v>
                </c:pt>
                <c:pt idx="217">
                  <c:v>3.3083087784512299E-2</c:v>
                </c:pt>
                <c:pt idx="218">
                  <c:v>3.3104265746416672E-2</c:v>
                </c:pt>
                <c:pt idx="219">
                  <c:v>3.312544324446931E-2</c:v>
                </c:pt>
                <c:pt idx="220">
                  <c:v>3.3146620278680428E-2</c:v>
                </c:pt>
                <c:pt idx="221">
                  <c:v>3.3167796849060127E-2</c:v>
                </c:pt>
                <c:pt idx="222">
                  <c:v>3.3188972955618512E-2</c:v>
                </c:pt>
                <c:pt idx="223">
                  <c:v>3.3210148598365907E-2</c:v>
                </c:pt>
                <c:pt idx="224">
                  <c:v>3.3231323777312305E-2</c:v>
                </c:pt>
                <c:pt idx="225">
                  <c:v>3.325249849246803E-2</c:v>
                </c:pt>
                <c:pt idx="226">
                  <c:v>3.3273672743843075E-2</c:v>
                </c:pt>
                <c:pt idx="227">
                  <c:v>3.3294846531447764E-2</c:v>
                </c:pt>
                <c:pt idx="228">
                  <c:v>3.3316019855292089E-2</c:v>
                </c:pt>
                <c:pt idx="229">
                  <c:v>3.3337192715386266E-2</c:v>
                </c:pt>
                <c:pt idx="230">
                  <c:v>3.3358365111740507E-2</c:v>
                </c:pt>
                <c:pt idx="231">
                  <c:v>3.3379537044364915E-2</c:v>
                </c:pt>
                <c:pt idx="232">
                  <c:v>3.3400708513269706E-2</c:v>
                </c:pt>
                <c:pt idx="233">
                  <c:v>3.342187951846487E-2</c:v>
                </c:pt>
                <c:pt idx="234">
                  <c:v>3.3443050059960844E-2</c:v>
                </c:pt>
                <c:pt idx="235">
                  <c:v>3.3464220137767509E-2</c:v>
                </c:pt>
                <c:pt idx="236">
                  <c:v>3.3485389751895189E-2</c:v>
                </c:pt>
                <c:pt idx="237">
                  <c:v>3.3506558902353989E-2</c:v>
                </c:pt>
                <c:pt idx="238">
                  <c:v>3.3527727589154011E-2</c:v>
                </c:pt>
                <c:pt idx="239">
                  <c:v>3.3548895812305579E-2</c:v>
                </c:pt>
                <c:pt idx="240">
                  <c:v>3.3570063571818687E-2</c:v>
                </c:pt>
                <c:pt idx="241">
                  <c:v>3.3591230867703437E-2</c:v>
                </c:pt>
                <c:pt idx="242">
                  <c:v>3.3612397699970153E-2</c:v>
                </c:pt>
                <c:pt idx="243">
                  <c:v>3.3633564068628941E-2</c:v>
                </c:pt>
                <c:pt idx="244">
                  <c:v>3.3654729973689901E-2</c:v>
                </c:pt>
                <c:pt idx="245">
                  <c:v>3.3675895415163248E-2</c:v>
                </c:pt>
                <c:pt idx="246">
                  <c:v>3.3697060393059086E-2</c:v>
                </c:pt>
                <c:pt idx="247">
                  <c:v>3.3718224907387628E-2</c:v>
                </c:pt>
                <c:pt idx="248">
                  <c:v>3.3739388958158978E-2</c:v>
                </c:pt>
                <c:pt idx="249">
                  <c:v>3.3760552545383238E-2</c:v>
                </c:pt>
                <c:pt idx="250">
                  <c:v>3.3781715669070733E-2</c:v>
                </c:pt>
                <c:pt idx="251">
                  <c:v>3.3802878329231345E-2</c:v>
                </c:pt>
                <c:pt idx="252">
                  <c:v>3.3824040525875509E-2</c:v>
                </c:pt>
                <c:pt idx="253">
                  <c:v>3.3845202259013218E-2</c:v>
                </c:pt>
                <c:pt idx="254">
                  <c:v>3.3866363528654686E-2</c:v>
                </c:pt>
                <c:pt idx="255">
                  <c:v>3.3887524334810015E-2</c:v>
                </c:pt>
                <c:pt idx="256">
                  <c:v>3.390868467748942E-2</c:v>
                </c:pt>
                <c:pt idx="257">
                  <c:v>3.3929844556703004E-2</c:v>
                </c:pt>
                <c:pt idx="258">
                  <c:v>3.3951003972460869E-2</c:v>
                </c:pt>
                <c:pt idx="259">
                  <c:v>3.397216292477323E-2</c:v>
                </c:pt>
                <c:pt idx="260">
                  <c:v>3.3993321413650301E-2</c:v>
                </c:pt>
                <c:pt idx="261">
                  <c:v>3.4014479439102185E-2</c:v>
                </c:pt>
                <c:pt idx="262">
                  <c:v>3.4035637001138874E-2</c:v>
                </c:pt>
                <c:pt idx="263">
                  <c:v>3.4056794099770804E-2</c:v>
                </c:pt>
                <c:pt idx="264">
                  <c:v>3.4077950735007856E-2</c:v>
                </c:pt>
                <c:pt idx="265">
                  <c:v>3.4099106906860355E-2</c:v>
                </c:pt>
                <c:pt idx="266">
                  <c:v>3.4120262615338404E-2</c:v>
                </c:pt>
                <c:pt idx="267">
                  <c:v>3.4141417860452106E-2</c:v>
                </c:pt>
                <c:pt idx="268">
                  <c:v>3.4162572642211675E-2</c:v>
                </c:pt>
                <c:pt idx="269">
                  <c:v>3.4183726960627214E-2</c:v>
                </c:pt>
                <c:pt idx="270">
                  <c:v>3.4204880815708938E-2</c:v>
                </c:pt>
                <c:pt idx="271">
                  <c:v>3.4226034207466949E-2</c:v>
                </c:pt>
                <c:pt idx="272">
                  <c:v>3.4247187135911239E-2</c:v>
                </c:pt>
                <c:pt idx="273">
                  <c:v>3.4268339601052245E-2</c:v>
                </c:pt>
                <c:pt idx="274">
                  <c:v>3.4289491602899957E-2</c:v>
                </c:pt>
                <c:pt idx="275">
                  <c:v>3.4310643141464592E-2</c:v>
                </c:pt>
                <c:pt idx="276">
                  <c:v>3.433179421675614E-2</c:v>
                </c:pt>
                <c:pt idx="277">
                  <c:v>3.4352944828784926E-2</c:v>
                </c:pt>
                <c:pt idx="278">
                  <c:v>3.4374094977561054E-2</c:v>
                </c:pt>
                <c:pt idx="279">
                  <c:v>3.4395244663094626E-2</c:v>
                </c:pt>
                <c:pt idx="280">
                  <c:v>3.4416393885395746E-2</c:v>
                </c:pt>
                <c:pt idx="281">
                  <c:v>3.4437542644474628E-2</c:v>
                </c:pt>
                <c:pt idx="282">
                  <c:v>3.4458690940341485E-2</c:v>
                </c:pt>
                <c:pt idx="283">
                  <c:v>3.4479838773006311E-2</c:v>
                </c:pt>
                <c:pt idx="284">
                  <c:v>3.4500986142479317E-2</c:v>
                </c:pt>
                <c:pt idx="285">
                  <c:v>3.452213304877072E-2</c:v>
                </c:pt>
                <c:pt idx="286">
                  <c:v>3.4543279491890622E-2</c:v>
                </c:pt>
                <c:pt idx="287">
                  <c:v>3.4564425471849125E-2</c:v>
                </c:pt>
                <c:pt idx="288">
                  <c:v>3.4585570988656333E-2</c:v>
                </c:pt>
                <c:pt idx="289">
                  <c:v>3.4606716042322461E-2</c:v>
                </c:pt>
                <c:pt idx="290">
                  <c:v>3.4627860632857721E-2</c:v>
                </c:pt>
                <c:pt idx="291">
                  <c:v>3.4649004760272106E-2</c:v>
                </c:pt>
                <c:pt idx="292">
                  <c:v>3.4670148424575942E-2</c:v>
                </c:pt>
                <c:pt idx="293">
                  <c:v>3.4691291625779219E-2</c:v>
                </c:pt>
                <c:pt idx="294">
                  <c:v>3.4712434363892042E-2</c:v>
                </c:pt>
                <c:pt idx="295">
                  <c:v>3.4733576638924735E-2</c:v>
                </c:pt>
                <c:pt idx="296">
                  <c:v>3.475471845088729E-2</c:v>
                </c:pt>
                <c:pt idx="297">
                  <c:v>3.4775859799789921E-2</c:v>
                </c:pt>
                <c:pt idx="298">
                  <c:v>3.4797000685642732E-2</c:v>
                </c:pt>
                <c:pt idx="299">
                  <c:v>3.4818141108455936E-2</c:v>
                </c:pt>
                <c:pt idx="300">
                  <c:v>3.4839281068239636E-2</c:v>
                </c:pt>
                <c:pt idx="301">
                  <c:v>3.4860420565003936E-2</c:v>
                </c:pt>
                <c:pt idx="302">
                  <c:v>3.4881559598758938E-2</c:v>
                </c:pt>
                <c:pt idx="303">
                  <c:v>3.4902698169514967E-2</c:v>
                </c:pt>
                <c:pt idx="304">
                  <c:v>3.4923836277282017E-2</c:v>
                </c:pt>
                <c:pt idx="305">
                  <c:v>3.4944973922070188E-2</c:v>
                </c:pt>
                <c:pt idx="306">
                  <c:v>3.4966111103889697E-2</c:v>
                </c:pt>
                <c:pt idx="307">
                  <c:v>3.4987247822750756E-2</c:v>
                </c:pt>
                <c:pt idx="308">
                  <c:v>3.5008384078663357E-2</c:v>
                </c:pt>
                <c:pt idx="309">
                  <c:v>3.5029519871637715E-2</c:v>
                </c:pt>
                <c:pt idx="310">
                  <c:v>3.5050655201684044E-2</c:v>
                </c:pt>
                <c:pt idx="311">
                  <c:v>3.5071790068812336E-2</c:v>
                </c:pt>
                <c:pt idx="312">
                  <c:v>3.5092924473032805E-2</c:v>
                </c:pt>
                <c:pt idx="313">
                  <c:v>3.5114058414355553E-2</c:v>
                </c:pt>
                <c:pt idx="314">
                  <c:v>3.5135191892790796E-2</c:v>
                </c:pt>
                <c:pt idx="315">
                  <c:v>3.5156324908348524E-2</c:v>
                </c:pt>
                <c:pt idx="316">
                  <c:v>3.5177457461039063E-2</c:v>
                </c:pt>
                <c:pt idx="317">
                  <c:v>3.5198589550872406E-2</c:v>
                </c:pt>
                <c:pt idx="318">
                  <c:v>3.5219721177858876E-2</c:v>
                </c:pt>
                <c:pt idx="319">
                  <c:v>3.5240852342008355E-2</c:v>
                </c:pt>
                <c:pt idx="320">
                  <c:v>3.5261983043331169E-2</c:v>
                </c:pt>
                <c:pt idx="321">
                  <c:v>3.5283113281837308E-2</c:v>
                </c:pt>
                <c:pt idx="322">
                  <c:v>3.5304243057537099E-2</c:v>
                </c:pt>
                <c:pt idx="323">
                  <c:v>3.5325372370440533E-2</c:v>
                </c:pt>
                <c:pt idx="324">
                  <c:v>3.5346501220557824E-2</c:v>
                </c:pt>
                <c:pt idx="325">
                  <c:v>3.5367629607898965E-2</c:v>
                </c:pt>
                <c:pt idx="326">
                  <c:v>3.538875753247428E-2</c:v>
                </c:pt>
                <c:pt idx="327">
                  <c:v>3.5409884994293872E-2</c:v>
                </c:pt>
                <c:pt idx="328">
                  <c:v>3.5431011993367734E-2</c:v>
                </c:pt>
                <c:pt idx="329">
                  <c:v>3.545213852970619E-2</c:v>
                </c:pt>
                <c:pt idx="330">
                  <c:v>3.5473264603319121E-2</c:v>
                </c:pt>
                <c:pt idx="331">
                  <c:v>3.5494390214216964E-2</c:v>
                </c:pt>
                <c:pt idx="332">
                  <c:v>3.5515515362409711E-2</c:v>
                </c:pt>
                <c:pt idx="333">
                  <c:v>3.5536640047907353E-2</c:v>
                </c:pt>
                <c:pt idx="334">
                  <c:v>3.5557764270720327E-2</c:v>
                </c:pt>
                <c:pt idx="335">
                  <c:v>3.5578888030858513E-2</c:v>
                </c:pt>
                <c:pt idx="336">
                  <c:v>3.5600011328332237E-2</c:v>
                </c:pt>
                <c:pt idx="337">
                  <c:v>3.5621134163151491E-2</c:v>
                </c:pt>
                <c:pt idx="338">
                  <c:v>3.5642256535326378E-2</c:v>
                </c:pt>
                <c:pt idx="339">
                  <c:v>3.5663378444867222E-2</c:v>
                </c:pt>
                <c:pt idx="340">
                  <c:v>3.5684499891783905E-2</c:v>
                </c:pt>
                <c:pt idx="341">
                  <c:v>3.5705620876086752E-2</c:v>
                </c:pt>
                <c:pt idx="342">
                  <c:v>3.5726741397785866E-2</c:v>
                </c:pt>
                <c:pt idx="343">
                  <c:v>3.574786145689135E-2</c:v>
                </c:pt>
                <c:pt idx="344">
                  <c:v>3.5768981053413307E-2</c:v>
                </c:pt>
                <c:pt idx="345">
                  <c:v>3.5790100187361951E-2</c:v>
                </c:pt>
                <c:pt idx="346">
                  <c:v>3.5811218858747274E-2</c:v>
                </c:pt>
                <c:pt idx="347">
                  <c:v>3.58323370675796E-2</c:v>
                </c:pt>
                <c:pt idx="348">
                  <c:v>3.5853454813868924E-2</c:v>
                </c:pt>
                <c:pt idx="349">
                  <c:v>3.5874572097625346E-2</c:v>
                </c:pt>
                <c:pt idx="350">
                  <c:v>3.5895688918859081E-2</c:v>
                </c:pt>
                <c:pt idx="351">
                  <c:v>3.5916805277580233E-2</c:v>
                </c:pt>
                <c:pt idx="352">
                  <c:v>3.5937921173798903E-2</c:v>
                </c:pt>
                <c:pt idx="353">
                  <c:v>3.5959036607525308E-2</c:v>
                </c:pt>
                <c:pt idx="354">
                  <c:v>3.5980151578769548E-2</c:v>
                </c:pt>
                <c:pt idx="355">
                  <c:v>3.6001266087541728E-2</c:v>
                </c:pt>
                <c:pt idx="356">
                  <c:v>3.602238013385195E-2</c:v>
                </c:pt>
                <c:pt idx="357">
                  <c:v>3.6043493717710318E-2</c:v>
                </c:pt>
                <c:pt idx="358">
                  <c:v>3.6064606839127045E-2</c:v>
                </c:pt>
                <c:pt idx="359">
                  <c:v>3.6085719498112234E-2</c:v>
                </c:pt>
                <c:pt idx="360">
                  <c:v>3.61068316946761E-2</c:v>
                </c:pt>
                <c:pt idx="361">
                  <c:v>3.6127943428828524E-2</c:v>
                </c:pt>
                <c:pt idx="362">
                  <c:v>3.614905470057983E-2</c:v>
                </c:pt>
                <c:pt idx="363">
                  <c:v>3.6170165509940122E-2</c:v>
                </c:pt>
                <c:pt idx="364">
                  <c:v>3.6191275856919614E-2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3.1366798344515431E-2</c:v>
                </c:pt>
                <c:pt idx="1">
                  <c:v>3.160504538936907E-2</c:v>
                </c:pt>
                <c:pt idx="2">
                  <c:v>3.18429592727449E-2</c:v>
                </c:pt>
                <c:pt idx="3">
                  <c:v>3.2080534765737426E-2</c:v>
                </c:pt>
                <c:pt idx="4">
                  <c:v>3.2317767385687195E-2</c:v>
                </c:pt>
                <c:pt idx="5">
                  <c:v>3.2554653401157055E-2</c:v>
                </c:pt>
                <c:pt idx="6">
                  <c:v>3.2791189828123762E-2</c:v>
                </c:pt>
                <c:pt idx="7">
                  <c:v>3.3027374417659593E-2</c:v>
                </c:pt>
                <c:pt idx="8">
                  <c:v>3.3263205635463977E-2</c:v>
                </c:pt>
                <c:pt idx="9">
                  <c:v>3.3498682633686445E-2</c:v>
                </c:pt>
                <c:pt idx="10">
                  <c:v>3.3733805215557661E-2</c:v>
                </c:pt>
                <c:pt idx="11">
                  <c:v>3.3968573793414399E-2</c:v>
                </c:pt>
                <c:pt idx="12">
                  <c:v>3.4202989340767528E-2</c:v>
                </c:pt>
                <c:pt idx="13">
                  <c:v>3.4437053339115863E-2</c:v>
                </c:pt>
                <c:pt idx="14">
                  <c:v>3.4670767720256686E-2</c:v>
                </c:pt>
                <c:pt idx="15">
                  <c:v>3.4904134804881755E-2</c:v>
                </c:pt>
                <c:pt idx="16">
                  <c:v>3.5137157238277011E-2</c:v>
                </c:pt>
                <c:pt idx="17">
                  <c:v>3.5369837923965274E-2</c:v>
                </c:pt>
                <c:pt idx="18">
                  <c:v>3.5602179956142385E-2</c:v>
                </c:pt>
                <c:pt idx="19">
                  <c:v>3.5834186551759281E-2</c:v>
                </c:pt>
                <c:pt idx="20">
                  <c:v>3.6065860983095867E-2</c:v>
                </c:pt>
                <c:pt idx="21">
                  <c:v>3.629720651165623E-2</c:v>
                </c:pt>
                <c:pt idx="22">
                  <c:v>3.6528226324189991E-2</c:v>
                </c:pt>
                <c:pt idx="23">
                  <c:v>3.6758923471611971E-2</c:v>
                </c:pt>
                <c:pt idx="24">
                  <c:v>3.6989300811550156E-2</c:v>
                </c:pt>
                <c:pt idx="25">
                  <c:v>3.7219360955204457E-2</c:v>
                </c:pt>
                <c:pt idx="26">
                  <c:v>3.7449106219142887E-2</c:v>
                </c:pt>
                <c:pt idx="27">
                  <c:v>3.7678538582599765E-2</c:v>
                </c:pt>
                <c:pt idx="28">
                  <c:v>3.79076596507745E-2</c:v>
                </c:pt>
                <c:pt idx="29">
                  <c:v>3.8136470624556655E-2</c:v>
                </c:pt>
                <c:pt idx="30">
                  <c:v>3.8364972277028626E-2</c:v>
                </c:pt>
                <c:pt idx="31">
                  <c:v>3.859316493701765E-2</c:v>
                </c:pt>
                <c:pt idx="32">
                  <c:v>3.8821048479889271E-2</c:v>
                </c:pt>
                <c:pt idx="33">
                  <c:v>3.9048622325692096E-2</c:v>
                </c:pt>
                <c:pt idx="34">
                  <c:v>3.9275885444681899E-2</c:v>
                </c:pt>
                <c:pt idx="35">
                  <c:v>3.9502836370171698E-2</c:v>
                </c:pt>
                <c:pt idx="36">
                  <c:v>3.9729473218574972E-2</c:v>
                </c:pt>
                <c:pt idx="37">
                  <c:v>3.995579371643132E-2</c:v>
                </c:pt>
                <c:pt idx="38">
                  <c:v>4.0181795234130152E-2</c:v>
                </c:pt>
                <c:pt idx="39">
                  <c:v>4.040747482597782E-2</c:v>
                </c:pt>
                <c:pt idx="40">
                  <c:v>4.0632829276187825E-2</c:v>
                </c:pt>
                <c:pt idx="41">
                  <c:v>4.0857855150314447E-2</c:v>
                </c:pt>
                <c:pt idx="42">
                  <c:v>4.1082548851595638E-2</c:v>
                </c:pt>
                <c:pt idx="43">
                  <c:v>4.1306906681623783E-2</c:v>
                </c:pt>
                <c:pt idx="44">
                  <c:v>4.1530924904722717E-2</c:v>
                </c:pt>
                <c:pt idx="45">
                  <c:v>4.1754599815375909E-2</c:v>
                </c:pt>
                <c:pt idx="46">
                  <c:v>4.1977927808025783E-2</c:v>
                </c:pt>
                <c:pt idx="47">
                  <c:v>4.2200905448545718E-2</c:v>
                </c:pt>
                <c:pt idx="48">
                  <c:v>4.2423529546677517E-2</c:v>
                </c:pt>
                <c:pt idx="49">
                  <c:v>4.2645797228724087E-2</c:v>
                </c:pt>
                <c:pt idx="50">
                  <c:v>4.2867706009793852E-2</c:v>
                </c:pt>
                <c:pt idx="51">
                  <c:v>4.3089253864906384E-2</c:v>
                </c:pt>
                <c:pt idx="52">
                  <c:v>4.3310439298289691E-2</c:v>
                </c:pt>
                <c:pt idx="53">
                  <c:v>4.3531261410227319E-2</c:v>
                </c:pt>
                <c:pt idx="54">
                  <c:v>4.3751719960847799E-2</c:v>
                </c:pt>
                <c:pt idx="55">
                  <c:v>4.3971815430288892E-2</c:v>
                </c:pt>
                <c:pt idx="56">
                  <c:v>4.4191549074715591E-2</c:v>
                </c:pt>
                <c:pt idx="57">
                  <c:v>4.4410922977720473E-2</c:v>
                </c:pt>
                <c:pt idx="58">
                  <c:v>4.462994009669051E-2</c:v>
                </c:pt>
                <c:pt idx="59">
                  <c:v>4.4848604303781923E-2</c:v>
                </c:pt>
                <c:pt idx="60">
                  <c:v>4.5066920421206122E-2</c:v>
                </c:pt>
                <c:pt idx="61">
                  <c:v>4.5284894250591554E-2</c:v>
                </c:pt>
                <c:pt idx="62">
                  <c:v>4.5502532596250998E-2</c:v>
                </c:pt>
                <c:pt idx="63">
                  <c:v>4.5719843282246854E-2</c:v>
                </c:pt>
                <c:pt idx="64">
                  <c:v>4.593683516321144E-2</c:v>
                </c:pt>
                <c:pt idx="65">
                  <c:v>4.6153518128940856E-2</c:v>
                </c:pt>
                <c:pt idx="66">
                  <c:v>4.6369903102841434E-2</c:v>
                </c:pt>
                <c:pt idx="67">
                  <c:v>4.6586002034365338E-2</c:v>
                </c:pt>
                <c:pt idx="68">
                  <c:v>4.6801827885625785E-2</c:v>
                </c:pt>
                <c:pt idx="69">
                  <c:v>4.7017394612432373E-2</c:v>
                </c:pt>
                <c:pt idx="70">
                  <c:v>4.72327171400325E-2</c:v>
                </c:pt>
                <c:pt idx="71">
                  <c:v>4.7447811333885169E-2</c:v>
                </c:pt>
                <c:pt idx="72">
                  <c:v>4.7662693965828055E-2</c:v>
                </c:pt>
                <c:pt idx="73">
                  <c:v>4.7877382676027896E-2</c:v>
                </c:pt>
                <c:pt idx="74">
                  <c:v>4.8091895931127053E-2</c:v>
                </c:pt>
                <c:pt idx="75">
                  <c:v>4.8306252979015085E-2</c:v>
                </c:pt>
                <c:pt idx="76">
                  <c:v>4.8520473800665105E-2</c:v>
                </c:pt>
                <c:pt idx="77">
                  <c:v>4.8734579059477041E-2</c:v>
                </c:pt>
                <c:pt idx="78">
                  <c:v>4.8948590048568705E-2</c:v>
                </c:pt>
                <c:pt idx="79">
                  <c:v>4.9162528636445026E-2</c:v>
                </c:pt>
                <c:pt idx="80">
                  <c:v>4.9376417211462208E-2</c:v>
                </c:pt>
                <c:pt idx="81">
                  <c:v>4.9590278625482057E-2</c:v>
                </c:pt>
                <c:pt idx="82">
                  <c:v>4.9804136137086827E-2</c:v>
                </c:pt>
                <c:pt idx="83">
                  <c:v>5.00180133546934E-2</c:v>
                </c:pt>
                <c:pt idx="84">
                  <c:v>5.0231934179871762E-2</c:v>
                </c:pt>
                <c:pt idx="85">
                  <c:v>5.0445922751133722E-2</c:v>
                </c:pt>
                <c:pt idx="86">
                  <c:v>5.0660003388416565E-2</c:v>
                </c:pt>
                <c:pt idx="87">
                  <c:v>5.0874200538442771E-2</c:v>
                </c:pt>
                <c:pt idx="88">
                  <c:v>5.1088538721091065E-2</c:v>
                </c:pt>
                <c:pt idx="89">
                  <c:v>5.1303042476868684E-2</c:v>
                </c:pt>
                <c:pt idx="90">
                  <c:v>5.1517736315527217E-2</c:v>
                </c:pt>
                <c:pt idx="91">
                  <c:v>5.1732644665819928E-2</c:v>
                </c:pt>
                <c:pt idx="92">
                  <c:v>5.1947791826352993E-2</c:v>
                </c:pt>
                <c:pt idx="93">
                  <c:v>5.2163201917441691E-2</c:v>
                </c:pt>
                <c:pt idx="94">
                  <c:v>5.2378898833842474E-2</c:v>
                </c:pt>
                <c:pt idx="95">
                  <c:v>5.2594906198196414E-2</c:v>
                </c:pt>
                <c:pt idx="96">
                  <c:v>5.2811247314987368E-2</c:v>
                </c:pt>
                <c:pt idx="97">
                  <c:v>5.3027945124790817E-2</c:v>
                </c:pt>
                <c:pt idx="98">
                  <c:v>5.3245022158567912E-2</c:v>
                </c:pt>
                <c:pt idx="99">
                  <c:v>5.3462500491742192E-2</c:v>
                </c:pt>
                <c:pt idx="100">
                  <c:v>5.3680401697786324E-2</c:v>
                </c:pt>
                <c:pt idx="101">
                  <c:v>5.3898746801042209E-2</c:v>
                </c:pt>
                <c:pt idx="102">
                  <c:v>5.4117556228499682E-2</c:v>
                </c:pt>
                <c:pt idx="103">
                  <c:v>5.4336849760268119E-2</c:v>
                </c:pt>
                <c:pt idx="104">
                  <c:v>5.4556646478490969E-2</c:v>
                </c:pt>
                <c:pt idx="105">
                  <c:v>5.4776964714474706E-2</c:v>
                </c:pt>
                <c:pt idx="106">
                  <c:v>5.4997821993832546E-2</c:v>
                </c:pt>
                <c:pt idx="107">
                  <c:v>5.521923497947713E-2</c:v>
                </c:pt>
                <c:pt idx="108">
                  <c:v>5.5441219412337345E-2</c:v>
                </c:pt>
                <c:pt idx="109">
                  <c:v>5.5663790049719095E-2</c:v>
                </c:pt>
                <c:pt idx="110">
                  <c:v>5.5886960601280775E-2</c:v>
                </c:pt>
                <c:pt idx="111">
                  <c:v>5.6110743662648253E-2</c:v>
                </c:pt>
                <c:pt idx="112">
                  <c:v>5.6335150646752631E-2</c:v>
                </c:pt>
                <c:pt idx="113">
                  <c:v>5.6560191713034461E-2</c:v>
                </c:pt>
                <c:pt idx="114">
                  <c:v>5.6785875694721204E-2</c:v>
                </c:pt>
                <c:pt idx="115">
                  <c:v>5.7012210024449082E-2</c:v>
                </c:pt>
                <c:pt idx="116">
                  <c:v>5.7239200658564041E-2</c:v>
                </c:pt>
                <c:pt idx="117">
                  <c:v>5.7466852000501632E-2</c:v>
                </c:pt>
                <c:pt idx="118">
                  <c:v>5.7695166823706998E-2</c:v>
                </c:pt>
                <c:pt idx="119">
                  <c:v>5.7924146194616777E-2</c:v>
                </c:pt>
                <c:pt idx="120">
                  <c:v>5.8153789396281595E-2</c:v>
                </c:pt>
                <c:pt idx="121">
                  <c:v>5.8384093853260002E-2</c:v>
                </c:pt>
                <c:pt idx="122">
                  <c:v>5.8615055058463109E-2</c:v>
                </c:pt>
                <c:pt idx="123">
                  <c:v>5.884666650267046E-2</c:v>
                </c:pt>
                <c:pt idx="124">
                  <c:v>5.9078919607473239E-2</c:v>
                </c:pt>
                <c:pt idx="125">
                  <c:v>5.931180366242899E-2</c:v>
                </c:pt>
                <c:pt idx="126">
                  <c:v>5.9545305767232166E-2</c:v>
                </c:pt>
                <c:pt idx="127">
                  <c:v>5.9779410779716186E-2</c:v>
                </c:pt>
                <c:pt idx="128">
                  <c:v>6.0014101270506139E-2</c:v>
                </c:pt>
                <c:pt idx="129">
                  <c:v>6.0249357485134235E-2</c:v>
                </c:pt>
                <c:pt idx="130">
                  <c:v>6.0485157314413972E-2</c:v>
                </c:pt>
                <c:pt idx="131">
                  <c:v>6.0721476273844159E-2</c:v>
                </c:pt>
                <c:pt idx="132">
                  <c:v>6.0958287492777215E-2</c:v>
                </c:pt>
                <c:pt idx="133">
                  <c:v>6.1195561714042154E-2</c:v>
                </c:pt>
                <c:pt idx="134">
                  <c:v>6.143326730465716E-2</c:v>
                </c:pt>
                <c:pt idx="135">
                  <c:v>6.1671370278203332E-2</c:v>
                </c:pt>
                <c:pt idx="136">
                  <c:v>6.1909834329358295E-2</c:v>
                </c:pt>
                <c:pt idx="137">
                  <c:v>6.2148620881007449E-2</c:v>
                </c:pt>
                <c:pt idx="138">
                  <c:v>6.238768914426189E-2</c:v>
                </c:pt>
                <c:pt idx="139">
                  <c:v>6.2626996191616741E-2</c:v>
                </c:pt>
                <c:pt idx="140">
                  <c:v>6.2866497043381486E-2</c:v>
                </c:pt>
                <c:pt idx="141">
                  <c:v>6.310614476740771E-2</c:v>
                </c:pt>
                <c:pt idx="142">
                  <c:v>6.3345890592027457E-2</c:v>
                </c:pt>
                <c:pt idx="143">
                  <c:v>6.358568403200196E-2</c:v>
                </c:pt>
                <c:pt idx="144">
                  <c:v>6.3825473027163959E-2</c:v>
                </c:pt>
                <c:pt idx="145">
                  <c:v>6.4065204093318825E-2</c:v>
                </c:pt>
                <c:pt idx="146">
                  <c:v>6.4304822484853405E-2</c:v>
                </c:pt>
                <c:pt idx="147">
                  <c:v>6.4544272368385711E-2</c:v>
                </c:pt>
                <c:pt idx="148">
                  <c:v>6.4783497006675572E-2</c:v>
                </c:pt>
                <c:pt idx="149">
                  <c:v>6.5022438951907374E-2</c:v>
                </c:pt>
                <c:pt idx="150">
                  <c:v>6.5261040247352908E-2</c:v>
                </c:pt>
                <c:pt idx="151">
                  <c:v>6.5499242636323618E-2</c:v>
                </c:pt>
                <c:pt idx="152">
                  <c:v>6.5736987777233177E-2</c:v>
                </c:pt>
                <c:pt idx="153">
                  <c:v>6.5974217463507831E-2</c:v>
                </c:pt>
                <c:pt idx="154">
                  <c:v>6.6210873847011645E-2</c:v>
                </c:pt>
                <c:pt idx="155">
                  <c:v>6.644689966359113E-2</c:v>
                </c:pt>
                <c:pt idx="156">
                  <c:v>6.6682238459293386E-2</c:v>
                </c:pt>
                <c:pt idx="157">
                  <c:v>6.6916834815773957E-2</c:v>
                </c:pt>
                <c:pt idx="158">
                  <c:v>6.7150634573384063E-2</c:v>
                </c:pt>
                <c:pt idx="159">
                  <c:v>6.738358505041428E-2</c:v>
                </c:pt>
                <c:pt idx="160">
                  <c:v>6.7615635256972478E-2</c:v>
                </c:pt>
                <c:pt idx="161">
                  <c:v>6.7846736101987715E-2</c:v>
                </c:pt>
                <c:pt idx="162">
                  <c:v>6.8076840591859436E-2</c:v>
                </c:pt>
                <c:pt idx="163">
                  <c:v>6.8305904019313454E-2</c:v>
                </c:pt>
                <c:pt idx="164">
                  <c:v>6.8533884141080803E-2</c:v>
                </c:pt>
                <c:pt idx="165">
                  <c:v>6.8760741343083492E-2</c:v>
                </c:pt>
                <c:pt idx="166">
                  <c:v>6.8986438791892687E-2</c:v>
                </c:pt>
                <c:pt idx="167">
                  <c:v>6.9210942571316367E-2</c:v>
                </c:pt>
                <c:pt idx="168">
                  <c:v>6.9434221803079482E-2</c:v>
                </c:pt>
                <c:pt idx="169">
                  <c:v>6.9656248750672556E-2</c:v>
                </c:pt>
                <c:pt idx="170">
                  <c:v>6.9876998905569129E-2</c:v>
                </c:pt>
                <c:pt idx="171">
                  <c:v>7.0096451055145947E-2</c:v>
                </c:pt>
                <c:pt idx="172">
                  <c:v>7.0314587331777451E-2</c:v>
                </c:pt>
                <c:pt idx="173">
                  <c:v>7.0531393242723395E-2</c:v>
                </c:pt>
                <c:pt idx="174">
                  <c:v>7.0746857680577535E-2</c:v>
                </c:pt>
                <c:pt idx="175">
                  <c:v>7.096097291419845E-2</c:v>
                </c:pt>
                <c:pt idx="176">
                  <c:v>7.1173734560199403E-2</c:v>
                </c:pt>
                <c:pt idx="177">
                  <c:v>7.1385141535228042E-2</c:v>
                </c:pt>
                <c:pt idx="178">
                  <c:v>7.1595195989421614E-2</c:v>
                </c:pt>
                <c:pt idx="179">
                  <c:v>7.1803903221574233E-2</c:v>
                </c:pt>
                <c:pt idx="180">
                  <c:v>7.2011271576698926E-2</c:v>
                </c:pt>
                <c:pt idx="181">
                  <c:v>7.2217312326809682E-2</c:v>
                </c:pt>
                <c:pt idx="182">
                  <c:v>7.2422039535881264E-2</c:v>
                </c:pt>
                <c:pt idx="183">
                  <c:v>7.2625469910071294E-2</c:v>
                </c:pt>
                <c:pt idx="184">
                  <c:v>7.2827622634404593E-2</c:v>
                </c:pt>
                <c:pt idx="185">
                  <c:v>7.3028519197224709E-2</c:v>
                </c:pt>
                <c:pt idx="186">
                  <c:v>7.3228183203810762E-2</c:v>
                </c:pt>
                <c:pt idx="187">
                  <c:v>7.3426640180638256E-2</c:v>
                </c:pt>
                <c:pt idx="188">
                  <c:v>7.3623917371828163E-2</c:v>
                </c:pt>
                <c:pt idx="189">
                  <c:v>7.3820043529381638E-2</c:v>
                </c:pt>
                <c:pt idx="190">
                  <c:v>7.4015048698834102E-2</c:v>
                </c:pt>
                <c:pt idx="191">
                  <c:v>7.4208964001984706E-2</c:v>
                </c:pt>
                <c:pt idx="192">
                  <c:v>7.4401821418363018E-2</c:v>
                </c:pt>
                <c:pt idx="193">
                  <c:v>7.4593653567085499E-2</c:v>
                </c:pt>
                <c:pt idx="194">
                  <c:v>7.4784493490729576E-2</c:v>
                </c:pt>
                <c:pt idx="195">
                  <c:v>7.4974374442812131E-2</c:v>
                </c:pt>
                <c:pt idx="196">
                  <c:v>7.5163329680404872E-2</c:v>
                </c:pt>
                <c:pt idx="197">
                  <c:v>7.5351392263348638E-2</c:v>
                </c:pt>
                <c:pt idx="198">
                  <c:v>7.5538594861446151E-2</c:v>
                </c:pt>
                <c:pt idx="199">
                  <c:v>7.5724969570916414E-2</c:v>
                </c:pt>
                <c:pt idx="200">
                  <c:v>7.5910547741286291E-2</c:v>
                </c:pt>
                <c:pt idx="201">
                  <c:v>7.6095359813776589E-2</c:v>
                </c:pt>
                <c:pt idx="202">
                  <c:v>7.6279435172112234E-2</c:v>
                </c:pt>
                <c:pt idx="203">
                  <c:v>7.6462802006550271E-2</c:v>
                </c:pt>
                <c:pt idx="204">
                  <c:v>7.664548719177669E-2</c:v>
                </c:pt>
                <c:pt idx="205">
                  <c:v>7.6827516179176672E-2</c:v>
                </c:pt>
                <c:pt idx="206">
                  <c:v>7.700891290383037E-2</c:v>
                </c:pt>
                <c:pt idx="207">
                  <c:v>7.7189699706434634E-2</c:v>
                </c:pt>
                <c:pt idx="208">
                  <c:v>7.73698972701969E-2</c:v>
                </c:pt>
                <c:pt idx="209">
                  <c:v>7.7549524572596285E-2</c:v>
                </c:pt>
                <c:pt idx="210">
                  <c:v>7.7728598851757522E-2</c:v>
                </c:pt>
                <c:pt idx="211">
                  <c:v>7.7907135587038934E-2</c:v>
                </c:pt>
                <c:pt idx="212">
                  <c:v>7.808514849329791E-2</c:v>
                </c:pt>
                <c:pt idx="213">
                  <c:v>7.8262649528166139E-2</c:v>
                </c:pt>
                <c:pt idx="214">
                  <c:v>7.8439648911545604E-2</c:v>
                </c:pt>
                <c:pt idx="215">
                  <c:v>7.861615515642488E-2</c:v>
                </c:pt>
                <c:pt idx="216">
                  <c:v>7.8792175110015752E-2</c:v>
                </c:pt>
                <c:pt idx="217">
                  <c:v>7.8967714004123085E-2</c:v>
                </c:pt>
                <c:pt idx="218">
                  <c:v>7.9142775513587255E-2</c:v>
                </c:pt>
                <c:pt idx="219">
                  <c:v>7.9317361821579654E-2</c:v>
                </c:pt>
                <c:pt idx="220">
                  <c:v>7.9491473690487341E-2</c:v>
                </c:pt>
                <c:pt idx="221">
                  <c:v>7.9665110537095241E-2</c:v>
                </c:pt>
                <c:pt idx="222">
                  <c:v>7.9838270510760229E-2</c:v>
                </c:pt>
                <c:pt idx="223">
                  <c:v>8.0010950573276465E-2</c:v>
                </c:pt>
                <c:pt idx="224">
                  <c:v>8.0183146579148934E-2</c:v>
                </c:pt>
                <c:pt idx="225">
                  <c:v>8.0354853355028302E-2</c:v>
                </c:pt>
                <c:pt idx="226">
                  <c:v>8.052606477710976E-2</c:v>
                </c:pt>
                <c:pt idx="227">
                  <c:v>8.0696773845363653E-2</c:v>
                </c:pt>
                <c:pt idx="228">
                  <c:v>8.0866972753544833E-2</c:v>
                </c:pt>
                <c:pt idx="229">
                  <c:v>8.1036652954019656E-2</c:v>
                </c:pt>
                <c:pt idx="230">
                  <c:v>8.1205805216553489E-2</c:v>
                </c:pt>
                <c:pt idx="231">
                  <c:v>8.1374419680316959E-2</c:v>
                </c:pt>
                <c:pt idx="232">
                  <c:v>8.1542485898493292E-2</c:v>
                </c:pt>
                <c:pt idx="233">
                  <c:v>8.1709992875002052E-2</c:v>
                </c:pt>
                <c:pt idx="234">
                  <c:v>8.1876929092993461E-2</c:v>
                </c:pt>
                <c:pt idx="235">
                  <c:v>8.2043282534911666E-2</c:v>
                </c:pt>
                <c:pt idx="236">
                  <c:v>8.2209040694072893E-2</c:v>
                </c:pt>
                <c:pt idx="237">
                  <c:v>8.2374190577852585E-2</c:v>
                </c:pt>
                <c:pt idx="238">
                  <c:v>8.2538718702725083E-2</c:v>
                </c:pt>
                <c:pt idx="239">
                  <c:v>8.2702611081544836E-2</c:v>
                </c:pt>
                <c:pt idx="240">
                  <c:v>8.286585320360193E-2</c:v>
                </c:pt>
                <c:pt idx="241">
                  <c:v>8.3028430008120338E-2</c:v>
                </c:pt>
                <c:pt idx="242">
                  <c:v>8.3190325851998786E-2</c:v>
                </c:pt>
                <c:pt idx="243">
                  <c:v>8.3351524472713212E-2</c:v>
                </c:pt>
                <c:pt idx="244">
                  <c:v>8.3512008947411703E-2</c:v>
                </c:pt>
                <c:pt idx="245">
                  <c:v>8.3671761649330295E-2</c:v>
                </c:pt>
                <c:pt idx="246">
                  <c:v>8.3830764202743463E-2</c:v>
                </c:pt>
                <c:pt idx="247">
                  <c:v>8.3988997437734678E-2</c:v>
                </c:pt>
                <c:pt idx="248">
                  <c:v>8.4146441346126519E-2</c:v>
                </c:pt>
                <c:pt idx="249">
                  <c:v>8.4303075039949882E-2</c:v>
                </c:pt>
                <c:pt idx="250">
                  <c:v>8.445887671385377E-2</c:v>
                </c:pt>
                <c:pt idx="251">
                  <c:v>8.4613823612860489E-2</c:v>
                </c:pt>
                <c:pt idx="252">
                  <c:v>8.4767892006859288E-2</c:v>
                </c:pt>
                <c:pt idx="253">
                  <c:v>8.4921057173198478E-2</c:v>
                </c:pt>
                <c:pt idx="254">
                  <c:v>8.5073293388687396E-2</c:v>
                </c:pt>
                <c:pt idx="255">
                  <c:v>8.5224573932252107E-2</c:v>
                </c:pt>
                <c:pt idx="256">
                  <c:v>8.5374871099404573E-2</c:v>
                </c:pt>
                <c:pt idx="257">
                  <c:v>8.5524156229583467E-2</c:v>
                </c:pt>
                <c:pt idx="258">
                  <c:v>8.5672399747308836E-2</c:v>
                </c:pt>
                <c:pt idx="259">
                  <c:v>8.5819571217960244E-2</c:v>
                </c:pt>
                <c:pt idx="260">
                  <c:v>8.5965639418844511E-2</c:v>
                </c:pt>
                <c:pt idx="261">
                  <c:v>8.6110572426060822E-2</c:v>
                </c:pt>
                <c:pt idx="262">
                  <c:v>8.6254337717504112E-2</c:v>
                </c:pt>
                <c:pt idx="263">
                  <c:v>8.6396902292170286E-2</c:v>
                </c:pt>
                <c:pt idx="264">
                  <c:v>8.6538232805744367E-2</c:v>
                </c:pt>
                <c:pt idx="265">
                  <c:v>8.6678295722262128E-2</c:v>
                </c:pt>
                <c:pt idx="266">
                  <c:v>8.6817057481444443E-2</c:v>
                </c:pt>
                <c:pt idx="267">
                  <c:v>8.695448468110975E-2</c:v>
                </c:pt>
                <c:pt idx="268">
                  <c:v>8.7090544273877094E-2</c:v>
                </c:pt>
                <c:pt idx="269">
                  <c:v>8.7225203777182694E-2</c:v>
                </c:pt>
                <c:pt idx="270">
                  <c:v>8.7358431495446837E-2</c:v>
                </c:pt>
                <c:pt idx="271">
                  <c:v>8.7490196753052307E-2</c:v>
                </c:pt>
                <c:pt idx="272">
                  <c:v>8.762047013662376E-2</c:v>
                </c:pt>
                <c:pt idx="273">
                  <c:v>8.774922374494247E-2</c:v>
                </c:pt>
                <c:pt idx="274">
                  <c:v>8.7876431444683559E-2</c:v>
                </c:pt>
                <c:pt idx="275">
                  <c:v>8.8002069130034638E-2</c:v>
                </c:pt>
                <c:pt idx="276">
                  <c:v>8.8126114984138609E-2</c:v>
                </c:pt>
                <c:pt idx="277">
                  <c:v>8.8248549740209375E-2</c:v>
                </c:pt>
                <c:pt idx="278">
                  <c:v>8.8369356940089655E-2</c:v>
                </c:pt>
                <c:pt idx="279">
                  <c:v>8.8488523187965656E-2</c:v>
                </c:pt>
                <c:pt idx="280">
                  <c:v>8.8606038396914916E-2</c:v>
                </c:pt>
                <c:pt idx="281">
                  <c:v>8.8721896025952277E-2</c:v>
                </c:pt>
                <c:pt idx="282">
                  <c:v>8.8836093305245362E-2</c:v>
                </c:pt>
                <c:pt idx="283">
                  <c:v>8.8948631447203746E-2</c:v>
                </c:pt>
                <c:pt idx="284">
                  <c:v>8.9059515841199574E-2</c:v>
                </c:pt>
                <c:pt idx="285">
                  <c:v>8.9168756229754009E-2</c:v>
                </c:pt>
                <c:pt idx="286">
                  <c:v>8.9276366864123685E-2</c:v>
                </c:pt>
                <c:pt idx="287">
                  <c:v>8.9382366637341781E-2</c:v>
                </c:pt>
                <c:pt idx="288">
                  <c:v>8.9486779192910204E-2</c:v>
                </c:pt>
                <c:pt idx="289">
                  <c:v>8.9589633007501043E-2</c:v>
                </c:pt>
                <c:pt idx="290">
                  <c:v>8.9690961446205711E-2</c:v>
                </c:pt>
                <c:pt idx="291">
                  <c:v>8.9790802789067342E-2</c:v>
                </c:pt>
                <c:pt idx="292">
                  <c:v>8.9889200227844634E-2</c:v>
                </c:pt>
                <c:pt idx="293">
                  <c:v>8.9986201832182505E-2</c:v>
                </c:pt>
                <c:pt idx="294">
                  <c:v>9.0081860484601886E-2</c:v>
                </c:pt>
                <c:pt idx="295">
                  <c:v>9.0176233783969814E-2</c:v>
                </c:pt>
                <c:pt idx="296">
                  <c:v>9.0269383917365206E-2</c:v>
                </c:pt>
                <c:pt idx="297">
                  <c:v>9.036137750051626E-2</c:v>
                </c:pt>
                <c:pt idx="298">
                  <c:v>9.0452285387247727E-2</c:v>
                </c:pt>
                <c:pt idx="299">
                  <c:v>9.0542182448639957E-2</c:v>
                </c:pt>
                <c:pt idx="300">
                  <c:v>9.0631147322861511E-2</c:v>
                </c:pt>
                <c:pt idx="301">
                  <c:v>9.0719262136893256E-2</c:v>
                </c:pt>
                <c:pt idx="302">
                  <c:v>9.0806612201611556E-2</c:v>
                </c:pt>
                <c:pt idx="303">
                  <c:v>9.0893285681935498E-2</c:v>
                </c:pt>
                <c:pt idx="304">
                  <c:v>9.0979373243972872E-2</c:v>
                </c:pt>
                <c:pt idx="305">
                  <c:v>9.1064967681310574E-2</c:v>
                </c:pt>
                <c:pt idx="306">
                  <c:v>9.1150163522793648E-2</c:v>
                </c:pt>
                <c:pt idx="307">
                  <c:v>9.1235056624315386E-2</c:v>
                </c:pt>
                <c:pt idx="308">
                  <c:v>9.1319743747299606E-2</c:v>
                </c:pt>
                <c:pt idx="309">
                  <c:v>9.1404322126694165E-2</c:v>
                </c:pt>
                <c:pt idx="310">
                  <c:v>9.148888903140738E-2</c:v>
                </c:pt>
                <c:pt idx="311">
                  <c:v>9.1573541320211102E-2</c:v>
                </c:pt>
                <c:pt idx="312">
                  <c:v>9.165837499619639E-2</c:v>
                </c:pt>
                <c:pt idx="313">
                  <c:v>9.1743484762907349E-2</c:v>
                </c:pt>
                <c:pt idx="314">
                  <c:v>9.1828963585291162E-2</c:v>
                </c:pt>
                <c:pt idx="315">
                  <c:v>9.1914902258585757E-2</c:v>
                </c:pt>
                <c:pt idx="316">
                  <c:v>9.2001388988225866E-2</c:v>
                </c:pt>
                <c:pt idx="317">
                  <c:v>9.2088508983779377E-2</c:v>
                </c:pt>
                <c:pt idx="318">
                  <c:v>9.2176344069830954E-2</c:v>
                </c:pt>
                <c:pt idx="319">
                  <c:v>9.22649723166101E-2</c:v>
                </c:pt>
                <c:pt idx="320">
                  <c:v>9.2354467693015682E-2</c:v>
                </c:pt>
                <c:pt idx="321">
                  <c:v>9.2444899744521636E-2</c:v>
                </c:pt>
                <c:pt idx="322">
                  <c:v>9.2536333298258888E-2</c:v>
                </c:pt>
                <c:pt idx="323">
                  <c:v>9.262882819735789E-2</c:v>
                </c:pt>
                <c:pt idx="324">
                  <c:v>9.2722439066409257E-2</c:v>
                </c:pt>
                <c:pt idx="325">
                  <c:v>9.2817215109654586E-2</c:v>
                </c:pt>
                <c:pt idx="326">
                  <c:v>9.2913199943261193E-2</c:v>
                </c:pt>
                <c:pt idx="327">
                  <c:v>9.3010431462764609E-2</c:v>
                </c:pt>
                <c:pt idx="328">
                  <c:v>9.3108941746481932E-2</c:v>
                </c:pt>
                <c:pt idx="329">
                  <c:v>9.3208756995413741E-2</c:v>
                </c:pt>
                <c:pt idx="330">
                  <c:v>9.3309897509859949E-2</c:v>
                </c:pt>
                <c:pt idx="331">
                  <c:v>9.3412377702683819E-2</c:v>
                </c:pt>
                <c:pt idx="332">
                  <c:v>9.3516206148865633E-2</c:v>
                </c:pt>
                <c:pt idx="333">
                  <c:v>9.362138567070058E-2</c:v>
                </c:pt>
                <c:pt idx="334">
                  <c:v>9.3727913457712461E-2</c:v>
                </c:pt>
                <c:pt idx="335">
                  <c:v>9.3835781220083667E-2</c:v>
                </c:pt>
                <c:pt idx="336">
                  <c:v>9.3944975374138387E-2</c:v>
                </c:pt>
                <c:pt idx="337">
                  <c:v>9.4055477258169304E-2</c:v>
                </c:pt>
                <c:pt idx="338">
                  <c:v>9.4167263376664936E-2</c:v>
                </c:pt>
                <c:pt idx="339">
                  <c:v>9.4280305670780967E-2</c:v>
                </c:pt>
                <c:pt idx="340">
                  <c:v>9.4394571812703512E-2</c:v>
                </c:pt>
                <c:pt idx="341">
                  <c:v>9.4510025521380839E-2</c:v>
                </c:pt>
                <c:pt idx="342">
                  <c:v>9.4626626896946828E-2</c:v>
                </c:pt>
                <c:pt idx="343">
                  <c:v>9.4744332771037568E-2</c:v>
                </c:pt>
                <c:pt idx="344">
                  <c:v>9.4863097070098074E-2</c:v>
                </c:pt>
                <c:pt idx="345">
                  <c:v>9.4982871188704188E-2</c:v>
                </c:pt>
                <c:pt idx="346">
                  <c:v>9.5103604369875722E-2</c:v>
                </c:pt>
                <c:pt idx="347">
                  <c:v>9.5225244089336122E-2</c:v>
                </c:pt>
                <c:pt idx="348">
                  <c:v>9.5347736440680522E-2</c:v>
                </c:pt>
                <c:pt idx="349">
                  <c:v>9.5471026518445495E-2</c:v>
                </c:pt>
                <c:pt idx="350">
                  <c:v>9.5595058796135529E-2</c:v>
                </c:pt>
                <c:pt idx="351">
                  <c:v>9.5719777496342459E-2</c:v>
                </c:pt>
                <c:pt idx="352">
                  <c:v>9.5845126950207235E-2</c:v>
                </c:pt>
                <c:pt idx="353">
                  <c:v>9.5971051943602448E-2</c:v>
                </c:pt>
                <c:pt idx="354">
                  <c:v>9.6097498047572116E-2</c:v>
                </c:pt>
                <c:pt idx="355">
                  <c:v>9.6224411930738135E-2</c:v>
                </c:pt>
                <c:pt idx="356">
                  <c:v>9.6351741651577477E-2</c:v>
                </c:pt>
                <c:pt idx="357">
                  <c:v>9.6479436928685006E-2</c:v>
                </c:pt>
                <c:pt idx="358">
                  <c:v>9.6607449387361266E-2</c:v>
                </c:pt>
                <c:pt idx="359">
                  <c:v>9.6735732781101647E-2</c:v>
                </c:pt>
                <c:pt idx="360">
                  <c:v>9.6864243186812152E-2</c:v>
                </c:pt>
                <c:pt idx="361">
                  <c:v>9.6992939172829806E-2</c:v>
                </c:pt>
                <c:pt idx="362">
                  <c:v>9.7121781939086743E-2</c:v>
                </c:pt>
                <c:pt idx="363">
                  <c:v>9.7250735429020269E-2</c:v>
                </c:pt>
                <c:pt idx="364">
                  <c:v>9.737976641309172E-2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2.830827362265937E-3</c:v>
                </c:pt>
                <c:pt idx="1">
                  <c:v>2.8092931351562651E-3</c:v>
                </c:pt>
                <c:pt idx="2">
                  <c:v>2.7773330786022114E-3</c:v>
                </c:pt>
                <c:pt idx="3">
                  <c:v>2.7353312263620213E-3</c:v>
                </c:pt>
                <c:pt idx="4">
                  <c:v>2.683660797451116E-3</c:v>
                </c:pt>
                <c:pt idx="5">
                  <c:v>2.6226794067686172E-3</c:v>
                </c:pt>
                <c:pt idx="6">
                  <c:v>2.5527248289049335E-3</c:v>
                </c:pt>
                <c:pt idx="7">
                  <c:v>2.4741112660904641E-3</c:v>
                </c:pt>
                <c:pt idx="8">
                  <c:v>2.3868597451680964E-3</c:v>
                </c:pt>
                <c:pt idx="9">
                  <c:v>2.2930002178958605E-3</c:v>
                </c:pt>
                <c:pt idx="10">
                  <c:v>2.1957201137845872E-3</c:v>
                </c:pt>
                <c:pt idx="11">
                  <c:v>2.0950943219620686E-3</c:v>
                </c:pt>
                <c:pt idx="12">
                  <c:v>1.9912038659834499E-3</c:v>
                </c:pt>
                <c:pt idx="13">
                  <c:v>1.8841359180092009E-3</c:v>
                </c:pt>
                <c:pt idx="14">
                  <c:v>1.7739837810806232E-3</c:v>
                </c:pt>
                <c:pt idx="15">
                  <c:v>1.6657412169593241E-3</c:v>
                </c:pt>
                <c:pt idx="16">
                  <c:v>1.5657277948957003E-3</c:v>
                </c:pt>
                <c:pt idx="17">
                  <c:v>1.4737808656298179E-3</c:v>
                </c:pt>
                <c:pt idx="18">
                  <c:v>1.3897383436745389E-3</c:v>
                </c:pt>
                <c:pt idx="19">
                  <c:v>1.3134452311251406E-3</c:v>
                </c:pt>
                <c:pt idx="20">
                  <c:v>1.2447471826834687E-3</c:v>
                </c:pt>
                <c:pt idx="21">
                  <c:v>1.1834814282294193E-3</c:v>
                </c:pt>
                <c:pt idx="22">
                  <c:v>1.1294277478754204E-3</c:v>
                </c:pt>
                <c:pt idx="23">
                  <c:v>1.0831898828863283E-3</c:v>
                </c:pt>
                <c:pt idx="24">
                  <c:v>1.0427966367304701E-3</c:v>
                </c:pt>
                <c:pt idx="25">
                  <c:v>1.0081530599349599E-3</c:v>
                </c:pt>
                <c:pt idx="26">
                  <c:v>9.7915448714517997E-4</c:v>
                </c:pt>
                <c:pt idx="27">
                  <c:v>9.556891699688282E-4</c:v>
                </c:pt>
                <c:pt idx="28">
                  <c:v>9.3764070821988183E-4</c:v>
                </c:pt>
                <c:pt idx="29">
                  <c:v>9.251910645355952E-4</c:v>
                </c:pt>
                <c:pt idx="30">
                  <c:v>9.1394702927851562E-4</c:v>
                </c:pt>
                <c:pt idx="31">
                  <c:v>9.0390842323513632E-4</c:v>
                </c:pt>
                <c:pt idx="32">
                  <c:v>8.9507371461394086E-4</c:v>
                </c:pt>
                <c:pt idx="33">
                  <c:v>8.8744048974480382E-4</c:v>
                </c:pt>
                <c:pt idx="34">
                  <c:v>8.8100589765275749E-4</c:v>
                </c:pt>
                <c:pt idx="35">
                  <c:v>8.757670698244539E-4</c:v>
                </c:pt>
                <c:pt idx="36">
                  <c:v>8.7162866948731546E-4</c:v>
                </c:pt>
                <c:pt idx="37">
                  <c:v>8.6858751149031211E-4</c:v>
                </c:pt>
                <c:pt idx="38">
                  <c:v>8.6594219599139669E-4</c:v>
                </c:pt>
                <c:pt idx="39">
                  <c:v>8.6369706054100946E-4</c:v>
                </c:pt>
                <c:pt idx="40">
                  <c:v>8.6185626119059729E-4</c:v>
                </c:pt>
                <c:pt idx="41">
                  <c:v>8.6042386121959068E-4</c:v>
                </c:pt>
                <c:pt idx="42">
                  <c:v>8.594039184521144E-4</c:v>
                </c:pt>
                <c:pt idx="43">
                  <c:v>8.5872479716851571E-4</c:v>
                </c:pt>
                <c:pt idx="44">
                  <c:v>8.5811699664215023E-4</c:v>
                </c:pt>
                <c:pt idx="45">
                  <c:v>8.5759012679872721E-4</c:v>
                </c:pt>
                <c:pt idx="46">
                  <c:v>8.5715354415942524E-4</c:v>
                </c:pt>
                <c:pt idx="47">
                  <c:v>8.5681639808809953E-4</c:v>
                </c:pt>
                <c:pt idx="48">
                  <c:v>8.5658767739839911E-4</c:v>
                </c:pt>
                <c:pt idx="49">
                  <c:v>8.5647625734139061E-4</c:v>
                </c:pt>
                <c:pt idx="50">
                  <c:v>8.5646907188778045E-4</c:v>
                </c:pt>
                <c:pt idx="51">
                  <c:v>8.5605832753492728E-4</c:v>
                </c:pt>
                <c:pt idx="52">
                  <c:v>8.5516093381682854E-4</c:v>
                </c:pt>
                <c:pt idx="53">
                  <c:v>8.5378038045312707E-4</c:v>
                </c:pt>
                <c:pt idx="54">
                  <c:v>8.5192420755716633E-4</c:v>
                </c:pt>
                <c:pt idx="55">
                  <c:v>8.4959980018868336E-4</c:v>
                </c:pt>
                <c:pt idx="56">
                  <c:v>8.4681442283001589E-4</c:v>
                </c:pt>
                <c:pt idx="57">
                  <c:v>8.4234063919142105E-4</c:v>
                </c:pt>
                <c:pt idx="58">
                  <c:v>8.3627805198977531E-4</c:v>
                </c:pt>
                <c:pt idx="59">
                  <c:v>8.2865569151413445E-4</c:v>
                </c:pt>
                <c:pt idx="60">
                  <c:v>8.195017470334268E-4</c:v>
                </c:pt>
                <c:pt idx="61">
                  <c:v>8.0884361991799428E-4</c:v>
                </c:pt>
                <c:pt idx="62">
                  <c:v>7.9670796497908428E-4</c:v>
                </c:pt>
                <c:pt idx="63">
                  <c:v>7.8312072056076535E-4</c:v>
                </c:pt>
                <c:pt idx="64">
                  <c:v>7.6810023216119063E-4</c:v>
                </c:pt>
                <c:pt idx="65">
                  <c:v>7.5133195659561104E-4</c:v>
                </c:pt>
                <c:pt idx="66">
                  <c:v>7.3329531033883961E-4</c:v>
                </c:pt>
                <c:pt idx="67">
                  <c:v>7.1401788953923302E-4</c:v>
                </c:pt>
                <c:pt idx="68">
                  <c:v>6.93525783239626E-4</c:v>
                </c:pt>
                <c:pt idx="69">
                  <c:v>6.7184347300297109E-4</c:v>
                </c:pt>
                <c:pt idx="70">
                  <c:v>6.4899373387760327E-4</c:v>
                </c:pt>
                <c:pt idx="71">
                  <c:v>6.2560007666269109E-4</c:v>
                </c:pt>
                <c:pt idx="72">
                  <c:v>6.0280044253823003E-4</c:v>
                </c:pt>
                <c:pt idx="73">
                  <c:v>5.8058492634993619E-4</c:v>
                </c:pt>
                <c:pt idx="74">
                  <c:v>5.5894326714114081E-4</c:v>
                </c:pt>
                <c:pt idx="75">
                  <c:v>5.3786487289881246E-4</c:v>
                </c:pt>
                <c:pt idx="76">
                  <c:v>5.1733884479878041E-4</c:v>
                </c:pt>
                <c:pt idx="77">
                  <c:v>4.9735400063668101E-4</c:v>
                </c:pt>
                <c:pt idx="78">
                  <c:v>4.7787651707856092E-4</c:v>
                </c:pt>
                <c:pt idx="79">
                  <c:v>4.59160458779387E-4</c:v>
                </c:pt>
                <c:pt idx="80">
                  <c:v>4.415142501302769E-4</c:v>
                </c:pt>
                <c:pt idx="81">
                  <c:v>4.2492636806680956E-4</c:v>
                </c:pt>
                <c:pt idx="82">
                  <c:v>4.0938482827429225E-4</c:v>
                </c:pt>
                <c:pt idx="83">
                  <c:v>3.9487736915330587E-4</c:v>
                </c:pt>
                <c:pt idx="84">
                  <c:v>3.8139162796294545E-4</c:v>
                </c:pt>
                <c:pt idx="85">
                  <c:v>3.6923577273825878E-4</c:v>
                </c:pt>
                <c:pt idx="86">
                  <c:v>3.5783231652756559E-4</c:v>
                </c:pt>
                <c:pt idx="87">
                  <c:v>3.4717254787208865E-4</c:v>
                </c:pt>
                <c:pt idx="88">
                  <c:v>3.3724794639783439E-4</c:v>
                </c:pt>
                <c:pt idx="89">
                  <c:v>3.2805029285271092E-4</c:v>
                </c:pt>
                <c:pt idx="90">
                  <c:v>3.1957177453867679E-4</c:v>
                </c:pt>
                <c:pt idx="91">
                  <c:v>3.1180508675655616E-4</c:v>
                </c:pt>
                <c:pt idx="92">
                  <c:v>3.0473959271040175E-4</c:v>
                </c:pt>
                <c:pt idx="93">
                  <c:v>2.9904100725487845E-4</c:v>
                </c:pt>
                <c:pt idx="94">
                  <c:v>2.944314013412352E-4</c:v>
                </c:pt>
                <c:pt idx="95">
                  <c:v>2.9090249596129612E-4</c:v>
                </c:pt>
                <c:pt idx="96">
                  <c:v>2.8844796180808809E-4</c:v>
                </c:pt>
                <c:pt idx="97">
                  <c:v>2.8706332240236256E-4</c:v>
                </c:pt>
                <c:pt idx="98">
                  <c:v>2.8674586205045048E-4</c:v>
                </c:pt>
                <c:pt idx="99">
                  <c:v>2.8894202642442031E-4</c:v>
                </c:pt>
                <c:pt idx="100">
                  <c:v>2.933412555847596E-4</c:v>
                </c:pt>
                <c:pt idx="101">
                  <c:v>2.9995099922573763E-4</c:v>
                </c:pt>
                <c:pt idx="102">
                  <c:v>3.0878171600426927E-4</c:v>
                </c:pt>
                <c:pt idx="103">
                  <c:v>3.198467058224699E-4</c:v>
                </c:pt>
                <c:pt idx="104">
                  <c:v>3.3316193969947254E-4</c:v>
                </c:pt>
                <c:pt idx="105">
                  <c:v>3.4874588569114317E-4</c:v>
                </c:pt>
                <c:pt idx="106">
                  <c:v>3.6662639325884698E-4</c:v>
                </c:pt>
                <c:pt idx="107">
                  <c:v>3.8829331184233023E-4</c:v>
                </c:pt>
                <c:pt idx="108">
                  <c:v>4.1309461253162712E-4</c:v>
                </c:pt>
                <c:pt idx="109">
                  <c:v>4.4107257882696654E-4</c:v>
                </c:pt>
                <c:pt idx="110">
                  <c:v>4.7227536118602431E-4</c:v>
                </c:pt>
                <c:pt idx="111">
                  <c:v>5.0675611905042167E-4</c:v>
                </c:pt>
                <c:pt idx="112">
                  <c:v>5.4457161014568277E-4</c:v>
                </c:pt>
                <c:pt idx="113">
                  <c:v>5.8660070249468975E-4</c:v>
                </c:pt>
                <c:pt idx="114">
                  <c:v>6.3141448463276118E-4</c:v>
                </c:pt>
                <c:pt idx="115">
                  <c:v>6.790753896952405E-4</c:v>
                </c:pt>
                <c:pt idx="116">
                  <c:v>7.2964966209274973E-4</c:v>
                </c:pt>
                <c:pt idx="117">
                  <c:v>7.8320735936917533E-4</c:v>
                </c:pt>
                <c:pt idx="118">
                  <c:v>8.3982234610725293E-4</c:v>
                </c:pt>
                <c:pt idx="119">
                  <c:v>8.9957227961789954E-4</c:v>
                </c:pt>
                <c:pt idx="120">
                  <c:v>9.6254559422873369E-4</c:v>
                </c:pt>
                <c:pt idx="121">
                  <c:v>1.0296267568425308E-3</c:v>
                </c:pt>
                <c:pt idx="122">
                  <c:v>1.09935964879586E-3</c:v>
                </c:pt>
                <c:pt idx="123">
                  <c:v>1.1718158215836534E-3</c:v>
                </c:pt>
                <c:pt idx="124">
                  <c:v>1.2470671686411567E-3</c:v>
                </c:pt>
                <c:pt idx="125">
                  <c:v>1.3251856503092734E-3</c:v>
                </c:pt>
                <c:pt idx="126">
                  <c:v>1.4062429987267621E-3</c:v>
                </c:pt>
                <c:pt idx="127">
                  <c:v>1.490357327459089E-3</c:v>
                </c:pt>
                <c:pt idx="128">
                  <c:v>1.5767073657452758E-3</c:v>
                </c:pt>
                <c:pt idx="129">
                  <c:v>1.6653433378980727E-3</c:v>
                </c:pt>
                <c:pt idx="130">
                  <c:v>1.7563128863402647E-3</c:v>
                </c:pt>
                <c:pt idx="131">
                  <c:v>1.8496607608380936E-3</c:v>
                </c:pt>
                <c:pt idx="132">
                  <c:v>1.9454284969930497E-3</c:v>
                </c:pt>
                <c:pt idx="133">
                  <c:v>2.0436540848551431E-3</c:v>
                </c:pt>
                <c:pt idx="134">
                  <c:v>2.144409014836013E-3</c:v>
                </c:pt>
                <c:pt idx="135">
                  <c:v>2.2475123976742426E-3</c:v>
                </c:pt>
                <c:pt idx="136">
                  <c:v>2.3521160960708167E-3</c:v>
                </c:pt>
                <c:pt idx="137">
                  <c:v>2.4582345889136645E-3</c:v>
                </c:pt>
                <c:pt idx="138">
                  <c:v>2.5658783781500874E-3</c:v>
                </c:pt>
                <c:pt idx="139">
                  <c:v>2.6750538453137085E-3</c:v>
                </c:pt>
                <c:pt idx="140">
                  <c:v>2.7857631173735273E-3</c:v>
                </c:pt>
                <c:pt idx="141">
                  <c:v>2.8984305278812721E-3</c:v>
                </c:pt>
                <c:pt idx="142">
                  <c:v>3.0129840821188116E-3</c:v>
                </c:pt>
                <c:pt idx="143">
                  <c:v>3.1293999317662546E-3</c:v>
                </c:pt>
                <c:pt idx="144">
                  <c:v>3.2476667716828528E-3</c:v>
                </c:pt>
                <c:pt idx="145">
                  <c:v>3.3677690025044845E-3</c:v>
                </c:pt>
                <c:pt idx="146">
                  <c:v>3.4896866865515869E-3</c:v>
                </c:pt>
                <c:pt idx="147">
                  <c:v>3.6133955257167372E-3</c:v>
                </c:pt>
                <c:pt idx="148">
                  <c:v>3.7388691107078111E-3</c:v>
                </c:pt>
                <c:pt idx="149">
                  <c:v>3.8646302321313523E-3</c:v>
                </c:pt>
                <c:pt idx="150">
                  <c:v>3.990915566216769E-3</c:v>
                </c:pt>
                <c:pt idx="151">
                  <c:v>4.117672511266165E-3</c:v>
                </c:pt>
                <c:pt idx="152">
                  <c:v>4.2448463571020814E-3</c:v>
                </c:pt>
                <c:pt idx="153">
                  <c:v>4.3723805379571601E-3</c:v>
                </c:pt>
                <c:pt idx="154">
                  <c:v>4.5002169060455793E-3</c:v>
                </c:pt>
                <c:pt idx="155">
                  <c:v>4.6242849267746104E-3</c:v>
                </c:pt>
                <c:pt idx="156">
                  <c:v>4.7439953671832291E-3</c:v>
                </c:pt>
                <c:pt idx="157">
                  <c:v>4.8592041896773908E-3</c:v>
                </c:pt>
                <c:pt idx="158">
                  <c:v>4.969768318812416E-3</c:v>
                </c:pt>
                <c:pt idx="159">
                  <c:v>5.0755460995229127E-3</c:v>
                </c:pt>
                <c:pt idx="160">
                  <c:v>5.1763977405484343E-3</c:v>
                </c:pt>
                <c:pt idx="161">
                  <c:v>5.2721857371661896E-3</c:v>
                </c:pt>
                <c:pt idx="162">
                  <c:v>5.3628354893391263E-3</c:v>
                </c:pt>
                <c:pt idx="163">
                  <c:v>5.4468477283630499E-3</c:v>
                </c:pt>
                <c:pt idx="164">
                  <c:v>5.525647530416968E-3</c:v>
                </c:pt>
                <c:pt idx="165">
                  <c:v>5.5990619621774443E-3</c:v>
                </c:pt>
                <c:pt idx="166">
                  <c:v>5.6669189807066834E-3</c:v>
                </c:pt>
                <c:pt idx="167">
                  <c:v>5.7290481135177955E-3</c:v>
                </c:pt>
                <c:pt idx="168">
                  <c:v>5.785281124425154E-3</c:v>
                </c:pt>
                <c:pt idx="169">
                  <c:v>5.8339887986720417E-3</c:v>
                </c:pt>
                <c:pt idx="170">
                  <c:v>5.8793717486220667E-3</c:v>
                </c:pt>
                <c:pt idx="171">
                  <c:v>5.9213112890391332E-3</c:v>
                </c:pt>
                <c:pt idx="172">
                  <c:v>5.9596916007558327E-3</c:v>
                </c:pt>
                <c:pt idx="173">
                  <c:v>5.9943387914094632E-3</c:v>
                </c:pt>
                <c:pt idx="174">
                  <c:v>6.0250780098482339E-3</c:v>
                </c:pt>
                <c:pt idx="175">
                  <c:v>6.0517976262274833E-3</c:v>
                </c:pt>
                <c:pt idx="176">
                  <c:v>6.0745033662563822E-3</c:v>
                </c:pt>
                <c:pt idx="177">
                  <c:v>6.0886934935738728E-3</c:v>
                </c:pt>
                <c:pt idx="178">
                  <c:v>6.0958134014999438E-3</c:v>
                </c:pt>
                <c:pt idx="179">
                  <c:v>6.095791268218128E-3</c:v>
                </c:pt>
                <c:pt idx="180">
                  <c:v>6.0885621067062329E-3</c:v>
                </c:pt>
                <c:pt idx="181">
                  <c:v>6.0740675275058756E-3</c:v>
                </c:pt>
                <c:pt idx="182">
                  <c:v>6.0522554551497333E-3</c:v>
                </c:pt>
                <c:pt idx="183">
                  <c:v>6.0212581002618195E-3</c:v>
                </c:pt>
                <c:pt idx="184">
                  <c:v>5.9826126913895749E-3</c:v>
                </c:pt>
                <c:pt idx="185">
                  <c:v>5.9362844332836121E-3</c:v>
                </c:pt>
                <c:pt idx="186">
                  <c:v>5.8822433678040239E-3</c:v>
                </c:pt>
                <c:pt idx="187">
                  <c:v>5.8204639027164013E-3</c:v>
                </c:pt>
                <c:pt idx="188">
                  <c:v>5.7509243202028566E-3</c:v>
                </c:pt>
                <c:pt idx="189">
                  <c:v>5.6736062700348195E-3</c:v>
                </c:pt>
                <c:pt idx="190">
                  <c:v>5.5885402192404057E-3</c:v>
                </c:pt>
                <c:pt idx="191">
                  <c:v>5.4962052500968648E-3</c:v>
                </c:pt>
                <c:pt idx="192">
                  <c:v>5.4013493001831021E-3</c:v>
                </c:pt>
                <c:pt idx="193">
                  <c:v>5.3039775306838932E-3</c:v>
                </c:pt>
                <c:pt idx="194">
                  <c:v>5.2040955505148236E-3</c:v>
                </c:pt>
                <c:pt idx="195">
                  <c:v>5.1017092818779032E-3</c:v>
                </c:pt>
                <c:pt idx="196">
                  <c:v>4.9968248432606032E-3</c:v>
                </c:pt>
                <c:pt idx="197">
                  <c:v>4.8890693055887204E-3</c:v>
                </c:pt>
                <c:pt idx="198">
                  <c:v>4.7803682916210061E-3</c:v>
                </c:pt>
                <c:pt idx="199">
                  <c:v>4.6707419733049323E-3</c:v>
                </c:pt>
                <c:pt idx="200">
                  <c:v>4.5602098948194199E-3</c:v>
                </c:pt>
                <c:pt idx="201">
                  <c:v>4.4487909652326891E-3</c:v>
                </c:pt>
                <c:pt idx="202">
                  <c:v>4.3365034699318255E-3</c:v>
                </c:pt>
                <c:pt idx="203">
                  <c:v>4.2233651002865575E-3</c:v>
                </c:pt>
                <c:pt idx="204">
                  <c:v>4.1094090580922078E-3</c:v>
                </c:pt>
                <c:pt idx="205">
                  <c:v>3.9947616157858332E-3</c:v>
                </c:pt>
                <c:pt idx="206">
                  <c:v>3.8789937447883463E-3</c:v>
                </c:pt>
                <c:pt idx="207">
                  <c:v>3.7621356266454528E-3</c:v>
                </c:pt>
                <c:pt idx="208">
                  <c:v>3.6442148214131495E-3</c:v>
                </c:pt>
                <c:pt idx="209">
                  <c:v>3.5252563125684178E-3</c:v>
                </c:pt>
                <c:pt idx="210">
                  <c:v>3.4052825643513997E-3</c:v>
                </c:pt>
                <c:pt idx="211">
                  <c:v>3.2856782785532284E-3</c:v>
                </c:pt>
                <c:pt idx="212">
                  <c:v>3.1668644816504731E-3</c:v>
                </c:pt>
                <c:pt idx="213">
                  <c:v>3.0488687912464101E-3</c:v>
                </c:pt>
                <c:pt idx="214">
                  <c:v>2.9317165153785216E-3</c:v>
                </c:pt>
                <c:pt idx="215">
                  <c:v>2.815430800879086E-3</c:v>
                </c:pt>
                <c:pt idx="216">
                  <c:v>2.7000327802426866E-3</c:v>
                </c:pt>
                <c:pt idx="217">
                  <c:v>2.5855417155111623E-3</c:v>
                </c:pt>
                <c:pt idx="218">
                  <c:v>2.4719716199381975E-3</c:v>
                </c:pt>
                <c:pt idx="219">
                  <c:v>2.360823193434254E-3</c:v>
                </c:pt>
                <c:pt idx="220">
                  <c:v>2.2520291990541165E-3</c:v>
                </c:pt>
                <c:pt idx="221">
                  <c:v>2.1456073407447175E-3</c:v>
                </c:pt>
                <c:pt idx="222">
                  <c:v>2.0415755404696004E-3</c:v>
                </c:pt>
                <c:pt idx="223">
                  <c:v>1.9399519987153072E-3</c:v>
                </c:pt>
                <c:pt idx="224">
                  <c:v>1.8407552435123007E-3</c:v>
                </c:pt>
                <c:pt idx="225">
                  <c:v>1.7466976927371363E-3</c:v>
                </c:pt>
                <c:pt idx="226">
                  <c:v>1.6564035949165278E-3</c:v>
                </c:pt>
                <c:pt idx="227">
                  <c:v>1.5699005495528691E-3</c:v>
                </c:pt>
                <c:pt idx="228">
                  <c:v>1.4872164107672995E-3</c:v>
                </c:pt>
                <c:pt idx="229">
                  <c:v>1.4083792484047197E-3</c:v>
                </c:pt>
                <c:pt idx="230">
                  <c:v>1.3334172978992061E-3</c:v>
                </c:pt>
                <c:pt idx="231">
                  <c:v>1.2623588996304007E-3</c:v>
                </c:pt>
                <c:pt idx="232">
                  <c:v>1.195212696325486E-3</c:v>
                </c:pt>
                <c:pt idx="233">
                  <c:v>1.1348467425926034E-3</c:v>
                </c:pt>
                <c:pt idx="234">
                  <c:v>1.0797795235444852E-3</c:v>
                </c:pt>
                <c:pt idx="235">
                  <c:v>1.0300602141889068E-3</c:v>
                </c:pt>
                <c:pt idx="236">
                  <c:v>9.8573507826425007E-4</c:v>
                </c:pt>
                <c:pt idx="237">
                  <c:v>9.4684696519353967E-4</c:v>
                </c:pt>
                <c:pt idx="238">
                  <c:v>9.1343651190331596E-4</c:v>
                </c:pt>
                <c:pt idx="239">
                  <c:v>8.8703312068375386E-4</c:v>
                </c:pt>
                <c:pt idx="240">
                  <c:v>8.649107632649779E-4</c:v>
                </c:pt>
                <c:pt idx="241">
                  <c:v>8.4710043290688476E-4</c:v>
                </c:pt>
                <c:pt idx="242">
                  <c:v>8.3363271058978455E-4</c:v>
                </c:pt>
                <c:pt idx="243">
                  <c:v>8.2453816370638177E-4</c:v>
                </c:pt>
                <c:pt idx="244">
                  <c:v>8.1984775197748512E-4</c:v>
                </c:pt>
                <c:pt idx="245">
                  <c:v>8.1959324088724523E-4</c:v>
                </c:pt>
                <c:pt idx="246">
                  <c:v>8.2377578255634775E-4</c:v>
                </c:pt>
                <c:pt idx="247">
                  <c:v>8.3301499627780893E-4</c:v>
                </c:pt>
                <c:pt idx="248">
                  <c:v>8.4441727732897627E-4</c:v>
                </c:pt>
                <c:pt idx="249">
                  <c:v>8.5799904132476514E-4</c:v>
                </c:pt>
                <c:pt idx="250">
                  <c:v>8.7377690346937022E-4</c:v>
                </c:pt>
                <c:pt idx="251">
                  <c:v>8.9176778942035224E-4</c:v>
                </c:pt>
                <c:pt idx="252">
                  <c:v>9.1198904746219377E-4</c:v>
                </c:pt>
                <c:pt idx="253">
                  <c:v>9.3483383773642487E-4</c:v>
                </c:pt>
                <c:pt idx="254">
                  <c:v>9.5878729995672136E-4</c:v>
                </c:pt>
                <c:pt idx="255">
                  <c:v>9.8386126131718116E-4</c:v>
                </c:pt>
                <c:pt idx="256">
                  <c:v>1.01006826414714E-3</c:v>
                </c:pt>
                <c:pt idx="257">
                  <c:v>1.0374216294367527E-3</c:v>
                </c:pt>
                <c:pt idx="258">
                  <c:v>1.0659355246788022E-3</c:v>
                </c:pt>
                <c:pt idx="259">
                  <c:v>1.0956250374323019E-3</c:v>
                </c:pt>
                <c:pt idx="260">
                  <c:v>1.1264910009565951E-3</c:v>
                </c:pt>
                <c:pt idx="261">
                  <c:v>1.1594504404454614E-3</c:v>
                </c:pt>
                <c:pt idx="262">
                  <c:v>1.1938746456952461E-3</c:v>
                </c:pt>
                <c:pt idx="263">
                  <c:v>1.2297696403431714E-3</c:v>
                </c:pt>
                <c:pt idx="264">
                  <c:v>1.2671411650493414E-3</c:v>
                </c:pt>
                <c:pt idx="265">
                  <c:v>1.3060015726888816E-3</c:v>
                </c:pt>
                <c:pt idx="266">
                  <c:v>1.3463601071921608E-3</c:v>
                </c:pt>
                <c:pt idx="267">
                  <c:v>1.3874123669396035E-3</c:v>
                </c:pt>
                <c:pt idx="268">
                  <c:v>1.4287696693266782E-3</c:v>
                </c:pt>
                <c:pt idx="269">
                  <c:v>1.4704261783916827E-3</c:v>
                </c:pt>
                <c:pt idx="270">
                  <c:v>1.5123753206944786E-3</c:v>
                </c:pt>
                <c:pt idx="271">
                  <c:v>1.5546098058129133E-3</c:v>
                </c:pt>
                <c:pt idx="272">
                  <c:v>1.5971216539182524E-3</c:v>
                </c:pt>
                <c:pt idx="273">
                  <c:v>1.639902231181015E-3</c:v>
                </c:pt>
                <c:pt idx="274">
                  <c:v>1.68296763407152E-3</c:v>
                </c:pt>
                <c:pt idx="275">
                  <c:v>1.7241357929521652E-3</c:v>
                </c:pt>
                <c:pt idx="276">
                  <c:v>1.7624270137316309E-3</c:v>
                </c:pt>
                <c:pt idx="277">
                  <c:v>1.7978079871619689E-3</c:v>
                </c:pt>
                <c:pt idx="278">
                  <c:v>1.8302448245382651E-3</c:v>
                </c:pt>
                <c:pt idx="279">
                  <c:v>1.8597033337138752E-3</c:v>
                </c:pt>
                <c:pt idx="280">
                  <c:v>1.8861492959498308E-3</c:v>
                </c:pt>
                <c:pt idx="281">
                  <c:v>1.9086065013877841E-3</c:v>
                </c:pt>
                <c:pt idx="282">
                  <c:v>1.9278713614428683E-3</c:v>
                </c:pt>
                <c:pt idx="283">
                  <c:v>1.9439108102466129E-3</c:v>
                </c:pt>
                <c:pt idx="284">
                  <c:v>1.9566928868016901E-3</c:v>
                </c:pt>
                <c:pt idx="285">
                  <c:v>1.9661869912501284E-3</c:v>
                </c:pt>
                <c:pt idx="286">
                  <c:v>1.9723641293864056E-3</c:v>
                </c:pt>
                <c:pt idx="287">
                  <c:v>1.9751971432909934E-3</c:v>
                </c:pt>
                <c:pt idx="288">
                  <c:v>1.9746774054301337E-3</c:v>
                </c:pt>
                <c:pt idx="289">
                  <c:v>1.9705744748832422E-3</c:v>
                </c:pt>
                <c:pt idx="290">
                  <c:v>1.9651421569315103E-3</c:v>
                </c:pt>
                <c:pt idx="291">
                  <c:v>1.958387047930687E-3</c:v>
                </c:pt>
                <c:pt idx="292">
                  <c:v>1.9503172437918108E-3</c:v>
                </c:pt>
                <c:pt idx="293">
                  <c:v>1.9409422750607779E-3</c:v>
                </c:pt>
                <c:pt idx="294">
                  <c:v>1.9302730251168042E-3</c:v>
                </c:pt>
                <c:pt idx="295">
                  <c:v>1.9185841831268343E-3</c:v>
                </c:pt>
                <c:pt idx="296">
                  <c:v>1.9068775344816421E-3</c:v>
                </c:pt>
                <c:pt idx="297">
                  <c:v>1.8951873808075376E-3</c:v>
                </c:pt>
                <c:pt idx="298">
                  <c:v>1.8835329357050682E-3</c:v>
                </c:pt>
                <c:pt idx="299">
                  <c:v>1.8719342692759486E-3</c:v>
                </c:pt>
                <c:pt idx="300">
                  <c:v>1.8604122768081342E-3</c:v>
                </c:pt>
                <c:pt idx="301">
                  <c:v>1.8489886447657629E-3</c:v>
                </c:pt>
                <c:pt idx="302">
                  <c:v>1.8378311360805462E-3</c:v>
                </c:pt>
                <c:pt idx="303">
                  <c:v>1.8319471987855533E-3</c:v>
                </c:pt>
                <c:pt idx="304">
                  <c:v>1.831554556317066E-3</c:v>
                </c:pt>
                <c:pt idx="305">
                  <c:v>1.836637262903903E-3</c:v>
                </c:pt>
                <c:pt idx="306">
                  <c:v>1.8471830928271369E-3</c:v>
                </c:pt>
                <c:pt idx="307">
                  <c:v>1.8631818658664506E-3</c:v>
                </c:pt>
                <c:pt idx="308">
                  <c:v>1.8846236980045298E-3</c:v>
                </c:pt>
                <c:pt idx="309">
                  <c:v>1.9165225389549138E-3</c:v>
                </c:pt>
                <c:pt idx="310">
                  <c:v>1.9586330947792383E-3</c:v>
                </c:pt>
                <c:pt idx="311">
                  <c:v>2.0109721561548232E-3</c:v>
                </c:pt>
                <c:pt idx="312">
                  <c:v>2.0735470369831486E-3</c:v>
                </c:pt>
                <c:pt idx="313">
                  <c:v>2.1463515242987584E-3</c:v>
                </c:pt>
                <c:pt idx="314">
                  <c:v>2.2293615743824184E-3</c:v>
                </c:pt>
                <c:pt idx="315">
                  <c:v>2.3225307691398856E-3</c:v>
                </c:pt>
                <c:pt idx="316">
                  <c:v>2.4261282474399739E-3</c:v>
                </c:pt>
                <c:pt idx="317">
                  <c:v>2.5412214441035623E-3</c:v>
                </c:pt>
                <c:pt idx="318">
                  <c:v>2.6628317181016082E-3</c:v>
                </c:pt>
                <c:pt idx="319">
                  <c:v>2.7910141600801706E-3</c:v>
                </c:pt>
                <c:pt idx="320">
                  <c:v>2.9258223838783746E-3</c:v>
                </c:pt>
                <c:pt idx="321">
                  <c:v>3.067307519107837E-3</c:v>
                </c:pt>
                <c:pt idx="322">
                  <c:v>3.2155170696944214E-3</c:v>
                </c:pt>
                <c:pt idx="323">
                  <c:v>3.3675165783740016E-3</c:v>
                </c:pt>
                <c:pt idx="324">
                  <c:v>3.5181072517024479E-3</c:v>
                </c:pt>
                <c:pt idx="325">
                  <c:v>3.6672523345483267E-3</c:v>
                </c:pt>
                <c:pt idx="326">
                  <c:v>3.8148809404018693E-3</c:v>
                </c:pt>
                <c:pt idx="327">
                  <c:v>3.960923727837312E-3</c:v>
                </c:pt>
                <c:pt idx="328">
                  <c:v>4.1053192044256722E-3</c:v>
                </c:pt>
                <c:pt idx="329">
                  <c:v>4.2479948846140892E-3</c:v>
                </c:pt>
                <c:pt idx="330">
                  <c:v>4.3896165592157092E-3</c:v>
                </c:pt>
                <c:pt idx="331">
                  <c:v>4.5224295397645452E-3</c:v>
                </c:pt>
                <c:pt idx="332">
                  <c:v>4.645463107820616E-3</c:v>
                </c:pt>
                <c:pt idx="333">
                  <c:v>4.7584072948953383E-3</c:v>
                </c:pt>
                <c:pt idx="334">
                  <c:v>4.8609006531265958E-3</c:v>
                </c:pt>
                <c:pt idx="335">
                  <c:v>4.9525349561488031E-3</c:v>
                </c:pt>
                <c:pt idx="336">
                  <c:v>5.0328609172989609E-3</c:v>
                </c:pt>
                <c:pt idx="337">
                  <c:v>5.0988101759929108E-3</c:v>
                </c:pt>
                <c:pt idx="338">
                  <c:v>5.1529624402561654E-3</c:v>
                </c:pt>
                <c:pt idx="339">
                  <c:v>5.1947982697987212E-3</c:v>
                </c:pt>
                <c:pt idx="340">
                  <c:v>5.2237920440750263E-3</c:v>
                </c:pt>
                <c:pt idx="341">
                  <c:v>5.2394236137984825E-3</c:v>
                </c:pt>
                <c:pt idx="342">
                  <c:v>5.2411911426368347E-3</c:v>
                </c:pt>
                <c:pt idx="343">
                  <c:v>5.2286249722233273E-3</c:v>
                </c:pt>
                <c:pt idx="344">
                  <c:v>5.2019680949886528E-3</c:v>
                </c:pt>
                <c:pt idx="345">
                  <c:v>5.1618095000120229E-3</c:v>
                </c:pt>
                <c:pt idx="346">
                  <c:v>5.1206093691942593E-3</c:v>
                </c:pt>
                <c:pt idx="347">
                  <c:v>5.0784754685039993E-3</c:v>
                </c:pt>
                <c:pt idx="348">
                  <c:v>5.0355174659549549E-3</c:v>
                </c:pt>
                <c:pt idx="349">
                  <c:v>4.9918463948345881E-3</c:v>
                </c:pt>
                <c:pt idx="350">
                  <c:v>4.9475741201881734E-3</c:v>
                </c:pt>
                <c:pt idx="351">
                  <c:v>4.9064801105148962E-3</c:v>
                </c:pt>
                <c:pt idx="352">
                  <c:v>4.8712341923119714E-3</c:v>
                </c:pt>
                <c:pt idx="353">
                  <c:v>4.8418874272853733E-3</c:v>
                </c:pt>
                <c:pt idx="354">
                  <c:v>4.8184790865249466E-3</c:v>
                </c:pt>
                <c:pt idx="355">
                  <c:v>4.8010374729259087E-3</c:v>
                </c:pt>
                <c:pt idx="356">
                  <c:v>4.7895584632519483E-3</c:v>
                </c:pt>
                <c:pt idx="357">
                  <c:v>4.7840672607098924E-3</c:v>
                </c:pt>
                <c:pt idx="358">
                  <c:v>4.7836789379978907E-3</c:v>
                </c:pt>
                <c:pt idx="359">
                  <c:v>4.7876345323219867E-3</c:v>
                </c:pt>
                <c:pt idx="360">
                  <c:v>4.7935899410743183E-3</c:v>
                </c:pt>
                <c:pt idx="361">
                  <c:v>4.798219707664364E-3</c:v>
                </c:pt>
                <c:pt idx="362">
                  <c:v>4.8017752791161402E-3</c:v>
                </c:pt>
                <c:pt idx="363">
                  <c:v>4.80450753230311E-3</c:v>
                </c:pt>
                <c:pt idx="364">
                  <c:v>4.8066651509570393E-3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705032"/>
        <c:axId val="208706600"/>
      </c:lineChart>
      <c:dateAx>
        <c:axId val="208705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8706600"/>
        <c:crosses val="autoZero"/>
        <c:auto val="1"/>
        <c:lblOffset val="100"/>
        <c:baseTimeUnit val="days"/>
        <c:majorUnit val="1"/>
        <c:majorTimeUnit val="months"/>
      </c:dateAx>
      <c:valAx>
        <c:axId val="2087066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8705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3.6212385741528186E-2</c:v>
                </c:pt>
                <c:pt idx="1">
                  <c:v>3.6233495163776164E-2</c:v>
                </c:pt>
                <c:pt idx="2">
                  <c:v>3.625460412367365E-2</c:v>
                </c:pt>
                <c:pt idx="3">
                  <c:v>3.6275712621230638E-2</c:v>
                </c:pt>
                <c:pt idx="4">
                  <c:v>3.6296820656457451E-2</c:v>
                </c:pt>
                <c:pt idx="5">
                  <c:v>3.6317928229364083E-2</c:v>
                </c:pt>
                <c:pt idx="6">
                  <c:v>3.6339035339960635E-2</c:v>
                </c:pt>
                <c:pt idx="7">
                  <c:v>3.6360141988257433E-2</c:v>
                </c:pt>
                <c:pt idx="8">
                  <c:v>3.6381248174264358E-2</c:v>
                </c:pt>
                <c:pt idx="9">
                  <c:v>3.6402353897991735E-2</c:v>
                </c:pt>
                <c:pt idx="10">
                  <c:v>3.6423459159449445E-2</c:v>
                </c:pt>
                <c:pt idx="11">
                  <c:v>3.6444563958647924E-2</c:v>
                </c:pt>
                <c:pt idx="12">
                  <c:v>3.6465668295597053E-2</c:v>
                </c:pt>
                <c:pt idx="13">
                  <c:v>3.6486772170307047E-2</c:v>
                </c:pt>
                <c:pt idx="14">
                  <c:v>3.6507875582788007E-2</c:v>
                </c:pt>
                <c:pt idx="15">
                  <c:v>3.6528978533050149E-2</c:v>
                </c:pt>
                <c:pt idx="16">
                  <c:v>3.6550081021103464E-2</c:v>
                </c:pt>
                <c:pt idx="17">
                  <c:v>3.6571183046958056E-2</c:v>
                </c:pt>
                <c:pt idx="18">
                  <c:v>3.6592284610624248E-2</c:v>
                </c:pt>
                <c:pt idx="19">
                  <c:v>3.6613385712112034E-2</c:v>
                </c:pt>
                <c:pt idx="20">
                  <c:v>3.6634486351431517E-2</c:v>
                </c:pt>
                <c:pt idx="21">
                  <c:v>3.6655586528592798E-2</c:v>
                </c:pt>
                <c:pt idx="22">
                  <c:v>3.6676686243606094E-2</c:v>
                </c:pt>
                <c:pt idx="23">
                  <c:v>3.6697785496481505E-2</c:v>
                </c:pt>
                <c:pt idx="24">
                  <c:v>3.6718884287229026E-2</c:v>
                </c:pt>
                <c:pt idx="25">
                  <c:v>3.6739982615858979E-2</c:v>
                </c:pt>
                <c:pt idx="26">
                  <c:v>3.6761080482381359E-2</c:v>
                </c:pt>
                <c:pt idx="27">
                  <c:v>3.6782177886806267E-2</c:v>
                </c:pt>
                <c:pt idx="28">
                  <c:v>3.6803274829143917E-2</c:v>
                </c:pt>
                <c:pt idx="29">
                  <c:v>3.6824371309404413E-2</c:v>
                </c:pt>
                <c:pt idx="30">
                  <c:v>3.6845467327597858E-2</c:v>
                </c:pt>
                <c:pt idx="31">
                  <c:v>3.6866562883734355E-2</c:v>
                </c:pt>
                <c:pt idx="32">
                  <c:v>3.6887657977824007E-2</c:v>
                </c:pt>
                <c:pt idx="33">
                  <c:v>3.6908752609876916E-2</c:v>
                </c:pt>
                <c:pt idx="34">
                  <c:v>3.6929846779903297E-2</c:v>
                </c:pt>
                <c:pt idx="35">
                  <c:v>3.6950940487913253E-2</c:v>
                </c:pt>
                <c:pt idx="36">
                  <c:v>3.6972033733916776E-2</c:v>
                </c:pt>
                <c:pt idx="37">
                  <c:v>3.6993126517924191E-2</c:v>
                </c:pt>
                <c:pt idx="38">
                  <c:v>3.7014218839945379E-2</c:v>
                </c:pt>
                <c:pt idx="39">
                  <c:v>3.7035310699990664E-2</c:v>
                </c:pt>
                <c:pt idx="40">
                  <c:v>3.705640209807004E-2</c:v>
                </c:pt>
                <c:pt idx="41">
                  <c:v>3.707749303419372E-2</c:v>
                </c:pt>
                <c:pt idx="42">
                  <c:v>3.7098583508371696E-2</c:v>
                </c:pt>
                <c:pt idx="43">
                  <c:v>3.7119673520614183E-2</c:v>
                </c:pt>
                <c:pt idx="44">
                  <c:v>3.7140763070931393E-2</c:v>
                </c:pt>
                <c:pt idx="45">
                  <c:v>3.7161852159333209E-2</c:v>
                </c:pt>
                <c:pt idx="46">
                  <c:v>3.7182940785829843E-2</c:v>
                </c:pt>
                <c:pt idx="47">
                  <c:v>3.7204028950431511E-2</c:v>
                </c:pt>
                <c:pt idx="48">
                  <c:v>3.7225116653148205E-2</c:v>
                </c:pt>
                <c:pt idx="49">
                  <c:v>3.7246203893990137E-2</c:v>
                </c:pt>
                <c:pt idx="50">
                  <c:v>3.7267290672967301E-2</c:v>
                </c:pt>
                <c:pt idx="51">
                  <c:v>3.7288376990089911E-2</c:v>
                </c:pt>
                <c:pt idx="52">
                  <c:v>3.7309462845368069E-2</c:v>
                </c:pt>
                <c:pt idx="53">
                  <c:v>3.7330548238811878E-2</c:v>
                </c:pt>
                <c:pt idx="54">
                  <c:v>3.7351633170431553E-2</c:v>
                </c:pt>
                <c:pt idx="55">
                  <c:v>3.7372717640236974E-2</c:v>
                </c:pt>
                <c:pt idx="56">
                  <c:v>3.7393801648238467E-2</c:v>
                </c:pt>
                <c:pt idx="57">
                  <c:v>3.7414885194446024E-2</c:v>
                </c:pt>
                <c:pt idx="58">
                  <c:v>3.7435968278869858E-2</c:v>
                </c:pt>
                <c:pt idx="59">
                  <c:v>3.7457050901520073E-2</c:v>
                </c:pt>
                <c:pt idx="60">
                  <c:v>3.747813306240666E-2</c:v>
                </c:pt>
                <c:pt idx="61">
                  <c:v>3.7499214761539834E-2</c:v>
                </c:pt>
                <c:pt idx="62">
                  <c:v>3.7520295998929698E-2</c:v>
                </c:pt>
                <c:pt idx="63">
                  <c:v>3.7541376774586355E-2</c:v>
                </c:pt>
                <c:pt idx="64">
                  <c:v>3.7562457088519907E-2</c:v>
                </c:pt>
                <c:pt idx="65">
                  <c:v>3.7583536940740569E-2</c:v>
                </c:pt>
                <c:pt idx="66">
                  <c:v>3.7604616331258334E-2</c:v>
                </c:pt>
                <c:pt idx="67">
                  <c:v>3.7625695260083303E-2</c:v>
                </c:pt>
                <c:pt idx="68">
                  <c:v>3.764677372722558E-2</c:v>
                </c:pt>
                <c:pt idx="69">
                  <c:v>3.766785173269549E-2</c:v>
                </c:pt>
                <c:pt idx="70">
                  <c:v>3.7688929276502803E-2</c:v>
                </c:pt>
                <c:pt idx="71">
                  <c:v>3.7710006358657955E-2</c:v>
                </c:pt>
                <c:pt idx="72">
                  <c:v>3.7731082979170827E-2</c:v>
                </c:pt>
                <c:pt idx="73">
                  <c:v>3.7752159138051744E-2</c:v>
                </c:pt>
                <c:pt idx="74">
                  <c:v>3.7773234835310587E-2</c:v>
                </c:pt>
                <c:pt idx="75">
                  <c:v>3.7794310070957571E-2</c:v>
                </c:pt>
                <c:pt idx="76">
                  <c:v>3.7815384845002797E-2</c:v>
                </c:pt>
                <c:pt idx="77">
                  <c:v>3.783645915745637E-2</c:v>
                </c:pt>
                <c:pt idx="78">
                  <c:v>3.7857533008328503E-2</c:v>
                </c:pt>
                <c:pt idx="79">
                  <c:v>3.7878606397629189E-2</c:v>
                </c:pt>
                <c:pt idx="80">
                  <c:v>3.7899679325368529E-2</c:v>
                </c:pt>
                <c:pt idx="81">
                  <c:v>3.7920751791556739E-2</c:v>
                </c:pt>
                <c:pt idx="82">
                  <c:v>3.7941823796203811E-2</c:v>
                </c:pt>
                <c:pt idx="83">
                  <c:v>3.7962895339319846E-2</c:v>
                </c:pt>
                <c:pt idx="84">
                  <c:v>3.7983966420915061E-2</c:v>
                </c:pt>
                <c:pt idx="85">
                  <c:v>3.8005037040999556E-2</c:v>
                </c:pt>
                <c:pt idx="86">
                  <c:v>3.8026107199583326E-2</c:v>
                </c:pt>
                <c:pt idx="87">
                  <c:v>3.8047176896676582E-2</c:v>
                </c:pt>
                <c:pt idx="88">
                  <c:v>3.8068246132289318E-2</c:v>
                </c:pt>
                <c:pt idx="89">
                  <c:v>3.8089314906431859E-2</c:v>
                </c:pt>
                <c:pt idx="90">
                  <c:v>3.8110383219114086E-2</c:v>
                </c:pt>
                <c:pt idx="91">
                  <c:v>3.8131451070346212E-2</c:v>
                </c:pt>
                <c:pt idx="92">
                  <c:v>3.815251846013834E-2</c:v>
                </c:pt>
                <c:pt idx="93">
                  <c:v>3.8173585388500464E-2</c:v>
                </c:pt>
                <c:pt idx="94">
                  <c:v>3.8194651855442907E-2</c:v>
                </c:pt>
                <c:pt idx="95">
                  <c:v>3.8215717860975662E-2</c:v>
                </c:pt>
                <c:pt idx="96">
                  <c:v>3.8236783405108832E-2</c:v>
                </c:pt>
                <c:pt idx="97">
                  <c:v>3.8257848487852408E-2</c:v>
                </c:pt>
                <c:pt idx="98">
                  <c:v>3.8278913109216717E-2</c:v>
                </c:pt>
                <c:pt idx="99">
                  <c:v>3.8299977269211749E-2</c:v>
                </c:pt>
                <c:pt idx="100">
                  <c:v>3.8321040967847608E-2</c:v>
                </c:pt>
                <c:pt idx="101">
                  <c:v>3.8342104205134397E-2</c:v>
                </c:pt>
                <c:pt idx="102">
                  <c:v>3.836316698108222E-2</c:v>
                </c:pt>
                <c:pt idx="103">
                  <c:v>3.8384229295701178E-2</c:v>
                </c:pt>
                <c:pt idx="104">
                  <c:v>3.8405291149001486E-2</c:v>
                </c:pt>
                <c:pt idx="105">
                  <c:v>3.8426352540993025E-2</c:v>
                </c:pt>
                <c:pt idx="106">
                  <c:v>3.844741347168612E-2</c:v>
                </c:pt>
                <c:pt idx="107">
                  <c:v>3.8468473941090764E-2</c:v>
                </c:pt>
                <c:pt idx="108">
                  <c:v>3.8489533949217059E-2</c:v>
                </c:pt>
                <c:pt idx="109">
                  <c:v>3.8510593496075107E-2</c:v>
                </c:pt>
                <c:pt idx="110">
                  <c:v>3.8531652581675124E-2</c:v>
                </c:pt>
                <c:pt idx="111">
                  <c:v>3.8552711206026991E-2</c:v>
                </c:pt>
                <c:pt idx="112">
                  <c:v>3.8573769369141031E-2</c:v>
                </c:pt>
                <c:pt idx="113">
                  <c:v>3.8594827071027238E-2</c:v>
                </c:pt>
                <c:pt idx="114">
                  <c:v>3.8615884311695714E-2</c:v>
                </c:pt>
                <c:pt idx="115">
                  <c:v>3.8636941091156562E-2</c:v>
                </c:pt>
                <c:pt idx="116">
                  <c:v>3.8657997409419886E-2</c:v>
                </c:pt>
                <c:pt idx="117">
                  <c:v>3.8679053266495789E-2</c:v>
                </c:pt>
                <c:pt idx="118">
                  <c:v>3.8700108662394483E-2</c:v>
                </c:pt>
                <c:pt idx="119">
                  <c:v>3.8721163597125852E-2</c:v>
                </c:pt>
                <c:pt idx="120">
                  <c:v>3.8742218070700218E-2</c:v>
                </c:pt>
                <c:pt idx="121">
                  <c:v>3.8763272083127576E-2</c:v>
                </c:pt>
                <c:pt idx="122">
                  <c:v>3.8784325634417915E-2</c:v>
                </c:pt>
                <c:pt idx="123">
                  <c:v>3.8805378724581563E-2</c:v>
                </c:pt>
                <c:pt idx="124">
                  <c:v>3.882643135362851E-2</c:v>
                </c:pt>
                <c:pt idx="125">
                  <c:v>3.8847483521568749E-2</c:v>
                </c:pt>
                <c:pt idx="126">
                  <c:v>3.8868535228412493E-2</c:v>
                </c:pt>
                <c:pt idx="127">
                  <c:v>3.8889586474169957E-2</c:v>
                </c:pt>
                <c:pt idx="128">
                  <c:v>3.8910637258851022E-2</c:v>
                </c:pt>
                <c:pt idx="129">
                  <c:v>3.893168758246579E-2</c:v>
                </c:pt>
                <c:pt idx="130">
                  <c:v>3.8952737445024588E-2</c:v>
                </c:pt>
                <c:pt idx="131">
                  <c:v>3.8973786846537295E-2</c:v>
                </c:pt>
                <c:pt idx="132">
                  <c:v>3.8994835787014126E-2</c:v>
                </c:pt>
                <c:pt idx="133">
                  <c:v>3.9015884266465184E-2</c:v>
                </c:pt>
                <c:pt idx="134">
                  <c:v>3.9036932284900461E-2</c:v>
                </c:pt>
                <c:pt idx="135">
                  <c:v>3.9057979842330059E-2</c:v>
                </c:pt>
                <c:pt idx="136">
                  <c:v>3.9079026938764194E-2</c:v>
                </c:pt>
                <c:pt idx="137">
                  <c:v>3.9100073574212968E-2</c:v>
                </c:pt>
                <c:pt idx="138">
                  <c:v>3.9121119748686262E-2</c:v>
                </c:pt>
                <c:pt idx="139">
                  <c:v>3.9142165462194511E-2</c:v>
                </c:pt>
                <c:pt idx="140">
                  <c:v>3.9163210714747487E-2</c:v>
                </c:pt>
                <c:pt idx="141">
                  <c:v>3.9184255506355403E-2</c:v>
                </c:pt>
                <c:pt idx="142">
                  <c:v>3.9205299837028473E-2</c:v>
                </c:pt>
                <c:pt idx="143">
                  <c:v>3.9226343706776579E-2</c:v>
                </c:pt>
                <c:pt idx="144">
                  <c:v>3.9247387115610044E-2</c:v>
                </c:pt>
                <c:pt idx="145">
                  <c:v>3.9268430063538751E-2</c:v>
                </c:pt>
                <c:pt idx="146">
                  <c:v>3.9289472550572913E-2</c:v>
                </c:pt>
                <c:pt idx="147">
                  <c:v>3.9310514576722633E-2</c:v>
                </c:pt>
                <c:pt idx="148">
                  <c:v>3.9331556141998014E-2</c:v>
                </c:pt>
                <c:pt idx="149">
                  <c:v>3.9352597246409049E-2</c:v>
                </c:pt>
                <c:pt idx="150">
                  <c:v>3.9373637889965951E-2</c:v>
                </c:pt>
                <c:pt idx="151">
                  <c:v>3.9394678072678713E-2</c:v>
                </c:pt>
                <c:pt idx="152">
                  <c:v>3.9415717794557548E-2</c:v>
                </c:pt>
                <c:pt idx="153">
                  <c:v>3.9436757055612337E-2</c:v>
                </c:pt>
                <c:pt idx="154">
                  <c:v>3.9457795855853406E-2</c:v>
                </c:pt>
                <c:pt idx="155">
                  <c:v>3.9478834195290746E-2</c:v>
                </c:pt>
                <c:pt idx="156">
                  <c:v>3.9499872073934461E-2</c:v>
                </c:pt>
                <c:pt idx="157">
                  <c:v>3.9520909491794654E-2</c:v>
                </c:pt>
                <c:pt idx="158">
                  <c:v>3.9541946448881427E-2</c:v>
                </c:pt>
                <c:pt idx="159">
                  <c:v>3.9562982945204772E-2</c:v>
                </c:pt>
                <c:pt idx="160">
                  <c:v>3.9584018980774904E-2</c:v>
                </c:pt>
                <c:pt idx="161">
                  <c:v>3.9605054555601815E-2</c:v>
                </c:pt>
                <c:pt idx="162">
                  <c:v>3.9626089669695719E-2</c:v>
                </c:pt>
                <c:pt idx="163">
                  <c:v>3.9647124323066607E-2</c:v>
                </c:pt>
                <c:pt idx="164">
                  <c:v>3.9668158515724694E-2</c:v>
                </c:pt>
                <c:pt idx="165">
                  <c:v>3.9689192247679861E-2</c:v>
                </c:pt>
                <c:pt idx="166">
                  <c:v>3.9710225518942321E-2</c:v>
                </c:pt>
                <c:pt idx="167">
                  <c:v>3.973125832952229E-2</c:v>
                </c:pt>
                <c:pt idx="168">
                  <c:v>3.9752290679429536E-2</c:v>
                </c:pt>
                <c:pt idx="169">
                  <c:v>3.9773322568674496E-2</c:v>
                </c:pt>
                <c:pt idx="170">
                  <c:v>3.9794353997267051E-2</c:v>
                </c:pt>
                <c:pt idx="171">
                  <c:v>3.9815384965217304E-2</c:v>
                </c:pt>
                <c:pt idx="172">
                  <c:v>3.9836415472535469E-2</c:v>
                </c:pt>
                <c:pt idx="173">
                  <c:v>3.9857445519231427E-2</c:v>
                </c:pt>
                <c:pt idx="174">
                  <c:v>3.9878475105315503E-2</c:v>
                </c:pt>
                <c:pt idx="175">
                  <c:v>3.9899504230797689E-2</c:v>
                </c:pt>
                <c:pt idx="176">
                  <c:v>3.9920532895687977E-2</c:v>
                </c:pt>
                <c:pt idx="177">
                  <c:v>3.9941561099996581E-2</c:v>
                </c:pt>
                <c:pt idx="178">
                  <c:v>3.9962588843733493E-2</c:v>
                </c:pt>
                <c:pt idx="179">
                  <c:v>3.9983616126908816E-2</c:v>
                </c:pt>
                <c:pt idx="180">
                  <c:v>4.0004642949532765E-2</c:v>
                </c:pt>
                <c:pt idx="181">
                  <c:v>4.0025669311615331E-2</c:v>
                </c:pt>
                <c:pt idx="182">
                  <c:v>4.0046695213166617E-2</c:v>
                </c:pt>
                <c:pt idx="183">
                  <c:v>4.0067720654196615E-2</c:v>
                </c:pt>
                <c:pt idx="184">
                  <c:v>4.0088745634715539E-2</c:v>
                </c:pt>
                <c:pt idx="185">
                  <c:v>4.0109770154733382E-2</c:v>
                </c:pt>
                <c:pt idx="186">
                  <c:v>4.0130794214260357E-2</c:v>
                </c:pt>
                <c:pt idx="187">
                  <c:v>4.0151817813306456E-2</c:v>
                </c:pt>
                <c:pt idx="188">
                  <c:v>4.0172840951881783E-2</c:v>
                </c:pt>
                <c:pt idx="189">
                  <c:v>4.019386362999644E-2</c:v>
                </c:pt>
                <c:pt idx="190">
                  <c:v>4.021488584766042E-2</c:v>
                </c:pt>
                <c:pt idx="191">
                  <c:v>4.0235907604883936E-2</c:v>
                </c:pt>
                <c:pt idx="192">
                  <c:v>4.025692890167698E-2</c:v>
                </c:pt>
                <c:pt idx="193">
                  <c:v>4.0277949738049657E-2</c:v>
                </c:pt>
                <c:pt idx="194">
                  <c:v>4.0298970114012178E-2</c:v>
                </c:pt>
                <c:pt idx="195">
                  <c:v>4.0319990029574426E-2</c:v>
                </c:pt>
                <c:pt idx="196">
                  <c:v>4.0341009484746615E-2</c:v>
                </c:pt>
                <c:pt idx="197">
                  <c:v>4.0362028479538736E-2</c:v>
                </c:pt>
                <c:pt idx="198">
                  <c:v>4.0383047013961004E-2</c:v>
                </c:pt>
                <c:pt idx="199">
                  <c:v>4.0404065088023411E-2</c:v>
                </c:pt>
                <c:pt idx="200">
                  <c:v>4.0425082701735948E-2</c:v>
                </c:pt>
                <c:pt idx="201">
                  <c:v>4.0446099855108941E-2</c:v>
                </c:pt>
                <c:pt idx="202">
                  <c:v>4.0467116548152271E-2</c:v>
                </c:pt>
                <c:pt idx="203">
                  <c:v>4.0488132780876041E-2</c:v>
                </c:pt>
                <c:pt idx="204">
                  <c:v>4.0509148553290464E-2</c:v>
                </c:pt>
                <c:pt idx="205">
                  <c:v>4.0530163865405533E-2</c:v>
                </c:pt>
                <c:pt idx="206">
                  <c:v>4.055117871723124E-2</c:v>
                </c:pt>
                <c:pt idx="207">
                  <c:v>4.057219310877791E-2</c:v>
                </c:pt>
                <c:pt idx="208">
                  <c:v>4.0593207040055312E-2</c:v>
                </c:pt>
                <c:pt idx="209">
                  <c:v>4.0614220511073773E-2</c:v>
                </c:pt>
                <c:pt idx="210">
                  <c:v>4.0635233521843284E-2</c:v>
                </c:pt>
                <c:pt idx="211">
                  <c:v>4.0656246072373947E-2</c:v>
                </c:pt>
                <c:pt idx="212">
                  <c:v>4.0677258162675756E-2</c:v>
                </c:pt>
                <c:pt idx="213">
                  <c:v>4.0698269792758923E-2</c:v>
                </c:pt>
                <c:pt idx="214">
                  <c:v>4.0719280962633442E-2</c:v>
                </c:pt>
                <c:pt idx="215">
                  <c:v>4.0740291672309414E-2</c:v>
                </c:pt>
                <c:pt idx="216">
                  <c:v>4.0761301921796944E-2</c:v>
                </c:pt>
                <c:pt idx="217">
                  <c:v>4.0782311711106134E-2</c:v>
                </c:pt>
                <c:pt idx="218">
                  <c:v>4.0803321040246976E-2</c:v>
                </c:pt>
                <c:pt idx="219">
                  <c:v>4.0824329909229573E-2</c:v>
                </c:pt>
                <c:pt idx="220">
                  <c:v>4.0845338318064028E-2</c:v>
                </c:pt>
                <c:pt idx="221">
                  <c:v>4.0866346266760334E-2</c:v>
                </c:pt>
                <c:pt idx="222">
                  <c:v>4.0887353755328815E-2</c:v>
                </c:pt>
                <c:pt idx="223">
                  <c:v>4.0908360783779241E-2</c:v>
                </c:pt>
                <c:pt idx="224">
                  <c:v>4.0929367352121937E-2</c:v>
                </c:pt>
                <c:pt idx="225">
                  <c:v>4.0950373460366785E-2</c:v>
                </c:pt>
                <c:pt idx="226">
                  <c:v>4.0971379108523998E-2</c:v>
                </c:pt>
                <c:pt idx="227">
                  <c:v>4.0992384296603568E-2</c:v>
                </c:pt>
                <c:pt idx="228">
                  <c:v>4.1013389024615599E-2</c:v>
                </c:pt>
                <c:pt idx="229">
                  <c:v>4.1034393292570304E-2</c:v>
                </c:pt>
                <c:pt idx="230">
                  <c:v>4.1055397100477453E-2</c:v>
                </c:pt>
                <c:pt idx="231">
                  <c:v>4.1076400448347483E-2</c:v>
                </c:pt>
                <c:pt idx="232">
                  <c:v>4.1097403336190164E-2</c:v>
                </c:pt>
                <c:pt idx="233">
                  <c:v>4.1118405764015709E-2</c:v>
                </c:pt>
                <c:pt idx="234">
                  <c:v>4.1139407731834221E-2</c:v>
                </c:pt>
                <c:pt idx="235">
                  <c:v>4.1160409239655804E-2</c:v>
                </c:pt>
                <c:pt idx="236">
                  <c:v>4.1181410287490339E-2</c:v>
                </c:pt>
                <c:pt idx="237">
                  <c:v>4.120241087534815E-2</c:v>
                </c:pt>
                <c:pt idx="238">
                  <c:v>4.1223411003239119E-2</c:v>
                </c:pt>
                <c:pt idx="239">
                  <c:v>4.1244410671173348E-2</c:v>
                </c:pt>
                <c:pt idx="240">
                  <c:v>4.1265409879161052E-2</c:v>
                </c:pt>
                <c:pt idx="241">
                  <c:v>4.1286408627212112E-2</c:v>
                </c:pt>
                <c:pt idx="242">
                  <c:v>4.1307406915336742E-2</c:v>
                </c:pt>
                <c:pt idx="243">
                  <c:v>4.1328404743545044E-2</c:v>
                </c:pt>
                <c:pt idx="244">
                  <c:v>4.13494021118469E-2</c:v>
                </c:pt>
                <c:pt idx="245">
                  <c:v>4.1370399020252524E-2</c:v>
                </c:pt>
                <c:pt idx="246">
                  <c:v>4.1391395468772019E-2</c:v>
                </c:pt>
                <c:pt idx="247">
                  <c:v>4.1412391457415376E-2</c:v>
                </c:pt>
                <c:pt idx="248">
                  <c:v>4.14333869861927E-2</c:v>
                </c:pt>
                <c:pt idx="249">
                  <c:v>4.1454382055114092E-2</c:v>
                </c:pt>
                <c:pt idx="250">
                  <c:v>4.1475376664189545E-2</c:v>
                </c:pt>
                <c:pt idx="251">
                  <c:v>4.1496370813429273E-2</c:v>
                </c:pt>
                <c:pt idx="252">
                  <c:v>4.1517364502843157E-2</c:v>
                </c:pt>
                <c:pt idx="253">
                  <c:v>4.15383577324413E-2</c:v>
                </c:pt>
                <c:pt idx="254">
                  <c:v>4.1559350502234027E-2</c:v>
                </c:pt>
                <c:pt idx="255">
                  <c:v>4.1580342812231108E-2</c:v>
                </c:pt>
                <c:pt idx="256">
                  <c:v>4.1601334662442646E-2</c:v>
                </c:pt>
                <c:pt idx="257">
                  <c:v>4.1622326052878855E-2</c:v>
                </c:pt>
                <c:pt idx="258">
                  <c:v>4.1643316983549838E-2</c:v>
                </c:pt>
                <c:pt idx="259">
                  <c:v>4.1664307454465477E-2</c:v>
                </c:pt>
                <c:pt idx="260">
                  <c:v>4.1685297465635873E-2</c:v>
                </c:pt>
                <c:pt idx="261">
                  <c:v>4.1706287017071242E-2</c:v>
                </c:pt>
                <c:pt idx="262">
                  <c:v>4.1727276108781575E-2</c:v>
                </c:pt>
                <c:pt idx="263">
                  <c:v>4.1748264740776975E-2</c:v>
                </c:pt>
                <c:pt idx="264">
                  <c:v>4.1769252913067323E-2</c:v>
                </c:pt>
                <c:pt idx="265">
                  <c:v>4.1790240625662944E-2</c:v>
                </c:pt>
                <c:pt idx="266">
                  <c:v>4.181122787857372E-2</c:v>
                </c:pt>
                <c:pt idx="267">
                  <c:v>4.1832214671809864E-2</c:v>
                </c:pt>
                <c:pt idx="268">
                  <c:v>4.1853201005381369E-2</c:v>
                </c:pt>
                <c:pt idx="269">
                  <c:v>4.1874186879298336E-2</c:v>
                </c:pt>
                <c:pt idx="270">
                  <c:v>4.1895172293570648E-2</c:v>
                </c:pt>
                <c:pt idx="271">
                  <c:v>4.1916157248208741E-2</c:v>
                </c:pt>
                <c:pt idx="272">
                  <c:v>4.1937141743222273E-2</c:v>
                </c:pt>
                <c:pt idx="273">
                  <c:v>4.195812577862168E-2</c:v>
                </c:pt>
                <c:pt idx="274">
                  <c:v>4.1979109354416733E-2</c:v>
                </c:pt>
                <c:pt idx="275">
                  <c:v>4.2000092470617645E-2</c:v>
                </c:pt>
                <c:pt idx="276">
                  <c:v>4.202107512723452E-2</c:v>
                </c:pt>
                <c:pt idx="277">
                  <c:v>4.2042057324277349E-2</c:v>
                </c:pt>
                <c:pt idx="278">
                  <c:v>4.2063039061756236E-2</c:v>
                </c:pt>
                <c:pt idx="279">
                  <c:v>4.2084020339681172E-2</c:v>
                </c:pt>
                <c:pt idx="280">
                  <c:v>4.2105001158062261E-2</c:v>
                </c:pt>
                <c:pt idx="281">
                  <c:v>4.2125981516909605E-2</c:v>
                </c:pt>
                <c:pt idx="282">
                  <c:v>4.2146961416233308E-2</c:v>
                </c:pt>
                <c:pt idx="283">
                  <c:v>4.2167940856043251E-2</c:v>
                </c:pt>
                <c:pt idx="284">
                  <c:v>4.2188919836349648E-2</c:v>
                </c:pt>
                <c:pt idx="285">
                  <c:v>4.2209898357162601E-2</c:v>
                </c:pt>
                <c:pt idx="286">
                  <c:v>4.2230876418492103E-2</c:v>
                </c:pt>
                <c:pt idx="287">
                  <c:v>4.2251854020348145E-2</c:v>
                </c:pt>
                <c:pt idx="288">
                  <c:v>4.2272831162740943E-2</c:v>
                </c:pt>
                <c:pt idx="289">
                  <c:v>4.2293807845680487E-2</c:v>
                </c:pt>
                <c:pt idx="290">
                  <c:v>4.231478406917677E-2</c:v>
                </c:pt>
                <c:pt idx="291">
                  <c:v>4.2335759833240005E-2</c:v>
                </c:pt>
                <c:pt idx="292">
                  <c:v>4.2356735137880186E-2</c:v>
                </c:pt>
                <c:pt idx="293">
                  <c:v>4.2377709983107303E-2</c:v>
                </c:pt>
                <c:pt idx="294">
                  <c:v>4.2398684368931461E-2</c:v>
                </c:pt>
                <c:pt idx="295">
                  <c:v>4.2419658295362761E-2</c:v>
                </c:pt>
                <c:pt idx="296">
                  <c:v>4.2440631762411307E-2</c:v>
                </c:pt>
                <c:pt idx="297">
                  <c:v>4.246160477008698E-2</c:v>
                </c:pt>
                <c:pt idx="298">
                  <c:v>4.2482577318400105E-2</c:v>
                </c:pt>
                <c:pt idx="299">
                  <c:v>4.2503549407360453E-2</c:v>
                </c:pt>
                <c:pt idx="300">
                  <c:v>4.2524521036978347E-2</c:v>
                </c:pt>
                <c:pt idx="301">
                  <c:v>4.2545492207263669E-2</c:v>
                </c:pt>
                <c:pt idx="302">
                  <c:v>4.2566462918226522E-2</c:v>
                </c:pt>
                <c:pt idx="303">
                  <c:v>4.2587433169877009E-2</c:v>
                </c:pt>
                <c:pt idx="304">
                  <c:v>4.2608402962225123E-2</c:v>
                </c:pt>
                <c:pt idx="305">
                  <c:v>4.2629372295281076E-2</c:v>
                </c:pt>
                <c:pt idx="306">
                  <c:v>4.2650341169054751E-2</c:v>
                </c:pt>
                <c:pt idx="307">
                  <c:v>4.2671309583556249E-2</c:v>
                </c:pt>
                <c:pt idx="308">
                  <c:v>4.2692277538795675E-2</c:v>
                </c:pt>
                <c:pt idx="309">
                  <c:v>4.2713245034783132E-2</c:v>
                </c:pt>
                <c:pt idx="310">
                  <c:v>4.2734212071528499E-2</c:v>
                </c:pt>
                <c:pt idx="311">
                  <c:v>4.2755178649042103E-2</c:v>
                </c:pt>
                <c:pt idx="312">
                  <c:v>4.2776144767333713E-2</c:v>
                </c:pt>
                <c:pt idx="313">
                  <c:v>4.2797110426413543E-2</c:v>
                </c:pt>
                <c:pt idx="314">
                  <c:v>4.2818075626291696E-2</c:v>
                </c:pt>
                <c:pt idx="315">
                  <c:v>4.2839040366978165E-2</c:v>
                </c:pt>
                <c:pt idx="316">
                  <c:v>4.2860004648482941E-2</c:v>
                </c:pt>
                <c:pt idx="317">
                  <c:v>4.2880968470816239E-2</c:v>
                </c:pt>
                <c:pt idx="318">
                  <c:v>4.2901931833987939E-2</c:v>
                </c:pt>
                <c:pt idx="319">
                  <c:v>4.2922894738008144E-2</c:v>
                </c:pt>
                <c:pt idx="320">
                  <c:v>4.2943857182887069E-2</c:v>
                </c:pt>
                <c:pt idx="321">
                  <c:v>4.2964819168634594E-2</c:v>
                </c:pt>
                <c:pt idx="322">
                  <c:v>4.2985780695260822E-2</c:v>
                </c:pt>
                <c:pt idx="323">
                  <c:v>4.3006741762775857E-2</c:v>
                </c:pt>
                <c:pt idx="324">
                  <c:v>4.3027702371189691E-2</c:v>
                </c:pt>
                <c:pt idx="325">
                  <c:v>4.3048662520512426E-2</c:v>
                </c:pt>
                <c:pt idx="326">
                  <c:v>4.3069622210754166E-2</c:v>
                </c:pt>
                <c:pt idx="327">
                  <c:v>4.3090581441924791E-2</c:v>
                </c:pt>
                <c:pt idx="328">
                  <c:v>4.3111540214034516E-2</c:v>
                </c:pt>
                <c:pt idx="329">
                  <c:v>4.3132498527093333E-2</c:v>
                </c:pt>
                <c:pt idx="330">
                  <c:v>4.3153456381111233E-2</c:v>
                </c:pt>
                <c:pt idx="331">
                  <c:v>4.317441377609843E-2</c:v>
                </c:pt>
                <c:pt idx="332">
                  <c:v>4.3195370712064918E-2</c:v>
                </c:pt>
                <c:pt idx="333">
                  <c:v>4.3216327189020687E-2</c:v>
                </c:pt>
                <c:pt idx="334">
                  <c:v>4.323728320697573E-2</c:v>
                </c:pt>
                <c:pt idx="335">
                  <c:v>4.325823876594026E-2</c:v>
                </c:pt>
                <c:pt idx="336">
                  <c:v>4.3279193865924381E-2</c:v>
                </c:pt>
                <c:pt idx="337">
                  <c:v>4.3300148506937863E-2</c:v>
                </c:pt>
                <c:pt idx="338">
                  <c:v>4.3321102688991031E-2</c:v>
                </c:pt>
                <c:pt idx="339">
                  <c:v>4.3342056412093766E-2</c:v>
                </c:pt>
                <c:pt idx="340">
                  <c:v>4.3363009676256281E-2</c:v>
                </c:pt>
                <c:pt idx="341">
                  <c:v>4.3383962481488458E-2</c:v>
                </c:pt>
                <c:pt idx="342">
                  <c:v>4.3404914827800511E-2</c:v>
                </c:pt>
                <c:pt idx="343">
                  <c:v>4.3425866715202321E-2</c:v>
                </c:pt>
                <c:pt idx="344">
                  <c:v>4.3446818143704102E-2</c:v>
                </c:pt>
                <c:pt idx="345">
                  <c:v>4.3467769113315735E-2</c:v>
                </c:pt>
                <c:pt idx="346">
                  <c:v>4.3488719624047434E-2</c:v>
                </c:pt>
                <c:pt idx="347">
                  <c:v>4.3509669675909191E-2</c:v>
                </c:pt>
                <c:pt idx="348">
                  <c:v>4.3530619268910997E-2</c:v>
                </c:pt>
                <c:pt idx="349">
                  <c:v>4.3551568403062957E-2</c:v>
                </c:pt>
                <c:pt idx="350">
                  <c:v>4.3572517078375061E-2</c:v>
                </c:pt>
                <c:pt idx="351">
                  <c:v>4.3593465294857525E-2</c:v>
                </c:pt>
                <c:pt idx="352">
                  <c:v>4.3614413052520229E-2</c:v>
                </c:pt>
                <c:pt idx="353">
                  <c:v>4.3635360351373276E-2</c:v>
                </c:pt>
                <c:pt idx="354">
                  <c:v>4.3656307191426769E-2</c:v>
                </c:pt>
                <c:pt idx="355">
                  <c:v>4.3677253572690589E-2</c:v>
                </c:pt>
                <c:pt idx="356">
                  <c:v>4.3698199495175061E-2</c:v>
                </c:pt>
                <c:pt idx="357">
                  <c:v>4.3719144958889955E-2</c:v>
                </c:pt>
                <c:pt idx="358">
                  <c:v>4.3740089963845485E-2</c:v>
                </c:pt>
                <c:pt idx="359">
                  <c:v>4.3761034510051644E-2</c:v>
                </c:pt>
                <c:pt idx="360">
                  <c:v>4.3781978597518423E-2</c:v>
                </c:pt>
                <c:pt idx="361">
                  <c:v>4.3802922226256036E-2</c:v>
                </c:pt>
                <c:pt idx="362">
                  <c:v>4.3823865396274364E-2</c:v>
                </c:pt>
                <c:pt idx="363">
                  <c:v>4.3844808107583622E-2</c:v>
                </c:pt>
                <c:pt idx="364">
                  <c:v>4.3865750360193578E-2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9.75088445440392E-2</c:v>
                </c:pt>
                <c:pt idx="1">
                  <c:v>9.7637942384242921E-2</c:v>
                </c:pt>
                <c:pt idx="2">
                  <c:v>9.776703540583076E-2</c:v>
                </c:pt>
                <c:pt idx="3">
                  <c:v>9.7896101964389942E-2</c:v>
                </c:pt>
                <c:pt idx="4">
                  <c:v>9.8025123247377041E-2</c:v>
                </c:pt>
                <c:pt idx="5">
                  <c:v>9.8154083198531986E-2</c:v>
                </c:pt>
                <c:pt idx="6">
                  <c:v>9.8282968419798708E-2</c:v>
                </c:pt>
                <c:pt idx="7">
                  <c:v>9.841176805243522E-2</c:v>
                </c:pt>
                <c:pt idx="8">
                  <c:v>9.8540473639156773E-2</c:v>
                </c:pt>
                <c:pt idx="9">
                  <c:v>9.8669078969296761E-2</c:v>
                </c:pt>
                <c:pt idx="10">
                  <c:v>9.8797579909089411E-2</c:v>
                </c:pt>
                <c:pt idx="11">
                  <c:v>9.8925974219275473E-2</c:v>
                </c:pt>
                <c:pt idx="12">
                  <c:v>9.9054261362307203E-2</c:v>
                </c:pt>
                <c:pt idx="13">
                  <c:v>9.9182442301478713E-2</c:v>
                </c:pt>
                <c:pt idx="14">
                  <c:v>9.9310519294336735E-2</c:v>
                </c:pt>
                <c:pt idx="15">
                  <c:v>9.9438495682730485E-2</c:v>
                </c:pt>
                <c:pt idx="16">
                  <c:v>9.9566375681839722E-2</c:v>
                </c:pt>
                <c:pt idx="17">
                  <c:v>9.969416417047966E-2</c:v>
                </c:pt>
                <c:pt idx="18">
                  <c:v>9.9821866484916491E-2</c:v>
                </c:pt>
                <c:pt idx="19">
                  <c:v>9.994948821834429E-2</c:v>
                </c:pt>
                <c:pt idx="20">
                  <c:v>0.10007703502806767</c:v>
                </c:pt>
                <c:pt idx="21">
                  <c:v>0.10020451245231426</c:v>
                </c:pt>
                <c:pt idx="22">
                  <c:v>0.10033192573845866</c:v>
                </c:pt>
                <c:pt idx="23">
                  <c:v>0.10045927968428643</c:v>
                </c:pt>
                <c:pt idx="24">
                  <c:v>0.10058657849375713</c:v>
                </c:pt>
                <c:pt idx="25">
                  <c:v>0.10071382564854482</c:v>
                </c:pt>
                <c:pt idx="26">
                  <c:v>0.10084102379644549</c:v>
                </c:pt>
                <c:pt idx="27">
                  <c:v>0.10096817465754278</c:v>
                </c:pt>
                <c:pt idx="28">
                  <c:v>0.10109527894882053</c:v>
                </c:pt>
                <c:pt idx="29">
                  <c:v>0.10122233632770564</c:v>
                </c:pt>
                <c:pt idx="30">
                  <c:v>0.1013493453548158</c:v>
                </c:pt>
                <c:pt idx="31">
                  <c:v>0.10147630347598274</c:v>
                </c:pt>
                <c:pt idx="32">
                  <c:v>0.10160320702341698</c:v>
                </c:pt>
                <c:pt idx="33">
                  <c:v>0.10173005123568338</c:v>
                </c:pt>
                <c:pt idx="34">
                  <c:v>0.10185683029596626</c:v>
                </c:pt>
                <c:pt idx="35">
                  <c:v>0.10198353738792061</c:v>
                </c:pt>
                <c:pt idx="36">
                  <c:v>0.10211016476823637</c:v>
                </c:pt>
                <c:pt idx="37">
                  <c:v>0.10223670385488327</c:v>
                </c:pt>
                <c:pt idx="38">
                  <c:v>0.10236314532985998</c:v>
                </c:pt>
                <c:pt idx="39">
                  <c:v>0.1024894792551409</c:v>
                </c:pt>
                <c:pt idx="40">
                  <c:v>0.10261569520040215</c:v>
                </c:pt>
                <c:pt idx="41">
                  <c:v>0.10274178238100952</c:v>
                </c:pt>
                <c:pt idx="42">
                  <c:v>0.10286772980467536</c:v>
                </c:pt>
                <c:pt idx="43">
                  <c:v>0.10299352642512902</c:v>
                </c:pt>
                <c:pt idx="44">
                  <c:v>0.1031191613011045</c:v>
                </c:pt>
                <c:pt idx="45">
                  <c:v>0.10324462375892669</c:v>
                </c:pt>
                <c:pt idx="46">
                  <c:v>0.10336990355697138</c:v>
                </c:pt>
                <c:pt idx="47">
                  <c:v>0.10349499105028946</c:v>
                </c:pt>
                <c:pt idx="48">
                  <c:v>0.10361987735371685</c:v>
                </c:pt>
                <c:pt idx="49">
                  <c:v>0.10374455450183938</c:v>
                </c:pt>
                <c:pt idx="50">
                  <c:v>0.10386901560424795</c:v>
                </c:pt>
                <c:pt idx="51">
                  <c:v>0.10399325499459797</c:v>
                </c:pt>
                <c:pt idx="52">
                  <c:v>0.10411726837208099</c:v>
                </c:pt>
                <c:pt idx="53">
                  <c:v>0.10424105293402379</c:v>
                </c:pt>
                <c:pt idx="54">
                  <c:v>0.10436460749844607</c:v>
                </c:pt>
                <c:pt idx="55">
                  <c:v>0.10448793261553664</c:v>
                </c:pt>
                <c:pt idx="56">
                  <c:v>0.10461103066714227</c:v>
                </c:pt>
                <c:pt idx="57">
                  <c:v>0.10473390595350493</c:v>
                </c:pt>
                <c:pt idx="58">
                  <c:v>0.10485656476662943</c:v>
                </c:pt>
                <c:pt idx="59">
                  <c:v>0.10497901544981193</c:v>
                </c:pt>
                <c:pt idx="60">
                  <c:v>0.10510126844301017</c:v>
                </c:pt>
                <c:pt idx="61">
                  <c:v>0.10522333631388453</c:v>
                </c:pt>
                <c:pt idx="62">
                  <c:v>0.10534523377448675</c:v>
                </c:pt>
                <c:pt idx="63">
                  <c:v>0.10546697768371452</c:v>
                </c:pt>
                <c:pt idx="64">
                  <c:v>0.10558858703578874</c:v>
                </c:pt>
                <c:pt idx="65">
                  <c:v>0.10571008293513809</c:v>
                </c:pt>
                <c:pt idx="66">
                  <c:v>0.10583148855819828</c:v>
                </c:pt>
                <c:pt idx="67">
                  <c:v>0.10595282910274433</c:v>
                </c:pt>
                <c:pt idx="68">
                  <c:v>0.1060741317254745</c:v>
                </c:pt>
                <c:pt idx="69">
                  <c:v>0.10619542546865374</c:v>
                </c:pt>
                <c:pt idx="70">
                  <c:v>0.10631674117670006</c:v>
                </c:pt>
                <c:pt idx="71">
                  <c:v>0.10643811140366051</c:v>
                </c:pt>
                <c:pt idx="72">
                  <c:v>0.1065595703125716</c:v>
                </c:pt>
                <c:pt idx="73">
                  <c:v>0.10668115356773482</c:v>
                </c:pt>
                <c:pt idx="74">
                  <c:v>0.10680289822095772</c:v>
                </c:pt>
                <c:pt idx="75">
                  <c:v>0.10692484259281834</c:v>
                </c:pt>
                <c:pt idx="76">
                  <c:v>0.10704702615000344</c:v>
                </c:pt>
                <c:pt idx="77">
                  <c:v>0.10716948937974931</c:v>
                </c:pt>
                <c:pt idx="78">
                  <c:v>0.10729227366238209</c:v>
                </c:pt>
                <c:pt idx="79">
                  <c:v>0.1074154211429077</c:v>
                </c:pt>
                <c:pt idx="80">
                  <c:v>0.10753897460254452</c:v>
                </c:pt>
                <c:pt idx="81">
                  <c:v>0.10766297733102592</c:v>
                </c:pt>
                <c:pt idx="82">
                  <c:v>0.10778747300042241</c:v>
                </c:pt>
                <c:pt idx="83">
                  <c:v>0.10791250554115044</c:v>
                </c:pt>
                <c:pt idx="84">
                  <c:v>0.10803811902074346</c:v>
                </c:pt>
                <c:pt idx="85">
                  <c:v>0.10816435752586594</c:v>
                </c:pt>
                <c:pt idx="86">
                  <c:v>0.10829126504795228</c:v>
                </c:pt>
                <c:pt idx="87">
                  <c:v>0.10841888537275102</c:v>
                </c:pt>
                <c:pt idx="88">
                  <c:v>0.10854726197395335</c:v>
                </c:pt>
                <c:pt idx="89">
                  <c:v>0.10867643791098422</c:v>
                </c:pt>
                <c:pt idx="90">
                  <c:v>0.10880645573093657</c:v>
                </c:pt>
                <c:pt idx="91">
                  <c:v>0.10893735737453432</c:v>
                </c:pt>
                <c:pt idx="92">
                  <c:v>0.10906918408592162</c:v>
                </c:pt>
                <c:pt idx="93">
                  <c:v>0.10920197632599291</c:v>
                </c:pt>
                <c:pt idx="94">
                  <c:v>0.10933577368890501</c:v>
                </c:pt>
                <c:pt idx="95">
                  <c:v>0.109470614821346</c:v>
                </c:pt>
                <c:pt idx="96">
                  <c:v>0.10960653734408152</c:v>
                </c:pt>
                <c:pt idx="97">
                  <c:v>0.10974357777525408</c:v>
                </c:pt>
                <c:pt idx="98">
                  <c:v>0.10988177145487851</c:v>
                </c:pt>
                <c:pt idx="99">
                  <c:v>0.1100211524699559</c:v>
                </c:pt>
                <c:pt idx="100">
                  <c:v>0.11016175357962056</c:v>
                </c:pt>
                <c:pt idx="101">
                  <c:v>0.11030360613973961</c:v>
                </c:pt>
                <c:pt idx="102">
                  <c:v>0.11044674002640192</c:v>
                </c:pt>
                <c:pt idx="103">
                  <c:v>0.11059118355776344</c:v>
                </c:pt>
                <c:pt idx="104">
                  <c:v>0.11073696341376002</c:v>
                </c:pt>
                <c:pt idx="105">
                  <c:v>0.11088410455325155</c:v>
                </c:pt>
                <c:pt idx="106">
                  <c:v>0.1110326301282298</c:v>
                </c:pt>
                <c:pt idx="107">
                  <c:v>0.11118256139479656</c:v>
                </c:pt>
                <c:pt idx="108">
                  <c:v>0.1113339176207072</c:v>
                </c:pt>
                <c:pt idx="109">
                  <c:v>0.11148671598936778</c:v>
                </c:pt>
                <c:pt idx="110">
                  <c:v>0.11164097150027713</c:v>
                </c:pt>
                <c:pt idx="111">
                  <c:v>0.11179669686601246</c:v>
                </c:pt>
                <c:pt idx="112">
                  <c:v>0.11195390240597054</c:v>
                </c:pt>
                <c:pt idx="113">
                  <c:v>0.11211259593719106</c:v>
                </c:pt>
                <c:pt idx="114">
                  <c:v>0.11227278266270665</c:v>
                </c:pt>
                <c:pt idx="115">
                  <c:v>0.11243446505798051</c:v>
                </c:pt>
                <c:pt idx="116">
                  <c:v>0.11259764275610751</c:v>
                </c:pt>
                <c:pt idx="117">
                  <c:v>0.11276231243256703</c:v>
                </c:pt>
                <c:pt idx="118">
                  <c:v>0.11292846769042036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4.8084980686924584E-3</c:v>
                </c:pt>
                <c:pt idx="1">
                  <c:v>4.7990149636541338E-3</c:v>
                </c:pt>
                <c:pt idx="2">
                  <c:v>4.7786030211707641E-3</c:v>
                </c:pt>
                <c:pt idx="3">
                  <c:v>4.7477497984184241E-3</c:v>
                </c:pt>
                <c:pt idx="4">
                  <c:v>4.7069319365253028E-3</c:v>
                </c:pt>
                <c:pt idx="5">
                  <c:v>4.6566100937921471E-3</c:v>
                </c:pt>
                <c:pt idx="6">
                  <c:v>4.5972245445613253E-3</c:v>
                </c:pt>
                <c:pt idx="7">
                  <c:v>4.529191389305921E-3</c:v>
                </c:pt>
                <c:pt idx="8">
                  <c:v>4.4524025295349205E-3</c:v>
                </c:pt>
                <c:pt idx="9">
                  <c:v>4.3638682229941274E-3</c:v>
                </c:pt>
                <c:pt idx="10">
                  <c:v>4.2660499460060557E-3</c:v>
                </c:pt>
                <c:pt idx="11">
                  <c:v>4.1591217959498243E-3</c:v>
                </c:pt>
                <c:pt idx="12">
                  <c:v>4.0432657457750657E-3</c:v>
                </c:pt>
                <c:pt idx="13">
                  <c:v>3.9186722249125484E-3</c:v>
                </c:pt>
                <c:pt idx="14">
                  <c:v>3.7855405967432108E-3</c:v>
                </c:pt>
                <c:pt idx="15">
                  <c:v>3.644685476155467E-3</c:v>
                </c:pt>
                <c:pt idx="16">
                  <c:v>3.5033996693253967E-3</c:v>
                </c:pt>
                <c:pt idx="17">
                  <c:v>3.3617231266553048E-3</c:v>
                </c:pt>
                <c:pt idx="18">
                  <c:v>3.2197022135380979E-3</c:v>
                </c:pt>
                <c:pt idx="19">
                  <c:v>3.077406477409823E-3</c:v>
                </c:pt>
                <c:pt idx="20">
                  <c:v>2.9349153104506758E-3</c:v>
                </c:pt>
                <c:pt idx="21">
                  <c:v>2.792296676016531E-3</c:v>
                </c:pt>
                <c:pt idx="22">
                  <c:v>2.6494920096434508E-3</c:v>
                </c:pt>
                <c:pt idx="23">
                  <c:v>2.5107895955553123E-3</c:v>
                </c:pt>
                <c:pt idx="24">
                  <c:v>2.378697906500611E-3</c:v>
                </c:pt>
                <c:pt idx="25">
                  <c:v>2.2532176151448154E-3</c:v>
                </c:pt>
                <c:pt idx="26">
                  <c:v>2.1343221065696712E-3</c:v>
                </c:pt>
                <c:pt idx="27">
                  <c:v>2.0219610792245914E-3</c:v>
                </c:pt>
                <c:pt idx="28">
                  <c:v>1.9160639936484207E-3</c:v>
                </c:pt>
                <c:pt idx="29">
                  <c:v>1.8204972776104883E-3</c:v>
                </c:pt>
                <c:pt idx="30">
                  <c:v>1.7345269001082094E-3</c:v>
                </c:pt>
                <c:pt idx="31">
                  <c:v>1.65794997044631E-3</c:v>
                </c:pt>
                <c:pt idx="32">
                  <c:v>1.5905597432415315E-3</c:v>
                </c:pt>
                <c:pt idx="33">
                  <c:v>1.532148848244807E-3</c:v>
                </c:pt>
                <c:pt idx="34">
                  <c:v>1.4825122004200723E-3</c:v>
                </c:pt>
                <c:pt idx="35">
                  <c:v>1.4414496130907401E-3</c:v>
                </c:pt>
                <c:pt idx="36">
                  <c:v>1.4086180913285289E-3</c:v>
                </c:pt>
                <c:pt idx="37">
                  <c:v>1.3838834497017954E-3</c:v>
                </c:pt>
                <c:pt idx="38">
                  <c:v>1.3633687226057521E-3</c:v>
                </c:pt>
                <c:pt idx="39">
                  <c:v>1.3469876286690088E-3</c:v>
                </c:pt>
                <c:pt idx="40">
                  <c:v>1.3346553791411637E-3</c:v>
                </c:pt>
                <c:pt idx="41">
                  <c:v>1.3262892148400097E-3</c:v>
                </c:pt>
                <c:pt idx="42">
                  <c:v>1.3218088925691423E-3</c:v>
                </c:pt>
                <c:pt idx="43">
                  <c:v>1.3209660389962748E-3</c:v>
                </c:pt>
                <c:pt idx="44">
                  <c:v>1.3202185109906749E-3</c:v>
                </c:pt>
                <c:pt idx="45">
                  <c:v>1.31958125741745E-3</c:v>
                </c:pt>
                <c:pt idx="46">
                  <c:v>1.3190688270694471E-3</c:v>
                </c:pt>
                <c:pt idx="47">
                  <c:v>1.3186954381723172E-3</c:v>
                </c:pt>
                <c:pt idx="48">
                  <c:v>1.3184750485401354E-3</c:v>
                </c:pt>
                <c:pt idx="49">
                  <c:v>1.3184214263940342E-3</c:v>
                </c:pt>
                <c:pt idx="50">
                  <c:v>1.3185145456304295E-3</c:v>
                </c:pt>
                <c:pt idx="51">
                  <c:v>1.3180707548804277E-3</c:v>
                </c:pt>
                <c:pt idx="52">
                  <c:v>1.3169156716211128E-3</c:v>
                </c:pt>
                <c:pt idx="53">
                  <c:v>1.3150538114072711E-3</c:v>
                </c:pt>
                <c:pt idx="54">
                  <c:v>1.3124959615198925E-3</c:v>
                </c:pt>
                <c:pt idx="55">
                  <c:v>1.3092527048837303E-3</c:v>
                </c:pt>
                <c:pt idx="56">
                  <c:v>1.3053344715869715E-3</c:v>
                </c:pt>
                <c:pt idx="57">
                  <c:v>1.2992774098892781E-3</c:v>
                </c:pt>
                <c:pt idx="58">
                  <c:v>1.2912743523671496E-3</c:v>
                </c:pt>
                <c:pt idx="59">
                  <c:v>1.2813603834032059E-3</c:v>
                </c:pt>
                <c:pt idx="60">
                  <c:v>1.2695696559719323E-3</c:v>
                </c:pt>
                <c:pt idx="61">
                  <c:v>1.2559354560214044E-3</c:v>
                </c:pt>
                <c:pt idx="62">
                  <c:v>1.2404902520443731E-3</c:v>
                </c:pt>
                <c:pt idx="63">
                  <c:v>1.2232657304588061E-3</c:v>
                </c:pt>
                <c:pt idx="64">
                  <c:v>1.2042820057460099E-3</c:v>
                </c:pt>
                <c:pt idx="65">
                  <c:v>1.1830383455493445E-3</c:v>
                </c:pt>
                <c:pt idx="66">
                  <c:v>1.1601764269476983E-3</c:v>
                </c:pt>
                <c:pt idx="67">
                  <c:v>1.1357337977062948E-3</c:v>
                </c:pt>
                <c:pt idx="68">
                  <c:v>1.1097461175600531E-3</c:v>
                </c:pt>
                <c:pt idx="69">
                  <c:v>1.0822470305818566E-3</c:v>
                </c:pt>
                <c:pt idx="70">
                  <c:v>1.0532680392933134E-3</c:v>
                </c:pt>
                <c:pt idx="71">
                  <c:v>1.0234212943953612E-3</c:v>
                </c:pt>
                <c:pt idx="72">
                  <c:v>9.9407138372500535E-4</c:v>
                </c:pt>
                <c:pt idx="73">
                  <c:v>9.6521244632986425E-4</c:v>
                </c:pt>
                <c:pt idx="74">
                  <c:v>9.368379207956262E-4</c:v>
                </c:pt>
                <c:pt idx="75">
                  <c:v>9.0894055887220991E-4</c:v>
                </c:pt>
                <c:pt idx="76">
                  <c:v>8.8151243904813334E-4</c:v>
                </c:pt>
                <c:pt idx="77">
                  <c:v>8.5454497957252373E-4</c:v>
                </c:pt>
                <c:pt idx="78">
                  <c:v>8.2799017371530789E-4</c:v>
                </c:pt>
                <c:pt idx="79">
                  <c:v>8.0204113525861418E-4</c:v>
                </c:pt>
                <c:pt idx="80">
                  <c:v>7.7719036243980536E-4</c:v>
                </c:pt>
                <c:pt idx="81">
                  <c:v>7.5343034470182375E-4</c:v>
                </c:pt>
                <c:pt idx="82">
                  <c:v>7.3075249666726654E-4</c:v>
                </c:pt>
                <c:pt idx="83">
                  <c:v>7.0914735504603048E-4</c:v>
                </c:pt>
                <c:pt idx="84">
                  <c:v>6.8860476841149361E-4</c:v>
                </c:pt>
                <c:pt idx="85">
                  <c:v>6.6949544031331347E-4</c:v>
                </c:pt>
                <c:pt idx="86">
                  <c:v>6.5126067907051398E-4</c:v>
                </c:pt>
                <c:pt idx="87">
                  <c:v>6.3389160801889492E-4</c:v>
                </c:pt>
                <c:pt idx="88">
                  <c:v>6.1737913896072925E-4</c:v>
                </c:pt>
                <c:pt idx="89">
                  <c:v>6.017141060857521E-4</c:v>
                </c:pt>
                <c:pt idx="90">
                  <c:v>5.8688739421799833E-4</c:v>
                </c:pt>
                <c:pt idx="91">
                  <c:v>5.7289006206546751E-4</c:v>
                </c:pt>
                <c:pt idx="92">
                  <c:v>5.5970622799762012E-4</c:v>
                </c:pt>
                <c:pt idx="93">
                  <c:v>5.4823593748846121E-4</c:v>
                </c:pt>
                <c:pt idx="94">
                  <c:v>5.3824209488678991E-4</c:v>
                </c:pt>
                <c:pt idx="95">
                  <c:v>5.2970882736166566E-4</c:v>
                </c:pt>
                <c:pt idx="96">
                  <c:v>5.226229470201519E-4</c:v>
                </c:pt>
                <c:pt idx="97">
                  <c:v>5.1697380988965794E-4</c:v>
                </c:pt>
                <c:pt idx="98">
                  <c:v>5.1275318268594863E-4</c:v>
                </c:pt>
                <c:pt idx="99">
                  <c:v>5.1172337414572325E-4</c:v>
                </c:pt>
                <c:pt idx="100">
                  <c:v>5.1351027879677138E-4</c:v>
                </c:pt>
                <c:pt idx="101">
                  <c:v>5.1811822053318256E-4</c:v>
                </c:pt>
                <c:pt idx="102">
                  <c:v>5.2555536325618732E-4</c:v>
                </c:pt>
                <c:pt idx="103">
                  <c:v>5.3583348785193918E-4</c:v>
                </c:pt>
                <c:pt idx="104">
                  <c:v>5.4896776708368393E-4</c:v>
                </c:pt>
                <c:pt idx="105">
                  <c:v>5.6497653640181079E-4</c:v>
                </c:pt>
                <c:pt idx="106">
                  <c:v>5.8389230876149329E-4</c:v>
                </c:pt>
                <c:pt idx="107">
                  <c:v>6.074725402846515E-4</c:v>
                </c:pt>
                <c:pt idx="108">
                  <c:v>6.3482581665565575E-4</c:v>
                </c:pt>
                <c:pt idx="109">
                  <c:v>6.65999680081904E-4</c:v>
                </c:pt>
                <c:pt idx="110">
                  <c:v>7.0104893363639954E-4</c:v>
                </c:pt>
                <c:pt idx="111">
                  <c:v>7.4003420529719405E-4</c:v>
                </c:pt>
                <c:pt idx="112">
                  <c:v>7.8301987457643453E-4</c:v>
                </c:pt>
                <c:pt idx="113">
                  <c:v>8.3106294786252548E-4</c:v>
                </c:pt>
                <c:pt idx="114">
                  <c:v>8.8241577398740748E-4</c:v>
                </c:pt>
                <c:pt idx="115">
                  <c:v>9.3714918479277285E-4</c:v>
                </c:pt>
                <c:pt idx="116">
                  <c:v>9.9533838638784611E-4</c:v>
                </c:pt>
                <c:pt idx="117">
                  <c:v>1.0570629565339802E-3</c:v>
                </c:pt>
                <c:pt idx="118">
                  <c:v>1.122406832616038E-3</c:v>
                </c:pt>
                <c:pt idx="119">
                  <c:v>1.191458289958596E-3</c:v>
                </c:pt>
                <c:pt idx="120">
                  <c:v>1.2643191141452844E-3</c:v>
                </c:pt>
                <c:pt idx="121">
                  <c:v>1.3420460044442318E-3</c:v>
                </c:pt>
                <c:pt idx="122">
                  <c:v>1.4229206637713287E-3</c:v>
                </c:pt>
                <c:pt idx="123">
                  <c:v>1.5070233481488012E-3</c:v>
                </c:pt>
                <c:pt idx="124">
                  <c:v>1.5944346559508837E-3</c:v>
                </c:pt>
                <c:pt idx="125">
                  <c:v>1.6852351996817624E-3</c:v>
                </c:pt>
                <c:pt idx="126">
                  <c:v>1.779505255101141E-3</c:v>
                </c:pt>
                <c:pt idx="127">
                  <c:v>1.8773867605463262E-3</c:v>
                </c:pt>
                <c:pt idx="128">
                  <c:v>1.9778846913986801E-3</c:v>
                </c:pt>
                <c:pt idx="129">
                  <c:v>2.0810541044551192E-3</c:v>
                </c:pt>
                <c:pt idx="130">
                  <c:v>2.1869469761232785E-3</c:v>
                </c:pt>
                <c:pt idx="131">
                  <c:v>2.295611842490186E-3</c:v>
                </c:pt>
                <c:pt idx="132">
                  <c:v>2.4070934280545709E-3</c:v>
                </c:pt>
                <c:pt idx="133">
                  <c:v>2.5214322641241467E-3</c:v>
                </c:pt>
                <c:pt idx="134">
                  <c:v>2.6387103019984907E-3</c:v>
                </c:pt>
                <c:pt idx="135">
                  <c:v>2.7587205654984975E-3</c:v>
                </c:pt>
                <c:pt idx="136">
                  <c:v>2.8804438581499182E-3</c:v>
                </c:pt>
                <c:pt idx="137">
                  <c:v>3.0038940369757731E-3</c:v>
                </c:pt>
                <c:pt idx="138">
                  <c:v>3.1290803390112789E-3</c:v>
                </c:pt>
                <c:pt idx="139">
                  <c:v>3.2560072263780951E-3</c:v>
                </c:pt>
                <c:pt idx="140">
                  <c:v>3.3846742428352873E-3</c:v>
                </c:pt>
                <c:pt idx="141">
                  <c:v>3.5153672792253825E-3</c:v>
                </c:pt>
                <c:pt idx="142">
                  <c:v>3.6479871366466368E-3</c:v>
                </c:pt>
                <c:pt idx="143">
                  <c:v>3.7824990047008252E-3</c:v>
                </c:pt>
                <c:pt idx="144">
                  <c:v>3.9188836360594601E-3</c:v>
                </c:pt>
                <c:pt idx="145">
                  <c:v>4.0571169243294736E-3</c:v>
                </c:pt>
                <c:pt idx="146">
                  <c:v>4.1971698845076448E-3</c:v>
                </c:pt>
                <c:pt idx="147">
                  <c:v>4.3390086586968966E-3</c:v>
                </c:pt>
                <c:pt idx="148">
                  <c:v>4.4825972435917792E-3</c:v>
                </c:pt>
                <c:pt idx="149">
                  <c:v>4.6261971577371726E-3</c:v>
                </c:pt>
                <c:pt idx="150">
                  <c:v>4.7700745046578962E-3</c:v>
                </c:pt>
                <c:pt idx="151">
                  <c:v>4.9141646388513307E-3</c:v>
                </c:pt>
                <c:pt idx="152">
                  <c:v>5.058400783730971E-3</c:v>
                </c:pt>
                <c:pt idx="153">
                  <c:v>5.2027143358187502E-3</c:v>
                </c:pt>
                <c:pt idx="154">
                  <c:v>5.3470351902085772E-3</c:v>
                </c:pt>
                <c:pt idx="155">
                  <c:v>5.4870145414267716E-3</c:v>
                </c:pt>
                <c:pt idx="156">
                  <c:v>5.6221956460027096E-3</c:v>
                </c:pt>
                <c:pt idx="157">
                  <c:v>5.7524209829700372E-3</c:v>
                </c:pt>
                <c:pt idx="158">
                  <c:v>5.8775343177162442E-3</c:v>
                </c:pt>
                <c:pt idx="159">
                  <c:v>5.9973812112025316E-3</c:v>
                </c:pt>
                <c:pt idx="160">
                  <c:v>6.1118095119855834E-3</c:v>
                </c:pt>
                <c:pt idx="161">
                  <c:v>6.220669824461806E-3</c:v>
                </c:pt>
                <c:pt idx="162">
                  <c:v>6.3238869609023333E-3</c:v>
                </c:pt>
                <c:pt idx="163">
                  <c:v>6.4196127127251245E-3</c:v>
                </c:pt>
                <c:pt idx="164">
                  <c:v>6.5095245289421939E-3</c:v>
                </c:pt>
                <c:pt idx="165">
                  <c:v>6.5934299439332489E-3</c:v>
                </c:pt>
                <c:pt idx="166">
                  <c:v>6.6711376110931879E-3</c:v>
                </c:pt>
                <c:pt idx="167">
                  <c:v>6.7424580512843732E-3</c:v>
                </c:pt>
                <c:pt idx="168">
                  <c:v>6.807204384680984E-3</c:v>
                </c:pt>
                <c:pt idx="169">
                  <c:v>6.8633748857141021E-3</c:v>
                </c:pt>
                <c:pt idx="170">
                  <c:v>6.915436321984169E-3</c:v>
                </c:pt>
                <c:pt idx="171">
                  <c:v>6.9632519929119143E-3</c:v>
                </c:pt>
                <c:pt idx="172">
                  <c:v>7.00668871195475E-3</c:v>
                </c:pt>
                <c:pt idx="173">
                  <c:v>7.0455451709413933E-3</c:v>
                </c:pt>
                <c:pt idx="174">
                  <c:v>7.0796191452514824E-3</c:v>
                </c:pt>
                <c:pt idx="175">
                  <c:v>7.1087828980214169E-3</c:v>
                </c:pt>
                <c:pt idx="176">
                  <c:v>7.1330466373173704E-3</c:v>
                </c:pt>
                <c:pt idx="177">
                  <c:v>7.1476219628425069E-3</c:v>
                </c:pt>
                <c:pt idx="178">
                  <c:v>7.1543138022644014E-3</c:v>
                </c:pt>
                <c:pt idx="179">
                  <c:v>7.1530468801499977E-3</c:v>
                </c:pt>
                <c:pt idx="180">
                  <c:v>7.143753521138935E-3</c:v>
                </c:pt>
                <c:pt idx="181">
                  <c:v>7.1263733691851096E-3</c:v>
                </c:pt>
                <c:pt idx="182">
                  <c:v>7.1008530560559713E-3</c:v>
                </c:pt>
                <c:pt idx="183">
                  <c:v>7.0650247281360519E-3</c:v>
                </c:pt>
                <c:pt idx="184">
                  <c:v>7.0207979468870077E-3</c:v>
                </c:pt>
                <c:pt idx="185">
                  <c:v>6.9681390428326757E-3</c:v>
                </c:pt>
                <c:pt idx="186">
                  <c:v>6.9070195888528748E-3</c:v>
                </c:pt>
                <c:pt idx="187">
                  <c:v>6.8374158698279513E-3</c:v>
                </c:pt>
                <c:pt idx="188">
                  <c:v>6.759308331022491E-3</c:v>
                </c:pt>
                <c:pt idx="189">
                  <c:v>6.672681010655236E-3</c:v>
                </c:pt>
                <c:pt idx="190">
                  <c:v>6.5775750639895407E-3</c:v>
                </c:pt>
                <c:pt idx="191">
                  <c:v>6.4743053196286877E-3</c:v>
                </c:pt>
                <c:pt idx="192">
                  <c:v>6.3679278773691381E-3</c:v>
                </c:pt>
                <c:pt idx="193">
                  <c:v>6.2584475530333356E-3</c:v>
                </c:pt>
                <c:pt idx="194">
                  <c:v>6.1458696320346442E-3</c:v>
                </c:pt>
                <c:pt idx="195">
                  <c:v>6.0301997117181557E-3</c:v>
                </c:pt>
                <c:pt idx="196">
                  <c:v>5.9114435640923793E-3</c:v>
                </c:pt>
                <c:pt idx="197">
                  <c:v>5.7891765214795722E-3</c:v>
                </c:pt>
                <c:pt idx="198">
                  <c:v>5.6656339950897213E-3</c:v>
                </c:pt>
                <c:pt idx="199">
                  <c:v>5.540837238151115E-3</c:v>
                </c:pt>
                <c:pt idx="200">
                  <c:v>5.4148067501965328E-3</c:v>
                </c:pt>
                <c:pt idx="201">
                  <c:v>5.2875622688719091E-3</c:v>
                </c:pt>
                <c:pt idx="202">
                  <c:v>5.1591227839243173E-3</c:v>
                </c:pt>
                <c:pt idx="203">
                  <c:v>5.0295065728211668E-3</c:v>
                </c:pt>
                <c:pt idx="204">
                  <c:v>4.8987503988045938E-3</c:v>
                </c:pt>
                <c:pt idx="205">
                  <c:v>4.7670084860240462E-3</c:v>
                </c:pt>
                <c:pt idx="206">
                  <c:v>4.6340330472069797E-3</c:v>
                </c:pt>
                <c:pt idx="207">
                  <c:v>4.4998584206019532E-3</c:v>
                </c:pt>
                <c:pt idx="208">
                  <c:v>4.3645158969796271E-3</c:v>
                </c:pt>
                <c:pt idx="209">
                  <c:v>4.2280337758417753E-3</c:v>
                </c:pt>
                <c:pt idx="210">
                  <c:v>4.0904374357573952E-3</c:v>
                </c:pt>
                <c:pt idx="211">
                  <c:v>3.9533531642980072E-3</c:v>
                </c:pt>
                <c:pt idx="212">
                  <c:v>3.8172581434663868E-3</c:v>
                </c:pt>
                <c:pt idx="213">
                  <c:v>3.6821832829010631E-3</c:v>
                </c:pt>
                <c:pt idx="214">
                  <c:v>3.5481568584897175E-3</c:v>
                </c:pt>
                <c:pt idx="215">
                  <c:v>3.4152046862424086E-3</c:v>
                </c:pt>
                <c:pt idx="216">
                  <c:v>3.283350294194051E-3</c:v>
                </c:pt>
                <c:pt idx="217">
                  <c:v>3.1526150906325814E-3</c:v>
                </c:pt>
                <c:pt idx="218">
                  <c:v>3.0230142250212808E-3</c:v>
                </c:pt>
                <c:pt idx="219">
                  <c:v>2.8963143826100739E-3</c:v>
                </c:pt>
                <c:pt idx="220">
                  <c:v>2.7724268365027045E-3</c:v>
                </c:pt>
                <c:pt idx="221">
                  <c:v>2.6513704930409554E-3</c:v>
                </c:pt>
                <c:pt idx="222">
                  <c:v>2.5331645427349855E-3</c:v>
                </c:pt>
                <c:pt idx="223">
                  <c:v>2.4178285269759723E-3</c:v>
                </c:pt>
                <c:pt idx="224">
                  <c:v>2.3053823913621162E-3</c:v>
                </c:pt>
                <c:pt idx="225">
                  <c:v>2.1989596901999444E-3</c:v>
                </c:pt>
                <c:pt idx="226">
                  <c:v>2.0969430906018619E-3</c:v>
                </c:pt>
                <c:pt idx="227">
                  <c:v>1.9993627662018309E-3</c:v>
                </c:pt>
                <c:pt idx="228">
                  <c:v>1.9062492092293258E-3</c:v>
                </c:pt>
                <c:pt idx="229">
                  <c:v>1.8176331819556211E-3</c:v>
                </c:pt>
                <c:pt idx="230">
                  <c:v>1.7335456551175192E-3</c:v>
                </c:pt>
                <c:pt idx="231">
                  <c:v>1.6540177341579272E-3</c:v>
                </c:pt>
                <c:pt idx="232">
                  <c:v>1.5790545049721592E-3</c:v>
                </c:pt>
                <c:pt idx="233">
                  <c:v>1.5120517844275294E-3</c:v>
                </c:pt>
                <c:pt idx="234">
                  <c:v>1.4512646518599825E-3</c:v>
                </c:pt>
                <c:pt idx="235">
                  <c:v>1.3967507047368966E-3</c:v>
                </c:pt>
                <c:pt idx="236">
                  <c:v>1.3485643997221165E-3</c:v>
                </c:pt>
                <c:pt idx="237">
                  <c:v>1.3067562764515759E-3</c:v>
                </c:pt>
                <c:pt idx="238">
                  <c:v>1.2713744815906398E-3</c:v>
                </c:pt>
                <c:pt idx="239">
                  <c:v>1.2443588924540582E-3</c:v>
                </c:pt>
                <c:pt idx="240">
                  <c:v>1.2225627237544667E-3</c:v>
                </c:pt>
                <c:pt idx="241">
                  <c:v>1.2060243331689015E-3</c:v>
                </c:pt>
                <c:pt idx="242">
                  <c:v>1.1947818275955644E-3</c:v>
                </c:pt>
                <c:pt idx="243">
                  <c:v>1.1888735470485781E-3</c:v>
                </c:pt>
                <c:pt idx="244">
                  <c:v>1.1883385577456948E-3</c:v>
                </c:pt>
                <c:pt idx="245">
                  <c:v>1.1932171548128981E-3</c:v>
                </c:pt>
                <c:pt idx="246">
                  <c:v>1.2035048574045681E-3</c:v>
                </c:pt>
                <c:pt idx="247">
                  <c:v>1.219914290857321E-3</c:v>
                </c:pt>
                <c:pt idx="248">
                  <c:v>1.2390183103187301E-3</c:v>
                </c:pt>
                <c:pt idx="249">
                  <c:v>1.2608378884161301E-3</c:v>
                </c:pt>
                <c:pt idx="250">
                  <c:v>1.2853943606087573E-3</c:v>
                </c:pt>
                <c:pt idx="251">
                  <c:v>1.3127095614835205E-3</c:v>
                </c:pt>
                <c:pt idx="252">
                  <c:v>1.3428059629368545E-3</c:v>
                </c:pt>
                <c:pt idx="253">
                  <c:v>1.3759989382601532E-3</c:v>
                </c:pt>
                <c:pt idx="254">
                  <c:v>1.4103655536160582E-3</c:v>
                </c:pt>
                <c:pt idx="255">
                  <c:v>1.4459208559102817E-3</c:v>
                </c:pt>
                <c:pt idx="256">
                  <c:v>1.4826808182076027E-3</c:v>
                </c:pt>
                <c:pt idx="257">
                  <c:v>1.5206624107728789E-3</c:v>
                </c:pt>
                <c:pt idx="258">
                  <c:v>1.5598836780270037E-3</c:v>
                </c:pt>
                <c:pt idx="259">
                  <c:v>1.6003638233340854E-3</c:v>
                </c:pt>
                <c:pt idx="260">
                  <c:v>1.6421010659908046E-3</c:v>
                </c:pt>
                <c:pt idx="261">
                  <c:v>1.6859754458929167E-3</c:v>
                </c:pt>
                <c:pt idx="262">
                  <c:v>1.7312542429593126E-3</c:v>
                </c:pt>
                <c:pt idx="263">
                  <c:v>1.7779416356745064E-3</c:v>
                </c:pt>
                <c:pt idx="264">
                  <c:v>1.8260413470204218E-3</c:v>
                </c:pt>
                <c:pt idx="265">
                  <c:v>1.8755665728463131E-3</c:v>
                </c:pt>
                <c:pt idx="266">
                  <c:v>1.9265259171629507E-3</c:v>
                </c:pt>
                <c:pt idx="267">
                  <c:v>1.9778168702586653E-3</c:v>
                </c:pt>
                <c:pt idx="268">
                  <c:v>2.0291312111933974E-3</c:v>
                </c:pt>
                <c:pt idx="269">
                  <c:v>2.0804581998345043E-3</c:v>
                </c:pt>
                <c:pt idx="270">
                  <c:v>2.1317861711015801E-3</c:v>
                </c:pt>
                <c:pt idx="271">
                  <c:v>2.1831025840327819E-3</c:v>
                </c:pt>
                <c:pt idx="272">
                  <c:v>2.2343940797586444E-3</c:v>
                </c:pt>
                <c:pt idx="273">
                  <c:v>2.2856465491948091E-3</c:v>
                </c:pt>
                <c:pt idx="274">
                  <c:v>2.3368803974630776E-3</c:v>
                </c:pt>
                <c:pt idx="275">
                  <c:v>2.3855587270076744E-3</c:v>
                </c:pt>
                <c:pt idx="276">
                  <c:v>2.4307246035401133E-3</c:v>
                </c:pt>
                <c:pt idx="277">
                  <c:v>2.4723355064737631E-3</c:v>
                </c:pt>
                <c:pt idx="278">
                  <c:v>2.5103482875191104E-3</c:v>
                </c:pt>
                <c:pt idx="279">
                  <c:v>2.5447195126736132E-3</c:v>
                </c:pt>
                <c:pt idx="280">
                  <c:v>2.5754058051902624E-3</c:v>
                </c:pt>
                <c:pt idx="281">
                  <c:v>2.6011828415380129E-3</c:v>
                </c:pt>
                <c:pt idx="282">
                  <c:v>2.6231412710539313E-3</c:v>
                </c:pt>
                <c:pt idx="283">
                  <c:v>2.6412399106132451E-3</c:v>
                </c:pt>
                <c:pt idx="284">
                  <c:v>2.6554390044933244E-3</c:v>
                </c:pt>
                <c:pt idx="285">
                  <c:v>2.665700535475561E-3</c:v>
                </c:pt>
                <c:pt idx="286">
                  <c:v>2.671988521552844E-3</c:v>
                </c:pt>
                <c:pt idx="287">
                  <c:v>2.6742692956382586E-3</c:v>
                </c:pt>
                <c:pt idx="288">
                  <c:v>2.67253406902757E-3</c:v>
                </c:pt>
                <c:pt idx="289">
                  <c:v>2.6664248762878358E-3</c:v>
                </c:pt>
                <c:pt idx="290">
                  <c:v>2.6585640992915428E-3</c:v>
                </c:pt>
                <c:pt idx="291">
                  <c:v>2.6489609182693986E-3</c:v>
                </c:pt>
                <c:pt idx="292">
                  <c:v>2.6376265149285986E-3</c:v>
                </c:pt>
                <c:pt idx="293">
                  <c:v>2.6245739861037246E-3</c:v>
                </c:pt>
                <c:pt idx="294">
                  <c:v>2.6098182350079596E-3</c:v>
                </c:pt>
                <c:pt idx="295">
                  <c:v>2.5937742628529474E-3</c:v>
                </c:pt>
                <c:pt idx="296">
                  <c:v>2.5777018231447997E-3</c:v>
                </c:pt>
                <c:pt idx="297">
                  <c:v>2.5616471713453496E-3</c:v>
                </c:pt>
                <c:pt idx="298">
                  <c:v>2.5456361563783486E-3</c:v>
                </c:pt>
                <c:pt idx="299">
                  <c:v>2.5296957768154832E-3</c:v>
                </c:pt>
                <c:pt idx="300">
                  <c:v>2.513854136912198E-3</c:v>
                </c:pt>
                <c:pt idx="301">
                  <c:v>2.4981403989249216E-3</c:v>
                </c:pt>
                <c:pt idx="302">
                  <c:v>2.4827810515416866E-3</c:v>
                </c:pt>
                <c:pt idx="303">
                  <c:v>2.4773661712962098E-3</c:v>
                </c:pt>
                <c:pt idx="304">
                  <c:v>2.4822558421830386E-3</c:v>
                </c:pt>
                <c:pt idx="305">
                  <c:v>2.4974475541446623E-3</c:v>
                </c:pt>
                <c:pt idx="306">
                  <c:v>2.5229461379226736E-3</c:v>
                </c:pt>
                <c:pt idx="307">
                  <c:v>2.5587607160371816E-3</c:v>
                </c:pt>
                <c:pt idx="308">
                  <c:v>2.604901495681696E-3</c:v>
                </c:pt>
                <c:pt idx="309">
                  <c:v>2.6705120654107509E-3</c:v>
                </c:pt>
                <c:pt idx="310">
                  <c:v>2.7552558480293098E-3</c:v>
                </c:pt>
                <c:pt idx="311">
                  <c:v>2.8591925687961521E-3</c:v>
                </c:pt>
                <c:pt idx="312">
                  <c:v>2.9823649154724825E-3</c:v>
                </c:pt>
                <c:pt idx="313">
                  <c:v>3.1247909553051849E-3</c:v>
                </c:pt>
                <c:pt idx="314">
                  <c:v>3.286456046929865E-3</c:v>
                </c:pt>
                <c:pt idx="315">
                  <c:v>3.4673042695283576E-3</c:v>
                </c:pt>
                <c:pt idx="316">
                  <c:v>3.667747481393683E-3</c:v>
                </c:pt>
                <c:pt idx="317">
                  <c:v>3.8842070398856891E-3</c:v>
                </c:pt>
                <c:pt idx="318">
                  <c:v>4.1070480814413045E-3</c:v>
                </c:pt>
                <c:pt idx="319">
                  <c:v>4.3363380575161675E-3</c:v>
                </c:pt>
                <c:pt idx="320">
                  <c:v>4.5721399804847318E-3</c:v>
                </c:pt>
                <c:pt idx="321">
                  <c:v>4.8145108933324359E-3</c:v>
                </c:pt>
                <c:pt idx="322">
                  <c:v>5.0635001707745554E-3</c:v>
                </c:pt>
                <c:pt idx="323">
                  <c:v>5.3108971524843023E-3</c:v>
                </c:pt>
                <c:pt idx="324">
                  <c:v>5.5471956637500857E-3</c:v>
                </c:pt>
                <c:pt idx="325">
                  <c:v>5.7722707512262326E-3</c:v>
                </c:pt>
                <c:pt idx="326">
                  <c:v>5.9859423743995957E-3</c:v>
                </c:pt>
                <c:pt idx="327">
                  <c:v>6.1880329661781917E-3</c:v>
                </c:pt>
                <c:pt idx="328">
                  <c:v>6.3783782792734781E-3</c:v>
                </c:pt>
                <c:pt idx="329">
                  <c:v>6.556798792972455E-3</c:v>
                </c:pt>
                <c:pt idx="330">
                  <c:v>6.7242487525644304E-3</c:v>
                </c:pt>
                <c:pt idx="331">
                  <c:v>6.872311572827779E-3</c:v>
                </c:pt>
                <c:pt idx="332">
                  <c:v>7.0048445879226651E-3</c:v>
                </c:pt>
                <c:pt idx="333">
                  <c:v>7.121345499468106E-3</c:v>
                </c:pt>
                <c:pt idx="334">
                  <c:v>7.2212465368498248E-3</c:v>
                </c:pt>
                <c:pt idx="335">
                  <c:v>7.3039228132494903E-3</c:v>
                </c:pt>
                <c:pt idx="336">
                  <c:v>7.3687022573261877E-3</c:v>
                </c:pt>
                <c:pt idx="337">
                  <c:v>7.413220453559969E-3</c:v>
                </c:pt>
                <c:pt idx="338">
                  <c:v>7.4453532375081712E-3</c:v>
                </c:pt>
                <c:pt idx="339">
                  <c:v>7.4644232509469572E-3</c:v>
                </c:pt>
                <c:pt idx="340">
                  <c:v>7.4697501001983E-3</c:v>
                </c:pt>
                <c:pt idx="341">
                  <c:v>7.4606636976717496E-3</c:v>
                </c:pt>
                <c:pt idx="342">
                  <c:v>7.4365190158267981E-3</c:v>
                </c:pt>
                <c:pt idx="343">
                  <c:v>7.3967120533252164E-3</c:v>
                </c:pt>
                <c:pt idx="344">
                  <c:v>7.3416364203099512E-3</c:v>
                </c:pt>
                <c:pt idx="345">
                  <c:v>7.2721546795207976E-3</c:v>
                </c:pt>
                <c:pt idx="346">
                  <c:v>7.2032782806026752E-3</c:v>
                </c:pt>
                <c:pt idx="347">
                  <c:v>7.1351691205889323E-3</c:v>
                </c:pt>
                <c:pt idx="348">
                  <c:v>7.0679862833915447E-3</c:v>
                </c:pt>
                <c:pt idx="349">
                  <c:v>7.0018855046242775E-3</c:v>
                </c:pt>
                <c:pt idx="350">
                  <c:v>6.9370186815999315E-3</c:v>
                </c:pt>
                <c:pt idx="351">
                  <c:v>6.8787635908606707E-3</c:v>
                </c:pt>
                <c:pt idx="352">
                  <c:v>6.8288700697573803E-3</c:v>
                </c:pt>
                <c:pt idx="353">
                  <c:v>6.787408384032142E-3</c:v>
                </c:pt>
                <c:pt idx="354">
                  <c:v>6.7544324001468665E-3</c:v>
                </c:pt>
                <c:pt idx="355">
                  <c:v>6.72998031151412E-3</c:v>
                </c:pt>
                <c:pt idx="356">
                  <c:v>6.7140473090833317E-3</c:v>
                </c:pt>
                <c:pt idx="357">
                  <c:v>6.7066639078642307E-3</c:v>
                </c:pt>
                <c:pt idx="358">
                  <c:v>6.7065872930140253E-3</c:v>
                </c:pt>
                <c:pt idx="359">
                  <c:v>6.7127506377805454E-3</c:v>
                </c:pt>
                <c:pt idx="360">
                  <c:v>6.7237688766459925E-3</c:v>
                </c:pt>
                <c:pt idx="361">
                  <c:v>6.7348652969749546E-3</c:v>
                </c:pt>
                <c:pt idx="362">
                  <c:v>6.7463515761197242E-3</c:v>
                </c:pt>
                <c:pt idx="363">
                  <c:v>6.7585358867621164E-3</c:v>
                </c:pt>
                <c:pt idx="364">
                  <c:v>6.7717218008055153E-3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897320"/>
        <c:axId val="237897712"/>
      </c:lineChart>
      <c:dateAx>
        <c:axId val="2378973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897712"/>
        <c:crosses val="autoZero"/>
        <c:auto val="1"/>
        <c:lblOffset val="100"/>
        <c:baseTimeUnit val="days"/>
        <c:majorUnit val="1"/>
        <c:majorTimeUnit val="months"/>
      </c:dateAx>
      <c:valAx>
        <c:axId val="2378977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8973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26.099145520814922</c:v>
                </c:pt>
                <c:pt idx="1">
                  <c:v>26.289615556342884</c:v>
                </c:pt>
                <c:pt idx="2">
                  <c:v>26.485724796751921</c:v>
                </c:pt>
                <c:pt idx="3">
                  <c:v>26.686033368362828</c:v>
                </c:pt>
                <c:pt idx="4">
                  <c:v>26.889102142079921</c:v>
                </c:pt>
                <c:pt idx="5">
                  <c:v>27.093492711333589</c:v>
                </c:pt>
                <c:pt idx="6">
                  <c:v>27.297767383464503</c:v>
                </c:pt>
                <c:pt idx="7">
                  <c:v>27.500489168193504</c:v>
                </c:pt>
                <c:pt idx="8">
                  <c:v>27.703332721448582</c:v>
                </c:pt>
                <c:pt idx="9">
                  <c:v>27.909363841325053</c:v>
                </c:pt>
                <c:pt idx="10">
                  <c:v>28.118874974641109</c:v>
                </c:pt>
                <c:pt idx="11">
                  <c:v>28.332199014879635</c:v>
                </c:pt>
                <c:pt idx="12">
                  <c:v>28.549668590648505</c:v>
                </c:pt>
                <c:pt idx="13">
                  <c:v>28.771616068116181</c:v>
                </c:pt>
                <c:pt idx="14">
                  <c:v>28.998373547338041</c:v>
                </c:pt>
                <c:pt idx="15">
                  <c:v>29.230381123837077</c:v>
                </c:pt>
                <c:pt idx="16">
                  <c:v>29.467737847994204</c:v>
                </c:pt>
                <c:pt idx="17">
                  <c:v>29.710775093887364</c:v>
                </c:pt>
                <c:pt idx="18">
                  <c:v>29.959823985068738</c:v>
                </c:pt>
                <c:pt idx="19">
                  <c:v>30.215214573033649</c:v>
                </c:pt>
                <c:pt idx="20">
                  <c:v>30.477276423014242</c:v>
                </c:pt>
                <c:pt idx="21">
                  <c:v>30.746339635301194</c:v>
                </c:pt>
                <c:pt idx="22">
                  <c:v>31.024253976663626</c:v>
                </c:pt>
                <c:pt idx="23">
                  <c:v>31.311681485312032</c:v>
                </c:pt>
                <c:pt idx="24">
                  <c:v>31.607321816723026</c:v>
                </c:pt>
                <c:pt idx="25">
                  <c:v>31.910086289122912</c:v>
                </c:pt>
                <c:pt idx="26">
                  <c:v>32.218886863930948</c:v>
                </c:pt>
                <c:pt idx="27">
                  <c:v>32.532636153279434</c:v>
                </c:pt>
                <c:pt idx="28">
                  <c:v>32.850247405404062</c:v>
                </c:pt>
                <c:pt idx="29">
                  <c:v>33.170381603769698</c:v>
                </c:pt>
                <c:pt idx="30">
                  <c:v>33.4918449931167</c:v>
                </c:pt>
                <c:pt idx="31">
                  <c:v>33.813552728621019</c:v>
                </c:pt>
                <c:pt idx="32">
                  <c:v>34.134420565248547</c:v>
                </c:pt>
                <c:pt idx="33">
                  <c:v>34.453364851228947</c:v>
                </c:pt>
                <c:pt idx="34">
                  <c:v>34.769302523942784</c:v>
                </c:pt>
                <c:pt idx="35">
                  <c:v>35.081151104872646</c:v>
                </c:pt>
                <c:pt idx="36">
                  <c:v>35.391605640132056</c:v>
                </c:pt>
                <c:pt idx="37">
                  <c:v>35.703742097768853</c:v>
                </c:pt>
                <c:pt idx="38">
                  <c:v>36.017307298108015</c:v>
                </c:pt>
                <c:pt idx="39">
                  <c:v>36.331808257249158</c:v>
                </c:pt>
                <c:pt idx="40">
                  <c:v>36.646752239195784</c:v>
                </c:pt>
                <c:pt idx="41">
                  <c:v>36.96164675029906</c:v>
                </c:pt>
                <c:pt idx="42">
                  <c:v>37.275999536221576</c:v>
                </c:pt>
                <c:pt idx="43">
                  <c:v>37.589328344349227</c:v>
                </c:pt>
                <c:pt idx="44">
                  <c:v>37.901394325772458</c:v>
                </c:pt>
                <c:pt idx="45">
                  <c:v>38.211705969317251</c:v>
                </c:pt>
                <c:pt idx="46">
                  <c:v>38.519771998742989</c:v>
                </c:pt>
                <c:pt idx="47">
                  <c:v>38.82510136528844</c:v>
                </c:pt>
                <c:pt idx="48">
                  <c:v>39.127203243527092</c:v>
                </c:pt>
                <c:pt idx="49">
                  <c:v>39.425587020621919</c:v>
                </c:pt>
                <c:pt idx="50">
                  <c:v>39.720778564870841</c:v>
                </c:pt>
                <c:pt idx="51">
                  <c:v>40.013729432445274</c:v>
                </c:pt>
                <c:pt idx="52">
                  <c:v>40.304551771928978</c:v>
                </c:pt>
                <c:pt idx="53">
                  <c:v>40.593345224206239</c:v>
                </c:pt>
                <c:pt idx="54">
                  <c:v>40.880208978890863</c:v>
                </c:pt>
                <c:pt idx="55">
                  <c:v>41.165242120618871</c:v>
                </c:pt>
                <c:pt idx="56">
                  <c:v>41.44854362625366</c:v>
                </c:pt>
                <c:pt idx="57">
                  <c:v>41.730284031998742</c:v>
                </c:pt>
                <c:pt idx="58">
                  <c:v>42.010552585392041</c:v>
                </c:pt>
                <c:pt idx="59">
                  <c:v>42.289448010291629</c:v>
                </c:pt>
                <c:pt idx="60">
                  <c:v>42.567068914346272</c:v>
                </c:pt>
                <c:pt idx="61">
                  <c:v>42.84351378937999</c:v>
                </c:pt>
                <c:pt idx="62">
                  <c:v>43.118881008992886</c:v>
                </c:pt>
                <c:pt idx="63">
                  <c:v>43.393268829926527</c:v>
                </c:pt>
                <c:pt idx="64">
                  <c:v>43.66716807914063</c:v>
                </c:pt>
                <c:pt idx="65">
                  <c:v>43.940839316876037</c:v>
                </c:pt>
                <c:pt idx="66">
                  <c:v>44.213955008943685</c:v>
                </c:pt>
                <c:pt idx="67">
                  <c:v>44.486220425820818</c:v>
                </c:pt>
                <c:pt idx="68">
                  <c:v>44.757340941352517</c:v>
                </c:pt>
                <c:pt idx="69">
                  <c:v>45.027022037361888</c:v>
                </c:pt>
                <c:pt idx="70">
                  <c:v>45.294969308485882</c:v>
                </c:pt>
                <c:pt idx="71">
                  <c:v>45.560862890996333</c:v>
                </c:pt>
                <c:pt idx="72">
                  <c:v>45.824336708163592</c:v>
                </c:pt>
                <c:pt idx="73">
                  <c:v>46.085096642467583</c:v>
                </c:pt>
                <c:pt idx="74">
                  <c:v>46.34284869452383</c:v>
                </c:pt>
                <c:pt idx="75">
                  <c:v>46.597298991605669</c:v>
                </c:pt>
                <c:pt idx="76">
                  <c:v>46.848153785033105</c:v>
                </c:pt>
                <c:pt idx="77">
                  <c:v>47.095119462009805</c:v>
                </c:pt>
                <c:pt idx="78">
                  <c:v>47.340123752065594</c:v>
                </c:pt>
                <c:pt idx="79">
                  <c:v>47.58482350207138</c:v>
                </c:pt>
                <c:pt idx="80">
                  <c:v>47.828499676802942</c:v>
                </c:pt>
                <c:pt idx="81">
                  <c:v>48.070465831000071</c:v>
                </c:pt>
                <c:pt idx="82">
                  <c:v>48.310035854007047</c:v>
                </c:pt>
                <c:pt idx="83">
                  <c:v>48.546523974028581</c:v>
                </c:pt>
                <c:pt idx="84">
                  <c:v>48.779244764611597</c:v>
                </c:pt>
                <c:pt idx="85">
                  <c:v>49.007491614436049</c:v>
                </c:pt>
                <c:pt idx="86">
                  <c:v>49.230605409228367</c:v>
                </c:pt>
                <c:pt idx="87">
                  <c:v>49.447901757140762</c:v>
                </c:pt>
                <c:pt idx="88">
                  <c:v>49.658696629098877</c:v>
                </c:pt>
                <c:pt idx="89">
                  <c:v>49.862306359458586</c:v>
                </c:pt>
                <c:pt idx="90">
                  <c:v>50.058047659212882</c:v>
                </c:pt>
                <c:pt idx="91">
                  <c:v>50.2452376119587</c:v>
                </c:pt>
                <c:pt idx="92">
                  <c:v>50.423845785750842</c:v>
                </c:pt>
                <c:pt idx="93">
                  <c:v>50.594565273633833</c:v>
                </c:pt>
                <c:pt idx="94">
                  <c:v>50.757894938491688</c:v>
                </c:pt>
                <c:pt idx="95">
                  <c:v>50.914324958225734</c:v>
                </c:pt>
                <c:pt idx="96">
                  <c:v>51.064345225313751</c:v>
                </c:pt>
                <c:pt idx="97">
                  <c:v>51.208445346950057</c:v>
                </c:pt>
                <c:pt idx="98">
                  <c:v>51.347114636711126</c:v>
                </c:pt>
                <c:pt idx="99">
                  <c:v>51.4807345814082</c:v>
                </c:pt>
                <c:pt idx="100">
                  <c:v>51.609814985542471</c:v>
                </c:pt>
                <c:pt idx="101">
                  <c:v>51.734843307189927</c:v>
                </c:pt>
                <c:pt idx="102">
                  <c:v>51.85630660977494</c:v>
                </c:pt>
                <c:pt idx="103">
                  <c:v>51.974691563337366</c:v>
                </c:pt>
                <c:pt idx="104">
                  <c:v>52.090484439663406</c:v>
                </c:pt>
                <c:pt idx="105">
                  <c:v>52.204171105059231</c:v>
                </c:pt>
                <c:pt idx="106">
                  <c:v>52.315228206145981</c:v>
                </c:pt>
                <c:pt idx="107">
                  <c:v>52.422638492078022</c:v>
                </c:pt>
                <c:pt idx="108">
                  <c:v>52.526362780371606</c:v>
                </c:pt>
                <c:pt idx="109">
                  <c:v>52.62630047504782</c:v>
                </c:pt>
                <c:pt idx="110">
                  <c:v>52.722350732989128</c:v>
                </c:pt>
                <c:pt idx="111">
                  <c:v>52.814412580580353</c:v>
                </c:pt>
                <c:pt idx="112">
                  <c:v>52.902385063977867</c:v>
                </c:pt>
                <c:pt idx="113">
                  <c:v>52.986105737236045</c:v>
                </c:pt>
                <c:pt idx="114">
                  <c:v>53.065587282309728</c:v>
                </c:pt>
                <c:pt idx="115">
                  <c:v>53.140729334041595</c:v>
                </c:pt>
                <c:pt idx="116">
                  <c:v>53.211431511726445</c:v>
                </c:pt>
                <c:pt idx="117">
                  <c:v>53.27759342798295</c:v>
                </c:pt>
                <c:pt idx="118">
                  <c:v>53.339114703180478</c:v>
                </c:pt>
                <c:pt idx="119">
                  <c:v>53.395894977664888</c:v>
                </c:pt>
                <c:pt idx="120">
                  <c:v>55.880237493188297</c:v>
                </c:pt>
                <c:pt idx="121">
                  <c:v>55.927361134743585</c:v>
                </c:pt>
                <c:pt idx="122">
                  <c:v>55.969163693985315</c:v>
                </c:pt>
                <c:pt idx="123">
                  <c:v>56.005948448428867</c:v>
                </c:pt>
                <c:pt idx="124">
                  <c:v>56.038018457604146</c:v>
                </c:pt>
                <c:pt idx="125">
                  <c:v>56.065676576662213</c:v>
                </c:pt>
                <c:pt idx="126">
                  <c:v>56.089225472880777</c:v>
                </c:pt>
                <c:pt idx="127">
                  <c:v>56.108962746192518</c:v>
                </c:pt>
                <c:pt idx="128">
                  <c:v>56.125261370527731</c:v>
                </c:pt>
                <c:pt idx="129">
                  <c:v>56.138424970801097</c:v>
                </c:pt>
                <c:pt idx="130">
                  <c:v>56.148757103194953</c:v>
                </c:pt>
                <c:pt idx="131">
                  <c:v>56.156561277944078</c:v>
                </c:pt>
                <c:pt idx="132">
                  <c:v>56.162140970692846</c:v>
                </c:pt>
                <c:pt idx="133">
                  <c:v>56.165799640805545</c:v>
                </c:pt>
                <c:pt idx="134">
                  <c:v>56.166858430991397</c:v>
                </c:pt>
                <c:pt idx="135">
                  <c:v>56.164522381587872</c:v>
                </c:pt>
                <c:pt idx="136">
                  <c:v>56.158963283786925</c:v>
                </c:pt>
                <c:pt idx="137">
                  <c:v>56.150284817326821</c:v>
                </c:pt>
                <c:pt idx="138">
                  <c:v>56.13859090058623</c:v>
                </c:pt>
                <c:pt idx="139">
                  <c:v>56.123985697366408</c:v>
                </c:pt>
                <c:pt idx="140">
                  <c:v>56.106573626408832</c:v>
                </c:pt>
                <c:pt idx="141">
                  <c:v>56.086449766785243</c:v>
                </c:pt>
                <c:pt idx="142">
                  <c:v>56.063726180463938</c:v>
                </c:pt>
                <c:pt idx="143">
                  <c:v>56.038509492802511</c:v>
                </c:pt>
                <c:pt idx="144">
                  <c:v>56.010905201083418</c:v>
                </c:pt>
                <c:pt idx="145">
                  <c:v>55.981019022447605</c:v>
                </c:pt>
                <c:pt idx="146">
                  <c:v>55.948956892857936</c:v>
                </c:pt>
                <c:pt idx="147">
                  <c:v>55.914824956047127</c:v>
                </c:pt>
                <c:pt idx="148">
                  <c:v>55.878695763736303</c:v>
                </c:pt>
                <c:pt idx="149">
                  <c:v>55.840614916095817</c:v>
                </c:pt>
                <c:pt idx="150">
                  <c:v>55.800468026943925</c:v>
                </c:pt>
                <c:pt idx="151">
                  <c:v>55.758161267720908</c:v>
                </c:pt>
                <c:pt idx="152">
                  <c:v>55.713601057901791</c:v>
                </c:pt>
                <c:pt idx="153">
                  <c:v>55.666694038712485</c:v>
                </c:pt>
                <c:pt idx="154">
                  <c:v>55.617347047135489</c:v>
                </c:pt>
                <c:pt idx="155">
                  <c:v>55.565720019548564</c:v>
                </c:pt>
                <c:pt idx="156">
                  <c:v>55.51173408993084</c:v>
                </c:pt>
                <c:pt idx="157">
                  <c:v>55.455300646155074</c:v>
                </c:pt>
                <c:pt idx="158">
                  <c:v>55.396330975592157</c:v>
                </c:pt>
                <c:pt idx="159">
                  <c:v>55.33473622553629</c:v>
                </c:pt>
                <c:pt idx="160">
                  <c:v>55.270427356999917</c:v>
                </c:pt>
                <c:pt idx="161">
                  <c:v>55.203315106594474</c:v>
                </c:pt>
                <c:pt idx="162">
                  <c:v>55.132686314571416</c:v>
                </c:pt>
                <c:pt idx="163">
                  <c:v>55.058278609047683</c:v>
                </c:pt>
                <c:pt idx="164">
                  <c:v>54.980391797573965</c:v>
                </c:pt>
                <c:pt idx="165">
                  <c:v>54.899441026056834</c:v>
                </c:pt>
                <c:pt idx="166">
                  <c:v>54.8158406926201</c:v>
                </c:pt>
                <c:pt idx="167">
                  <c:v>54.730004429893498</c:v>
                </c:pt>
                <c:pt idx="168">
                  <c:v>54.642345076405419</c:v>
                </c:pt>
                <c:pt idx="169">
                  <c:v>54.553391753139735</c:v>
                </c:pt>
                <c:pt idx="170">
                  <c:v>54.463285965891963</c:v>
                </c:pt>
                <c:pt idx="171">
                  <c:v>54.37243672548248</c:v>
                </c:pt>
                <c:pt idx="172">
                  <c:v>54.281252327146731</c:v>
                </c:pt>
                <c:pt idx="173">
                  <c:v>54.190144861701789</c:v>
                </c:pt>
                <c:pt idx="174">
                  <c:v>54.099525993502269</c:v>
                </c:pt>
                <c:pt idx="175">
                  <c:v>54.009802278695219</c:v>
                </c:pt>
                <c:pt idx="176">
                  <c:v>53.920370649711458</c:v>
                </c:pt>
                <c:pt idx="177">
                  <c:v>53.830636056397275</c:v>
                </c:pt>
                <c:pt idx="178">
                  <c:v>53.740481390398102</c:v>
                </c:pt>
                <c:pt idx="179">
                  <c:v>53.649908936803982</c:v>
                </c:pt>
                <c:pt idx="180">
                  <c:v>53.558920418466904</c:v>
                </c:pt>
                <c:pt idx="181">
                  <c:v>53.467517015789888</c:v>
                </c:pt>
                <c:pt idx="182">
                  <c:v>53.375699392315219</c:v>
                </c:pt>
                <c:pt idx="183">
                  <c:v>53.28359314595555</c:v>
                </c:pt>
                <c:pt idx="184">
                  <c:v>53.191075589460823</c:v>
                </c:pt>
                <c:pt idx="185">
                  <c:v>53.098145819139077</c:v>
                </c:pt>
                <c:pt idx="186">
                  <c:v>53.004802544667285</c:v>
                </c:pt>
                <c:pt idx="187">
                  <c:v>52.911044124475644</c:v>
                </c:pt>
                <c:pt idx="188">
                  <c:v>52.816868602944105</c:v>
                </c:pt>
                <c:pt idx="189">
                  <c:v>52.722273748362944</c:v>
                </c:pt>
                <c:pt idx="190">
                  <c:v>52.626820927286396</c:v>
                </c:pt>
                <c:pt idx="191">
                  <c:v>52.530197128451327</c:v>
                </c:pt>
                <c:pt idx="192">
                  <c:v>52.432317979300628</c:v>
                </c:pt>
                <c:pt idx="193">
                  <c:v>52.333381586954857</c:v>
                </c:pt>
                <c:pt idx="194">
                  <c:v>52.23358596812421</c:v>
                </c:pt>
                <c:pt idx="195">
                  <c:v>52.133129068527396</c:v>
                </c:pt>
                <c:pt idx="196">
                  <c:v>52.032208782964645</c:v>
                </c:pt>
                <c:pt idx="197">
                  <c:v>51.931046903150325</c:v>
                </c:pt>
                <c:pt idx="198">
                  <c:v>51.829713897236282</c:v>
                </c:pt>
                <c:pt idx="199">
                  <c:v>51.728407469086648</c:v>
                </c:pt>
                <c:pt idx="200">
                  <c:v>51.62732536537095</c:v>
                </c:pt>
                <c:pt idx="201">
                  <c:v>51.526665380894777</c:v>
                </c:pt>
                <c:pt idx="202">
                  <c:v>51.42662536279834</c:v>
                </c:pt>
                <c:pt idx="203">
                  <c:v>51.327403213387342</c:v>
                </c:pt>
                <c:pt idx="204">
                  <c:v>51.228912831251485</c:v>
                </c:pt>
                <c:pt idx="205">
                  <c:v>51.130858268657015</c:v>
                </c:pt>
                <c:pt idx="206">
                  <c:v>51.033145000339587</c:v>
                </c:pt>
                <c:pt idx="207">
                  <c:v>50.935670518771872</c:v>
                </c:pt>
                <c:pt idx="208">
                  <c:v>50.838332534844923</c:v>
                </c:pt>
                <c:pt idx="209">
                  <c:v>50.741028971884312</c:v>
                </c:pt>
                <c:pt idx="210">
                  <c:v>50.643657958938292</c:v>
                </c:pt>
                <c:pt idx="211">
                  <c:v>50.546023051127726</c:v>
                </c:pt>
                <c:pt idx="212">
                  <c:v>50.447998790131898</c:v>
                </c:pt>
                <c:pt idx="213">
                  <c:v>50.349483860411688</c:v>
                </c:pt>
                <c:pt idx="214">
                  <c:v>50.250377137464575</c:v>
                </c:pt>
                <c:pt idx="215">
                  <c:v>50.150577677679117</c:v>
                </c:pt>
                <c:pt idx="216">
                  <c:v>50.049984706989505</c:v>
                </c:pt>
                <c:pt idx="217">
                  <c:v>49.94849761179799</c:v>
                </c:pt>
                <c:pt idx="218">
                  <c:v>49.846087136120232</c:v>
                </c:pt>
                <c:pt idx="219">
                  <c:v>49.742744540274053</c:v>
                </c:pt>
                <c:pt idx="220">
                  <c:v>49.63856201652343</c:v>
                </c:pt>
                <c:pt idx="221">
                  <c:v>49.533622215068377</c:v>
                </c:pt>
                <c:pt idx="222">
                  <c:v>49.428007798079719</c:v>
                </c:pt>
                <c:pt idx="223">
                  <c:v>49.321801433394967</c:v>
                </c:pt>
                <c:pt idx="224">
                  <c:v>49.215085789184194</c:v>
                </c:pt>
                <c:pt idx="225">
                  <c:v>49.107771149388263</c:v>
                </c:pt>
                <c:pt idx="226">
                  <c:v>49.000035054961344</c:v>
                </c:pt>
                <c:pt idx="227">
                  <c:v>48.891960245127258</c:v>
                </c:pt>
                <c:pt idx="228">
                  <c:v>48.783629452407354</c:v>
                </c:pt>
                <c:pt idx="229">
                  <c:v>48.675125400581855</c:v>
                </c:pt>
                <c:pt idx="230">
                  <c:v>48.566530804074887</c:v>
                </c:pt>
                <c:pt idx="231">
                  <c:v>48.457928367354853</c:v>
                </c:pt>
                <c:pt idx="232">
                  <c:v>48.350200752456949</c:v>
                </c:pt>
                <c:pt idx="233">
                  <c:v>48.243678575119446</c:v>
                </c:pt>
                <c:pt idx="234">
                  <c:v>48.137998467550332</c:v>
                </c:pt>
                <c:pt idx="235">
                  <c:v>48.032696045074104</c:v>
                </c:pt>
                <c:pt idx="236">
                  <c:v>47.927307252307159</c:v>
                </c:pt>
                <c:pt idx="237">
                  <c:v>47.821368455462</c:v>
                </c:pt>
                <c:pt idx="238">
                  <c:v>47.714416378817326</c:v>
                </c:pt>
                <c:pt idx="239">
                  <c:v>47.605882085036882</c:v>
                </c:pt>
                <c:pt idx="240">
                  <c:v>47.495474410223316</c:v>
                </c:pt>
                <c:pt idx="241">
                  <c:v>47.382731015919454</c:v>
                </c:pt>
                <c:pt idx="242">
                  <c:v>47.267189916050725</c:v>
                </c:pt>
                <c:pt idx="243">
                  <c:v>47.148389481010085</c:v>
                </c:pt>
                <c:pt idx="244">
                  <c:v>47.025868437547715</c:v>
                </c:pt>
                <c:pt idx="245">
                  <c:v>46.899165874050873</c:v>
                </c:pt>
                <c:pt idx="246">
                  <c:v>46.769632387426249</c:v>
                </c:pt>
                <c:pt idx="247">
                  <c:v>46.638693656040822</c:v>
                </c:pt>
                <c:pt idx="248">
                  <c:v>46.506235581624367</c:v>
                </c:pt>
                <c:pt idx="249">
                  <c:v>46.371958842141403</c:v>
                </c:pt>
                <c:pt idx="250">
                  <c:v>46.235564360772329</c:v>
                </c:pt>
                <c:pt idx="251">
                  <c:v>46.096753304567983</c:v>
                </c:pt>
                <c:pt idx="252">
                  <c:v>45.955227091778916</c:v>
                </c:pt>
                <c:pt idx="253">
                  <c:v>45.810680839814459</c:v>
                </c:pt>
                <c:pt idx="254">
                  <c:v>45.662921074273761</c:v>
                </c:pt>
                <c:pt idx="255">
                  <c:v>45.511649600633348</c:v>
                </c:pt>
                <c:pt idx="256">
                  <c:v>45.356568445011845</c:v>
                </c:pt>
                <c:pt idx="257">
                  <c:v>45.197379850005397</c:v>
                </c:pt>
                <c:pt idx="258">
                  <c:v>45.033786280959035</c:v>
                </c:pt>
                <c:pt idx="259">
                  <c:v>44.865490416438746</c:v>
                </c:pt>
                <c:pt idx="260">
                  <c:v>44.69280187816134</c:v>
                </c:pt>
                <c:pt idx="261">
                  <c:v>44.516244236591319</c:v>
                </c:pt>
                <c:pt idx="262">
                  <c:v>44.335919133797951</c:v>
                </c:pt>
                <c:pt idx="263">
                  <c:v>44.151896328847236</c:v>
                </c:pt>
                <c:pt idx="264">
                  <c:v>43.964245568091812</c:v>
                </c:pt>
                <c:pt idx="265">
                  <c:v>43.77303591419885</c:v>
                </c:pt>
                <c:pt idx="266">
                  <c:v>43.578336709853588</c:v>
                </c:pt>
                <c:pt idx="267">
                  <c:v>43.380292290747668</c:v>
                </c:pt>
                <c:pt idx="268">
                  <c:v>43.178978273649228</c:v>
                </c:pt>
                <c:pt idx="269">
                  <c:v>42.974463857749932</c:v>
                </c:pt>
                <c:pt idx="270">
                  <c:v>42.766818171269641</c:v>
                </c:pt>
                <c:pt idx="271">
                  <c:v>42.55611026164717</c:v>
                </c:pt>
                <c:pt idx="272">
                  <c:v>42.342409090797418</c:v>
                </c:pt>
                <c:pt idx="273">
                  <c:v>42.125783521752496</c:v>
                </c:pt>
                <c:pt idx="274">
                  <c:v>41.905669156331747</c:v>
                </c:pt>
                <c:pt idx="275">
                  <c:v>41.681726639404687</c:v>
                </c:pt>
                <c:pt idx="276">
                  <c:v>41.454201998113128</c:v>
                </c:pt>
                <c:pt idx="277">
                  <c:v>41.223311194940742</c:v>
                </c:pt>
                <c:pt idx="278">
                  <c:v>40.989269837027841</c:v>
                </c:pt>
                <c:pt idx="279">
                  <c:v>40.752293169325455</c:v>
                </c:pt>
                <c:pt idx="280">
                  <c:v>40.512596059577881</c:v>
                </c:pt>
                <c:pt idx="281">
                  <c:v>40.27044350837118</c:v>
                </c:pt>
                <c:pt idx="282">
                  <c:v>40.025977844560522</c:v>
                </c:pt>
                <c:pt idx="283">
                  <c:v>39.779412985090261</c:v>
                </c:pt>
                <c:pt idx="284">
                  <c:v>39.530962457166751</c:v>
                </c:pt>
                <c:pt idx="285">
                  <c:v>39.280839396864529</c:v>
                </c:pt>
                <c:pt idx="286">
                  <c:v>39.029256548482273</c:v>
                </c:pt>
                <c:pt idx="287">
                  <c:v>38.776426264404442</c:v>
                </c:pt>
                <c:pt idx="288">
                  <c:v>38.522237822438136</c:v>
                </c:pt>
                <c:pt idx="289">
                  <c:v>38.266335297809128</c:v>
                </c:pt>
                <c:pt idx="290">
                  <c:v>38.00849887406347</c:v>
                </c:pt>
                <c:pt idx="291">
                  <c:v>37.748628257328576</c:v>
                </c:pt>
                <c:pt idx="292">
                  <c:v>37.486623066461277</c:v>
                </c:pt>
                <c:pt idx="293">
                  <c:v>37.222382838157067</c:v>
                </c:pt>
                <c:pt idx="294">
                  <c:v>36.955807031698178</c:v>
                </c:pt>
                <c:pt idx="295">
                  <c:v>36.686520366635285</c:v>
                </c:pt>
                <c:pt idx="296">
                  <c:v>36.414378856251105</c:v>
                </c:pt>
                <c:pt idx="297">
                  <c:v>36.139286769630495</c:v>
                </c:pt>
                <c:pt idx="298">
                  <c:v>35.861149582649752</c:v>
                </c:pt>
                <c:pt idx="299">
                  <c:v>35.579872853661314</c:v>
                </c:pt>
                <c:pt idx="300">
                  <c:v>35.295362203593108</c:v>
                </c:pt>
                <c:pt idx="301">
                  <c:v>35.007523301572149</c:v>
                </c:pt>
                <c:pt idx="302">
                  <c:v>34.713506244085231</c:v>
                </c:pt>
                <c:pt idx="303">
                  <c:v>34.41101350971919</c:v>
                </c:pt>
                <c:pt idx="304">
                  <c:v>34.101478722968928</c:v>
                </c:pt>
                <c:pt idx="305">
                  <c:v>33.786301677306895</c:v>
                </c:pt>
                <c:pt idx="306">
                  <c:v>33.46688139271749</c:v>
                </c:pt>
                <c:pt idx="307">
                  <c:v>33.144616065818312</c:v>
                </c:pt>
                <c:pt idx="308">
                  <c:v>32.820903013682177</c:v>
                </c:pt>
                <c:pt idx="309">
                  <c:v>32.497132313491036</c:v>
                </c:pt>
                <c:pt idx="310">
                  <c:v>32.174947848941557</c:v>
                </c:pt>
                <c:pt idx="311">
                  <c:v>31.855738894248844</c:v>
                </c:pt>
                <c:pt idx="312">
                  <c:v>31.5408937109687</c:v>
                </c:pt>
                <c:pt idx="313">
                  <c:v>31.231799519425408</c:v>
                </c:pt>
                <c:pt idx="314">
                  <c:v>30.929842483182366</c:v>
                </c:pt>
                <c:pt idx="315">
                  <c:v>30.63640768516952</c:v>
                </c:pt>
                <c:pt idx="316">
                  <c:v>30.348563201917575</c:v>
                </c:pt>
                <c:pt idx="317">
                  <c:v>30.063006114563375</c:v>
                </c:pt>
                <c:pt idx="318">
                  <c:v>29.780522148683868</c:v>
                </c:pt>
                <c:pt idx="319">
                  <c:v>29.501493938610416</c:v>
                </c:pt>
                <c:pt idx="320">
                  <c:v>29.226304053817067</c:v>
                </c:pt>
                <c:pt idx="321">
                  <c:v>28.955335061231914</c:v>
                </c:pt>
                <c:pt idx="322">
                  <c:v>28.688969567515532</c:v>
                </c:pt>
                <c:pt idx="323">
                  <c:v>28.427810053523643</c:v>
                </c:pt>
                <c:pt idx="324">
                  <c:v>28.17224068379835</c:v>
                </c:pt>
                <c:pt idx="325">
                  <c:v>27.922640496345974</c:v>
                </c:pt>
                <c:pt idx="326">
                  <c:v>27.679390624632905</c:v>
                </c:pt>
                <c:pt idx="327">
                  <c:v>27.442871705382057</c:v>
                </c:pt>
                <c:pt idx="328">
                  <c:v>27.213463579699294</c:v>
                </c:pt>
                <c:pt idx="329">
                  <c:v>26.991546619565671</c:v>
                </c:pt>
                <c:pt idx="330">
                  <c:v>26.772880735148586</c:v>
                </c:pt>
                <c:pt idx="331">
                  <c:v>26.554351222236388</c:v>
                </c:pt>
                <c:pt idx="332">
                  <c:v>26.337359668965682</c:v>
                </c:pt>
                <c:pt idx="333">
                  <c:v>26.123573863316111</c:v>
                </c:pt>
                <c:pt idx="334">
                  <c:v>25.914661617979831</c:v>
                </c:pt>
                <c:pt idx="335">
                  <c:v>25.712290748969075</c:v>
                </c:pt>
                <c:pt idx="336">
                  <c:v>25.518129063143498</c:v>
                </c:pt>
                <c:pt idx="337">
                  <c:v>25.333855893325925</c:v>
                </c:pt>
                <c:pt idx="338">
                  <c:v>25.16093528603648</c:v>
                </c:pt>
                <c:pt idx="339">
                  <c:v>25.001036970078644</c:v>
                </c:pt>
                <c:pt idx="340">
                  <c:v>24.855830287021323</c:v>
                </c:pt>
                <c:pt idx="341">
                  <c:v>24.726984185236237</c:v>
                </c:pt>
                <c:pt idx="342">
                  <c:v>24.616167176528162</c:v>
                </c:pt>
                <c:pt idx="343">
                  <c:v>24.525047280444831</c:v>
                </c:pt>
                <c:pt idx="344">
                  <c:v>24.452129844673127</c:v>
                </c:pt>
                <c:pt idx="345">
                  <c:v>24.394490192611272</c:v>
                </c:pt>
                <c:pt idx="346">
                  <c:v>24.351219549513395</c:v>
                </c:pt>
                <c:pt idx="347">
                  <c:v>24.321844280809081</c:v>
                </c:pt>
                <c:pt idx="348">
                  <c:v>24.30589079097005</c:v>
                </c:pt>
                <c:pt idx="349">
                  <c:v>24.302885514010526</c:v>
                </c:pt>
                <c:pt idx="350">
                  <c:v>24.312354923447593</c:v>
                </c:pt>
                <c:pt idx="351">
                  <c:v>24.333648597606778</c:v>
                </c:pt>
                <c:pt idx="352">
                  <c:v>24.366282728422959</c:v>
                </c:pt>
                <c:pt idx="353">
                  <c:v>24.409784546544497</c:v>
                </c:pt>
                <c:pt idx="354">
                  <c:v>24.463681178313173</c:v>
                </c:pt>
                <c:pt idx="355">
                  <c:v>24.527499650143078</c:v>
                </c:pt>
                <c:pt idx="356">
                  <c:v>24.600767563581538</c:v>
                </c:pt>
                <c:pt idx="357">
                  <c:v>24.683011437264689</c:v>
                </c:pt>
                <c:pt idx="358">
                  <c:v>24.778273423893015</c:v>
                </c:pt>
                <c:pt idx="359">
                  <c:v>24.889954899976392</c:v>
                </c:pt>
                <c:pt idx="360">
                  <c:v>25.016633980928709</c:v>
                </c:pt>
                <c:pt idx="361">
                  <c:v>25.157053584215447</c:v>
                </c:pt>
                <c:pt idx="362">
                  <c:v>25.309781646131839</c:v>
                </c:pt>
                <c:pt idx="363">
                  <c:v>25.473386747286831</c:v>
                </c:pt>
                <c:pt idx="364">
                  <c:v>25.646438112540359</c:v>
                </c:pt>
                <c:pt idx="365">
                  <c:v>25.82750561807897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8.7379136703256215</c:v>
                </c:pt>
                <c:pt idx="1">
                  <c:v>2.9482076688576537</c:v>
                </c:pt>
                <c:pt idx="2">
                  <c:v>16.206506378782052</c:v>
                </c:pt>
                <c:pt idx="3">
                  <c:v>24.833475396830352</c:v>
                </c:pt>
                <c:pt idx="4">
                  <c:v>10.420111187197701</c:v>
                </c:pt>
                <c:pt idx="5">
                  <c:v>6.1606346646288772</c:v>
                </c:pt>
                <c:pt idx="6">
                  <c:v>16.839781102579209</c:v>
                </c:pt>
                <c:pt idx="7">
                  <c:v>6.887758510042663</c:v>
                </c:pt>
                <c:pt idx="8">
                  <c:v>6.9701947781596125</c:v>
                </c:pt>
                <c:pt idx="9">
                  <c:v>23.964311446364807</c:v>
                </c:pt>
                <c:pt idx="10">
                  <c:v>4.8383850301072311</c:v>
                </c:pt>
                <c:pt idx="11">
                  <c:v>23.272828996264007</c:v>
                </c:pt>
                <c:pt idx="12">
                  <c:v>12.865087773950528</c:v>
                </c:pt>
                <c:pt idx="13">
                  <c:v>18.410661043912476</c:v>
                </c:pt>
                <c:pt idx="14">
                  <c:v>6.5466547349753359</c:v>
                </c:pt>
                <c:pt idx="15">
                  <c:v>3.3073088294953039</c:v>
                </c:pt>
                <c:pt idx="16">
                  <c:v>5.9924306282261188</c:v>
                </c:pt>
                <c:pt idx="17">
                  <c:v>20.895008268660494</c:v>
                </c:pt>
                <c:pt idx="18">
                  <c:v>9.3997478027469032</c:v>
                </c:pt>
                <c:pt idx="19">
                  <c:v>18.077155215122197</c:v>
                </c:pt>
                <c:pt idx="20">
                  <c:v>5.0339289059709591</c:v>
                </c:pt>
                <c:pt idx="21">
                  <c:v>29.851938592371123</c:v>
                </c:pt>
                <c:pt idx="22">
                  <c:v>29.916807404091067</c:v>
                </c:pt>
                <c:pt idx="23">
                  <c:v>30.203719117507664</c:v>
                </c:pt>
                <c:pt idx="24">
                  <c:v>29.754799495248509</c:v>
                </c:pt>
                <c:pt idx="25">
                  <c:v>30.526641338063278</c:v>
                </c:pt>
                <c:pt idx="26">
                  <c:v>30.251489265808225</c:v>
                </c:pt>
                <c:pt idx="27">
                  <c:v>4.0989439987062202</c:v>
                </c:pt>
                <c:pt idx="28">
                  <c:v>6.0945098810934342</c:v>
                </c:pt>
                <c:pt idx="29">
                  <c:v>4.9980314439359548</c:v>
                </c:pt>
                <c:pt idx="30">
                  <c:v>6.8587804245178186</c:v>
                </c:pt>
                <c:pt idx="31">
                  <c:v>14.191245378651182</c:v>
                </c:pt>
                <c:pt idx="32">
                  <c:v>5.3408981641223461</c:v>
                </c:pt>
                <c:pt idx="33">
                  <c:v>11.682706512587696</c:v>
                </c:pt>
                <c:pt idx="34">
                  <c:v>11.204975903381273</c:v>
                </c:pt>
                <c:pt idx="35">
                  <c:v>10.586704345405286</c:v>
                </c:pt>
                <c:pt idx="36">
                  <c:v>23.362691723806549</c:v>
                </c:pt>
                <c:pt idx="37">
                  <c:v>9.2009494172208228</c:v>
                </c:pt>
                <c:pt idx="38">
                  <c:v>35.537726201880922</c:v>
                </c:pt>
                <c:pt idx="39">
                  <c:v>35.616785660155017</c:v>
                </c:pt>
                <c:pt idx="40">
                  <c:v>33.092867706177103</c:v>
                </c:pt>
                <c:pt idx="41">
                  <c:v>16.65863792988965</c:v>
                </c:pt>
                <c:pt idx="42">
                  <c:v>27.706578774002534</c:v>
                </c:pt>
                <c:pt idx="43">
                  <c:v>33.857818729836879</c:v>
                </c:pt>
                <c:pt idx="44">
                  <c:v>18.78226518675493</c:v>
                </c:pt>
                <c:pt idx="45">
                  <c:v>18.508759824014245</c:v>
                </c:pt>
                <c:pt idx="46">
                  <c:v>8.0498703347854086</c:v>
                </c:pt>
                <c:pt idx="47">
                  <c:v>9.406922118138926</c:v>
                </c:pt>
                <c:pt idx="48">
                  <c:v>30.829661294434452</c:v>
                </c:pt>
                <c:pt idx="49">
                  <c:v>18.797881898100428</c:v>
                </c:pt>
                <c:pt idx="50">
                  <c:v>22.156713992310657</c:v>
                </c:pt>
                <c:pt idx="51">
                  <c:v>21.815601585941558</c:v>
                </c:pt>
                <c:pt idx="52">
                  <c:v>35.722232202780432</c:v>
                </c:pt>
                <c:pt idx="53">
                  <c:v>37.260592729800209</c:v>
                </c:pt>
                <c:pt idx="54">
                  <c:v>21.194726643849393</c:v>
                </c:pt>
                <c:pt idx="55">
                  <c:v>30.824929605829709</c:v>
                </c:pt>
                <c:pt idx="56">
                  <c:v>41.604237208367437</c:v>
                </c:pt>
                <c:pt idx="57">
                  <c:v>28.71196672321204</c:v>
                </c:pt>
                <c:pt idx="58">
                  <c:v>33.265189808080073</c:v>
                </c:pt>
                <c:pt idx="59">
                  <c:v>42.517274157886646</c:v>
                </c:pt>
                <c:pt idx="60">
                  <c:v>10.72237799186269</c:v>
                </c:pt>
                <c:pt idx="61">
                  <c:v>40.200747882409033</c:v>
                </c:pt>
                <c:pt idx="62">
                  <c:v>4.2981102096511465</c:v>
                </c:pt>
                <c:pt idx="63">
                  <c:v>15.280954893571424</c:v>
                </c:pt>
                <c:pt idx="64">
                  <c:v>21.634808631723757</c:v>
                </c:pt>
                <c:pt idx="65">
                  <c:v>32.826448005082703</c:v>
                </c:pt>
                <c:pt idx="66">
                  <c:v>31.490114414358924</c:v>
                </c:pt>
                <c:pt idx="67">
                  <c:v>33.238587200336532</c:v>
                </c:pt>
                <c:pt idx="68">
                  <c:v>24.056203934081889</c:v>
                </c:pt>
                <c:pt idx="69">
                  <c:v>16.039242906793259</c:v>
                </c:pt>
                <c:pt idx="70">
                  <c:v>13.244529366535453</c:v>
                </c:pt>
                <c:pt idx="71">
                  <c:v>12.467199731657781</c:v>
                </c:pt>
                <c:pt idx="72">
                  <c:v>13.171189534381282</c:v>
                </c:pt>
                <c:pt idx="73">
                  <c:v>14.953158507823613</c:v>
                </c:pt>
                <c:pt idx="74">
                  <c:v>10.264039666290428</c:v>
                </c:pt>
                <c:pt idx="75">
                  <c:v>11.114847609301222</c:v>
                </c:pt>
                <c:pt idx="76">
                  <c:v>13.632488584019557</c:v>
                </c:pt>
                <c:pt idx="77">
                  <c:v>31.237022835321</c:v>
                </c:pt>
                <c:pt idx="78">
                  <c:v>32.206273096472003</c:v>
                </c:pt>
                <c:pt idx="79">
                  <c:v>46.44195457854341</c:v>
                </c:pt>
                <c:pt idx="80">
                  <c:v>40.983127319891082</c:v>
                </c:pt>
                <c:pt idx="81">
                  <c:v>48.259953917902479</c:v>
                </c:pt>
                <c:pt idx="82">
                  <c:v>45.424596876194187</c:v>
                </c:pt>
                <c:pt idx="83">
                  <c:v>41.353406492791912</c:v>
                </c:pt>
                <c:pt idx="84">
                  <c:v>44.91850990520097</c:v>
                </c:pt>
                <c:pt idx="85">
                  <c:v>45.65751234042974</c:v>
                </c:pt>
                <c:pt idx="86">
                  <c:v>35.027949880675216</c:v>
                </c:pt>
                <c:pt idx="87">
                  <c:v>27.605330707627235</c:v>
                </c:pt>
                <c:pt idx="88">
                  <c:v>7.2060113929297058</c:v>
                </c:pt>
                <c:pt idx="89">
                  <c:v>21.450022340993566</c:v>
                </c:pt>
                <c:pt idx="90">
                  <c:v>31.951572158829055</c:v>
                </c:pt>
                <c:pt idx="91">
                  <c:v>19.599011245957215</c:v>
                </c:pt>
                <c:pt idx="92">
                  <c:v>25.029532297876852</c:v>
                </c:pt>
                <c:pt idx="93">
                  <c:v>43.893911048533703</c:v>
                </c:pt>
                <c:pt idx="94">
                  <c:v>50.583437431984073</c:v>
                </c:pt>
                <c:pt idx="95">
                  <c:v>11.879761279867964</c:v>
                </c:pt>
                <c:pt idx="96">
                  <c:v>39.130808846085671</c:v>
                </c:pt>
                <c:pt idx="97">
                  <c:v>31.749464856448853</c:v>
                </c:pt>
                <c:pt idx="98">
                  <c:v>34.651255170893037</c:v>
                </c:pt>
                <c:pt idx="99">
                  <c:v>52.972160232284573</c:v>
                </c:pt>
                <c:pt idx="100">
                  <c:v>43.71129529654398</c:v>
                </c:pt>
                <c:pt idx="101">
                  <c:v>2.469834956334068</c:v>
                </c:pt>
                <c:pt idx="102">
                  <c:v>0</c:v>
                </c:pt>
                <c:pt idx="103">
                  <c:v>41.483714695184005</c:v>
                </c:pt>
                <c:pt idx="104">
                  <c:v>46.169733717402615</c:v>
                </c:pt>
                <c:pt idx="105">
                  <c:v>41.539666851364707</c:v>
                </c:pt>
                <c:pt idx="106">
                  <c:v>52.454235975085737</c:v>
                </c:pt>
                <c:pt idx="107">
                  <c:v>37.403318294226601</c:v>
                </c:pt>
                <c:pt idx="108">
                  <c:v>8.953077034354461</c:v>
                </c:pt>
                <c:pt idx="109">
                  <c:v>10.101005928654041</c:v>
                </c:pt>
                <c:pt idx="110">
                  <c:v>9.1222571153661942</c:v>
                </c:pt>
                <c:pt idx="111">
                  <c:v>27.580479846462982</c:v>
                </c:pt>
                <c:pt idx="112">
                  <c:v>9.4765764679952103</c:v>
                </c:pt>
                <c:pt idx="113">
                  <c:v>24.358663484859132</c:v>
                </c:pt>
                <c:pt idx="114">
                  <c:v>46.196430586617787</c:v>
                </c:pt>
                <c:pt idx="115">
                  <c:v>51.664134682960707</c:v>
                </c:pt>
                <c:pt idx="116">
                  <c:v>38.079997727106914</c:v>
                </c:pt>
                <c:pt idx="117">
                  <c:v>20.478964571069504</c:v>
                </c:pt>
                <c:pt idx="118">
                  <c:v>41.457150685323882</c:v>
                </c:pt>
                <c:pt idx="119">
                  <c:v>40.422953152604912</c:v>
                </c:pt>
                <c:pt idx="120">
                  <c:v>47.303999260499189</c:v>
                </c:pt>
                <c:pt idx="121">
                  <c:v>27.707689556579837</c:v>
                </c:pt>
                <c:pt idx="122">
                  <c:v>31.644325059743057</c:v>
                </c:pt>
                <c:pt idx="123">
                  <c:v>18.663108364423707</c:v>
                </c:pt>
                <c:pt idx="124">
                  <c:v>39.191906822508763</c:v>
                </c:pt>
                <c:pt idx="125">
                  <c:v>36.598108565270998</c:v>
                </c:pt>
                <c:pt idx="126">
                  <c:v>47.353044138612198</c:v>
                </c:pt>
                <c:pt idx="127">
                  <c:v>49.395995702806502</c:v>
                </c:pt>
                <c:pt idx="128">
                  <c:v>53.72970553518617</c:v>
                </c:pt>
                <c:pt idx="129">
                  <c:v>51.204555360314686</c:v>
                </c:pt>
                <c:pt idx="130">
                  <c:v>54.924314105540724</c:v>
                </c:pt>
                <c:pt idx="131">
                  <c:v>42.27817630900757</c:v>
                </c:pt>
                <c:pt idx="132">
                  <c:v>38.709725061622095</c:v>
                </c:pt>
                <c:pt idx="133">
                  <c:v>50.51936699694653</c:v>
                </c:pt>
                <c:pt idx="134">
                  <c:v>51.536978183202031</c:v>
                </c:pt>
                <c:pt idx="135">
                  <c:v>49.62123781343459</c:v>
                </c:pt>
                <c:pt idx="136">
                  <c:v>53.126673599910283</c:v>
                </c:pt>
                <c:pt idx="137">
                  <c:v>51.463812316985276</c:v>
                </c:pt>
                <c:pt idx="138">
                  <c:v>53.757428466948248</c:v>
                </c:pt>
                <c:pt idx="139">
                  <c:v>48.755551062111572</c:v>
                </c:pt>
                <c:pt idx="140">
                  <c:v>49.34811892651485</c:v>
                </c:pt>
                <c:pt idx="141">
                  <c:v>37.745520094447357</c:v>
                </c:pt>
                <c:pt idx="142">
                  <c:v>17.628111007870309</c:v>
                </c:pt>
                <c:pt idx="143">
                  <c:v>16.755754444397347</c:v>
                </c:pt>
                <c:pt idx="144">
                  <c:v>39.028575607964108</c:v>
                </c:pt>
                <c:pt idx="145">
                  <c:v>26.556631395436511</c:v>
                </c:pt>
                <c:pt idx="146">
                  <c:v>42.319427068352198</c:v>
                </c:pt>
                <c:pt idx="147">
                  <c:v>52.121227146434926</c:v>
                </c:pt>
                <c:pt idx="148">
                  <c:v>56.427828668764221</c:v>
                </c:pt>
                <c:pt idx="149">
                  <c:v>47.277116884346363</c:v>
                </c:pt>
                <c:pt idx="150">
                  <c:v>52.52548226001948</c:v>
                </c:pt>
                <c:pt idx="151">
                  <c:v>53.384528836749169</c:v>
                </c:pt>
                <c:pt idx="152">
                  <c:v>42.256103896343397</c:v>
                </c:pt>
                <c:pt idx="153">
                  <c:v>53.075339894657446</c:v>
                </c:pt>
                <c:pt idx="154">
                  <c:v>21.979825196016328</c:v>
                </c:pt>
                <c:pt idx="155">
                  <c:v>31.0079804149062</c:v>
                </c:pt>
                <c:pt idx="156">
                  <c:v>46.452964657210771</c:v>
                </c:pt>
                <c:pt idx="157">
                  <c:v>27.194777446419668</c:v>
                </c:pt>
                <c:pt idx="158">
                  <c:v>20.218382671520157</c:v>
                </c:pt>
                <c:pt idx="159">
                  <c:v>44.91841872645653</c:v>
                </c:pt>
                <c:pt idx="160">
                  <c:v>54.996453606171151</c:v>
                </c:pt>
                <c:pt idx="161">
                  <c:v>53.496202774529337</c:v>
                </c:pt>
                <c:pt idx="162">
                  <c:v>41.003176187599806</c:v>
                </c:pt>
                <c:pt idx="163">
                  <c:v>50.368349216368991</c:v>
                </c:pt>
                <c:pt idx="164">
                  <c:v>47.95313257566395</c:v>
                </c:pt>
                <c:pt idx="165">
                  <c:v>51.478252115844462</c:v>
                </c:pt>
                <c:pt idx="166">
                  <c:v>49.954424351527159</c:v>
                </c:pt>
                <c:pt idx="167">
                  <c:v>50.604556575452804</c:v>
                </c:pt>
                <c:pt idx="168">
                  <c:v>52.307668051389953</c:v>
                </c:pt>
                <c:pt idx="169">
                  <c:v>53.406135384305422</c:v>
                </c:pt>
                <c:pt idx="170">
                  <c:v>33.684383917393106</c:v>
                </c:pt>
                <c:pt idx="171">
                  <c:v>23.813944510913238</c:v>
                </c:pt>
                <c:pt idx="172">
                  <c:v>42.049545840708966</c:v>
                </c:pt>
                <c:pt idx="173">
                  <c:v>41.681605388346604</c:v>
                </c:pt>
                <c:pt idx="174">
                  <c:v>39.700849474372141</c:v>
                </c:pt>
                <c:pt idx="175">
                  <c:v>34.062425242679133</c:v>
                </c:pt>
                <c:pt idx="176">
                  <c:v>11.036453690170823</c:v>
                </c:pt>
                <c:pt idx="177">
                  <c:v>10.347765284944941</c:v>
                </c:pt>
                <c:pt idx="178">
                  <c:v>53.285564656140465</c:v>
                </c:pt>
                <c:pt idx="179">
                  <c:v>54.117926579708964</c:v>
                </c:pt>
                <c:pt idx="180">
                  <c:v>12.323798308984413</c:v>
                </c:pt>
                <c:pt idx="181">
                  <c:v>46.122840113487484</c:v>
                </c:pt>
                <c:pt idx="182">
                  <c:v>53.082430411908675</c:v>
                </c:pt>
                <c:pt idx="183">
                  <c:v>45.909904573011659</c:v>
                </c:pt>
                <c:pt idx="184">
                  <c:v>43.782449523678615</c:v>
                </c:pt>
                <c:pt idx="185">
                  <c:v>53.313333771165425</c:v>
                </c:pt>
                <c:pt idx="186">
                  <c:v>43.675363131167302</c:v>
                </c:pt>
                <c:pt idx="187">
                  <c:v>51.593387112387759</c:v>
                </c:pt>
                <c:pt idx="188">
                  <c:v>54.074423855876532</c:v>
                </c:pt>
                <c:pt idx="189">
                  <c:v>53.462731981438836</c:v>
                </c:pt>
                <c:pt idx="190">
                  <c:v>53.113343519387243</c:v>
                </c:pt>
                <c:pt idx="191">
                  <c:v>51.850709825519864</c:v>
                </c:pt>
                <c:pt idx="192">
                  <c:v>51.407443001454595</c:v>
                </c:pt>
                <c:pt idx="193">
                  <c:v>51.670237052014599</c:v>
                </c:pt>
                <c:pt idx="194">
                  <c:v>50.869637829466008</c:v>
                </c:pt>
                <c:pt idx="195">
                  <c:v>48.792865036478695</c:v>
                </c:pt>
                <c:pt idx="196">
                  <c:v>50.644224418106624</c:v>
                </c:pt>
                <c:pt idx="197">
                  <c:v>50.619551561681128</c:v>
                </c:pt>
                <c:pt idx="198">
                  <c:v>51.413839305654491</c:v>
                </c:pt>
                <c:pt idx="199">
                  <c:v>35.121941817618833</c:v>
                </c:pt>
                <c:pt idx="200">
                  <c:v>39.983472773202251</c:v>
                </c:pt>
                <c:pt idx="201">
                  <c:v>49.904820069434031</c:v>
                </c:pt>
                <c:pt idx="202">
                  <c:v>38.091456525645164</c:v>
                </c:pt>
                <c:pt idx="203">
                  <c:v>42.500051649216751</c:v>
                </c:pt>
                <c:pt idx="204">
                  <c:v>50.321536205979399</c:v>
                </c:pt>
                <c:pt idx="205">
                  <c:v>25.867790510883196</c:v>
                </c:pt>
                <c:pt idx="206">
                  <c:v>49.179310702592602</c:v>
                </c:pt>
                <c:pt idx="207">
                  <c:v>53.251508471418404</c:v>
                </c:pt>
                <c:pt idx="208">
                  <c:v>42.309180575221859</c:v>
                </c:pt>
                <c:pt idx="209">
                  <c:v>28.183898595943056</c:v>
                </c:pt>
                <c:pt idx="210">
                  <c:v>42.475096306982174</c:v>
                </c:pt>
                <c:pt idx="211">
                  <c:v>51.061713590135298</c:v>
                </c:pt>
                <c:pt idx="212">
                  <c:v>50.989912292187967</c:v>
                </c:pt>
                <c:pt idx="213">
                  <c:v>51.04012185440962</c:v>
                </c:pt>
                <c:pt idx="214">
                  <c:v>49.427108327374569</c:v>
                </c:pt>
                <c:pt idx="215">
                  <c:v>48.89483957964736</c:v>
                </c:pt>
                <c:pt idx="216">
                  <c:v>44.086909726415186</c:v>
                </c:pt>
                <c:pt idx="217">
                  <c:v>46.608829544556187</c:v>
                </c:pt>
                <c:pt idx="218">
                  <c:v>49.722917316823619</c:v>
                </c:pt>
                <c:pt idx="219">
                  <c:v>50.331202586397296</c:v>
                </c:pt>
                <c:pt idx="220">
                  <c:v>48.494687266664876</c:v>
                </c:pt>
                <c:pt idx="221">
                  <c:v>47.104652808510558</c:v>
                </c:pt>
                <c:pt idx="222">
                  <c:v>44.571096801314546</c:v>
                </c:pt>
                <c:pt idx="223">
                  <c:v>45.966208539659874</c:v>
                </c:pt>
                <c:pt idx="224">
                  <c:v>36.081841023517875</c:v>
                </c:pt>
                <c:pt idx="225">
                  <c:v>33.049661521460777</c:v>
                </c:pt>
                <c:pt idx="226">
                  <c:v>37.481053208136217</c:v>
                </c:pt>
                <c:pt idx="227">
                  <c:v>34.711636303293481</c:v>
                </c:pt>
                <c:pt idx="228">
                  <c:v>25.338480199574729</c:v>
                </c:pt>
                <c:pt idx="229">
                  <c:v>33.712271195385732</c:v>
                </c:pt>
                <c:pt idx="230">
                  <c:v>34.400675177264837</c:v>
                </c:pt>
                <c:pt idx="231">
                  <c:v>48.520707134705724</c:v>
                </c:pt>
                <c:pt idx="232">
                  <c:v>32.244205405530998</c:v>
                </c:pt>
                <c:pt idx="233">
                  <c:v>23.083010656865021</c:v>
                </c:pt>
                <c:pt idx="234">
                  <c:v>44.787182127264884</c:v>
                </c:pt>
                <c:pt idx="235">
                  <c:v>46.233566156474069</c:v>
                </c:pt>
                <c:pt idx="236">
                  <c:v>29.85590203436437</c:v>
                </c:pt>
                <c:pt idx="237">
                  <c:v>40.998277671958633</c:v>
                </c:pt>
                <c:pt idx="238">
                  <c:v>46.055106132387415</c:v>
                </c:pt>
                <c:pt idx="239">
                  <c:v>46.16362876050178</c:v>
                </c:pt>
                <c:pt idx="240">
                  <c:v>32.438412908590188</c:v>
                </c:pt>
                <c:pt idx="241">
                  <c:v>45.850478658208942</c:v>
                </c:pt>
                <c:pt idx="242">
                  <c:v>20.846036532717207</c:v>
                </c:pt>
                <c:pt idx="243">
                  <c:v>42.366584393807351</c:v>
                </c:pt>
                <c:pt idx="244">
                  <c:v>39.50794443186907</c:v>
                </c:pt>
                <c:pt idx="245">
                  <c:v>37.54593183145834</c:v>
                </c:pt>
                <c:pt idx="246">
                  <c:v>44.865391101137448</c:v>
                </c:pt>
                <c:pt idx="247">
                  <c:v>41.186712895832386</c:v>
                </c:pt>
                <c:pt idx="248">
                  <c:v>44.340528460060305</c:v>
                </c:pt>
                <c:pt idx="249">
                  <c:v>35.471053947363558</c:v>
                </c:pt>
                <c:pt idx="250">
                  <c:v>38.908080323020073</c:v>
                </c:pt>
                <c:pt idx="251">
                  <c:v>20.131312181513266</c:v>
                </c:pt>
                <c:pt idx="252">
                  <c:v>43.944376191055547</c:v>
                </c:pt>
                <c:pt idx="253">
                  <c:v>44.761544501155576</c:v>
                </c:pt>
                <c:pt idx="254">
                  <c:v>31.483236583959648</c:v>
                </c:pt>
                <c:pt idx="255">
                  <c:v>11.374181429290815</c:v>
                </c:pt>
                <c:pt idx="256">
                  <c:v>34.380180838661865</c:v>
                </c:pt>
                <c:pt idx="257">
                  <c:v>39.452527409196684</c:v>
                </c:pt>
                <c:pt idx="258">
                  <c:v>26.272709724339716</c:v>
                </c:pt>
                <c:pt idx="259">
                  <c:v>46.33427174269729</c:v>
                </c:pt>
                <c:pt idx="260">
                  <c:v>44.808190890063962</c:v>
                </c:pt>
                <c:pt idx="261">
                  <c:v>44.249225299927751</c:v>
                </c:pt>
                <c:pt idx="262">
                  <c:v>45.576484714254754</c:v>
                </c:pt>
                <c:pt idx="263">
                  <c:v>44.568910311716337</c:v>
                </c:pt>
                <c:pt idx="264">
                  <c:v>43.337536422202966</c:v>
                </c:pt>
                <c:pt idx="265">
                  <c:v>28.567417648452974</c:v>
                </c:pt>
                <c:pt idx="266">
                  <c:v>20.878065501163324</c:v>
                </c:pt>
                <c:pt idx="267">
                  <c:v>30.788760189277998</c:v>
                </c:pt>
                <c:pt idx="268">
                  <c:v>32.168195671811603</c:v>
                </c:pt>
                <c:pt idx="269">
                  <c:v>15.452646427577932</c:v>
                </c:pt>
                <c:pt idx="270">
                  <c:v>15.109789207590286</c:v>
                </c:pt>
                <c:pt idx="271">
                  <c:v>21.769769055801088</c:v>
                </c:pt>
                <c:pt idx="272">
                  <c:v>31.379709715571806</c:v>
                </c:pt>
                <c:pt idx="273">
                  <c:v>37.983462291674023</c:v>
                </c:pt>
                <c:pt idx="274">
                  <c:v>37.400272756450995</c:v>
                </c:pt>
                <c:pt idx="275">
                  <c:v>34.962028641101156</c:v>
                </c:pt>
                <c:pt idx="276">
                  <c:v>40.942795503632816</c:v>
                </c:pt>
                <c:pt idx="277">
                  <c:v>40.88569928487167</c:v>
                </c:pt>
                <c:pt idx="278">
                  <c:v>15.158973461204804</c:v>
                </c:pt>
                <c:pt idx="279">
                  <c:v>30.22417987608927</c:v>
                </c:pt>
                <c:pt idx="280">
                  <c:v>17.480920874751824</c:v>
                </c:pt>
                <c:pt idx="281">
                  <c:v>38.129953865022031</c:v>
                </c:pt>
                <c:pt idx="282">
                  <c:v>31.12264051074613</c:v>
                </c:pt>
                <c:pt idx="283">
                  <c:v>22.191913408094955</c:v>
                </c:pt>
                <c:pt idx="284">
                  <c:v>31.028315795470348</c:v>
                </c:pt>
                <c:pt idx="285">
                  <c:v>22.453980390973371</c:v>
                </c:pt>
                <c:pt idx="286">
                  <c:v>16.772218498042161</c:v>
                </c:pt>
                <c:pt idx="287">
                  <c:v>37.45329391785296</c:v>
                </c:pt>
                <c:pt idx="288">
                  <c:v>33.813145268934839</c:v>
                </c:pt>
                <c:pt idx="289">
                  <c:v>22.771104328621927</c:v>
                </c:pt>
                <c:pt idx="290">
                  <c:v>34.847356906015889</c:v>
                </c:pt>
                <c:pt idx="291">
                  <c:v>14.835222059154058</c:v>
                </c:pt>
                <c:pt idx="292">
                  <c:v>8.5085696896326084</c:v>
                </c:pt>
                <c:pt idx="293">
                  <c:v>15.550863304655683</c:v>
                </c:pt>
                <c:pt idx="294">
                  <c:v>33.545187792953534</c:v>
                </c:pt>
                <c:pt idx="295">
                  <c:v>19.106001361809998</c:v>
                </c:pt>
                <c:pt idx="296">
                  <c:v>25.48689117336745</c:v>
                </c:pt>
                <c:pt idx="297">
                  <c:v>22.507624122689258</c:v>
                </c:pt>
                <c:pt idx="298">
                  <c:v>12.580657096837527</c:v>
                </c:pt>
                <c:pt idx="299">
                  <c:v>13.782838793382922</c:v>
                </c:pt>
                <c:pt idx="300">
                  <c:v>17.360766255780742</c:v>
                </c:pt>
                <c:pt idx="301">
                  <c:v>25.925111056025752</c:v>
                </c:pt>
                <c:pt idx="302">
                  <c:v>21.227401884251289</c:v>
                </c:pt>
                <c:pt idx="303">
                  <c:v>21.943872293026125</c:v>
                </c:pt>
                <c:pt idx="304">
                  <c:v>23.641517986718512</c:v>
                </c:pt>
                <c:pt idx="305">
                  <c:v>29.622101960711657</c:v>
                </c:pt>
                <c:pt idx="306">
                  <c:v>10.300183086826104</c:v>
                </c:pt>
                <c:pt idx="307">
                  <c:v>12.022907298208379</c:v>
                </c:pt>
                <c:pt idx="308">
                  <c:v>31.582419015328568</c:v>
                </c:pt>
                <c:pt idx="309">
                  <c:v>31.208018732640372</c:v>
                </c:pt>
                <c:pt idx="310">
                  <c:v>29.825719578889498</c:v>
                </c:pt>
                <c:pt idx="311">
                  <c:v>20.399805411622498</c:v>
                </c:pt>
                <c:pt idx="312">
                  <c:v>10.788385987689143</c:v>
                </c:pt>
                <c:pt idx="313">
                  <c:v>24.05700227720142</c:v>
                </c:pt>
                <c:pt idx="314">
                  <c:v>29.979228846992129</c:v>
                </c:pt>
                <c:pt idx="315">
                  <c:v>28.619873113504919</c:v>
                </c:pt>
                <c:pt idx="316">
                  <c:v>28.801837528550678</c:v>
                </c:pt>
                <c:pt idx="317">
                  <c:v>10.763098760641549</c:v>
                </c:pt>
                <c:pt idx="318">
                  <c:v>12.851001687962043</c:v>
                </c:pt>
                <c:pt idx="319">
                  <c:v>28.468077536186453</c:v>
                </c:pt>
                <c:pt idx="320">
                  <c:v>15.208180245766599</c:v>
                </c:pt>
                <c:pt idx="321">
                  <c:v>13.883322086746917</c:v>
                </c:pt>
                <c:pt idx="322">
                  <c:v>5.9866398120809583</c:v>
                </c:pt>
                <c:pt idx="323">
                  <c:v>17.727775171530975</c:v>
                </c:pt>
                <c:pt idx="324">
                  <c:v>3.537745197056076</c:v>
                </c:pt>
                <c:pt idx="325">
                  <c:v>7.8356272543718406</c:v>
                </c:pt>
                <c:pt idx="326">
                  <c:v>12.156013183319722</c:v>
                </c:pt>
                <c:pt idx="327">
                  <c:v>14.357016471329553</c:v>
                </c:pt>
                <c:pt idx="328">
                  <c:v>4.4153589728249196</c:v>
                </c:pt>
                <c:pt idx="329">
                  <c:v>13.695027159887545</c:v>
                </c:pt>
                <c:pt idx="330">
                  <c:v>14.585939707166215</c:v>
                </c:pt>
                <c:pt idx="331">
                  <c:v>9.4154702995672075</c:v>
                </c:pt>
                <c:pt idx="332">
                  <c:v>13.246896983755326</c:v>
                </c:pt>
                <c:pt idx="333">
                  <c:v>4.3084863011547476</c:v>
                </c:pt>
                <c:pt idx="334">
                  <c:v>3.4844636346916111</c:v>
                </c:pt>
                <c:pt idx="335">
                  <c:v>6.5806210979340012</c:v>
                </c:pt>
                <c:pt idx="336">
                  <c:v>7.406402185822123</c:v>
                </c:pt>
                <c:pt idx="337">
                  <c:v>20.527180114577355</c:v>
                </c:pt>
                <c:pt idx="338">
                  <c:v>26.064175102376357</c:v>
                </c:pt>
                <c:pt idx="339">
                  <c:v>11.373105772100265</c:v>
                </c:pt>
                <c:pt idx="340">
                  <c:v>20.431670067781283</c:v>
                </c:pt>
                <c:pt idx="341">
                  <c:v>4.6861052921209074</c:v>
                </c:pt>
                <c:pt idx="342">
                  <c:v>5.7061574607950565</c:v>
                </c:pt>
                <c:pt idx="343">
                  <c:v>14.218139753517875</c:v>
                </c:pt>
                <c:pt idx="344">
                  <c:v>17.335251800927605</c:v>
                </c:pt>
                <c:pt idx="345">
                  <c:v>5.1195000940207835</c:v>
                </c:pt>
                <c:pt idx="346">
                  <c:v>5.6132810958047026</c:v>
                </c:pt>
                <c:pt idx="347">
                  <c:v>17.247036203470895</c:v>
                </c:pt>
                <c:pt idx="348">
                  <c:v>7.2238009240747356</c:v>
                </c:pt>
                <c:pt idx="349">
                  <c:v>4.9073552117932566</c:v>
                </c:pt>
                <c:pt idx="350">
                  <c:v>2.7449449410743725</c:v>
                </c:pt>
                <c:pt idx="351">
                  <c:v>21.640729454596087</c:v>
                </c:pt>
                <c:pt idx="352">
                  <c:v>18.318710255049023</c:v>
                </c:pt>
                <c:pt idx="353">
                  <c:v>4.4630664666817923</c:v>
                </c:pt>
                <c:pt idx="354">
                  <c:v>22.555458980175764</c:v>
                </c:pt>
                <c:pt idx="355">
                  <c:v>17.441786265120964</c:v>
                </c:pt>
                <c:pt idx="356">
                  <c:v>17.99145264067532</c:v>
                </c:pt>
                <c:pt idx="357">
                  <c:v>23.581013619935018</c:v>
                </c:pt>
                <c:pt idx="358">
                  <c:v>13.812540900601594</c:v>
                </c:pt>
                <c:pt idx="359">
                  <c:v>22.802663128639455</c:v>
                </c:pt>
                <c:pt idx="360">
                  <c:v>6.1926518510190105</c:v>
                </c:pt>
                <c:pt idx="361">
                  <c:v>24.140575910686437</c:v>
                </c:pt>
                <c:pt idx="362">
                  <c:v>10.511019799692356</c:v>
                </c:pt>
                <c:pt idx="363">
                  <c:v>15.095521142089559</c:v>
                </c:pt>
                <c:pt idx="364">
                  <c:v>11.415136074057788</c:v>
                </c:pt>
                <c:pt idx="365">
                  <c:v>16.425880463501439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8.7379136703256215</c:v>
                </c:pt>
                <c:pt idx="1">
                  <c:v>2.9482076688576537</c:v>
                </c:pt>
                <c:pt idx="2">
                  <c:v>16.206506378782052</c:v>
                </c:pt>
                <c:pt idx="3">
                  <c:v>24.833475396830352</c:v>
                </c:pt>
                <c:pt idx="4">
                  <c:v>10.420111187197701</c:v>
                </c:pt>
                <c:pt idx="5">
                  <c:v>6.1606346646288772</c:v>
                </c:pt>
                <c:pt idx="6">
                  <c:v>16.839781102579209</c:v>
                </c:pt>
                <c:pt idx="7">
                  <c:v>6.887758510042663</c:v>
                </c:pt>
                <c:pt idx="8">
                  <c:v>6.9701947781596125</c:v>
                </c:pt>
                <c:pt idx="9">
                  <c:v>23.964311446364807</c:v>
                </c:pt>
                <c:pt idx="10">
                  <c:v>4.8383850301072311</c:v>
                </c:pt>
                <c:pt idx="11">
                  <c:v>23.272828996264007</c:v>
                </c:pt>
                <c:pt idx="12">
                  <c:v>12.865087773950528</c:v>
                </c:pt>
                <c:pt idx="13">
                  <c:v>18.410661043912476</c:v>
                </c:pt>
                <c:pt idx="14">
                  <c:v>6.5466547349753359</c:v>
                </c:pt>
                <c:pt idx="15">
                  <c:v>3.3073088294953039</c:v>
                </c:pt>
                <c:pt idx="16">
                  <c:v>5.9924306282261188</c:v>
                </c:pt>
                <c:pt idx="17">
                  <c:v>20.895008268660494</c:v>
                </c:pt>
                <c:pt idx="18">
                  <c:v>9.3997478027469032</c:v>
                </c:pt>
                <c:pt idx="19">
                  <c:v>18.077155215122197</c:v>
                </c:pt>
                <c:pt idx="20">
                  <c:v>5.0339289059709591</c:v>
                </c:pt>
                <c:pt idx="21">
                  <c:v>29.851938592371123</c:v>
                </c:pt>
                <c:pt idx="22">
                  <c:v>29.916807404091067</c:v>
                </c:pt>
                <c:pt idx="23">
                  <c:v>30.203719117507664</c:v>
                </c:pt>
                <c:pt idx="24">
                  <c:v>29.754799495248509</c:v>
                </c:pt>
                <c:pt idx="25">
                  <c:v>30.526641338063278</c:v>
                </c:pt>
                <c:pt idx="26">
                  <c:v>30.251489265808225</c:v>
                </c:pt>
                <c:pt idx="27">
                  <c:v>4.0989439987062202</c:v>
                </c:pt>
                <c:pt idx="28">
                  <c:v>6.0945098810934342</c:v>
                </c:pt>
                <c:pt idx="29">
                  <c:v>4.9980314439359548</c:v>
                </c:pt>
                <c:pt idx="30">
                  <c:v>6.8587804245178186</c:v>
                </c:pt>
                <c:pt idx="31">
                  <c:v>14.191245378651182</c:v>
                </c:pt>
                <c:pt idx="32">
                  <c:v>5.3408981641223461</c:v>
                </c:pt>
                <c:pt idx="33">
                  <c:v>11.682706512587696</c:v>
                </c:pt>
                <c:pt idx="34">
                  <c:v>11.204975903381273</c:v>
                </c:pt>
                <c:pt idx="35">
                  <c:v>10.586704345405286</c:v>
                </c:pt>
                <c:pt idx="36">
                  <c:v>23.362691723806549</c:v>
                </c:pt>
                <c:pt idx="37">
                  <c:v>9.2009494172208228</c:v>
                </c:pt>
                <c:pt idx="38">
                  <c:v>35.537726201880922</c:v>
                </c:pt>
                <c:pt idx="39">
                  <c:v>35.616785660155017</c:v>
                </c:pt>
                <c:pt idx="40">
                  <c:v>33.092867706177103</c:v>
                </c:pt>
                <c:pt idx="41">
                  <c:v>16.65863792988965</c:v>
                </c:pt>
                <c:pt idx="42">
                  <c:v>27.706578774002534</c:v>
                </c:pt>
                <c:pt idx="43">
                  <c:v>33.857818729836879</c:v>
                </c:pt>
                <c:pt idx="44">
                  <c:v>18.78226518675493</c:v>
                </c:pt>
                <c:pt idx="45">
                  <c:v>18.508759824014245</c:v>
                </c:pt>
                <c:pt idx="46">
                  <c:v>8.0498703347854086</c:v>
                </c:pt>
                <c:pt idx="47">
                  <c:v>9.406922118138926</c:v>
                </c:pt>
                <c:pt idx="48">
                  <c:v>30.829661294434452</c:v>
                </c:pt>
                <c:pt idx="49">
                  <c:v>18.797881898100428</c:v>
                </c:pt>
                <c:pt idx="50">
                  <c:v>22.156713992310657</c:v>
                </c:pt>
                <c:pt idx="51">
                  <c:v>21.815601585941558</c:v>
                </c:pt>
                <c:pt idx="52">
                  <c:v>35.722232202780432</c:v>
                </c:pt>
                <c:pt idx="53">
                  <c:v>37.260592729800209</c:v>
                </c:pt>
                <c:pt idx="54">
                  <c:v>21.194726643849393</c:v>
                </c:pt>
                <c:pt idx="55">
                  <c:v>30.824929605829709</c:v>
                </c:pt>
                <c:pt idx="56">
                  <c:v>41.604237208367437</c:v>
                </c:pt>
                <c:pt idx="57">
                  <c:v>28.71196672321204</c:v>
                </c:pt>
                <c:pt idx="58">
                  <c:v>33.265189808080073</c:v>
                </c:pt>
                <c:pt idx="59">
                  <c:v>42.517274157886646</c:v>
                </c:pt>
                <c:pt idx="60">
                  <c:v>10.72237799186269</c:v>
                </c:pt>
                <c:pt idx="61">
                  <c:v>40.200747882409033</c:v>
                </c:pt>
                <c:pt idx="62">
                  <c:v>4.2981102096511465</c:v>
                </c:pt>
                <c:pt idx="63">
                  <c:v>15.280954893571424</c:v>
                </c:pt>
                <c:pt idx="64">
                  <c:v>21.634808631723757</c:v>
                </c:pt>
                <c:pt idx="65">
                  <c:v>32.826448005082703</c:v>
                </c:pt>
                <c:pt idx="66">
                  <c:v>31.490114414358924</c:v>
                </c:pt>
                <c:pt idx="67">
                  <c:v>33.238587200336532</c:v>
                </c:pt>
                <c:pt idx="68">
                  <c:v>24.056203934081889</c:v>
                </c:pt>
                <c:pt idx="69">
                  <c:v>16.039242906793259</c:v>
                </c:pt>
                <c:pt idx="70">
                  <c:v>13.244529366535453</c:v>
                </c:pt>
                <c:pt idx="71">
                  <c:v>12.467199731657781</c:v>
                </c:pt>
                <c:pt idx="72">
                  <c:v>13.171189534381282</c:v>
                </c:pt>
                <c:pt idx="73">
                  <c:v>14.953158507823613</c:v>
                </c:pt>
                <c:pt idx="74">
                  <c:v>10.264039666290428</c:v>
                </c:pt>
                <c:pt idx="75">
                  <c:v>11.114847609301222</c:v>
                </c:pt>
                <c:pt idx="76">
                  <c:v>13.632488584019557</c:v>
                </c:pt>
                <c:pt idx="77">
                  <c:v>31.237022835321</c:v>
                </c:pt>
                <c:pt idx="78">
                  <c:v>32.206273096472003</c:v>
                </c:pt>
                <c:pt idx="79">
                  <c:v>46.44195457854341</c:v>
                </c:pt>
                <c:pt idx="80">
                  <c:v>40.983127319891082</c:v>
                </c:pt>
                <c:pt idx="81">
                  <c:v>48.259953917902479</c:v>
                </c:pt>
                <c:pt idx="82">
                  <c:v>45.424596876194187</c:v>
                </c:pt>
                <c:pt idx="83">
                  <c:v>41.353406492791912</c:v>
                </c:pt>
                <c:pt idx="84">
                  <c:v>44.91850990520097</c:v>
                </c:pt>
                <c:pt idx="85">
                  <c:v>45.65751234042974</c:v>
                </c:pt>
                <c:pt idx="86">
                  <c:v>35.027949880675216</c:v>
                </c:pt>
                <c:pt idx="87">
                  <c:v>27.605330707627235</c:v>
                </c:pt>
                <c:pt idx="88">
                  <c:v>7.2060113929297058</c:v>
                </c:pt>
                <c:pt idx="89">
                  <c:v>21.450022340993566</c:v>
                </c:pt>
                <c:pt idx="90">
                  <c:v>31.951572158829055</c:v>
                </c:pt>
                <c:pt idx="91">
                  <c:v>19.599011245957215</c:v>
                </c:pt>
                <c:pt idx="92">
                  <c:v>25.029532297876852</c:v>
                </c:pt>
                <c:pt idx="93">
                  <c:v>43.893911048533703</c:v>
                </c:pt>
                <c:pt idx="94">
                  <c:v>50.583437431984073</c:v>
                </c:pt>
                <c:pt idx="95">
                  <c:v>11.879761279867964</c:v>
                </c:pt>
                <c:pt idx="96">
                  <c:v>39.130808846085671</c:v>
                </c:pt>
                <c:pt idx="97">
                  <c:v>31.749464856448853</c:v>
                </c:pt>
                <c:pt idx="98">
                  <c:v>34.651255170893037</c:v>
                </c:pt>
                <c:pt idx="99">
                  <c:v>52.972160232284573</c:v>
                </c:pt>
                <c:pt idx="100">
                  <c:v>43.71129529654398</c:v>
                </c:pt>
                <c:pt idx="101">
                  <c:v>2.469834956334068</c:v>
                </c:pt>
                <c:pt idx="102">
                  <c:v>0</c:v>
                </c:pt>
                <c:pt idx="103">
                  <c:v>41.483714695184005</c:v>
                </c:pt>
                <c:pt idx="104">
                  <c:v>46.169733717402615</c:v>
                </c:pt>
                <c:pt idx="105">
                  <c:v>41.539666851364707</c:v>
                </c:pt>
                <c:pt idx="106">
                  <c:v>52.454235975085737</c:v>
                </c:pt>
                <c:pt idx="107">
                  <c:v>37.403318294226601</c:v>
                </c:pt>
                <c:pt idx="108">
                  <c:v>8.953077034354461</c:v>
                </c:pt>
                <c:pt idx="109">
                  <c:v>10.101005928654041</c:v>
                </c:pt>
                <c:pt idx="110">
                  <c:v>9.1222571153661942</c:v>
                </c:pt>
                <c:pt idx="111">
                  <c:v>27.580479846462982</c:v>
                </c:pt>
                <c:pt idx="112">
                  <c:v>9.4765764679952103</c:v>
                </c:pt>
                <c:pt idx="113">
                  <c:v>24.358663484859132</c:v>
                </c:pt>
                <c:pt idx="114">
                  <c:v>46.196430586617787</c:v>
                </c:pt>
                <c:pt idx="115">
                  <c:v>51.664134682960707</c:v>
                </c:pt>
                <c:pt idx="116">
                  <c:v>38.079997727106914</c:v>
                </c:pt>
                <c:pt idx="117">
                  <c:v>20.478964571069504</c:v>
                </c:pt>
                <c:pt idx="118">
                  <c:v>41.457150685323882</c:v>
                </c:pt>
                <c:pt idx="119">
                  <c:v>40.422953152604912</c:v>
                </c:pt>
                <c:pt idx="120">
                  <c:v>47.303999260499189</c:v>
                </c:pt>
                <c:pt idx="121">
                  <c:v>27.707689556579837</c:v>
                </c:pt>
                <c:pt idx="122">
                  <c:v>31.644325059743057</c:v>
                </c:pt>
                <c:pt idx="123">
                  <c:v>18.663108364423707</c:v>
                </c:pt>
                <c:pt idx="124">
                  <c:v>39.191906822508763</c:v>
                </c:pt>
                <c:pt idx="125">
                  <c:v>36.598108565270998</c:v>
                </c:pt>
                <c:pt idx="126">
                  <c:v>47.353044138612198</c:v>
                </c:pt>
                <c:pt idx="127">
                  <c:v>49.395995702806502</c:v>
                </c:pt>
                <c:pt idx="128">
                  <c:v>53.72970553518617</c:v>
                </c:pt>
                <c:pt idx="129">
                  <c:v>51.204555360314686</c:v>
                </c:pt>
                <c:pt idx="130">
                  <c:v>54.924314105540724</c:v>
                </c:pt>
                <c:pt idx="131">
                  <c:v>42.27817630900757</c:v>
                </c:pt>
                <c:pt idx="132">
                  <c:v>38.709725061622095</c:v>
                </c:pt>
                <c:pt idx="133">
                  <c:v>50.51936699694653</c:v>
                </c:pt>
                <c:pt idx="134">
                  <c:v>51.536978183202031</c:v>
                </c:pt>
                <c:pt idx="135">
                  <c:v>49.62123781343459</c:v>
                </c:pt>
                <c:pt idx="136">
                  <c:v>53.126673599910283</c:v>
                </c:pt>
                <c:pt idx="137">
                  <c:v>51.463812316985276</c:v>
                </c:pt>
                <c:pt idx="138">
                  <c:v>53.757428466948248</c:v>
                </c:pt>
                <c:pt idx="139">
                  <c:v>48.755551062111572</c:v>
                </c:pt>
                <c:pt idx="140">
                  <c:v>49.34811892651485</c:v>
                </c:pt>
                <c:pt idx="141">
                  <c:v>37.745520094447357</c:v>
                </c:pt>
                <c:pt idx="142">
                  <c:v>17.628111007870309</c:v>
                </c:pt>
                <c:pt idx="143">
                  <c:v>16.755754444397347</c:v>
                </c:pt>
                <c:pt idx="144">
                  <c:v>39.028575607964108</c:v>
                </c:pt>
                <c:pt idx="145">
                  <c:v>26.556631395436511</c:v>
                </c:pt>
                <c:pt idx="146">
                  <c:v>42.319427068352198</c:v>
                </c:pt>
                <c:pt idx="147">
                  <c:v>52.121227146434926</c:v>
                </c:pt>
                <c:pt idx="148">
                  <c:v>56.427828668764221</c:v>
                </c:pt>
                <c:pt idx="149">
                  <c:v>47.277116884346363</c:v>
                </c:pt>
                <c:pt idx="150">
                  <c:v>52.52548226001948</c:v>
                </c:pt>
                <c:pt idx="151">
                  <c:v>53.384528836749169</c:v>
                </c:pt>
                <c:pt idx="152">
                  <c:v>42.256103896343397</c:v>
                </c:pt>
                <c:pt idx="153">
                  <c:v>53.075339894657446</c:v>
                </c:pt>
                <c:pt idx="154">
                  <c:v>21.979825196016328</c:v>
                </c:pt>
                <c:pt idx="155">
                  <c:v>31.0079804149062</c:v>
                </c:pt>
                <c:pt idx="156">
                  <c:v>46.452964657210771</c:v>
                </c:pt>
                <c:pt idx="157">
                  <c:v>27.194777446419668</c:v>
                </c:pt>
                <c:pt idx="158">
                  <c:v>20.218382671520157</c:v>
                </c:pt>
                <c:pt idx="159">
                  <c:v>44.91841872645653</c:v>
                </c:pt>
                <c:pt idx="160">
                  <c:v>54.996453606171151</c:v>
                </c:pt>
                <c:pt idx="161">
                  <c:v>53.496202774529337</c:v>
                </c:pt>
                <c:pt idx="162">
                  <c:v>41.003176187599806</c:v>
                </c:pt>
                <c:pt idx="163">
                  <c:v>50.368349216368991</c:v>
                </c:pt>
                <c:pt idx="164">
                  <c:v>47.95313257566395</c:v>
                </c:pt>
                <c:pt idx="165">
                  <c:v>51.478252115844462</c:v>
                </c:pt>
                <c:pt idx="166">
                  <c:v>49.954424351527159</c:v>
                </c:pt>
                <c:pt idx="167">
                  <c:v>50.604556575452804</c:v>
                </c:pt>
                <c:pt idx="168">
                  <c:v>52.307668051389953</c:v>
                </c:pt>
                <c:pt idx="169">
                  <c:v>53.406135384305422</c:v>
                </c:pt>
                <c:pt idx="170">
                  <c:v>33.684383917393106</c:v>
                </c:pt>
                <c:pt idx="171">
                  <c:v>23.813944510913238</c:v>
                </c:pt>
                <c:pt idx="172">
                  <c:v>42.049545840708966</c:v>
                </c:pt>
                <c:pt idx="173">
                  <c:v>41.681605388346604</c:v>
                </c:pt>
                <c:pt idx="174">
                  <c:v>39.700849474372141</c:v>
                </c:pt>
                <c:pt idx="175">
                  <c:v>34.062425242679133</c:v>
                </c:pt>
                <c:pt idx="176">
                  <c:v>11.036453690170823</c:v>
                </c:pt>
                <c:pt idx="177">
                  <c:v>10.347765284944941</c:v>
                </c:pt>
                <c:pt idx="178">
                  <c:v>53.285564656140465</c:v>
                </c:pt>
                <c:pt idx="179">
                  <c:v>54.117926579708964</c:v>
                </c:pt>
                <c:pt idx="180">
                  <c:v>12.323798308984413</c:v>
                </c:pt>
                <c:pt idx="181">
                  <c:v>46.122840113487484</c:v>
                </c:pt>
                <c:pt idx="182">
                  <c:v>53.082430411908675</c:v>
                </c:pt>
                <c:pt idx="183">
                  <c:v>45.909904573011659</c:v>
                </c:pt>
                <c:pt idx="184">
                  <c:v>43.782449523678615</c:v>
                </c:pt>
                <c:pt idx="185">
                  <c:v>53.313333771165425</c:v>
                </c:pt>
                <c:pt idx="186">
                  <c:v>43.675363131167302</c:v>
                </c:pt>
                <c:pt idx="187">
                  <c:v>51.593387112387759</c:v>
                </c:pt>
                <c:pt idx="188">
                  <c:v>54.074423855876532</c:v>
                </c:pt>
                <c:pt idx="189">
                  <c:v>53.462731981438836</c:v>
                </c:pt>
                <c:pt idx="190">
                  <c:v>53.113343519387243</c:v>
                </c:pt>
                <c:pt idx="191">
                  <c:v>51.850709825519864</c:v>
                </c:pt>
                <c:pt idx="192">
                  <c:v>51.407443001454595</c:v>
                </c:pt>
                <c:pt idx="193">
                  <c:v>51.670237052014599</c:v>
                </c:pt>
                <c:pt idx="194">
                  <c:v>50.869637829466008</c:v>
                </c:pt>
                <c:pt idx="195">
                  <c:v>48.792865036478695</c:v>
                </c:pt>
                <c:pt idx="196">
                  <c:v>50.644224418106624</c:v>
                </c:pt>
                <c:pt idx="197">
                  <c:v>50.619551561681128</c:v>
                </c:pt>
                <c:pt idx="198">
                  <c:v>51.413839305654491</c:v>
                </c:pt>
                <c:pt idx="199">
                  <c:v>35.121941817618833</c:v>
                </c:pt>
                <c:pt idx="200">
                  <c:v>39.983472773202251</c:v>
                </c:pt>
                <c:pt idx="201">
                  <c:v>49.904820069434031</c:v>
                </c:pt>
                <c:pt idx="202">
                  <c:v>38.091456525645164</c:v>
                </c:pt>
                <c:pt idx="203">
                  <c:v>42.500051649216751</c:v>
                </c:pt>
                <c:pt idx="204">
                  <c:v>50.321536205979399</c:v>
                </c:pt>
                <c:pt idx="205">
                  <c:v>25.867790510883196</c:v>
                </c:pt>
                <c:pt idx="206">
                  <c:v>49.179310702592602</c:v>
                </c:pt>
                <c:pt idx="207">
                  <c:v>53.251508471418404</c:v>
                </c:pt>
                <c:pt idx="208">
                  <c:v>42.309180575221859</c:v>
                </c:pt>
                <c:pt idx="209">
                  <c:v>28.183898595943056</c:v>
                </c:pt>
                <c:pt idx="210">
                  <c:v>42.475096306982174</c:v>
                </c:pt>
                <c:pt idx="211">
                  <c:v>51.061713590135298</c:v>
                </c:pt>
                <c:pt idx="212">
                  <c:v>50.989912292187967</c:v>
                </c:pt>
                <c:pt idx="213">
                  <c:v>51.04012185440962</c:v>
                </c:pt>
                <c:pt idx="214">
                  <c:v>49.427108327374569</c:v>
                </c:pt>
                <c:pt idx="215">
                  <c:v>48.89483957964736</c:v>
                </c:pt>
                <c:pt idx="216">
                  <c:v>44.086909726415186</c:v>
                </c:pt>
                <c:pt idx="217">
                  <c:v>46.608829544556187</c:v>
                </c:pt>
                <c:pt idx="218">
                  <c:v>49.722917316823619</c:v>
                </c:pt>
                <c:pt idx="219">
                  <c:v>50.331202586397296</c:v>
                </c:pt>
                <c:pt idx="220">
                  <c:v>48.494687266664876</c:v>
                </c:pt>
                <c:pt idx="221">
                  <c:v>47.104652808510558</c:v>
                </c:pt>
                <c:pt idx="222">
                  <c:v>44.571096801314546</c:v>
                </c:pt>
                <c:pt idx="223">
                  <c:v>45.966208539659874</c:v>
                </c:pt>
                <c:pt idx="224">
                  <c:v>36.081841023517875</c:v>
                </c:pt>
                <c:pt idx="225">
                  <c:v>33.049661521460777</c:v>
                </c:pt>
                <c:pt idx="226">
                  <c:v>37.481053208136217</c:v>
                </c:pt>
                <c:pt idx="227">
                  <c:v>34.711636303293481</c:v>
                </c:pt>
                <c:pt idx="228">
                  <c:v>25.338480199574729</c:v>
                </c:pt>
                <c:pt idx="229">
                  <c:v>33.712271195385732</c:v>
                </c:pt>
                <c:pt idx="230">
                  <c:v>34.400675177264837</c:v>
                </c:pt>
                <c:pt idx="231">
                  <c:v>48.520707134705724</c:v>
                </c:pt>
                <c:pt idx="232">
                  <c:v>32.244205405530998</c:v>
                </c:pt>
                <c:pt idx="233">
                  <c:v>23.083010656865021</c:v>
                </c:pt>
                <c:pt idx="234">
                  <c:v>44.787182127264884</c:v>
                </c:pt>
                <c:pt idx="235">
                  <c:v>46.233566156474069</c:v>
                </c:pt>
                <c:pt idx="236">
                  <c:v>29.85590203436437</c:v>
                </c:pt>
                <c:pt idx="237">
                  <c:v>40.998277671958633</c:v>
                </c:pt>
                <c:pt idx="238">
                  <c:v>46.055106132387415</c:v>
                </c:pt>
                <c:pt idx="239">
                  <c:v>46.16362876050178</c:v>
                </c:pt>
                <c:pt idx="240">
                  <c:v>32.438412908590188</c:v>
                </c:pt>
                <c:pt idx="241">
                  <c:v>45.850478658208942</c:v>
                </c:pt>
                <c:pt idx="242">
                  <c:v>20.846036532717207</c:v>
                </c:pt>
                <c:pt idx="243">
                  <c:v>42.366584393807351</c:v>
                </c:pt>
                <c:pt idx="244">
                  <c:v>39.50794443186907</c:v>
                </c:pt>
                <c:pt idx="245">
                  <c:v>37.54593183145834</c:v>
                </c:pt>
                <c:pt idx="246">
                  <c:v>44.865391101137448</c:v>
                </c:pt>
                <c:pt idx="247">
                  <c:v>41.186712895832386</c:v>
                </c:pt>
                <c:pt idx="248">
                  <c:v>44.340528460060305</c:v>
                </c:pt>
                <c:pt idx="249">
                  <c:v>35.471053947363558</c:v>
                </c:pt>
                <c:pt idx="250">
                  <c:v>38.908080323020073</c:v>
                </c:pt>
                <c:pt idx="251">
                  <c:v>20.131312181513266</c:v>
                </c:pt>
                <c:pt idx="252">
                  <c:v>43.944376191055547</c:v>
                </c:pt>
                <c:pt idx="253">
                  <c:v>44.761544501155576</c:v>
                </c:pt>
                <c:pt idx="254">
                  <c:v>31.483236583959648</c:v>
                </c:pt>
                <c:pt idx="255">
                  <c:v>11.374181429290815</c:v>
                </c:pt>
                <c:pt idx="256">
                  <c:v>34.380180838661865</c:v>
                </c:pt>
                <c:pt idx="257">
                  <c:v>39.452527409196684</c:v>
                </c:pt>
                <c:pt idx="258">
                  <c:v>26.272709724339716</c:v>
                </c:pt>
                <c:pt idx="259">
                  <c:v>46.33427174269729</c:v>
                </c:pt>
                <c:pt idx="260">
                  <c:v>44.808190890063962</c:v>
                </c:pt>
                <c:pt idx="261">
                  <c:v>44.249225299927751</c:v>
                </c:pt>
                <c:pt idx="262">
                  <c:v>45.576484714254754</c:v>
                </c:pt>
                <c:pt idx="263">
                  <c:v>44.568910311716337</c:v>
                </c:pt>
                <c:pt idx="264">
                  <c:v>43.337536422202966</c:v>
                </c:pt>
                <c:pt idx="265">
                  <c:v>28.567417648452974</c:v>
                </c:pt>
                <c:pt idx="266">
                  <c:v>20.878065501163324</c:v>
                </c:pt>
                <c:pt idx="267">
                  <c:v>30.788760189277998</c:v>
                </c:pt>
                <c:pt idx="268">
                  <c:v>32.168195671811603</c:v>
                </c:pt>
                <c:pt idx="269">
                  <c:v>15.452646427577932</c:v>
                </c:pt>
                <c:pt idx="270">
                  <c:v>15.109789207590286</c:v>
                </c:pt>
                <c:pt idx="271">
                  <c:v>21.769769055801088</c:v>
                </c:pt>
                <c:pt idx="272">
                  <c:v>31.379709715571806</c:v>
                </c:pt>
                <c:pt idx="273">
                  <c:v>37.983462291674023</c:v>
                </c:pt>
                <c:pt idx="274">
                  <c:v>37.400272756450995</c:v>
                </c:pt>
                <c:pt idx="275">
                  <c:v>34.962028641101156</c:v>
                </c:pt>
                <c:pt idx="276">
                  <c:v>40.942795503632816</c:v>
                </c:pt>
                <c:pt idx="277">
                  <c:v>40.88569928487167</c:v>
                </c:pt>
                <c:pt idx="278">
                  <c:v>15.158973461204804</c:v>
                </c:pt>
                <c:pt idx="279">
                  <c:v>30.22417987608927</c:v>
                </c:pt>
                <c:pt idx="280">
                  <c:v>17.480920874751824</c:v>
                </c:pt>
                <c:pt idx="281">
                  <c:v>38.129953865022031</c:v>
                </c:pt>
                <c:pt idx="282">
                  <c:v>31.12264051074613</c:v>
                </c:pt>
                <c:pt idx="283">
                  <c:v>22.191913408094955</c:v>
                </c:pt>
                <c:pt idx="284">
                  <c:v>31.028315795470348</c:v>
                </c:pt>
                <c:pt idx="285">
                  <c:v>22.453980390973371</c:v>
                </c:pt>
                <c:pt idx="286">
                  <c:v>16.772218498042161</c:v>
                </c:pt>
                <c:pt idx="287">
                  <c:v>37.45329391785296</c:v>
                </c:pt>
                <c:pt idx="288">
                  <c:v>33.813145268934839</c:v>
                </c:pt>
                <c:pt idx="289">
                  <c:v>22.771104328621927</c:v>
                </c:pt>
                <c:pt idx="290">
                  <c:v>34.847356906015889</c:v>
                </c:pt>
                <c:pt idx="291">
                  <c:v>14.835222059154058</c:v>
                </c:pt>
                <c:pt idx="292">
                  <c:v>8.5085696896326084</c:v>
                </c:pt>
                <c:pt idx="293">
                  <c:v>15.550863304655683</c:v>
                </c:pt>
                <c:pt idx="294">
                  <c:v>33.545187792953534</c:v>
                </c:pt>
                <c:pt idx="295">
                  <c:v>19.106001361809998</c:v>
                </c:pt>
                <c:pt idx="296">
                  <c:v>25.48689117336745</c:v>
                </c:pt>
                <c:pt idx="297">
                  <c:v>22.507624122689258</c:v>
                </c:pt>
                <c:pt idx="298">
                  <c:v>12.580657096837527</c:v>
                </c:pt>
                <c:pt idx="299">
                  <c:v>13.782838793382922</c:v>
                </c:pt>
                <c:pt idx="300">
                  <c:v>17.360766255780742</c:v>
                </c:pt>
                <c:pt idx="301">
                  <c:v>25.925111056025752</c:v>
                </c:pt>
                <c:pt idx="302">
                  <c:v>21.227401884251289</c:v>
                </c:pt>
                <c:pt idx="303">
                  <c:v>21.943872293026125</c:v>
                </c:pt>
                <c:pt idx="304">
                  <c:v>23.641517986718512</c:v>
                </c:pt>
                <c:pt idx="305">
                  <c:v>29.622101960711657</c:v>
                </c:pt>
                <c:pt idx="306">
                  <c:v>10.300183086826104</c:v>
                </c:pt>
                <c:pt idx="307">
                  <c:v>12.022907298208379</c:v>
                </c:pt>
                <c:pt idx="308">
                  <c:v>31.582419015328568</c:v>
                </c:pt>
                <c:pt idx="309">
                  <c:v>31.208018732640372</c:v>
                </c:pt>
                <c:pt idx="310">
                  <c:v>29.825719578889498</c:v>
                </c:pt>
                <c:pt idx="311">
                  <c:v>20.399805411622498</c:v>
                </c:pt>
                <c:pt idx="312">
                  <c:v>10.788385987689143</c:v>
                </c:pt>
                <c:pt idx="313">
                  <c:v>24.05700227720142</c:v>
                </c:pt>
                <c:pt idx="314">
                  <c:v>29.979228846992129</c:v>
                </c:pt>
                <c:pt idx="315">
                  <c:v>28.619873113504919</c:v>
                </c:pt>
                <c:pt idx="316">
                  <c:v>28.801837528550678</c:v>
                </c:pt>
                <c:pt idx="317">
                  <c:v>10.763098760641549</c:v>
                </c:pt>
                <c:pt idx="318">
                  <c:v>12.851001687962043</c:v>
                </c:pt>
                <c:pt idx="319">
                  <c:v>28.468077536186453</c:v>
                </c:pt>
                <c:pt idx="320">
                  <c:v>15.208180245766599</c:v>
                </c:pt>
                <c:pt idx="321">
                  <c:v>13.883322086746917</c:v>
                </c:pt>
                <c:pt idx="322">
                  <c:v>5.9866398120809583</c:v>
                </c:pt>
                <c:pt idx="323">
                  <c:v>17.727775171530975</c:v>
                </c:pt>
                <c:pt idx="324">
                  <c:v>3.537745197056076</c:v>
                </c:pt>
                <c:pt idx="325">
                  <c:v>7.8356272543718406</c:v>
                </c:pt>
                <c:pt idx="326">
                  <c:v>12.156013183319722</c:v>
                </c:pt>
                <c:pt idx="327">
                  <c:v>14.357016471329553</c:v>
                </c:pt>
                <c:pt idx="328">
                  <c:v>4.4153589728249196</c:v>
                </c:pt>
                <c:pt idx="329">
                  <c:v>13.695027159887545</c:v>
                </c:pt>
                <c:pt idx="330">
                  <c:v>14.585939707166215</c:v>
                </c:pt>
                <c:pt idx="331">
                  <c:v>9.4154702995672075</c:v>
                </c:pt>
                <c:pt idx="332">
                  <c:v>13.246896983755326</c:v>
                </c:pt>
                <c:pt idx="333">
                  <c:v>4.3084863011547476</c:v>
                </c:pt>
                <c:pt idx="334">
                  <c:v>3.4844636346916111</c:v>
                </c:pt>
                <c:pt idx="335">
                  <c:v>6.5806210979340012</c:v>
                </c:pt>
                <c:pt idx="336">
                  <c:v>7.406402185822123</c:v>
                </c:pt>
                <c:pt idx="337">
                  <c:v>20.527180114577355</c:v>
                </c:pt>
                <c:pt idx="338">
                  <c:v>26.064175102376357</c:v>
                </c:pt>
                <c:pt idx="339">
                  <c:v>11.373105772100265</c:v>
                </c:pt>
                <c:pt idx="340">
                  <c:v>20.431670067781283</c:v>
                </c:pt>
                <c:pt idx="341">
                  <c:v>4.6861052921209074</c:v>
                </c:pt>
                <c:pt idx="342">
                  <c:v>5.7061574607950565</c:v>
                </c:pt>
                <c:pt idx="343">
                  <c:v>14.218139753517875</c:v>
                </c:pt>
                <c:pt idx="344">
                  <c:v>17.335251800927605</c:v>
                </c:pt>
                <c:pt idx="345">
                  <c:v>5.1195000940207835</c:v>
                </c:pt>
                <c:pt idx="346">
                  <c:v>5.6132810958047026</c:v>
                </c:pt>
                <c:pt idx="347">
                  <c:v>17.247036203470895</c:v>
                </c:pt>
                <c:pt idx="348">
                  <c:v>7.2238009240747356</c:v>
                </c:pt>
                <c:pt idx="349">
                  <c:v>4.9073552117932566</c:v>
                </c:pt>
                <c:pt idx="350">
                  <c:v>2.7449449410743725</c:v>
                </c:pt>
                <c:pt idx="351">
                  <c:v>21.640729454596087</c:v>
                </c:pt>
                <c:pt idx="352">
                  <c:v>18.318710255049023</c:v>
                </c:pt>
                <c:pt idx="353">
                  <c:v>4.4630664666817923</c:v>
                </c:pt>
                <c:pt idx="354">
                  <c:v>22.555458980175764</c:v>
                </c:pt>
                <c:pt idx="355">
                  <c:v>17.441786265120964</c:v>
                </c:pt>
                <c:pt idx="356">
                  <c:v>17.99145264067532</c:v>
                </c:pt>
                <c:pt idx="357">
                  <c:v>23.581013619935018</c:v>
                </c:pt>
                <c:pt idx="358">
                  <c:v>13.812540900601594</c:v>
                </c:pt>
                <c:pt idx="359">
                  <c:v>22.802663128639455</c:v>
                </c:pt>
                <c:pt idx="360">
                  <c:v>6.1926518510190105</c:v>
                </c:pt>
                <c:pt idx="361">
                  <c:v>24.140575910686437</c:v>
                </c:pt>
                <c:pt idx="362">
                  <c:v>10.511019799692356</c:v>
                </c:pt>
                <c:pt idx="363">
                  <c:v>15.095521142089559</c:v>
                </c:pt>
                <c:pt idx="364">
                  <c:v>11.415136074057788</c:v>
                </c:pt>
                <c:pt idx="365">
                  <c:v>16.425880463501439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898496"/>
        <c:axId val="237898888"/>
      </c:lineChart>
      <c:dateAx>
        <c:axId val="23789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898888"/>
        <c:crosses val="autoZero"/>
        <c:auto val="1"/>
        <c:lblOffset val="100"/>
        <c:baseTimeUnit val="days"/>
        <c:majorUnit val="1"/>
        <c:majorTimeUnit val="months"/>
      </c:dateAx>
      <c:valAx>
        <c:axId val="2378988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8984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4.3886692154114559E-2</c:v>
                </c:pt>
                <c:pt idx="1">
                  <c:v>4.3907633489356557E-2</c:v>
                </c:pt>
                <c:pt idx="2">
                  <c:v>4.3928574365929451E-2</c:v>
                </c:pt>
                <c:pt idx="3">
                  <c:v>4.3949514783843568E-2</c:v>
                </c:pt>
                <c:pt idx="4">
                  <c:v>4.3970454743108678E-2</c:v>
                </c:pt>
                <c:pt idx="5">
                  <c:v>4.3991394243734883E-2</c:v>
                </c:pt>
                <c:pt idx="6">
                  <c:v>4.4012333285732397E-2</c:v>
                </c:pt>
                <c:pt idx="7">
                  <c:v>4.4033271869111101E-2</c:v>
                </c:pt>
                <c:pt idx="8">
                  <c:v>4.4054209993881099E-2</c:v>
                </c:pt>
                <c:pt idx="9">
                  <c:v>4.4075147660052383E-2</c:v>
                </c:pt>
                <c:pt idx="10">
                  <c:v>4.4096084867635166E-2</c:v>
                </c:pt>
                <c:pt idx="11">
                  <c:v>4.4117021616639218E-2</c:v>
                </c:pt>
                <c:pt idx="12">
                  <c:v>4.4137957907074865E-2</c:v>
                </c:pt>
                <c:pt idx="13">
                  <c:v>4.4158893738951988E-2</c:v>
                </c:pt>
                <c:pt idx="14">
                  <c:v>4.4179829112280578E-2</c:v>
                </c:pt>
                <c:pt idx="15">
                  <c:v>4.4200764027070849E-2</c:v>
                </c:pt>
                <c:pt idx="16">
                  <c:v>4.4221698483332683E-2</c:v>
                </c:pt>
                <c:pt idx="17">
                  <c:v>4.4242632481076294E-2</c:v>
                </c:pt>
                <c:pt idx="18">
                  <c:v>4.4263566020311562E-2</c:v>
                </c:pt>
                <c:pt idx="19">
                  <c:v>4.4284499101048591E-2</c:v>
                </c:pt>
                <c:pt idx="20">
                  <c:v>4.4305431723297484E-2</c:v>
                </c:pt>
                <c:pt idx="21">
                  <c:v>4.4326363887068232E-2</c:v>
                </c:pt>
                <c:pt idx="22">
                  <c:v>4.4347295592370828E-2</c:v>
                </c:pt>
                <c:pt idx="23">
                  <c:v>4.4368226839215374E-2</c:v>
                </c:pt>
                <c:pt idx="24">
                  <c:v>4.4389157627611864E-2</c:v>
                </c:pt>
                <c:pt idx="25">
                  <c:v>4.4410087957570399E-2</c:v>
                </c:pt>
                <c:pt idx="26">
                  <c:v>4.4431017829100972E-2</c:v>
                </c:pt>
                <c:pt idx="27">
                  <c:v>4.4451947242213685E-2</c:v>
                </c:pt>
                <c:pt idx="28">
                  <c:v>4.4472876196918532E-2</c:v>
                </c:pt>
                <c:pt idx="29">
                  <c:v>4.4493804693225503E-2</c:v>
                </c:pt>
                <c:pt idx="30">
                  <c:v>4.4514732731144702E-2</c:v>
                </c:pt>
                <c:pt idx="31">
                  <c:v>4.4535660310686231E-2</c:v>
                </c:pt>
                <c:pt idx="32">
                  <c:v>4.4556587431859973E-2</c:v>
                </c:pt>
                <c:pt idx="33">
                  <c:v>4.4577514094676141E-2</c:v>
                </c:pt>
                <c:pt idx="34">
                  <c:v>4.4598440299144615E-2</c:v>
                </c:pt>
                <c:pt idx="35">
                  <c:v>4.4619366045275499E-2</c:v>
                </c:pt>
                <c:pt idx="36">
                  <c:v>4.4640291333078896E-2</c:v>
                </c:pt>
                <c:pt idx="37">
                  <c:v>4.4661216162564799E-2</c:v>
                </c:pt>
                <c:pt idx="38">
                  <c:v>4.4682140533743198E-2</c:v>
                </c:pt>
                <c:pt idx="39">
                  <c:v>4.4703064446624086E-2</c:v>
                </c:pt>
                <c:pt idx="40">
                  <c:v>4.4723987901217677E-2</c:v>
                </c:pt>
                <c:pt idx="41">
                  <c:v>4.4744910897533963E-2</c:v>
                </c:pt>
                <c:pt idx="42">
                  <c:v>4.4765833435582825E-2</c:v>
                </c:pt>
                <c:pt idx="43">
                  <c:v>4.4786755515374477E-2</c:v>
                </c:pt>
                <c:pt idx="44">
                  <c:v>4.48076771369188E-2</c:v>
                </c:pt>
                <c:pt idx="45">
                  <c:v>4.4828598300226008E-2</c:v>
                </c:pt>
                <c:pt idx="46">
                  <c:v>4.4849519005305982E-2</c:v>
                </c:pt>
                <c:pt idx="47">
                  <c:v>4.4870439252168937E-2</c:v>
                </c:pt>
                <c:pt idx="48">
                  <c:v>4.4891359040824641E-2</c:v>
                </c:pt>
                <c:pt idx="49">
                  <c:v>4.4912278371283421E-2</c:v>
                </c:pt>
                <c:pt idx="50">
                  <c:v>4.4933197243555045E-2</c:v>
                </c:pt>
                <c:pt idx="51">
                  <c:v>4.4954115657649729E-2</c:v>
                </c:pt>
                <c:pt idx="52">
                  <c:v>4.4975033613577575E-2</c:v>
                </c:pt>
                <c:pt idx="53">
                  <c:v>4.4995951111348353E-2</c:v>
                </c:pt>
                <c:pt idx="54">
                  <c:v>4.5016868150972278E-2</c:v>
                </c:pt>
                <c:pt idx="55">
                  <c:v>4.5037784732459341E-2</c:v>
                </c:pt>
                <c:pt idx="56">
                  <c:v>4.5058700855819644E-2</c:v>
                </c:pt>
                <c:pt idx="57">
                  <c:v>4.5079616521063182E-2</c:v>
                </c:pt>
                <c:pt idx="58">
                  <c:v>4.5100531728199944E-2</c:v>
                </c:pt>
                <c:pt idx="59">
                  <c:v>4.5121446477239924E-2</c:v>
                </c:pt>
                <c:pt idx="60">
                  <c:v>4.5142360768193335E-2</c:v>
                </c:pt>
                <c:pt idx="61">
                  <c:v>4.5163274601070058E-2</c:v>
                </c:pt>
                <c:pt idx="62">
                  <c:v>4.5184187975880086E-2</c:v>
                </c:pt>
                <c:pt idx="63">
                  <c:v>4.5205100892633632E-2</c:v>
                </c:pt>
                <c:pt idx="64">
                  <c:v>4.5226013351340577E-2</c:v>
                </c:pt>
                <c:pt idx="65">
                  <c:v>4.5246925352011025E-2</c:v>
                </c:pt>
                <c:pt idx="66">
                  <c:v>4.5267836894654967E-2</c:v>
                </c:pt>
                <c:pt idx="67">
                  <c:v>4.5288747979282507E-2</c:v>
                </c:pt>
                <c:pt idx="68">
                  <c:v>4.5309658605903635E-2</c:v>
                </c:pt>
                <c:pt idx="69">
                  <c:v>4.5330568774528346E-2</c:v>
                </c:pt>
                <c:pt idx="70">
                  <c:v>4.535147848516663E-2</c:v>
                </c:pt>
                <c:pt idx="71">
                  <c:v>4.5372387737828701E-2</c:v>
                </c:pt>
                <c:pt idx="72">
                  <c:v>4.5393296532524441E-2</c:v>
                </c:pt>
                <c:pt idx="73">
                  <c:v>4.5414204869263841E-2</c:v>
                </c:pt>
                <c:pt idx="74">
                  <c:v>4.5435112748057116E-2</c:v>
                </c:pt>
                <c:pt idx="75">
                  <c:v>4.5456020168914146E-2</c:v>
                </c:pt>
                <c:pt idx="76">
                  <c:v>4.5476927131844924E-2</c:v>
                </c:pt>
                <c:pt idx="77">
                  <c:v>4.5497833636859664E-2</c:v>
                </c:pt>
                <c:pt idx="78">
                  <c:v>4.5518739683968246E-2</c:v>
                </c:pt>
                <c:pt idx="79">
                  <c:v>4.5539645273180773E-2</c:v>
                </c:pt>
                <c:pt idx="80">
                  <c:v>4.5560550404507238E-2</c:v>
                </c:pt>
                <c:pt idx="81">
                  <c:v>4.5581455077957633E-2</c:v>
                </c:pt>
                <c:pt idx="82">
                  <c:v>4.5602359293542061E-2</c:v>
                </c:pt>
                <c:pt idx="83">
                  <c:v>4.5623263051270513E-2</c:v>
                </c:pt>
                <c:pt idx="84">
                  <c:v>4.5644166351152982E-2</c:v>
                </c:pt>
                <c:pt idx="85">
                  <c:v>4.566506919319957E-2</c:v>
                </c:pt>
                <c:pt idx="86">
                  <c:v>4.568597157742027E-2</c:v>
                </c:pt>
                <c:pt idx="87">
                  <c:v>4.5706873503825074E-2</c:v>
                </c:pt>
                <c:pt idx="88">
                  <c:v>4.5727774972424085E-2</c:v>
                </c:pt>
                <c:pt idx="89">
                  <c:v>4.5748675983227294E-2</c:v>
                </c:pt>
                <c:pt idx="90">
                  <c:v>4.5769576536244805E-2</c:v>
                </c:pt>
                <c:pt idx="91">
                  <c:v>4.5790476631486499E-2</c:v>
                </c:pt>
                <c:pt idx="92">
                  <c:v>4.5811376268962367E-2</c:v>
                </c:pt>
                <c:pt idx="93">
                  <c:v>4.5832275448682624E-2</c:v>
                </c:pt>
                <c:pt idx="94">
                  <c:v>4.5853174170657263E-2</c:v>
                </c:pt>
                <c:pt idx="95">
                  <c:v>4.5874072434896163E-2</c:v>
                </c:pt>
                <c:pt idx="96">
                  <c:v>4.5894970241409538E-2</c:v>
                </c:pt>
                <c:pt idx="97">
                  <c:v>4.5915867590207271E-2</c:v>
                </c:pt>
                <c:pt idx="98">
                  <c:v>4.5936764481299353E-2</c:v>
                </c:pt>
                <c:pt idx="99">
                  <c:v>4.5957660914695997E-2</c:v>
                </c:pt>
                <c:pt idx="100">
                  <c:v>4.5978556890407085E-2</c:v>
                </c:pt>
                <c:pt idx="101">
                  <c:v>4.599945240844272E-2</c:v>
                </c:pt>
                <c:pt idx="102">
                  <c:v>4.6020347468812783E-2</c:v>
                </c:pt>
                <c:pt idx="103">
                  <c:v>4.6041242071527488E-2</c:v>
                </c:pt>
                <c:pt idx="104">
                  <c:v>4.6062136216596716E-2</c:v>
                </c:pt>
                <c:pt idx="105">
                  <c:v>4.608302990403057E-2</c:v>
                </c:pt>
                <c:pt idx="106">
                  <c:v>4.6103923133839042E-2</c:v>
                </c:pt>
                <c:pt idx="107">
                  <c:v>4.6124815906032124E-2</c:v>
                </c:pt>
                <c:pt idx="108">
                  <c:v>4.6145708220619919E-2</c:v>
                </c:pt>
                <c:pt idx="109">
                  <c:v>4.6166600077612419E-2</c:v>
                </c:pt>
                <c:pt idx="110">
                  <c:v>4.6187491477019615E-2</c:v>
                </c:pt>
                <c:pt idx="111">
                  <c:v>4.6208382418851501E-2</c:v>
                </c:pt>
                <c:pt idx="112">
                  <c:v>4.6229272903118179E-2</c:v>
                </c:pt>
                <c:pt idx="113">
                  <c:v>4.6250162929829641E-2</c:v>
                </c:pt>
                <c:pt idx="114">
                  <c:v>4.627105249899599E-2</c:v>
                </c:pt>
                <c:pt idx="115">
                  <c:v>4.6291941610626997E-2</c:v>
                </c:pt>
                <c:pt idx="116">
                  <c:v>4.6312830264732985E-2</c:v>
                </c:pt>
                <c:pt idx="117">
                  <c:v>4.6333718461323725E-2</c:v>
                </c:pt>
                <c:pt idx="118">
                  <c:v>4.6354606200409432E-2</c:v>
                </c:pt>
                <c:pt idx="119">
                  <c:v>4.6375493482000096E-2</c:v>
                </c:pt>
                <c:pt idx="120">
                  <c:v>4.63963803061056E-2</c:v>
                </c:pt>
                <c:pt idx="121">
                  <c:v>4.6417266672736046E-2</c:v>
                </c:pt>
                <c:pt idx="122">
                  <c:v>4.6438152581901537E-2</c:v>
                </c:pt>
                <c:pt idx="123">
                  <c:v>4.6459038033611955E-2</c:v>
                </c:pt>
                <c:pt idx="124">
                  <c:v>4.6479923027877401E-2</c:v>
                </c:pt>
                <c:pt idx="125">
                  <c:v>4.6500807564707758E-2</c:v>
                </c:pt>
                <c:pt idx="126">
                  <c:v>4.652169164411335E-2</c:v>
                </c:pt>
                <c:pt idx="127">
                  <c:v>4.6542575266103836E-2</c:v>
                </c:pt>
                <c:pt idx="128">
                  <c:v>4.6563458430689542E-2</c:v>
                </c:pt>
                <c:pt idx="129">
                  <c:v>4.6584341137880236E-2</c:v>
                </c:pt>
                <c:pt idx="130">
                  <c:v>4.6605223387686134E-2</c:v>
                </c:pt>
                <c:pt idx="131">
                  <c:v>4.6626105180117117E-2</c:v>
                </c:pt>
                <c:pt idx="132">
                  <c:v>4.6646986515183286E-2</c:v>
                </c:pt>
                <c:pt idx="133">
                  <c:v>4.6667867392894635E-2</c:v>
                </c:pt>
                <c:pt idx="134">
                  <c:v>4.6688747813261156E-2</c:v>
                </c:pt>
                <c:pt idx="135">
                  <c:v>4.6709627776292839E-2</c:v>
                </c:pt>
                <c:pt idx="136">
                  <c:v>4.6730507281999789E-2</c:v>
                </c:pt>
                <c:pt idx="137">
                  <c:v>4.6751386330391997E-2</c:v>
                </c:pt>
                <c:pt idx="138">
                  <c:v>4.6772264921479456E-2</c:v>
                </c:pt>
                <c:pt idx="139">
                  <c:v>4.6793143055272157E-2</c:v>
                </c:pt>
                <c:pt idx="140">
                  <c:v>4.6814020731780204E-2</c:v>
                </c:pt>
                <c:pt idx="141">
                  <c:v>4.6834897951013477E-2</c:v>
                </c:pt>
                <c:pt idx="142">
                  <c:v>4.6855774712982079E-2</c:v>
                </c:pt>
                <c:pt idx="143">
                  <c:v>4.6876651017696003E-2</c:v>
                </c:pt>
                <c:pt idx="144">
                  <c:v>4.6897526865165351E-2</c:v>
                </c:pt>
                <c:pt idx="145">
                  <c:v>4.6918402255400005E-2</c:v>
                </c:pt>
                <c:pt idx="146">
                  <c:v>4.6939277188410067E-2</c:v>
                </c:pt>
                <c:pt idx="147">
                  <c:v>4.6960151664205529E-2</c:v>
                </c:pt>
                <c:pt idx="148">
                  <c:v>4.6981025682796385E-2</c:v>
                </c:pt>
                <c:pt idx="149">
                  <c:v>4.7001899244192624E-2</c:v>
                </c:pt>
                <c:pt idx="150">
                  <c:v>4.7022772348404351E-2</c:v>
                </c:pt>
                <c:pt idx="151">
                  <c:v>4.7043644995441447E-2</c:v>
                </c:pt>
                <c:pt idx="152">
                  <c:v>4.7064517185314125E-2</c:v>
                </c:pt>
                <c:pt idx="153">
                  <c:v>4.7085388918032156E-2</c:v>
                </c:pt>
                <c:pt idx="154">
                  <c:v>4.7106260193605753E-2</c:v>
                </c:pt>
                <c:pt idx="155">
                  <c:v>4.7127131012044798E-2</c:v>
                </c:pt>
                <c:pt idx="156">
                  <c:v>4.7148001373359394E-2</c:v>
                </c:pt>
                <c:pt idx="157">
                  <c:v>4.7168871277559532E-2</c:v>
                </c:pt>
                <c:pt idx="158">
                  <c:v>4.7189740724655205E-2</c:v>
                </c:pt>
                <c:pt idx="159">
                  <c:v>4.7210609714656404E-2</c:v>
                </c:pt>
                <c:pt idx="160">
                  <c:v>4.7231478247573122E-2</c:v>
                </c:pt>
                <c:pt idx="161">
                  <c:v>4.7252346323415462E-2</c:v>
                </c:pt>
                <c:pt idx="162">
                  <c:v>4.7273213942193415E-2</c:v>
                </c:pt>
                <c:pt idx="163">
                  <c:v>4.7294081103916863E-2</c:v>
                </c:pt>
                <c:pt idx="164">
                  <c:v>4.731494780859602E-2</c:v>
                </c:pt>
                <c:pt idx="165">
                  <c:v>4.7335814056240766E-2</c:v>
                </c:pt>
                <c:pt idx="166">
                  <c:v>4.7356679846861094E-2</c:v>
                </c:pt>
                <c:pt idx="167">
                  <c:v>4.7377545180467107E-2</c:v>
                </c:pt>
                <c:pt idx="168">
                  <c:v>4.7398410057068685E-2</c:v>
                </c:pt>
                <c:pt idx="169">
                  <c:v>4.7419274476675932E-2</c:v>
                </c:pt>
                <c:pt idx="170">
                  <c:v>4.7440138439298951E-2</c:v>
                </c:pt>
                <c:pt idx="171">
                  <c:v>4.7461001944947512E-2</c:v>
                </c:pt>
                <c:pt idx="172">
                  <c:v>4.7481864993631828E-2</c:v>
                </c:pt>
                <c:pt idx="173">
                  <c:v>4.7502727585361781E-2</c:v>
                </c:pt>
                <c:pt idx="174">
                  <c:v>4.7523589720147474E-2</c:v>
                </c:pt>
                <c:pt idx="175">
                  <c:v>4.7544451397998899E-2</c:v>
                </c:pt>
                <c:pt idx="176">
                  <c:v>4.7565312618926048E-2</c:v>
                </c:pt>
                <c:pt idx="177">
                  <c:v>4.7586173382938912E-2</c:v>
                </c:pt>
                <c:pt idx="178">
                  <c:v>4.7607033690047484E-2</c:v>
                </c:pt>
                <c:pt idx="179">
                  <c:v>4.7627893540261756E-2</c:v>
                </c:pt>
                <c:pt idx="180">
                  <c:v>4.7648752933591831E-2</c:v>
                </c:pt>
                <c:pt idx="181">
                  <c:v>4.766961187004759E-2</c:v>
                </c:pt>
                <c:pt idx="182">
                  <c:v>4.7690470349639136E-2</c:v>
                </c:pt>
                <c:pt idx="183">
                  <c:v>4.771132837237646E-2</c:v>
                </c:pt>
                <c:pt idx="184">
                  <c:v>4.7732185938269556E-2</c:v>
                </c:pt>
                <c:pt idx="185">
                  <c:v>4.7753043047328414E-2</c:v>
                </c:pt>
                <c:pt idx="186">
                  <c:v>4.7773899699563138E-2</c:v>
                </c:pt>
                <c:pt idx="187">
                  <c:v>4.7794755894983498E-2</c:v>
                </c:pt>
                <c:pt idx="188">
                  <c:v>4.7815611633599708E-2</c:v>
                </c:pt>
                <c:pt idx="189">
                  <c:v>4.783646691542176E-2</c:v>
                </c:pt>
                <c:pt idx="190">
                  <c:v>4.7857321740459646E-2</c:v>
                </c:pt>
                <c:pt idx="191">
                  <c:v>4.7878176108723247E-2</c:v>
                </c:pt>
                <c:pt idx="192">
                  <c:v>4.7899030020222777E-2</c:v>
                </c:pt>
                <c:pt idx="193">
                  <c:v>4.7919883474968006E-2</c:v>
                </c:pt>
                <c:pt idx="194">
                  <c:v>4.7940736472969148E-2</c:v>
                </c:pt>
                <c:pt idx="195">
                  <c:v>4.7961589014236083E-2</c:v>
                </c:pt>
                <c:pt idx="196">
                  <c:v>4.7982441098778805E-2</c:v>
                </c:pt>
                <c:pt idx="197">
                  <c:v>4.8003292726607416E-2</c:v>
                </c:pt>
                <c:pt idx="198">
                  <c:v>4.8024143897731908E-2</c:v>
                </c:pt>
                <c:pt idx="199">
                  <c:v>4.8044994612162162E-2</c:v>
                </c:pt>
                <c:pt idx="200">
                  <c:v>4.8065844869908281E-2</c:v>
                </c:pt>
                <c:pt idx="201">
                  <c:v>4.8086694670980257E-2</c:v>
                </c:pt>
                <c:pt idx="202">
                  <c:v>4.8107544015387971E-2</c:v>
                </c:pt>
                <c:pt idx="203">
                  <c:v>4.8128392903141637E-2</c:v>
                </c:pt>
                <c:pt idx="204">
                  <c:v>4.8149241334251136E-2</c:v>
                </c:pt>
                <c:pt idx="205">
                  <c:v>4.8170089308726571E-2</c:v>
                </c:pt>
                <c:pt idx="206">
                  <c:v>4.8190936826577713E-2</c:v>
                </c:pt>
                <c:pt idx="207">
                  <c:v>4.8211783887814774E-2</c:v>
                </c:pt>
                <c:pt idx="208">
                  <c:v>4.8232630492447748E-2</c:v>
                </c:pt>
                <c:pt idx="209">
                  <c:v>4.8253476640486515E-2</c:v>
                </c:pt>
                <c:pt idx="210">
                  <c:v>4.8274322331941177E-2</c:v>
                </c:pt>
                <c:pt idx="211">
                  <c:v>4.8295167566821617E-2</c:v>
                </c:pt>
                <c:pt idx="212">
                  <c:v>4.8316012345137938E-2</c:v>
                </c:pt>
                <c:pt idx="213">
                  <c:v>4.8336856666900241E-2</c:v>
                </c:pt>
                <c:pt idx="214">
                  <c:v>4.8357700532118297E-2</c:v>
                </c:pt>
                <c:pt idx="215">
                  <c:v>4.837854394080221E-2</c:v>
                </c:pt>
                <c:pt idx="216">
                  <c:v>4.8399386892961971E-2</c:v>
                </c:pt>
                <c:pt idx="217">
                  <c:v>4.8420229388607572E-2</c:v>
                </c:pt>
                <c:pt idx="218">
                  <c:v>4.8441071427749116E-2</c:v>
                </c:pt>
                <c:pt idx="219">
                  <c:v>4.8461913010396485E-2</c:v>
                </c:pt>
                <c:pt idx="220">
                  <c:v>4.8482754136559669E-2</c:v>
                </c:pt>
                <c:pt idx="221">
                  <c:v>4.8503594806248662E-2</c:v>
                </c:pt>
                <c:pt idx="222">
                  <c:v>4.8524435019473566E-2</c:v>
                </c:pt>
                <c:pt idx="223">
                  <c:v>4.8545274776244374E-2</c:v>
                </c:pt>
                <c:pt idx="224">
                  <c:v>4.8566114076570854E-2</c:v>
                </c:pt>
                <c:pt idx="225">
                  <c:v>4.8586952920463333E-2</c:v>
                </c:pt>
                <c:pt idx="226">
                  <c:v>4.860779130793158E-2</c:v>
                </c:pt>
                <c:pt idx="227">
                  <c:v>4.8628629238985699E-2</c:v>
                </c:pt>
                <c:pt idx="228">
                  <c:v>4.864946671363557E-2</c:v>
                </c:pt>
                <c:pt idx="229">
                  <c:v>4.8670303731891407E-2</c:v>
                </c:pt>
                <c:pt idx="230">
                  <c:v>4.869114029376298E-2</c:v>
                </c:pt>
                <c:pt idx="231">
                  <c:v>4.8711976399260282E-2</c:v>
                </c:pt>
                <c:pt idx="232">
                  <c:v>4.8732812048393526E-2</c:v>
                </c:pt>
                <c:pt idx="233">
                  <c:v>4.8753647241172593E-2</c:v>
                </c:pt>
                <c:pt idx="234">
                  <c:v>4.8774481977607365E-2</c:v>
                </c:pt>
                <c:pt idx="235">
                  <c:v>4.8795316257708055E-2</c:v>
                </c:pt>
                <c:pt idx="236">
                  <c:v>4.8816150081484433E-2</c:v>
                </c:pt>
                <c:pt idx="237">
                  <c:v>4.8836983448946714E-2</c:v>
                </c:pt>
                <c:pt idx="238">
                  <c:v>4.8857816360104667E-2</c:v>
                </c:pt>
                <c:pt idx="239">
                  <c:v>4.8878648814968395E-2</c:v>
                </c:pt>
                <c:pt idx="240">
                  <c:v>4.8899480813548002E-2</c:v>
                </c:pt>
                <c:pt idx="241">
                  <c:v>4.8920312355853368E-2</c:v>
                </c:pt>
                <c:pt idx="242">
                  <c:v>4.8941143441894375E-2</c:v>
                </c:pt>
                <c:pt idx="243">
                  <c:v>4.8961974071681236E-2</c:v>
                </c:pt>
                <c:pt idx="244">
                  <c:v>4.8982804245223832E-2</c:v>
                </c:pt>
                <c:pt idx="245">
                  <c:v>4.9003633962532156E-2</c:v>
                </c:pt>
                <c:pt idx="246">
                  <c:v>4.9024463223616199E-2</c:v>
                </c:pt>
                <c:pt idx="247">
                  <c:v>4.9045292028485954E-2</c:v>
                </c:pt>
                <c:pt idx="248">
                  <c:v>4.9066120377151412E-2</c:v>
                </c:pt>
                <c:pt idx="249">
                  <c:v>4.9086948269622677E-2</c:v>
                </c:pt>
                <c:pt idx="250">
                  <c:v>4.9107775705909629E-2</c:v>
                </c:pt>
                <c:pt idx="251">
                  <c:v>4.9128602686022149E-2</c:v>
                </c:pt>
                <c:pt idx="252">
                  <c:v>4.9149429209970452E-2</c:v>
                </c:pt>
                <c:pt idx="253">
                  <c:v>4.9170255277764419E-2</c:v>
                </c:pt>
                <c:pt idx="254">
                  <c:v>4.9191080889414041E-2</c:v>
                </c:pt>
                <c:pt idx="255">
                  <c:v>4.921190604492931E-2</c:v>
                </c:pt>
                <c:pt idx="256">
                  <c:v>4.923273074432033E-2</c:v>
                </c:pt>
                <c:pt idx="257">
                  <c:v>4.925355498759687E-2</c:v>
                </c:pt>
                <c:pt idx="258">
                  <c:v>4.9274378774769034E-2</c:v>
                </c:pt>
                <c:pt idx="259">
                  <c:v>4.9295202105846925E-2</c:v>
                </c:pt>
                <c:pt idx="260">
                  <c:v>4.9316024980840312E-2</c:v>
                </c:pt>
                <c:pt idx="261">
                  <c:v>4.9336847399759298E-2</c:v>
                </c:pt>
                <c:pt idx="262">
                  <c:v>4.9357669362613987E-2</c:v>
                </c:pt>
                <c:pt idx="263">
                  <c:v>4.9378490869414149E-2</c:v>
                </c:pt>
                <c:pt idx="264">
                  <c:v>4.9399311920169886E-2</c:v>
                </c:pt>
                <c:pt idx="265">
                  <c:v>4.9420132514891191E-2</c:v>
                </c:pt>
                <c:pt idx="266">
                  <c:v>4.9440952653588055E-2</c:v>
                </c:pt>
                <c:pt idx="267">
                  <c:v>4.946177233627036E-2</c:v>
                </c:pt>
                <c:pt idx="268">
                  <c:v>4.9482591562948319E-2</c:v>
                </c:pt>
                <c:pt idx="269">
                  <c:v>4.9503410333631703E-2</c:v>
                </c:pt>
                <c:pt idx="270">
                  <c:v>4.9524228648330615E-2</c:v>
                </c:pt>
                <c:pt idx="271">
                  <c:v>4.9545046507054935E-2</c:v>
                </c:pt>
                <c:pt idx="272">
                  <c:v>4.9565863909814767E-2</c:v>
                </c:pt>
                <c:pt idx="273">
                  <c:v>4.9586680856620102E-2</c:v>
                </c:pt>
                <c:pt idx="274">
                  <c:v>4.9607497347480822E-2</c:v>
                </c:pt>
                <c:pt idx="275">
                  <c:v>4.9628313382406919E-2</c:v>
                </c:pt>
                <c:pt idx="276">
                  <c:v>4.9649128961408495E-2</c:v>
                </c:pt>
                <c:pt idx="277">
                  <c:v>4.9669944084495432E-2</c:v>
                </c:pt>
                <c:pt idx="278">
                  <c:v>4.9690758751677833E-2</c:v>
                </c:pt>
                <c:pt idx="279">
                  <c:v>4.9711572962965467E-2</c:v>
                </c:pt>
                <c:pt idx="280">
                  <c:v>4.9732386718368549E-2</c:v>
                </c:pt>
                <c:pt idx="281">
                  <c:v>4.9753200017896959E-2</c:v>
                </c:pt>
                <c:pt idx="282">
                  <c:v>4.977401286156069E-2</c:v>
                </c:pt>
                <c:pt idx="283">
                  <c:v>4.9794825249369734E-2</c:v>
                </c:pt>
                <c:pt idx="284">
                  <c:v>4.9815637181334083E-2</c:v>
                </c:pt>
                <c:pt idx="285">
                  <c:v>4.9836448657463728E-2</c:v>
                </c:pt>
                <c:pt idx="286">
                  <c:v>4.9857259677768551E-2</c:v>
                </c:pt>
                <c:pt idx="287">
                  <c:v>4.9878070242258654E-2</c:v>
                </c:pt>
                <c:pt idx="288">
                  <c:v>4.989888035094403E-2</c:v>
                </c:pt>
                <c:pt idx="289">
                  <c:v>4.991969000383456E-2</c:v>
                </c:pt>
                <c:pt idx="290">
                  <c:v>4.9940499200940347E-2</c:v>
                </c:pt>
                <c:pt idx="291">
                  <c:v>4.9961307942271271E-2</c:v>
                </c:pt>
                <c:pt idx="292">
                  <c:v>4.9982116227837436E-2</c:v>
                </c:pt>
                <c:pt idx="293">
                  <c:v>5.0002924057648612E-2</c:v>
                </c:pt>
                <c:pt idx="294">
                  <c:v>5.0023731431715013E-2</c:v>
                </c:pt>
                <c:pt idx="295">
                  <c:v>5.0044538350046408E-2</c:v>
                </c:pt>
                <c:pt idx="296">
                  <c:v>5.0065344812653012E-2</c:v>
                </c:pt>
                <c:pt idx="297">
                  <c:v>5.0086150819544595E-2</c:v>
                </c:pt>
                <c:pt idx="298">
                  <c:v>5.010695637073137E-2</c:v>
                </c:pt>
                <c:pt idx="299">
                  <c:v>5.0127761466222998E-2</c:v>
                </c:pt>
                <c:pt idx="300">
                  <c:v>5.0148566106029802E-2</c:v>
                </c:pt>
                <c:pt idx="301">
                  <c:v>5.0169370290161441E-2</c:v>
                </c:pt>
                <c:pt idx="302">
                  <c:v>5.0190174018628131E-2</c:v>
                </c:pt>
                <c:pt idx="303">
                  <c:v>5.0210977291439862E-2</c:v>
                </c:pt>
                <c:pt idx="304">
                  <c:v>5.0231780108606405E-2</c:v>
                </c:pt>
                <c:pt idx="305">
                  <c:v>5.0252582470137974E-2</c:v>
                </c:pt>
                <c:pt idx="306">
                  <c:v>5.0273384376044339E-2</c:v>
                </c:pt>
                <c:pt idx="307">
                  <c:v>5.0294185826335602E-2</c:v>
                </c:pt>
                <c:pt idx="308">
                  <c:v>5.0314986821021757E-2</c:v>
                </c:pt>
                <c:pt idx="309">
                  <c:v>5.0335787360112683E-2</c:v>
                </c:pt>
                <c:pt idx="310">
                  <c:v>5.0356587443618483E-2</c:v>
                </c:pt>
                <c:pt idx="311">
                  <c:v>5.037738707154904E-2</c:v>
                </c:pt>
                <c:pt idx="312">
                  <c:v>5.0398186243914345E-2</c:v>
                </c:pt>
                <c:pt idx="313">
                  <c:v>5.0418984960724389E-2</c:v>
                </c:pt>
                <c:pt idx="314">
                  <c:v>5.0439783221989165E-2</c:v>
                </c:pt>
                <c:pt idx="315">
                  <c:v>5.0460581027718665E-2</c:v>
                </c:pt>
                <c:pt idx="316">
                  <c:v>5.0481378377922881E-2</c:v>
                </c:pt>
                <c:pt idx="317">
                  <c:v>5.0502175272611693E-2</c:v>
                </c:pt>
                <c:pt idx="318">
                  <c:v>5.0522971711795095E-2</c:v>
                </c:pt>
                <c:pt idx="319">
                  <c:v>5.0543767695483188E-2</c:v>
                </c:pt>
                <c:pt idx="320">
                  <c:v>5.0564563223685854E-2</c:v>
                </c:pt>
                <c:pt idx="321">
                  <c:v>5.0585358296413085E-2</c:v>
                </c:pt>
                <c:pt idx="322">
                  <c:v>5.0606152913674873E-2</c:v>
                </c:pt>
                <c:pt idx="323">
                  <c:v>5.0626947075481099E-2</c:v>
                </c:pt>
                <c:pt idx="324">
                  <c:v>5.0647740781841866E-2</c:v>
                </c:pt>
                <c:pt idx="325">
                  <c:v>5.0668534032767054E-2</c:v>
                </c:pt>
                <c:pt idx="326">
                  <c:v>5.0689326828266767E-2</c:v>
                </c:pt>
                <c:pt idx="327">
                  <c:v>5.0710119168350776E-2</c:v>
                </c:pt>
                <c:pt idx="328">
                  <c:v>5.0730911053029293E-2</c:v>
                </c:pt>
                <c:pt idx="329">
                  <c:v>5.0751702482312089E-2</c:v>
                </c:pt>
                <c:pt idx="330">
                  <c:v>5.0772493456209267E-2</c:v>
                </c:pt>
                <c:pt idx="331">
                  <c:v>5.0793283974730818E-2</c:v>
                </c:pt>
                <c:pt idx="332">
                  <c:v>5.0814074037886514E-2</c:v>
                </c:pt>
                <c:pt idx="333">
                  <c:v>5.0834863645686568E-2</c:v>
                </c:pt>
                <c:pt idx="334">
                  <c:v>5.085565279814086E-2</c:v>
                </c:pt>
                <c:pt idx="335">
                  <c:v>5.0876441495259384E-2</c:v>
                </c:pt>
                <c:pt idx="336">
                  <c:v>5.0897229737052019E-2</c:v>
                </c:pt>
                <c:pt idx="337">
                  <c:v>5.0918017523528758E-2</c:v>
                </c:pt>
                <c:pt idx="338">
                  <c:v>5.0938804854699704E-2</c:v>
                </c:pt>
                <c:pt idx="339">
                  <c:v>5.0959591730574738E-2</c:v>
                </c:pt>
                <c:pt idx="340">
                  <c:v>5.0980378151163852E-2</c:v>
                </c:pt>
                <c:pt idx="341">
                  <c:v>5.1001164116477038E-2</c:v>
                </c:pt>
                <c:pt idx="342">
                  <c:v>5.1021949626524177E-2</c:v>
                </c:pt>
                <c:pt idx="343">
                  <c:v>5.104273468131526E-2</c:v>
                </c:pt>
                <c:pt idx="344">
                  <c:v>5.1063519280860392E-2</c:v>
                </c:pt>
                <c:pt idx="345">
                  <c:v>5.1084303425169453E-2</c:v>
                </c:pt>
                <c:pt idx="346">
                  <c:v>5.1105087114252323E-2</c:v>
                </c:pt>
                <c:pt idx="347">
                  <c:v>5.1125870348119107E-2</c:v>
                </c:pt>
                <c:pt idx="348">
                  <c:v>5.1146653126779795E-2</c:v>
                </c:pt>
                <c:pt idx="349">
                  <c:v>5.116743545024427E-2</c:v>
                </c:pt>
                <c:pt idx="350">
                  <c:v>5.1188217318522411E-2</c:v>
                </c:pt>
                <c:pt idx="351">
                  <c:v>5.1208998731624433E-2</c:v>
                </c:pt>
                <c:pt idx="352">
                  <c:v>5.1229779689560107E-2</c:v>
                </c:pt>
                <c:pt idx="353">
                  <c:v>5.1250560192339534E-2</c:v>
                </c:pt>
                <c:pt idx="354">
                  <c:v>5.1271340239972596E-2</c:v>
                </c:pt>
                <c:pt idx="355">
                  <c:v>5.1292119832469174E-2</c:v>
                </c:pt>
                <c:pt idx="356">
                  <c:v>5.1312898969839482E-2</c:v>
                </c:pt>
                <c:pt idx="357">
                  <c:v>5.133367765209329E-2</c:v>
                </c:pt>
                <c:pt idx="358">
                  <c:v>5.1354455879240701E-2</c:v>
                </c:pt>
                <c:pt idx="359">
                  <c:v>5.1375233651291485E-2</c:v>
                </c:pt>
                <c:pt idx="360">
                  <c:v>5.1396010968255856E-2</c:v>
                </c:pt>
                <c:pt idx="361">
                  <c:v>5.1416787830143584E-2</c:v>
                </c:pt>
                <c:pt idx="362">
                  <c:v>5.1437564236964772E-2</c:v>
                </c:pt>
                <c:pt idx="363">
                  <c:v>5.1458340188729301E-2</c:v>
                </c:pt>
                <c:pt idx="364">
                  <c:v>5.1479115685447163E-2</c:v>
                </c:pt>
                <c:pt idx="365">
                  <c:v>5.149989072712835E-2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5.1153422845989734E-2</c:v>
                </c:pt>
                <c:pt idx="120">
                  <c:v>8.0926651060319096E-3</c:v>
                </c:pt>
                <c:pt idx="121">
                  <c:v>8.2394591401243888E-3</c:v>
                </c:pt>
                <c:pt idx="122">
                  <c:v>8.3863610218408713E-3</c:v>
                </c:pt>
                <c:pt idx="123">
                  <c:v>8.5333741877146041E-3</c:v>
                </c:pt>
                <c:pt idx="124">
                  <c:v>8.6805016519297326E-3</c:v>
                </c:pt>
                <c:pt idx="125">
                  <c:v>8.8277459796033513E-3</c:v>
                </c:pt>
                <c:pt idx="126">
                  <c:v>8.9751092605021739E-3</c:v>
                </c:pt>
                <c:pt idx="127">
                  <c:v>9.1225930833918126E-3</c:v>
                </c:pt>
                <c:pt idx="128">
                  <c:v>9.2701985112273663E-3</c:v>
                </c:pt>
                <c:pt idx="129">
                  <c:v>9.4179260574023486E-3</c:v>
                </c:pt>
                <c:pt idx="130">
                  <c:v>9.5657756632797943E-3</c:v>
                </c:pt>
                <c:pt idx="131">
                  <c:v>9.7137466772340853E-3</c:v>
                </c:pt>
                <c:pt idx="132">
                  <c:v>9.8618378354340848E-3</c:v>
                </c:pt>
                <c:pt idx="133">
                  <c:v>1.0010047244598126E-2</c:v>
                </c:pt>
                <c:pt idx="134">
                  <c:v>1.0158372366949171E-2</c:v>
                </c:pt>
                <c:pt idx="135">
                  <c:v>1.0306810007592374E-2</c:v>
                </c:pt>
                <c:pt idx="136">
                  <c:v>1.0455356304530133E-2</c:v>
                </c:pt>
                <c:pt idx="137">
                  <c:v>1.0604006721518842E-2</c:v>
                </c:pt>
                <c:pt idx="138">
                  <c:v>1.0752756043958129E-2</c:v>
                </c:pt>
                <c:pt idx="139">
                  <c:v>1.0901598377987628E-2</c:v>
                </c:pt>
                <c:pt idx="140">
                  <c:v>1.1050527152947784E-2</c:v>
                </c:pt>
                <c:pt idx="141">
                  <c:v>1.1199535127340442E-2</c:v>
                </c:pt>
                <c:pt idx="142">
                  <c:v>1.1348614398401459E-2</c:v>
                </c:pt>
                <c:pt idx="143">
                  <c:v>1.149775641537234E-2</c:v>
                </c:pt>
                <c:pt idx="144">
                  <c:v>1.1646951996530808E-2</c:v>
                </c:pt>
                <c:pt idx="145">
                  <c:v>1.1796191350011009E-2</c:v>
                </c:pt>
                <c:pt idx="146">
                  <c:v>1.1945464098413495E-2</c:v>
                </c:pt>
                <c:pt idx="147">
                  <c:v>1.2094759307174104E-2</c:v>
                </c:pt>
                <c:pt idx="148">
                  <c:v>1.2244065516627857E-2</c:v>
                </c:pt>
                <c:pt idx="149">
                  <c:v>1.2393370777671291E-2</c:v>
                </c:pt>
                <c:pt idx="150">
                  <c:v>1.254266269089351E-2</c:v>
                </c:pt>
                <c:pt idx="151">
                  <c:v>1.2691928449013358E-2</c:v>
                </c:pt>
                <c:pt idx="152">
                  <c:v>1.2841154882427238E-2</c:v>
                </c:pt>
                <c:pt idx="153">
                  <c:v>1.2990328507640965E-2</c:v>
                </c:pt>
                <c:pt idx="154">
                  <c:v>1.313943557832834E-2</c:v>
                </c:pt>
                <c:pt idx="155">
                  <c:v>1.3288462138730389E-2</c:v>
                </c:pt>
                <c:pt idx="156">
                  <c:v>1.3437394079082369E-2</c:v>
                </c:pt>
                <c:pt idx="157">
                  <c:v>1.3586217192730735E-2</c:v>
                </c:pt>
                <c:pt idx="158">
                  <c:v>1.3734917234580498E-2</c:v>
                </c:pt>
                <c:pt idx="159">
                  <c:v>1.3883479980493656E-2</c:v>
                </c:pt>
                <c:pt idx="160">
                  <c:v>1.4031891287243532E-2</c:v>
                </c:pt>
                <c:pt idx="161">
                  <c:v>1.4180137152616824E-2</c:v>
                </c:pt>
                <c:pt idx="162">
                  <c:v>1.4328203775245747E-2</c:v>
                </c:pt>
                <c:pt idx="163">
                  <c:v>1.447607761374722E-2</c:v>
                </c:pt>
                <c:pt idx="164">
                  <c:v>1.4623745444743829E-2</c:v>
                </c:pt>
                <c:pt idx="165">
                  <c:v>1.4771194419343981E-2</c:v>
                </c:pt>
                <c:pt idx="166">
                  <c:v>1.4918412117663957E-2</c:v>
                </c:pt>
                <c:pt idx="167">
                  <c:v>1.5065386600985355E-2</c:v>
                </c:pt>
                <c:pt idx="168">
                  <c:v>1.5212106461154732E-2</c:v>
                </c:pt>
                <c:pt idx="169">
                  <c:v>1.5358560866850621E-2</c:v>
                </c:pt>
                <c:pt idx="170">
                  <c:v>1.5504739606364126E-2</c:v>
                </c:pt>
                <c:pt idx="171">
                  <c:v>1.5650633126564877E-2</c:v>
                </c:pt>
                <c:pt idx="172">
                  <c:v>1.5796232567752321E-2</c:v>
                </c:pt>
                <c:pt idx="173">
                  <c:v>1.594152979412421E-2</c:v>
                </c:pt>
                <c:pt idx="174">
                  <c:v>1.6086517419628188E-2</c:v>
                </c:pt>
                <c:pt idx="175">
                  <c:v>1.6231188828999855E-2</c:v>
                </c:pt>
                <c:pt idx="176">
                  <c:v>1.6375538193829572E-2</c:v>
                </c:pt>
                <c:pt idx="177">
                  <c:v>1.6519560483541206E-2</c:v>
                </c:pt>
                <c:pt idx="178">
                  <c:v>1.6663251471208586E-2</c:v>
                </c:pt>
                <c:pt idx="179">
                  <c:v>1.6806607734178775E-2</c:v>
                </c:pt>
                <c:pt idx="180">
                  <c:v>1.6949626649514864E-2</c:v>
                </c:pt>
                <c:pt idx="181">
                  <c:v>1.7092306384315605E-2</c:v>
                </c:pt>
                <c:pt idx="182">
                  <c:v>1.7234645881012492E-2</c:v>
                </c:pt>
                <c:pt idx="183">
                  <c:v>1.7376644837787746E-2</c:v>
                </c:pt>
                <c:pt idx="184">
                  <c:v>1.751830368429871E-2</c:v>
                </c:pt>
                <c:pt idx="185">
                  <c:v>1.7659623552933861E-2</c:v>
                </c:pt>
                <c:pt idx="186">
                  <c:v>1.7800606245863528E-2</c:v>
                </c:pt>
                <c:pt idx="187">
                  <c:v>1.7941254198184077E-2</c:v>
                </c:pt>
                <c:pt idx="188">
                  <c:v>1.8081570437486361E-2</c:v>
                </c:pt>
                <c:pt idx="189">
                  <c:v>1.8221558540209057E-2</c:v>
                </c:pt>
                <c:pt idx="190">
                  <c:v>1.8361222585162769E-2</c:v>
                </c:pt>
                <c:pt idx="191">
                  <c:v>1.8500567104632815E-2</c:v>
                </c:pt>
                <c:pt idx="192">
                  <c:v>1.8639597033486371E-2</c:v>
                </c:pt>
                <c:pt idx="193">
                  <c:v>1.8778317656723151E-2</c:v>
                </c:pt>
                <c:pt idx="194">
                  <c:v>1.8916734555917872E-2</c:v>
                </c:pt>
                <c:pt idx="195">
                  <c:v>1.9054853555006974E-2</c:v>
                </c:pt>
                <c:pt idx="196">
                  <c:v>1.9192680665872371E-2</c:v>
                </c:pt>
                <c:pt idx="197">
                  <c:v>1.9330222034169866E-2</c:v>
                </c:pt>
                <c:pt idx="198">
                  <c:v>1.9467483885840728E-2</c:v>
                </c:pt>
                <c:pt idx="199">
                  <c:v>1.9604472474731044E-2</c:v>
                </c:pt>
                <c:pt idx="200">
                  <c:v>1.9741194031725501E-2</c:v>
                </c:pt>
                <c:pt idx="201">
                  <c:v>1.9877654715779489E-2</c:v>
                </c:pt>
                <c:pt idx="202">
                  <c:v>2.0013860567207848E-2</c:v>
                </c:pt>
                <c:pt idx="203">
                  <c:v>2.0149817463558255E-2</c:v>
                </c:pt>
                <c:pt idx="204">
                  <c:v>2.0285531078364453E-2</c:v>
                </c:pt>
                <c:pt idx="205">
                  <c:v>2.042100684303828E-2</c:v>
                </c:pt>
                <c:pt idx="206">
                  <c:v>2.0556249912121197E-2</c:v>
                </c:pt>
                <c:pt idx="207">
                  <c:v>2.0691265132075198E-2</c:v>
                </c:pt>
                <c:pt idx="208">
                  <c:v>2.0826057013750711E-2</c:v>
                </c:pt>
                <c:pt idx="209">
                  <c:v>2.0960629708625989E-2</c:v>
                </c:pt>
                <c:pt idx="210">
                  <c:v>2.1094986988868258E-2</c:v>
                </c:pt>
                <c:pt idx="211">
                  <c:v>2.1229132231222719E-2</c:v>
                </c:pt>
                <c:pt idx="212">
                  <c:v>2.1363068404691977E-2</c:v>
                </c:pt>
                <c:pt idx="213">
                  <c:v>2.1496798061925223E-2</c:v>
                </c:pt>
                <c:pt idx="214">
                  <c:v>2.1630323334195442E-2</c:v>
                </c:pt>
                <c:pt idx="215">
                  <c:v>2.1763645929802872E-2</c:v>
                </c:pt>
                <c:pt idx="216">
                  <c:v>2.1896767135705954E-2</c:v>
                </c:pt>
                <c:pt idx="217">
                  <c:v>2.2029687822146666E-2</c:v>
                </c:pt>
                <c:pt idx="218">
                  <c:v>2.2162408450005427E-2</c:v>
                </c:pt>
                <c:pt idx="219">
                  <c:v>2.2294929080593644E-2</c:v>
                </c:pt>
                <c:pt idx="220">
                  <c:v>2.2427249387568137E-2</c:v>
                </c:pt>
                <c:pt idx="221">
                  <c:v>2.2559368670631939E-2</c:v>
                </c:pt>
                <c:pt idx="222">
                  <c:v>2.2691285870671589E-2</c:v>
                </c:pt>
                <c:pt idx="223">
                  <c:v>2.2822999585970227E-2</c:v>
                </c:pt>
                <c:pt idx="224">
                  <c:v>2.2954508089130916E-2</c:v>
                </c:pt>
                <c:pt idx="225">
                  <c:v>2.3085809344343663E-2</c:v>
                </c:pt>
                <c:pt idx="226">
                  <c:v>2.3216901024634775E-2</c:v>
                </c:pt>
                <c:pt idx="227">
                  <c:v>2.3347780528745879E-2</c:v>
                </c:pt>
                <c:pt idx="228">
                  <c:v>2.3478444997304965E-2</c:v>
                </c:pt>
                <c:pt idx="229">
                  <c:v>2.3608891327970595E-2</c:v>
                </c:pt>
                <c:pt idx="230">
                  <c:v>2.3739116189253718E-2</c:v>
                </c:pt>
                <c:pt idx="231">
                  <c:v>2.3869116032749996E-2</c:v>
                </c:pt>
                <c:pt idx="232">
                  <c:v>2.399888710354681E-2</c:v>
                </c:pt>
                <c:pt idx="233">
                  <c:v>2.4128425448604732E-2</c:v>
                </c:pt>
                <c:pt idx="234">
                  <c:v>2.4257726922951722E-2</c:v>
                </c:pt>
                <c:pt idx="235">
                  <c:v>2.4386787193569993E-2</c:v>
                </c:pt>
                <c:pt idx="236">
                  <c:v>2.4515601740898361E-2</c:v>
                </c:pt>
                <c:pt idx="237">
                  <c:v>2.4644165857918912E-2</c:v>
                </c:pt>
                <c:pt idx="238">
                  <c:v>2.4772474646842901E-2</c:v>
                </c:pt>
                <c:pt idx="239">
                  <c:v>2.4900523013457812E-2</c:v>
                </c:pt>
                <c:pt idx="240">
                  <c:v>2.5028305659245059E-2</c:v>
                </c:pt>
                <c:pt idx="241">
                  <c:v>2.5155817071423701E-2</c:v>
                </c:pt>
                <c:pt idx="242">
                  <c:v>2.5283051511121597E-2</c:v>
                </c:pt>
                <c:pt idx="243">
                  <c:v>2.54100029999185E-2</c:v>
                </c:pt>
                <c:pt idx="244">
                  <c:v>2.5536665305047009E-2</c:v>
                </c:pt>
                <c:pt idx="245">
                  <c:v>2.566303192357617E-2</c:v>
                </c:pt>
                <c:pt idx="246">
                  <c:v>2.5789096065936531E-2</c:v>
                </c:pt>
                <c:pt idx="247">
                  <c:v>2.591485063917735E-2</c:v>
                </c:pt>
                <c:pt idx="248">
                  <c:v>2.6040288230372903E-2</c:v>
                </c:pt>
                <c:pt idx="249">
                  <c:v>2.6165401090616606E-2</c:v>
                </c:pt>
                <c:pt idx="250">
                  <c:v>2.6290181120058417E-2</c:v>
                </c:pt>
                <c:pt idx="251">
                  <c:v>2.6414619854452141E-2</c:v>
                </c:pt>
                <c:pt idx="252">
                  <c:v>2.6538708453684227E-2</c:v>
                </c:pt>
                <c:pt idx="253">
                  <c:v>2.6662437692755801E-2</c:v>
                </c:pt>
                <c:pt idx="254">
                  <c:v>2.6785797955681812E-2</c:v>
                </c:pt>
                <c:pt idx="255">
                  <c:v>2.6908779232759437E-2</c:v>
                </c:pt>
                <c:pt idx="256">
                  <c:v>2.7031371121638125E-2</c:v>
                </c:pt>
                <c:pt idx="257">
                  <c:v>2.7153562832598607E-2</c:v>
                </c:pt>
                <c:pt idx="258">
                  <c:v>2.7275343198417356E-2</c:v>
                </c:pt>
                <c:pt idx="259">
                  <c:v>2.739670068915601E-2</c:v>
                </c:pt>
                <c:pt idx="260">
                  <c:v>2.7517623432173E-2</c:v>
                </c:pt>
                <c:pt idx="261">
                  <c:v>2.7638099237607371E-2</c:v>
                </c:pt>
                <c:pt idx="262">
                  <c:v>2.7758115629532745E-2</c:v>
                </c:pt>
                <c:pt idx="263">
                  <c:v>2.787765988292313E-2</c:v>
                </c:pt>
                <c:pt idx="264">
                  <c:v>2.7996719066512337E-2</c:v>
                </c:pt>
                <c:pt idx="265">
                  <c:v>2.8115280091565963E-2</c:v>
                </c:pt>
                <c:pt idx="266">
                  <c:v>2.8233329766519242E-2</c:v>
                </c:pt>
                <c:pt idx="267">
                  <c:v>2.8350854857366936E-2</c:v>
                </c:pt>
                <c:pt idx="268">
                  <c:v>2.8467842153622951E-2</c:v>
                </c:pt>
                <c:pt idx="269">
                  <c:v>2.8584278539598783E-2</c:v>
                </c:pt>
                <c:pt idx="270">
                  <c:v>2.8700151070681391E-2</c:v>
                </c:pt>
                <c:pt idx="271">
                  <c:v>2.8815447054223734E-2</c:v>
                </c:pt>
                <c:pt idx="272">
                  <c:v>2.8930154134595983E-2</c:v>
                </c:pt>
                <c:pt idx="273">
                  <c:v>2.9044260381882289E-2</c:v>
                </c:pt>
                <c:pt idx="274">
                  <c:v>2.9157754383648874E-2</c:v>
                </c:pt>
                <c:pt idx="275">
                  <c:v>2.9270625339153183E-2</c:v>
                </c:pt>
                <c:pt idx="276">
                  <c:v>2.9382863155313566E-2</c:v>
                </c:pt>
                <c:pt idx="277">
                  <c:v>2.9494458543713506E-2</c:v>
                </c:pt>
                <c:pt idx="278">
                  <c:v>2.9605403117874445E-2</c:v>
                </c:pt>
                <c:pt idx="279">
                  <c:v>2.9715689489999225E-2</c:v>
                </c:pt>
                <c:pt idx="280">
                  <c:v>2.9825311366361094E-2</c:v>
                </c:pt>
                <c:pt idx="281">
                  <c:v>2.993426364049577E-2</c:v>
                </c:pt>
                <c:pt idx="282">
                  <c:v>3.0042542483342302E-2</c:v>
                </c:pt>
                <c:pt idx="283">
                  <c:v>3.0150145429476305E-2</c:v>
                </c:pt>
                <c:pt idx="284">
                  <c:v>3.0257071458584306E-2</c:v>
                </c:pt>
                <c:pt idx="285">
                  <c:v>3.0363321071341778E-2</c:v>
                </c:pt>
                <c:pt idx="286">
                  <c:v>3.0468896358879675E-2</c:v>
                </c:pt>
                <c:pt idx="287">
                  <c:v>3.0573801065054723E-2</c:v>
                </c:pt>
                <c:pt idx="288">
                  <c:v>3.0678040640777209E-2</c:v>
                </c:pt>
                <c:pt idx="289">
                  <c:v>3.0781622289697309E-2</c:v>
                </c:pt>
                <c:pt idx="290">
                  <c:v>3.0884555004604231E-2</c:v>
                </c:pt>
                <c:pt idx="291">
                  <c:v>3.0986849593955253E-2</c:v>
                </c:pt>
                <c:pt idx="292">
                  <c:v>3.1088518698019003E-2</c:v>
                </c:pt>
                <c:pt idx="293">
                  <c:v>3.1189576794192646E-2</c:v>
                </c:pt>
                <c:pt idx="294">
                  <c:v>3.1290040191132899E-2</c:v>
                </c:pt>
                <c:pt idx="295">
                  <c:v>3.1389927011425484E-2</c:v>
                </c:pt>
                <c:pt idx="296">
                  <c:v>3.1489257162607712E-2</c:v>
                </c:pt>
                <c:pt idx="297">
                  <c:v>3.1588052296451626E-2</c:v>
                </c:pt>
                <c:pt idx="298">
                  <c:v>3.168633575651026E-2</c:v>
                </c:pt>
                <c:pt idx="299">
                  <c:v>3.1784132514027431E-2</c:v>
                </c:pt>
                <c:pt idx="300">
                  <c:v>3.1881469092409104E-2</c:v>
                </c:pt>
                <c:pt idx="301">
                  <c:v>3.1978373480552498E-2</c:v>
                </c:pt>
                <c:pt idx="302">
                  <c:v>3.2074875035426269E-2</c:v>
                </c:pt>
                <c:pt idx="303">
                  <c:v>3.2171004374389731E-2</c:v>
                </c:pt>
                <c:pt idx="304">
                  <c:v>3.2266793257831716E-2</c:v>
                </c:pt>
                <c:pt idx="305">
                  <c:v>3.2362274462798019E-2</c:v>
                </c:pt>
                <c:pt idx="306">
                  <c:v>3.2457481648359682E-2</c:v>
                </c:pt>
                <c:pt idx="307">
                  <c:v>3.2552449213553554E-2</c:v>
                </c:pt>
                <c:pt idx="308">
                  <c:v>3.2647212148797726E-2</c:v>
                </c:pt>
                <c:pt idx="309">
                  <c:v>3.2741805881750199E-2</c:v>
                </c:pt>
                <c:pt idx="310">
                  <c:v>3.2836266118635909E-2</c:v>
                </c:pt>
                <c:pt idx="311">
                  <c:v>3.2930628682116811E-2</c:v>
                </c:pt>
                <c:pt idx="312">
                  <c:v>3.3024929346819346E-2</c:v>
                </c:pt>
                <c:pt idx="313">
                  <c:v>3.3119203673665068E-2</c:v>
                </c:pt>
                <c:pt idx="314">
                  <c:v>3.3213486844171011E-2</c:v>
                </c:pt>
                <c:pt idx="315">
                  <c:v>3.3307813495898009E-2</c:v>
                </c:pt>
                <c:pt idx="316">
                  <c:v>3.3402217560225836E-2</c:v>
                </c:pt>
                <c:pt idx="317">
                  <c:v>3.3496732103625512E-2</c:v>
                </c:pt>
                <c:pt idx="318">
                  <c:v>3.3591389173579435E-2</c:v>
                </c:pt>
                <c:pt idx="319">
                  <c:v>3.3686219650270667E-2</c:v>
                </c:pt>
                <c:pt idx="320">
                  <c:v>3.3781253105123296E-2</c:v>
                </c:pt>
                <c:pt idx="321">
                  <c:v>3.3876517667227032E-2</c:v>
                </c:pt>
                <c:pt idx="322">
                  <c:v>3.3972039898620771E-2</c:v>
                </c:pt>
                <c:pt idx="323">
                  <c:v>3.406784467934304E-2</c:v>
                </c:pt>
                <c:pt idx="324">
                  <c:v>3.4163955103082289E-2</c:v>
                </c:pt>
                <c:pt idx="325">
                  <c:v>3.4260392384177052E-2</c:v>
                </c:pt>
                <c:pt idx="326">
                  <c:v>3.4357175776626774E-2</c:v>
                </c:pt>
                <c:pt idx="327">
                  <c:v>3.4454322505679071E-2</c:v>
                </c:pt>
                <c:pt idx="328">
                  <c:v>3.4551847712457576E-2</c:v>
                </c:pt>
                <c:pt idx="329">
                  <c:v>3.464976441199117E-2</c:v>
                </c:pt>
                <c:pt idx="330">
                  <c:v>3.4748083464895822E-2</c:v>
                </c:pt>
                <c:pt idx="331">
                  <c:v>3.4846813562851207E-2</c:v>
                </c:pt>
                <c:pt idx="332">
                  <c:v>3.4945961227901438E-2</c:v>
                </c:pt>
                <c:pt idx="333">
                  <c:v>3.5045530825498127E-2</c:v>
                </c:pt>
                <c:pt idx="334">
                  <c:v>3.51455245910922E-2</c:v>
                </c:pt>
                <c:pt idx="335">
                  <c:v>3.5245942669971782E-2</c:v>
                </c:pt>
                <c:pt idx="336">
                  <c:v>3.534678316993662E-2</c:v>
                </c:pt>
                <c:pt idx="337">
                  <c:v>3.5448042226296723E-2</c:v>
                </c:pt>
                <c:pt idx="338">
                  <c:v>3.554971407858467E-2</c:v>
                </c:pt>
                <c:pt idx="339">
                  <c:v>3.5651791158278434E-2</c:v>
                </c:pt>
                <c:pt idx="340">
                  <c:v>3.5754264186745509E-2</c:v>
                </c:pt>
                <c:pt idx="341">
                  <c:v>3.5857122282540427E-2</c:v>
                </c:pt>
                <c:pt idx="342">
                  <c:v>3.596035307711648E-2</c:v>
                </c:pt>
                <c:pt idx="343">
                  <c:v>3.6063942837950773E-2</c:v>
                </c:pt>
                <c:pt idx="344">
                  <c:v>3.6167876598028045E-2</c:v>
                </c:pt>
                <c:pt idx="345">
                  <c:v>3.6272138290585773E-2</c:v>
                </c:pt>
                <c:pt idx="346">
                  <c:v>3.6376710887989244E-2</c:v>
                </c:pt>
                <c:pt idx="347">
                  <c:v>3.6481576543582465E-2</c:v>
                </c:pt>
                <c:pt idx="348">
                  <c:v>3.6586716735347892E-2</c:v>
                </c:pt>
                <c:pt idx="349">
                  <c:v>3.669211241020591E-2</c:v>
                </c:pt>
                <c:pt idx="350">
                  <c:v>3.6797744127793575E-2</c:v>
                </c:pt>
                <c:pt idx="351">
                  <c:v>3.6903592202580764E-2</c:v>
                </c:pt>
                <c:pt idx="352">
                  <c:v>3.7009636843210868E-2</c:v>
                </c:pt>
                <c:pt idx="353">
                  <c:v>3.711585828799234E-2</c:v>
                </c:pt>
                <c:pt idx="354">
                  <c:v>3.7222236935515178E-2</c:v>
                </c:pt>
                <c:pt idx="355">
                  <c:v>3.7328753469424263E-2</c:v>
                </c:pt>
                <c:pt idx="356">
                  <c:v>3.743538897644625E-2</c:v>
                </c:pt>
                <c:pt idx="357">
                  <c:v>3.754212505684093E-2</c:v>
                </c:pt>
                <c:pt idx="358">
                  <c:v>3.7648943926526866E-2</c:v>
                </c:pt>
                <c:pt idx="359">
                  <c:v>3.7755828510218518E-2</c:v>
                </c:pt>
                <c:pt idx="360">
                  <c:v>3.7862762525002654E-2</c:v>
                </c:pt>
                <c:pt idx="361">
                  <c:v>3.7969730553878291E-2</c:v>
                </c:pt>
                <c:pt idx="362">
                  <c:v>3.807671810888285E-2</c:v>
                </c:pt>
                <c:pt idx="363">
                  <c:v>3.8183711683529693E-2</c:v>
                </c:pt>
                <c:pt idx="364">
                  <c:v>3.8290698794384209E-2</c:v>
                </c:pt>
                <c:pt idx="365">
                  <c:v>3.8397668011710039E-2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6.7862137167437357E-3</c:v>
                </c:pt>
                <c:pt idx="1">
                  <c:v>6.7888162487055245E-3</c:v>
                </c:pt>
                <c:pt idx="2">
                  <c:v>6.7799888551745568E-3</c:v>
                </c:pt>
                <c:pt idx="3">
                  <c:v>6.7603227651604168E-3</c:v>
                </c:pt>
                <c:pt idx="4">
                  <c:v>6.7303982044212458E-3</c:v>
                </c:pt>
                <c:pt idx="5">
                  <c:v>6.6907790524340996E-3</c:v>
                </c:pt>
                <c:pt idx="6">
                  <c:v>6.6420082776242123E-3</c:v>
                </c:pt>
                <c:pt idx="7">
                  <c:v>6.5846040910573986E-3</c:v>
                </c:pt>
                <c:pt idx="8">
                  <c:v>6.518329458067542E-3</c:v>
                </c:pt>
                <c:pt idx="9">
                  <c:v>6.4351788526326162E-3</c:v>
                </c:pt>
                <c:pt idx="10">
                  <c:v>6.3368890719621923E-3</c:v>
                </c:pt>
                <c:pt idx="11">
                  <c:v>6.2237349035998805E-3</c:v>
                </c:pt>
                <c:pt idx="12">
                  <c:v>6.0960008291829097E-3</c:v>
                </c:pt>
                <c:pt idx="13">
                  <c:v>5.9539821746315289E-3</c:v>
                </c:pt>
                <c:pt idx="14">
                  <c:v>5.7979860851751289E-3</c:v>
                </c:pt>
                <c:pt idx="15">
                  <c:v>5.6246493204868617E-3</c:v>
                </c:pt>
                <c:pt idx="16">
                  <c:v>5.4422394596690231E-3</c:v>
                </c:pt>
                <c:pt idx="17">
                  <c:v>5.2510008561403605E-3</c:v>
                </c:pt>
                <c:pt idx="18">
                  <c:v>5.0511902099187262E-3</c:v>
                </c:pt>
                <c:pt idx="19">
                  <c:v>4.8431035886779498E-3</c:v>
                </c:pt>
                <c:pt idx="20">
                  <c:v>4.6270561895476294E-3</c:v>
                </c:pt>
                <c:pt idx="21">
                  <c:v>4.4033488595638173E-3</c:v>
                </c:pt>
                <c:pt idx="22">
                  <c:v>4.1720868066199221E-3</c:v>
                </c:pt>
                <c:pt idx="23">
                  <c:v>3.941220219953627E-3</c:v>
                </c:pt>
                <c:pt idx="24">
                  <c:v>3.7177241454869905E-3</c:v>
                </c:pt>
                <c:pt idx="25">
                  <c:v>3.5016912529343184E-3</c:v>
                </c:pt>
                <c:pt idx="26">
                  <c:v>3.2931691893725453E-3</c:v>
                </c:pt>
                <c:pt idx="27">
                  <c:v>3.0921651339755373E-3</c:v>
                </c:pt>
                <c:pt idx="28">
                  <c:v>2.898650246920066E-3</c:v>
                </c:pt>
                <c:pt idx="29">
                  <c:v>2.7201677094868476E-3</c:v>
                </c:pt>
                <c:pt idx="30">
                  <c:v>2.5596387971334104E-3</c:v>
                </c:pt>
                <c:pt idx="31">
                  <c:v>2.4166526887052205E-3</c:v>
                </c:pt>
                <c:pt idx="32">
                  <c:v>2.2907918899703738E-3</c:v>
                </c:pt>
                <c:pt idx="33">
                  <c:v>2.1816381870522808E-3</c:v>
                </c:pt>
                <c:pt idx="34">
                  <c:v>2.0887779826072369E-3</c:v>
                </c:pt>
                <c:pt idx="35">
                  <c:v>2.0118070587738491E-3</c:v>
                </c:pt>
                <c:pt idx="36">
                  <c:v>1.950127085149763E-3</c:v>
                </c:pt>
                <c:pt idx="37">
                  <c:v>1.9034911488221328E-3</c:v>
                </c:pt>
                <c:pt idx="38">
                  <c:v>1.864892632609138E-3</c:v>
                </c:pt>
                <c:pt idx="39">
                  <c:v>1.8341561652630968E-3</c:v>
                </c:pt>
                <c:pt idx="40">
                  <c:v>1.8111096399660949E-3</c:v>
                </c:pt>
                <c:pt idx="41">
                  <c:v>1.7955852075799926E-3</c:v>
                </c:pt>
                <c:pt idx="42">
                  <c:v>1.7874201711016436E-3</c:v>
                </c:pt>
                <c:pt idx="43">
                  <c:v>1.7861984184277986E-3</c:v>
                </c:pt>
                <c:pt idx="44">
                  <c:v>1.7851145177304351E-3</c:v>
                </c:pt>
                <c:pt idx="45">
                  <c:v>1.7841927150572888E-3</c:v>
                </c:pt>
                <c:pt idx="46">
                  <c:v>1.7834569876767218E-3</c:v>
                </c:pt>
                <c:pt idx="47">
                  <c:v>1.7829311604449778E-3</c:v>
                </c:pt>
                <c:pt idx="48">
                  <c:v>1.7826390251613916E-3</c:v>
                </c:pt>
                <c:pt idx="49">
                  <c:v>1.7826044630965014E-3</c:v>
                </c:pt>
                <c:pt idx="50">
                  <c:v>1.7828060361911643E-3</c:v>
                </c:pt>
                <c:pt idx="51">
                  <c:v>1.7823913467261508E-3</c:v>
                </c:pt>
                <c:pt idx="52">
                  <c:v>1.7810529801471249E-3</c:v>
                </c:pt>
                <c:pt idx="53">
                  <c:v>1.7787977900513416E-3</c:v>
                </c:pt>
                <c:pt idx="54">
                  <c:v>1.775641225863285E-3</c:v>
                </c:pt>
                <c:pt idx="55">
                  <c:v>1.7715985803959677E-3</c:v>
                </c:pt>
                <c:pt idx="56">
                  <c:v>1.7666850640974193E-3</c:v>
                </c:pt>
                <c:pt idx="57">
                  <c:v>1.7592013517420024E-3</c:v>
                </c:pt>
                <c:pt idx="58">
                  <c:v>1.7494226553895695E-3</c:v>
                </c:pt>
                <c:pt idx="59">
                  <c:v>1.7373905227638191E-3</c:v>
                </c:pt>
                <c:pt idx="60">
                  <c:v>1.7231454994357566E-3</c:v>
                </c:pt>
                <c:pt idx="61">
                  <c:v>1.7067272054699261E-3</c:v>
                </c:pt>
                <c:pt idx="62">
                  <c:v>1.6881743942863193E-3</c:v>
                </c:pt>
                <c:pt idx="63">
                  <c:v>1.6675249944452066E-3</c:v>
                </c:pt>
                <c:pt idx="64">
                  <c:v>1.6448013685335554E-3</c:v>
                </c:pt>
                <c:pt idx="65">
                  <c:v>1.6193133183433042E-3</c:v>
                </c:pt>
                <c:pt idx="66">
                  <c:v>1.5918628902898671E-3</c:v>
                </c:pt>
                <c:pt idx="67">
                  <c:v>1.5624975304767668E-3</c:v>
                </c:pt>
                <c:pt idx="68">
                  <c:v>1.5312624044274926E-3</c:v>
                </c:pt>
                <c:pt idx="69">
                  <c:v>1.4982002410540195E-3</c:v>
                </c:pt>
                <c:pt idx="70">
                  <c:v>1.4633511786395765E-3</c:v>
                </c:pt>
                <c:pt idx="71">
                  <c:v>1.4273132260198677E-3</c:v>
                </c:pt>
                <c:pt idx="72">
                  <c:v>1.3916785582537416E-3</c:v>
                </c:pt>
                <c:pt idx="73">
                  <c:v>1.3564450464588758E-3</c:v>
                </c:pt>
                <c:pt idx="74">
                  <c:v>1.3216094833955745E-3</c:v>
                </c:pt>
                <c:pt idx="75">
                  <c:v>1.2871675828641247E-3</c:v>
                </c:pt>
                <c:pt idx="76">
                  <c:v>1.2531139791971922E-3</c:v>
                </c:pt>
                <c:pt idx="77">
                  <c:v>1.2194422261303395E-3</c:v>
                </c:pt>
                <c:pt idx="78">
                  <c:v>1.1860892469891535E-3</c:v>
                </c:pt>
                <c:pt idx="79">
                  <c:v>1.1531849079202416E-3</c:v>
                </c:pt>
                <c:pt idx="80">
                  <c:v>1.121411634801507E-3</c:v>
                </c:pt>
                <c:pt idx="81">
                  <c:v>1.0907658415261314E-3</c:v>
                </c:pt>
                <c:pt idx="82">
                  <c:v>1.0612422387532173E-3</c:v>
                </c:pt>
                <c:pt idx="83">
                  <c:v>1.0328340414224842E-3</c:v>
                </c:pt>
                <c:pt idx="84">
                  <c:v>1.0055331695810908E-3</c:v>
                </c:pt>
                <c:pt idx="85">
                  <c:v>9.7976932723584662E-4</c:v>
                </c:pt>
                <c:pt idx="86">
                  <c:v>9.5500669082412186E-4</c:v>
                </c:pt>
                <c:pt idx="87">
                  <c:v>9.3123611527624374E-4</c:v>
                </c:pt>
                <c:pt idx="88">
                  <c:v>9.0844781803676165E-4</c:v>
                </c:pt>
                <c:pt idx="89">
                  <c:v>8.8663153361494729E-4</c:v>
                </c:pt>
                <c:pt idx="90">
                  <c:v>8.6577666107009522E-4</c:v>
                </c:pt>
                <c:pt idx="91">
                  <c:v>8.4587240514548943E-4</c:v>
                </c:pt>
                <c:pt idx="92">
                  <c:v>8.2689722565322196E-4</c:v>
                </c:pt>
                <c:pt idx="93">
                  <c:v>8.0998211754013995E-4</c:v>
                </c:pt>
                <c:pt idx="94">
                  <c:v>7.9493225459288273E-4</c:v>
                </c:pt>
                <c:pt idx="95">
                  <c:v>7.8172334869209366E-4</c:v>
                </c:pt>
                <c:pt idx="96">
                  <c:v>7.7033443932215376E-4</c:v>
                </c:pt>
                <c:pt idx="97">
                  <c:v>7.6074770143158652E-4</c:v>
                </c:pt>
                <c:pt idx="98">
                  <c:v>7.5294826373945099E-4</c:v>
                </c:pt>
                <c:pt idx="99">
                  <c:v>7.490112957171534E-4</c:v>
                </c:pt>
                <c:pt idx="100">
                  <c:v>7.485035481504973E-4</c:v>
                </c:pt>
                <c:pt idx="101">
                  <c:v>7.5142521641704987E-4</c:v>
                </c:pt>
                <c:pt idx="102">
                  <c:v>7.5778106894158976E-4</c:v>
                </c:pt>
                <c:pt idx="103">
                  <c:v>7.6758016278558809E-4</c:v>
                </c:pt>
                <c:pt idx="104">
                  <c:v>7.8083555738631529E-4</c:v>
                </c:pt>
                <c:pt idx="105">
                  <c:v>7.9756402402933772E-4</c:v>
                </c:pt>
                <c:pt idx="106">
                  <c:v>8.1780150554331961E-4</c:v>
                </c:pt>
                <c:pt idx="107">
                  <c:v>8.4356967344464875E-4</c:v>
                </c:pt>
                <c:pt idx="108">
                  <c:v>8.7374073932286738E-4</c:v>
                </c:pt>
                <c:pt idx="109">
                  <c:v>9.0836607556323814E-4</c:v>
                </c:pt>
                <c:pt idx="110">
                  <c:v>9.4750564096456296E-4</c:v>
                </c:pt>
                <c:pt idx="111">
                  <c:v>9.9122591330453214E-4</c:v>
                </c:pt>
                <c:pt idx="112">
                  <c:v>1.0395970934868192E-3</c:v>
                </c:pt>
                <c:pt idx="113">
                  <c:v>1.0938530671372878E-3</c:v>
                </c:pt>
                <c:pt idx="114">
                  <c:v>1.1519286212807464E-3</c:v>
                </c:pt>
                <c:pt idx="115">
                  <c:v>1.2139012146954538E-3</c:v>
                </c:pt>
                <c:pt idx="116">
                  <c:v>1.2798531177278859E-3</c:v>
                </c:pt>
                <c:pt idx="117">
                  <c:v>1.3498713996918182E-3</c:v>
                </c:pt>
                <c:pt idx="118">
                  <c:v>1.4240479054772252E-3</c:v>
                </c:pt>
                <c:pt idx="119">
                  <c:v>1.5024792211972568E-3</c:v>
                </c:pt>
                <c:pt idx="120">
                  <c:v>1.5852781690906387E-3</c:v>
                </c:pt>
                <c:pt idx="121">
                  <c:v>1.6736740353624961E-3</c:v>
                </c:pt>
                <c:pt idx="122">
                  <c:v>1.7656877164118766E-3</c:v>
                </c:pt>
                <c:pt idx="123">
                  <c:v>1.8614059573418943E-3</c:v>
                </c:pt>
                <c:pt idx="124">
                  <c:v>1.9609157473711963E-3</c:v>
                </c:pt>
                <c:pt idx="125">
                  <c:v>2.064303940258081E-3</c:v>
                </c:pt>
                <c:pt idx="126">
                  <c:v>2.1716568503404423E-3</c:v>
                </c:pt>
                <c:pt idx="127">
                  <c:v>2.2831468936220668E-3</c:v>
                </c:pt>
                <c:pt idx="128">
                  <c:v>2.3976024751456312E-3</c:v>
                </c:pt>
                <c:pt idx="129">
                  <c:v>2.5150817476385493E-3</c:v>
                </c:pt>
                <c:pt idx="130">
                  <c:v>2.6356392790798391E-3</c:v>
                </c:pt>
                <c:pt idx="131">
                  <c:v>2.7593256525980979E-3</c:v>
                </c:pt>
                <c:pt idx="132">
                  <c:v>2.8861870552653423E-3</c:v>
                </c:pt>
                <c:pt idx="133">
                  <c:v>3.0162648569064076E-3</c:v>
                </c:pt>
                <c:pt idx="134">
                  <c:v>3.1496500920379597E-3</c:v>
                </c:pt>
                <c:pt idx="135">
                  <c:v>3.2861141137036308E-3</c:v>
                </c:pt>
                <c:pt idx="136">
                  <c:v>3.4244605700167294E-3</c:v>
                </c:pt>
                <c:pt idx="137">
                  <c:v>3.5647012938638911E-3</c:v>
                </c:pt>
                <c:pt idx="138">
                  <c:v>3.7068429270813298E-3</c:v>
                </c:pt>
                <c:pt idx="139">
                  <c:v>3.8508867661912311E-3</c:v>
                </c:pt>
                <c:pt idx="140">
                  <c:v>3.9968286220618968E-3</c:v>
                </c:pt>
                <c:pt idx="141">
                  <c:v>4.144829040041681E-3</c:v>
                </c:pt>
                <c:pt idx="142">
                  <c:v>4.2947460308108342E-3</c:v>
                </c:pt>
                <c:pt idx="143">
                  <c:v>4.4465328837899366E-3</c:v>
                </c:pt>
                <c:pt idx="144">
                  <c:v>4.6001616884144367E-3</c:v>
                </c:pt>
                <c:pt idx="145">
                  <c:v>4.7555992591142415E-3</c:v>
                </c:pt>
                <c:pt idx="146">
                  <c:v>4.9128071515182146E-3</c:v>
                </c:pt>
                <c:pt idx="147">
                  <c:v>5.0717417066970969E-3</c:v>
                </c:pt>
                <c:pt idx="148">
                  <c:v>5.2323572705813334E-3</c:v>
                </c:pt>
                <c:pt idx="149">
                  <c:v>5.3926932733634938E-3</c:v>
                </c:pt>
                <c:pt idx="150">
                  <c:v>5.553039703639631E-3</c:v>
                </c:pt>
                <c:pt idx="151">
                  <c:v>5.7133233411586961E-3</c:v>
                </c:pt>
                <c:pt idx="152">
                  <c:v>5.8734690873644985E-3</c:v>
                </c:pt>
                <c:pt idx="153">
                  <c:v>6.0334003168526391E-3</c:v>
                </c:pt>
                <c:pt idx="154">
                  <c:v>6.1930392489071753E-3</c:v>
                </c:pt>
                <c:pt idx="155">
                  <c:v>6.3477843259120729E-3</c:v>
                </c:pt>
                <c:pt idx="156">
                  <c:v>6.4972951143552563E-3</c:v>
                </c:pt>
                <c:pt idx="157">
                  <c:v>6.6414055522008349E-3</c:v>
                </c:pt>
                <c:pt idx="158">
                  <c:v>6.7799514091348078E-3</c:v>
                </c:pt>
                <c:pt idx="159">
                  <c:v>6.9127708330036326E-3</c:v>
                </c:pt>
                <c:pt idx="160">
                  <c:v>7.0397048753583933E-3</c:v>
                </c:pt>
                <c:pt idx="161">
                  <c:v>7.1605979889888764E-3</c:v>
                </c:pt>
                <c:pt idx="162">
                  <c:v>7.2753801893175058E-3</c:v>
                </c:pt>
                <c:pt idx="163">
                  <c:v>7.3818977212393652E-3</c:v>
                </c:pt>
                <c:pt idx="164">
                  <c:v>7.4820300144262039E-3</c:v>
                </c:pt>
                <c:pt idx="165">
                  <c:v>7.5755699126974904E-3</c:v>
                </c:pt>
                <c:pt idx="166">
                  <c:v>7.6623117136136506E-3</c:v>
                </c:pt>
                <c:pt idx="167">
                  <c:v>7.7420519668486331E-3</c:v>
                </c:pt>
                <c:pt idx="168">
                  <c:v>7.8145902527813563E-3</c:v>
                </c:pt>
                <c:pt idx="169">
                  <c:v>7.8776005185953509E-3</c:v>
                </c:pt>
                <c:pt idx="170">
                  <c:v>7.9357931516135446E-3</c:v>
                </c:pt>
                <c:pt idx="171">
                  <c:v>7.9890194631980233E-3</c:v>
                </c:pt>
                <c:pt idx="172">
                  <c:v>8.0371349000148678E-3</c:v>
                </c:pt>
                <c:pt idx="173">
                  <c:v>8.079916859849167E-3</c:v>
                </c:pt>
                <c:pt idx="174">
                  <c:v>8.1171418080994411E-3</c:v>
                </c:pt>
                <c:pt idx="175">
                  <c:v>8.1486716923733406E-3</c:v>
                </c:pt>
                <c:pt idx="176">
                  <c:v>8.1745265417653683E-3</c:v>
                </c:pt>
                <c:pt idx="177">
                  <c:v>8.1896712937886435E-3</c:v>
                </c:pt>
                <c:pt idx="178">
                  <c:v>8.1962262814823956E-3</c:v>
                </c:pt>
                <c:pt idx="179">
                  <c:v>8.1941170271900843E-3</c:v>
                </c:pt>
                <c:pt idx="180">
                  <c:v>8.1832772649801221E-3</c:v>
                </c:pt>
                <c:pt idx="181">
                  <c:v>8.1636486103190235E-3</c:v>
                </c:pt>
                <c:pt idx="182">
                  <c:v>8.1351801761729379E-3</c:v>
                </c:pt>
                <c:pt idx="183">
                  <c:v>8.0954933067608516E-3</c:v>
                </c:pt>
                <c:pt idx="184">
                  <c:v>8.0468209077798787E-3</c:v>
                </c:pt>
                <c:pt idx="185">
                  <c:v>7.9891349331512249E-3</c:v>
                </c:pt>
                <c:pt idx="186">
                  <c:v>7.9224127721985241E-3</c:v>
                </c:pt>
                <c:pt idx="187">
                  <c:v>7.8466366624226815E-3</c:v>
                </c:pt>
                <c:pt idx="188">
                  <c:v>7.7617930816589829E-3</c:v>
                </c:pt>
                <c:pt idx="189">
                  <c:v>7.6678721254332186E-3</c:v>
                </c:pt>
                <c:pt idx="190">
                  <c:v>7.564929098384153E-3</c:v>
                </c:pt>
                <c:pt idx="191">
                  <c:v>7.4531628535564982E-3</c:v>
                </c:pt>
                <c:pt idx="192">
                  <c:v>7.3378993457535137E-3</c:v>
                </c:pt>
                <c:pt idx="193">
                  <c:v>7.2191461158155768E-3</c:v>
                </c:pt>
                <c:pt idx="194">
                  <c:v>7.0969110035368323E-3</c:v>
                </c:pt>
                <c:pt idx="195">
                  <c:v>6.9712019701509073E-3</c:v>
                </c:pt>
                <c:pt idx="196">
                  <c:v>6.8420269442277691E-3</c:v>
                </c:pt>
                <c:pt idx="197">
                  <c:v>6.7089359465411684E-3</c:v>
                </c:pt>
                <c:pt idx="198">
                  <c:v>6.5743749951415256E-3</c:v>
                </c:pt>
                <c:pt idx="199">
                  <c:v>6.4383662591118848E-3</c:v>
                </c:pt>
                <c:pt idx="200">
                  <c:v>6.3009309474005284E-3</c:v>
                </c:pt>
                <c:pt idx="201">
                  <c:v>6.1620893013880438E-3</c:v>
                </c:pt>
                <c:pt idx="202">
                  <c:v>6.0218606123475793E-3</c:v>
                </c:pt>
                <c:pt idx="203">
                  <c:v>5.8802632632288894E-3</c:v>
                </c:pt>
                <c:pt idx="204">
                  <c:v>5.7373372122546716E-3</c:v>
                </c:pt>
                <c:pt idx="205">
                  <c:v>5.5933207073030006E-3</c:v>
                </c:pt>
                <c:pt idx="206">
                  <c:v>5.4480966712847139E-3</c:v>
                </c:pt>
                <c:pt idx="207">
                  <c:v>5.3017034534329445E-3</c:v>
                </c:pt>
                <c:pt idx="208">
                  <c:v>5.1541759597125546E-3</c:v>
                </c:pt>
                <c:pt idx="209">
                  <c:v>5.005545724596174E-3</c:v>
                </c:pt>
                <c:pt idx="210">
                  <c:v>4.8558409981357522E-3</c:v>
                </c:pt>
                <c:pt idx="211">
                  <c:v>4.706952998285341E-3</c:v>
                </c:pt>
                <c:pt idx="212">
                  <c:v>4.559388525991275E-3</c:v>
                </c:pt>
                <c:pt idx="213">
                  <c:v>4.4131818007603664E-3</c:v>
                </c:pt>
                <c:pt idx="214">
                  <c:v>4.2683641360097497E-3</c:v>
                </c:pt>
                <c:pt idx="215">
                  <c:v>4.1249641401057951E-3</c:v>
                </c:pt>
                <c:pt idx="216">
                  <c:v>3.9830079147482123E-3</c:v>
                </c:pt>
                <c:pt idx="217">
                  <c:v>3.8425192488303131E-3</c:v>
                </c:pt>
                <c:pt idx="218">
                  <c:v>3.7035145355567298E-3</c:v>
                </c:pt>
                <c:pt idx="219">
                  <c:v>3.5680340744194206E-3</c:v>
                </c:pt>
                <c:pt idx="220">
                  <c:v>3.4359059415539658E-3</c:v>
                </c:pt>
                <c:pt idx="221">
                  <c:v>3.3071491644101263E-3</c:v>
                </c:pt>
                <c:pt idx="222">
                  <c:v>3.1817830920173348E-3</c:v>
                </c:pt>
                <c:pt idx="223">
                  <c:v>3.0598274624911649E-3</c:v>
                </c:pt>
                <c:pt idx="224">
                  <c:v>2.9413024553799579E-3</c:v>
                </c:pt>
                <c:pt idx="225">
                  <c:v>2.8297289973830101E-3</c:v>
                </c:pt>
                <c:pt idx="226">
                  <c:v>2.7232212312243943E-3</c:v>
                </c:pt>
                <c:pt idx="227">
                  <c:v>2.6218098371480103E-3</c:v>
                </c:pt>
                <c:pt idx="228">
                  <c:v>2.5255258492903974E-3</c:v>
                </c:pt>
                <c:pt idx="229">
                  <c:v>2.4344005931896022E-3</c:v>
                </c:pt>
                <c:pt idx="230">
                  <c:v>2.3484656086886872E-3</c:v>
                </c:pt>
                <c:pt idx="231">
                  <c:v>2.2677525591516313E-3</c:v>
                </c:pt>
                <c:pt idx="232">
                  <c:v>2.1922569351922731E-3</c:v>
                </c:pt>
                <c:pt idx="233">
                  <c:v>2.1258601270100568E-3</c:v>
                </c:pt>
                <c:pt idx="234">
                  <c:v>2.0665448767139901E-3</c:v>
                </c:pt>
                <c:pt idx="235">
                  <c:v>2.0143770609611748E-3</c:v>
                </c:pt>
                <c:pt idx="236">
                  <c:v>1.9694196089640017E-3</c:v>
                </c:pt>
                <c:pt idx="237">
                  <c:v>1.9317312018090735E-3</c:v>
                </c:pt>
                <c:pt idx="238">
                  <c:v>1.9013682655623298E-3</c:v>
                </c:pt>
                <c:pt idx="239">
                  <c:v>1.880608432936454E-3</c:v>
                </c:pt>
                <c:pt idx="240">
                  <c:v>1.8659192437560526E-3</c:v>
                </c:pt>
                <c:pt idx="241">
                  <c:v>1.8573477637184479E-3</c:v>
                </c:pt>
                <c:pt idx="242">
                  <c:v>1.8549412672903705E-3</c:v>
                </c:pt>
                <c:pt idx="243">
                  <c:v>1.8587477976927049E-3</c:v>
                </c:pt>
                <c:pt idx="244">
                  <c:v>1.8688167385311932E-3</c:v>
                </c:pt>
                <c:pt idx="245">
                  <c:v>1.8851993976889943E-3</c:v>
                </c:pt>
                <c:pt idx="246">
                  <c:v>1.9078758611547932E-3</c:v>
                </c:pt>
                <c:pt idx="247">
                  <c:v>1.9375136311045606E-3</c:v>
                </c:pt>
                <c:pt idx="248">
                  <c:v>1.9701904789357154E-3</c:v>
                </c:pt>
                <c:pt idx="249">
                  <c:v>2.0059317739676789E-3</c:v>
                </c:pt>
                <c:pt idx="250">
                  <c:v>2.0447635714217838E-3</c:v>
                </c:pt>
                <c:pt idx="251">
                  <c:v>2.0867127609192479E-3</c:v>
                </c:pt>
                <c:pt idx="252">
                  <c:v>2.1318072178766697E-3</c:v>
                </c:pt>
                <c:pt idx="253">
                  <c:v>2.1802186625748065E-3</c:v>
                </c:pt>
                <c:pt idx="254">
                  <c:v>2.2296930704563591E-3</c:v>
                </c:pt>
                <c:pt idx="255">
                  <c:v>2.2802494027353687E-3</c:v>
                </c:pt>
                <c:pt idx="256">
                  <c:v>2.3319078467710199E-3</c:v>
                </c:pt>
                <c:pt idx="257">
                  <c:v>2.3846898865737898E-3</c:v>
                </c:pt>
                <c:pt idx="258">
                  <c:v>2.4386183817940018E-3</c:v>
                </c:pt>
                <c:pt idx="259">
                  <c:v>2.4937176579035128E-3</c:v>
                </c:pt>
                <c:pt idx="260">
                  <c:v>2.5499790780412071E-3</c:v>
                </c:pt>
                <c:pt idx="261">
                  <c:v>2.6080645085141932E-3</c:v>
                </c:pt>
                <c:pt idx="262">
                  <c:v>2.6672651654376222E-3</c:v>
                </c:pt>
                <c:pt idx="263">
                  <c:v>2.7275803688884158E-3</c:v>
                </c:pt>
                <c:pt idx="264">
                  <c:v>2.7890087587235327E-3</c:v>
                </c:pt>
                <c:pt idx="265">
                  <c:v>2.8515634254619375E-3</c:v>
                </c:pt>
                <c:pt idx="266">
                  <c:v>2.9152503063726042E-3</c:v>
                </c:pt>
                <c:pt idx="267">
                  <c:v>2.9783506177737712E-3</c:v>
                </c:pt>
                <c:pt idx="268">
                  <c:v>3.0406993118385038E-3</c:v>
                </c:pt>
                <c:pt idx="269">
                  <c:v>3.1022750150461386E-3</c:v>
                </c:pt>
                <c:pt idx="270">
                  <c:v>3.1630552632587738E-3</c:v>
                </c:pt>
                <c:pt idx="271">
                  <c:v>3.223016609977898E-3</c:v>
                </c:pt>
                <c:pt idx="272">
                  <c:v>3.2821347459488087E-3</c:v>
                </c:pt>
                <c:pt idx="273">
                  <c:v>3.3403846308170415E-3</c:v>
                </c:pt>
                <c:pt idx="274">
                  <c:v>3.3977917977307116E-3</c:v>
                </c:pt>
                <c:pt idx="275">
                  <c:v>3.4513754668330987E-3</c:v>
                </c:pt>
                <c:pt idx="276">
                  <c:v>3.5003758847017958E-3</c:v>
                </c:pt>
                <c:pt idx="277">
                  <c:v>3.5447357129124732E-3</c:v>
                </c:pt>
                <c:pt idx="278">
                  <c:v>3.5843971382221026E-3</c:v>
                </c:pt>
                <c:pt idx="279">
                  <c:v>3.6193023165970758E-3</c:v>
                </c:pt>
                <c:pt idx="280">
                  <c:v>3.6493938174837312E-3</c:v>
                </c:pt>
                <c:pt idx="281">
                  <c:v>3.6733651762200538E-3</c:v>
                </c:pt>
                <c:pt idx="282">
                  <c:v>3.6929244536296024E-3</c:v>
                </c:pt>
                <c:pt idx="283">
                  <c:v>3.7080216176758733E-3</c:v>
                </c:pt>
                <c:pt idx="284">
                  <c:v>3.7186085795722001E-3</c:v>
                </c:pt>
                <c:pt idx="285">
                  <c:v>3.724639557583914E-3</c:v>
                </c:pt>
                <c:pt idx="286">
                  <c:v>3.7260714230215276E-3</c:v>
                </c:pt>
                <c:pt idx="287">
                  <c:v>3.7228640253134898E-3</c:v>
                </c:pt>
                <c:pt idx="288">
                  <c:v>3.7150114962893502E-3</c:v>
                </c:pt>
                <c:pt idx="289">
                  <c:v>3.7034575212894455E-3</c:v>
                </c:pt>
                <c:pt idx="290">
                  <c:v>3.691294920745086E-3</c:v>
                </c:pt>
                <c:pt idx="291">
                  <c:v>3.678545428082308E-3</c:v>
                </c:pt>
                <c:pt idx="292">
                  <c:v>3.6652329154253666E-3</c:v>
                </c:pt>
                <c:pt idx="293">
                  <c:v>3.6513833879752091E-3</c:v>
                </c:pt>
                <c:pt idx="294">
                  <c:v>3.637024966454076E-3</c:v>
                </c:pt>
                <c:pt idx="295">
                  <c:v>3.6296476348162388E-3</c:v>
                </c:pt>
                <c:pt idx="296">
                  <c:v>3.6306360143582407E-3</c:v>
                </c:pt>
                <c:pt idx="297">
                  <c:v>3.6400893122864523E-3</c:v>
                </c:pt>
                <c:pt idx="298">
                  <c:v>3.6580799825443196E-3</c:v>
                </c:pt>
                <c:pt idx="299">
                  <c:v>3.6846847793506926E-3</c:v>
                </c:pt>
                <c:pt idx="300">
                  <c:v>3.7199858082060393E-3</c:v>
                </c:pt>
                <c:pt idx="301">
                  <c:v>3.7640716726457563E-3</c:v>
                </c:pt>
                <c:pt idx="302">
                  <c:v>3.8173405649472541E-3</c:v>
                </c:pt>
                <c:pt idx="303">
                  <c:v>3.8928232761909296E-3</c:v>
                </c:pt>
                <c:pt idx="304">
                  <c:v>3.9896366729216433E-3</c:v>
                </c:pt>
                <c:pt idx="305">
                  <c:v>4.1078532511946665E-3</c:v>
                </c:pt>
                <c:pt idx="306">
                  <c:v>4.2475526902710208E-3</c:v>
                </c:pt>
                <c:pt idx="307">
                  <c:v>4.4088153287364443E-3</c:v>
                </c:pt>
                <c:pt idx="308">
                  <c:v>4.5917152071555138E-3</c:v>
                </c:pt>
                <c:pt idx="309">
                  <c:v>4.7965058043921583E-3</c:v>
                </c:pt>
                <c:pt idx="310">
                  <c:v>5.0155471354611948E-3</c:v>
                </c:pt>
                <c:pt idx="311">
                  <c:v>5.2487864397190174E-3</c:v>
                </c:pt>
                <c:pt idx="312">
                  <c:v>5.4961333419766539E-3</c:v>
                </c:pt>
                <c:pt idx="313">
                  <c:v>5.757452802753301E-3</c:v>
                </c:pt>
                <c:pt idx="314">
                  <c:v>6.0325577458507544E-3</c:v>
                </c:pt>
                <c:pt idx="315">
                  <c:v>6.3212014363574782E-3</c:v>
                </c:pt>
                <c:pt idx="316">
                  <c:v>6.6240053391868172E-3</c:v>
                </c:pt>
                <c:pt idx="317">
                  <c:v>6.9324032560349217E-3</c:v>
                </c:pt>
                <c:pt idx="318">
                  <c:v>7.2333109545780708E-3</c:v>
                </c:pt>
                <c:pt idx="319">
                  <c:v>7.5267019145527202E-3</c:v>
                </c:pt>
                <c:pt idx="320">
                  <c:v>7.8125356036471069E-3</c:v>
                </c:pt>
                <c:pt idx="321">
                  <c:v>8.0907560325057786E-3</c:v>
                </c:pt>
                <c:pt idx="322">
                  <c:v>8.3612903250662816E-3</c:v>
                </c:pt>
                <c:pt idx="323">
                  <c:v>8.6163829764977426E-3</c:v>
                </c:pt>
                <c:pt idx="324">
                  <c:v>8.8556738634255824E-3</c:v>
                </c:pt>
                <c:pt idx="325">
                  <c:v>9.078970778725725E-3</c:v>
                </c:pt>
                <c:pt idx="326">
                  <c:v>9.2860010961555283E-3</c:v>
                </c:pt>
                <c:pt idx="327">
                  <c:v>9.4765042039475847E-3</c:v>
                </c:pt>
                <c:pt idx="328">
                  <c:v>9.6502460649885852E-3</c:v>
                </c:pt>
                <c:pt idx="329">
                  <c:v>9.8069741902423943E-3</c:v>
                </c:pt>
                <c:pt idx="330">
                  <c:v>9.9481181724106159E-3</c:v>
                </c:pt>
                <c:pt idx="331">
                  <c:v>1.0064937654314297E-2</c:v>
                </c:pt>
                <c:pt idx="332">
                  <c:v>1.0166565314576392E-2</c:v>
                </c:pt>
                <c:pt idx="333">
                  <c:v>1.025229414361236E-2</c:v>
                </c:pt>
                <c:pt idx="334">
                  <c:v>1.0321349893988772E-2</c:v>
                </c:pt>
                <c:pt idx="335">
                  <c:v>1.0372899899644687E-2</c:v>
                </c:pt>
                <c:pt idx="336">
                  <c:v>1.0406063768991195E-2</c:v>
                </c:pt>
                <c:pt idx="337">
                  <c:v>1.0419474401030691E-2</c:v>
                </c:pt>
                <c:pt idx="338">
                  <c:v>1.0420196985905959E-2</c:v>
                </c:pt>
                <c:pt idx="339">
                  <c:v>1.0407355415341409E-2</c:v>
                </c:pt>
                <c:pt idx="340">
                  <c:v>1.0380074681846808E-2</c:v>
                </c:pt>
                <c:pt idx="341">
                  <c:v>1.0337496057453396E-2</c:v>
                </c:pt>
                <c:pt idx="342">
                  <c:v>1.0278793950266121E-2</c:v>
                </c:pt>
                <c:pt idx="343">
                  <c:v>1.0203194200972628E-2</c:v>
                </c:pt>
                <c:pt idx="344">
                  <c:v>1.0111287677861689E-2</c:v>
                </c:pt>
                <c:pt idx="345">
                  <c:v>1.0004291768758807E-2</c:v>
                </c:pt>
                <c:pt idx="346">
                  <c:v>9.9000054147052874E-3</c:v>
                </c:pt>
                <c:pt idx="347">
                  <c:v>9.7986602017236836E-3</c:v>
                </c:pt>
                <c:pt idx="348">
                  <c:v>9.7004788805254271E-3</c:v>
                </c:pt>
                <c:pt idx="349">
                  <c:v>9.6056748321217029E-3</c:v>
                </c:pt>
                <c:pt idx="350">
                  <c:v>9.5144516322108429E-3</c:v>
                </c:pt>
                <c:pt idx="351">
                  <c:v>9.4342051378077663E-3</c:v>
                </c:pt>
                <c:pt idx="352">
                  <c:v>9.3655117213237889E-3</c:v>
                </c:pt>
                <c:pt idx="353">
                  <c:v>9.30846784152373E-3</c:v>
                </c:pt>
                <c:pt idx="354">
                  <c:v>9.2631466747763822E-3</c:v>
                </c:pt>
                <c:pt idx="355">
                  <c:v>9.2295997515028944E-3</c:v>
                </c:pt>
                <c:pt idx="356">
                  <c:v>9.2078318456180214E-3</c:v>
                </c:pt>
                <c:pt idx="357">
                  <c:v>9.1978708268544099E-3</c:v>
                </c:pt>
                <c:pt idx="358">
                  <c:v>9.1980110499064044E-3</c:v>
                </c:pt>
                <c:pt idx="359">
                  <c:v>9.2067879149724981E-3</c:v>
                </c:pt>
                <c:pt idx="360">
                  <c:v>9.2240628828597297E-3</c:v>
                </c:pt>
                <c:pt idx="361">
                  <c:v>9.2432107973075481E-3</c:v>
                </c:pt>
                <c:pt idx="362">
                  <c:v>9.2646222137479483E-3</c:v>
                </c:pt>
                <c:pt idx="363">
                  <c:v>9.2886803526660774E-3</c:v>
                </c:pt>
                <c:pt idx="364">
                  <c:v>9.3157606720592548E-3</c:v>
                </c:pt>
                <c:pt idx="365">
                  <c:v>9.3462309279795566E-3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899672"/>
        <c:axId val="237900064"/>
      </c:lineChart>
      <c:dateAx>
        <c:axId val="2378996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0064"/>
        <c:crosses val="autoZero"/>
        <c:auto val="1"/>
        <c:lblOffset val="100"/>
        <c:baseTimeUnit val="days"/>
        <c:majorUnit val="1"/>
        <c:majorTimeUnit val="months"/>
      </c:dateAx>
      <c:valAx>
        <c:axId val="2379000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899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25.824026173268283</c:v>
                </c:pt>
                <c:pt idx="1">
                  <c:v>26.012077194703956</c:v>
                </c:pt>
                <c:pt idx="2">
                  <c:v>26.205708110624805</c:v>
                </c:pt>
                <c:pt idx="3">
                  <c:v>26.403490842307395</c:v>
                </c:pt>
                <c:pt idx="4">
                  <c:v>26.603998040090239</c:v>
                </c:pt>
                <c:pt idx="5">
                  <c:v>26.805803061177354</c:v>
                </c:pt>
                <c:pt idx="6">
                  <c:v>27.007479960980049</c:v>
                </c:pt>
                <c:pt idx="7">
                  <c:v>27.207603481781376</c:v>
                </c:pt>
                <c:pt idx="8">
                  <c:v>27.407835157919816</c:v>
                </c:pt>
                <c:pt idx="9">
                  <c:v>27.61120154413484</c:v>
                </c:pt>
                <c:pt idx="10">
                  <c:v>27.8180223702681</c:v>
                </c:pt>
                <c:pt idx="11">
                  <c:v>28.028628094851733</c:v>
                </c:pt>
                <c:pt idx="12">
                  <c:v>28.243348907261769</c:v>
                </c:pt>
                <c:pt idx="13">
                  <c:v>28.462514731144971</c:v>
                </c:pt>
                <c:pt idx="14">
                  <c:v>28.686455222017688</c:v>
                </c:pt>
                <c:pt idx="15">
                  <c:v>28.915744096740053</c:v>
                </c:pt>
                <c:pt idx="16">
                  <c:v>29.150462603525462</c:v>
                </c:pt>
                <c:pt idx="17">
                  <c:v>29.390939629214923</c:v>
                </c:pt>
                <c:pt idx="18">
                  <c:v>29.637503801029567</c:v>
                </c:pt>
                <c:pt idx="19">
                  <c:v>29.890482205752726</c:v>
                </c:pt>
                <c:pt idx="20">
                  <c:v>30.150201219811034</c:v>
                </c:pt>
                <c:pt idx="21">
                  <c:v>30.416988100922577</c:v>
                </c:pt>
                <c:pt idx="22">
                  <c:v>30.692677637707504</c:v>
                </c:pt>
                <c:pt idx="23">
                  <c:v>30.978161317077873</c:v>
                </c:pt>
                <c:pt idx="24">
                  <c:v>31.272163844052898</c:v>
                </c:pt>
                <c:pt idx="25">
                  <c:v>31.573604918408744</c:v>
                </c:pt>
                <c:pt idx="26">
                  <c:v>31.881404895321285</c:v>
                </c:pt>
                <c:pt idx="27">
                  <c:v>32.194484798610034</c:v>
                </c:pt>
                <c:pt idx="28">
                  <c:v>32.511766311042031</c:v>
                </c:pt>
                <c:pt idx="29">
                  <c:v>32.831834109214178</c:v>
                </c:pt>
                <c:pt idx="30">
                  <c:v>33.15336719026395</c:v>
                </c:pt>
                <c:pt idx="31">
                  <c:v>33.475289313817704</c:v>
                </c:pt>
                <c:pt idx="32">
                  <c:v>33.796524859550004</c:v>
                </c:pt>
                <c:pt idx="33">
                  <c:v>34.115998819412312</c:v>
                </c:pt>
                <c:pt idx="34">
                  <c:v>34.432636791870962</c:v>
                </c:pt>
                <c:pt idx="35">
                  <c:v>34.745364974906927</c:v>
                </c:pt>
                <c:pt idx="36">
                  <c:v>35.056856947792056</c:v>
                </c:pt>
                <c:pt idx="37">
                  <c:v>35.369974226744979</c:v>
                </c:pt>
                <c:pt idx="38">
                  <c:v>35.684231251524871</c:v>
                </c:pt>
                <c:pt idx="39">
                  <c:v>35.999139124356411</c:v>
                </c:pt>
                <c:pt idx="40">
                  <c:v>36.314209177889495</c:v>
                </c:pt>
                <c:pt idx="41">
                  <c:v>36.628952968715382</c:v>
                </c:pt>
                <c:pt idx="42">
                  <c:v>36.942882273810852</c:v>
                </c:pt>
                <c:pt idx="43">
                  <c:v>37.255483690036172</c:v>
                </c:pt>
                <c:pt idx="44">
                  <c:v>37.566607038284644</c:v>
                </c:pt>
                <c:pt idx="45">
                  <c:v>37.875764780882086</c:v>
                </c:pt>
                <c:pt idx="46">
                  <c:v>38.182469598982962</c:v>
                </c:pt>
                <c:pt idx="47">
                  <c:v>38.486234385261717</c:v>
                </c:pt>
                <c:pt idx="48">
                  <c:v>38.786572239762279</c:v>
                </c:pt>
                <c:pt idx="49">
                  <c:v>39.082996458981384</c:v>
                </c:pt>
                <c:pt idx="50">
                  <c:v>39.37602868957223</c:v>
                </c:pt>
                <c:pt idx="51">
                  <c:v>39.666614697851813</c:v>
                </c:pt>
                <c:pt idx="52">
                  <c:v>39.955055798207844</c:v>
                </c:pt>
                <c:pt idx="53">
                  <c:v>40.241450987781541</c:v>
                </c:pt>
                <c:pt idx="54">
                  <c:v>40.525898673898723</c:v>
                </c:pt>
                <c:pt idx="55">
                  <c:v>40.808497154140127</c:v>
                </c:pt>
                <c:pt idx="56">
                  <c:v>41.089344613223361</c:v>
                </c:pt>
                <c:pt idx="57">
                  <c:v>41.368622643227923</c:v>
                </c:pt>
                <c:pt idx="58">
                  <c:v>41.646454870328213</c:v>
                </c:pt>
                <c:pt idx="59">
                  <c:v>41.922939214239392</c:v>
                </c:pt>
                <c:pt idx="60">
                  <c:v>42.198173471316636</c:v>
                </c:pt>
                <c:pt idx="61">
                  <c:v>42.472255314763828</c:v>
                </c:pt>
                <c:pt idx="62">
                  <c:v>42.745282292187873</c:v>
                </c:pt>
                <c:pt idx="63">
                  <c:v>43.017351826995508</c:v>
                </c:pt>
                <c:pt idx="64">
                  <c:v>43.288950770257621</c:v>
                </c:pt>
                <c:pt idx="65">
                  <c:v>43.560354845050647</c:v>
                </c:pt>
                <c:pt idx="66">
                  <c:v>43.831237216077135</c:v>
                </c:pt>
                <c:pt idx="67">
                  <c:v>44.101305432790895</c:v>
                </c:pt>
                <c:pt idx="68">
                  <c:v>44.370267142449187</c:v>
                </c:pt>
                <c:pt idx="69">
                  <c:v>44.637830095845636</c:v>
                </c:pt>
                <c:pt idx="70">
                  <c:v>44.903702153399614</c:v>
                </c:pt>
                <c:pt idx="71">
                  <c:v>45.167571878721354</c:v>
                </c:pt>
                <c:pt idx="72">
                  <c:v>45.429063593632627</c:v>
                </c:pt>
                <c:pt idx="73">
                  <c:v>45.687885442006937</c:v>
                </c:pt>
                <c:pt idx="74">
                  <c:v>45.943745687499018</c:v>
                </c:pt>
                <c:pt idx="75">
                  <c:v>46.196352723505761</c:v>
                </c:pt>
                <c:pt idx="76">
                  <c:v>46.445415072125499</c:v>
                </c:pt>
                <c:pt idx="77">
                  <c:v>46.690641397480562</c:v>
                </c:pt>
                <c:pt idx="78">
                  <c:v>46.933943977863017</c:v>
                </c:pt>
                <c:pt idx="79">
                  <c:v>47.176970668242006</c:v>
                </c:pt>
                <c:pt idx="80">
                  <c:v>47.4189906930281</c:v>
                </c:pt>
                <c:pt idx="81">
                  <c:v>47.659323044889007</c:v>
                </c:pt>
                <c:pt idx="82">
                  <c:v>47.897287058372974</c:v>
                </c:pt>
                <c:pt idx="83">
                  <c:v>48.132202415060725</c:v>
                </c:pt>
                <c:pt idx="84">
                  <c:v>48.363389150885553</c:v>
                </c:pt>
                <c:pt idx="85">
                  <c:v>48.590147187342737</c:v>
                </c:pt>
                <c:pt idx="86">
                  <c:v>48.811816679212349</c:v>
                </c:pt>
                <c:pt idx="87">
                  <c:v>49.027718710331243</c:v>
                </c:pt>
                <c:pt idx="88">
                  <c:v>49.237174735992653</c:v>
                </c:pt>
                <c:pt idx="89">
                  <c:v>49.508082122695754</c:v>
                </c:pt>
                <c:pt idx="90">
                  <c:v>49.701391222332653</c:v>
                </c:pt>
                <c:pt idx="91">
                  <c:v>49.886249556308783</c:v>
                </c:pt>
                <c:pt idx="92">
                  <c:v>50.06262684785117</c:v>
                </c:pt>
                <c:pt idx="93">
                  <c:v>50.23126894721954</c:v>
                </c:pt>
                <c:pt idx="94">
                  <c:v>50.39266266536675</c:v>
                </c:pt>
                <c:pt idx="95">
                  <c:v>50.547294565327995</c:v>
                </c:pt>
                <c:pt idx="96">
                  <c:v>50.695650970988929</c:v>
                </c:pt>
                <c:pt idx="97">
                  <c:v>50.838217969823177</c:v>
                </c:pt>
                <c:pt idx="98">
                  <c:v>50.975481407053962</c:v>
                </c:pt>
                <c:pt idx="99">
                  <c:v>51.10792641279258</c:v>
                </c:pt>
                <c:pt idx="100">
                  <c:v>51.236038251275417</c:v>
                </c:pt>
                <c:pt idx="101">
                  <c:v>51.360301887379975</c:v>
                </c:pt>
                <c:pt idx="102">
                  <c:v>51.48120202894205</c:v>
                </c:pt>
                <c:pt idx="103">
                  <c:v>51.599223131041235</c:v>
                </c:pt>
                <c:pt idx="104">
                  <c:v>51.714849393654447</c:v>
                </c:pt>
                <c:pt idx="105">
                  <c:v>51.828564756393185</c:v>
                </c:pt>
                <c:pt idx="106">
                  <c:v>51.939852140353395</c:v>
                </c:pt>
                <c:pt idx="107">
                  <c:v>52.047806420876476</c:v>
                </c:pt>
                <c:pt idx="108">
                  <c:v>52.152331141934091</c:v>
                </c:pt>
                <c:pt idx="109">
                  <c:v>52.253329495701784</c:v>
                </c:pt>
                <c:pt idx="110">
                  <c:v>52.350704742342138</c:v>
                </c:pt>
                <c:pt idx="111">
                  <c:v>52.444360212637399</c:v>
                </c:pt>
                <c:pt idx="112">
                  <c:v>52.534199304684094</c:v>
                </c:pt>
                <c:pt idx="113">
                  <c:v>52.620124653245625</c:v>
                </c:pt>
                <c:pt idx="114">
                  <c:v>52.702041311345518</c:v>
                </c:pt>
                <c:pt idx="115">
                  <c:v>52.779853046122589</c:v>
                </c:pt>
                <c:pt idx="116">
                  <c:v>52.853463714061405</c:v>
                </c:pt>
                <c:pt idx="117">
                  <c:v>52.922777261724484</c:v>
                </c:pt>
                <c:pt idx="118">
                  <c:v>52.987697731054432</c:v>
                </c:pt>
                <c:pt idx="119">
                  <c:v>55.455803068906839</c:v>
                </c:pt>
                <c:pt idx="120">
                  <c:v>55.512757567146245</c:v>
                </c:pt>
                <c:pt idx="121">
                  <c:v>55.564311066948392</c:v>
                </c:pt>
                <c:pt idx="122">
                  <c:v>55.610770233466134</c:v>
                </c:pt>
                <c:pt idx="123">
                  <c:v>55.652439154015674</c:v>
                </c:pt>
                <c:pt idx="124">
                  <c:v>55.689621681585713</c:v>
                </c:pt>
                <c:pt idx="125">
                  <c:v>55.722621434526062</c:v>
                </c:pt>
                <c:pt idx="126">
                  <c:v>55.751741798509975</c:v>
                </c:pt>
                <c:pt idx="127">
                  <c:v>55.777285680536387</c:v>
                </c:pt>
                <c:pt idx="128">
                  <c:v>55.799558003574113</c:v>
                </c:pt>
                <c:pt idx="129">
                  <c:v>55.818861734447324</c:v>
                </c:pt>
                <c:pt idx="130">
                  <c:v>55.835499631526567</c:v>
                </c:pt>
                <c:pt idx="131">
                  <c:v>55.849774254996326</c:v>
                </c:pt>
                <c:pt idx="132">
                  <c:v>55.861987965965746</c:v>
                </c:pt>
                <c:pt idx="133">
                  <c:v>55.872442932746267</c:v>
                </c:pt>
                <c:pt idx="134">
                  <c:v>55.880466801347794</c:v>
                </c:pt>
                <c:pt idx="135">
                  <c:v>55.885253457406485</c:v>
                </c:pt>
                <c:pt idx="136">
                  <c:v>55.886906816848978</c:v>
                </c:pt>
                <c:pt idx="137">
                  <c:v>55.885528399125761</c:v>
                </c:pt>
                <c:pt idx="138">
                  <c:v>55.881219715001855</c:v>
                </c:pt>
                <c:pt idx="139">
                  <c:v>55.874082272194102</c:v>
                </c:pt>
                <c:pt idx="140">
                  <c:v>55.864217584959754</c:v>
                </c:pt>
                <c:pt idx="141">
                  <c:v>55.851727058274633</c:v>
                </c:pt>
                <c:pt idx="142">
                  <c:v>55.836712761965373</c:v>
                </c:pt>
                <c:pt idx="143">
                  <c:v>55.819276363961315</c:v>
                </c:pt>
                <c:pt idx="144">
                  <c:v>55.799519499518468</c:v>
                </c:pt>
                <c:pt idx="145">
                  <c:v>55.777543830382726</c:v>
                </c:pt>
                <c:pt idx="146">
                  <c:v>55.75345105330571</c:v>
                </c:pt>
                <c:pt idx="147">
                  <c:v>55.727342900038913</c:v>
                </c:pt>
                <c:pt idx="148">
                  <c:v>55.699287624516735</c:v>
                </c:pt>
                <c:pt idx="149">
                  <c:v>55.669227067412876</c:v>
                </c:pt>
                <c:pt idx="150">
                  <c:v>55.637062743237827</c:v>
                </c:pt>
                <c:pt idx="151">
                  <c:v>55.602696563785983</c:v>
                </c:pt>
                <c:pt idx="152">
                  <c:v>55.566030646093346</c:v>
                </c:pt>
                <c:pt idx="153">
                  <c:v>55.526967308289798</c:v>
                </c:pt>
                <c:pt idx="154">
                  <c:v>55.485409066183422</c:v>
                </c:pt>
                <c:pt idx="155">
                  <c:v>55.441274565224781</c:v>
                </c:pt>
                <c:pt idx="156">
                  <c:v>55.394468377509192</c:v>
                </c:pt>
                <c:pt idx="157">
                  <c:v>55.344895100981709</c:v>
                </c:pt>
                <c:pt idx="158">
                  <c:v>55.292459521807558</c:v>
                </c:pt>
                <c:pt idx="159">
                  <c:v>55.237066604503497</c:v>
                </c:pt>
                <c:pt idx="160">
                  <c:v>55.1786214733877</c:v>
                </c:pt>
                <c:pt idx="161">
                  <c:v>55.117029399708798</c:v>
                </c:pt>
                <c:pt idx="162">
                  <c:v>55.05157721955478</c:v>
                </c:pt>
                <c:pt idx="163">
                  <c:v>54.98190308702582</c:v>
                </c:pt>
                <c:pt idx="164">
                  <c:v>54.908403857875342</c:v>
                </c:pt>
                <c:pt idx="165">
                  <c:v>54.831487065348604</c:v>
                </c:pt>
                <c:pt idx="166">
                  <c:v>54.751559947585847</c:v>
                </c:pt>
                <c:pt idx="167">
                  <c:v>54.669029436620178</c:v>
                </c:pt>
                <c:pt idx="168">
                  <c:v>54.58430213341201</c:v>
                </c:pt>
                <c:pt idx="169">
                  <c:v>54.497803272299151</c:v>
                </c:pt>
                <c:pt idx="170">
                  <c:v>54.409916500057939</c:v>
                </c:pt>
                <c:pt idx="171">
                  <c:v>54.321047067279565</c:v>
                </c:pt>
                <c:pt idx="172">
                  <c:v>54.231599835697835</c:v>
                </c:pt>
                <c:pt idx="173">
                  <c:v>54.141979733799481</c:v>
                </c:pt>
                <c:pt idx="174">
                  <c:v>54.052591334675938</c:v>
                </c:pt>
                <c:pt idx="175">
                  <c:v>53.963838347822346</c:v>
                </c:pt>
                <c:pt idx="176">
                  <c:v>53.875123365800121</c:v>
                </c:pt>
                <c:pt idx="177">
                  <c:v>53.785609197564042</c:v>
                </c:pt>
                <c:pt idx="178">
                  <c:v>53.695278071103012</c:v>
                </c:pt>
                <c:pt idx="179">
                  <c:v>53.604133378784177</c:v>
                </c:pt>
                <c:pt idx="180">
                  <c:v>53.512178306901433</c:v>
                </c:pt>
                <c:pt idx="181">
                  <c:v>53.419415829921213</c:v>
                </c:pt>
                <c:pt idx="182">
                  <c:v>53.325848709084909</c:v>
                </c:pt>
                <c:pt idx="183">
                  <c:v>53.231496455467564</c:v>
                </c:pt>
                <c:pt idx="184">
                  <c:v>53.136337529077743</c:v>
                </c:pt>
                <c:pt idx="185">
                  <c:v>53.040373751812375</c:v>
                </c:pt>
                <c:pt idx="186">
                  <c:v>52.943606753793098</c:v>
                </c:pt>
                <c:pt idx="187">
                  <c:v>52.846037978264825</c:v>
                </c:pt>
                <c:pt idx="188">
                  <c:v>52.747668688387392</c:v>
                </c:pt>
                <c:pt idx="189">
                  <c:v>52.648499975118135</c:v>
                </c:pt>
                <c:pt idx="190">
                  <c:v>52.548100145010139</c:v>
                </c:pt>
                <c:pt idx="191">
                  <c:v>52.446170337629539</c:v>
                </c:pt>
                <c:pt idx="192">
                  <c:v>52.342878581200523</c:v>
                </c:pt>
                <c:pt idx="193">
                  <c:v>52.238424264224115</c:v>
                </c:pt>
                <c:pt idx="194">
                  <c:v>52.133006577290971</c:v>
                </c:pt>
                <c:pt idx="195">
                  <c:v>52.026824522552467</c:v>
                </c:pt>
                <c:pt idx="196">
                  <c:v>51.920076925070404</c:v>
                </c:pt>
                <c:pt idx="197">
                  <c:v>51.812962977535683</c:v>
                </c:pt>
                <c:pt idx="198">
                  <c:v>51.705661382444632</c:v>
                </c:pt>
                <c:pt idx="199">
                  <c:v>51.598370058886239</c:v>
                </c:pt>
                <c:pt idx="200">
                  <c:v>51.491286814063322</c:v>
                </c:pt>
                <c:pt idx="201">
                  <c:v>51.3846093498627</c:v>
                </c:pt>
                <c:pt idx="202">
                  <c:v>51.278535269234816</c:v>
                </c:pt>
                <c:pt idx="203">
                  <c:v>51.173262082095299</c:v>
                </c:pt>
                <c:pt idx="204">
                  <c:v>51.068705044118957</c:v>
                </c:pt>
                <c:pt idx="205">
                  <c:v>50.964578614179047</c:v>
                </c:pt>
                <c:pt idx="206">
                  <c:v>50.860782108504189</c:v>
                </c:pt>
                <c:pt idx="207">
                  <c:v>50.757214527989014</c:v>
                </c:pt>
                <c:pt idx="208">
                  <c:v>50.653774986056945</c:v>
                </c:pt>
                <c:pt idx="209">
                  <c:v>50.550362709852756</c:v>
                </c:pt>
                <c:pt idx="210">
                  <c:v>50.446877041077471</c:v>
                </c:pt>
                <c:pt idx="211">
                  <c:v>50.343204604814588</c:v>
                </c:pt>
                <c:pt idx="212">
                  <c:v>50.239244221804221</c:v>
                </c:pt>
                <c:pt idx="213">
                  <c:v>50.134895418276116</c:v>
                </c:pt>
                <c:pt idx="214">
                  <c:v>50.030057847105702</c:v>
                </c:pt>
                <c:pt idx="215">
                  <c:v>49.924631286431556</c:v>
                </c:pt>
                <c:pt idx="216">
                  <c:v>49.81851563668414</c:v>
                </c:pt>
                <c:pt idx="217">
                  <c:v>49.711610919421631</c:v>
                </c:pt>
                <c:pt idx="218">
                  <c:v>49.603887903750049</c:v>
                </c:pt>
                <c:pt idx="219">
                  <c:v>49.495424123663845</c:v>
                </c:pt>
                <c:pt idx="220">
                  <c:v>49.386302941842693</c:v>
                </c:pt>
                <c:pt idx="221">
                  <c:v>49.276605912263662</c:v>
                </c:pt>
                <c:pt idx="222">
                  <c:v>49.166414592724415</c:v>
                </c:pt>
                <c:pt idx="223">
                  <c:v>49.055810542612519</c:v>
                </c:pt>
                <c:pt idx="224">
                  <c:v>48.944875320956896</c:v>
                </c:pt>
                <c:pt idx="225">
                  <c:v>48.833663661384506</c:v>
                </c:pt>
                <c:pt idx="226">
                  <c:v>48.722270394865909</c:v>
                </c:pt>
                <c:pt idx="227">
                  <c:v>48.610776986927142</c:v>
                </c:pt>
                <c:pt idx="228">
                  <c:v>48.499264901676533</c:v>
                </c:pt>
                <c:pt idx="229">
                  <c:v>48.387815599245265</c:v>
                </c:pt>
                <c:pt idx="230">
                  <c:v>48.276510534139739</c:v>
                </c:pt>
                <c:pt idx="231">
                  <c:v>48.165431153157115</c:v>
                </c:pt>
                <c:pt idx="232">
                  <c:v>48.05545236716781</c:v>
                </c:pt>
                <c:pt idx="233">
                  <c:v>47.947059384839598</c:v>
                </c:pt>
                <c:pt idx="234">
                  <c:v>47.839805219125125</c:v>
                </c:pt>
                <c:pt idx="235">
                  <c:v>47.733228543393963</c:v>
                </c:pt>
                <c:pt idx="236">
                  <c:v>47.626868359511271</c:v>
                </c:pt>
                <c:pt idx="237">
                  <c:v>47.520264000403728</c:v>
                </c:pt>
                <c:pt idx="238">
                  <c:v>47.412955124955332</c:v>
                </c:pt>
                <c:pt idx="239">
                  <c:v>47.304468466046679</c:v>
                </c:pt>
                <c:pt idx="240">
                  <c:v>47.194371711146303</c:v>
                </c:pt>
                <c:pt idx="241">
                  <c:v>47.082205513503432</c:v>
                </c:pt>
                <c:pt idx="242">
                  <c:v>46.967510835692728</c:v>
                </c:pt>
                <c:pt idx="243">
                  <c:v>46.849828950044468</c:v>
                </c:pt>
                <c:pt idx="244">
                  <c:v>46.728701434694379</c:v>
                </c:pt>
                <c:pt idx="245">
                  <c:v>46.603670174749681</c:v>
                </c:pt>
                <c:pt idx="246">
                  <c:v>46.476073806076116</c:v>
                </c:pt>
                <c:pt idx="247">
                  <c:v>46.347353673097984</c:v>
                </c:pt>
                <c:pt idx="248">
                  <c:v>46.217239712416671</c:v>
                </c:pt>
                <c:pt idx="249">
                  <c:v>46.085434278995649</c:v>
                </c:pt>
                <c:pt idx="250">
                  <c:v>45.951639927390076</c:v>
                </c:pt>
                <c:pt idx="251">
                  <c:v>45.815559407206379</c:v>
                </c:pt>
                <c:pt idx="252">
                  <c:v>45.676895667057231</c:v>
                </c:pt>
                <c:pt idx="253">
                  <c:v>45.535350189744349</c:v>
                </c:pt>
                <c:pt idx="254">
                  <c:v>45.390639588154755</c:v>
                </c:pt>
                <c:pt idx="255">
                  <c:v>45.24246737369004</c:v>
                </c:pt>
                <c:pt idx="256">
                  <c:v>45.090537243077073</c:v>
                </c:pt>
                <c:pt idx="257">
                  <c:v>44.934553072665054</c:v>
                </c:pt>
                <c:pt idx="258">
                  <c:v>44.774218923223351</c:v>
                </c:pt>
                <c:pt idx="259">
                  <c:v>44.60923902924624</c:v>
                </c:pt>
                <c:pt idx="260">
                  <c:v>44.439919605010296</c:v>
                </c:pt>
                <c:pt idx="261">
                  <c:v>44.26679549257036</c:v>
                </c:pt>
                <c:pt idx="262">
                  <c:v>44.089938787576948</c:v>
                </c:pt>
                <c:pt idx="263">
                  <c:v>43.909417701011179</c:v>
                </c:pt>
                <c:pt idx="264">
                  <c:v>43.725300404652771</c:v>
                </c:pt>
                <c:pt idx="265">
                  <c:v>43.537655002539026</c:v>
                </c:pt>
                <c:pt idx="266">
                  <c:v>43.346549568896329</c:v>
                </c:pt>
                <c:pt idx="267">
                  <c:v>43.152051489895918</c:v>
                </c:pt>
                <c:pt idx="268">
                  <c:v>42.95423039560869</c:v>
                </c:pt>
                <c:pt idx="269">
                  <c:v>42.753154226504968</c:v>
                </c:pt>
                <c:pt idx="270">
                  <c:v>42.548890867505818</c:v>
                </c:pt>
                <c:pt idx="271">
                  <c:v>42.341508144310581</c:v>
                </c:pt>
                <c:pt idx="272">
                  <c:v>42.131073825065577</c:v>
                </c:pt>
                <c:pt idx="273">
                  <c:v>41.917655613754512</c:v>
                </c:pt>
                <c:pt idx="274">
                  <c:v>41.700693130611306</c:v>
                </c:pt>
                <c:pt idx="275">
                  <c:v>41.479746577625853</c:v>
                </c:pt>
                <c:pt idx="276">
                  <c:v>41.255044882939735</c:v>
                </c:pt>
                <c:pt idx="277">
                  <c:v>41.026803144206582</c:v>
                </c:pt>
                <c:pt idx="278">
                  <c:v>40.795236260625764</c:v>
                </c:pt>
                <c:pt idx="279">
                  <c:v>40.56055893565437</c:v>
                </c:pt>
                <c:pt idx="280">
                  <c:v>40.322985670810077</c:v>
                </c:pt>
                <c:pt idx="281">
                  <c:v>40.082739353277702</c:v>
                </c:pt>
                <c:pt idx="282">
                  <c:v>39.840034607419689</c:v>
                </c:pt>
                <c:pt idx="283">
                  <c:v>39.595085208012563</c:v>
                </c:pt>
                <c:pt idx="284">
                  <c:v>39.348104713723515</c:v>
                </c:pt>
                <c:pt idx="285">
                  <c:v>39.099306468730973</c:v>
                </c:pt>
                <c:pt idx="286">
                  <c:v>38.848903603808367</c:v>
                </c:pt>
                <c:pt idx="287">
                  <c:v>38.59710903655661</c:v>
                </c:pt>
                <c:pt idx="288">
                  <c:v>38.343815404313304</c:v>
                </c:pt>
                <c:pt idx="289">
                  <c:v>38.088705032617092</c:v>
                </c:pt>
                <c:pt idx="290">
                  <c:v>37.831658417394245</c:v>
                </c:pt>
                <c:pt idx="291">
                  <c:v>37.572576921918717</c:v>
                </c:pt>
                <c:pt idx="292">
                  <c:v>37.311361884209724</c:v>
                </c:pt>
                <c:pt idx="293">
                  <c:v>37.047914619674359</c:v>
                </c:pt>
                <c:pt idx="294">
                  <c:v>36.782136422911698</c:v>
                </c:pt>
                <c:pt idx="295">
                  <c:v>36.513927030073752</c:v>
                </c:pt>
                <c:pt idx="296">
                  <c:v>36.243179672733135</c:v>
                </c:pt>
                <c:pt idx="297">
                  <c:v>35.969795729228174</c:v>
                </c:pt>
                <c:pt idx="298">
                  <c:v>35.693676641701558</c:v>
                </c:pt>
                <c:pt idx="299">
                  <c:v>35.414723862338363</c:v>
                </c:pt>
                <c:pt idx="300">
                  <c:v>35.132838854110084</c:v>
                </c:pt>
                <c:pt idx="301">
                  <c:v>34.847923098214416</c:v>
                </c:pt>
                <c:pt idx="302">
                  <c:v>34.557144833418974</c:v>
                </c:pt>
                <c:pt idx="303">
                  <c:v>34.258653522861053</c:v>
                </c:pt>
                <c:pt idx="304">
                  <c:v>33.953827367683004</c:v>
                </c:pt>
                <c:pt idx="305">
                  <c:v>33.644041545880128</c:v>
                </c:pt>
                <c:pt idx="306">
                  <c:v>33.330670573185486</c:v>
                </c:pt>
                <c:pt idx="307">
                  <c:v>33.015088318114877</c:v>
                </c:pt>
                <c:pt idx="308">
                  <c:v>32.698668010639409</c:v>
                </c:pt>
                <c:pt idx="309">
                  <c:v>32.382776055539722</c:v>
                </c:pt>
                <c:pt idx="310">
                  <c:v>32.068785961906904</c:v>
                </c:pt>
                <c:pt idx="311">
                  <c:v>31.758069201745712</c:v>
                </c:pt>
                <c:pt idx="312">
                  <c:v>31.451996642135455</c:v>
                </c:pt>
                <c:pt idx="313">
                  <c:v>31.151938544606285</c:v>
                </c:pt>
                <c:pt idx="314">
                  <c:v>30.859264574200203</c:v>
                </c:pt>
                <c:pt idx="315">
                  <c:v>30.575343796672865</c:v>
                </c:pt>
                <c:pt idx="316">
                  <c:v>30.297263743163164</c:v>
                </c:pt>
                <c:pt idx="317">
                  <c:v>30.021461210846958</c:v>
                </c:pt>
                <c:pt idx="318">
                  <c:v>29.748328440536497</c:v>
                </c:pt>
                <c:pt idx="319">
                  <c:v>29.478255697358549</c:v>
                </c:pt>
                <c:pt idx="320">
                  <c:v>29.211633124988868</c:v>
                </c:pt>
                <c:pt idx="321">
                  <c:v>28.948850753681555</c:v>
                </c:pt>
                <c:pt idx="322">
                  <c:v>28.690298489911477</c:v>
                </c:pt>
                <c:pt idx="323">
                  <c:v>28.436374188788538</c:v>
                </c:pt>
                <c:pt idx="324">
                  <c:v>28.187472967067432</c:v>
                </c:pt>
                <c:pt idx="325">
                  <c:v>27.943984130113936</c:v>
                </c:pt>
                <c:pt idx="326">
                  <c:v>27.706296915472659</c:v>
                </c:pt>
                <c:pt idx="327">
                  <c:v>27.474800417383783</c:v>
                </c:pt>
                <c:pt idx="328">
                  <c:v>27.249883587875129</c:v>
                </c:pt>
                <c:pt idx="329">
                  <c:v>27.031935256800594</c:v>
                </c:pt>
                <c:pt idx="330">
                  <c:v>26.81676053415293</c:v>
                </c:pt>
                <c:pt idx="331">
                  <c:v>26.601010503013189</c:v>
                </c:pt>
                <c:pt idx="332">
                  <c:v>26.386347589405844</c:v>
                </c:pt>
                <c:pt idx="333">
                  <c:v>26.174434679320246</c:v>
                </c:pt>
                <c:pt idx="334">
                  <c:v>25.966933901223854</c:v>
                </c:pt>
                <c:pt idx="335">
                  <c:v>25.76550660357756</c:v>
                </c:pt>
                <c:pt idx="336">
                  <c:v>25.571813347868911</c:v>
                </c:pt>
                <c:pt idx="337">
                  <c:v>25.387511294739127</c:v>
                </c:pt>
                <c:pt idx="338">
                  <c:v>25.214251949706238</c:v>
                </c:pt>
                <c:pt idx="339">
                  <c:v>25.053693555507653</c:v>
                </c:pt>
                <c:pt idx="340">
                  <c:v>24.907493492635044</c:v>
                </c:pt>
                <c:pt idx="341">
                  <c:v>24.777308298311031</c:v>
                </c:pt>
                <c:pt idx="342">
                  <c:v>24.66479365063633</c:v>
                </c:pt>
                <c:pt idx="343">
                  <c:v>24.571604342359716</c:v>
                </c:pt>
                <c:pt idx="344">
                  <c:v>24.496257741568023</c:v>
                </c:pt>
                <c:pt idx="345">
                  <c:v>24.435852436432032</c:v>
                </c:pt>
                <c:pt idx="346">
                  <c:v>24.389921206782589</c:v>
                </c:pt>
                <c:pt idx="347">
                  <c:v>24.357990380401596</c:v>
                </c:pt>
                <c:pt idx="348">
                  <c:v>24.339586517673045</c:v>
                </c:pt>
                <c:pt idx="349">
                  <c:v>24.334236406334139</c:v>
                </c:pt>
                <c:pt idx="350">
                  <c:v>24.341467074236146</c:v>
                </c:pt>
                <c:pt idx="351">
                  <c:v>24.360808365377657</c:v>
                </c:pt>
                <c:pt idx="352">
                  <c:v>24.391790266536837</c:v>
                </c:pt>
                <c:pt idx="353">
                  <c:v>24.433940485466994</c:v>
                </c:pt>
                <c:pt idx="354">
                  <c:v>24.486786974889721</c:v>
                </c:pt>
                <c:pt idx="355">
                  <c:v>24.549857924317166</c:v>
                </c:pt>
                <c:pt idx="356">
                  <c:v>24.622681830430267</c:v>
                </c:pt>
                <c:pt idx="357">
                  <c:v>24.704787286920659</c:v>
                </c:pt>
                <c:pt idx="358">
                  <c:v>24.800180946397017</c:v>
                </c:pt>
                <c:pt idx="359">
                  <c:v>24.912234140701415</c:v>
                </c:pt>
                <c:pt idx="360">
                  <c:v>25.039520809772078</c:v>
                </c:pt>
                <c:pt idx="361">
                  <c:v>25.180615558894612</c:v>
                </c:pt>
                <c:pt idx="362">
                  <c:v>25.334096282310227</c:v>
                </c:pt>
                <c:pt idx="363">
                  <c:v>25.498541611218222</c:v>
                </c:pt>
                <c:pt idx="364">
                  <c:v>25.672530907036627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8.6458045587080932</c:v>
                </c:pt>
                <c:pt idx="1">
                  <c:v>2.9170835649531117</c:v>
                </c:pt>
                <c:pt idx="2">
                  <c:v>16.035165316956892</c:v>
                </c:pt>
                <c:pt idx="3">
                  <c:v>24.570547116238671</c:v>
                </c:pt>
                <c:pt idx="4">
                  <c:v>10.309627154411441</c:v>
                </c:pt>
                <c:pt idx="5">
                  <c:v>6.095218557141707</c:v>
                </c:pt>
                <c:pt idx="6">
                  <c:v>16.660705041786368</c:v>
                </c:pt>
                <c:pt idx="7">
                  <c:v>6.8144025102014671</c:v>
                </c:pt>
                <c:pt idx="8">
                  <c:v>6.8958472043504715</c:v>
                </c:pt>
                <c:pt idx="9">
                  <c:v>23.708295071643647</c:v>
                </c:pt>
                <c:pt idx="10">
                  <c:v>4.7866176411707997</c:v>
                </c:pt>
                <c:pt idx="11">
                  <c:v>23.023467691610687</c:v>
                </c:pt>
                <c:pt idx="12">
                  <c:v>12.727053610746619</c:v>
                </c:pt>
                <c:pt idx="13">
                  <c:v>18.212870279232302</c:v>
                </c:pt>
                <c:pt idx="14">
                  <c:v>6.4762362482953648</c:v>
                </c:pt>
                <c:pt idx="15">
                  <c:v>3.2717088209495535</c:v>
                </c:pt>
                <c:pt idx="16">
                  <c:v>5.9279109184900065</c:v>
                </c:pt>
                <c:pt idx="17">
                  <c:v>20.670074228473961</c:v>
                </c:pt>
                <c:pt idx="18">
                  <c:v>9.2986214261963234</c:v>
                </c:pt>
                <c:pt idx="19">
                  <c:v>17.882874370532388</c:v>
                </c:pt>
                <c:pt idx="20">
                  <c:v>4.9799059251449016</c:v>
                </c:pt>
                <c:pt idx="21">
                  <c:v>29.532167787254359</c:v>
                </c:pt>
                <c:pt idx="22">
                  <c:v>29.597067065459058</c:v>
                </c:pt>
                <c:pt idx="23">
                  <c:v>29.882000544645525</c:v>
                </c:pt>
                <c:pt idx="24">
                  <c:v>29.439285313633878</c:v>
                </c:pt>
                <c:pt idx="25">
                  <c:v>30.204747939604101</c:v>
                </c:pt>
                <c:pt idx="26">
                  <c:v>29.934615123200015</c:v>
                </c:pt>
                <c:pt idx="27">
                  <c:v>4.0563386758745255</c:v>
                </c:pt>
                <c:pt idx="28">
                  <c:v>6.0317135085518574</c:v>
                </c:pt>
                <c:pt idx="29">
                  <c:v>4.9470199408647346</c:v>
                </c:pt>
                <c:pt idx="30">
                  <c:v>6.789463701930055</c:v>
                </c:pt>
                <c:pt idx="31">
                  <c:v>14.0492792516186</c:v>
                </c:pt>
                <c:pt idx="32">
                  <c:v>5.2880287576890206</c:v>
                </c:pt>
                <c:pt idx="33">
                  <c:v>11.56830989692914</c:v>
                </c:pt>
                <c:pt idx="34">
                  <c:v>11.096479869767679</c:v>
                </c:pt>
                <c:pt idx="35">
                  <c:v>10.48537162486234</c:v>
                </c:pt>
                <c:pt idx="36">
                  <c:v>23.141717558813632</c:v>
                </c:pt>
                <c:pt idx="37">
                  <c:v>9.1149365480382372</c:v>
                </c:pt>
                <c:pt idx="38">
                  <c:v>35.209085161341548</c:v>
                </c:pt>
                <c:pt idx="39">
                  <c:v>35.290663571265419</c:v>
                </c:pt>
                <c:pt idx="40">
                  <c:v>32.792573604735672</c:v>
                </c:pt>
                <c:pt idx="41">
                  <c:v>16.508692628849094</c:v>
                </c:pt>
                <c:pt idx="42">
                  <c:v>27.458978715337594</c:v>
                </c:pt>
                <c:pt idx="43">
                  <c:v>33.557114985249868</c:v>
                </c:pt>
                <c:pt idx="44">
                  <c:v>18.616359321638125</c:v>
                </c:pt>
                <c:pt idx="45">
                  <c:v>18.346038620811932</c:v>
                </c:pt>
                <c:pt idx="46">
                  <c:v>7.9793808058814273</c:v>
                </c:pt>
                <c:pt idx="47">
                  <c:v>9.3248181395934822</c:v>
                </c:pt>
                <c:pt idx="48">
                  <c:v>30.561266479525475</c:v>
                </c:pt>
                <c:pt idx="49">
                  <c:v>18.63453678636489</c:v>
                </c:pt>
                <c:pt idx="50">
                  <c:v>21.964408487185647</c:v>
                </c:pt>
                <c:pt idx="51">
                  <c:v>21.626353623756845</c:v>
                </c:pt>
                <c:pt idx="52">
                  <c:v>35.412471250770579</c:v>
                </c:pt>
                <c:pt idx="53">
                  <c:v>36.937589346980552</c:v>
                </c:pt>
                <c:pt idx="54">
                  <c:v>21.011031152828664</c:v>
                </c:pt>
                <c:pt idx="55">
                  <c:v>30.557795540476228</c:v>
                </c:pt>
                <c:pt idx="56">
                  <c:v>41.243688932464728</c:v>
                </c:pt>
                <c:pt idx="57">
                  <c:v>28.463130416430712</c:v>
                </c:pt>
                <c:pt idx="58">
                  <c:v>32.976886540093588</c:v>
                </c:pt>
                <c:pt idx="59">
                  <c:v>42.14879086722658</c:v>
                </c:pt>
                <c:pt idx="60">
                  <c:v>10.62945554076326</c:v>
                </c:pt>
                <c:pt idx="61">
                  <c:v>39.852390172753772</c:v>
                </c:pt>
                <c:pt idx="62">
                  <c:v>4.2608697149667583</c:v>
                </c:pt>
                <c:pt idx="63">
                  <c:v>15.148575588660572</c:v>
                </c:pt>
                <c:pt idx="64">
                  <c:v>21.447421643768426</c:v>
                </c:pt>
                <c:pt idx="65">
                  <c:v>32.542203235859084</c:v>
                </c:pt>
                <c:pt idx="66">
                  <c:v>31.217534703194413</c:v>
                </c:pt>
                <c:pt idx="67">
                  <c:v>32.950991840738034</c:v>
                </c:pt>
                <c:pt idx="68">
                  <c:v>23.848159263685595</c:v>
                </c:pt>
                <c:pt idx="69">
                  <c:v>15.900607398494131</c:v>
                </c:pt>
                <c:pt idx="70">
                  <c:v>13.130120428747963</c:v>
                </c:pt>
                <c:pt idx="71">
                  <c:v>12.359580224660537</c:v>
                </c:pt>
                <c:pt idx="72">
                  <c:v>13.057577041908369</c:v>
                </c:pt>
                <c:pt idx="73">
                  <c:v>14.824276017077187</c:v>
                </c:pt>
                <c:pt idx="74">
                  <c:v>10.175646112367133</c:v>
                </c:pt>
                <c:pt idx="75">
                  <c:v>11.019209948623693</c:v>
                </c:pt>
                <c:pt idx="76">
                  <c:v>13.515294405327937</c:v>
                </c:pt>
                <c:pt idx="77">
                  <c:v>30.968742582878313</c:v>
                </c:pt>
                <c:pt idx="78">
                  <c:v>31.929942244386709</c:v>
                </c:pt>
                <c:pt idx="79">
                  <c:v>46.04389735379381</c:v>
                </c:pt>
                <c:pt idx="80">
                  <c:v>40.632228610249491</c:v>
                </c:pt>
                <c:pt idx="81">
                  <c:v>47.847190455589569</c:v>
                </c:pt>
                <c:pt idx="82">
                  <c:v>45.036500545455127</c:v>
                </c:pt>
                <c:pt idx="83">
                  <c:v>41.000474780196157</c:v>
                </c:pt>
                <c:pt idx="84">
                  <c:v>44.535568049614092</c:v>
                </c:pt>
                <c:pt idx="85">
                  <c:v>45.268696106370342</c:v>
                </c:pt>
                <c:pt idx="86">
                  <c:v>34.729978516649638</c:v>
                </c:pt>
                <c:pt idx="87">
                  <c:v>27.370754688165697</c:v>
                </c:pt>
                <c:pt idx="88">
                  <c:v>7.1448440290985564</c:v>
                </c:pt>
                <c:pt idx="89">
                  <c:v>21.29764034451091</c:v>
                </c:pt>
                <c:pt idx="90">
                  <c:v>31.723921772691948</c:v>
                </c:pt>
                <c:pt idx="91">
                  <c:v>19.458981836718785</c:v>
                </c:pt>
                <c:pt idx="92">
                  <c:v>24.85022941187367</c:v>
                </c:pt>
                <c:pt idx="93">
                  <c:v>43.578729041342939</c:v>
                </c:pt>
                <c:pt idx="94">
                  <c:v>50.219460481045822</c:v>
                </c:pt>
                <c:pt idx="95">
                  <c:v>11.794122641750718</c:v>
                </c:pt>
                <c:pt idx="96">
                  <c:v>38.848276987016952</c:v>
                </c:pt>
                <c:pt idx="97">
                  <c:v>31.519922228873554</c:v>
                </c:pt>
                <c:pt idx="98">
                  <c:v>34.400460983878943</c:v>
                </c:pt>
                <c:pt idx="99">
                  <c:v>52.588551602679992</c:v>
                </c:pt>
                <c:pt idx="100">
                  <c:v>43.394722466141431</c:v>
                </c:pt>
                <c:pt idx="101">
                  <c:v>2.4519542509504868</c:v>
                </c:pt>
                <c:pt idx="102">
                  <c:v>0</c:v>
                </c:pt>
                <c:pt idx="103">
                  <c:v>41.184033737896563</c:v>
                </c:pt>
                <c:pt idx="104">
                  <c:v>45.836794405439669</c:v>
                </c:pt>
                <c:pt idx="105">
                  <c:v>41.24079106690975</c:v>
                </c:pt>
                <c:pt idx="106">
                  <c:v>52.077862490545137</c:v>
                </c:pt>
                <c:pt idx="107">
                  <c:v>37.135877286499486</c:v>
                </c:pt>
                <c:pt idx="108">
                  <c:v>8.8893236371086068</c:v>
                </c:pt>
                <c:pt idx="109">
                  <c:v>10.02941848968184</c:v>
                </c:pt>
                <c:pt idx="110">
                  <c:v>9.0579532625325712</c:v>
                </c:pt>
                <c:pt idx="111">
                  <c:v>27.387232939463598</c:v>
                </c:pt>
                <c:pt idx="112">
                  <c:v>9.410622154250099</c:v>
                </c:pt>
                <c:pt idx="113">
                  <c:v>24.190415414110998</c:v>
                </c:pt>
                <c:pt idx="114">
                  <c:v>45.879944383924027</c:v>
                </c:pt>
                <c:pt idx="115">
                  <c:v>51.313285882490987</c:v>
                </c:pt>
                <c:pt idx="116">
                  <c:v>37.823823207192746</c:v>
                </c:pt>
                <c:pt idx="117">
                  <c:v>20.342579512538812</c:v>
                </c:pt>
                <c:pt idx="118">
                  <c:v>41.184016298900687</c:v>
                </c:pt>
                <c:pt idx="119">
                  <c:v>41.982390789257984</c:v>
                </c:pt>
                <c:pt idx="120">
                  <c:v>46.992918439630088</c:v>
                </c:pt>
                <c:pt idx="121">
                  <c:v>27.527826277357185</c:v>
                </c:pt>
                <c:pt idx="122">
                  <c:v>31.441693495941898</c:v>
                </c:pt>
                <c:pt idx="123">
                  <c:v>18.545306908466941</c:v>
                </c:pt>
                <c:pt idx="124">
                  <c:v>38.948244852317806</c:v>
                </c:pt>
                <c:pt idx="125">
                  <c:v>36.374171745056124</c:v>
                </c:pt>
                <c:pt idx="126">
                  <c:v>47.068125258135446</c:v>
                </c:pt>
                <c:pt idx="127">
                  <c:v>49.104001017679636</c:v>
                </c:pt>
                <c:pt idx="128">
                  <c:v>53.41790394048703</c:v>
                </c:pt>
                <c:pt idx="129">
                  <c:v>50.913077759446672</c:v>
                </c:pt>
                <c:pt idx="130">
                  <c:v>54.617887878897804</c:v>
                </c:pt>
                <c:pt idx="131">
                  <c:v>42.047207824642861</c:v>
                </c:pt>
                <c:pt idx="132">
                  <c:v>38.502844766665589</c:v>
                </c:pt>
                <c:pt idx="133">
                  <c:v>50.255501881694158</c:v>
                </c:pt>
                <c:pt idx="134">
                  <c:v>51.274194050688578</c:v>
                </c:pt>
                <c:pt idx="135">
                  <c:v>49.374504304217574</c:v>
                </c:pt>
                <c:pt idx="136">
                  <c:v>52.869306756318103</c:v>
                </c:pt>
                <c:pt idx="137">
                  <c:v>51.221153269745464</c:v>
                </c:pt>
                <c:pt idx="138">
                  <c:v>53.510973882382586</c:v>
                </c:pt>
                <c:pt idx="139">
                  <c:v>48.538457086065662</c:v>
                </c:pt>
                <c:pt idx="140">
                  <c:v>49.134956475433377</c:v>
                </c:pt>
                <c:pt idx="141">
                  <c:v>37.587554476235645</c:v>
                </c:pt>
                <c:pt idx="142">
                  <c:v>17.55673120466766</c:v>
                </c:pt>
                <c:pt idx="143">
                  <c:v>16.690202799534063</c:v>
                </c:pt>
                <c:pt idx="144">
                  <c:v>38.881281383627758</c:v>
                </c:pt>
                <c:pt idx="145">
                  <c:v>26.460105541349865</c:v>
                </c:pt>
                <c:pt idx="146">
                  <c:v>42.171547723001552</c:v>
                </c:pt>
                <c:pt idx="147">
                  <c:v>51.946464999995833</c:v>
                </c:pt>
                <c:pt idx="148">
                  <c:v>56.246657444144596</c:v>
                </c:pt>
                <c:pt idx="149">
                  <c:v>47.132012404982824</c:v>
                </c:pt>
                <c:pt idx="150">
                  <c:v>52.371667397277584</c:v>
                </c:pt>
                <c:pt idx="151">
                  <c:v>53.235682286188414</c:v>
                </c:pt>
                <c:pt idx="152">
                  <c:v>42.144178791252401</c:v>
                </c:pt>
                <c:pt idx="153">
                  <c:v>52.942117618076843</c:v>
                </c:pt>
                <c:pt idx="154">
                  <c:v>21.927683662627761</c:v>
                </c:pt>
                <c:pt idx="155">
                  <c:v>30.938534680934996</c:v>
                </c:pt>
                <c:pt idx="156">
                  <c:v>46.354835134076062</c:v>
                </c:pt>
                <c:pt idx="157">
                  <c:v>27.140635566475709</c:v>
                </c:pt>
                <c:pt idx="158">
                  <c:v>20.180471987468007</c:v>
                </c:pt>
                <c:pt idx="159">
                  <c:v>44.839134623311551</c:v>
                </c:pt>
                <c:pt idx="160">
                  <c:v>54.90510280140461</c:v>
                </c:pt>
                <c:pt idx="161">
                  <c:v>53.412585374683211</c:v>
                </c:pt>
                <c:pt idx="162">
                  <c:v>40.942853886335392</c:v>
                </c:pt>
                <c:pt idx="163">
                  <c:v>50.298479451785624</c:v>
                </c:pt>
                <c:pt idx="164">
                  <c:v>47.890345696499345</c:v>
                </c:pt>
                <c:pt idx="165">
                  <c:v>51.414532867410799</c:v>
                </c:pt>
                <c:pt idx="166">
                  <c:v>49.895844430568182</c:v>
                </c:pt>
                <c:pt idx="167">
                  <c:v>50.548177765896156</c:v>
                </c:pt>
                <c:pt idx="168">
                  <c:v>52.252105081122487</c:v>
                </c:pt>
                <c:pt idx="169">
                  <c:v>53.351715927729487</c:v>
                </c:pt>
                <c:pt idx="170">
                  <c:v>33.651376037961349</c:v>
                </c:pt>
                <c:pt idx="171">
                  <c:v>23.791436958510214</c:v>
                </c:pt>
                <c:pt idx="172">
                  <c:v>42.011082013406259</c:v>
                </c:pt>
                <c:pt idx="173">
                  <c:v>41.64455806433913</c:v>
                </c:pt>
                <c:pt idx="174">
                  <c:v>39.666406551056717</c:v>
                </c:pt>
                <c:pt idx="175">
                  <c:v>34.033437116576799</c:v>
                </c:pt>
                <c:pt idx="176">
                  <c:v>11.027192449057747</c:v>
                </c:pt>
                <c:pt idx="177">
                  <c:v>10.339109853747054</c:v>
                </c:pt>
                <c:pt idx="178">
                  <c:v>53.240743985937073</c:v>
                </c:pt>
                <c:pt idx="179">
                  <c:v>54.07175169633723</c:v>
                </c:pt>
                <c:pt idx="180">
                  <c:v>12.313043044483782</c:v>
                </c:pt>
                <c:pt idx="181">
                  <c:v>46.081346447259541</c:v>
                </c:pt>
                <c:pt idx="182">
                  <c:v>53.03285362970842</c:v>
                </c:pt>
                <c:pt idx="183">
                  <c:v>45.865017320713903</c:v>
                </c:pt>
                <c:pt idx="184">
                  <c:v>43.737393725517222</c:v>
                </c:pt>
                <c:pt idx="185">
                  <c:v>53.255327574140587</c:v>
                </c:pt>
                <c:pt idx="186">
                  <c:v>43.624938485470778</c:v>
                </c:pt>
                <c:pt idx="187">
                  <c:v>51.529999830552057</c:v>
                </c:pt>
                <c:pt idx="188">
                  <c:v>54.003576310205844</c:v>
                </c:pt>
                <c:pt idx="189">
                  <c:v>53.387922092072692</c:v>
                </c:pt>
                <c:pt idx="190">
                  <c:v>53.033894981978328</c:v>
                </c:pt>
                <c:pt idx="191">
                  <c:v>51.767769935958505</c:v>
                </c:pt>
                <c:pt idx="192">
                  <c:v>51.319751841934803</c:v>
                </c:pt>
                <c:pt idx="193">
                  <c:v>51.576482984791369</c:v>
                </c:pt>
                <c:pt idx="194">
                  <c:v>50.771684815328371</c:v>
                </c:pt>
                <c:pt idx="195">
                  <c:v>48.693371615362523</c:v>
                </c:pt>
                <c:pt idx="196">
                  <c:v>50.535083731819356</c:v>
                </c:pt>
                <c:pt idx="197">
                  <c:v>50.504449792745028</c:v>
                </c:pt>
                <c:pt idx="198">
                  <c:v>51.290782171408949</c:v>
                </c:pt>
                <c:pt idx="199">
                  <c:v>35.033650556034914</c:v>
                </c:pt>
                <c:pt idx="200">
                  <c:v>39.878115897287799</c:v>
                </c:pt>
                <c:pt idx="201">
                  <c:v>49.767235371956936</c:v>
                </c:pt>
                <c:pt idx="202">
                  <c:v>37.981766898510223</c:v>
                </c:pt>
                <c:pt idx="203">
                  <c:v>42.372419904163422</c:v>
                </c:pt>
                <c:pt idx="204">
                  <c:v>50.164166050824527</c:v>
                </c:pt>
                <c:pt idx="205">
                  <c:v>25.783667392009306</c:v>
                </c:pt>
                <c:pt idx="206">
                  <c:v>49.013209079596137</c:v>
                </c:pt>
                <c:pt idx="207">
                  <c:v>53.064938811921209</c:v>
                </c:pt>
                <c:pt idx="208">
                  <c:v>42.15558626421965</c:v>
                </c:pt>
                <c:pt idx="209">
                  <c:v>28.077993794569352</c:v>
                </c:pt>
                <c:pt idx="210">
                  <c:v>42.310055139452537</c:v>
                </c:pt>
                <c:pt idx="211">
                  <c:v>50.856825909734368</c:v>
                </c:pt>
                <c:pt idx="212">
                  <c:v>50.778915277739415</c:v>
                </c:pt>
                <c:pt idx="213">
                  <c:v>50.822589927657148</c:v>
                </c:pt>
                <c:pt idx="214">
                  <c:v>49.210398601965174</c:v>
                </c:pt>
                <c:pt idx="215">
                  <c:v>48.674550740211586</c:v>
                </c:pt>
                <c:pt idx="216">
                  <c:v>43.883018435203965</c:v>
                </c:pt>
                <c:pt idx="217">
                  <c:v>46.387781625314354</c:v>
                </c:pt>
                <c:pt idx="218">
                  <c:v>49.481316559427079</c:v>
                </c:pt>
                <c:pt idx="219">
                  <c:v>50.080956362406134</c:v>
                </c:pt>
                <c:pt idx="220">
                  <c:v>48.248241269040115</c:v>
                </c:pt>
                <c:pt idx="221">
                  <c:v>46.860239757973339</c:v>
                </c:pt>
                <c:pt idx="222">
                  <c:v>44.335208352682585</c:v>
                </c:pt>
                <c:pt idx="223">
                  <c:v>45.718314253562745</c:v>
                </c:pt>
                <c:pt idx="224">
                  <c:v>35.883737312000818</c:v>
                </c:pt>
                <c:pt idx="225">
                  <c:v>32.865186447821948</c:v>
                </c:pt>
                <c:pt idx="226">
                  <c:v>37.268585768210926</c:v>
                </c:pt>
                <c:pt idx="227">
                  <c:v>34.512005710773103</c:v>
                </c:pt>
                <c:pt idx="228">
                  <c:v>25.190779718511028</c:v>
                </c:pt>
                <c:pt idx="229">
                  <c:v>33.513281139170367</c:v>
                </c:pt>
                <c:pt idx="230">
                  <c:v>34.195247840049625</c:v>
                </c:pt>
                <c:pt idx="231">
                  <c:v>48.227830981185164</c:v>
                </c:pt>
                <c:pt idx="232">
                  <c:v>32.047641020475602</c:v>
                </c:pt>
                <c:pt idx="233">
                  <c:v>22.941088147378117</c:v>
                </c:pt>
                <c:pt idx="234">
                  <c:v>44.509745678897737</c:v>
                </c:pt>
                <c:pt idx="235">
                  <c:v>45.945315616932206</c:v>
                </c:pt>
                <c:pt idx="236">
                  <c:v>29.66874622142862</c:v>
                </c:pt>
                <c:pt idx="237">
                  <c:v>40.740134409742289</c:v>
                </c:pt>
                <c:pt idx="238">
                  <c:v>45.764128455301538</c:v>
                </c:pt>
                <c:pt idx="239">
                  <c:v>45.871346676838918</c:v>
                </c:pt>
                <c:pt idx="240">
                  <c:v>32.232766080090485</c:v>
                </c:pt>
                <c:pt idx="241">
                  <c:v>45.559671483541365</c:v>
                </c:pt>
                <c:pt idx="242">
                  <c:v>20.713870413505781</c:v>
                </c:pt>
                <c:pt idx="243">
                  <c:v>42.098303969575483</c:v>
                </c:pt>
                <c:pt idx="244">
                  <c:v>39.258284875846059</c:v>
                </c:pt>
                <c:pt idx="245">
                  <c:v>37.309367679928506</c:v>
                </c:pt>
                <c:pt idx="246">
                  <c:v>44.583784855993862</c:v>
                </c:pt>
                <c:pt idx="247">
                  <c:v>40.929430041363133</c:v>
                </c:pt>
                <c:pt idx="248">
                  <c:v>44.064990579963492</c:v>
                </c:pt>
                <c:pt idx="249">
                  <c:v>35.25188424890019</c:v>
                </c:pt>
                <c:pt idx="250">
                  <c:v>38.669152674738193</c:v>
                </c:pt>
                <c:pt idx="251">
                  <c:v>20.008509560384592</c:v>
                </c:pt>
                <c:pt idx="252">
                  <c:v>43.678223641981312</c:v>
                </c:pt>
                <c:pt idx="253">
                  <c:v>44.492519354187358</c:v>
                </c:pt>
                <c:pt idx="254">
                  <c:v>31.295506534211555</c:v>
                </c:pt>
                <c:pt idx="255">
                  <c:v>11.306907939675288</c:v>
                </c:pt>
                <c:pt idx="256">
                  <c:v>34.178529762647756</c:v>
                </c:pt>
                <c:pt idx="257">
                  <c:v>39.22310745894066</c:v>
                </c:pt>
                <c:pt idx="258">
                  <c:v>26.121278134707051</c:v>
                </c:pt>
                <c:pt idx="259">
                  <c:v>46.06963134094498</c:v>
                </c:pt>
                <c:pt idx="260">
                  <c:v>44.554655719032262</c:v>
                </c:pt>
                <c:pt idx="261">
                  <c:v>44.001272808331557</c:v>
                </c:pt>
                <c:pt idx="262">
                  <c:v>45.323621579609544</c:v>
                </c:pt>
                <c:pt idx="263">
                  <c:v>44.324141476963653</c:v>
                </c:pt>
                <c:pt idx="264">
                  <c:v>43.101997415684352</c:v>
                </c:pt>
                <c:pt idx="265">
                  <c:v>28.413801965432032</c:v>
                </c:pt>
                <c:pt idx="266">
                  <c:v>20.767017960651323</c:v>
                </c:pt>
                <c:pt idx="267">
                  <c:v>30.626768397343206</c:v>
                </c:pt>
                <c:pt idx="268">
                  <c:v>32.000759247730109</c:v>
                </c:pt>
                <c:pt idx="269">
                  <c:v>15.373068483476848</c:v>
                </c:pt>
                <c:pt idx="270">
                  <c:v>15.032794103365722</c:v>
                </c:pt>
                <c:pt idx="271">
                  <c:v>21.6599883802511</c:v>
                </c:pt>
                <c:pt idx="272">
                  <c:v>31.223090396224443</c:v>
                </c:pt>
                <c:pt idx="273">
                  <c:v>37.795800060033763</c:v>
                </c:pt>
                <c:pt idx="274">
                  <c:v>37.217334279991434</c:v>
                </c:pt>
                <c:pt idx="275">
                  <c:v>34.792610690498144</c:v>
                </c:pt>
                <c:pt idx="276">
                  <c:v>40.746095322550843</c:v>
                </c:pt>
                <c:pt idx="277">
                  <c:v>40.690800601663533</c:v>
                </c:pt>
                <c:pt idx="278">
                  <c:v>15.087214441174526</c:v>
                </c:pt>
                <c:pt idx="279">
                  <c:v>30.08197904476916</c:v>
                </c:pt>
                <c:pt idx="280">
                  <c:v>17.399105229113946</c:v>
                </c:pt>
                <c:pt idx="281">
                  <c:v>37.952226724458022</c:v>
                </c:pt>
                <c:pt idx="282">
                  <c:v>30.978058295980201</c:v>
                </c:pt>
                <c:pt idx="283">
                  <c:v>22.089081672766227</c:v>
                </c:pt>
                <c:pt idx="284">
                  <c:v>30.884788609271645</c:v>
                </c:pt>
                <c:pt idx="285">
                  <c:v>22.350211304792587</c:v>
                </c:pt>
                <c:pt idx="286">
                  <c:v>16.694714613460643</c:v>
                </c:pt>
                <c:pt idx="287">
                  <c:v>37.280095366926041</c:v>
                </c:pt>
                <c:pt idx="288">
                  <c:v>33.656533828781804</c:v>
                </c:pt>
                <c:pt idx="289">
                  <c:v>22.665402090110465</c:v>
                </c:pt>
                <c:pt idx="290">
                  <c:v>34.68522415435438</c:v>
                </c:pt>
                <c:pt idx="291">
                  <c:v>14.766033832318056</c:v>
                </c:pt>
                <c:pt idx="292">
                  <c:v>8.4687895797936701</c:v>
                </c:pt>
                <c:pt idx="293">
                  <c:v>15.477973521418857</c:v>
                </c:pt>
                <c:pt idx="294">
                  <c:v>33.387545093367457</c:v>
                </c:pt>
                <c:pt idx="295">
                  <c:v>19.016116344358657</c:v>
                </c:pt>
                <c:pt idx="296">
                  <c:v>25.36706666732503</c:v>
                </c:pt>
                <c:pt idx="297">
                  <c:v>22.402064744778546</c:v>
                </c:pt>
                <c:pt idx="298">
                  <c:v>12.521904946736697</c:v>
                </c:pt>
                <c:pt idx="299">
                  <c:v>13.718863805792155</c:v>
                </c:pt>
                <c:pt idx="300">
                  <c:v>17.280825728036447</c:v>
                </c:pt>
                <c:pt idx="301">
                  <c:v>25.806917804793162</c:v>
                </c:pt>
                <c:pt idx="302">
                  <c:v>21.131786463554146</c:v>
                </c:pt>
                <c:pt idx="303">
                  <c:v>21.846712466761844</c:v>
                </c:pt>
                <c:pt idx="304">
                  <c:v>23.539155792981607</c:v>
                </c:pt>
                <c:pt idx="305">
                  <c:v>29.49737555063232</c:v>
                </c:pt>
                <c:pt idx="306">
                  <c:v>10.25826115322486</c:v>
                </c:pt>
                <c:pt idx="307">
                  <c:v>11.975922288634226</c:v>
                </c:pt>
                <c:pt idx="308">
                  <c:v>31.46479650254069</c:v>
                </c:pt>
                <c:pt idx="309">
                  <c:v>31.098198819735082</c:v>
                </c:pt>
                <c:pt idx="310">
                  <c:v>29.727309017743384</c:v>
                </c:pt>
                <c:pt idx="311">
                  <c:v>20.337259610117432</c:v>
                </c:pt>
                <c:pt idx="312">
                  <c:v>10.757979243335743</c:v>
                </c:pt>
                <c:pt idx="313">
                  <c:v>23.99548754917916</c:v>
                </c:pt>
                <c:pt idx="314">
                  <c:v>29.910820115648963</c:v>
                </c:pt>
                <c:pt idx="315">
                  <c:v>28.562828542269582</c:v>
                </c:pt>
                <c:pt idx="316">
                  <c:v>28.753152565558633</c:v>
                </c:pt>
                <c:pt idx="317">
                  <c:v>10.748224935316259</c:v>
                </c:pt>
                <c:pt idx="318">
                  <c:v>12.837109339275944</c:v>
                </c:pt>
                <c:pt idx="319">
                  <c:v>28.445653314038946</c:v>
                </c:pt>
                <c:pt idx="320">
                  <c:v>15.200546090945611</c:v>
                </c:pt>
                <c:pt idx="321">
                  <c:v>13.880213031712989</c:v>
                </c:pt>
                <c:pt idx="322">
                  <c:v>5.9869171235300156</c:v>
                </c:pt>
                <c:pt idx="323">
                  <c:v>17.733115824371584</c:v>
                </c:pt>
                <c:pt idx="324">
                  <c:v>3.5396579997181088</c:v>
                </c:pt>
                <c:pt idx="325">
                  <c:v>7.8416166864415429</c:v>
                </c:pt>
                <c:pt idx="326">
                  <c:v>12.167829672728676</c:v>
                </c:pt>
                <c:pt idx="327">
                  <c:v>14.373720300616748</c:v>
                </c:pt>
                <c:pt idx="328">
                  <c:v>4.4212680850339767</c:v>
                </c:pt>
                <c:pt idx="329">
                  <c:v>13.715519630796276</c:v>
                </c:pt>
                <c:pt idx="330">
                  <c:v>14.609845543410414</c:v>
                </c:pt>
                <c:pt idx="331">
                  <c:v>9.4320144458984974</c:v>
                </c:pt>
                <c:pt idx="332">
                  <c:v>13.271536429154398</c:v>
                </c:pt>
                <c:pt idx="333">
                  <c:v>4.3168746300321796</c:v>
                </c:pt>
                <c:pt idx="334">
                  <c:v>3.491492121991624</c:v>
                </c:pt>
                <c:pt idx="335">
                  <c:v>6.5942407858490206</c:v>
                </c:pt>
                <c:pt idx="336">
                  <c:v>7.4219835555514919</c:v>
                </c:pt>
                <c:pt idx="337">
                  <c:v>20.570655300256412</c:v>
                </c:pt>
                <c:pt idx="338">
                  <c:v>26.119405754256547</c:v>
                </c:pt>
                <c:pt idx="339">
                  <c:v>11.397059535154114</c:v>
                </c:pt>
                <c:pt idx="340">
                  <c:v>20.474137591881441</c:v>
                </c:pt>
                <c:pt idx="341">
                  <c:v>4.6956424071542031</c:v>
                </c:pt>
                <c:pt idx="342">
                  <c:v>5.7174293341145166</c:v>
                </c:pt>
                <c:pt idx="343">
                  <c:v>14.245130723412837</c:v>
                </c:pt>
                <c:pt idx="344">
                  <c:v>17.366536118857276</c:v>
                </c:pt>
                <c:pt idx="345">
                  <c:v>5.128180497237139</c:v>
                </c:pt>
                <c:pt idx="346">
                  <c:v>5.6222023443148128</c:v>
                </c:pt>
                <c:pt idx="347">
                  <c:v>17.272668021563664</c:v>
                </c:pt>
                <c:pt idx="348">
                  <c:v>7.2338154190705293</c:v>
                </c:pt>
                <c:pt idx="349">
                  <c:v>4.9136857343458136</c:v>
                </c:pt>
                <c:pt idx="350">
                  <c:v>2.7482317987762466</c:v>
                </c:pt>
                <c:pt idx="351">
                  <c:v>21.664883546573773</c:v>
                </c:pt>
                <c:pt idx="352">
                  <c:v>18.337886967608576</c:v>
                </c:pt>
                <c:pt idx="353">
                  <c:v>4.4674831202073744</c:v>
                </c:pt>
                <c:pt idx="354">
                  <c:v>22.576762472609627</c:v>
                </c:pt>
                <c:pt idx="355">
                  <c:v>17.45768549027493</c:v>
                </c:pt>
                <c:pt idx="356">
                  <c:v>18.007479355823335</c:v>
                </c:pt>
                <c:pt idx="357">
                  <c:v>23.601817264928993</c:v>
                </c:pt>
                <c:pt idx="358">
                  <c:v>13.824753153870443</c:v>
                </c:pt>
                <c:pt idx="359">
                  <c:v>22.823074014197751</c:v>
                </c:pt>
                <c:pt idx="360">
                  <c:v>6.1983172879882238</c:v>
                </c:pt>
                <c:pt idx="361">
                  <c:v>24.163185857294209</c:v>
                </c:pt>
                <c:pt idx="362">
                  <c:v>10.521117540789716</c:v>
                </c:pt>
                <c:pt idx="363">
                  <c:v>15.110427906709036</c:v>
                </c:pt>
                <c:pt idx="364">
                  <c:v>11.42674988173043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8.6458045587080932</c:v>
                </c:pt>
                <c:pt idx="1">
                  <c:v>2.9170835649531117</c:v>
                </c:pt>
                <c:pt idx="2">
                  <c:v>16.035165316956892</c:v>
                </c:pt>
                <c:pt idx="3">
                  <c:v>24.570547116238671</c:v>
                </c:pt>
                <c:pt idx="4">
                  <c:v>10.309627154411441</c:v>
                </c:pt>
                <c:pt idx="5">
                  <c:v>6.095218557141707</c:v>
                </c:pt>
                <c:pt idx="6">
                  <c:v>16.660705041786368</c:v>
                </c:pt>
                <c:pt idx="7">
                  <c:v>6.8144025102014671</c:v>
                </c:pt>
                <c:pt idx="8">
                  <c:v>6.8958472043504715</c:v>
                </c:pt>
                <c:pt idx="9">
                  <c:v>23.708295071643647</c:v>
                </c:pt>
                <c:pt idx="10">
                  <c:v>4.7866176411707997</c:v>
                </c:pt>
                <c:pt idx="11">
                  <c:v>23.023467691610687</c:v>
                </c:pt>
                <c:pt idx="12">
                  <c:v>12.727053610746619</c:v>
                </c:pt>
                <c:pt idx="13">
                  <c:v>18.212870279232302</c:v>
                </c:pt>
                <c:pt idx="14">
                  <c:v>6.4762362482953648</c:v>
                </c:pt>
                <c:pt idx="15">
                  <c:v>3.2717088209495535</c:v>
                </c:pt>
                <c:pt idx="16">
                  <c:v>5.9279109184900065</c:v>
                </c:pt>
                <c:pt idx="17">
                  <c:v>20.670074228473961</c:v>
                </c:pt>
                <c:pt idx="18">
                  <c:v>9.2986214261963234</c:v>
                </c:pt>
                <c:pt idx="19">
                  <c:v>17.882874370532388</c:v>
                </c:pt>
                <c:pt idx="20">
                  <c:v>4.9799059251449016</c:v>
                </c:pt>
                <c:pt idx="21">
                  <c:v>29.532167787254359</c:v>
                </c:pt>
                <c:pt idx="22">
                  <c:v>29.597067065459058</c:v>
                </c:pt>
                <c:pt idx="23">
                  <c:v>29.882000544645525</c:v>
                </c:pt>
                <c:pt idx="24">
                  <c:v>29.439285313633878</c:v>
                </c:pt>
                <c:pt idx="25">
                  <c:v>30.204747939604101</c:v>
                </c:pt>
                <c:pt idx="26">
                  <c:v>29.934615123200015</c:v>
                </c:pt>
                <c:pt idx="27">
                  <c:v>4.0563386758745255</c:v>
                </c:pt>
                <c:pt idx="28">
                  <c:v>6.0317135085518574</c:v>
                </c:pt>
                <c:pt idx="29">
                  <c:v>4.9470199408647346</c:v>
                </c:pt>
                <c:pt idx="30">
                  <c:v>6.789463701930055</c:v>
                </c:pt>
                <c:pt idx="31">
                  <c:v>14.0492792516186</c:v>
                </c:pt>
                <c:pt idx="32">
                  <c:v>5.2880287576890206</c:v>
                </c:pt>
                <c:pt idx="33">
                  <c:v>11.56830989692914</c:v>
                </c:pt>
                <c:pt idx="34">
                  <c:v>11.096479869767679</c:v>
                </c:pt>
                <c:pt idx="35">
                  <c:v>10.48537162486234</c:v>
                </c:pt>
                <c:pt idx="36">
                  <c:v>23.141717558813632</c:v>
                </c:pt>
                <c:pt idx="37">
                  <c:v>9.1149365480382372</c:v>
                </c:pt>
                <c:pt idx="38">
                  <c:v>35.209085161341548</c:v>
                </c:pt>
                <c:pt idx="39">
                  <c:v>35.290663571265419</c:v>
                </c:pt>
                <c:pt idx="40">
                  <c:v>32.792573604735672</c:v>
                </c:pt>
                <c:pt idx="41">
                  <c:v>16.508692628849094</c:v>
                </c:pt>
                <c:pt idx="42">
                  <c:v>27.458978715337594</c:v>
                </c:pt>
                <c:pt idx="43">
                  <c:v>33.557114985249868</c:v>
                </c:pt>
                <c:pt idx="44">
                  <c:v>18.616359321638125</c:v>
                </c:pt>
                <c:pt idx="45">
                  <c:v>18.346038620811932</c:v>
                </c:pt>
                <c:pt idx="46">
                  <c:v>7.9793808058814273</c:v>
                </c:pt>
                <c:pt idx="47">
                  <c:v>9.3248181395934822</c:v>
                </c:pt>
                <c:pt idx="48">
                  <c:v>30.561266479525475</c:v>
                </c:pt>
                <c:pt idx="49">
                  <c:v>18.63453678636489</c:v>
                </c:pt>
                <c:pt idx="50">
                  <c:v>21.964408487185647</c:v>
                </c:pt>
                <c:pt idx="51">
                  <c:v>21.626353623756845</c:v>
                </c:pt>
                <c:pt idx="52">
                  <c:v>35.412471250770579</c:v>
                </c:pt>
                <c:pt idx="53">
                  <c:v>36.937589346980552</c:v>
                </c:pt>
                <c:pt idx="54">
                  <c:v>21.011031152828664</c:v>
                </c:pt>
                <c:pt idx="55">
                  <c:v>30.557795540476228</c:v>
                </c:pt>
                <c:pt idx="56">
                  <c:v>41.243688932464728</c:v>
                </c:pt>
                <c:pt idx="57">
                  <c:v>28.463130416430712</c:v>
                </c:pt>
                <c:pt idx="58">
                  <c:v>32.976886540093588</c:v>
                </c:pt>
                <c:pt idx="59">
                  <c:v>42.14879086722658</c:v>
                </c:pt>
                <c:pt idx="60">
                  <c:v>10.62945554076326</c:v>
                </c:pt>
                <c:pt idx="61">
                  <c:v>39.852390172753772</c:v>
                </c:pt>
                <c:pt idx="62">
                  <c:v>4.2608697149667583</c:v>
                </c:pt>
                <c:pt idx="63">
                  <c:v>15.148575588660572</c:v>
                </c:pt>
                <c:pt idx="64">
                  <c:v>21.447421643768426</c:v>
                </c:pt>
                <c:pt idx="65">
                  <c:v>32.542203235859084</c:v>
                </c:pt>
                <c:pt idx="66">
                  <c:v>31.217534703194413</c:v>
                </c:pt>
                <c:pt idx="67">
                  <c:v>32.950991840738034</c:v>
                </c:pt>
                <c:pt idx="68">
                  <c:v>23.848159263685595</c:v>
                </c:pt>
                <c:pt idx="69">
                  <c:v>15.900607398494131</c:v>
                </c:pt>
                <c:pt idx="70">
                  <c:v>13.130120428747963</c:v>
                </c:pt>
                <c:pt idx="71">
                  <c:v>12.359580224660537</c:v>
                </c:pt>
                <c:pt idx="72">
                  <c:v>13.057577041908369</c:v>
                </c:pt>
                <c:pt idx="73">
                  <c:v>14.824276017077187</c:v>
                </c:pt>
                <c:pt idx="74">
                  <c:v>10.175646112367133</c:v>
                </c:pt>
                <c:pt idx="75">
                  <c:v>11.019209948623693</c:v>
                </c:pt>
                <c:pt idx="76">
                  <c:v>13.515294405327937</c:v>
                </c:pt>
                <c:pt idx="77">
                  <c:v>30.968742582878313</c:v>
                </c:pt>
                <c:pt idx="78">
                  <c:v>31.929942244386709</c:v>
                </c:pt>
                <c:pt idx="79">
                  <c:v>46.04389735379381</c:v>
                </c:pt>
                <c:pt idx="80">
                  <c:v>40.632228610249491</c:v>
                </c:pt>
                <c:pt idx="81">
                  <c:v>47.847190455589569</c:v>
                </c:pt>
                <c:pt idx="82">
                  <c:v>45.036500545455127</c:v>
                </c:pt>
                <c:pt idx="83">
                  <c:v>41.000474780196157</c:v>
                </c:pt>
                <c:pt idx="84">
                  <c:v>44.535568049614092</c:v>
                </c:pt>
                <c:pt idx="85">
                  <c:v>45.268696106370342</c:v>
                </c:pt>
                <c:pt idx="86">
                  <c:v>34.729978516649638</c:v>
                </c:pt>
                <c:pt idx="87">
                  <c:v>27.370754688165697</c:v>
                </c:pt>
                <c:pt idx="88">
                  <c:v>7.1448440290985564</c:v>
                </c:pt>
                <c:pt idx="89">
                  <c:v>21.29764034451091</c:v>
                </c:pt>
                <c:pt idx="90">
                  <c:v>31.723921772691948</c:v>
                </c:pt>
                <c:pt idx="91">
                  <c:v>19.458981836718785</c:v>
                </c:pt>
                <c:pt idx="92">
                  <c:v>24.85022941187367</c:v>
                </c:pt>
                <c:pt idx="93">
                  <c:v>43.578729041342939</c:v>
                </c:pt>
                <c:pt idx="94">
                  <c:v>50.219460481045822</c:v>
                </c:pt>
                <c:pt idx="95">
                  <c:v>11.794122641750718</c:v>
                </c:pt>
                <c:pt idx="96">
                  <c:v>38.848276987016952</c:v>
                </c:pt>
                <c:pt idx="97">
                  <c:v>31.519922228873554</c:v>
                </c:pt>
                <c:pt idx="98">
                  <c:v>34.400460983878943</c:v>
                </c:pt>
                <c:pt idx="99">
                  <c:v>52.588551602679992</c:v>
                </c:pt>
                <c:pt idx="100">
                  <c:v>43.394722466141431</c:v>
                </c:pt>
                <c:pt idx="101">
                  <c:v>2.4519542509504868</c:v>
                </c:pt>
                <c:pt idx="102">
                  <c:v>0</c:v>
                </c:pt>
                <c:pt idx="103">
                  <c:v>41.184033737896563</c:v>
                </c:pt>
                <c:pt idx="104">
                  <c:v>45.836794405439669</c:v>
                </c:pt>
                <c:pt idx="105">
                  <c:v>41.24079106690975</c:v>
                </c:pt>
                <c:pt idx="106">
                  <c:v>52.077862490545137</c:v>
                </c:pt>
                <c:pt idx="107">
                  <c:v>37.135877286499486</c:v>
                </c:pt>
                <c:pt idx="108">
                  <c:v>8.8893236371086068</c:v>
                </c:pt>
                <c:pt idx="109">
                  <c:v>10.02941848968184</c:v>
                </c:pt>
                <c:pt idx="110">
                  <c:v>9.0579532625325712</c:v>
                </c:pt>
                <c:pt idx="111">
                  <c:v>27.387232939463598</c:v>
                </c:pt>
                <c:pt idx="112">
                  <c:v>9.410622154250099</c:v>
                </c:pt>
                <c:pt idx="113">
                  <c:v>24.190415414110998</c:v>
                </c:pt>
                <c:pt idx="114">
                  <c:v>45.879944383924027</c:v>
                </c:pt>
                <c:pt idx="115">
                  <c:v>51.313285882490987</c:v>
                </c:pt>
                <c:pt idx="116">
                  <c:v>37.823823207192746</c:v>
                </c:pt>
                <c:pt idx="117">
                  <c:v>20.342579512538812</c:v>
                </c:pt>
                <c:pt idx="118">
                  <c:v>41.184016298900687</c:v>
                </c:pt>
                <c:pt idx="119">
                  <c:v>41.982390789257984</c:v>
                </c:pt>
                <c:pt idx="120">
                  <c:v>46.992918439630088</c:v>
                </c:pt>
                <c:pt idx="121">
                  <c:v>27.527826277357185</c:v>
                </c:pt>
                <c:pt idx="122">
                  <c:v>31.441693495941898</c:v>
                </c:pt>
                <c:pt idx="123">
                  <c:v>18.545306908466941</c:v>
                </c:pt>
                <c:pt idx="124">
                  <c:v>38.948244852317806</c:v>
                </c:pt>
                <c:pt idx="125">
                  <c:v>36.374171745056124</c:v>
                </c:pt>
                <c:pt idx="126">
                  <c:v>47.068125258135446</c:v>
                </c:pt>
                <c:pt idx="127">
                  <c:v>49.104001017679636</c:v>
                </c:pt>
                <c:pt idx="128">
                  <c:v>53.41790394048703</c:v>
                </c:pt>
                <c:pt idx="129">
                  <c:v>50.913077759446672</c:v>
                </c:pt>
                <c:pt idx="130">
                  <c:v>54.617887878897804</c:v>
                </c:pt>
                <c:pt idx="131">
                  <c:v>42.047207824642861</c:v>
                </c:pt>
                <c:pt idx="132">
                  <c:v>38.502844766665589</c:v>
                </c:pt>
                <c:pt idx="133">
                  <c:v>50.255501881694158</c:v>
                </c:pt>
                <c:pt idx="134">
                  <c:v>51.274194050688578</c:v>
                </c:pt>
                <c:pt idx="135">
                  <c:v>49.374504304217574</c:v>
                </c:pt>
                <c:pt idx="136">
                  <c:v>52.869306756318103</c:v>
                </c:pt>
                <c:pt idx="137">
                  <c:v>51.221153269745464</c:v>
                </c:pt>
                <c:pt idx="138">
                  <c:v>53.510973882382586</c:v>
                </c:pt>
                <c:pt idx="139">
                  <c:v>48.538457086065662</c:v>
                </c:pt>
                <c:pt idx="140">
                  <c:v>49.134956475433377</c:v>
                </c:pt>
                <c:pt idx="141">
                  <c:v>37.587554476235645</c:v>
                </c:pt>
                <c:pt idx="142">
                  <c:v>17.55673120466766</c:v>
                </c:pt>
                <c:pt idx="143">
                  <c:v>16.690202799534063</c:v>
                </c:pt>
                <c:pt idx="144">
                  <c:v>38.881281383627758</c:v>
                </c:pt>
                <c:pt idx="145">
                  <c:v>26.460105541349865</c:v>
                </c:pt>
                <c:pt idx="146">
                  <c:v>42.171547723001552</c:v>
                </c:pt>
                <c:pt idx="147">
                  <c:v>51.946464999995833</c:v>
                </c:pt>
                <c:pt idx="148">
                  <c:v>56.246657444144596</c:v>
                </c:pt>
                <c:pt idx="149">
                  <c:v>47.132012404982824</c:v>
                </c:pt>
                <c:pt idx="150">
                  <c:v>52.371667397277584</c:v>
                </c:pt>
                <c:pt idx="151">
                  <c:v>53.235682286188414</c:v>
                </c:pt>
                <c:pt idx="152">
                  <c:v>42.144178791252401</c:v>
                </c:pt>
                <c:pt idx="153">
                  <c:v>52.942117618076843</c:v>
                </c:pt>
                <c:pt idx="154">
                  <c:v>21.927683662627761</c:v>
                </c:pt>
                <c:pt idx="155">
                  <c:v>30.938534680934996</c:v>
                </c:pt>
                <c:pt idx="156">
                  <c:v>46.354835134076062</c:v>
                </c:pt>
                <c:pt idx="157">
                  <c:v>27.140635566475709</c:v>
                </c:pt>
                <c:pt idx="158">
                  <c:v>20.180471987468007</c:v>
                </c:pt>
                <c:pt idx="159">
                  <c:v>44.839134623311551</c:v>
                </c:pt>
                <c:pt idx="160">
                  <c:v>54.90510280140461</c:v>
                </c:pt>
                <c:pt idx="161">
                  <c:v>53.412585374683211</c:v>
                </c:pt>
                <c:pt idx="162">
                  <c:v>40.942853886335392</c:v>
                </c:pt>
                <c:pt idx="163">
                  <c:v>50.298479451785624</c:v>
                </c:pt>
                <c:pt idx="164">
                  <c:v>47.890345696499345</c:v>
                </c:pt>
                <c:pt idx="165">
                  <c:v>51.414532867410799</c:v>
                </c:pt>
                <c:pt idx="166">
                  <c:v>49.895844430568182</c:v>
                </c:pt>
                <c:pt idx="167">
                  <c:v>50.548177765896156</c:v>
                </c:pt>
                <c:pt idx="168">
                  <c:v>52.252105081122487</c:v>
                </c:pt>
                <c:pt idx="169">
                  <c:v>53.351715927729487</c:v>
                </c:pt>
                <c:pt idx="170">
                  <c:v>33.651376037961349</c:v>
                </c:pt>
                <c:pt idx="171">
                  <c:v>23.791436958510214</c:v>
                </c:pt>
                <c:pt idx="172">
                  <c:v>42.011082013406259</c:v>
                </c:pt>
                <c:pt idx="173">
                  <c:v>41.64455806433913</c:v>
                </c:pt>
                <c:pt idx="174">
                  <c:v>39.666406551056717</c:v>
                </c:pt>
                <c:pt idx="175">
                  <c:v>34.033437116576799</c:v>
                </c:pt>
                <c:pt idx="176">
                  <c:v>11.027192449057747</c:v>
                </c:pt>
                <c:pt idx="177">
                  <c:v>10.339109853747054</c:v>
                </c:pt>
                <c:pt idx="178">
                  <c:v>53.240743985937073</c:v>
                </c:pt>
                <c:pt idx="179">
                  <c:v>54.07175169633723</c:v>
                </c:pt>
                <c:pt idx="180">
                  <c:v>12.313043044483782</c:v>
                </c:pt>
                <c:pt idx="181">
                  <c:v>46.081346447259541</c:v>
                </c:pt>
                <c:pt idx="182">
                  <c:v>53.03285362970842</c:v>
                </c:pt>
                <c:pt idx="183">
                  <c:v>45.865017320713903</c:v>
                </c:pt>
                <c:pt idx="184">
                  <c:v>43.737393725517222</c:v>
                </c:pt>
                <c:pt idx="185">
                  <c:v>53.255327574140587</c:v>
                </c:pt>
                <c:pt idx="186">
                  <c:v>43.624938485470778</c:v>
                </c:pt>
                <c:pt idx="187">
                  <c:v>51.529999830552057</c:v>
                </c:pt>
                <c:pt idx="188">
                  <c:v>54.003576310205844</c:v>
                </c:pt>
                <c:pt idx="189">
                  <c:v>53.387922092072692</c:v>
                </c:pt>
                <c:pt idx="190">
                  <c:v>53.033894981978328</c:v>
                </c:pt>
                <c:pt idx="191">
                  <c:v>51.767769935958505</c:v>
                </c:pt>
                <c:pt idx="192">
                  <c:v>51.319751841934803</c:v>
                </c:pt>
                <c:pt idx="193">
                  <c:v>51.576482984791369</c:v>
                </c:pt>
                <c:pt idx="194">
                  <c:v>50.771684815328371</c:v>
                </c:pt>
                <c:pt idx="195">
                  <c:v>48.693371615362523</c:v>
                </c:pt>
                <c:pt idx="196">
                  <c:v>50.535083731819356</c:v>
                </c:pt>
                <c:pt idx="197">
                  <c:v>50.504449792745028</c:v>
                </c:pt>
                <c:pt idx="198">
                  <c:v>51.290782171408949</c:v>
                </c:pt>
                <c:pt idx="199">
                  <c:v>35.033650556034914</c:v>
                </c:pt>
                <c:pt idx="200">
                  <c:v>39.878115897287799</c:v>
                </c:pt>
                <c:pt idx="201">
                  <c:v>49.767235371956936</c:v>
                </c:pt>
                <c:pt idx="202">
                  <c:v>37.981766898510223</c:v>
                </c:pt>
                <c:pt idx="203">
                  <c:v>42.372419904163422</c:v>
                </c:pt>
                <c:pt idx="204">
                  <c:v>50.164166050824527</c:v>
                </c:pt>
                <c:pt idx="205">
                  <c:v>25.783667392009306</c:v>
                </c:pt>
                <c:pt idx="206">
                  <c:v>49.013209079596137</c:v>
                </c:pt>
                <c:pt idx="207">
                  <c:v>53.064938811921209</c:v>
                </c:pt>
                <c:pt idx="208">
                  <c:v>42.15558626421965</c:v>
                </c:pt>
                <c:pt idx="209">
                  <c:v>28.077993794569352</c:v>
                </c:pt>
                <c:pt idx="210">
                  <c:v>42.310055139452537</c:v>
                </c:pt>
                <c:pt idx="211">
                  <c:v>50.856825909734368</c:v>
                </c:pt>
                <c:pt idx="212">
                  <c:v>50.778915277739415</c:v>
                </c:pt>
                <c:pt idx="213">
                  <c:v>50.822589927657148</c:v>
                </c:pt>
                <c:pt idx="214">
                  <c:v>49.210398601965174</c:v>
                </c:pt>
                <c:pt idx="215">
                  <c:v>48.674550740211586</c:v>
                </c:pt>
                <c:pt idx="216">
                  <c:v>43.883018435203965</c:v>
                </c:pt>
                <c:pt idx="217">
                  <c:v>46.387781625314354</c:v>
                </c:pt>
                <c:pt idx="218">
                  <c:v>49.481316559427079</c:v>
                </c:pt>
                <c:pt idx="219">
                  <c:v>50.080956362406134</c:v>
                </c:pt>
                <c:pt idx="220">
                  <c:v>48.248241269040115</c:v>
                </c:pt>
                <c:pt idx="221">
                  <c:v>46.860239757973339</c:v>
                </c:pt>
                <c:pt idx="222">
                  <c:v>44.335208352682585</c:v>
                </c:pt>
                <c:pt idx="223">
                  <c:v>45.718314253562745</c:v>
                </c:pt>
                <c:pt idx="224">
                  <c:v>35.883737312000818</c:v>
                </c:pt>
                <c:pt idx="225">
                  <c:v>32.865186447821948</c:v>
                </c:pt>
                <c:pt idx="226">
                  <c:v>37.268585768210926</c:v>
                </c:pt>
                <c:pt idx="227">
                  <c:v>34.512005710773103</c:v>
                </c:pt>
                <c:pt idx="228">
                  <c:v>25.190779718511028</c:v>
                </c:pt>
                <c:pt idx="229">
                  <c:v>33.513281139170367</c:v>
                </c:pt>
                <c:pt idx="230">
                  <c:v>34.195247840049625</c:v>
                </c:pt>
                <c:pt idx="231">
                  <c:v>48.227830981185164</c:v>
                </c:pt>
                <c:pt idx="232">
                  <c:v>32.047641020475602</c:v>
                </c:pt>
                <c:pt idx="233">
                  <c:v>22.941088147378117</c:v>
                </c:pt>
                <c:pt idx="234">
                  <c:v>44.509745678897737</c:v>
                </c:pt>
                <c:pt idx="235">
                  <c:v>45.945315616932206</c:v>
                </c:pt>
                <c:pt idx="236">
                  <c:v>29.66874622142862</c:v>
                </c:pt>
                <c:pt idx="237">
                  <c:v>40.740134409742289</c:v>
                </c:pt>
                <c:pt idx="238">
                  <c:v>45.764128455301538</c:v>
                </c:pt>
                <c:pt idx="239">
                  <c:v>45.871346676838918</c:v>
                </c:pt>
                <c:pt idx="240">
                  <c:v>32.232766080090485</c:v>
                </c:pt>
                <c:pt idx="241">
                  <c:v>45.559671483541365</c:v>
                </c:pt>
                <c:pt idx="242">
                  <c:v>20.713870413505781</c:v>
                </c:pt>
                <c:pt idx="243">
                  <c:v>42.098303969575483</c:v>
                </c:pt>
                <c:pt idx="244">
                  <c:v>39.258284875846059</c:v>
                </c:pt>
                <c:pt idx="245">
                  <c:v>37.309367679928506</c:v>
                </c:pt>
                <c:pt idx="246">
                  <c:v>44.583784855993862</c:v>
                </c:pt>
                <c:pt idx="247">
                  <c:v>40.929430041363133</c:v>
                </c:pt>
                <c:pt idx="248">
                  <c:v>44.064990579963492</c:v>
                </c:pt>
                <c:pt idx="249">
                  <c:v>35.25188424890019</c:v>
                </c:pt>
                <c:pt idx="250">
                  <c:v>38.669152674738193</c:v>
                </c:pt>
                <c:pt idx="251">
                  <c:v>20.008509560384592</c:v>
                </c:pt>
                <c:pt idx="252">
                  <c:v>43.678223641981312</c:v>
                </c:pt>
                <c:pt idx="253">
                  <c:v>44.492519354187358</c:v>
                </c:pt>
                <c:pt idx="254">
                  <c:v>31.295506534211555</c:v>
                </c:pt>
                <c:pt idx="255">
                  <c:v>11.306907939675288</c:v>
                </c:pt>
                <c:pt idx="256">
                  <c:v>34.178529762647756</c:v>
                </c:pt>
                <c:pt idx="257">
                  <c:v>39.22310745894066</c:v>
                </c:pt>
                <c:pt idx="258">
                  <c:v>26.121278134707051</c:v>
                </c:pt>
                <c:pt idx="259">
                  <c:v>46.06963134094498</c:v>
                </c:pt>
                <c:pt idx="260">
                  <c:v>44.554655719032262</c:v>
                </c:pt>
                <c:pt idx="261">
                  <c:v>44.001272808331557</c:v>
                </c:pt>
                <c:pt idx="262">
                  <c:v>45.323621579609544</c:v>
                </c:pt>
                <c:pt idx="263">
                  <c:v>44.324141476963653</c:v>
                </c:pt>
                <c:pt idx="264">
                  <c:v>43.101997415684352</c:v>
                </c:pt>
                <c:pt idx="265">
                  <c:v>28.413801965432032</c:v>
                </c:pt>
                <c:pt idx="266">
                  <c:v>20.767017960651323</c:v>
                </c:pt>
                <c:pt idx="267">
                  <c:v>30.626768397343206</c:v>
                </c:pt>
                <c:pt idx="268">
                  <c:v>32.000759247730109</c:v>
                </c:pt>
                <c:pt idx="269">
                  <c:v>15.373068483476848</c:v>
                </c:pt>
                <c:pt idx="270">
                  <c:v>15.032794103365722</c:v>
                </c:pt>
                <c:pt idx="271">
                  <c:v>21.6599883802511</c:v>
                </c:pt>
                <c:pt idx="272">
                  <c:v>31.223090396224443</c:v>
                </c:pt>
                <c:pt idx="273">
                  <c:v>37.795800060033763</c:v>
                </c:pt>
                <c:pt idx="274">
                  <c:v>37.217334279991434</c:v>
                </c:pt>
                <c:pt idx="275">
                  <c:v>34.792610690498144</c:v>
                </c:pt>
                <c:pt idx="276">
                  <c:v>40.746095322550843</c:v>
                </c:pt>
                <c:pt idx="277">
                  <c:v>40.690800601663533</c:v>
                </c:pt>
                <c:pt idx="278">
                  <c:v>15.087214441174526</c:v>
                </c:pt>
                <c:pt idx="279">
                  <c:v>30.08197904476916</c:v>
                </c:pt>
                <c:pt idx="280">
                  <c:v>17.399105229113946</c:v>
                </c:pt>
                <c:pt idx="281">
                  <c:v>37.952226724458022</c:v>
                </c:pt>
                <c:pt idx="282">
                  <c:v>30.978058295980201</c:v>
                </c:pt>
                <c:pt idx="283">
                  <c:v>22.089081672766227</c:v>
                </c:pt>
                <c:pt idx="284">
                  <c:v>30.884788609271645</c:v>
                </c:pt>
                <c:pt idx="285">
                  <c:v>22.350211304792587</c:v>
                </c:pt>
                <c:pt idx="286">
                  <c:v>16.694714613460643</c:v>
                </c:pt>
                <c:pt idx="287">
                  <c:v>37.280095366926041</c:v>
                </c:pt>
                <c:pt idx="288">
                  <c:v>33.656533828781804</c:v>
                </c:pt>
                <c:pt idx="289">
                  <c:v>22.665402090110465</c:v>
                </c:pt>
                <c:pt idx="290">
                  <c:v>34.68522415435438</c:v>
                </c:pt>
                <c:pt idx="291">
                  <c:v>14.766033832318056</c:v>
                </c:pt>
                <c:pt idx="292">
                  <c:v>8.4687895797936701</c:v>
                </c:pt>
                <c:pt idx="293">
                  <c:v>15.477973521418857</c:v>
                </c:pt>
                <c:pt idx="294">
                  <c:v>33.387545093367457</c:v>
                </c:pt>
                <c:pt idx="295">
                  <c:v>19.016116344358657</c:v>
                </c:pt>
                <c:pt idx="296">
                  <c:v>25.36706666732503</c:v>
                </c:pt>
                <c:pt idx="297">
                  <c:v>22.402064744778546</c:v>
                </c:pt>
                <c:pt idx="298">
                  <c:v>12.521904946736697</c:v>
                </c:pt>
                <c:pt idx="299">
                  <c:v>13.718863805792155</c:v>
                </c:pt>
                <c:pt idx="300">
                  <c:v>17.280825728036447</c:v>
                </c:pt>
                <c:pt idx="301">
                  <c:v>25.806917804793162</c:v>
                </c:pt>
                <c:pt idx="302">
                  <c:v>21.131786463554146</c:v>
                </c:pt>
                <c:pt idx="303">
                  <c:v>21.846712466761844</c:v>
                </c:pt>
                <c:pt idx="304">
                  <c:v>23.539155792981607</c:v>
                </c:pt>
                <c:pt idx="305">
                  <c:v>29.49737555063232</c:v>
                </c:pt>
                <c:pt idx="306">
                  <c:v>10.25826115322486</c:v>
                </c:pt>
                <c:pt idx="307">
                  <c:v>11.975922288634226</c:v>
                </c:pt>
                <c:pt idx="308">
                  <c:v>31.46479650254069</c:v>
                </c:pt>
                <c:pt idx="309">
                  <c:v>31.098198819735082</c:v>
                </c:pt>
                <c:pt idx="310">
                  <c:v>29.727309017743384</c:v>
                </c:pt>
                <c:pt idx="311">
                  <c:v>20.337259610117432</c:v>
                </c:pt>
                <c:pt idx="312">
                  <c:v>10.757979243335743</c:v>
                </c:pt>
                <c:pt idx="313">
                  <c:v>23.99548754917916</c:v>
                </c:pt>
                <c:pt idx="314">
                  <c:v>29.910820115648963</c:v>
                </c:pt>
                <c:pt idx="315">
                  <c:v>28.562828542269582</c:v>
                </c:pt>
                <c:pt idx="316">
                  <c:v>28.753152565558633</c:v>
                </c:pt>
                <c:pt idx="317">
                  <c:v>10.748224935316259</c:v>
                </c:pt>
                <c:pt idx="318">
                  <c:v>12.837109339275944</c:v>
                </c:pt>
                <c:pt idx="319">
                  <c:v>28.445653314038946</c:v>
                </c:pt>
                <c:pt idx="320">
                  <c:v>15.200546090945611</c:v>
                </c:pt>
                <c:pt idx="321">
                  <c:v>13.880213031712989</c:v>
                </c:pt>
                <c:pt idx="322">
                  <c:v>5.9869171235300156</c:v>
                </c:pt>
                <c:pt idx="323">
                  <c:v>17.733115824371584</c:v>
                </c:pt>
                <c:pt idx="324">
                  <c:v>3.5396579997181088</c:v>
                </c:pt>
                <c:pt idx="325">
                  <c:v>7.8416166864415429</c:v>
                </c:pt>
                <c:pt idx="326">
                  <c:v>12.167829672728676</c:v>
                </c:pt>
                <c:pt idx="327">
                  <c:v>14.373720300616748</c:v>
                </c:pt>
                <c:pt idx="328">
                  <c:v>4.4212680850339767</c:v>
                </c:pt>
                <c:pt idx="329">
                  <c:v>13.715519630796276</c:v>
                </c:pt>
                <c:pt idx="330">
                  <c:v>14.609845543410414</c:v>
                </c:pt>
                <c:pt idx="331">
                  <c:v>9.4320144458984974</c:v>
                </c:pt>
                <c:pt idx="332">
                  <c:v>13.271536429154398</c:v>
                </c:pt>
                <c:pt idx="333">
                  <c:v>4.3168746300321796</c:v>
                </c:pt>
                <c:pt idx="334">
                  <c:v>3.491492121991624</c:v>
                </c:pt>
                <c:pt idx="335">
                  <c:v>6.5942407858490206</c:v>
                </c:pt>
                <c:pt idx="336">
                  <c:v>7.4219835555514919</c:v>
                </c:pt>
                <c:pt idx="337">
                  <c:v>20.570655300256412</c:v>
                </c:pt>
                <c:pt idx="338">
                  <c:v>26.119405754256547</c:v>
                </c:pt>
                <c:pt idx="339">
                  <c:v>11.397059535154114</c:v>
                </c:pt>
                <c:pt idx="340">
                  <c:v>20.474137591881441</c:v>
                </c:pt>
                <c:pt idx="341">
                  <c:v>4.6956424071542031</c:v>
                </c:pt>
                <c:pt idx="342">
                  <c:v>5.7174293341145166</c:v>
                </c:pt>
                <c:pt idx="343">
                  <c:v>14.245130723412837</c:v>
                </c:pt>
                <c:pt idx="344">
                  <c:v>17.366536118857276</c:v>
                </c:pt>
                <c:pt idx="345">
                  <c:v>5.128180497237139</c:v>
                </c:pt>
                <c:pt idx="346">
                  <c:v>5.6222023443148128</c:v>
                </c:pt>
                <c:pt idx="347">
                  <c:v>17.272668021563664</c:v>
                </c:pt>
                <c:pt idx="348">
                  <c:v>7.2338154190705293</c:v>
                </c:pt>
                <c:pt idx="349">
                  <c:v>4.9136857343458136</c:v>
                </c:pt>
                <c:pt idx="350">
                  <c:v>2.7482317987762466</c:v>
                </c:pt>
                <c:pt idx="351">
                  <c:v>21.664883546573773</c:v>
                </c:pt>
                <c:pt idx="352">
                  <c:v>18.337886967608576</c:v>
                </c:pt>
                <c:pt idx="353">
                  <c:v>4.4674831202073744</c:v>
                </c:pt>
                <c:pt idx="354">
                  <c:v>22.576762472609627</c:v>
                </c:pt>
                <c:pt idx="355">
                  <c:v>17.45768549027493</c:v>
                </c:pt>
                <c:pt idx="356">
                  <c:v>18.007479355823335</c:v>
                </c:pt>
                <c:pt idx="357">
                  <c:v>23.601817264928993</c:v>
                </c:pt>
                <c:pt idx="358">
                  <c:v>13.824753153870443</c:v>
                </c:pt>
                <c:pt idx="359">
                  <c:v>22.823074014197751</c:v>
                </c:pt>
                <c:pt idx="360">
                  <c:v>6.1983172879882238</c:v>
                </c:pt>
                <c:pt idx="361">
                  <c:v>24.163185857294209</c:v>
                </c:pt>
                <c:pt idx="362">
                  <c:v>10.521117540789716</c:v>
                </c:pt>
                <c:pt idx="363">
                  <c:v>15.110427906709036</c:v>
                </c:pt>
                <c:pt idx="364">
                  <c:v>11.42674988173043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0848"/>
        <c:axId val="237901240"/>
      </c:lineChart>
      <c:dateAx>
        <c:axId val="23790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1240"/>
        <c:crosses val="autoZero"/>
        <c:auto val="1"/>
        <c:lblOffset val="100"/>
        <c:baseTimeUnit val="days"/>
        <c:majorUnit val="1"/>
        <c:majorTimeUnit val="months"/>
      </c:dateAx>
      <c:valAx>
        <c:axId val="2379012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08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5.1520665313782743E-2</c:v>
                </c:pt>
                <c:pt idx="1">
                  <c:v>5.1541439445420445E-2</c:v>
                </c:pt>
                <c:pt idx="2">
                  <c:v>5.1562213122051337E-2</c:v>
                </c:pt>
                <c:pt idx="3">
                  <c:v>5.15829863436853E-2</c:v>
                </c:pt>
                <c:pt idx="4">
                  <c:v>5.1603759110332548E-2</c:v>
                </c:pt>
                <c:pt idx="5">
                  <c:v>5.162453142200274E-2</c:v>
                </c:pt>
                <c:pt idx="6">
                  <c:v>5.164530327870609E-2</c:v>
                </c:pt>
                <c:pt idx="7">
                  <c:v>5.1666074680452478E-2</c:v>
                </c:pt>
                <c:pt idx="8">
                  <c:v>5.1686845627251787E-2</c:v>
                </c:pt>
                <c:pt idx="9">
                  <c:v>5.1707616119114119E-2</c:v>
                </c:pt>
                <c:pt idx="10">
                  <c:v>5.1728386156049355E-2</c:v>
                </c:pt>
                <c:pt idx="11">
                  <c:v>5.1749155738067487E-2</c:v>
                </c:pt>
                <c:pt idx="12">
                  <c:v>5.1769924865178507E-2</c:v>
                </c:pt>
                <c:pt idx="13">
                  <c:v>5.1790693537392296E-2</c:v>
                </c:pt>
                <c:pt idx="14">
                  <c:v>5.1811461754718846E-2</c:v>
                </c:pt>
                <c:pt idx="15">
                  <c:v>5.1832229517168149E-2</c:v>
                </c:pt>
                <c:pt idx="16">
                  <c:v>5.1852996824750197E-2</c:v>
                </c:pt>
                <c:pt idx="17">
                  <c:v>5.1873763677474871E-2</c:v>
                </c:pt>
                <c:pt idx="18">
                  <c:v>5.1894530075352163E-2</c:v>
                </c:pt>
                <c:pt idx="19">
                  <c:v>5.1915296018392065E-2</c:v>
                </c:pt>
                <c:pt idx="20">
                  <c:v>5.1936061506604458E-2</c:v>
                </c:pt>
                <c:pt idx="21">
                  <c:v>5.1956826539999446E-2</c:v>
                </c:pt>
                <c:pt idx="22">
                  <c:v>5.1977591118586908E-2</c:v>
                </c:pt>
                <c:pt idx="23">
                  <c:v>5.1998355242376726E-2</c:v>
                </c:pt>
                <c:pt idx="24">
                  <c:v>5.2019118911379003E-2</c:v>
                </c:pt>
                <c:pt idx="25">
                  <c:v>5.2039882125603731E-2</c:v>
                </c:pt>
                <c:pt idx="26">
                  <c:v>5.2060644885060681E-2</c:v>
                </c:pt>
                <c:pt idx="27">
                  <c:v>5.2081407189759843E-2</c:v>
                </c:pt>
                <c:pt idx="28">
                  <c:v>5.2102169039711321E-2</c:v>
                </c:pt>
                <c:pt idx="29">
                  <c:v>5.2122930434925108E-2</c:v>
                </c:pt>
                <c:pt idx="30">
                  <c:v>5.2143691375410861E-2</c:v>
                </c:pt>
                <c:pt idx="31">
                  <c:v>5.2164451861178907E-2</c:v>
                </c:pt>
                <c:pt idx="32">
                  <c:v>5.2185211892238903E-2</c:v>
                </c:pt>
                <c:pt idx="33">
                  <c:v>5.2205971468600954E-2</c:v>
                </c:pt>
                <c:pt idx="34">
                  <c:v>5.222673059027505E-2</c:v>
                </c:pt>
                <c:pt idx="35">
                  <c:v>5.2247489257271185E-2</c:v>
                </c:pt>
                <c:pt idx="36">
                  <c:v>5.2268247469599127E-2</c:v>
                </c:pt>
                <c:pt idx="37">
                  <c:v>5.2289005227268981E-2</c:v>
                </c:pt>
                <c:pt idx="38">
                  <c:v>5.2309762530290627E-2</c:v>
                </c:pt>
                <c:pt idx="39">
                  <c:v>5.2330519378674056E-2</c:v>
                </c:pt>
                <c:pt idx="40">
                  <c:v>5.2351275772429262E-2</c:v>
                </c:pt>
                <c:pt idx="41">
                  <c:v>5.2372031711566236E-2</c:v>
                </c:pt>
                <c:pt idx="42">
                  <c:v>5.2392787196094859E-2</c:v>
                </c:pt>
                <c:pt idx="43">
                  <c:v>5.2413542226025012E-2</c:v>
                </c:pt>
                <c:pt idx="44">
                  <c:v>5.2434296801366798E-2</c:v>
                </c:pt>
                <c:pt idx="45">
                  <c:v>5.2455050922130098E-2</c:v>
                </c:pt>
                <c:pt idx="46">
                  <c:v>5.2475804588324904E-2</c:v>
                </c:pt>
                <c:pt idx="47">
                  <c:v>5.2496557799961208E-2</c:v>
                </c:pt>
                <c:pt idx="48">
                  <c:v>5.2517310557048891E-2</c:v>
                </c:pt>
                <c:pt idx="49">
                  <c:v>5.2538062859597945E-2</c:v>
                </c:pt>
                <c:pt idx="50">
                  <c:v>5.2558814707618251E-2</c:v>
                </c:pt>
                <c:pt idx="51">
                  <c:v>5.2579566101119801E-2</c:v>
                </c:pt>
                <c:pt idx="52">
                  <c:v>5.2600317040112698E-2</c:v>
                </c:pt>
                <c:pt idx="53">
                  <c:v>5.2621067524606713E-2</c:v>
                </c:pt>
                <c:pt idx="54">
                  <c:v>5.2641817554611836E-2</c:v>
                </c:pt>
                <c:pt idx="55">
                  <c:v>5.266256713013806E-2</c:v>
                </c:pt>
                <c:pt idx="56">
                  <c:v>5.2683316251195378E-2</c:v>
                </c:pt>
                <c:pt idx="57">
                  <c:v>5.2704064917793669E-2</c:v>
                </c:pt>
                <c:pt idx="58">
                  <c:v>5.2724813129942816E-2</c:v>
                </c:pt>
                <c:pt idx="59">
                  <c:v>5.2745560887653031E-2</c:v>
                </c:pt>
                <c:pt idx="60">
                  <c:v>5.2766308190933975E-2</c:v>
                </c:pt>
                <c:pt idx="61">
                  <c:v>5.2787055039795749E-2</c:v>
                </c:pt>
                <c:pt idx="62">
                  <c:v>5.2807801434248347E-2</c:v>
                </c:pt>
                <c:pt idx="63">
                  <c:v>5.2828547374301649E-2</c:v>
                </c:pt>
                <c:pt idx="64">
                  <c:v>5.2849292859965646E-2</c:v>
                </c:pt>
                <c:pt idx="65">
                  <c:v>5.2870037891250221E-2</c:v>
                </c:pt>
                <c:pt idx="66">
                  <c:v>5.2890782468165365E-2</c:v>
                </c:pt>
                <c:pt idx="67">
                  <c:v>5.2911526590720959E-2</c:v>
                </c:pt>
                <c:pt idx="68">
                  <c:v>5.2932270258927216E-2</c:v>
                </c:pt>
                <c:pt idx="69">
                  <c:v>5.2953013472793797E-2</c:v>
                </c:pt>
                <c:pt idx="70">
                  <c:v>5.2973756232330693E-2</c:v>
                </c:pt>
                <c:pt idx="71">
                  <c:v>5.2994498537548007E-2</c:v>
                </c:pt>
                <c:pt idx="72">
                  <c:v>5.301524038845562E-2</c:v>
                </c:pt>
                <c:pt idx="73">
                  <c:v>5.3035981785063413E-2</c:v>
                </c:pt>
                <c:pt idx="74">
                  <c:v>5.3056722727381378E-2</c:v>
                </c:pt>
                <c:pt idx="75">
                  <c:v>5.3077463215419507E-2</c:v>
                </c:pt>
                <c:pt idx="76">
                  <c:v>5.3098203249187681E-2</c:v>
                </c:pt>
                <c:pt idx="77">
                  <c:v>5.3118942828696003E-2</c:v>
                </c:pt>
                <c:pt idx="78">
                  <c:v>5.3139681953954243E-2</c:v>
                </c:pt>
                <c:pt idx="79">
                  <c:v>5.3160420624972393E-2</c:v>
                </c:pt>
                <c:pt idx="80">
                  <c:v>5.3181158841760445E-2</c:v>
                </c:pt>
                <c:pt idx="81">
                  <c:v>5.320189660432828E-2</c:v>
                </c:pt>
                <c:pt idx="82">
                  <c:v>5.3222633912685891E-2</c:v>
                </c:pt>
                <c:pt idx="83">
                  <c:v>5.3243370766843268E-2</c:v>
                </c:pt>
                <c:pt idx="84">
                  <c:v>5.3264107166810293E-2</c:v>
                </c:pt>
                <c:pt idx="85">
                  <c:v>5.3284843112596958E-2</c:v>
                </c:pt>
                <c:pt idx="86">
                  <c:v>5.3305578604213255E-2</c:v>
                </c:pt>
                <c:pt idx="87">
                  <c:v>5.3326313641668954E-2</c:v>
                </c:pt>
                <c:pt idx="88">
                  <c:v>5.3347048224974158E-2</c:v>
                </c:pt>
                <c:pt idx="89">
                  <c:v>5.336778235413886E-2</c:v>
                </c:pt>
                <c:pt idx="90">
                  <c:v>5.3388516029172828E-2</c:v>
                </c:pt>
                <c:pt idx="91">
                  <c:v>5.3409249250086055E-2</c:v>
                </c:pt>
                <c:pt idx="92">
                  <c:v>5.3429982016888644E-2</c:v>
                </c:pt>
                <c:pt idx="93">
                  <c:v>5.3450714329590365E-2</c:v>
                </c:pt>
                <c:pt idx="94">
                  <c:v>5.347144618820121E-2</c:v>
                </c:pt>
                <c:pt idx="95">
                  <c:v>5.3492177592731283E-2</c:v>
                </c:pt>
                <c:pt idx="96">
                  <c:v>5.3512908543190241E-2</c:v>
                </c:pt>
                <c:pt idx="97">
                  <c:v>5.3533639039588299E-2</c:v>
                </c:pt>
                <c:pt idx="98">
                  <c:v>5.3554369081935116E-2</c:v>
                </c:pt>
                <c:pt idx="99">
                  <c:v>5.3575098670240906E-2</c:v>
                </c:pt>
                <c:pt idx="100">
                  <c:v>5.359582780451555E-2</c:v>
                </c:pt>
                <c:pt idx="101">
                  <c:v>5.3616556484768929E-2</c:v>
                </c:pt>
                <c:pt idx="102">
                  <c:v>5.3637284711010924E-2</c:v>
                </c:pt>
                <c:pt idx="103">
                  <c:v>5.3658012483251638E-2</c:v>
                </c:pt>
                <c:pt idx="104">
                  <c:v>5.3678739801500952E-2</c:v>
                </c:pt>
                <c:pt idx="105">
                  <c:v>5.3699466665768858E-2</c:v>
                </c:pt>
                <c:pt idx="106">
                  <c:v>5.3720193076065126E-2</c:v>
                </c:pt>
                <c:pt idx="107">
                  <c:v>5.3740919032399859E-2</c:v>
                </c:pt>
                <c:pt idx="108">
                  <c:v>5.3761644534782937E-2</c:v>
                </c:pt>
                <c:pt idx="109">
                  <c:v>5.3782369583224354E-2</c:v>
                </c:pt>
                <c:pt idx="110">
                  <c:v>5.3803094177734101E-2</c:v>
                </c:pt>
                <c:pt idx="111">
                  <c:v>5.3823818318321948E-2</c:v>
                </c:pt>
                <c:pt idx="112">
                  <c:v>5.3844542004997886E-2</c:v>
                </c:pt>
                <c:pt idx="113">
                  <c:v>5.386526523777202E-2</c:v>
                </c:pt>
                <c:pt idx="114">
                  <c:v>5.3885988016654007E-2</c:v>
                </c:pt>
                <c:pt idx="115">
                  <c:v>5.3906710341654063E-2</c:v>
                </c:pt>
                <c:pt idx="116">
                  <c:v>5.3927432212782067E-2</c:v>
                </c:pt>
                <c:pt idx="117">
                  <c:v>5.394815363004779E-2</c:v>
                </c:pt>
                <c:pt idx="118">
                  <c:v>5.3968874593461336E-2</c:v>
                </c:pt>
                <c:pt idx="119">
                  <c:v>5.3989595103032695E-2</c:v>
                </c:pt>
                <c:pt idx="120">
                  <c:v>5.4010315158771638E-2</c:v>
                </c:pt>
                <c:pt idx="121">
                  <c:v>5.4031034760688157E-2</c:v>
                </c:pt>
                <c:pt idx="122">
                  <c:v>5.4051753908792244E-2</c:v>
                </c:pt>
                <c:pt idx="123">
                  <c:v>5.407247260309378E-2</c:v>
                </c:pt>
                <c:pt idx="124">
                  <c:v>5.4093190843602756E-2</c:v>
                </c:pt>
                <c:pt idx="125">
                  <c:v>5.4113908630329166E-2</c:v>
                </c:pt>
                <c:pt idx="126">
                  <c:v>5.4134625963282779E-2</c:v>
                </c:pt>
                <c:pt idx="127">
                  <c:v>5.4155342842473697E-2</c:v>
                </c:pt>
                <c:pt idx="128">
                  <c:v>5.4176059267911802E-2</c:v>
                </c:pt>
                <c:pt idx="129">
                  <c:v>5.4196775239606976E-2</c:v>
                </c:pt>
                <c:pt idx="130">
                  <c:v>5.4217490757569209E-2</c:v>
                </c:pt>
                <c:pt idx="131">
                  <c:v>5.4238205821808494E-2</c:v>
                </c:pt>
                <c:pt idx="132">
                  <c:v>5.4258920432334601E-2</c:v>
                </c:pt>
                <c:pt idx="133">
                  <c:v>5.4279634589157633E-2</c:v>
                </c:pt>
                <c:pt idx="134">
                  <c:v>5.430034829228747E-2</c:v>
                </c:pt>
                <c:pt idx="135">
                  <c:v>5.4321061541733995E-2</c:v>
                </c:pt>
                <c:pt idx="136">
                  <c:v>5.4341774337507309E-2</c:v>
                </c:pt>
                <c:pt idx="137">
                  <c:v>5.4362486679617184E-2</c:v>
                </c:pt>
                <c:pt idx="138">
                  <c:v>5.438319856807361E-2</c:v>
                </c:pt>
                <c:pt idx="139">
                  <c:v>5.4403910002886469E-2</c:v>
                </c:pt>
                <c:pt idx="140">
                  <c:v>5.4424620984065863E-2</c:v>
                </c:pt>
                <c:pt idx="141">
                  <c:v>5.4445331511621453E-2</c:v>
                </c:pt>
                <c:pt idx="142">
                  <c:v>5.4466041585563452E-2</c:v>
                </c:pt>
                <c:pt idx="143">
                  <c:v>5.448675120590174E-2</c:v>
                </c:pt>
                <c:pt idx="144">
                  <c:v>5.4507460372646088E-2</c:v>
                </c:pt>
                <c:pt idx="145">
                  <c:v>5.4528169085806599E-2</c:v>
                </c:pt>
                <c:pt idx="146">
                  <c:v>5.4548877345393043E-2</c:v>
                </c:pt>
                <c:pt idx="147">
                  <c:v>5.4569585151415523E-2</c:v>
                </c:pt>
                <c:pt idx="148">
                  <c:v>5.4590292503883919E-2</c:v>
                </c:pt>
                <c:pt idx="149">
                  <c:v>5.4610999402808114E-2</c:v>
                </c:pt>
                <c:pt idx="150">
                  <c:v>5.4631705848198098E-2</c:v>
                </c:pt>
                <c:pt idx="151">
                  <c:v>5.4652411840063864E-2</c:v>
                </c:pt>
                <c:pt idx="152">
                  <c:v>5.4673117378415181E-2</c:v>
                </c:pt>
                <c:pt idx="153">
                  <c:v>5.4693822463262043E-2</c:v>
                </c:pt>
                <c:pt idx="154">
                  <c:v>5.471452709461444E-2</c:v>
                </c:pt>
                <c:pt idx="155">
                  <c:v>5.4735231272482254E-2</c:v>
                </c:pt>
                <c:pt idx="156">
                  <c:v>5.4755934996875477E-2</c:v>
                </c:pt>
                <c:pt idx="157">
                  <c:v>5.477663826780399E-2</c:v>
                </c:pt>
                <c:pt idx="158">
                  <c:v>5.4797341085277784E-2</c:v>
                </c:pt>
                <c:pt idx="159">
                  <c:v>5.481804344930663E-2</c:v>
                </c:pt>
                <c:pt idx="160">
                  <c:v>5.4838745359900742E-2</c:v>
                </c:pt>
                <c:pt idx="161">
                  <c:v>5.4859446817069779E-2</c:v>
                </c:pt>
                <c:pt idx="162">
                  <c:v>5.4880147820823733E-2</c:v>
                </c:pt>
                <c:pt idx="163">
                  <c:v>5.4900848371172595E-2</c:v>
                </c:pt>
                <c:pt idx="164">
                  <c:v>5.4921548468126358E-2</c:v>
                </c:pt>
                <c:pt idx="165">
                  <c:v>5.4942248111694791E-2</c:v>
                </c:pt>
                <c:pt idx="166">
                  <c:v>5.4962947301887888E-2</c:v>
                </c:pt>
                <c:pt idx="167">
                  <c:v>5.4983646038715639E-2</c:v>
                </c:pt>
                <c:pt idx="168">
                  <c:v>5.5004344322187926E-2</c:v>
                </c:pt>
                <c:pt idx="169">
                  <c:v>5.502504215231474E-2</c:v>
                </c:pt>
                <c:pt idx="170">
                  <c:v>5.5045739529105853E-2</c:v>
                </c:pt>
                <c:pt idx="171">
                  <c:v>5.5066436452571366E-2</c:v>
                </c:pt>
                <c:pt idx="172">
                  <c:v>5.508713292272116E-2</c:v>
                </c:pt>
                <c:pt idx="173">
                  <c:v>5.5107828939565007E-2</c:v>
                </c:pt>
                <c:pt idx="174">
                  <c:v>5.5128524503113119E-2</c:v>
                </c:pt>
                <c:pt idx="175">
                  <c:v>5.5149219613375156E-2</c:v>
                </c:pt>
                <c:pt idx="176">
                  <c:v>5.5169914270361331E-2</c:v>
                </c:pt>
                <c:pt idx="177">
                  <c:v>5.5190608474081193E-2</c:v>
                </c:pt>
                <c:pt idx="178">
                  <c:v>5.5211302224545067E-2</c:v>
                </c:pt>
                <c:pt idx="179">
                  <c:v>5.5231995521762611E-2</c:v>
                </c:pt>
                <c:pt idx="180">
                  <c:v>5.5252688365743818E-2</c:v>
                </c:pt>
                <c:pt idx="181">
                  <c:v>5.527338075649868E-2</c:v>
                </c:pt>
                <c:pt idx="182">
                  <c:v>5.5294072694037077E-2</c:v>
                </c:pt>
                <c:pt idx="183">
                  <c:v>5.5314764178368891E-2</c:v>
                </c:pt>
                <c:pt idx="184">
                  <c:v>5.5335455209504225E-2</c:v>
                </c:pt>
                <c:pt idx="185">
                  <c:v>5.5356145787452737E-2</c:v>
                </c:pt>
                <c:pt idx="186">
                  <c:v>5.5376835912224531E-2</c:v>
                </c:pt>
                <c:pt idx="187">
                  <c:v>5.5397525583829488E-2</c:v>
                </c:pt>
                <c:pt idx="188">
                  <c:v>5.5418214802277599E-2</c:v>
                </c:pt>
                <c:pt idx="189">
                  <c:v>5.5438903567578635E-2</c:v>
                </c:pt>
                <c:pt idx="190">
                  <c:v>5.5459591879742698E-2</c:v>
                </c:pt>
                <c:pt idx="191">
                  <c:v>5.5480279738779559E-2</c:v>
                </c:pt>
                <c:pt idx="192">
                  <c:v>5.5500967144699209E-2</c:v>
                </c:pt>
                <c:pt idx="193">
                  <c:v>5.5521654097511641E-2</c:v>
                </c:pt>
                <c:pt idx="194">
                  <c:v>5.5542340597226625E-2</c:v>
                </c:pt>
                <c:pt idx="195">
                  <c:v>5.5563026643854263E-2</c:v>
                </c:pt>
                <c:pt idx="196">
                  <c:v>5.5583712237404326E-2</c:v>
                </c:pt>
                <c:pt idx="197">
                  <c:v>5.5604397377886916E-2</c:v>
                </c:pt>
                <c:pt idx="198">
                  <c:v>5.5625082065311693E-2</c:v>
                </c:pt>
                <c:pt idx="199">
                  <c:v>5.564576629968887E-2</c:v>
                </c:pt>
                <c:pt idx="200">
                  <c:v>5.5666450081028107E-2</c:v>
                </c:pt>
                <c:pt idx="201">
                  <c:v>5.5687133409339507E-2</c:v>
                </c:pt>
                <c:pt idx="202">
                  <c:v>5.5707816284632949E-2</c:v>
                </c:pt>
                <c:pt idx="203">
                  <c:v>5.5728498706918317E-2</c:v>
                </c:pt>
                <c:pt idx="204">
                  <c:v>5.5749180676205601E-2</c:v>
                </c:pt>
                <c:pt idx="205">
                  <c:v>5.5769862192504571E-2</c:v>
                </c:pt>
                <c:pt idx="206">
                  <c:v>5.5790543255825331E-2</c:v>
                </c:pt>
                <c:pt idx="207">
                  <c:v>5.5811223866177762E-2</c:v>
                </c:pt>
                <c:pt idx="208">
                  <c:v>5.5831904023571632E-2</c:v>
                </c:pt>
                <c:pt idx="209">
                  <c:v>5.5852583728017047E-2</c:v>
                </c:pt>
                <c:pt idx="210">
                  <c:v>5.5873262979523886E-2</c:v>
                </c:pt>
                <c:pt idx="211">
                  <c:v>5.589394177810203E-2</c:v>
                </c:pt>
                <c:pt idx="212">
                  <c:v>5.5914620123761472E-2</c:v>
                </c:pt>
                <c:pt idx="213">
                  <c:v>5.5935298016511981E-2</c:v>
                </c:pt>
                <c:pt idx="214">
                  <c:v>5.595597545636366E-2</c:v>
                </c:pt>
                <c:pt idx="215">
                  <c:v>5.597665244332628E-2</c:v>
                </c:pt>
                <c:pt idx="216">
                  <c:v>5.5997328977409833E-2</c:v>
                </c:pt>
                <c:pt idx="217">
                  <c:v>5.6018005058624198E-2</c:v>
                </c:pt>
                <c:pt idx="218">
                  <c:v>5.603868068697937E-2</c:v>
                </c:pt>
                <c:pt idx="219">
                  <c:v>5.6059355862485116E-2</c:v>
                </c:pt>
                <c:pt idx="220">
                  <c:v>5.6080030585151541E-2</c:v>
                </c:pt>
                <c:pt idx="221">
                  <c:v>5.6100704854988526E-2</c:v>
                </c:pt>
                <c:pt idx="222">
                  <c:v>5.6121378672005839E-2</c:v>
                </c:pt>
                <c:pt idx="223">
                  <c:v>5.6142052036213586E-2</c:v>
                </c:pt>
                <c:pt idx="224">
                  <c:v>5.6162724947621534E-2</c:v>
                </c:pt>
                <c:pt idx="225">
                  <c:v>5.6183397406239677E-2</c:v>
                </c:pt>
                <c:pt idx="226">
                  <c:v>5.6204069412077895E-2</c:v>
                </c:pt>
                <c:pt idx="227">
                  <c:v>5.622474096514618E-2</c:v>
                </c:pt>
                <c:pt idx="228">
                  <c:v>5.6245412065454414E-2</c:v>
                </c:pt>
                <c:pt idx="229">
                  <c:v>5.6266082713012477E-2</c:v>
                </c:pt>
                <c:pt idx="230">
                  <c:v>5.6286752907830362E-2</c:v>
                </c:pt>
                <c:pt idx="231">
                  <c:v>5.6307422649917838E-2</c:v>
                </c:pt>
                <c:pt idx="232">
                  <c:v>5.6328091939285008E-2</c:v>
                </c:pt>
                <c:pt idx="233">
                  <c:v>5.6348760775941642E-2</c:v>
                </c:pt>
                <c:pt idx="234">
                  <c:v>5.6369429159897733E-2</c:v>
                </c:pt>
                <c:pt idx="235">
                  <c:v>5.639009709116316E-2</c:v>
                </c:pt>
                <c:pt idx="236">
                  <c:v>5.6410764569747807E-2</c:v>
                </c:pt>
                <c:pt idx="237">
                  <c:v>5.6431431595661663E-2</c:v>
                </c:pt>
                <c:pt idx="238">
                  <c:v>5.6452098168914611E-2</c:v>
                </c:pt>
                <c:pt idx="239">
                  <c:v>5.647276428951653E-2</c:v>
                </c:pt>
                <c:pt idx="240">
                  <c:v>5.6493429957477415E-2</c:v>
                </c:pt>
                <c:pt idx="241">
                  <c:v>5.6514095172807144E-2</c:v>
                </c:pt>
                <c:pt idx="242">
                  <c:v>5.6534759935515599E-2</c:v>
                </c:pt>
                <c:pt idx="243">
                  <c:v>5.6555424245612773E-2</c:v>
                </c:pt>
                <c:pt idx="244">
                  <c:v>5.6576088103108435E-2</c:v>
                </c:pt>
                <c:pt idx="245">
                  <c:v>5.6596751508012577E-2</c:v>
                </c:pt>
                <c:pt idx="246">
                  <c:v>5.6617414460335191E-2</c:v>
                </c:pt>
                <c:pt idx="247">
                  <c:v>5.6638076960086048E-2</c:v>
                </c:pt>
                <c:pt idx="248">
                  <c:v>5.6658739007275249E-2</c:v>
                </c:pt>
                <c:pt idx="249">
                  <c:v>5.6679400601912455E-2</c:v>
                </c:pt>
                <c:pt idx="250">
                  <c:v>5.6700061744007768E-2</c:v>
                </c:pt>
                <c:pt idx="251">
                  <c:v>5.6720722433571069E-2</c:v>
                </c:pt>
                <c:pt idx="252">
                  <c:v>5.6741382670612239E-2</c:v>
                </c:pt>
                <c:pt idx="253">
                  <c:v>5.676204245514116E-2</c:v>
                </c:pt>
                <c:pt idx="254">
                  <c:v>5.6782701787167822E-2</c:v>
                </c:pt>
                <c:pt idx="255">
                  <c:v>5.6803360666702107E-2</c:v>
                </c:pt>
                <c:pt idx="256">
                  <c:v>5.6824019093753786E-2</c:v>
                </c:pt>
                <c:pt idx="257">
                  <c:v>5.6844677068333072E-2</c:v>
                </c:pt>
                <c:pt idx="258">
                  <c:v>5.6865334590449512E-2</c:v>
                </c:pt>
                <c:pt idx="259">
                  <c:v>5.6885991660113322E-2</c:v>
                </c:pt>
                <c:pt idx="260">
                  <c:v>5.6906648277334271E-2</c:v>
                </c:pt>
                <c:pt idx="261">
                  <c:v>5.692730444212224E-2</c:v>
                </c:pt>
                <c:pt idx="262">
                  <c:v>5.6947960154487332E-2</c:v>
                </c:pt>
                <c:pt idx="263">
                  <c:v>5.6968615414439094E-2</c:v>
                </c:pt>
                <c:pt idx="264">
                  <c:v>5.6989270221987853E-2</c:v>
                </c:pt>
                <c:pt idx="265">
                  <c:v>5.7009924577143156E-2</c:v>
                </c:pt>
                <c:pt idx="266">
                  <c:v>5.7030578479915217E-2</c:v>
                </c:pt>
                <c:pt idx="267">
                  <c:v>5.7051231930313695E-2</c:v>
                </c:pt>
                <c:pt idx="268">
                  <c:v>5.7071884928348693E-2</c:v>
                </c:pt>
                <c:pt idx="269">
                  <c:v>5.7092537474029981E-2</c:v>
                </c:pt>
                <c:pt idx="270">
                  <c:v>5.7113189567367439E-2</c:v>
                </c:pt>
                <c:pt idx="271">
                  <c:v>5.7133841208371172E-2</c:v>
                </c:pt>
                <c:pt idx="272">
                  <c:v>5.7154492397050949E-2</c:v>
                </c:pt>
                <c:pt idx="273">
                  <c:v>5.717514313341665E-2</c:v>
                </c:pt>
                <c:pt idx="274">
                  <c:v>5.7195793417478158E-2</c:v>
                </c:pt>
                <c:pt idx="275">
                  <c:v>5.7216443249245574E-2</c:v>
                </c:pt>
                <c:pt idx="276">
                  <c:v>5.723709262872867E-2</c:v>
                </c:pt>
                <c:pt idx="277">
                  <c:v>5.7257741555937325E-2</c:v>
                </c:pt>
                <c:pt idx="278">
                  <c:v>5.7278390030881421E-2</c:v>
                </c:pt>
                <c:pt idx="279">
                  <c:v>5.729903805357095E-2</c:v>
                </c:pt>
                <c:pt idx="280">
                  <c:v>5.7319685624015904E-2</c:v>
                </c:pt>
                <c:pt idx="281">
                  <c:v>5.7340332742225941E-2</c:v>
                </c:pt>
                <c:pt idx="282">
                  <c:v>5.7360979408211166E-2</c:v>
                </c:pt>
                <c:pt idx="283">
                  <c:v>5.7381625621981347E-2</c:v>
                </c:pt>
                <c:pt idx="284">
                  <c:v>5.7402271383546588E-2</c:v>
                </c:pt>
                <c:pt idx="285">
                  <c:v>5.7422916692916548E-2</c:v>
                </c:pt>
                <c:pt idx="286">
                  <c:v>5.744356155010133E-2</c:v>
                </c:pt>
                <c:pt idx="287">
                  <c:v>5.7464205955110703E-2</c:v>
                </c:pt>
                <c:pt idx="288">
                  <c:v>5.7484849907954549E-2</c:v>
                </c:pt>
                <c:pt idx="289">
                  <c:v>5.7505493408642971E-2</c:v>
                </c:pt>
                <c:pt idx="290">
                  <c:v>5.7526136457185739E-2</c:v>
                </c:pt>
                <c:pt idx="291">
                  <c:v>5.7546779053592734E-2</c:v>
                </c:pt>
                <c:pt idx="292">
                  <c:v>5.7567421197873836E-2</c:v>
                </c:pt>
                <c:pt idx="293">
                  <c:v>5.7588062890039149E-2</c:v>
                </c:pt>
                <c:pt idx="294">
                  <c:v>5.7608704130098332E-2</c:v>
                </c:pt>
                <c:pt idx="295">
                  <c:v>5.7629344918061376E-2</c:v>
                </c:pt>
                <c:pt idx="296">
                  <c:v>5.7649985253938163E-2</c:v>
                </c:pt>
                <c:pt idx="297">
                  <c:v>5.7670625137738685E-2</c:v>
                </c:pt>
                <c:pt idx="298">
                  <c:v>5.7691264569472711E-2</c:v>
                </c:pt>
                <c:pt idx="299">
                  <c:v>5.7711903549150234E-2</c:v>
                </c:pt>
                <c:pt idx="300">
                  <c:v>5.7732542076781246E-2</c:v>
                </c:pt>
                <c:pt idx="301">
                  <c:v>5.7753180152375405E-2</c:v>
                </c:pt>
                <c:pt idx="302">
                  <c:v>5.7773817775942815E-2</c:v>
                </c:pt>
                <c:pt idx="303">
                  <c:v>5.7794454947493246E-2</c:v>
                </c:pt>
                <c:pt idx="304">
                  <c:v>5.7815091667036689E-2</c:v>
                </c:pt>
                <c:pt idx="305">
                  <c:v>5.7835727934583026E-2</c:v>
                </c:pt>
                <c:pt idx="306">
                  <c:v>5.7856363750142137E-2</c:v>
                </c:pt>
                <c:pt idx="307">
                  <c:v>5.7876999113723904E-2</c:v>
                </c:pt>
                <c:pt idx="308">
                  <c:v>5.7897634025338207E-2</c:v>
                </c:pt>
                <c:pt idx="309">
                  <c:v>5.7918268484995039E-2</c:v>
                </c:pt>
                <c:pt idx="310">
                  <c:v>5.7938902492704281E-2</c:v>
                </c:pt>
                <c:pt idx="311">
                  <c:v>5.7959536048475702E-2</c:v>
                </c:pt>
                <c:pt idx="312">
                  <c:v>5.7980169152319405E-2</c:v>
                </c:pt>
                <c:pt idx="313">
                  <c:v>5.8000801804245161E-2</c:v>
                </c:pt>
                <c:pt idx="314">
                  <c:v>5.8021434004262851E-2</c:v>
                </c:pt>
                <c:pt idx="315">
                  <c:v>5.8042065752382355E-2</c:v>
                </c:pt>
                <c:pt idx="316">
                  <c:v>5.8062697048613776E-2</c:v>
                </c:pt>
                <c:pt idx="317">
                  <c:v>5.8083327892966774E-2</c:v>
                </c:pt>
                <c:pt idx="318">
                  <c:v>5.8103958285451229E-2</c:v>
                </c:pt>
                <c:pt idx="319">
                  <c:v>5.8124588226077356E-2</c:v>
                </c:pt>
                <c:pt idx="320">
                  <c:v>5.8145217714854702E-2</c:v>
                </c:pt>
                <c:pt idx="321">
                  <c:v>5.816584675179326E-2</c:v>
                </c:pt>
                <c:pt idx="322">
                  <c:v>5.8186475336903021E-2</c:v>
                </c:pt>
                <c:pt idx="323">
                  <c:v>5.8207103470193866E-2</c:v>
                </c:pt>
                <c:pt idx="324">
                  <c:v>5.8227731151675677E-2</c:v>
                </c:pt>
                <c:pt idx="325">
                  <c:v>5.8248358381358223E-2</c:v>
                </c:pt>
                <c:pt idx="326">
                  <c:v>5.8268985159251607E-2</c:v>
                </c:pt>
                <c:pt idx="327">
                  <c:v>5.8289611485365489E-2</c:v>
                </c:pt>
                <c:pt idx="328">
                  <c:v>5.8310237359709971E-2</c:v>
                </c:pt>
                <c:pt idx="329">
                  <c:v>5.8330862782294823E-2</c:v>
                </c:pt>
                <c:pt idx="330">
                  <c:v>5.8351487753130038E-2</c:v>
                </c:pt>
                <c:pt idx="331">
                  <c:v>5.8372112272225496E-2</c:v>
                </c:pt>
                <c:pt idx="332">
                  <c:v>5.8392736339590967E-2</c:v>
                </c:pt>
                <c:pt idx="333">
                  <c:v>5.8413359955236444E-2</c:v>
                </c:pt>
                <c:pt idx="334">
                  <c:v>5.8433983119171917E-2</c:v>
                </c:pt>
                <c:pt idx="335">
                  <c:v>5.8454605831407047E-2</c:v>
                </c:pt>
                <c:pt idx="336">
                  <c:v>5.8475228091951936E-2</c:v>
                </c:pt>
                <c:pt idx="337">
                  <c:v>5.8495849900816355E-2</c:v>
                </c:pt>
                <c:pt idx="338">
                  <c:v>5.8516471258010183E-2</c:v>
                </c:pt>
                <c:pt idx="339">
                  <c:v>5.8537092163543414E-2</c:v>
                </c:pt>
                <c:pt idx="340">
                  <c:v>5.8557712617425928E-2</c:v>
                </c:pt>
                <c:pt idx="341">
                  <c:v>5.8578332619667495E-2</c:v>
                </c:pt>
                <c:pt idx="342">
                  <c:v>5.8598952170278107E-2</c:v>
                </c:pt>
                <c:pt idx="343">
                  <c:v>5.8619571269267756E-2</c:v>
                </c:pt>
                <c:pt idx="344">
                  <c:v>5.8640189916646102E-2</c:v>
                </c:pt>
                <c:pt idx="345">
                  <c:v>5.8660808112423246E-2</c:v>
                </c:pt>
                <c:pt idx="346">
                  <c:v>5.8681425856608849E-2</c:v>
                </c:pt>
                <c:pt idx="347">
                  <c:v>5.8702043149213123E-2</c:v>
                </c:pt>
                <c:pt idx="348">
                  <c:v>5.8722659990245618E-2</c:v>
                </c:pt>
                <c:pt idx="349">
                  <c:v>5.8743276379716436E-2</c:v>
                </c:pt>
                <c:pt idx="350">
                  <c:v>5.8763892317635458E-2</c:v>
                </c:pt>
                <c:pt idx="351">
                  <c:v>5.8784507804012454E-2</c:v>
                </c:pt>
                <c:pt idx="352">
                  <c:v>5.8805122838857415E-2</c:v>
                </c:pt>
                <c:pt idx="353">
                  <c:v>5.8825737422180224E-2</c:v>
                </c:pt>
                <c:pt idx="354">
                  <c:v>5.8846351553990761E-2</c:v>
                </c:pt>
                <c:pt idx="355">
                  <c:v>5.8866965234298907E-2</c:v>
                </c:pt>
                <c:pt idx="356">
                  <c:v>5.8887578463114543E-2</c:v>
                </c:pt>
                <c:pt idx="357">
                  <c:v>5.8908191240447549E-2</c:v>
                </c:pt>
                <c:pt idx="358">
                  <c:v>5.8928803566307808E-2</c:v>
                </c:pt>
                <c:pt idx="359">
                  <c:v>5.8949415440705311E-2</c:v>
                </c:pt>
                <c:pt idx="360">
                  <c:v>5.8970026863649827E-2</c:v>
                </c:pt>
                <c:pt idx="361">
                  <c:v>5.8990637835151238E-2</c:v>
                </c:pt>
                <c:pt idx="362">
                  <c:v>5.9011248355219537E-2</c:v>
                </c:pt>
                <c:pt idx="363">
                  <c:v>5.9031858423864492E-2</c:v>
                </c:pt>
                <c:pt idx="364">
                  <c:v>5.9052468041096096E-2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9.3462370491496378E-3</c:v>
                </c:pt>
                <c:pt idx="1">
                  <c:v>9.364493231011595E-3</c:v>
                </c:pt>
                <c:pt idx="2">
                  <c:v>9.371112240564609E-3</c:v>
                </c:pt>
                <c:pt idx="3">
                  <c:v>9.3668091596549284E-3</c:v>
                </c:pt>
                <c:pt idx="4">
                  <c:v>9.3522880710301196E-3</c:v>
                </c:pt>
                <c:pt idx="5">
                  <c:v>9.3282365683412163E-3</c:v>
                </c:pt>
                <c:pt idx="6">
                  <c:v>9.2953211721549314E-3</c:v>
                </c:pt>
                <c:pt idx="7">
                  <c:v>9.2541835865013623E-3</c:v>
                </c:pt>
                <c:pt idx="8">
                  <c:v>9.2044107268408771E-3</c:v>
                </c:pt>
                <c:pt idx="9">
                  <c:v>9.1382474981327282E-3</c:v>
                </c:pt>
                <c:pt idx="10">
                  <c:v>9.0563282281303503E-3</c:v>
                </c:pt>
                <c:pt idx="11">
                  <c:v>8.9588961992141999E-3</c:v>
                </c:pt>
                <c:pt idx="12">
                  <c:v>8.8462052656641445E-3</c:v>
                </c:pt>
                <c:pt idx="13">
                  <c:v>8.7185210499700194E-3</c:v>
                </c:pt>
                <c:pt idx="14">
                  <c:v>8.5761219596305893E-3</c:v>
                </c:pt>
                <c:pt idx="15">
                  <c:v>8.4109213379851069E-3</c:v>
                </c:pt>
                <c:pt idx="16">
                  <c:v>8.2318566534098046E-3</c:v>
                </c:pt>
                <c:pt idx="17">
                  <c:v>8.039246540777336E-3</c:v>
                </c:pt>
                <c:pt idx="18">
                  <c:v>7.8334250338346276E-3</c:v>
                </c:pt>
                <c:pt idx="19">
                  <c:v>7.6147843020614829E-3</c:v>
                </c:pt>
                <c:pt idx="20">
                  <c:v>7.3837457780882342E-3</c:v>
                </c:pt>
                <c:pt idx="21">
                  <c:v>7.1407076517317611E-3</c:v>
                </c:pt>
                <c:pt idx="22">
                  <c:v>6.8857432281799131E-3</c:v>
                </c:pt>
                <c:pt idx="23">
                  <c:v>6.619330989801245E-3</c:v>
                </c:pt>
                <c:pt idx="24">
                  <c:v>6.3484170764785E-3</c:v>
                </c:pt>
                <c:pt idx="25">
                  <c:v>6.0735506611817956E-3</c:v>
                </c:pt>
                <c:pt idx="26">
                  <c:v>5.7952269939604961E-3</c:v>
                </c:pt>
                <c:pt idx="27">
                  <c:v>5.5138875330104781E-3</c:v>
                </c:pt>
                <c:pt idx="28">
                  <c:v>5.2299205739054482E-3</c:v>
                </c:pt>
                <c:pt idx="29">
                  <c:v>4.9538963223103149E-3</c:v>
                </c:pt>
                <c:pt idx="30">
                  <c:v>4.6931361417768729E-3</c:v>
                </c:pt>
                <c:pt idx="31">
                  <c:v>4.4473875560710049E-3</c:v>
                </c:pt>
                <c:pt idx="32">
                  <c:v>4.2163722310063333E-3</c:v>
                </c:pt>
                <c:pt idx="33">
                  <c:v>3.9997920728881689E-3</c:v>
                </c:pt>
                <c:pt idx="34">
                  <c:v>3.7973347913252803E-3</c:v>
                </c:pt>
                <c:pt idx="35">
                  <c:v>3.6086789429695563E-3</c:v>
                </c:pt>
                <c:pt idx="36">
                  <c:v>3.4331327763635149E-3</c:v>
                </c:pt>
                <c:pt idx="37">
                  <c:v>3.2757304516568162E-3</c:v>
                </c:pt>
                <c:pt idx="38">
                  <c:v>3.1359707853621786E-3</c:v>
                </c:pt>
                <c:pt idx="39">
                  <c:v>3.0134567326022973E-3</c:v>
                </c:pt>
                <c:pt idx="40">
                  <c:v>2.9077954716564729E-3</c:v>
                </c:pt>
                <c:pt idx="41">
                  <c:v>2.8186006772094011E-3</c:v>
                </c:pt>
                <c:pt idx="42">
                  <c:v>2.7454945590812889E-3</c:v>
                </c:pt>
                <c:pt idx="43">
                  <c:v>2.6887895170631978E-3</c:v>
                </c:pt>
                <c:pt idx="44">
                  <c:v>2.6391498351283353E-3</c:v>
                </c:pt>
                <c:pt idx="45">
                  <c:v>2.5964343930384346E-3</c:v>
                </c:pt>
                <c:pt idx="46">
                  <c:v>2.5605070485299132E-3</c:v>
                </c:pt>
                <c:pt idx="47">
                  <c:v>2.5312373050343268E-3</c:v>
                </c:pt>
                <c:pt idx="48">
                  <c:v>2.5085009243801751E-3</c:v>
                </c:pt>
                <c:pt idx="49">
                  <c:v>2.4921804937313159E-3</c:v>
                </c:pt>
                <c:pt idx="50">
                  <c:v>2.4821025601302143E-3</c:v>
                </c:pt>
                <c:pt idx="51">
                  <c:v>2.4772179392201473E-3</c:v>
                </c:pt>
                <c:pt idx="52">
                  <c:v>2.4723449616113669E-3</c:v>
                </c:pt>
                <c:pt idx="53">
                  <c:v>2.4674643707673582E-3</c:v>
                </c:pt>
                <c:pt idx="54">
                  <c:v>2.4625700523211529E-3</c:v>
                </c:pt>
                <c:pt idx="55">
                  <c:v>2.4576567522968536E-3</c:v>
                </c:pt>
                <c:pt idx="56">
                  <c:v>2.4527200940954877E-3</c:v>
                </c:pt>
                <c:pt idx="57">
                  <c:v>2.4457424418473164E-3</c:v>
                </c:pt>
                <c:pt idx="58">
                  <c:v>2.4361462718223304E-3</c:v>
                </c:pt>
                <c:pt idx="59">
                  <c:v>2.4239783527569315E-3</c:v>
                </c:pt>
                <c:pt idx="60">
                  <c:v>2.4092844404529474E-3</c:v>
                </c:pt>
                <c:pt idx="61">
                  <c:v>2.392109367827926E-3</c:v>
                </c:pt>
                <c:pt idx="62">
                  <c:v>2.3724971139744556E-3</c:v>
                </c:pt>
                <c:pt idx="63">
                  <c:v>2.3504908529506357E-3</c:v>
                </c:pt>
                <c:pt idx="64">
                  <c:v>2.3261120998736592E-3</c:v>
                </c:pt>
                <c:pt idx="65">
                  <c:v>2.2982776767871672E-3</c:v>
                </c:pt>
                <c:pt idx="66">
                  <c:v>2.2678504747964817E-3</c:v>
                </c:pt>
                <c:pt idx="67">
                  <c:v>2.234895494056074E-3</c:v>
                </c:pt>
                <c:pt idx="68">
                  <c:v>2.1994749692251358E-3</c:v>
                </c:pt>
                <c:pt idx="69">
                  <c:v>2.1616481668301187E-3</c:v>
                </c:pt>
                <c:pt idx="70">
                  <c:v>2.1214711853404498E-3</c:v>
                </c:pt>
                <c:pt idx="71">
                  <c:v>2.079425711040151E-3</c:v>
                </c:pt>
                <c:pt idx="72">
                  <c:v>2.0373941059135411E-3</c:v>
                </c:pt>
                <c:pt idx="73">
                  <c:v>1.9953858416323403E-3</c:v>
                </c:pt>
                <c:pt idx="74">
                  <c:v>1.9534086935123693E-3</c:v>
                </c:pt>
                <c:pt idx="75">
                  <c:v>1.9114687078010896E-3</c:v>
                </c:pt>
                <c:pt idx="76">
                  <c:v>1.8695701700727884E-3</c:v>
                </c:pt>
                <c:pt idx="77">
                  <c:v>1.8277155737068884E-3</c:v>
                </c:pt>
                <c:pt idx="78">
                  <c:v>1.7858219531539825E-3</c:v>
                </c:pt>
                <c:pt idx="79">
                  <c:v>1.7439133006937242E-3</c:v>
                </c:pt>
                <c:pt idx="80">
                  <c:v>1.7030553123530687E-3</c:v>
                </c:pt>
                <c:pt idx="81">
                  <c:v>1.6632541234800108E-3</c:v>
                </c:pt>
                <c:pt idx="82">
                  <c:v>1.6245132286082794E-3</c:v>
                </c:pt>
                <c:pt idx="83">
                  <c:v>1.5868336873757316E-3</c:v>
                </c:pt>
                <c:pt idx="84">
                  <c:v>1.5502143262705985E-3</c:v>
                </c:pt>
                <c:pt idx="85">
                  <c:v>1.5150725592193578E-3</c:v>
                </c:pt>
                <c:pt idx="86">
                  <c:v>1.4810007789364107E-3</c:v>
                </c:pt>
                <c:pt idx="87">
                  <c:v>1.4479929535800183E-3</c:v>
                </c:pt>
                <c:pt idx="88">
                  <c:v>1.416041659936974E-3</c:v>
                </c:pt>
                <c:pt idx="89">
                  <c:v>0</c:v>
                </c:pt>
                <c:pt idx="90">
                  <c:v>8.4672939368854748E-8</c:v>
                </c:pt>
                <c:pt idx="91">
                  <c:v>1.6701879748435409E-7</c:v>
                </c:pt>
                <c:pt idx="92">
                  <c:v>2.4742979810446907E-7</c:v>
                </c:pt>
                <c:pt idx="93">
                  <c:v>3.2791246855601411E-7</c:v>
                </c:pt>
                <c:pt idx="94">
                  <c:v>4.0994646731341917E-7</c:v>
                </c:pt>
                <c:pt idx="95">
                  <c:v>4.9521386526344105E-7</c:v>
                </c:pt>
                <c:pt idx="96">
                  <c:v>5.8551228941260738E-7</c:v>
                </c:pt>
                <c:pt idx="97">
                  <c:v>6.8276494610138397E-7</c:v>
                </c:pt>
                <c:pt idx="98">
                  <c:v>7.8903092685065151E-7</c:v>
                </c:pt>
                <c:pt idx="99">
                  <c:v>9.1583324100495871E-7</c:v>
                </c:pt>
                <c:pt idx="100">
                  <c:v>1.067470047894431E-6</c:v>
                </c:pt>
                <c:pt idx="101">
                  <c:v>1.2496324086908855E-6</c:v>
                </c:pt>
                <c:pt idx="102">
                  <c:v>1.4684306747975587E-6</c:v>
                </c:pt>
                <c:pt idx="103">
                  <c:v>1.7304219937093135E-6</c:v>
                </c:pt>
                <c:pt idx="104">
                  <c:v>2.0426380824087133E-6</c:v>
                </c:pt>
                <c:pt idx="105">
                  <c:v>2.4126131077094475E-6</c:v>
                </c:pt>
                <c:pt idx="106">
                  <c:v>2.8484663663451923E-6</c:v>
                </c:pt>
                <c:pt idx="107">
                  <c:v>3.3784058449170209E-6</c:v>
                </c:pt>
                <c:pt idx="108">
                  <c:v>4.0061654596031832E-6</c:v>
                </c:pt>
                <c:pt idx="109">
                  <c:v>4.7443656788360165E-6</c:v>
                </c:pt>
                <c:pt idx="110">
                  <c:v>5.6065523667496606E-6</c:v>
                </c:pt>
                <c:pt idx="111">
                  <c:v>6.6072481507047488E-6</c:v>
                </c:pt>
                <c:pt idx="112">
                  <c:v>7.7619919555793961E-6</c:v>
                </c:pt>
                <c:pt idx="113">
                  <c:v>9.1033547505629342E-6</c:v>
                </c:pt>
                <c:pt idx="114">
                  <c:v>1.0620459928861486E-5</c:v>
                </c:pt>
                <c:pt idx="115">
                  <c:v>1.2329612596370386E-5</c:v>
                </c:pt>
                <c:pt idx="116">
                  <c:v>1.4248176833007025E-5</c:v>
                </c:pt>
                <c:pt idx="117">
                  <c:v>1.6394626003533572E-5</c:v>
                </c:pt>
                <c:pt idx="118">
                  <c:v>1.8788593018594429E-5</c:v>
                </c:pt>
                <c:pt idx="119">
                  <c:v>2.1450920223024696E-5</c:v>
                </c:pt>
                <c:pt idx="120">
                  <c:v>2.4403886210911224E-5</c:v>
                </c:pt>
                <c:pt idx="121">
                  <c:v>2.7694604643223608E-5</c:v>
                </c:pt>
                <c:pt idx="122">
                  <c:v>3.130195919938207E-5</c:v>
                </c:pt>
                <c:pt idx="123">
                  <c:v>3.5248008411539347E-5</c:v>
                </c:pt>
                <c:pt idx="124">
                  <c:v>3.9555832487495107E-5</c:v>
                </c:pt>
                <c:pt idx="125">
                  <c:v>4.4249530109949172E-5</c:v>
                </c:pt>
                <c:pt idx="126">
                  <c:v>4.9354208233487753E-5</c:v>
                </c:pt>
                <c:pt idx="127">
                  <c:v>5.4900409879354984E-5</c:v>
                </c:pt>
                <c:pt idx="128">
                  <c:v>6.0879424045298798E-5</c:v>
                </c:pt>
                <c:pt idx="129">
                  <c:v>6.7314536567120514E-5</c:v>
                </c:pt>
                <c:pt idx="130">
                  <c:v>7.4229592166097499E-5</c:v>
                </c:pt>
                <c:pt idx="131">
                  <c:v>8.1648931457896113E-5</c:v>
                </c:pt>
                <c:pt idx="132">
                  <c:v>8.9597318649114801E-5</c:v>
                </c:pt>
                <c:pt idx="133">
                  <c:v>9.8099859594712275E-5</c:v>
                </c:pt>
                <c:pt idx="134">
                  <c:v>1.0718377862620764E-4</c:v>
                </c:pt>
                <c:pt idx="135">
                  <c:v>1.1687528013023897E-4</c:v>
                </c:pt>
                <c:pt idx="136">
                  <c:v>1.2715244877957275E-4</c:v>
                </c:pt>
                <c:pt idx="137">
                  <c:v>1.3803591854934057E-4</c:v>
                </c:pt>
                <c:pt idx="138">
                  <c:v>1.4954605505624005E-4</c:v>
                </c:pt>
                <c:pt idx="139">
                  <c:v>1.6170285117060753E-4</c:v>
                </c:pt>
                <c:pt idx="140">
                  <c:v>1.7452581789260041E-4</c:v>
                </c:pt>
                <c:pt idx="141">
                  <c:v>1.8803595488613736E-4</c:v>
                </c:pt>
                <c:pt idx="142">
                  <c:v>2.022419401502523E-4</c:v>
                </c:pt>
                <c:pt idx="143">
                  <c:v>2.1715914941062488E-4</c:v>
                </c:pt>
                <c:pt idx="144">
                  <c:v>2.3280306738225344E-4</c:v>
                </c:pt>
                <c:pt idx="145">
                  <c:v>2.4918812632080209E-4</c:v>
                </c:pt>
                <c:pt idx="146">
                  <c:v>2.6632759661574044E-4</c:v>
                </c:pt>
                <c:pt idx="147">
                  <c:v>2.8423347970349129E-4</c:v>
                </c:pt>
                <c:pt idx="148">
                  <c:v>3.0291658655442078E-4</c:v>
                </c:pt>
                <c:pt idx="149">
                  <c:v>3.2225123136027492E-4</c:v>
                </c:pt>
                <c:pt idx="150">
                  <c:v>3.422357536720193E-4</c:v>
                </c:pt>
                <c:pt idx="151">
                  <c:v>3.6286324719127662E-4</c:v>
                </c:pt>
                <c:pt idx="152">
                  <c:v>3.841249917909797E-4</c:v>
                </c:pt>
                <c:pt idx="153">
                  <c:v>4.0601045029098348E-4</c:v>
                </c:pt>
                <c:pt idx="154">
                  <c:v>4.2850727823156464E-4</c:v>
                </c:pt>
                <c:pt idx="155">
                  <c:v>4.5131404874844107E-4</c:v>
                </c:pt>
                <c:pt idx="156">
                  <c:v>4.7438393055707469E-4</c:v>
                </c:pt>
                <c:pt idx="157">
                  <c:v>4.9767102679716126E-4</c:v>
                </c:pt>
                <c:pt idx="158">
                  <c:v>5.2112728104847965E-4</c:v>
                </c:pt>
                <c:pt idx="159">
                  <c:v>5.4470263474285148E-4</c:v>
                </c:pt>
                <c:pt idx="160">
                  <c:v>5.6834519937933861E-4</c:v>
                </c:pt>
                <c:pt idx="161">
                  <c:v>5.9200144185528726E-4</c:v>
                </c:pt>
                <c:pt idx="162">
                  <c:v>6.156232941372607E-4</c:v>
                </c:pt>
                <c:pt idx="163">
                  <c:v>6.3885911336188962E-4</c:v>
                </c:pt>
                <c:pt idx="164">
                  <c:v>6.6183801018131661E-4</c:v>
                </c:pt>
                <c:pt idx="165">
                  <c:v>6.8448883896271042E-4</c:v>
                </c:pt>
                <c:pt idx="166">
                  <c:v>7.0673898624771657E-4</c:v>
                </c:pt>
                <c:pt idx="167">
                  <c:v>7.2851463968222438E-4</c:v>
                </c:pt>
                <c:pt idx="168">
                  <c:v>7.4974106700843445E-4</c:v>
                </c:pt>
                <c:pt idx="169">
                  <c:v>7.6999495870500154E-4</c:v>
                </c:pt>
                <c:pt idx="170">
                  <c:v>7.896075165157076E-4</c:v>
                </c:pt>
                <c:pt idx="171">
                  <c:v>8.0850815351548742E-4</c:v>
                </c:pt>
                <c:pt idx="172">
                  <c:v>8.2662652192064018E-4</c:v>
                </c:pt>
                <c:pt idx="173">
                  <c:v>8.4388415644175076E-4</c:v>
                </c:pt>
                <c:pt idx="174">
                  <c:v>8.6020223919456478E-4</c:v>
                </c:pt>
                <c:pt idx="175">
                  <c:v>8.7551111452358337E-4</c:v>
                </c:pt>
                <c:pt idx="176">
                  <c:v>8.8975903041493755E-4</c:v>
                </c:pt>
                <c:pt idx="177">
                  <c:v>9.0240379506361648E-4</c:v>
                </c:pt>
                <c:pt idx="178">
                  <c:v>9.1378025020435896E-4</c:v>
                </c:pt>
                <c:pt idx="179">
                  <c:v>9.2382996596094115E-4</c:v>
                </c:pt>
                <c:pt idx="180">
                  <c:v>9.3249698567685318E-4</c:v>
                </c:pt>
                <c:pt idx="181">
                  <c:v>9.3972792288674262E-4</c:v>
                </c:pt>
                <c:pt idx="182">
                  <c:v>9.4547203443867776E-4</c:v>
                </c:pt>
                <c:pt idx="183">
                  <c:v>9.4936289524440512E-4</c:v>
                </c:pt>
                <c:pt idx="184">
                  <c:v>9.518023508565481E-4</c:v>
                </c:pt>
                <c:pt idx="185">
                  <c:v>9.5275417389824963E-4</c:v>
                </c:pt>
                <c:pt idx="186">
                  <c:v>9.5218464079652155E-4</c:v>
                </c:pt>
                <c:pt idx="187">
                  <c:v>9.5006248749297329E-4</c:v>
                </c:pt>
                <c:pt idx="188">
                  <c:v>9.46358848271564E-4</c:v>
                </c:pt>
                <c:pt idx="189">
                  <c:v>9.4104717914661408E-4</c:v>
                </c:pt>
                <c:pt idx="190">
                  <c:v>9.3411085061558647E-4</c:v>
                </c:pt>
                <c:pt idx="191">
                  <c:v>9.255401624516682E-4</c:v>
                </c:pt>
                <c:pt idx="192">
                  <c:v>9.1593264766245779E-4</c:v>
                </c:pt>
                <c:pt idx="193">
                  <c:v>9.0528786186525316E-4</c:v>
                </c:pt>
                <c:pt idx="194">
                  <c:v>8.936063598467272E-4</c:v>
                </c:pt>
                <c:pt idx="195">
                  <c:v>8.8088961992421042E-4</c:v>
                </c:pt>
                <c:pt idx="196">
                  <c:v>8.6713997033221514E-4</c:v>
                </c:pt>
                <c:pt idx="197">
                  <c:v>8.5235017958899015E-4</c:v>
                </c:pt>
                <c:pt idx="198">
                  <c:v>8.3690654523675115E-4</c:v>
                </c:pt>
                <c:pt idx="199">
                  <c:v>8.2082419624881641E-4</c:v>
                </c:pt>
                <c:pt idx="200">
                  <c:v>8.041183836372997E-4</c:v>
                </c:pt>
                <c:pt idx="201">
                  <c:v>7.8680443035486784E-4</c:v>
                </c:pt>
                <c:pt idx="202">
                  <c:v>7.6889768772976956E-4</c:v>
                </c:pt>
                <c:pt idx="203">
                  <c:v>7.5041349848595305E-4</c:v>
                </c:pt>
                <c:pt idx="204">
                  <c:v>7.3137002410118303E-4</c:v>
                </c:pt>
                <c:pt idx="205">
                  <c:v>7.1182120452825248E-4</c:v>
                </c:pt>
                <c:pt idx="206">
                  <c:v>6.9177726988852014E-4</c:v>
                </c:pt>
                <c:pt idx="207">
                  <c:v>6.7125622538489061E-4</c:v>
                </c:pt>
                <c:pt idx="208">
                  <c:v>6.5027550268531033E-4</c:v>
                </c:pt>
                <c:pt idx="209">
                  <c:v>6.2885193356154744E-4</c:v>
                </c:pt>
                <c:pt idx="210">
                  <c:v>6.0700172960015484E-4</c:v>
                </c:pt>
                <c:pt idx="211">
                  <c:v>5.8499520910483571E-4</c:v>
                </c:pt>
                <c:pt idx="212">
                  <c:v>5.6286384565149342E-4</c:v>
                </c:pt>
                <c:pt idx="213">
                  <c:v>5.406268343973405E-4</c:v>
                </c:pt>
                <c:pt idx="214">
                  <c:v>5.1830252547635741E-4</c:v>
                </c:pt>
                <c:pt idx="215">
                  <c:v>4.9590844144337847E-4</c:v>
                </c:pt>
                <c:pt idx="216">
                  <c:v>4.7346129743241951E-4</c:v>
                </c:pt>
                <c:pt idx="217">
                  <c:v>4.5097702346624298E-4</c:v>
                </c:pt>
                <c:pt idx="218">
                  <c:v>4.2847017862997325E-4</c:v>
                </c:pt>
                <c:pt idx="219">
                  <c:v>4.0624184439823E-4</c:v>
                </c:pt>
                <c:pt idx="220">
                  <c:v>3.8427210390555209E-4</c:v>
                </c:pt>
                <c:pt idx="221">
                  <c:v>3.625770515826418E-4</c:v>
                </c:pt>
                <c:pt idx="222">
                  <c:v>3.4117230393689214E-4</c:v>
                </c:pt>
                <c:pt idx="223">
                  <c:v>3.2007302781103276E-4</c:v>
                </c:pt>
                <c:pt idx="224">
                  <c:v>2.9929396684328817E-4</c:v>
                </c:pt>
                <c:pt idx="225">
                  <c:v>2.7939855207704097E-4</c:v>
                </c:pt>
                <c:pt idx="226">
                  <c:v>2.6013202159442703E-4</c:v>
                </c:pt>
                <c:pt idx="227">
                  <c:v>2.4151149057789482E-4</c:v>
                </c:pt>
                <c:pt idx="228">
                  <c:v>2.235535837040468E-4</c:v>
                </c:pt>
                <c:pt idx="229">
                  <c:v>2.0627444962613501E-4</c:v>
                </c:pt>
                <c:pt idx="230">
                  <c:v>1.8968977279992919E-4</c:v>
                </c:pt>
                <c:pt idx="231">
                  <c:v>1.7381478273571142E-4</c:v>
                </c:pt>
                <c:pt idx="232">
                  <c:v>1.5866164137168839E-4</c:v>
                </c:pt>
                <c:pt idx="233">
                  <c:v>1.4481774220205458E-4</c:v>
                </c:pt>
                <c:pt idx="234">
                  <c:v>1.3199778804258812E-4</c:v>
                </c:pt>
                <c:pt idx="235">
                  <c:v>1.2021974606134612E-4</c:v>
                </c:pt>
                <c:pt idx="236">
                  <c:v>1.0950041270667624E-4</c:v>
                </c:pt>
                <c:pt idx="237">
                  <c:v>9.9855415131017966E-5</c:v>
                </c:pt>
                <c:pt idx="238">
                  <c:v>9.12994178636594E-5</c:v>
                </c:pt>
                <c:pt idx="239">
                  <c:v>8.4126267445115154E-5</c:v>
                </c:pt>
                <c:pt idx="240">
                  <c:v>7.7770796476663725E-5</c:v>
                </c:pt>
                <c:pt idx="241">
                  <c:v>7.2242705349873212E-5</c:v>
                </c:pt>
                <c:pt idx="242">
                  <c:v>6.7551260748052074E-5</c:v>
                </c:pt>
                <c:pt idx="243">
                  <c:v>6.3705386793776262E-5</c:v>
                </c:pt>
                <c:pt idx="244">
                  <c:v>6.0713757519188144E-5</c:v>
                </c:pt>
                <c:pt idx="245">
                  <c:v>5.8584890633193308E-5</c:v>
                </c:pt>
                <c:pt idx="246">
                  <c:v>5.7325026882095187E-5</c:v>
                </c:pt>
                <c:pt idx="247">
                  <c:v>5.702392467599355E-5</c:v>
                </c:pt>
                <c:pt idx="248">
                  <c:v>5.7089210290787864E-5</c:v>
                </c:pt>
                <c:pt idx="249">
                  <c:v>5.7524437556400299E-5</c:v>
                </c:pt>
                <c:pt idx="250">
                  <c:v>5.8333083086596955E-5</c:v>
                </c:pt>
                <c:pt idx="251">
                  <c:v>5.951856959725802E-5</c:v>
                </c:pt>
                <c:pt idx="252">
                  <c:v>6.1084289258859839E-5</c:v>
                </c:pt>
                <c:pt idx="253">
                  <c:v>6.3070101752621348E-5</c:v>
                </c:pt>
                <c:pt idx="254">
                  <c:v>6.5187272180585942E-5</c:v>
                </c:pt>
                <c:pt idx="255">
                  <c:v>6.7437175813005659E-5</c:v>
                </c:pt>
                <c:pt idx="256">
                  <c:v>6.9821239924560221E-5</c:v>
                </c:pt>
                <c:pt idx="257">
                  <c:v>7.2340952152851262E-5</c:v>
                </c:pt>
                <c:pt idx="258">
                  <c:v>7.4997869182676151E-5</c:v>
                </c:pt>
                <c:pt idx="259">
                  <c:v>7.7793625876861221E-5</c:v>
                </c:pt>
                <c:pt idx="260">
                  <c:v>8.0728851743518018E-5</c:v>
                </c:pt>
                <c:pt idx="261">
                  <c:v>8.4118723945532994E-5</c:v>
                </c:pt>
                <c:pt idx="262">
                  <c:v>8.787960703709964E-5</c:v>
                </c:pt>
                <c:pt idx="263">
                  <c:v>9.2014196433610538E-5</c:v>
                </c:pt>
                <c:pt idx="264">
                  <c:v>9.6525143856245778E-5</c:v>
                </c:pt>
                <c:pt idx="265">
                  <c:v>1.0141558611780928E-4</c:v>
                </c:pt>
                <c:pt idx="266">
                  <c:v>1.0668842312814508E-4</c:v>
                </c:pt>
                <c:pt idx="267">
                  <c:v>1.1236131066167285E-4</c:v>
                </c:pt>
                <c:pt idx="268">
                  <c:v>1.183987154585472E-4</c:v>
                </c:pt>
                <c:pt idx="269">
                  <c:v>1.248026690406216E-4</c:v>
                </c:pt>
                <c:pt idx="270">
                  <c:v>1.3157507077293028E-4</c:v>
                </c:pt>
                <c:pt idx="271">
                  <c:v>1.3871767482239304E-4</c:v>
                </c:pt>
                <c:pt idx="272">
                  <c:v>1.4623207803400728E-4</c:v>
                </c:pt>
                <c:pt idx="273">
                  <c:v>1.5411970897979667E-4</c:v>
                </c:pt>
                <c:pt idx="274">
                  <c:v>1.6238426346238148E-4</c:v>
                </c:pt>
                <c:pt idx="275">
                  <c:v>1.7050234265469208E-4</c:v>
                </c:pt>
                <c:pt idx="276">
                  <c:v>1.7814329561969037E-4</c:v>
                </c:pt>
                <c:pt idx="277">
                  <c:v>1.8530167423276794E-4</c:v>
                </c:pt>
                <c:pt idx="278">
                  <c:v>1.9197192196558215E-4</c:v>
                </c:pt>
                <c:pt idx="279">
                  <c:v>1.9814841613616073E-4</c:v>
                </c:pt>
                <c:pt idx="280">
                  <c:v>2.0382551057746787E-4</c:v>
                </c:pt>
                <c:pt idx="281">
                  <c:v>2.0878334539371952E-4</c:v>
                </c:pt>
                <c:pt idx="282">
                  <c:v>2.1299913612723179E-4</c:v>
                </c:pt>
                <c:pt idx="283">
                  <c:v>2.1646597632921671E-4</c:v>
                </c:pt>
                <c:pt idx="284">
                  <c:v>2.1917720283725646E-4</c:v>
                </c:pt>
                <c:pt idx="285">
                  <c:v>2.2112644840481137E-4</c:v>
                </c:pt>
                <c:pt idx="286">
                  <c:v>2.2230769185803596E-4</c:v>
                </c:pt>
                <c:pt idx="287">
                  <c:v>2.2271530532390883E-4</c:v>
                </c:pt>
                <c:pt idx="288">
                  <c:v>2.2234595364653258E-4</c:v>
                </c:pt>
                <c:pt idx="289">
                  <c:v>2.2126427616200951E-4</c:v>
                </c:pt>
                <c:pt idx="290">
                  <c:v>2.200121043744724E-4</c:v>
                </c:pt>
                <c:pt idx="291">
                  <c:v>2.1859021036205425E-4</c:v>
                </c:pt>
                <c:pt idx="292">
                  <c:v>2.1699952756958009E-4</c:v>
                </c:pt>
                <c:pt idx="293">
                  <c:v>2.1524113988775944E-4</c:v>
                </c:pt>
                <c:pt idx="294">
                  <c:v>2.1331626857559838E-4</c:v>
                </c:pt>
                <c:pt idx="295">
                  <c:v>2.1126848180772064E-4</c:v>
                </c:pt>
                <c:pt idx="296">
                  <c:v>2.0932176803511443E-4</c:v>
                </c:pt>
                <c:pt idx="297">
                  <c:v>2.0748038964948562E-4</c:v>
                </c:pt>
                <c:pt idx="298">
                  <c:v>2.0574691989906109E-4</c:v>
                </c:pt>
                <c:pt idx="299">
                  <c:v>2.0412401414978377E-4</c:v>
                </c:pt>
                <c:pt idx="300">
                  <c:v>2.0261441683387907E-4</c:v>
                </c:pt>
                <c:pt idx="301">
                  <c:v>2.0122096932204185E-4</c:v>
                </c:pt>
                <c:pt idx="302">
                  <c:v>1.9996243028449541E-4</c:v>
                </c:pt>
                <c:pt idx="303">
                  <c:v>1.9891113547755167E-4</c:v>
                </c:pt>
                <c:pt idx="304">
                  <c:v>1.9799456760020929E-4</c:v>
                </c:pt>
                <c:pt idx="305">
                  <c:v>1.9720776030135166E-4</c:v>
                </c:pt>
                <c:pt idx="306">
                  <c:v>1.9654579526475805E-4</c:v>
                </c:pt>
                <c:pt idx="307">
                  <c:v>1.9600374507905644E-4</c:v>
                </c:pt>
                <c:pt idx="308">
                  <c:v>1.9557661730762804E-4</c:v>
                </c:pt>
                <c:pt idx="309">
                  <c:v>1.9545067910811816E-4</c:v>
                </c:pt>
                <c:pt idx="310">
                  <c:v>1.9557871281036893E-4</c:v>
                </c:pt>
                <c:pt idx="311">
                  <c:v>1.9595637431340824E-4</c:v>
                </c:pt>
                <c:pt idx="312">
                  <c:v>1.9657898380980512E-4</c:v>
                </c:pt>
                <c:pt idx="313">
                  <c:v>1.9744142301993209E-4</c:v>
                </c:pt>
                <c:pt idx="314">
                  <c:v>1.9853803105896606E-4</c:v>
                </c:pt>
                <c:pt idx="315">
                  <c:v>1.9986249992373189E-4</c:v>
                </c:pt>
                <c:pt idx="316">
                  <c:v>2.0143622342708574E-4</c:v>
                </c:pt>
                <c:pt idx="317">
                  <c:v>2.0324221972993259E-4</c:v>
                </c:pt>
                <c:pt idx="318">
                  <c:v>2.0522056421720992E-4</c:v>
                </c:pt>
                <c:pt idx="319">
                  <c:v>2.0737196021084267E-4</c:v>
                </c:pt>
                <c:pt idx="320">
                  <c:v>2.0969697812679524E-4</c:v>
                </c:pt>
                <c:pt idx="321">
                  <c:v>2.1219602480065136E-4</c:v>
                </c:pt>
                <c:pt idx="322">
                  <c:v>2.1486931040638182E-4</c:v>
                </c:pt>
                <c:pt idx="323">
                  <c:v>2.1743332816212337E-4</c:v>
                </c:pt>
                <c:pt idx="324">
                  <c:v>2.1968705782968815E-4</c:v>
                </c:pt>
                <c:pt idx="325">
                  <c:v>2.2162605804131039E-4</c:v>
                </c:pt>
                <c:pt idx="326">
                  <c:v>2.2324410422098053E-4</c:v>
                </c:pt>
                <c:pt idx="327">
                  <c:v>2.2453549125639206E-4</c:v>
                </c:pt>
                <c:pt idx="328">
                  <c:v>2.2549531761306368E-4</c:v>
                </c:pt>
                <c:pt idx="329">
                  <c:v>2.2611838078082173E-4</c:v>
                </c:pt>
                <c:pt idx="330">
                  <c:v>2.2643789712442603E-4</c:v>
                </c:pt>
                <c:pt idx="331">
                  <c:v>2.2664150359482562E-4</c:v>
                </c:pt>
                <c:pt idx="332">
                  <c:v>2.2676081948654869E-4</c:v>
                </c:pt>
                <c:pt idx="333">
                  <c:v>2.2678131579449999E-4</c:v>
                </c:pt>
                <c:pt idx="334">
                  <c:v>2.2668768901732065E-4</c:v>
                </c:pt>
                <c:pt idx="335">
                  <c:v>2.2646392853017947E-4</c:v>
                </c:pt>
                <c:pt idx="336">
                  <c:v>2.2609341154523292E-4</c:v>
                </c:pt>
                <c:pt idx="337">
                  <c:v>2.256612788370766E-4</c:v>
                </c:pt>
                <c:pt idx="338">
                  <c:v>2.2544728144152808E-4</c:v>
                </c:pt>
                <c:pt idx="339">
                  <c:v>2.2543706615763811E-4</c:v>
                </c:pt>
                <c:pt idx="340">
                  <c:v>2.2561551982531135E-4</c:v>
                </c:pt>
                <c:pt idx="341">
                  <c:v>2.2596670091008138E-4</c:v>
                </c:pt>
                <c:pt idx="342">
                  <c:v>2.264737951785774E-4</c:v>
                </c:pt>
                <c:pt idx="343">
                  <c:v>2.2711909898313592E-4</c:v>
                </c:pt>
                <c:pt idx="344">
                  <c:v>2.2791320532154243E-4</c:v>
                </c:pt>
                <c:pt idx="345">
                  <c:v>2.2887988260679321E-4</c:v>
                </c:pt>
                <c:pt idx="346">
                  <c:v>2.2974763911682674E-4</c:v>
                </c:pt>
                <c:pt idx="347">
                  <c:v>2.3051802868947563E-4</c:v>
                </c:pt>
                <c:pt idx="348">
                  <c:v>2.3119295194811489E-4</c:v>
                </c:pt>
                <c:pt idx="349">
                  <c:v>2.317746414301831E-4</c:v>
                </c:pt>
                <c:pt idx="350">
                  <c:v>2.322656444771271E-4</c:v>
                </c:pt>
                <c:pt idx="351">
                  <c:v>2.3256296374133401E-4</c:v>
                </c:pt>
                <c:pt idx="352">
                  <c:v>2.3256816973961589E-4</c:v>
                </c:pt>
                <c:pt idx="353">
                  <c:v>2.3228661978204115E-4</c:v>
                </c:pt>
                <c:pt idx="354">
                  <c:v>2.3172426156060149E-4</c:v>
                </c:pt>
                <c:pt idx="355">
                  <c:v>2.3088756955215667E-4</c:v>
                </c:pt>
                <c:pt idx="356">
                  <c:v>2.297804127579724E-4</c:v>
                </c:pt>
                <c:pt idx="357">
                  <c:v>2.2841300405584334E-4</c:v>
                </c:pt>
                <c:pt idx="358">
                  <c:v>2.2675102431832166E-4</c:v>
                </c:pt>
                <c:pt idx="359">
                  <c:v>2.2476827092204367E-4</c:v>
                </c:pt>
                <c:pt idx="360">
                  <c:v>2.2258286649941246E-4</c:v>
                </c:pt>
                <c:pt idx="361">
                  <c:v>2.2031381606758813E-4</c:v>
                </c:pt>
                <c:pt idx="362">
                  <c:v>2.1797647996881929E-4</c:v>
                </c:pt>
                <c:pt idx="363">
                  <c:v>2.155856615342519E-4</c:v>
                </c:pt>
                <c:pt idx="364">
                  <c:v>2.1315552278195697E-4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2024"/>
        <c:axId val="237902416"/>
      </c:lineChart>
      <c:dateAx>
        <c:axId val="2379020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2416"/>
        <c:crosses val="autoZero"/>
        <c:auto val="1"/>
        <c:lblOffset val="100"/>
        <c:baseTimeUnit val="days"/>
        <c:majorUnit val="1"/>
        <c:majorTimeUnit val="months"/>
      </c:dateAx>
      <c:valAx>
        <c:axId val="2379024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20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25.854644247858399</c:v>
                </c:pt>
                <c:pt idx="1">
                  <c:v>26.043455633746767</c:v>
                </c:pt>
                <c:pt idx="2">
                  <c:v>26.237546931568939</c:v>
                </c:pt>
                <c:pt idx="3">
                  <c:v>26.435500424692641</c:v>
                </c:pt>
                <c:pt idx="4">
                  <c:v>26.63589912851975</c:v>
                </c:pt>
                <c:pt idx="5">
                  <c:v>26.837326782638176</c:v>
                </c:pt>
                <c:pt idx="6">
                  <c:v>27.03836785405521</c:v>
                </c:pt>
                <c:pt idx="7">
                  <c:v>27.237607535526987</c:v>
                </c:pt>
                <c:pt idx="8">
                  <c:v>27.43669328463038</c:v>
                </c:pt>
                <c:pt idx="9">
                  <c:v>27.638440895259265</c:v>
                </c:pt>
                <c:pt idx="10">
                  <c:v>27.843180223607732</c:v>
                </c:pt>
                <c:pt idx="11">
                  <c:v>28.051238455880075</c:v>
                </c:pt>
                <c:pt idx="12">
                  <c:v>28.262942582407891</c:v>
                </c:pt>
                <c:pt idx="13">
                  <c:v>28.478619404875307</c:v>
                </c:pt>
                <c:pt idx="14">
                  <c:v>28.698595536455308</c:v>
                </c:pt>
                <c:pt idx="15">
                  <c:v>28.923198527704532</c:v>
                </c:pt>
                <c:pt idx="16">
                  <c:v>29.152758589489984</c:v>
                </c:pt>
                <c:pt idx="17">
                  <c:v>29.387601780735096</c:v>
                </c:pt>
                <c:pt idx="18">
                  <c:v>29.628053981878438</c:v>
                </c:pt>
                <c:pt idx="19">
                  <c:v>29.874440863051223</c:v>
                </c:pt>
                <c:pt idx="20">
                  <c:v>30.12708790582802</c:v>
                </c:pt>
                <c:pt idx="21">
                  <c:v>30.386320445899816</c:v>
                </c:pt>
                <c:pt idx="22">
                  <c:v>30.653959309521813</c:v>
                </c:pt>
                <c:pt idx="23">
                  <c:v>30.930888567378407</c:v>
                </c:pt>
                <c:pt idx="24">
                  <c:v>31.216029054489567</c:v>
                </c:pt>
                <c:pt idx="25">
                  <c:v>31.508309336500218</c:v>
                </c:pt>
                <c:pt idx="26">
                  <c:v>31.806658550918204</c:v>
                </c:pt>
                <c:pt idx="27">
                  <c:v>32.110006417601319</c:v>
                </c:pt>
                <c:pt idx="28">
                  <c:v>32.417283227771918</c:v>
                </c:pt>
                <c:pt idx="29">
                  <c:v>32.727418291907561</c:v>
                </c:pt>
                <c:pt idx="30">
                  <c:v>33.039341934810984</c:v>
                </c:pt>
                <c:pt idx="31">
                  <c:v>33.351986186352867</c:v>
                </c:pt>
                <c:pt idx="32">
                  <c:v>33.66428365600153</c:v>
                </c:pt>
                <c:pt idx="33">
                  <c:v>33.975167531960281</c:v>
                </c:pt>
                <c:pt idx="34">
                  <c:v>34.283571581699483</c:v>
                </c:pt>
                <c:pt idx="35">
                  <c:v>34.588430150583591</c:v>
                </c:pt>
                <c:pt idx="36">
                  <c:v>34.892395114165666</c:v>
                </c:pt>
                <c:pt idx="37">
                  <c:v>35.198503644762425</c:v>
                </c:pt>
                <c:pt idx="38">
                  <c:v>35.50627537094239</c:v>
                </c:pt>
                <c:pt idx="39">
                  <c:v>35.815225191117648</c:v>
                </c:pt>
                <c:pt idx="40">
                  <c:v>36.124868272729429</c:v>
                </c:pt>
                <c:pt idx="41">
                  <c:v>36.43472004854366</c:v>
                </c:pt>
                <c:pt idx="42">
                  <c:v>36.744296215355448</c:v>
                </c:pt>
                <c:pt idx="43">
                  <c:v>37.053110933623465</c:v>
                </c:pt>
                <c:pt idx="44">
                  <c:v>37.360681983062115</c:v>
                </c:pt>
                <c:pt idx="45">
                  <c:v>37.666525833076413</c:v>
                </c:pt>
                <c:pt idx="46">
                  <c:v>37.970159203549386</c:v>
                </c:pt>
                <c:pt idx="47">
                  <c:v>38.271099060073261</c:v>
                </c:pt>
                <c:pt idx="48">
                  <c:v>38.568862612536385</c:v>
                </c:pt>
                <c:pt idx="49">
                  <c:v>38.862967307304984</c:v>
                </c:pt>
                <c:pt idx="50">
                  <c:v>39.15393095674677</c:v>
                </c:pt>
                <c:pt idx="51">
                  <c:v>39.442664099505073</c:v>
                </c:pt>
                <c:pt idx="52">
                  <c:v>39.729265693212874</c:v>
                </c:pt>
                <c:pt idx="53">
                  <c:v>40.013833490448391</c:v>
                </c:pt>
                <c:pt idx="54">
                  <c:v>40.296465134830918</c:v>
                </c:pt>
                <c:pt idx="55">
                  <c:v>40.577258186052411</c:v>
                </c:pt>
                <c:pt idx="56">
                  <c:v>40.856310118661902</c:v>
                </c:pt>
                <c:pt idx="57">
                  <c:v>41.133733148207398</c:v>
                </c:pt>
                <c:pt idx="58">
                  <c:v>41.409626409016873</c:v>
                </c:pt>
                <c:pt idx="59">
                  <c:v>41.684087135381034</c:v>
                </c:pt>
                <c:pt idx="60">
                  <c:v>41.957212467448706</c:v>
                </c:pt>
                <c:pt idx="61">
                  <c:v>42.22909945113269</c:v>
                </c:pt>
                <c:pt idx="62">
                  <c:v>42.499845034844761</c:v>
                </c:pt>
                <c:pt idx="63">
                  <c:v>42.76954606950715</c:v>
                </c:pt>
                <c:pt idx="64">
                  <c:v>43.038685756647823</c:v>
                </c:pt>
                <c:pt idx="65">
                  <c:v>43.307488961431964</c:v>
                </c:pt>
                <c:pt idx="66">
                  <c:v>43.575659711042306</c:v>
                </c:pt>
                <c:pt idx="67">
                  <c:v>43.84290810030155</c:v>
                </c:pt>
                <c:pt idx="68">
                  <c:v>44.108944325122494</c:v>
                </c:pt>
                <c:pt idx="69">
                  <c:v>44.373478682961775</c:v>
                </c:pt>
                <c:pt idx="70">
                  <c:v>44.63622157318062</c:v>
                </c:pt>
                <c:pt idx="71">
                  <c:v>44.896874183830427</c:v>
                </c:pt>
                <c:pt idx="72">
                  <c:v>45.155132055739848</c:v>
                </c:pt>
                <c:pt idx="73">
                  <c:v>45.410705807720412</c:v>
                </c:pt>
                <c:pt idx="74">
                  <c:v>45.663306157424536</c:v>
                </c:pt>
                <c:pt idx="75">
                  <c:v>45.912643926967519</c:v>
                </c:pt>
                <c:pt idx="76">
                  <c:v>46.158430037607651</c:v>
                </c:pt>
                <c:pt idx="77">
                  <c:v>46.40037551867217</c:v>
                </c:pt>
                <c:pt idx="78">
                  <c:v>46.640377432608851</c:v>
                </c:pt>
                <c:pt idx="79">
                  <c:v>46.880073560704162</c:v>
                </c:pt>
                <c:pt idx="80">
                  <c:v>47.118788450048555</c:v>
                </c:pt>
                <c:pt idx="81">
                  <c:v>47.355846522129468</c:v>
                </c:pt>
                <c:pt idx="82">
                  <c:v>47.59057251170514</c:v>
                </c:pt>
                <c:pt idx="83">
                  <c:v>47.822291470730413</c:v>
                </c:pt>
                <c:pt idx="84">
                  <c:v>48.05032877455654</c:v>
                </c:pt>
                <c:pt idx="85">
                  <c:v>48.27400748409476</c:v>
                </c:pt>
                <c:pt idx="86">
                  <c:v>48.492663202043445</c:v>
                </c:pt>
                <c:pt idx="87">
                  <c:v>48.705622353969822</c:v>
                </c:pt>
                <c:pt idx="88">
                  <c:v>48.912211713412631</c:v>
                </c:pt>
                <c:pt idx="89">
                  <c:v>49.111758403104091</c:v>
                </c:pt>
                <c:pt idx="90">
                  <c:v>49.303589908576555</c:v>
                </c:pt>
                <c:pt idx="91">
                  <c:v>49.487034074825132</c:v>
                </c:pt>
                <c:pt idx="92">
                  <c:v>49.662060861012847</c:v>
                </c:pt>
                <c:pt idx="93">
                  <c:v>49.829400941964721</c:v>
                </c:pt>
                <c:pt idx="94">
                  <c:v>49.989538343704346</c:v>
                </c:pt>
                <c:pt idx="95">
                  <c:v>50.142955687774297</c:v>
                </c:pt>
                <c:pt idx="96">
                  <c:v>50.290135349527361</c:v>
                </c:pt>
                <c:pt idx="97">
                  <c:v>50.431559460424722</c:v>
                </c:pt>
                <c:pt idx="98">
                  <c:v>50.567709901853249</c:v>
                </c:pt>
                <c:pt idx="99">
                  <c:v>50.699048266882954</c:v>
                </c:pt>
                <c:pt idx="100">
                  <c:v>50.82605840779032</c:v>
                </c:pt>
                <c:pt idx="101">
                  <c:v>50.949221140291563</c:v>
                </c:pt>
                <c:pt idx="102">
                  <c:v>51.069016998447182</c:v>
                </c:pt>
                <c:pt idx="103">
                  <c:v>51.185926238339228</c:v>
                </c:pt>
                <c:pt idx="104">
                  <c:v>51.300428835264611</c:v>
                </c:pt>
                <c:pt idx="105">
                  <c:v>51.413004478136401</c:v>
                </c:pt>
                <c:pt idx="106">
                  <c:v>51.523139779752263</c:v>
                </c:pt>
                <c:pt idx="107">
                  <c:v>51.62991648119538</c:v>
                </c:pt>
                <c:pt idx="108">
                  <c:v>51.733247828196312</c:v>
                </c:pt>
                <c:pt idx="109">
                  <c:v>51.833037134531487</c:v>
                </c:pt>
                <c:pt idx="110">
                  <c:v>51.929187729981614</c:v>
                </c:pt>
                <c:pt idx="111">
                  <c:v>52.02160297059558</c:v>
                </c:pt>
                <c:pt idx="112">
                  <c:v>52.110186250901286</c:v>
                </c:pt>
                <c:pt idx="113">
                  <c:v>52.194829135673878</c:v>
                </c:pt>
                <c:pt idx="114">
                  <c:v>52.275457159464658</c:v>
                </c:pt>
                <c:pt idx="115">
                  <c:v>52.351974110179242</c:v>
                </c:pt>
                <c:pt idx="116">
                  <c:v>52.424283838457683</c:v>
                </c:pt>
                <c:pt idx="117">
                  <c:v>52.492290259815036</c:v>
                </c:pt>
                <c:pt idx="118">
                  <c:v>52.555897361507434</c:v>
                </c:pt>
                <c:pt idx="119">
                  <c:v>55.003025170557372</c:v>
                </c:pt>
                <c:pt idx="120">
                  <c:v>55.058604968195688</c:v>
                </c:pt>
                <c:pt idx="121">
                  <c:v>55.108769867373546</c:v>
                </c:pt>
                <c:pt idx="122">
                  <c:v>55.153845362559842</c:v>
                </c:pt>
                <c:pt idx="123">
                  <c:v>55.194132372147365</c:v>
                </c:pt>
                <c:pt idx="124">
                  <c:v>55.229931581671437</c:v>
                </c:pt>
                <c:pt idx="125">
                  <c:v>55.261543446233389</c:v>
                </c:pt>
                <c:pt idx="126">
                  <c:v>55.289268195322357</c:v>
                </c:pt>
                <c:pt idx="127">
                  <c:v>55.313403992758083</c:v>
                </c:pt>
                <c:pt idx="128">
                  <c:v>55.334265141387391</c:v>
                </c:pt>
                <c:pt idx="129">
                  <c:v>55.352151699819046</c:v>
                </c:pt>
                <c:pt idx="130">
                  <c:v>55.367363544320057</c:v>
                </c:pt>
                <c:pt idx="131">
                  <c:v>55.380200381758783</c:v>
                </c:pt>
                <c:pt idx="132">
                  <c:v>55.390961751486167</c:v>
                </c:pt>
                <c:pt idx="133">
                  <c:v>55.399947034315325</c:v>
                </c:pt>
                <c:pt idx="134">
                  <c:v>55.406488883987478</c:v>
                </c:pt>
                <c:pt idx="135">
                  <c:v>55.409787850389307</c:v>
                </c:pt>
                <c:pt idx="136">
                  <c:v>55.409959027119719</c:v>
                </c:pt>
                <c:pt idx="137">
                  <c:v>55.407103157507528</c:v>
                </c:pt>
                <c:pt idx="138">
                  <c:v>55.401321024765934</c:v>
                </c:pt>
                <c:pt idx="139">
                  <c:v>55.392713458781351</c:v>
                </c:pt>
                <c:pt idx="140">
                  <c:v>55.381381346621311</c:v>
                </c:pt>
                <c:pt idx="141">
                  <c:v>55.367425079867033</c:v>
                </c:pt>
                <c:pt idx="142">
                  <c:v>55.350948182303824</c:v>
                </c:pt>
                <c:pt idx="143">
                  <c:v>55.332052092613608</c:v>
                </c:pt>
                <c:pt idx="144">
                  <c:v>55.310838031487215</c:v>
                </c:pt>
                <c:pt idx="145">
                  <c:v>55.287407288502976</c:v>
                </c:pt>
                <c:pt idx="146">
                  <c:v>55.261861229628821</c:v>
                </c:pt>
                <c:pt idx="147">
                  <c:v>55.234301295992822</c:v>
                </c:pt>
                <c:pt idx="148">
                  <c:v>55.204795756418321</c:v>
                </c:pt>
                <c:pt idx="149">
                  <c:v>55.173309702201436</c:v>
                </c:pt>
                <c:pt idx="150">
                  <c:v>55.139745846169987</c:v>
                </c:pt>
                <c:pt idx="151">
                  <c:v>55.104007916702216</c:v>
                </c:pt>
                <c:pt idx="152">
                  <c:v>55.065999865112268</c:v>
                </c:pt>
                <c:pt idx="153">
                  <c:v>55.025625857311212</c:v>
                </c:pt>
                <c:pt idx="154">
                  <c:v>54.982790266036737</c:v>
                </c:pt>
                <c:pt idx="155">
                  <c:v>54.937453169802154</c:v>
                </c:pt>
                <c:pt idx="156">
                  <c:v>54.889522085340467</c:v>
                </c:pt>
                <c:pt idx="157">
                  <c:v>54.838904054425626</c:v>
                </c:pt>
                <c:pt idx="158">
                  <c:v>54.785506269917754</c:v>
                </c:pt>
                <c:pt idx="159">
                  <c:v>54.729236059397273</c:v>
                </c:pt>
                <c:pt idx="160">
                  <c:v>54.670000860444226</c:v>
                </c:pt>
                <c:pt idx="161">
                  <c:v>54.607708201862977</c:v>
                </c:pt>
                <c:pt idx="162">
                  <c:v>54.541652041498473</c:v>
                </c:pt>
                <c:pt idx="163">
                  <c:v>54.471508828209117</c:v>
                </c:pt>
                <c:pt idx="164">
                  <c:v>54.397650056165503</c:v>
                </c:pt>
                <c:pt idx="165">
                  <c:v>54.320481352760922</c:v>
                </c:pt>
                <c:pt idx="166">
                  <c:v>54.240407965831757</c:v>
                </c:pt>
                <c:pt idx="167">
                  <c:v>54.157834749452881</c:v>
                </c:pt>
                <c:pt idx="168">
                  <c:v>54.073166136529522</c:v>
                </c:pt>
                <c:pt idx="169">
                  <c:v>53.986859743267495</c:v>
                </c:pt>
                <c:pt idx="170">
                  <c:v>53.899255106163785</c:v>
                </c:pt>
                <c:pt idx="171">
                  <c:v>53.81075495065641</c:v>
                </c:pt>
                <c:pt idx="172">
                  <c:v>53.721761525955756</c:v>
                </c:pt>
                <c:pt idx="173">
                  <c:v>53.632677857371519</c:v>
                </c:pt>
                <c:pt idx="174">
                  <c:v>53.543906575715994</c:v>
                </c:pt>
                <c:pt idx="175">
                  <c:v>53.455848584939815</c:v>
                </c:pt>
                <c:pt idx="176">
                  <c:v>53.367911549371804</c:v>
                </c:pt>
                <c:pt idx="177">
                  <c:v>53.279308195545532</c:v>
                </c:pt>
                <c:pt idx="178">
                  <c:v>53.189985676516116</c:v>
                </c:pt>
                <c:pt idx="179">
                  <c:v>53.09994742957187</c:v>
                </c:pt>
                <c:pt idx="180">
                  <c:v>53.009196600706183</c:v>
                </c:pt>
                <c:pt idx="181">
                  <c:v>52.917736043674296</c:v>
                </c:pt>
                <c:pt idx="182">
                  <c:v>52.825568323788993</c:v>
                </c:pt>
                <c:pt idx="183">
                  <c:v>52.732737667906655</c:v>
                </c:pt>
                <c:pt idx="184">
                  <c:v>52.639186562751448</c:v>
                </c:pt>
                <c:pt idx="185">
                  <c:v>52.544916402945631</c:v>
                </c:pt>
                <c:pt idx="186">
                  <c:v>52.449928347402782</c:v>
                </c:pt>
                <c:pt idx="187">
                  <c:v>52.354223330115673</c:v>
                </c:pt>
                <c:pt idx="188">
                  <c:v>52.257802072858539</c:v>
                </c:pt>
                <c:pt idx="189">
                  <c:v>52.160665098956486</c:v>
                </c:pt>
                <c:pt idx="190">
                  <c:v>52.062383571701375</c:v>
                </c:pt>
                <c:pt idx="191">
                  <c:v>51.962659888570691</c:v>
                </c:pt>
                <c:pt idx="192">
                  <c:v>51.861616395975332</c:v>
                </c:pt>
                <c:pt idx="193">
                  <c:v>51.759450244994149</c:v>
                </c:pt>
                <c:pt idx="194">
                  <c:v>51.6563584094798</c:v>
                </c:pt>
                <c:pt idx="195">
                  <c:v>51.552537698049917</c:v>
                </c:pt>
                <c:pt idx="196">
                  <c:v>51.448184767658411</c:v>
                </c:pt>
                <c:pt idx="197">
                  <c:v>51.343497356156554</c:v>
                </c:pt>
                <c:pt idx="198">
                  <c:v>51.238626909628579</c:v>
                </c:pt>
                <c:pt idx="199">
                  <c:v>51.133769274322482</c:v>
                </c:pt>
                <c:pt idx="200">
                  <c:v>51.029120222063725</c:v>
                </c:pt>
                <c:pt idx="201">
                  <c:v>50.924875456507138</c:v>
                </c:pt>
                <c:pt idx="202">
                  <c:v>50.821230618970226</c:v>
                </c:pt>
                <c:pt idx="203">
                  <c:v>50.718381293578069</c:v>
                </c:pt>
                <c:pt idx="204">
                  <c:v>50.616243165896471</c:v>
                </c:pt>
                <c:pt idx="205">
                  <c:v>50.514530674698719</c:v>
                </c:pt>
                <c:pt idx="206">
                  <c:v>50.413144231175451</c:v>
                </c:pt>
                <c:pt idx="207">
                  <c:v>50.311983433316144</c:v>
                </c:pt>
                <c:pt idx="208">
                  <c:v>50.21094801416735</c:v>
                </c:pt>
                <c:pt idx="209">
                  <c:v>50.109937841397503</c:v>
                </c:pt>
                <c:pt idx="210">
                  <c:v>50.008852916435785</c:v>
                </c:pt>
                <c:pt idx="211">
                  <c:v>49.907565501227531</c:v>
                </c:pt>
                <c:pt idx="212">
                  <c:v>49.805974445574471</c:v>
                </c:pt>
                <c:pt idx="213">
                  <c:v>49.703980003465396</c:v>
                </c:pt>
                <c:pt idx="214">
                  <c:v>49.601482568519863</c:v>
                </c:pt>
                <c:pt idx="215">
                  <c:v>49.498382670761124</c:v>
                </c:pt>
                <c:pt idx="216">
                  <c:v>49.394580971892466</c:v>
                </c:pt>
                <c:pt idx="217">
                  <c:v>49.289978262456465</c:v>
                </c:pt>
                <c:pt idx="218">
                  <c:v>49.184545524294919</c:v>
                </c:pt>
                <c:pt idx="219">
                  <c:v>49.078343371103962</c:v>
                </c:pt>
                <c:pt idx="220">
                  <c:v>48.971456600636664</c:v>
                </c:pt>
                <c:pt idx="221">
                  <c:v>48.863966131197415</c:v>
                </c:pt>
                <c:pt idx="222">
                  <c:v>48.755952887589146</c:v>
                </c:pt>
                <c:pt idx="223">
                  <c:v>48.647497797969606</c:v>
                </c:pt>
                <c:pt idx="224">
                  <c:v>48.538681791127487</c:v>
                </c:pt>
                <c:pt idx="225">
                  <c:v>48.429529137776932</c:v>
                </c:pt>
                <c:pt idx="226">
                  <c:v>48.320149019241114</c:v>
                </c:pt>
                <c:pt idx="227">
                  <c:v>48.210622297049426</c:v>
                </c:pt>
                <c:pt idx="228">
                  <c:v>48.101029831847939</c:v>
                </c:pt>
                <c:pt idx="229">
                  <c:v>47.991452480835441</c:v>
                </c:pt>
                <c:pt idx="230">
                  <c:v>47.88197109620836</c:v>
                </c:pt>
                <c:pt idx="231">
                  <c:v>47.772666523265414</c:v>
                </c:pt>
                <c:pt idx="232">
                  <c:v>47.664406754304622</c:v>
                </c:pt>
                <c:pt idx="233">
                  <c:v>47.557642957173854</c:v>
                </c:pt>
                <c:pt idx="234">
                  <c:v>47.451947969044035</c:v>
                </c:pt>
                <c:pt idx="235">
                  <c:v>47.346864216732413</c:v>
                </c:pt>
                <c:pt idx="236">
                  <c:v>47.24193445791682</c:v>
                </c:pt>
                <c:pt idx="237">
                  <c:v>47.136701789802494</c:v>
                </c:pt>
                <c:pt idx="238">
                  <c:v>47.03070963963431</c:v>
                </c:pt>
                <c:pt idx="239">
                  <c:v>46.923474221704879</c:v>
                </c:pt>
                <c:pt idx="240">
                  <c:v>46.814596566279491</c:v>
                </c:pt>
                <c:pt idx="241">
                  <c:v>46.703621071890829</c:v>
                </c:pt>
                <c:pt idx="242">
                  <c:v>46.590092450280729</c:v>
                </c:pt>
                <c:pt idx="243">
                  <c:v>46.473555727322498</c:v>
                </c:pt>
                <c:pt idx="244">
                  <c:v>46.353556239629178</c:v>
                </c:pt>
                <c:pt idx="245">
                  <c:v>46.229639636271543</c:v>
                </c:pt>
                <c:pt idx="246">
                  <c:v>46.103134018704701</c:v>
                </c:pt>
                <c:pt idx="247">
                  <c:v>45.975465224934261</c:v>
                </c:pt>
                <c:pt idx="248">
                  <c:v>45.846395331342862</c:v>
                </c:pt>
                <c:pt idx="249">
                  <c:v>45.715629128845698</c:v>
                </c:pt>
                <c:pt idx="250">
                  <c:v>45.582871611159533</c:v>
                </c:pt>
                <c:pt idx="251">
                  <c:v>45.447827970646713</c:v>
                </c:pt>
                <c:pt idx="252">
                  <c:v>45.310203602608787</c:v>
                </c:pt>
                <c:pt idx="253">
                  <c:v>45.169700680233014</c:v>
                </c:pt>
                <c:pt idx="254">
                  <c:v>45.026052337827515</c:v>
                </c:pt>
                <c:pt idx="255">
                  <c:v>44.878964494290926</c:v>
                </c:pt>
                <c:pt idx="256">
                  <c:v>44.72814325544298</c:v>
                </c:pt>
                <c:pt idx="257">
                  <c:v>44.573294908538969</c:v>
                </c:pt>
                <c:pt idx="258">
                  <c:v>44.414125927201965</c:v>
                </c:pt>
                <c:pt idx="259">
                  <c:v>44.250342960984369</c:v>
                </c:pt>
                <c:pt idx="260">
                  <c:v>44.082249849621242</c:v>
                </c:pt>
                <c:pt idx="261">
                  <c:v>43.910362440923414</c:v>
                </c:pt>
                <c:pt idx="262">
                  <c:v>43.734756485533921</c:v>
                </c:pt>
                <c:pt idx="263">
                  <c:v>43.555499794765424</c:v>
                </c:pt>
                <c:pt idx="264">
                  <c:v>43.372660150379147</c:v>
                </c:pt>
                <c:pt idx="265">
                  <c:v>43.186305251822979</c:v>
                </c:pt>
                <c:pt idx="266">
                  <c:v>42.99650278748922</c:v>
                </c:pt>
                <c:pt idx="267">
                  <c:v>42.803319097212558</c:v>
                </c:pt>
                <c:pt idx="268">
                  <c:v>42.606825182828935</c:v>
                </c:pt>
                <c:pt idx="269">
                  <c:v>42.407088644724169</c:v>
                </c:pt>
                <c:pt idx="270">
                  <c:v>42.204177040185492</c:v>
                </c:pt>
                <c:pt idx="271">
                  <c:v>41.998157880090055</c:v>
                </c:pt>
                <c:pt idx="272">
                  <c:v>41.789098630819197</c:v>
                </c:pt>
                <c:pt idx="273">
                  <c:v>41.577066707880071</c:v>
                </c:pt>
                <c:pt idx="274">
                  <c:v>41.361506457110153</c:v>
                </c:pt>
                <c:pt idx="275">
                  <c:v>41.142004897920224</c:v>
                </c:pt>
                <c:pt idx="276">
                  <c:v>40.91880344190146</c:v>
                </c:pt>
                <c:pt idx="277">
                  <c:v>40.692115383472533</c:v>
                </c:pt>
                <c:pt idx="278">
                  <c:v>40.462153804964821</c:v>
                </c:pt>
                <c:pt idx="279">
                  <c:v>40.22913157812544</c:v>
                </c:pt>
                <c:pt idx="280">
                  <c:v>39.993261356857104</c:v>
                </c:pt>
                <c:pt idx="281">
                  <c:v>39.754773126431331</c:v>
                </c:pt>
                <c:pt idx="282">
                  <c:v>39.513880174109964</c:v>
                </c:pt>
                <c:pt idx="283">
                  <c:v>39.270794246795589</c:v>
                </c:pt>
                <c:pt idx="284">
                  <c:v>39.0257268484688</c:v>
                </c:pt>
                <c:pt idx="285">
                  <c:v>38.778889241332017</c:v>
                </c:pt>
                <c:pt idx="286">
                  <c:v>38.530492446648658</c:v>
                </c:pt>
                <c:pt idx="287">
                  <c:v>38.280747244977384</c:v>
                </c:pt>
                <c:pt idx="288">
                  <c:v>38.029546657919205</c:v>
                </c:pt>
                <c:pt idx="289">
                  <c:v>37.776572391726745</c:v>
                </c:pt>
                <c:pt idx="290">
                  <c:v>37.521683815207311</c:v>
                </c:pt>
                <c:pt idx="291">
                  <c:v>37.26478292535451</c:v>
                </c:pt>
                <c:pt idx="292">
                  <c:v>37.005771686075256</c:v>
                </c:pt>
                <c:pt idx="293">
                  <c:v>36.74455203128614</c:v>
                </c:pt>
                <c:pt idx="294">
                  <c:v>36.481025867250949</c:v>
                </c:pt>
                <c:pt idx="295">
                  <c:v>36.215091931434642</c:v>
                </c:pt>
                <c:pt idx="296">
                  <c:v>35.946635701649789</c:v>
                </c:pt>
                <c:pt idx="297">
                  <c:v>35.675559279976028</c:v>
                </c:pt>
                <c:pt idx="298">
                  <c:v>35.401764900422577</c:v>
                </c:pt>
                <c:pt idx="299">
                  <c:v>35.125154807600332</c:v>
                </c:pt>
                <c:pt idx="300">
                  <c:v>34.845631257533867</c:v>
                </c:pt>
                <c:pt idx="301">
                  <c:v>34.563096525101443</c:v>
                </c:pt>
                <c:pt idx="302">
                  <c:v>34.274741407429694</c:v>
                </c:pt>
                <c:pt idx="303">
                  <c:v>33.978727997792276</c:v>
                </c:pt>
                <c:pt idx="304">
                  <c:v>33.676425990328696</c:v>
                </c:pt>
                <c:pt idx="305">
                  <c:v>33.369199619105913</c:v>
                </c:pt>
                <c:pt idx="306">
                  <c:v>33.058412461976637</c:v>
                </c:pt>
                <c:pt idx="307">
                  <c:v>32.745427455513003</c:v>
                </c:pt>
                <c:pt idx="308">
                  <c:v>32.431606903609541</c:v>
                </c:pt>
                <c:pt idx="309">
                  <c:v>32.118299854667477</c:v>
                </c:pt>
                <c:pt idx="310">
                  <c:v>31.806870488525938</c:v>
                </c:pt>
                <c:pt idx="311">
                  <c:v>31.498679473625277</c:v>
                </c:pt>
                <c:pt idx="312">
                  <c:v>31.195086876893832</c:v>
                </c:pt>
                <c:pt idx="313">
                  <c:v>30.897452162606211</c:v>
                </c:pt>
                <c:pt idx="314">
                  <c:v>30.607134200867186</c:v>
                </c:pt>
                <c:pt idx="315">
                  <c:v>30.325491264355477</c:v>
                </c:pt>
                <c:pt idx="316">
                  <c:v>30.049634180147184</c:v>
                </c:pt>
                <c:pt idx="317">
                  <c:v>29.776029599944046</c:v>
                </c:pt>
                <c:pt idx="318">
                  <c:v>29.505068611889122</c:v>
                </c:pt>
                <c:pt idx="319">
                  <c:v>29.237138399999264</c:v>
                </c:pt>
                <c:pt idx="320">
                  <c:v>28.97262602588366</c:v>
                </c:pt>
                <c:pt idx="321">
                  <c:v>28.711918436731079</c:v>
                </c:pt>
                <c:pt idx="322">
                  <c:v>28.455402455085981</c:v>
                </c:pt>
                <c:pt idx="323">
                  <c:v>28.203481214668393</c:v>
                </c:pt>
                <c:pt idx="324">
                  <c:v>27.95655239565636</c:v>
                </c:pt>
                <c:pt idx="325">
                  <c:v>27.715001964496714</c:v>
                </c:pt>
                <c:pt idx="326">
                  <c:v>27.479215874852851</c:v>
                </c:pt>
                <c:pt idx="327">
                  <c:v>27.249579925966916</c:v>
                </c:pt>
                <c:pt idx="328">
                  <c:v>27.026479757961891</c:v>
                </c:pt>
                <c:pt idx="329">
                  <c:v>26.810300905560457</c:v>
                </c:pt>
                <c:pt idx="330">
                  <c:v>26.596881698465943</c:v>
                </c:pt>
                <c:pt idx="331">
                  <c:v>26.382895253158559</c:v>
                </c:pt>
                <c:pt idx="332">
                  <c:v>26.16998941453727</c:v>
                </c:pt>
                <c:pt idx="333">
                  <c:v>25.959813774225331</c:v>
                </c:pt>
                <c:pt idx="334">
                  <c:v>25.754017181866274</c:v>
                </c:pt>
                <c:pt idx="335">
                  <c:v>25.554247722577497</c:v>
                </c:pt>
                <c:pt idx="336">
                  <c:v>25.362152709736499</c:v>
                </c:pt>
                <c:pt idx="337">
                  <c:v>25.179373379229045</c:v>
                </c:pt>
                <c:pt idx="338">
                  <c:v>25.007540303803005</c:v>
                </c:pt>
                <c:pt idx="339">
                  <c:v>24.848298634498224</c:v>
                </c:pt>
                <c:pt idx="340">
                  <c:v>24.703292661443275</c:v>
                </c:pt>
                <c:pt idx="341">
                  <c:v>24.574165832563715</c:v>
                </c:pt>
                <c:pt idx="342">
                  <c:v>24.462560737786653</c:v>
                </c:pt>
                <c:pt idx="343">
                  <c:v>24.370119082994339</c:v>
                </c:pt>
                <c:pt idx="344">
                  <c:v>24.295370125901123</c:v>
                </c:pt>
                <c:pt idx="345">
                  <c:v>24.235435635872673</c:v>
                </c:pt>
                <c:pt idx="346">
                  <c:v>24.189859132158858</c:v>
                </c:pt>
                <c:pt idx="347">
                  <c:v>24.158170735377919</c:v>
                </c:pt>
                <c:pt idx="348">
                  <c:v>24.139900798429768</c:v>
                </c:pt>
                <c:pt idx="349">
                  <c:v>24.13457990097648</c:v>
                </c:pt>
                <c:pt idx="350">
                  <c:v>24.141738861789669</c:v>
                </c:pt>
                <c:pt idx="351">
                  <c:v>24.160913987148717</c:v>
                </c:pt>
                <c:pt idx="352">
                  <c:v>24.19164162944476</c:v>
                </c:pt>
                <c:pt idx="353">
                  <c:v>24.23345326305704</c:v>
                </c:pt>
                <c:pt idx="354">
                  <c:v>24.285880609208405</c:v>
                </c:pt>
                <c:pt idx="355">
                  <c:v>24.348455627278401</c:v>
                </c:pt>
                <c:pt idx="356">
                  <c:v>24.420710579996246</c:v>
                </c:pt>
                <c:pt idx="357">
                  <c:v>24.502177845787532</c:v>
                </c:pt>
                <c:pt idx="358">
                  <c:v>24.596832220481467</c:v>
                </c:pt>
                <c:pt idx="359">
                  <c:v>24.708018238771253</c:v>
                </c:pt>
                <c:pt idx="360">
                  <c:v>24.83431865333031</c:v>
                </c:pt>
                <c:pt idx="361">
                  <c:v>24.974316801771597</c:v>
                </c:pt>
                <c:pt idx="362">
                  <c:v>25.126601954434054</c:v>
                </c:pt>
                <c:pt idx="363">
                  <c:v>25.289764109629598</c:v>
                </c:pt>
                <c:pt idx="364">
                  <c:v>25.462393986962049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8.6560553959359492</c:v>
                </c:pt>
                <c:pt idx="1">
                  <c:v>2.9206024507437593</c:v>
                </c:pt>
                <c:pt idx="2">
                  <c:v>16.054647360913918</c:v>
                </c:pt>
                <c:pt idx="3">
                  <c:v>24.600334577179538</c:v>
                </c:pt>
                <c:pt idx="4">
                  <c:v>10.321989519159496</c:v>
                </c:pt>
                <c:pt idx="5">
                  <c:v>6.1023865562350252</c:v>
                </c:pt>
                <c:pt idx="6">
                  <c:v>16.679759543599605</c:v>
                </c:pt>
                <c:pt idx="7">
                  <c:v>6.8219173102204111</c:v>
                </c:pt>
                <c:pt idx="8">
                  <c:v>6.9031079468079923</c:v>
                </c:pt>
                <c:pt idx="9">
                  <c:v>23.731684078202662</c:v>
                </c:pt>
                <c:pt idx="10">
                  <c:v>4.790946526344829</c:v>
                </c:pt>
                <c:pt idx="11">
                  <c:v>23.042040449252266</c:v>
                </c:pt>
                <c:pt idx="12">
                  <c:v>12.735882937425798</c:v>
                </c:pt>
                <c:pt idx="13">
                  <c:v>18.223175494225096</c:v>
                </c:pt>
                <c:pt idx="14">
                  <c:v>6.4789770381147447</c:v>
                </c:pt>
                <c:pt idx="15">
                  <c:v>3.2725522620679994</c:v>
                </c:pt>
                <c:pt idx="16">
                  <c:v>5.9283778201804846</c:v>
                </c:pt>
                <c:pt idx="17">
                  <c:v>20.667726784781728</c:v>
                </c:pt>
                <c:pt idx="18">
                  <c:v>9.2956565917952112</c:v>
                </c:pt>
                <c:pt idx="19">
                  <c:v>17.873277157804569</c:v>
                </c:pt>
                <c:pt idx="20">
                  <c:v>4.9760883012287431</c:v>
                </c:pt>
                <c:pt idx="21">
                  <c:v>29.502392244364685</c:v>
                </c:pt>
                <c:pt idx="22">
                  <c:v>29.559730832709963</c:v>
                </c:pt>
                <c:pt idx="23">
                  <c:v>29.836400538957403</c:v>
                </c:pt>
                <c:pt idx="24">
                  <c:v>29.386440614616035</c:v>
                </c:pt>
                <c:pt idx="25">
                  <c:v>30.142283213190588</c:v>
                </c:pt>
                <c:pt idx="26">
                  <c:v>29.864433051270659</c:v>
                </c:pt>
                <c:pt idx="27">
                  <c:v>4.0456948365242615</c:v>
                </c:pt>
                <c:pt idx="28">
                  <c:v>6.0141846273388913</c:v>
                </c:pt>
                <c:pt idx="29">
                  <c:v>4.9312868225552533</c:v>
                </c:pt>
                <c:pt idx="30">
                  <c:v>6.7661125192716449</c:v>
                </c:pt>
                <c:pt idx="31">
                  <c:v>13.997530032840785</c:v>
                </c:pt>
                <c:pt idx="32">
                  <c:v>5.2673374206293131</c:v>
                </c:pt>
                <c:pt idx="33">
                  <c:v>11.52055576300938</c:v>
                </c:pt>
                <c:pt idx="34">
                  <c:v>11.048441169915884</c:v>
                </c:pt>
                <c:pt idx="35">
                  <c:v>10.438012215769902</c:v>
                </c:pt>
                <c:pt idx="36">
                  <c:v>23.033153082863763</c:v>
                </c:pt>
                <c:pt idx="37">
                  <c:v>9.0707481224372835</c:v>
                </c:pt>
                <c:pt idx="38">
                  <c:v>35.033498815926798</c:v>
                </c:pt>
                <c:pt idx="39">
                  <c:v>35.110369128068413</c:v>
                </c:pt>
                <c:pt idx="40">
                  <c:v>32.62159437348123</c:v>
                </c:pt>
                <c:pt idx="41">
                  <c:v>16.421151726976813</c:v>
                </c:pt>
                <c:pt idx="42">
                  <c:v>27.311373276436704</c:v>
                </c:pt>
                <c:pt idx="43">
                  <c:v>33.374831863835468</c:v>
                </c:pt>
                <c:pt idx="44">
                  <c:v>18.514311915082512</c:v>
                </c:pt>
                <c:pt idx="45">
                  <c:v>18.244688698516541</c:v>
                </c:pt>
                <c:pt idx="46">
                  <c:v>7.9350121332417487</c:v>
                </c:pt>
                <c:pt idx="47">
                  <c:v>9.2726930664386789</c:v>
                </c:pt>
                <c:pt idx="48">
                  <c:v>30.389725620186844</c:v>
                </c:pt>
                <c:pt idx="49">
                  <c:v>18.529628215055887</c:v>
                </c:pt>
                <c:pt idx="50">
                  <c:v>21.840519778999386</c:v>
                </c:pt>
                <c:pt idx="51">
                  <c:v>21.504255106628765</c:v>
                </c:pt>
                <c:pt idx="52">
                  <c:v>35.212351755450001</c:v>
                </c:pt>
                <c:pt idx="53">
                  <c:v>36.728659464028958</c:v>
                </c:pt>
                <c:pt idx="54">
                  <c:v>20.8920791889093</c:v>
                </c:pt>
                <c:pt idx="55">
                  <c:v>30.384641574988962</c:v>
                </c:pt>
                <c:pt idx="56">
                  <c:v>41.009779088082986</c:v>
                </c:pt>
                <c:pt idx="57">
                  <c:v>28.30151782449412</c:v>
                </c:pt>
                <c:pt idx="58">
                  <c:v>32.789358806401822</c:v>
                </c:pt>
                <c:pt idx="59">
                  <c:v>41.908652019409729</c:v>
                </c:pt>
                <c:pt idx="60">
                  <c:v>10.568758973424561</c:v>
                </c:pt>
                <c:pt idx="61">
                  <c:v>39.624233172886321</c:v>
                </c:pt>
                <c:pt idx="62">
                  <c:v>4.2364044144550128</c:v>
                </c:pt>
                <c:pt idx="63">
                  <c:v>15.061310703929525</c:v>
                </c:pt>
                <c:pt idx="64">
                  <c:v>21.323428357397052</c:v>
                </c:pt>
                <c:pt idx="65">
                  <c:v>32.353297222457563</c:v>
                </c:pt>
                <c:pt idx="66">
                  <c:v>31.035506995570088</c:v>
                </c:pt>
                <c:pt idx="67">
                  <c:v>32.75792616363465</c:v>
                </c:pt>
                <c:pt idx="68">
                  <c:v>23.707703310449293</c:v>
                </c:pt>
                <c:pt idx="69">
                  <c:v>15.806441798990791</c:v>
                </c:pt>
                <c:pt idx="70">
                  <c:v>13.051907451594566</c:v>
                </c:pt>
                <c:pt idx="71">
                  <c:v>12.28550695179082</c:v>
                </c:pt>
                <c:pt idx="72">
                  <c:v>12.97884149516149</c:v>
                </c:pt>
                <c:pt idx="73">
                  <c:v>14.734339978995678</c:v>
                </c:pt>
                <c:pt idx="74">
                  <c:v>10.113534210708821</c:v>
                </c:pt>
                <c:pt idx="75">
                  <c:v>10.951536926642122</c:v>
                </c:pt>
                <c:pt idx="76">
                  <c:v>13.431783746086143</c:v>
                </c:pt>
                <c:pt idx="77">
                  <c:v>30.776216436045491</c:v>
                </c:pt>
                <c:pt idx="78">
                  <c:v>31.730224043860648</c:v>
                </c:pt>
                <c:pt idx="79">
                  <c:v>45.754130975188389</c:v>
                </c:pt>
                <c:pt idx="80">
                  <c:v>40.374992300750229</c:v>
                </c:pt>
                <c:pt idx="81">
                  <c:v>47.542517664295424</c:v>
                </c:pt>
                <c:pt idx="82">
                  <c:v>44.748105300198951</c:v>
                </c:pt>
                <c:pt idx="83">
                  <c:v>40.736483206580864</c:v>
                </c:pt>
                <c:pt idx="84">
                  <c:v>44.247285488395299</c:v>
                </c:pt>
                <c:pt idx="85">
                  <c:v>44.974166598190159</c:v>
                </c:pt>
                <c:pt idx="86">
                  <c:v>34.50289839221103</c:v>
                </c:pt>
                <c:pt idx="87">
                  <c:v>27.190937625740098</c:v>
                </c:pt>
                <c:pt idx="88">
                  <c:v>7.0976883967129023</c:v>
                </c:pt>
                <c:pt idx="89">
                  <c:v>21.12714777687431</c:v>
                </c:pt>
                <c:pt idx="90">
                  <c:v>31.470009005899982</c:v>
                </c:pt>
                <c:pt idx="91">
                  <c:v>19.303261034449239</c:v>
                </c:pt>
                <c:pt idx="92">
                  <c:v>24.651395325564568</c:v>
                </c:pt>
                <c:pt idx="93">
                  <c:v>43.230083719844366</c:v>
                </c:pt>
                <c:pt idx="94">
                  <c:v>49.817721718498021</c:v>
                </c:pt>
                <c:pt idx="95">
                  <c:v>11.699778872183925</c:v>
                </c:pt>
                <c:pt idx="96">
                  <c:v>38.537528769302646</c:v>
                </c:pt>
                <c:pt idx="97">
                  <c:v>31.267792136556835</c:v>
                </c:pt>
                <c:pt idx="98">
                  <c:v>34.125279124526188</c:v>
                </c:pt>
                <c:pt idx="99">
                  <c:v>52.167828028381457</c:v>
                </c:pt>
                <c:pt idx="100">
                  <c:v>43.047487158105</c:v>
                </c:pt>
                <c:pt idx="101">
                  <c:v>2.432329148521815</c:v>
                </c:pt>
                <c:pt idx="102">
                  <c:v>0</c:v>
                </c:pt>
                <c:pt idx="103">
                  <c:v>40.85415991151006</c:v>
                </c:pt>
                <c:pt idx="104">
                  <c:v>45.469478051335905</c:v>
                </c:pt>
                <c:pt idx="105">
                  <c:v>40.910123322359084</c:v>
                </c:pt>
                <c:pt idx="106">
                  <c:v>51.660042875755828</c:v>
                </c:pt>
                <c:pt idx="107">
                  <c:v>36.837714682032157</c:v>
                </c:pt>
                <c:pt idx="108">
                  <c:v>8.8178912174035631</c:v>
                </c:pt>
                <c:pt idx="109">
                  <c:v>9.9487482621791088</c:v>
                </c:pt>
                <c:pt idx="110">
                  <c:v>8.9850205022934162</c:v>
                </c:pt>
                <c:pt idx="111">
                  <c:v>27.166462755258841</c:v>
                </c:pt>
                <c:pt idx="112">
                  <c:v>9.3346673154892095</c:v>
                </c:pt>
                <c:pt idx="113">
                  <c:v>23.994899434025129</c:v>
                </c:pt>
                <c:pt idx="114">
                  <c:v>45.508580074755528</c:v>
                </c:pt>
                <c:pt idx="115">
                  <c:v>50.897296202793122</c:v>
                </c:pt>
                <c:pt idx="116">
                  <c:v>37.516686785126971</c:v>
                </c:pt>
                <c:pt idx="117">
                  <c:v>20.177107923204989</c:v>
                </c:pt>
                <c:pt idx="118">
                  <c:v>40.848404935909294</c:v>
                </c:pt>
                <c:pt idx="119">
                  <c:v>41.639618750673904</c:v>
                </c:pt>
                <c:pt idx="120">
                  <c:v>46.608467063461013</c:v>
                </c:pt>
                <c:pt idx="121">
                  <c:v>27.302140783138316</c:v>
                </c:pt>
                <c:pt idx="122">
                  <c:v>31.183353399564979</c:v>
                </c:pt>
                <c:pt idx="123">
                  <c:v>18.392583325149097</c:v>
                </c:pt>
                <c:pt idx="124">
                  <c:v>38.62674648283673</c:v>
                </c:pt>
                <c:pt idx="125">
                  <c:v>36.073192905542463</c:v>
                </c:pt>
                <c:pt idx="126">
                  <c:v>46.677684264164604</c:v>
                </c:pt>
                <c:pt idx="127">
                  <c:v>48.695618885224995</c:v>
                </c:pt>
                <c:pt idx="128">
                  <c:v>52.972470852739406</c:v>
                </c:pt>
                <c:pt idx="129">
                  <c:v>50.487385734460801</c:v>
                </c:pt>
                <c:pt idx="130">
                  <c:v>54.159960494136399</c:v>
                </c:pt>
                <c:pt idx="131">
                  <c:v>41.693683204348176</c:v>
                </c:pt>
                <c:pt idx="132">
                  <c:v>38.178190204995019</c:v>
                </c:pt>
                <c:pt idx="133">
                  <c:v>49.830506709364364</c:v>
                </c:pt>
                <c:pt idx="134">
                  <c:v>50.839286522144313</c:v>
                </c:pt>
                <c:pt idx="135">
                  <c:v>48.954431436907967</c:v>
                </c:pt>
                <c:pt idx="136">
                  <c:v>52.418111647514159</c:v>
                </c:pt>
                <c:pt idx="137">
                  <c:v>50.782658844962931</c:v>
                </c:pt>
                <c:pt idx="138">
                  <c:v>53.0514304720853</c:v>
                </c:pt>
                <c:pt idx="139">
                  <c:v>48.120286468451191</c:v>
                </c:pt>
                <c:pt idx="140">
                  <c:v>48.710281458380805</c:v>
                </c:pt>
                <c:pt idx="141">
                  <c:v>37.261624948983055</c:v>
                </c:pt>
                <c:pt idx="142">
                  <c:v>17.403992303467955</c:v>
                </c:pt>
                <c:pt idx="143">
                  <c:v>16.544520654809975</c:v>
                </c:pt>
                <c:pt idx="144">
                  <c:v>38.540766593609689</c:v>
                </c:pt>
                <c:pt idx="145">
                  <c:v>26.227591455264452</c:v>
                </c:pt>
                <c:pt idx="146">
                  <c:v>41.799712377965939</c:v>
                </c:pt>
                <c:pt idx="147">
                  <c:v>51.486874301870081</c:v>
                </c:pt>
                <c:pt idx="148">
                  <c:v>55.747306089754844</c:v>
                </c:pt>
                <c:pt idx="149">
                  <c:v>46.712146984888385</c:v>
                </c:pt>
                <c:pt idx="150">
                  <c:v>51.903538530653535</c:v>
                </c:pt>
                <c:pt idx="151">
                  <c:v>52.758222881941258</c:v>
                </c:pt>
                <c:pt idx="152">
                  <c:v>41.764929339928173</c:v>
                </c:pt>
                <c:pt idx="153">
                  <c:v>52.464114237896503</c:v>
                </c:pt>
                <c:pt idx="154">
                  <c:v>21.729050071599175</c:v>
                </c:pt>
                <c:pt idx="155">
                  <c:v>30.657381409522706</c:v>
                </c:pt>
                <c:pt idx="156">
                  <c:v>45.932289294922427</c:v>
                </c:pt>
                <c:pt idx="157">
                  <c:v>26.892502137558346</c:v>
                </c:pt>
                <c:pt idx="158">
                  <c:v>19.995445747232068</c:v>
                </c:pt>
                <c:pt idx="159">
                  <c:v>44.426899079724755</c:v>
                </c:pt>
                <c:pt idx="160">
                  <c:v>54.399003404665542</c:v>
                </c:pt>
                <c:pt idx="161">
                  <c:v>52.919014471835901</c:v>
                </c:pt>
                <c:pt idx="162">
                  <c:v>40.563613306635766</c:v>
                </c:pt>
                <c:pt idx="163">
                  <c:v>49.831561180536134</c:v>
                </c:pt>
                <c:pt idx="164">
                  <c:v>47.444873338697832</c:v>
                </c:pt>
                <c:pt idx="165">
                  <c:v>50.935371688105896</c:v>
                </c:pt>
                <c:pt idx="166">
                  <c:v>49.43002464778219</c:v>
                </c:pt>
                <c:pt idx="167">
                  <c:v>50.075516001343125</c:v>
                </c:pt>
                <c:pt idx="168">
                  <c:v>51.76280814453127</c:v>
                </c:pt>
                <c:pt idx="169">
                  <c:v>52.851517527441594</c:v>
                </c:pt>
                <c:pt idx="170">
                  <c:v>33.335542827778362</c:v>
                </c:pt>
                <c:pt idx="171">
                  <c:v>23.567940111919096</c:v>
                </c:pt>
                <c:pt idx="172">
                  <c:v>41.616130378030533</c:v>
                </c:pt>
                <c:pt idx="173">
                  <c:v>41.252816726666168</c:v>
                </c:pt>
                <c:pt idx="174">
                  <c:v>39.293109065089801</c:v>
                </c:pt>
                <c:pt idx="175">
                  <c:v>33.713062618019194</c:v>
                </c:pt>
                <c:pt idx="176">
                  <c:v>10.923376031335319</c:v>
                </c:pt>
                <c:pt idx="177">
                  <c:v>10.241784532773119</c:v>
                </c:pt>
                <c:pt idx="178">
                  <c:v>52.739728924936394</c:v>
                </c:pt>
                <c:pt idx="179">
                  <c:v>53.563167455977513</c:v>
                </c:pt>
                <c:pt idx="180">
                  <c:v>12.197307980150374</c:v>
                </c:pt>
                <c:pt idx="181">
                  <c:v>45.648580950361641</c:v>
                </c:pt>
                <c:pt idx="182">
                  <c:v>52.535321999373721</c:v>
                </c:pt>
                <c:pt idx="183">
                  <c:v>45.435279628678956</c:v>
                </c:pt>
                <c:pt idx="184">
                  <c:v>43.328180585011715</c:v>
                </c:pt>
                <c:pt idx="185">
                  <c:v>52.757862312368893</c:v>
                </c:pt>
                <c:pt idx="186">
                  <c:v>43.218153012570596</c:v>
                </c:pt>
                <c:pt idx="187">
                  <c:v>51.050432966027373</c:v>
                </c:pt>
                <c:pt idx="188">
                  <c:v>53.502046104011939</c:v>
                </c:pt>
                <c:pt idx="189">
                  <c:v>52.89323581659243</c:v>
                </c:pt>
                <c:pt idx="190">
                  <c:v>52.543688073093357</c:v>
                </c:pt>
                <c:pt idx="191">
                  <c:v>51.290513779267279</c:v>
                </c:pt>
                <c:pt idx="192">
                  <c:v>50.847896709276228</c:v>
                </c:pt>
                <c:pt idx="193">
                  <c:v>51.103578303975986</c:v>
                </c:pt>
                <c:pt idx="194">
                  <c:v>50.307483110252456</c:v>
                </c:pt>
                <c:pt idx="195">
                  <c:v>48.249473206998928</c:v>
                </c:pt>
                <c:pt idx="196">
                  <c:v>50.075779526210816</c:v>
                </c:pt>
                <c:pt idx="197">
                  <c:v>50.046840315467271</c:v>
                </c:pt>
                <c:pt idx="198">
                  <c:v>50.827495119831262</c:v>
                </c:pt>
                <c:pt idx="199">
                  <c:v>34.718201414600976</c:v>
                </c:pt>
                <c:pt idx="200">
                  <c:v>39.520184797485086</c:v>
                </c:pt>
                <c:pt idx="201">
                  <c:v>49.321971991178629</c:v>
                </c:pt>
                <c:pt idx="202">
                  <c:v>37.643043521628293</c:v>
                </c:pt>
                <c:pt idx="203">
                  <c:v>41.99577008757624</c:v>
                </c:pt>
                <c:pt idx="204">
                  <c:v>49.7197182667812</c:v>
                </c:pt>
                <c:pt idx="205">
                  <c:v>25.555982072174416</c:v>
                </c:pt>
                <c:pt idx="206">
                  <c:v>48.581832133275221</c:v>
                </c:pt>
                <c:pt idx="207">
                  <c:v>52.599464868646557</c:v>
                </c:pt>
                <c:pt idx="208">
                  <c:v>41.787052416174689</c:v>
                </c:pt>
                <c:pt idx="209">
                  <c:v>27.833361588971936</c:v>
                </c:pt>
                <c:pt idx="210">
                  <c:v>41.942682054079789</c:v>
                </c:pt>
                <c:pt idx="211">
                  <c:v>50.416742243537222</c:v>
                </c:pt>
                <c:pt idx="212">
                  <c:v>50.340991308134257</c:v>
                </c:pt>
                <c:pt idx="213">
                  <c:v>50.385763696392132</c:v>
                </c:pt>
                <c:pt idx="214">
                  <c:v>48.788844816146849</c:v>
                </c:pt>
                <c:pt idx="215">
                  <c:v>48.258975114778096</c:v>
                </c:pt>
                <c:pt idx="216">
                  <c:v>43.509592361130487</c:v>
                </c:pt>
                <c:pt idx="217">
                  <c:v>45.994340269147003</c:v>
                </c:pt>
                <c:pt idx="218">
                  <c:v>49.063010376152398</c:v>
                </c:pt>
                <c:pt idx="219">
                  <c:v>49.658941532987498</c:v>
                </c:pt>
                <c:pt idx="220">
                  <c:v>47.842954678066555</c:v>
                </c:pt>
                <c:pt idx="221">
                  <c:v>46.467834503665237</c:v>
                </c:pt>
                <c:pt idx="222">
                  <c:v>43.965079569269882</c:v>
                </c:pt>
                <c:pt idx="223">
                  <c:v>45.337780935147713</c:v>
                </c:pt>
                <c:pt idx="224">
                  <c:v>35.585938169053733</c:v>
                </c:pt>
                <c:pt idx="225">
                  <c:v>32.593202830937038</c:v>
                </c:pt>
                <c:pt idx="226">
                  <c:v>36.960995525489338</c:v>
                </c:pt>
                <c:pt idx="227">
                  <c:v>34.227909430107474</c:v>
                </c:pt>
                <c:pt idx="228">
                  <c:v>24.983934275789871</c:v>
                </c:pt>
                <c:pt idx="229">
                  <c:v>33.238761025874041</c:v>
                </c:pt>
                <c:pt idx="230">
                  <c:v>33.915787421028725</c:v>
                </c:pt>
                <c:pt idx="231">
                  <c:v>47.834557512386098</c:v>
                </c:pt>
                <c:pt idx="232">
                  <c:v>31.786857096771797</c:v>
                </c:pt>
                <c:pt idx="233">
                  <c:v>22.754765217302001</c:v>
                </c:pt>
                <c:pt idx="234">
                  <c:v>44.148886610142071</c:v>
                </c:pt>
                <c:pt idx="235">
                  <c:v>45.573423091048468</c:v>
                </c:pt>
                <c:pt idx="236">
                  <c:v>29.42895497266915</c:v>
                </c:pt>
                <c:pt idx="237">
                  <c:v>40.411298357521297</c:v>
                </c:pt>
                <c:pt idx="238">
                  <c:v>45.395175888527589</c:v>
                </c:pt>
                <c:pt idx="239">
                  <c:v>45.50189491824603</c:v>
                </c:pt>
                <c:pt idx="240">
                  <c:v>31.973387621098663</c:v>
                </c:pt>
                <c:pt idx="241">
                  <c:v>45.193329622523336</c:v>
                </c:pt>
                <c:pt idx="242">
                  <c:v>20.547419277646192</c:v>
                </c:pt>
                <c:pt idx="243">
                  <c:v>41.760192500211275</c:v>
                </c:pt>
                <c:pt idx="244">
                  <c:v>38.943113332757981</c:v>
                </c:pt>
                <c:pt idx="245">
                  <c:v>37.00993111557046</c:v>
                </c:pt>
                <c:pt idx="246">
                  <c:v>44.226029437285639</c:v>
                </c:pt>
                <c:pt idx="247">
                  <c:v>40.601014694725052</c:v>
                </c:pt>
                <c:pt idx="248">
                  <c:v>43.711415717848574</c:v>
                </c:pt>
                <c:pt idx="249">
                  <c:v>34.969011177360649</c:v>
                </c:pt>
                <c:pt idx="250">
                  <c:v>38.35882733391341</c:v>
                </c:pt>
                <c:pt idx="251">
                  <c:v>19.84791438138301</c:v>
                </c:pt>
                <c:pt idx="252">
                  <c:v>43.327576826675291</c:v>
                </c:pt>
                <c:pt idx="253">
                  <c:v>44.135243791114029</c:v>
                </c:pt>
                <c:pt idx="254">
                  <c:v>31.044134383952539</c:v>
                </c:pt>
                <c:pt idx="255">
                  <c:v>11.216062019199191</c:v>
                </c:pt>
                <c:pt idx="256">
                  <c:v>33.903835903371146</c:v>
                </c:pt>
                <c:pt idx="257">
                  <c:v>38.907767329285363</c:v>
                </c:pt>
                <c:pt idx="258">
                  <c:v>25.911199890359253</c:v>
                </c:pt>
                <c:pt idx="259">
                  <c:v>45.698985933976729</c:v>
                </c:pt>
                <c:pt idx="260">
                  <c:v>44.196062522777403</c:v>
                </c:pt>
                <c:pt idx="261">
                  <c:v>43.646977726229771</c:v>
                </c:pt>
                <c:pt idx="262">
                  <c:v>44.958500903730794</c:v>
                </c:pt>
                <c:pt idx="263">
                  <c:v>43.966880821527852</c:v>
                </c:pt>
                <c:pt idx="264">
                  <c:v>42.754384038813178</c:v>
                </c:pt>
                <c:pt idx="265">
                  <c:v>28.184502012624112</c:v>
                </c:pt>
                <c:pt idx="266">
                  <c:v>20.599313082896398</c:v>
                </c:pt>
                <c:pt idx="267">
                  <c:v>30.379258815420652</c:v>
                </c:pt>
                <c:pt idx="268">
                  <c:v>31.741943515887595</c:v>
                </c:pt>
                <c:pt idx="269">
                  <c:v>15.248631117749285</c:v>
                </c:pt>
                <c:pt idx="270">
                  <c:v>14.91100451296662</c:v>
                </c:pt>
                <c:pt idx="271">
                  <c:v>21.484346012765613</c:v>
                </c:pt>
                <c:pt idx="272">
                  <c:v>30.969654596141211</c:v>
                </c:pt>
                <c:pt idx="273">
                  <c:v>37.488702012668917</c:v>
                </c:pt>
                <c:pt idx="274">
                  <c:v>36.914614520119052</c:v>
                </c:pt>
                <c:pt idx="275">
                  <c:v>34.509317860973212</c:v>
                </c:pt>
                <c:pt idx="276">
                  <c:v>40.414001978650425</c:v>
                </c:pt>
                <c:pt idx="277">
                  <c:v>40.358853876787663</c:v>
                </c:pt>
                <c:pt idx="278">
                  <c:v>14.964031273339808</c:v>
                </c:pt>
                <c:pt idx="279">
                  <c:v>29.836173979807779</c:v>
                </c:pt>
                <c:pt idx="280">
                  <c:v>17.256831338933782</c:v>
                </c:pt>
                <c:pt idx="281">
                  <c:v>37.641692843788491</c:v>
                </c:pt>
                <c:pt idx="282">
                  <c:v>30.724453319274701</c:v>
                </c:pt>
                <c:pt idx="283">
                  <c:v>21.908168069716016</c:v>
                </c:pt>
                <c:pt idx="284">
                  <c:v>30.631750444075657</c:v>
                </c:pt>
                <c:pt idx="285">
                  <c:v>22.167052231528981</c:v>
                </c:pt>
                <c:pt idx="286">
                  <c:v>16.557882350374538</c:v>
                </c:pt>
                <c:pt idx="287">
                  <c:v>36.974528497931921</c:v>
                </c:pt>
                <c:pt idx="288">
                  <c:v>33.380682388782645</c:v>
                </c:pt>
                <c:pt idx="289">
                  <c:v>22.479661676904779</c:v>
                </c:pt>
                <c:pt idx="290">
                  <c:v>34.401029936897942</c:v>
                </c:pt>
                <c:pt idx="291">
                  <c:v>14.64507070072087</c:v>
                </c:pt>
                <c:pt idx="292">
                  <c:v>8.3994278906202844</c:v>
                </c:pt>
                <c:pt idx="293">
                  <c:v>15.351233915190971</c:v>
                </c:pt>
                <c:pt idx="294">
                  <c:v>33.114223768591174</c:v>
                </c:pt>
                <c:pt idx="295">
                  <c:v>18.860485781838804</c:v>
                </c:pt>
                <c:pt idx="296">
                  <c:v>25.159511735550545</c:v>
                </c:pt>
                <c:pt idx="297">
                  <c:v>22.218813662786321</c:v>
                </c:pt>
                <c:pt idx="298">
                  <c:v>12.419497702063525</c:v>
                </c:pt>
                <c:pt idx="299">
                  <c:v>13.606691296985794</c:v>
                </c:pt>
                <c:pt idx="300">
                  <c:v>17.139556630915902</c:v>
                </c:pt>
                <c:pt idx="301">
                  <c:v>25.595987129233791</c:v>
                </c:pt>
                <c:pt idx="302">
                  <c:v>20.959096013479392</c:v>
                </c:pt>
                <c:pt idx="303">
                  <c:v>21.66820421178317</c:v>
                </c:pt>
                <c:pt idx="304">
                  <c:v>23.346841855350359</c:v>
                </c:pt>
                <c:pt idx="305">
                  <c:v>29.256408200735823</c:v>
                </c:pt>
                <c:pt idx="306">
                  <c:v>10.17446761538614</c:v>
                </c:pt>
                <c:pt idx="307">
                  <c:v>11.878105269225129</c:v>
                </c:pt>
                <c:pt idx="308">
                  <c:v>31.207812842420225</c:v>
                </c:pt>
                <c:pt idx="309">
                  <c:v>30.844214001889107</c:v>
                </c:pt>
                <c:pt idx="310">
                  <c:v>29.484517094688574</c:v>
                </c:pt>
                <c:pt idx="311">
                  <c:v>20.171151393415986</c:v>
                </c:pt>
                <c:pt idx="312">
                  <c:v>10.670104697457882</c:v>
                </c:pt>
                <c:pt idx="313">
                  <c:v>23.799463638757839</c:v>
                </c:pt>
                <c:pt idx="314">
                  <c:v>29.666438846473799</c:v>
                </c:pt>
                <c:pt idx="315">
                  <c:v>28.329421680554752</c:v>
                </c:pt>
                <c:pt idx="316">
                  <c:v>28.518143534198572</c:v>
                </c:pt>
                <c:pt idx="317">
                  <c:v>10.660355989108256</c:v>
                </c:pt>
                <c:pt idx="318">
                  <c:v>12.732136953199131</c:v>
                </c:pt>
                <c:pt idx="319">
                  <c:v>28.212982184542131</c:v>
                </c:pt>
                <c:pt idx="320">
                  <c:v>15.076176514945971</c:v>
                </c:pt>
                <c:pt idx="321">
                  <c:v>13.766610213371342</c:v>
                </c:pt>
                <c:pt idx="322">
                  <c:v>5.9379004465637388</c:v>
                </c:pt>
                <c:pt idx="323">
                  <c:v>17.587882186027382</c:v>
                </c:pt>
                <c:pt idx="324">
                  <c:v>3.5106600172153972</c:v>
                </c:pt>
                <c:pt idx="325">
                  <c:v>7.7773599089383483</c:v>
                </c:pt>
                <c:pt idx="326">
                  <c:v>12.068102039238083</c:v>
                </c:pt>
                <c:pt idx="327">
                  <c:v>14.255893917880034</c:v>
                </c:pt>
                <c:pt idx="328">
                  <c:v>4.385021022910407</c:v>
                </c:pt>
                <c:pt idx="329">
                  <c:v>13.603066331895741</c:v>
                </c:pt>
                <c:pt idx="330">
                  <c:v>14.490054943663639</c:v>
                </c:pt>
                <c:pt idx="331">
                  <c:v>9.3546765497585511</c:v>
                </c:pt>
                <c:pt idx="332">
                  <c:v>13.16271479744564</c:v>
                </c:pt>
                <c:pt idx="333">
                  <c:v>4.281477818157164</c:v>
                </c:pt>
                <c:pt idx="334">
                  <c:v>3.4628635187416172</c:v>
                </c:pt>
                <c:pt idx="335">
                  <c:v>6.5401726881051161</c:v>
                </c:pt>
                <c:pt idx="336">
                  <c:v>7.3611314842768953</c:v>
                </c:pt>
                <c:pt idx="337">
                  <c:v>20.402008075833155</c:v>
                </c:pt>
                <c:pt idx="338">
                  <c:v>25.905273470489163</c:v>
                </c:pt>
                <c:pt idx="339">
                  <c:v>11.303624284268794</c:v>
                </c:pt>
                <c:pt idx="340">
                  <c:v>20.306283049816297</c:v>
                </c:pt>
                <c:pt idx="341">
                  <c:v>4.6571441019560558</c:v>
                </c:pt>
                <c:pt idx="342">
                  <c:v>5.6705506776526837</c:v>
                </c:pt>
                <c:pt idx="343">
                  <c:v>14.128321750807311</c:v>
                </c:pt>
                <c:pt idx="344">
                  <c:v>17.224117547411961</c:v>
                </c:pt>
                <c:pt idx="345">
                  <c:v>5.0861204328043206</c:v>
                </c:pt>
                <c:pt idx="346">
                  <c:v>5.5760853660998437</c:v>
                </c:pt>
                <c:pt idx="347">
                  <c:v>17.130972490085927</c:v>
                </c:pt>
                <c:pt idx="348">
                  <c:v>7.1744680824269356</c:v>
                </c:pt>
                <c:pt idx="349">
                  <c:v>4.8733701351314531</c:v>
                </c:pt>
                <c:pt idx="350">
                  <c:v>2.7256818258069049</c:v>
                </c:pt>
                <c:pt idx="351">
                  <c:v>21.487110774792534</c:v>
                </c:pt>
                <c:pt idx="352">
                  <c:v>18.187414081296875</c:v>
                </c:pt>
                <c:pt idx="353">
                  <c:v>4.4308261887367228</c:v>
                </c:pt>
                <c:pt idx="354">
                  <c:v>22.391527255679218</c:v>
                </c:pt>
                <c:pt idx="355">
                  <c:v>17.314466007312504</c:v>
                </c:pt>
                <c:pt idx="356">
                  <c:v>17.859770298470952</c:v>
                </c:pt>
                <c:pt idx="357">
                  <c:v>23.408253525632798</c:v>
                </c:pt>
                <c:pt idx="358">
                  <c:v>13.711397289813936</c:v>
                </c:pt>
                <c:pt idx="359">
                  <c:v>22.6359838231573</c:v>
                </c:pt>
                <c:pt idx="360">
                  <c:v>6.1475212650344186</c:v>
                </c:pt>
                <c:pt idx="361">
                  <c:v>23.965222658228114</c:v>
                </c:pt>
                <c:pt idx="362">
                  <c:v>10.43494623282967</c:v>
                </c:pt>
                <c:pt idx="363">
                  <c:v>14.9867064235592</c:v>
                </c:pt>
                <c:pt idx="364">
                  <c:v>11.333218704952248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8.6560553959359492</c:v>
                </c:pt>
                <c:pt idx="1">
                  <c:v>2.9206024507437593</c:v>
                </c:pt>
                <c:pt idx="2">
                  <c:v>16.054647360913918</c:v>
                </c:pt>
                <c:pt idx="3">
                  <c:v>24.600334577179538</c:v>
                </c:pt>
                <c:pt idx="4">
                  <c:v>10.321989519159496</c:v>
                </c:pt>
                <c:pt idx="5">
                  <c:v>6.1023865562350252</c:v>
                </c:pt>
                <c:pt idx="6">
                  <c:v>16.679759543599605</c:v>
                </c:pt>
                <c:pt idx="7">
                  <c:v>6.8219173102204111</c:v>
                </c:pt>
                <c:pt idx="8">
                  <c:v>6.9031079468079923</c:v>
                </c:pt>
                <c:pt idx="9">
                  <c:v>23.731684078202662</c:v>
                </c:pt>
                <c:pt idx="10">
                  <c:v>4.790946526344829</c:v>
                </c:pt>
                <c:pt idx="11">
                  <c:v>23.042040449252266</c:v>
                </c:pt>
                <c:pt idx="12">
                  <c:v>12.735882937425798</c:v>
                </c:pt>
                <c:pt idx="13">
                  <c:v>18.223175494225096</c:v>
                </c:pt>
                <c:pt idx="14">
                  <c:v>6.4789770381147447</c:v>
                </c:pt>
                <c:pt idx="15">
                  <c:v>3.2725522620679994</c:v>
                </c:pt>
                <c:pt idx="16">
                  <c:v>5.9283778201804846</c:v>
                </c:pt>
                <c:pt idx="17">
                  <c:v>20.667726784781728</c:v>
                </c:pt>
                <c:pt idx="18">
                  <c:v>9.2956565917952112</c:v>
                </c:pt>
                <c:pt idx="19">
                  <c:v>17.873277157804569</c:v>
                </c:pt>
                <c:pt idx="20">
                  <c:v>4.9760883012287431</c:v>
                </c:pt>
                <c:pt idx="21">
                  <c:v>29.502392244364685</c:v>
                </c:pt>
                <c:pt idx="22">
                  <c:v>29.559730832709963</c:v>
                </c:pt>
                <c:pt idx="23">
                  <c:v>29.836400538957403</c:v>
                </c:pt>
                <c:pt idx="24">
                  <c:v>29.386440614616035</c:v>
                </c:pt>
                <c:pt idx="25">
                  <c:v>30.142283213190588</c:v>
                </c:pt>
                <c:pt idx="26">
                  <c:v>29.864433051270659</c:v>
                </c:pt>
                <c:pt idx="27">
                  <c:v>4.0456948365242615</c:v>
                </c:pt>
                <c:pt idx="28">
                  <c:v>6.0141846273388913</c:v>
                </c:pt>
                <c:pt idx="29">
                  <c:v>4.9312868225552533</c:v>
                </c:pt>
                <c:pt idx="30">
                  <c:v>6.7661125192716449</c:v>
                </c:pt>
                <c:pt idx="31">
                  <c:v>13.997530032840785</c:v>
                </c:pt>
                <c:pt idx="32">
                  <c:v>5.2673374206293131</c:v>
                </c:pt>
                <c:pt idx="33">
                  <c:v>11.52055576300938</c:v>
                </c:pt>
                <c:pt idx="34">
                  <c:v>11.048441169915884</c:v>
                </c:pt>
                <c:pt idx="35">
                  <c:v>10.438012215769902</c:v>
                </c:pt>
                <c:pt idx="36">
                  <c:v>23.033153082863763</c:v>
                </c:pt>
                <c:pt idx="37">
                  <c:v>9.0707481224372835</c:v>
                </c:pt>
                <c:pt idx="38">
                  <c:v>35.033498815926798</c:v>
                </c:pt>
                <c:pt idx="39">
                  <c:v>35.110369128068413</c:v>
                </c:pt>
                <c:pt idx="40">
                  <c:v>32.62159437348123</c:v>
                </c:pt>
                <c:pt idx="41">
                  <c:v>16.421151726976813</c:v>
                </c:pt>
                <c:pt idx="42">
                  <c:v>27.311373276436704</c:v>
                </c:pt>
                <c:pt idx="43">
                  <c:v>33.374831863835468</c:v>
                </c:pt>
                <c:pt idx="44">
                  <c:v>18.514311915082512</c:v>
                </c:pt>
                <c:pt idx="45">
                  <c:v>18.244688698516541</c:v>
                </c:pt>
                <c:pt idx="46">
                  <c:v>7.9350121332417487</c:v>
                </c:pt>
                <c:pt idx="47">
                  <c:v>9.2726930664386789</c:v>
                </c:pt>
                <c:pt idx="48">
                  <c:v>30.389725620186844</c:v>
                </c:pt>
                <c:pt idx="49">
                  <c:v>18.529628215055887</c:v>
                </c:pt>
                <c:pt idx="50">
                  <c:v>21.840519778999386</c:v>
                </c:pt>
                <c:pt idx="51">
                  <c:v>21.504255106628765</c:v>
                </c:pt>
                <c:pt idx="52">
                  <c:v>35.212351755450001</c:v>
                </c:pt>
                <c:pt idx="53">
                  <c:v>36.728659464028958</c:v>
                </c:pt>
                <c:pt idx="54">
                  <c:v>20.8920791889093</c:v>
                </c:pt>
                <c:pt idx="55">
                  <c:v>30.384641574988962</c:v>
                </c:pt>
                <c:pt idx="56">
                  <c:v>41.009779088082986</c:v>
                </c:pt>
                <c:pt idx="57">
                  <c:v>28.30151782449412</c:v>
                </c:pt>
                <c:pt idx="58">
                  <c:v>32.789358806401822</c:v>
                </c:pt>
                <c:pt idx="59">
                  <c:v>41.908652019409729</c:v>
                </c:pt>
                <c:pt idx="60">
                  <c:v>10.568758973424561</c:v>
                </c:pt>
                <c:pt idx="61">
                  <c:v>39.624233172886321</c:v>
                </c:pt>
                <c:pt idx="62">
                  <c:v>4.2364044144550128</c:v>
                </c:pt>
                <c:pt idx="63">
                  <c:v>15.061310703929525</c:v>
                </c:pt>
                <c:pt idx="64">
                  <c:v>21.323428357397052</c:v>
                </c:pt>
                <c:pt idx="65">
                  <c:v>32.353297222457563</c:v>
                </c:pt>
                <c:pt idx="66">
                  <c:v>31.035506995570088</c:v>
                </c:pt>
                <c:pt idx="67">
                  <c:v>32.75792616363465</c:v>
                </c:pt>
                <c:pt idx="68">
                  <c:v>23.707703310449293</c:v>
                </c:pt>
                <c:pt idx="69">
                  <c:v>15.806441798990791</c:v>
                </c:pt>
                <c:pt idx="70">
                  <c:v>13.051907451594566</c:v>
                </c:pt>
                <c:pt idx="71">
                  <c:v>12.28550695179082</c:v>
                </c:pt>
                <c:pt idx="72">
                  <c:v>12.97884149516149</c:v>
                </c:pt>
                <c:pt idx="73">
                  <c:v>14.734339978995678</c:v>
                </c:pt>
                <c:pt idx="74">
                  <c:v>10.113534210708821</c:v>
                </c:pt>
                <c:pt idx="75">
                  <c:v>10.951536926642122</c:v>
                </c:pt>
                <c:pt idx="76">
                  <c:v>13.431783746086143</c:v>
                </c:pt>
                <c:pt idx="77">
                  <c:v>30.776216436045491</c:v>
                </c:pt>
                <c:pt idx="78">
                  <c:v>31.730224043860648</c:v>
                </c:pt>
                <c:pt idx="79">
                  <c:v>45.754130975188389</c:v>
                </c:pt>
                <c:pt idx="80">
                  <c:v>40.374992300750229</c:v>
                </c:pt>
                <c:pt idx="81">
                  <c:v>47.542517664295424</c:v>
                </c:pt>
                <c:pt idx="82">
                  <c:v>44.748105300198951</c:v>
                </c:pt>
                <c:pt idx="83">
                  <c:v>40.736483206580864</c:v>
                </c:pt>
                <c:pt idx="84">
                  <c:v>44.247285488395299</c:v>
                </c:pt>
                <c:pt idx="85">
                  <c:v>44.974166598190159</c:v>
                </c:pt>
                <c:pt idx="86">
                  <c:v>34.50289839221103</c:v>
                </c:pt>
                <c:pt idx="87">
                  <c:v>27.190937625740098</c:v>
                </c:pt>
                <c:pt idx="88">
                  <c:v>7.0976883967129023</c:v>
                </c:pt>
                <c:pt idx="89">
                  <c:v>21.12714777687431</c:v>
                </c:pt>
                <c:pt idx="90">
                  <c:v>31.470009005899982</c:v>
                </c:pt>
                <c:pt idx="91">
                  <c:v>19.303261034449239</c:v>
                </c:pt>
                <c:pt idx="92">
                  <c:v>24.651395325564568</c:v>
                </c:pt>
                <c:pt idx="93">
                  <c:v>43.230083719844366</c:v>
                </c:pt>
                <c:pt idx="94">
                  <c:v>49.817721718498021</c:v>
                </c:pt>
                <c:pt idx="95">
                  <c:v>11.699778872183925</c:v>
                </c:pt>
                <c:pt idx="96">
                  <c:v>38.537528769302646</c:v>
                </c:pt>
                <c:pt idx="97">
                  <c:v>31.267792136556835</c:v>
                </c:pt>
                <c:pt idx="98">
                  <c:v>34.125279124526188</c:v>
                </c:pt>
                <c:pt idx="99">
                  <c:v>52.167828028381457</c:v>
                </c:pt>
                <c:pt idx="100">
                  <c:v>43.047487158105</c:v>
                </c:pt>
                <c:pt idx="101">
                  <c:v>2.432329148521815</c:v>
                </c:pt>
                <c:pt idx="102">
                  <c:v>0</c:v>
                </c:pt>
                <c:pt idx="103">
                  <c:v>40.85415991151006</c:v>
                </c:pt>
                <c:pt idx="104">
                  <c:v>45.469478051335905</c:v>
                </c:pt>
                <c:pt idx="105">
                  <c:v>40.910123322359084</c:v>
                </c:pt>
                <c:pt idx="106">
                  <c:v>51.660042875755828</c:v>
                </c:pt>
                <c:pt idx="107">
                  <c:v>36.837714682032157</c:v>
                </c:pt>
                <c:pt idx="108">
                  <c:v>8.8178912174035631</c:v>
                </c:pt>
                <c:pt idx="109">
                  <c:v>9.9487482621791088</c:v>
                </c:pt>
                <c:pt idx="110">
                  <c:v>8.9850205022934162</c:v>
                </c:pt>
                <c:pt idx="111">
                  <c:v>27.166462755258841</c:v>
                </c:pt>
                <c:pt idx="112">
                  <c:v>9.3346673154892095</c:v>
                </c:pt>
                <c:pt idx="113">
                  <c:v>23.994899434025129</c:v>
                </c:pt>
                <c:pt idx="114">
                  <c:v>45.508580074755528</c:v>
                </c:pt>
                <c:pt idx="115">
                  <c:v>50.897296202793122</c:v>
                </c:pt>
                <c:pt idx="116">
                  <c:v>37.516686785126971</c:v>
                </c:pt>
                <c:pt idx="117">
                  <c:v>20.177107923204989</c:v>
                </c:pt>
                <c:pt idx="118">
                  <c:v>40.848404935909294</c:v>
                </c:pt>
                <c:pt idx="119">
                  <c:v>41.639618750673904</c:v>
                </c:pt>
                <c:pt idx="120">
                  <c:v>46.608467063461013</c:v>
                </c:pt>
                <c:pt idx="121">
                  <c:v>27.302140783138316</c:v>
                </c:pt>
                <c:pt idx="122">
                  <c:v>31.183353399564979</c:v>
                </c:pt>
                <c:pt idx="123">
                  <c:v>18.392583325149097</c:v>
                </c:pt>
                <c:pt idx="124">
                  <c:v>38.62674648283673</c:v>
                </c:pt>
                <c:pt idx="125">
                  <c:v>36.073192905542463</c:v>
                </c:pt>
                <c:pt idx="126">
                  <c:v>46.677684264164604</c:v>
                </c:pt>
                <c:pt idx="127">
                  <c:v>48.695618885224995</c:v>
                </c:pt>
                <c:pt idx="128">
                  <c:v>52.972470852739406</c:v>
                </c:pt>
                <c:pt idx="129">
                  <c:v>50.487385734460801</c:v>
                </c:pt>
                <c:pt idx="130">
                  <c:v>54.159960494136399</c:v>
                </c:pt>
                <c:pt idx="131">
                  <c:v>41.693683204348176</c:v>
                </c:pt>
                <c:pt idx="132">
                  <c:v>38.178190204995019</c:v>
                </c:pt>
                <c:pt idx="133">
                  <c:v>49.830506709364364</c:v>
                </c:pt>
                <c:pt idx="134">
                  <c:v>50.839286522144313</c:v>
                </c:pt>
                <c:pt idx="135">
                  <c:v>48.954431436907967</c:v>
                </c:pt>
                <c:pt idx="136">
                  <c:v>52.418111647514159</c:v>
                </c:pt>
                <c:pt idx="137">
                  <c:v>50.782658844962931</c:v>
                </c:pt>
                <c:pt idx="138">
                  <c:v>53.0514304720853</c:v>
                </c:pt>
                <c:pt idx="139">
                  <c:v>48.120286468451191</c:v>
                </c:pt>
                <c:pt idx="140">
                  <c:v>48.710281458380805</c:v>
                </c:pt>
                <c:pt idx="141">
                  <c:v>37.261624948983055</c:v>
                </c:pt>
                <c:pt idx="142">
                  <c:v>17.403992303467955</c:v>
                </c:pt>
                <c:pt idx="143">
                  <c:v>16.544520654809975</c:v>
                </c:pt>
                <c:pt idx="144">
                  <c:v>38.540766593609689</c:v>
                </c:pt>
                <c:pt idx="145">
                  <c:v>26.227591455264452</c:v>
                </c:pt>
                <c:pt idx="146">
                  <c:v>41.799712377965939</c:v>
                </c:pt>
                <c:pt idx="147">
                  <c:v>51.486874301870081</c:v>
                </c:pt>
                <c:pt idx="148">
                  <c:v>55.747306089754844</c:v>
                </c:pt>
                <c:pt idx="149">
                  <c:v>46.712146984888385</c:v>
                </c:pt>
                <c:pt idx="150">
                  <c:v>51.903538530653535</c:v>
                </c:pt>
                <c:pt idx="151">
                  <c:v>52.758222881941258</c:v>
                </c:pt>
                <c:pt idx="152">
                  <c:v>41.764929339928173</c:v>
                </c:pt>
                <c:pt idx="153">
                  <c:v>52.464114237896503</c:v>
                </c:pt>
                <c:pt idx="154">
                  <c:v>21.729050071599175</c:v>
                </c:pt>
                <c:pt idx="155">
                  <c:v>30.657381409522706</c:v>
                </c:pt>
                <c:pt idx="156">
                  <c:v>45.932289294922427</c:v>
                </c:pt>
                <c:pt idx="157">
                  <c:v>26.892502137558346</c:v>
                </c:pt>
                <c:pt idx="158">
                  <c:v>19.995445747232068</c:v>
                </c:pt>
                <c:pt idx="159">
                  <c:v>44.426899079724755</c:v>
                </c:pt>
                <c:pt idx="160">
                  <c:v>54.399003404665542</c:v>
                </c:pt>
                <c:pt idx="161">
                  <c:v>52.919014471835901</c:v>
                </c:pt>
                <c:pt idx="162">
                  <c:v>40.563613306635766</c:v>
                </c:pt>
                <c:pt idx="163">
                  <c:v>49.831561180536134</c:v>
                </c:pt>
                <c:pt idx="164">
                  <c:v>47.444873338697832</c:v>
                </c:pt>
                <c:pt idx="165">
                  <c:v>50.935371688105896</c:v>
                </c:pt>
                <c:pt idx="166">
                  <c:v>49.43002464778219</c:v>
                </c:pt>
                <c:pt idx="167">
                  <c:v>50.075516001343125</c:v>
                </c:pt>
                <c:pt idx="168">
                  <c:v>51.76280814453127</c:v>
                </c:pt>
                <c:pt idx="169">
                  <c:v>52.851517527441594</c:v>
                </c:pt>
                <c:pt idx="170">
                  <c:v>33.335542827778362</c:v>
                </c:pt>
                <c:pt idx="171">
                  <c:v>23.567940111919096</c:v>
                </c:pt>
                <c:pt idx="172">
                  <c:v>41.616130378030533</c:v>
                </c:pt>
                <c:pt idx="173">
                  <c:v>41.252816726666168</c:v>
                </c:pt>
                <c:pt idx="174">
                  <c:v>39.293109065089801</c:v>
                </c:pt>
                <c:pt idx="175">
                  <c:v>33.713062618019194</c:v>
                </c:pt>
                <c:pt idx="176">
                  <c:v>10.923376031335319</c:v>
                </c:pt>
                <c:pt idx="177">
                  <c:v>10.241784532773119</c:v>
                </c:pt>
                <c:pt idx="178">
                  <c:v>52.739728924936394</c:v>
                </c:pt>
                <c:pt idx="179">
                  <c:v>53.563167455977513</c:v>
                </c:pt>
                <c:pt idx="180">
                  <c:v>12.197307980150374</c:v>
                </c:pt>
                <c:pt idx="181">
                  <c:v>45.648580950361641</c:v>
                </c:pt>
                <c:pt idx="182">
                  <c:v>52.535321999373721</c:v>
                </c:pt>
                <c:pt idx="183">
                  <c:v>45.435279628678956</c:v>
                </c:pt>
                <c:pt idx="184">
                  <c:v>43.328180585011715</c:v>
                </c:pt>
                <c:pt idx="185">
                  <c:v>52.757862312368893</c:v>
                </c:pt>
                <c:pt idx="186">
                  <c:v>43.218153012570596</c:v>
                </c:pt>
                <c:pt idx="187">
                  <c:v>51.050432966027373</c:v>
                </c:pt>
                <c:pt idx="188">
                  <c:v>53.502046104011939</c:v>
                </c:pt>
                <c:pt idx="189">
                  <c:v>52.89323581659243</c:v>
                </c:pt>
                <c:pt idx="190">
                  <c:v>52.543688073093357</c:v>
                </c:pt>
                <c:pt idx="191">
                  <c:v>51.290513779267279</c:v>
                </c:pt>
                <c:pt idx="192">
                  <c:v>50.847896709276228</c:v>
                </c:pt>
                <c:pt idx="193">
                  <c:v>51.103578303975986</c:v>
                </c:pt>
                <c:pt idx="194">
                  <c:v>50.307483110252456</c:v>
                </c:pt>
                <c:pt idx="195">
                  <c:v>48.249473206998928</c:v>
                </c:pt>
                <c:pt idx="196">
                  <c:v>50.075779526210816</c:v>
                </c:pt>
                <c:pt idx="197">
                  <c:v>50.046840315467271</c:v>
                </c:pt>
                <c:pt idx="198">
                  <c:v>50.827495119831262</c:v>
                </c:pt>
                <c:pt idx="199">
                  <c:v>34.718201414600976</c:v>
                </c:pt>
                <c:pt idx="200">
                  <c:v>39.520184797485086</c:v>
                </c:pt>
                <c:pt idx="201">
                  <c:v>49.321971991178629</c:v>
                </c:pt>
                <c:pt idx="202">
                  <c:v>37.643043521628293</c:v>
                </c:pt>
                <c:pt idx="203">
                  <c:v>41.99577008757624</c:v>
                </c:pt>
                <c:pt idx="204">
                  <c:v>49.7197182667812</c:v>
                </c:pt>
                <c:pt idx="205">
                  <c:v>25.555982072174416</c:v>
                </c:pt>
                <c:pt idx="206">
                  <c:v>48.581832133275221</c:v>
                </c:pt>
                <c:pt idx="207">
                  <c:v>52.599464868646557</c:v>
                </c:pt>
                <c:pt idx="208">
                  <c:v>41.787052416174689</c:v>
                </c:pt>
                <c:pt idx="209">
                  <c:v>27.833361588971936</c:v>
                </c:pt>
                <c:pt idx="210">
                  <c:v>41.942682054079789</c:v>
                </c:pt>
                <c:pt idx="211">
                  <c:v>50.416742243537222</c:v>
                </c:pt>
                <c:pt idx="212">
                  <c:v>50.340991308134257</c:v>
                </c:pt>
                <c:pt idx="213">
                  <c:v>50.385763696392132</c:v>
                </c:pt>
                <c:pt idx="214">
                  <c:v>48.788844816146849</c:v>
                </c:pt>
                <c:pt idx="215">
                  <c:v>48.258975114778096</c:v>
                </c:pt>
                <c:pt idx="216">
                  <c:v>43.509592361130487</c:v>
                </c:pt>
                <c:pt idx="217">
                  <c:v>45.994340269147003</c:v>
                </c:pt>
                <c:pt idx="218">
                  <c:v>49.063010376152398</c:v>
                </c:pt>
                <c:pt idx="219">
                  <c:v>49.658941532987498</c:v>
                </c:pt>
                <c:pt idx="220">
                  <c:v>47.842954678066555</c:v>
                </c:pt>
                <c:pt idx="221">
                  <c:v>46.467834503665237</c:v>
                </c:pt>
                <c:pt idx="222">
                  <c:v>43.965079569269882</c:v>
                </c:pt>
                <c:pt idx="223">
                  <c:v>45.337780935147713</c:v>
                </c:pt>
                <c:pt idx="224">
                  <c:v>35.585938169053733</c:v>
                </c:pt>
                <c:pt idx="225">
                  <c:v>32.593202830937038</c:v>
                </c:pt>
                <c:pt idx="226">
                  <c:v>36.960995525489338</c:v>
                </c:pt>
                <c:pt idx="227">
                  <c:v>34.227909430107474</c:v>
                </c:pt>
                <c:pt idx="228">
                  <c:v>24.983934275789871</c:v>
                </c:pt>
                <c:pt idx="229">
                  <c:v>33.238761025874041</c:v>
                </c:pt>
                <c:pt idx="230">
                  <c:v>33.915787421028725</c:v>
                </c:pt>
                <c:pt idx="231">
                  <c:v>47.834557512386098</c:v>
                </c:pt>
                <c:pt idx="232">
                  <c:v>31.786857096771797</c:v>
                </c:pt>
                <c:pt idx="233">
                  <c:v>22.754765217302001</c:v>
                </c:pt>
                <c:pt idx="234">
                  <c:v>44.148886610142071</c:v>
                </c:pt>
                <c:pt idx="235">
                  <c:v>45.573423091048468</c:v>
                </c:pt>
                <c:pt idx="236">
                  <c:v>29.42895497266915</c:v>
                </c:pt>
                <c:pt idx="237">
                  <c:v>40.411298357521297</c:v>
                </c:pt>
                <c:pt idx="238">
                  <c:v>45.395175888527589</c:v>
                </c:pt>
                <c:pt idx="239">
                  <c:v>45.50189491824603</c:v>
                </c:pt>
                <c:pt idx="240">
                  <c:v>31.973387621098663</c:v>
                </c:pt>
                <c:pt idx="241">
                  <c:v>45.193329622523336</c:v>
                </c:pt>
                <c:pt idx="242">
                  <c:v>20.547419277646192</c:v>
                </c:pt>
                <c:pt idx="243">
                  <c:v>41.760192500211275</c:v>
                </c:pt>
                <c:pt idx="244">
                  <c:v>38.943113332757981</c:v>
                </c:pt>
                <c:pt idx="245">
                  <c:v>37.00993111557046</c:v>
                </c:pt>
                <c:pt idx="246">
                  <c:v>44.226029437285639</c:v>
                </c:pt>
                <c:pt idx="247">
                  <c:v>40.601014694725052</c:v>
                </c:pt>
                <c:pt idx="248">
                  <c:v>43.711415717848574</c:v>
                </c:pt>
                <c:pt idx="249">
                  <c:v>34.969011177360649</c:v>
                </c:pt>
                <c:pt idx="250">
                  <c:v>38.35882733391341</c:v>
                </c:pt>
                <c:pt idx="251">
                  <c:v>19.84791438138301</c:v>
                </c:pt>
                <c:pt idx="252">
                  <c:v>43.327576826675291</c:v>
                </c:pt>
                <c:pt idx="253">
                  <c:v>44.135243791114029</c:v>
                </c:pt>
                <c:pt idx="254">
                  <c:v>31.044134383952539</c:v>
                </c:pt>
                <c:pt idx="255">
                  <c:v>11.216062019199191</c:v>
                </c:pt>
                <c:pt idx="256">
                  <c:v>33.903835903371146</c:v>
                </c:pt>
                <c:pt idx="257">
                  <c:v>38.907767329285363</c:v>
                </c:pt>
                <c:pt idx="258">
                  <c:v>25.911199890359253</c:v>
                </c:pt>
                <c:pt idx="259">
                  <c:v>45.698985933976729</c:v>
                </c:pt>
                <c:pt idx="260">
                  <c:v>44.196062522777403</c:v>
                </c:pt>
                <c:pt idx="261">
                  <c:v>43.646977726229771</c:v>
                </c:pt>
                <c:pt idx="262">
                  <c:v>44.958500903730794</c:v>
                </c:pt>
                <c:pt idx="263">
                  <c:v>43.966880821527852</c:v>
                </c:pt>
                <c:pt idx="264">
                  <c:v>42.754384038813178</c:v>
                </c:pt>
                <c:pt idx="265">
                  <c:v>28.184502012624112</c:v>
                </c:pt>
                <c:pt idx="266">
                  <c:v>20.599313082896398</c:v>
                </c:pt>
                <c:pt idx="267">
                  <c:v>30.379258815420652</c:v>
                </c:pt>
                <c:pt idx="268">
                  <c:v>31.741943515887595</c:v>
                </c:pt>
                <c:pt idx="269">
                  <c:v>15.248631117749285</c:v>
                </c:pt>
                <c:pt idx="270">
                  <c:v>14.91100451296662</c:v>
                </c:pt>
                <c:pt idx="271">
                  <c:v>21.484346012765613</c:v>
                </c:pt>
                <c:pt idx="272">
                  <c:v>30.969654596141211</c:v>
                </c:pt>
                <c:pt idx="273">
                  <c:v>37.488702012668917</c:v>
                </c:pt>
                <c:pt idx="274">
                  <c:v>36.914614520119052</c:v>
                </c:pt>
                <c:pt idx="275">
                  <c:v>34.509317860973212</c:v>
                </c:pt>
                <c:pt idx="276">
                  <c:v>40.414001978650425</c:v>
                </c:pt>
                <c:pt idx="277">
                  <c:v>40.358853876787663</c:v>
                </c:pt>
                <c:pt idx="278">
                  <c:v>14.964031273339808</c:v>
                </c:pt>
                <c:pt idx="279">
                  <c:v>29.836173979807779</c:v>
                </c:pt>
                <c:pt idx="280">
                  <c:v>17.256831338933782</c:v>
                </c:pt>
                <c:pt idx="281">
                  <c:v>37.641692843788491</c:v>
                </c:pt>
                <c:pt idx="282">
                  <c:v>30.724453319274701</c:v>
                </c:pt>
                <c:pt idx="283">
                  <c:v>21.908168069716016</c:v>
                </c:pt>
                <c:pt idx="284">
                  <c:v>30.631750444075657</c:v>
                </c:pt>
                <c:pt idx="285">
                  <c:v>22.167052231528981</c:v>
                </c:pt>
                <c:pt idx="286">
                  <c:v>16.557882350374538</c:v>
                </c:pt>
                <c:pt idx="287">
                  <c:v>36.974528497931921</c:v>
                </c:pt>
                <c:pt idx="288">
                  <c:v>33.380682388782645</c:v>
                </c:pt>
                <c:pt idx="289">
                  <c:v>22.479661676904779</c:v>
                </c:pt>
                <c:pt idx="290">
                  <c:v>34.401029936897942</c:v>
                </c:pt>
                <c:pt idx="291">
                  <c:v>14.64507070072087</c:v>
                </c:pt>
                <c:pt idx="292">
                  <c:v>8.3994278906202844</c:v>
                </c:pt>
                <c:pt idx="293">
                  <c:v>15.351233915190971</c:v>
                </c:pt>
                <c:pt idx="294">
                  <c:v>33.114223768591174</c:v>
                </c:pt>
                <c:pt idx="295">
                  <c:v>18.860485781838804</c:v>
                </c:pt>
                <c:pt idx="296">
                  <c:v>25.159511735550545</c:v>
                </c:pt>
                <c:pt idx="297">
                  <c:v>22.218813662786321</c:v>
                </c:pt>
                <c:pt idx="298">
                  <c:v>12.419497702063525</c:v>
                </c:pt>
                <c:pt idx="299">
                  <c:v>13.606691296985794</c:v>
                </c:pt>
                <c:pt idx="300">
                  <c:v>17.139556630915902</c:v>
                </c:pt>
                <c:pt idx="301">
                  <c:v>25.595987129233791</c:v>
                </c:pt>
                <c:pt idx="302">
                  <c:v>20.959096013479392</c:v>
                </c:pt>
                <c:pt idx="303">
                  <c:v>21.66820421178317</c:v>
                </c:pt>
                <c:pt idx="304">
                  <c:v>23.346841855350359</c:v>
                </c:pt>
                <c:pt idx="305">
                  <c:v>29.256408200735823</c:v>
                </c:pt>
                <c:pt idx="306">
                  <c:v>10.17446761538614</c:v>
                </c:pt>
                <c:pt idx="307">
                  <c:v>11.878105269225129</c:v>
                </c:pt>
                <c:pt idx="308">
                  <c:v>31.207812842420225</c:v>
                </c:pt>
                <c:pt idx="309">
                  <c:v>30.844214001889107</c:v>
                </c:pt>
                <c:pt idx="310">
                  <c:v>29.484517094688574</c:v>
                </c:pt>
                <c:pt idx="311">
                  <c:v>20.171151393415986</c:v>
                </c:pt>
                <c:pt idx="312">
                  <c:v>10.670104697457882</c:v>
                </c:pt>
                <c:pt idx="313">
                  <c:v>23.799463638757839</c:v>
                </c:pt>
                <c:pt idx="314">
                  <c:v>29.666438846473799</c:v>
                </c:pt>
                <c:pt idx="315">
                  <c:v>28.329421680554752</c:v>
                </c:pt>
                <c:pt idx="316">
                  <c:v>28.518143534198572</c:v>
                </c:pt>
                <c:pt idx="317">
                  <c:v>10.660355989108256</c:v>
                </c:pt>
                <c:pt idx="318">
                  <c:v>12.732136953199131</c:v>
                </c:pt>
                <c:pt idx="319">
                  <c:v>28.212982184542131</c:v>
                </c:pt>
                <c:pt idx="320">
                  <c:v>15.076176514945971</c:v>
                </c:pt>
                <c:pt idx="321">
                  <c:v>13.766610213371342</c:v>
                </c:pt>
                <c:pt idx="322">
                  <c:v>5.9379004465637388</c:v>
                </c:pt>
                <c:pt idx="323">
                  <c:v>17.587882186027382</c:v>
                </c:pt>
                <c:pt idx="324">
                  <c:v>3.5106600172153972</c:v>
                </c:pt>
                <c:pt idx="325">
                  <c:v>7.7773599089383483</c:v>
                </c:pt>
                <c:pt idx="326">
                  <c:v>12.068102039238083</c:v>
                </c:pt>
                <c:pt idx="327">
                  <c:v>14.255893917880034</c:v>
                </c:pt>
                <c:pt idx="328">
                  <c:v>4.385021022910407</c:v>
                </c:pt>
                <c:pt idx="329">
                  <c:v>13.603066331895741</c:v>
                </c:pt>
                <c:pt idx="330">
                  <c:v>14.490054943663639</c:v>
                </c:pt>
                <c:pt idx="331">
                  <c:v>9.3546765497585511</c:v>
                </c:pt>
                <c:pt idx="332">
                  <c:v>13.16271479744564</c:v>
                </c:pt>
                <c:pt idx="333">
                  <c:v>4.281477818157164</c:v>
                </c:pt>
                <c:pt idx="334">
                  <c:v>3.4628635187416172</c:v>
                </c:pt>
                <c:pt idx="335">
                  <c:v>6.5401726881051161</c:v>
                </c:pt>
                <c:pt idx="336">
                  <c:v>7.3611314842768953</c:v>
                </c:pt>
                <c:pt idx="337">
                  <c:v>20.402008075833155</c:v>
                </c:pt>
                <c:pt idx="338">
                  <c:v>25.905273470489163</c:v>
                </c:pt>
                <c:pt idx="339">
                  <c:v>11.303624284268794</c:v>
                </c:pt>
                <c:pt idx="340">
                  <c:v>20.306283049816297</c:v>
                </c:pt>
                <c:pt idx="341">
                  <c:v>4.6571441019560558</c:v>
                </c:pt>
                <c:pt idx="342">
                  <c:v>5.6705506776526837</c:v>
                </c:pt>
                <c:pt idx="343">
                  <c:v>14.128321750807311</c:v>
                </c:pt>
                <c:pt idx="344">
                  <c:v>17.224117547411961</c:v>
                </c:pt>
                <c:pt idx="345">
                  <c:v>5.0861204328043206</c:v>
                </c:pt>
                <c:pt idx="346">
                  <c:v>5.5760853660998437</c:v>
                </c:pt>
                <c:pt idx="347">
                  <c:v>17.130972490085927</c:v>
                </c:pt>
                <c:pt idx="348">
                  <c:v>7.1744680824269356</c:v>
                </c:pt>
                <c:pt idx="349">
                  <c:v>4.8733701351314531</c:v>
                </c:pt>
                <c:pt idx="350">
                  <c:v>2.7256818258069049</c:v>
                </c:pt>
                <c:pt idx="351">
                  <c:v>21.487110774792534</c:v>
                </c:pt>
                <c:pt idx="352">
                  <c:v>18.187414081296875</c:v>
                </c:pt>
                <c:pt idx="353">
                  <c:v>4.4308261887367228</c:v>
                </c:pt>
                <c:pt idx="354">
                  <c:v>22.391527255679218</c:v>
                </c:pt>
                <c:pt idx="355">
                  <c:v>17.314466007312504</c:v>
                </c:pt>
                <c:pt idx="356">
                  <c:v>17.859770298470952</c:v>
                </c:pt>
                <c:pt idx="357">
                  <c:v>23.408253525632798</c:v>
                </c:pt>
                <c:pt idx="358">
                  <c:v>13.711397289813936</c:v>
                </c:pt>
                <c:pt idx="359">
                  <c:v>22.6359838231573</c:v>
                </c:pt>
                <c:pt idx="360">
                  <c:v>6.1475212650344186</c:v>
                </c:pt>
                <c:pt idx="361">
                  <c:v>23.965222658228114</c:v>
                </c:pt>
                <c:pt idx="362">
                  <c:v>10.43494623282967</c:v>
                </c:pt>
                <c:pt idx="363">
                  <c:v>14.9867064235592</c:v>
                </c:pt>
                <c:pt idx="364">
                  <c:v>11.333218704952248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3200"/>
        <c:axId val="237903592"/>
      </c:lineChart>
      <c:dateAx>
        <c:axId val="23790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3592"/>
        <c:crosses val="autoZero"/>
        <c:auto val="1"/>
        <c:lblOffset val="100"/>
        <c:baseTimeUnit val="days"/>
        <c:majorUnit val="1"/>
        <c:majorTimeUnit val="months"/>
      </c:dateAx>
      <c:valAx>
        <c:axId val="2379035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9032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5.9073077206924229E-2</c:v>
                </c:pt>
                <c:pt idx="1">
                  <c:v>5.9093685921358663E-2</c:v>
                </c:pt>
                <c:pt idx="2">
                  <c:v>5.9114294184409388E-2</c:v>
                </c:pt>
                <c:pt idx="3">
                  <c:v>5.9134901996086287E-2</c:v>
                </c:pt>
                <c:pt idx="4">
                  <c:v>5.9155509356399127E-2</c:v>
                </c:pt>
                <c:pt idx="5">
                  <c:v>5.9176116265358014E-2</c:v>
                </c:pt>
                <c:pt idx="6">
                  <c:v>5.9196722722972606E-2</c:v>
                </c:pt>
                <c:pt idx="7">
                  <c:v>5.9217328729253005E-2</c:v>
                </c:pt>
                <c:pt idx="8">
                  <c:v>5.9237934284208871E-2</c:v>
                </c:pt>
                <c:pt idx="9">
                  <c:v>5.9258539387850195E-2</c:v>
                </c:pt>
                <c:pt idx="10">
                  <c:v>5.9279144040186971E-2</c:v>
                </c:pt>
                <c:pt idx="11">
                  <c:v>5.9299748241228967E-2</c:v>
                </c:pt>
                <c:pt idx="12">
                  <c:v>5.9320351990985953E-2</c:v>
                </c:pt>
                <c:pt idx="13">
                  <c:v>5.9340955289468034E-2</c:v>
                </c:pt>
                <c:pt idx="14">
                  <c:v>5.9361558136684978E-2</c:v>
                </c:pt>
                <c:pt idx="15">
                  <c:v>5.9382160532646777E-2</c:v>
                </c:pt>
                <c:pt idx="16">
                  <c:v>5.9402762477363091E-2</c:v>
                </c:pt>
                <c:pt idx="17">
                  <c:v>5.9423363970844023E-2</c:v>
                </c:pt>
                <c:pt idx="18">
                  <c:v>5.9443965013099342E-2</c:v>
                </c:pt>
                <c:pt idx="19">
                  <c:v>5.9464565604139041E-2</c:v>
                </c:pt>
                <c:pt idx="20">
                  <c:v>5.948516574397289E-2</c:v>
                </c:pt>
                <c:pt idx="21">
                  <c:v>5.9505765432610769E-2</c:v>
                </c:pt>
                <c:pt idx="22">
                  <c:v>5.952636467006267E-2</c:v>
                </c:pt>
                <c:pt idx="23">
                  <c:v>5.9546963456338253E-2</c:v>
                </c:pt>
                <c:pt idx="24">
                  <c:v>5.9567561791447732E-2</c:v>
                </c:pt>
                <c:pt idx="25">
                  <c:v>5.9588159675400654E-2</c:v>
                </c:pt>
                <c:pt idx="26">
                  <c:v>5.9608757108207122E-2</c:v>
                </c:pt>
                <c:pt idx="27">
                  <c:v>5.9629354089877018E-2</c:v>
                </c:pt>
                <c:pt idx="28">
                  <c:v>5.9649950620420111E-2</c:v>
                </c:pt>
                <c:pt idx="29">
                  <c:v>5.9670546699846283E-2</c:v>
                </c:pt>
                <c:pt idx="30">
                  <c:v>5.9691142328165525E-2</c:v>
                </c:pt>
                <c:pt idx="31">
                  <c:v>5.9711737505387608E-2</c:v>
                </c:pt>
                <c:pt idx="32">
                  <c:v>5.9732332231522411E-2</c:v>
                </c:pt>
                <c:pt idx="33">
                  <c:v>5.9752926506579929E-2</c:v>
                </c:pt>
                <c:pt idx="34">
                  <c:v>5.9773520330569929E-2</c:v>
                </c:pt>
                <c:pt idx="35">
                  <c:v>5.9794113703502294E-2</c:v>
                </c:pt>
                <c:pt idx="36">
                  <c:v>5.9814706625387015E-2</c:v>
                </c:pt>
                <c:pt idx="37">
                  <c:v>5.9835299096233863E-2</c:v>
                </c:pt>
                <c:pt idx="38">
                  <c:v>5.9855891116052717E-2</c:v>
                </c:pt>
                <c:pt idx="39">
                  <c:v>5.9876482684853571E-2</c:v>
                </c:pt>
                <c:pt idx="40">
                  <c:v>5.9897073802646195E-2</c:v>
                </c:pt>
                <c:pt idx="41">
                  <c:v>5.9917664469440468E-2</c:v>
                </c:pt>
                <c:pt idx="42">
                  <c:v>5.9938254685246273E-2</c:v>
                </c:pt>
                <c:pt idx="43">
                  <c:v>5.995884445007349E-2</c:v>
                </c:pt>
                <c:pt idx="44">
                  <c:v>5.9979433763932111E-2</c:v>
                </c:pt>
                <c:pt idx="45">
                  <c:v>6.0000022626831906E-2</c:v>
                </c:pt>
                <c:pt idx="46">
                  <c:v>6.0020611038782645E-2</c:v>
                </c:pt>
                <c:pt idx="47">
                  <c:v>6.0041198999794432E-2</c:v>
                </c:pt>
                <c:pt idx="48">
                  <c:v>6.0061786509877035E-2</c:v>
                </c:pt>
                <c:pt idx="49">
                  <c:v>6.0082373569040337E-2</c:v>
                </c:pt>
                <c:pt idx="50">
                  <c:v>6.0102960177294107E-2</c:v>
                </c:pt>
                <c:pt idx="51">
                  <c:v>6.0123546334648448E-2</c:v>
                </c:pt>
                <c:pt idx="52">
                  <c:v>6.0144132041113019E-2</c:v>
                </c:pt>
                <c:pt idx="53">
                  <c:v>6.0164717296697812E-2</c:v>
                </c:pt>
                <c:pt idx="54">
                  <c:v>6.0185302101412708E-2</c:v>
                </c:pt>
                <c:pt idx="55">
                  <c:v>6.0205886455267477E-2</c:v>
                </c:pt>
                <c:pt idx="56">
                  <c:v>6.0226470358272111E-2</c:v>
                </c:pt>
                <c:pt idx="57">
                  <c:v>6.0247053810436491E-2</c:v>
                </c:pt>
                <c:pt idx="58">
                  <c:v>6.0267636811770386E-2</c:v>
                </c:pt>
                <c:pt idx="59">
                  <c:v>6.028821936228379E-2</c:v>
                </c:pt>
                <c:pt idx="60">
                  <c:v>6.0308801461986472E-2</c:v>
                </c:pt>
                <c:pt idx="61">
                  <c:v>6.0329383110888313E-2</c:v>
                </c:pt>
                <c:pt idx="62">
                  <c:v>6.0349964308999193E-2</c:v>
                </c:pt>
                <c:pt idx="63">
                  <c:v>6.0370545056329106E-2</c:v>
                </c:pt>
                <c:pt idx="64">
                  <c:v>6.039112535288782E-2</c:v>
                </c:pt>
                <c:pt idx="65">
                  <c:v>6.0411705198685217E-2</c:v>
                </c:pt>
                <c:pt idx="66">
                  <c:v>6.0432284593731178E-2</c:v>
                </c:pt>
                <c:pt idx="67">
                  <c:v>6.0452863538035473E-2</c:v>
                </c:pt>
                <c:pt idx="68">
                  <c:v>6.0473442031608204E-2</c:v>
                </c:pt>
                <c:pt idx="69">
                  <c:v>6.0494020074459032E-2</c:v>
                </c:pt>
                <c:pt idx="70">
                  <c:v>6.0514597666597947E-2</c:v>
                </c:pt>
                <c:pt idx="71">
                  <c:v>6.053517480803472E-2</c:v>
                </c:pt>
                <c:pt idx="72">
                  <c:v>6.0555751498779342E-2</c:v>
                </c:pt>
                <c:pt idx="73">
                  <c:v>6.0576327738841695E-2</c:v>
                </c:pt>
                <c:pt idx="74">
                  <c:v>6.0596903528231438E-2</c:v>
                </c:pt>
                <c:pt idx="75">
                  <c:v>6.0617478866958674E-2</c:v>
                </c:pt>
                <c:pt idx="76">
                  <c:v>6.0638053755033172E-2</c:v>
                </c:pt>
                <c:pt idx="77">
                  <c:v>6.0658628192464814E-2</c:v>
                </c:pt>
                <c:pt idx="78">
                  <c:v>6.0679202179263481E-2</c:v>
                </c:pt>
                <c:pt idx="79">
                  <c:v>6.0699775715439053E-2</c:v>
                </c:pt>
                <c:pt idx="80">
                  <c:v>6.0720348801001411E-2</c:v>
                </c:pt>
                <c:pt idx="81">
                  <c:v>6.0740921435960327E-2</c:v>
                </c:pt>
                <c:pt idx="82">
                  <c:v>6.076149362032579E-2</c:v>
                </c:pt>
                <c:pt idx="83">
                  <c:v>6.0782065354107573E-2</c:v>
                </c:pt>
                <c:pt idx="84">
                  <c:v>6.0802636637315555E-2</c:v>
                </c:pt>
                <c:pt idx="85">
                  <c:v>6.0823207469959728E-2</c:v>
                </c:pt>
                <c:pt idx="86">
                  <c:v>6.0843777852049863E-2</c:v>
                </c:pt>
                <c:pt idx="87">
                  <c:v>6.0864347783595729E-2</c:v>
                </c:pt>
                <c:pt idx="88">
                  <c:v>6.088491726460743E-2</c:v>
                </c:pt>
                <c:pt idx="89">
                  <c:v>6.0905486295094624E-2</c:v>
                </c:pt>
                <c:pt idx="90">
                  <c:v>6.0926054875067304E-2</c:v>
                </c:pt>
                <c:pt idx="91">
                  <c:v>6.094662300453535E-2</c:v>
                </c:pt>
                <c:pt idx="92">
                  <c:v>6.0967190683508532E-2</c:v>
                </c:pt>
                <c:pt idx="93">
                  <c:v>6.0987757911996732E-2</c:v>
                </c:pt>
                <c:pt idx="94">
                  <c:v>6.100832469000983E-2</c:v>
                </c:pt>
                <c:pt idx="95">
                  <c:v>6.1028891017557707E-2</c:v>
                </c:pt>
                <c:pt idx="96">
                  <c:v>6.1049456894650245E-2</c:v>
                </c:pt>
                <c:pt idx="97">
                  <c:v>6.1070022321297324E-2</c:v>
                </c:pt>
                <c:pt idx="98">
                  <c:v>6.1090587297508714E-2</c:v>
                </c:pt>
                <c:pt idx="99">
                  <c:v>6.1111151823294407E-2</c:v>
                </c:pt>
                <c:pt idx="100">
                  <c:v>6.1131715898664174E-2</c:v>
                </c:pt>
                <c:pt idx="101">
                  <c:v>6.1152279523627895E-2</c:v>
                </c:pt>
                <c:pt idx="102">
                  <c:v>6.1172842698195562E-2</c:v>
                </c:pt>
                <c:pt idx="103">
                  <c:v>6.1193405422376834E-2</c:v>
                </c:pt>
                <c:pt idx="104">
                  <c:v>6.1213967696181704E-2</c:v>
                </c:pt>
                <c:pt idx="105">
                  <c:v>6.123452951961994E-2</c:v>
                </c:pt>
                <c:pt idx="106">
                  <c:v>6.1255090892701536E-2</c:v>
                </c:pt>
                <c:pt idx="107">
                  <c:v>6.1275651815436261E-2</c:v>
                </c:pt>
                <c:pt idx="108">
                  <c:v>6.1296212287834106E-2</c:v>
                </c:pt>
                <c:pt idx="109">
                  <c:v>6.1316772309904732E-2</c:v>
                </c:pt>
                <c:pt idx="110">
                  <c:v>6.133733188165813E-2</c:v>
                </c:pt>
                <c:pt idx="111">
                  <c:v>6.1357891003104181E-2</c:v>
                </c:pt>
                <c:pt idx="112">
                  <c:v>6.1378449674252655E-2</c:v>
                </c:pt>
                <c:pt idx="113">
                  <c:v>6.1399007895113544E-2</c:v>
                </c:pt>
                <c:pt idx="114">
                  <c:v>6.1419565665696618E-2</c:v>
                </c:pt>
                <c:pt idx="115">
                  <c:v>6.1440122986011647E-2</c:v>
                </c:pt>
                <c:pt idx="116">
                  <c:v>6.1460679856068734E-2</c:v>
                </c:pt>
                <c:pt idx="117">
                  <c:v>6.1481236275877538E-2</c:v>
                </c:pt>
                <c:pt idx="118">
                  <c:v>6.150179224544805E-2</c:v>
                </c:pt>
                <c:pt idx="119">
                  <c:v>6.1522347764789931E-2</c:v>
                </c:pt>
                <c:pt idx="120">
                  <c:v>6.1542902833913393E-2</c:v>
                </c:pt>
                <c:pt idx="121">
                  <c:v>6.1563457452827985E-2</c:v>
                </c:pt>
                <c:pt idx="122">
                  <c:v>6.1584011621543588E-2</c:v>
                </c:pt>
                <c:pt idx="123">
                  <c:v>6.1604565340070194E-2</c:v>
                </c:pt>
                <c:pt idx="124">
                  <c:v>6.1625118608417684E-2</c:v>
                </c:pt>
                <c:pt idx="125">
                  <c:v>6.1645671426595827E-2</c:v>
                </c:pt>
                <c:pt idx="126">
                  <c:v>6.1666223794614505E-2</c:v>
                </c:pt>
                <c:pt idx="127">
                  <c:v>6.1686775712483488E-2</c:v>
                </c:pt>
                <c:pt idx="128">
                  <c:v>6.1707327180212879E-2</c:v>
                </c:pt>
                <c:pt idx="129">
                  <c:v>6.1727878197812225E-2</c:v>
                </c:pt>
                <c:pt idx="130">
                  <c:v>6.174842876529163E-2</c:v>
                </c:pt>
                <c:pt idx="131">
                  <c:v>6.1768978882660863E-2</c:v>
                </c:pt>
                <c:pt idx="132">
                  <c:v>6.1789528549929806E-2</c:v>
                </c:pt>
                <c:pt idx="133">
                  <c:v>6.1810077767108229E-2</c:v>
                </c:pt>
                <c:pt idx="134">
                  <c:v>6.1830626534206123E-2</c:v>
                </c:pt>
                <c:pt idx="135">
                  <c:v>6.1851174851233259E-2</c:v>
                </c:pt>
                <c:pt idx="136">
                  <c:v>6.1871722718199518E-2</c:v>
                </c:pt>
                <c:pt idx="137">
                  <c:v>6.1892270135114669E-2</c:v>
                </c:pt>
                <c:pt idx="138">
                  <c:v>6.1912817101988815E-2</c:v>
                </c:pt>
                <c:pt idx="139">
                  <c:v>6.1933363618831505E-2</c:v>
                </c:pt>
                <c:pt idx="140">
                  <c:v>6.1953909685652842E-2</c:v>
                </c:pt>
                <c:pt idx="141">
                  <c:v>6.1974455302462594E-2</c:v>
                </c:pt>
                <c:pt idx="142">
                  <c:v>6.1995000469270534E-2</c:v>
                </c:pt>
                <c:pt idx="143">
                  <c:v>6.2015545186086651E-2</c:v>
                </c:pt>
                <c:pt idx="144">
                  <c:v>6.2036089452920717E-2</c:v>
                </c:pt>
                <c:pt idx="145">
                  <c:v>6.2056633269782613E-2</c:v>
                </c:pt>
                <c:pt idx="146">
                  <c:v>6.2077176636682219E-2</c:v>
                </c:pt>
                <c:pt idx="147">
                  <c:v>6.2097719553629305E-2</c:v>
                </c:pt>
                <c:pt idx="148">
                  <c:v>6.2118262020633863E-2</c:v>
                </c:pt>
                <c:pt idx="149">
                  <c:v>6.2138804037705553E-2</c:v>
                </c:pt>
                <c:pt idx="150">
                  <c:v>6.2159345604854477E-2</c:v>
                </c:pt>
                <c:pt idx="151">
                  <c:v>6.2179886722090294E-2</c:v>
                </c:pt>
                <c:pt idx="152">
                  <c:v>6.2200427389422996E-2</c:v>
                </c:pt>
                <c:pt idx="153">
                  <c:v>6.2220967606862354E-2</c:v>
                </c:pt>
                <c:pt idx="154">
                  <c:v>6.2241507374418137E-2</c:v>
                </c:pt>
                <c:pt idx="155">
                  <c:v>6.2262046692100448E-2</c:v>
                </c:pt>
                <c:pt idx="156">
                  <c:v>6.2282585559918835E-2</c:v>
                </c:pt>
                <c:pt idx="157">
                  <c:v>6.2303123977883401E-2</c:v>
                </c:pt>
                <c:pt idx="158">
                  <c:v>6.2323661946003917E-2</c:v>
                </c:pt>
                <c:pt idx="159">
                  <c:v>6.2344199464290151E-2</c:v>
                </c:pt>
                <c:pt idx="160">
                  <c:v>6.2364736532752096E-2</c:v>
                </c:pt>
                <c:pt idx="161">
                  <c:v>6.2385273151399412E-2</c:v>
                </c:pt>
                <c:pt idx="162">
                  <c:v>6.24058093202422E-2</c:v>
                </c:pt>
                <c:pt idx="163">
                  <c:v>6.2426345039290121E-2</c:v>
                </c:pt>
                <c:pt idx="164">
                  <c:v>6.2446880308553165E-2</c:v>
                </c:pt>
                <c:pt idx="165">
                  <c:v>6.2467415128040993E-2</c:v>
                </c:pt>
                <c:pt idx="166">
                  <c:v>6.2487949497763706E-2</c:v>
                </c:pt>
                <c:pt idx="167">
                  <c:v>6.2508483417730965E-2</c:v>
                </c:pt>
                <c:pt idx="168">
                  <c:v>6.2529016887952649E-2</c:v>
                </c:pt>
                <c:pt idx="169">
                  <c:v>6.254954990843864E-2</c:v>
                </c:pt>
                <c:pt idx="170">
                  <c:v>6.2570082479198819E-2</c:v>
                </c:pt>
                <c:pt idx="171">
                  <c:v>6.2590614600242955E-2</c:v>
                </c:pt>
                <c:pt idx="172">
                  <c:v>6.2611146271581042E-2</c:v>
                </c:pt>
                <c:pt idx="173">
                  <c:v>6.2631677493222737E-2</c:v>
                </c:pt>
                <c:pt idx="174">
                  <c:v>6.2652208265178033E-2</c:v>
                </c:pt>
                <c:pt idx="175">
                  <c:v>6.26727385874567E-2</c:v>
                </c:pt>
                <c:pt idx="176">
                  <c:v>6.2693268460068619E-2</c:v>
                </c:pt>
                <c:pt idx="177">
                  <c:v>6.271379788302367E-2</c:v>
                </c:pt>
                <c:pt idx="178">
                  <c:v>6.2734326856331624E-2</c:v>
                </c:pt>
                <c:pt idx="179">
                  <c:v>6.2754855380002472E-2</c:v>
                </c:pt>
                <c:pt idx="180">
                  <c:v>6.2775383454045874E-2</c:v>
                </c:pt>
                <c:pt idx="181">
                  <c:v>6.2795911078471822E-2</c:v>
                </c:pt>
                <c:pt idx="182">
                  <c:v>6.2816438253290086E-2</c:v>
                </c:pt>
                <c:pt idx="183">
                  <c:v>6.2836964978510546E-2</c:v>
                </c:pt>
                <c:pt idx="184">
                  <c:v>6.2857491254143083E-2</c:v>
                </c:pt>
                <c:pt idx="185">
                  <c:v>6.2878017080197468E-2</c:v>
                </c:pt>
                <c:pt idx="186">
                  <c:v>6.2898542456683582E-2</c:v>
                </c:pt>
                <c:pt idx="187">
                  <c:v>6.2919067383611194E-2</c:v>
                </c:pt>
                <c:pt idx="188">
                  <c:v>6.2939591860990296E-2</c:v>
                </c:pt>
                <c:pt idx="189">
                  <c:v>6.296011588883077E-2</c:v>
                </c:pt>
                <c:pt idx="190">
                  <c:v>6.2980639467142274E-2</c:v>
                </c:pt>
                <c:pt idx="191">
                  <c:v>6.300116259593469E-2</c:v>
                </c:pt>
                <c:pt idx="192">
                  <c:v>6.3021685275218009E-2</c:v>
                </c:pt>
                <c:pt idx="193">
                  <c:v>6.304220750500189E-2</c:v>
                </c:pt>
                <c:pt idx="194">
                  <c:v>6.3062729285296326E-2</c:v>
                </c:pt>
                <c:pt idx="195">
                  <c:v>6.3083250616111086E-2</c:v>
                </c:pt>
                <c:pt idx="196">
                  <c:v>6.3103771497456052E-2</c:v>
                </c:pt>
                <c:pt idx="197">
                  <c:v>6.3124291929340992E-2</c:v>
                </c:pt>
                <c:pt idx="198">
                  <c:v>6.31448119117759E-2</c:v>
                </c:pt>
                <c:pt idx="199">
                  <c:v>6.3165331444770545E-2</c:v>
                </c:pt>
                <c:pt idx="200">
                  <c:v>6.3185850528334697E-2</c:v>
                </c:pt>
                <c:pt idx="201">
                  <c:v>6.3206369162478238E-2</c:v>
                </c:pt>
                <c:pt idx="202">
                  <c:v>6.3226887347211047E-2</c:v>
                </c:pt>
                <c:pt idx="203">
                  <c:v>6.3247405082542896E-2</c:v>
                </c:pt>
                <c:pt idx="204">
                  <c:v>6.3267922368483775E-2</c:v>
                </c:pt>
                <c:pt idx="205">
                  <c:v>6.3288439205043456E-2</c:v>
                </c:pt>
                <c:pt idx="206">
                  <c:v>6.3308955592231708E-2</c:v>
                </c:pt>
                <c:pt idx="207">
                  <c:v>6.3329471530058412E-2</c:v>
                </c:pt>
                <c:pt idx="208">
                  <c:v>6.3349987018533449E-2</c:v>
                </c:pt>
                <c:pt idx="209">
                  <c:v>6.3370502057666589E-2</c:v>
                </c:pt>
                <c:pt idx="210">
                  <c:v>6.3391016647467824E-2</c:v>
                </c:pt>
                <c:pt idx="211">
                  <c:v>6.3411530787946813E-2</c:v>
                </c:pt>
                <c:pt idx="212">
                  <c:v>6.3432044479113547E-2</c:v>
                </c:pt>
                <c:pt idx="213">
                  <c:v>6.3452557720977687E-2</c:v>
                </c:pt>
                <c:pt idx="214">
                  <c:v>6.3473070513549223E-2</c:v>
                </c:pt>
                <c:pt idx="215">
                  <c:v>6.3493582856838038E-2</c:v>
                </c:pt>
                <c:pt idx="216">
                  <c:v>6.3514094750853789E-2</c:v>
                </c:pt>
                <c:pt idx="217">
                  <c:v>6.3534606195606469E-2</c:v>
                </c:pt>
                <c:pt idx="218">
                  <c:v>6.3555117191105848E-2</c:v>
                </c:pt>
                <c:pt idx="219">
                  <c:v>6.3575627737361806E-2</c:v>
                </c:pt>
                <c:pt idx="220">
                  <c:v>6.3596137834384225E-2</c:v>
                </c:pt>
                <c:pt idx="221">
                  <c:v>6.3616647482182764E-2</c:v>
                </c:pt>
                <c:pt idx="222">
                  <c:v>6.3637156680767415E-2</c:v>
                </c:pt>
                <c:pt idx="223">
                  <c:v>6.3657665430148058E-2</c:v>
                </c:pt>
                <c:pt idx="224">
                  <c:v>6.3678173730334353E-2</c:v>
                </c:pt>
                <c:pt idx="225">
                  <c:v>6.3698681581336292E-2</c:v>
                </c:pt>
                <c:pt idx="226">
                  <c:v>6.3719188983163644E-2</c:v>
                </c:pt>
                <c:pt idx="227">
                  <c:v>6.373969593582629E-2</c:v>
                </c:pt>
                <c:pt idx="228">
                  <c:v>6.3760202439334002E-2</c:v>
                </c:pt>
                <c:pt idx="229">
                  <c:v>6.3780708493696658E-2</c:v>
                </c:pt>
                <c:pt idx="230">
                  <c:v>6.3801214098924142E-2</c:v>
                </c:pt>
                <c:pt idx="231">
                  <c:v>6.3821719255026221E-2</c:v>
                </c:pt>
                <c:pt idx="232">
                  <c:v>6.3842223962012778E-2</c:v>
                </c:pt>
                <c:pt idx="233">
                  <c:v>6.3862728219893583E-2</c:v>
                </c:pt>
                <c:pt idx="234">
                  <c:v>6.3883232028678516E-2</c:v>
                </c:pt>
                <c:pt idx="235">
                  <c:v>6.3903735388377458E-2</c:v>
                </c:pt>
                <c:pt idx="236">
                  <c:v>6.392423829900018E-2</c:v>
                </c:pt>
                <c:pt idx="237">
                  <c:v>6.3944740760556562E-2</c:v>
                </c:pt>
                <c:pt idx="238">
                  <c:v>6.3965242773056374E-2</c:v>
                </c:pt>
                <c:pt idx="239">
                  <c:v>6.3985744336509609E-2</c:v>
                </c:pt>
                <c:pt idx="240">
                  <c:v>6.4006245450925814E-2</c:v>
                </c:pt>
                <c:pt idx="241">
                  <c:v>6.4026746116315092E-2</c:v>
                </c:pt>
                <c:pt idx="242">
                  <c:v>6.4047246332687213E-2</c:v>
                </c:pt>
                <c:pt idx="243">
                  <c:v>6.4067746100051948E-2</c:v>
                </c:pt>
                <c:pt idx="244">
                  <c:v>6.4088245418419176E-2</c:v>
                </c:pt>
                <c:pt idx="245">
                  <c:v>6.4108744287798669E-2</c:v>
                </c:pt>
                <c:pt idx="246">
                  <c:v>6.4129242708200418E-2</c:v>
                </c:pt>
                <c:pt idx="247">
                  <c:v>6.4149740679634082E-2</c:v>
                </c:pt>
                <c:pt idx="248">
                  <c:v>6.4170238202109542E-2</c:v>
                </c:pt>
                <c:pt idx="249">
                  <c:v>6.4190735275636679E-2</c:v>
                </c:pt>
                <c:pt idx="250">
                  <c:v>6.4211231900225374E-2</c:v>
                </c:pt>
                <c:pt idx="251">
                  <c:v>6.4231728075885286E-2</c:v>
                </c:pt>
                <c:pt idx="252">
                  <c:v>6.4252223802626407E-2</c:v>
                </c:pt>
                <c:pt idx="253">
                  <c:v>6.4272719080458507E-2</c:v>
                </c:pt>
                <c:pt idx="254">
                  <c:v>6.4293213909391356E-2</c:v>
                </c:pt>
                <c:pt idx="255">
                  <c:v>6.4313708289434945E-2</c:v>
                </c:pt>
                <c:pt idx="256">
                  <c:v>6.4334202220598935E-2</c:v>
                </c:pt>
                <c:pt idx="257">
                  <c:v>6.4354695702893316E-2</c:v>
                </c:pt>
                <c:pt idx="258">
                  <c:v>6.4375188736327749E-2</c:v>
                </c:pt>
                <c:pt idx="259">
                  <c:v>6.4395681320912224E-2</c:v>
                </c:pt>
                <c:pt idx="260">
                  <c:v>6.4416173456656511E-2</c:v>
                </c:pt>
                <c:pt idx="261">
                  <c:v>6.4436665143570382E-2</c:v>
                </c:pt>
                <c:pt idx="262">
                  <c:v>6.4457156381663716E-2</c:v>
                </c:pt>
                <c:pt idx="263">
                  <c:v>6.4477647170946395E-2</c:v>
                </c:pt>
                <c:pt idx="264">
                  <c:v>6.4498137511428189E-2</c:v>
                </c:pt>
                <c:pt idx="265">
                  <c:v>6.4518627403118867E-2</c:v>
                </c:pt>
                <c:pt idx="266">
                  <c:v>6.4539116846028421E-2</c:v>
                </c:pt>
                <c:pt idx="267">
                  <c:v>6.4559605840166623E-2</c:v>
                </c:pt>
                <c:pt idx="268">
                  <c:v>6.458009438554313E-2</c:v>
                </c:pt>
                <c:pt idx="269">
                  <c:v>6.4600582482168045E-2</c:v>
                </c:pt>
                <c:pt idx="270">
                  <c:v>6.4621070130051028E-2</c:v>
                </c:pt>
                <c:pt idx="271">
                  <c:v>6.4641557329201849E-2</c:v>
                </c:pt>
                <c:pt idx="272">
                  <c:v>6.4662044079630498E-2</c:v>
                </c:pt>
                <c:pt idx="273">
                  <c:v>6.4682530381346748E-2</c:v>
                </c:pt>
                <c:pt idx="274">
                  <c:v>6.4703016234360478E-2</c:v>
                </c:pt>
                <c:pt idx="275">
                  <c:v>6.4723501638681347E-2</c:v>
                </c:pt>
                <c:pt idx="276">
                  <c:v>6.4743986594319347E-2</c:v>
                </c:pt>
                <c:pt idx="277">
                  <c:v>6.4764471101284138E-2</c:v>
                </c:pt>
                <c:pt idx="278">
                  <c:v>6.4784955159585711E-2</c:v>
                </c:pt>
                <c:pt idx="279">
                  <c:v>6.4805438769233947E-2</c:v>
                </c:pt>
                <c:pt idx="280">
                  <c:v>6.4825921930238395E-2</c:v>
                </c:pt>
                <c:pt idx="281">
                  <c:v>6.4846404642609157E-2</c:v>
                </c:pt>
                <c:pt idx="282">
                  <c:v>6.4866886906355892E-2</c:v>
                </c:pt>
                <c:pt idx="283">
                  <c:v>6.4887368721488592E-2</c:v>
                </c:pt>
                <c:pt idx="284">
                  <c:v>6.4907850088016805E-2</c:v>
                </c:pt>
                <c:pt idx="285">
                  <c:v>6.4928331005950635E-2</c:v>
                </c:pt>
                <c:pt idx="286">
                  <c:v>6.494881147529985E-2</c:v>
                </c:pt>
                <c:pt idx="287">
                  <c:v>6.4969291496074111E-2</c:v>
                </c:pt>
                <c:pt idx="288">
                  <c:v>6.4989771068283408E-2</c:v>
                </c:pt>
                <c:pt idx="289">
                  <c:v>6.5010250191937513E-2</c:v>
                </c:pt>
                <c:pt idx="290">
                  <c:v>6.5030728867046195E-2</c:v>
                </c:pt>
                <c:pt idx="291">
                  <c:v>6.5051207093619445E-2</c:v>
                </c:pt>
                <c:pt idx="292">
                  <c:v>6.5071684871666924E-2</c:v>
                </c:pt>
                <c:pt idx="293">
                  <c:v>6.5092162201198511E-2</c:v>
                </c:pt>
                <c:pt idx="294">
                  <c:v>6.5112639082223978E-2</c:v>
                </c:pt>
                <c:pt idx="295">
                  <c:v>6.5133115514753315E-2</c:v>
                </c:pt>
                <c:pt idx="296">
                  <c:v>6.5153591498796071E-2</c:v>
                </c:pt>
                <c:pt idx="297">
                  <c:v>6.5174067034362348E-2</c:v>
                </c:pt>
                <c:pt idx="298">
                  <c:v>6.5194542121461807E-2</c:v>
                </c:pt>
                <c:pt idx="299">
                  <c:v>6.5215016760104327E-2</c:v>
                </c:pt>
                <c:pt idx="300">
                  <c:v>6.5235490950299679E-2</c:v>
                </c:pt>
                <c:pt idx="301">
                  <c:v>6.5255964692057744E-2</c:v>
                </c:pt>
                <c:pt idx="302">
                  <c:v>6.5276437985388291E-2</c:v>
                </c:pt>
                <c:pt idx="303">
                  <c:v>6.5296910830301202E-2</c:v>
                </c:pt>
                <c:pt idx="304">
                  <c:v>6.5317383226806247E-2</c:v>
                </c:pt>
                <c:pt idx="305">
                  <c:v>6.5337855174913306E-2</c:v>
                </c:pt>
                <c:pt idx="306">
                  <c:v>6.535832667463215E-2</c:v>
                </c:pt>
                <c:pt idx="307">
                  <c:v>6.5378797725972548E-2</c:v>
                </c:pt>
                <c:pt idx="308">
                  <c:v>6.5399268328944493E-2</c:v>
                </c:pt>
                <c:pt idx="309">
                  <c:v>6.5419738483557643E-2</c:v>
                </c:pt>
                <c:pt idx="310">
                  <c:v>6.544020818982188E-2</c:v>
                </c:pt>
                <c:pt idx="311">
                  <c:v>6.5460677447746973E-2</c:v>
                </c:pt>
                <c:pt idx="312">
                  <c:v>6.5481146257342804E-2</c:v>
                </c:pt>
                <c:pt idx="313">
                  <c:v>6.5501614618619142E-2</c:v>
                </c:pt>
                <c:pt idx="314">
                  <c:v>6.5522082531585868E-2</c:v>
                </c:pt>
                <c:pt idx="315">
                  <c:v>6.5542549996252863E-2</c:v>
                </c:pt>
                <c:pt idx="316">
                  <c:v>6.5563017012629787E-2</c:v>
                </c:pt>
                <c:pt idx="317">
                  <c:v>6.5583483580726409E-2</c:v>
                </c:pt>
                <c:pt idx="318">
                  <c:v>6.5603949700552833E-2</c:v>
                </c:pt>
                <c:pt idx="319">
                  <c:v>6.5624415372118605E-2</c:v>
                </c:pt>
                <c:pt idx="320">
                  <c:v>6.5644880595433719E-2</c:v>
                </c:pt>
                <c:pt idx="321">
                  <c:v>6.5665345370507833E-2</c:v>
                </c:pt>
                <c:pt idx="322">
                  <c:v>6.5685809697350939E-2</c:v>
                </c:pt>
                <c:pt idx="323">
                  <c:v>6.5706273575972696E-2</c:v>
                </c:pt>
                <c:pt idx="324">
                  <c:v>6.5726737006382985E-2</c:v>
                </c:pt>
                <c:pt idx="325">
                  <c:v>6.5747199988591687E-2</c:v>
                </c:pt>
                <c:pt idx="326">
                  <c:v>6.5767662522608572E-2</c:v>
                </c:pt>
                <c:pt idx="327">
                  <c:v>6.578812460844341E-2</c:v>
                </c:pt>
                <c:pt idx="328">
                  <c:v>6.5808586246106082E-2</c:v>
                </c:pt>
                <c:pt idx="329">
                  <c:v>6.5829047435606358E-2</c:v>
                </c:pt>
                <c:pt idx="330">
                  <c:v>6.5849508176954008E-2</c:v>
                </c:pt>
                <c:pt idx="331">
                  <c:v>6.5869968470159024E-2</c:v>
                </c:pt>
                <c:pt idx="332">
                  <c:v>6.5890428315231064E-2</c:v>
                </c:pt>
                <c:pt idx="333">
                  <c:v>6.59108877121799E-2</c:v>
                </c:pt>
                <c:pt idx="334">
                  <c:v>6.5931346661015522E-2</c:v>
                </c:pt>
                <c:pt idx="335">
                  <c:v>6.5951805161747701E-2</c:v>
                </c:pt>
                <c:pt idx="336">
                  <c:v>6.5972263214386206E-2</c:v>
                </c:pt>
                <c:pt idx="337">
                  <c:v>6.5992720818940809E-2</c:v>
                </c:pt>
                <c:pt idx="338">
                  <c:v>6.6013177975421278E-2</c:v>
                </c:pt>
                <c:pt idx="339">
                  <c:v>6.6033634683837605E-2</c:v>
                </c:pt>
                <c:pt idx="340">
                  <c:v>6.6054090944199562E-2</c:v>
                </c:pt>
                <c:pt idx="341">
                  <c:v>6.6074546756516916E-2</c:v>
                </c:pt>
                <c:pt idx="342">
                  <c:v>6.609500212079944E-2</c:v>
                </c:pt>
                <c:pt idx="343">
                  <c:v>6.6115457037056902E-2</c:v>
                </c:pt>
                <c:pt idx="344">
                  <c:v>6.6135911505299294E-2</c:v>
                </c:pt>
                <c:pt idx="345">
                  <c:v>6.6156365525536387E-2</c:v>
                </c:pt>
                <c:pt idx="346">
                  <c:v>6.6176819097777839E-2</c:v>
                </c:pt>
                <c:pt idx="347">
                  <c:v>6.6197272222033643E-2</c:v>
                </c:pt>
                <c:pt idx="348">
                  <c:v>6.6217724898313568E-2</c:v>
                </c:pt>
                <c:pt idx="349">
                  <c:v>6.6238177126627273E-2</c:v>
                </c:pt>
                <c:pt idx="350">
                  <c:v>6.6258628906984751E-2</c:v>
                </c:pt>
                <c:pt idx="351">
                  <c:v>6.6279080239395771E-2</c:v>
                </c:pt>
                <c:pt idx="352">
                  <c:v>6.6299531123870103E-2</c:v>
                </c:pt>
                <c:pt idx="353">
                  <c:v>6.6319981560417518E-2</c:v>
                </c:pt>
                <c:pt idx="354">
                  <c:v>6.6340431549048007E-2</c:v>
                </c:pt>
                <c:pt idx="355">
                  <c:v>6.6360881089771118E-2</c:v>
                </c:pt>
                <c:pt idx="356">
                  <c:v>6.6381330182596954E-2</c:v>
                </c:pt>
                <c:pt idx="357">
                  <c:v>6.6401778827535063E-2</c:v>
                </c:pt>
                <c:pt idx="358">
                  <c:v>6.6422227024595437E-2</c:v>
                </c:pt>
                <c:pt idx="359">
                  <c:v>6.6442674773787735E-2</c:v>
                </c:pt>
                <c:pt idx="360">
                  <c:v>6.646312207512195E-2</c:v>
                </c:pt>
                <c:pt idx="361">
                  <c:v>6.6483568928607739E-2</c:v>
                </c:pt>
                <c:pt idx="362">
                  <c:v>6.6504015334254984E-2</c:v>
                </c:pt>
                <c:pt idx="363">
                  <c:v>6.6524461292073456E-2</c:v>
                </c:pt>
                <c:pt idx="364">
                  <c:v>6.6544906802072923E-2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2.107000526303561E-4</c:v>
                </c:pt>
                <c:pt idx="1">
                  <c:v>2.0849402931887194E-4</c:v>
                </c:pt>
                <c:pt idx="2">
                  <c:v>2.0653173208706209E-4</c:v>
                </c:pt>
                <c:pt idx="3">
                  <c:v>2.0481871201232166E-4</c:v>
                </c:pt>
                <c:pt idx="4">
                  <c:v>2.03359878925407E-4</c:v>
                </c:pt>
                <c:pt idx="5">
                  <c:v>2.0215963713897367E-4</c:v>
                </c:pt>
                <c:pt idx="6">
                  <c:v>2.012220214589063E-4</c:v>
                </c:pt>
                <c:pt idx="7">
                  <c:v>2.0055083255859305E-4</c:v>
                </c:pt>
                <c:pt idx="8">
                  <c:v>2.0012744171838266E-4</c:v>
                </c:pt>
                <c:pt idx="9">
                  <c:v>1.9966685347448489E-4</c:v>
                </c:pt>
                <c:pt idx="10">
                  <c:v>1.990781744772928E-4</c:v>
                </c:pt>
                <c:pt idx="11">
                  <c:v>1.9836153079775707E-4</c:v>
                </c:pt>
                <c:pt idx="12">
                  <c:v>1.9751720355768649E-4</c:v>
                </c:pt>
                <c:pt idx="13">
                  <c:v>1.9654563568378107E-4</c:v>
                </c:pt>
                <c:pt idx="14">
                  <c:v>1.9544743741999572E-4</c:v>
                </c:pt>
                <c:pt idx="15">
                  <c:v>1.9418446101061339E-4</c:v>
                </c:pt>
                <c:pt idx="16">
                  <c:v>1.9262245270267316E-4</c:v>
                </c:pt>
                <c:pt idx="17">
                  <c:v>1.9076673748436295E-4</c:v>
                </c:pt>
                <c:pt idx="18">
                  <c:v>1.8862289554554335E-4</c:v>
                </c:pt>
                <c:pt idx="19">
                  <c:v>1.8619781186885774E-4</c:v>
                </c:pt>
                <c:pt idx="20">
                  <c:v>1.8349904833325477E-4</c:v>
                </c:pt>
                <c:pt idx="21">
                  <c:v>1.8053356336106564E-4</c:v>
                </c:pt>
                <c:pt idx="22">
                  <c:v>1.7729988137339884E-4</c:v>
                </c:pt>
                <c:pt idx="23">
                  <c:v>1.7396445397379831E-4</c:v>
                </c:pt>
                <c:pt idx="24">
                  <c:v>1.7076825029554803E-4</c:v>
                </c:pt>
                <c:pt idx="25">
                  <c:v>1.6771597592143728E-4</c:v>
                </c:pt>
                <c:pt idx="26">
                  <c:v>1.6481152538942251E-4</c:v>
                </c:pt>
                <c:pt idx="27">
                  <c:v>1.6205806088232625E-4</c:v>
                </c:pt>
                <c:pt idx="28">
                  <c:v>1.5945809139357187E-4</c:v>
                </c:pt>
                <c:pt idx="29">
                  <c:v>1.5706127762124425E-4</c:v>
                </c:pt>
                <c:pt idx="30">
                  <c:v>1.5490179957942292E-4</c:v>
                </c:pt>
                <c:pt idx="31">
                  <c:v>1.5297842553009704E-4</c:v>
                </c:pt>
                <c:pt idx="32">
                  <c:v>1.5128967376121547E-4</c:v>
                </c:pt>
                <c:pt idx="33">
                  <c:v>1.4983390110532422E-4</c:v>
                </c:pt>
                <c:pt idx="34">
                  <c:v>1.486093855586401E-4</c:v>
                </c:pt>
                <c:pt idx="35">
                  <c:v>1.4761440330431067E-4</c:v>
                </c:pt>
                <c:pt idx="36">
                  <c:v>1.4683165975385961E-4</c:v>
                </c:pt>
                <c:pt idx="37">
                  <c:v>1.4627533750651429E-4</c:v>
                </c:pt>
                <c:pt idx="38">
                  <c:v>1.458010146506915E-4</c:v>
                </c:pt>
                <c:pt idx="39">
                  <c:v>1.4540875536855086E-4</c:v>
                </c:pt>
                <c:pt idx="40">
                  <c:v>1.4509858626342615E-4</c:v>
                </c:pt>
                <c:pt idx="41">
                  <c:v>1.4487051169860673E-4</c:v>
                </c:pt>
                <c:pt idx="42">
                  <c:v>1.4472452857068556E-4</c:v>
                </c:pt>
                <c:pt idx="43">
                  <c:v>1.447091436503986E-4</c:v>
                </c:pt>
                <c:pt idx="44">
                  <c:v>1.4478129961679502E-4</c:v>
                </c:pt>
                <c:pt idx="45">
                  <c:v>1.4494093923638778E-4</c:v>
                </c:pt>
                <c:pt idx="46">
                  <c:v>1.4518806104258787E-4</c:v>
                </c:pt>
                <c:pt idx="47">
                  <c:v>1.4552273221548714E-4</c:v>
                </c:pt>
                <c:pt idx="48">
                  <c:v>1.4594510114270014E-4</c:v>
                </c:pt>
                <c:pt idx="49">
                  <c:v>1.4645540977078402E-4</c:v>
                </c:pt>
                <c:pt idx="50">
                  <c:v>1.4705025003681015E-4</c:v>
                </c:pt>
                <c:pt idx="51">
                  <c:v>1.4757482090893578E-4</c:v>
                </c:pt>
                <c:pt idx="52">
                  <c:v>1.4800112358457146E-4</c:v>
                </c:pt>
                <c:pt idx="53">
                  <c:v>1.4833017609400424E-4</c:v>
                </c:pt>
                <c:pt idx="54">
                  <c:v>1.4856366637594129E-4</c:v>
                </c:pt>
                <c:pt idx="55">
                  <c:v>1.4870323202495963E-4</c:v>
                </c:pt>
                <c:pt idx="56">
                  <c:v>1.4875046789283712E-4</c:v>
                </c:pt>
                <c:pt idx="57">
                  <c:v>1.4834642999460746E-4</c:v>
                </c:pt>
                <c:pt idx="58">
                  <c:v>1.4745540532172443E-4</c:v>
                </c:pt>
                <c:pt idx="59">
                  <c:v>1.460858652365779E-4</c:v>
                </c:pt>
                <c:pt idx="60">
                  <c:v>1.4424593942696402E-4</c:v>
                </c:pt>
                <c:pt idx="61">
                  <c:v>1.4194343115885304E-4</c:v>
                </c:pt>
                <c:pt idx="62">
                  <c:v>1.391858289623385E-4</c:v>
                </c:pt>
                <c:pt idx="63">
                  <c:v>1.3598031490967728E-4</c:v>
                </c:pt>
                <c:pt idx="64">
                  <c:v>1.323325816089716E-4</c:v>
                </c:pt>
                <c:pt idx="65">
                  <c:v>1.2825911639617686E-4</c:v>
                </c:pt>
                <c:pt idx="66">
                  <c:v>1.2390464808681876E-4</c:v>
                </c:pt>
                <c:pt idx="67">
                  <c:v>1.1927400887146842E-4</c:v>
                </c:pt>
                <c:pt idx="68">
                  <c:v>1.1437163866224725E-4</c:v>
                </c:pt>
                <c:pt idx="69">
                  <c:v>1.0920155980801081E-4</c:v>
                </c:pt>
                <c:pt idx="70">
                  <c:v>1.0376735182232626E-4</c:v>
                </c:pt>
                <c:pt idx="71">
                  <c:v>9.8279598274908414E-5</c:v>
                </c:pt>
                <c:pt idx="72">
                  <c:v>9.3071077920560077E-5</c:v>
                </c:pt>
                <c:pt idx="73">
                  <c:v>8.8137063964623867E-5</c:v>
                </c:pt>
                <c:pt idx="74">
                  <c:v>8.3472918822997087E-5</c:v>
                </c:pt>
                <c:pt idx="75">
                  <c:v>7.9074112225167807E-5</c:v>
                </c:pt>
                <c:pt idx="76">
                  <c:v>7.4936239223987803E-5</c:v>
                </c:pt>
                <c:pt idx="77">
                  <c:v>7.1055038085616207E-5</c:v>
                </c:pt>
                <c:pt idx="78">
                  <c:v>6.74232504548758E-5</c:v>
                </c:pt>
                <c:pt idx="79">
                  <c:v>6.4058895993283462E-5</c:v>
                </c:pt>
                <c:pt idx="80">
                  <c:v>6.0949997277254107E-5</c:v>
                </c:pt>
                <c:pt idx="81">
                  <c:v>5.809400211775087E-5</c:v>
                </c:pt>
                <c:pt idx="82">
                  <c:v>5.54883988829166E-5</c:v>
                </c:pt>
                <c:pt idx="83">
                  <c:v>5.3130763467113261E-5</c:v>
                </c:pt>
                <c:pt idx="84">
                  <c:v>5.101880481147892E-5</c:v>
                </c:pt>
                <c:pt idx="85">
                  <c:v>4.9205037793488839E-5</c:v>
                </c:pt>
                <c:pt idx="86">
                  <c:v>4.7489415372300383E-5</c:v>
                </c:pt>
                <c:pt idx="87">
                  <c:v>4.5870921726962218E-5</c:v>
                </c:pt>
                <c:pt idx="88">
                  <c:v>4.4348571220132619E-5</c:v>
                </c:pt>
                <c:pt idx="89">
                  <c:v>4.292142477287212E-5</c:v>
                </c:pt>
                <c:pt idx="90">
                  <c:v>4.1588605793699156E-5</c:v>
                </c:pt>
                <c:pt idx="91">
                  <c:v>4.0349315754732422E-5</c:v>
                </c:pt>
                <c:pt idx="92">
                  <c:v>3.9202342893946576E-5</c:v>
                </c:pt>
                <c:pt idx="93">
                  <c:v>3.8332872613817479E-5</c:v>
                </c:pt>
                <c:pt idx="94">
                  <c:v>3.7716969749596742E-5</c:v>
                </c:pt>
                <c:pt idx="95">
                  <c:v>3.7354586499223057E-5</c:v>
                </c:pt>
                <c:pt idx="96">
                  <c:v>3.7246212524887434E-5</c:v>
                </c:pt>
                <c:pt idx="97">
                  <c:v>3.7392861245566655E-5</c:v>
                </c:pt>
                <c:pt idx="98">
                  <c:v>3.7796057275986548E-5</c:v>
                </c:pt>
                <c:pt idx="99">
                  <c:v>3.885310652850416E-5</c:v>
                </c:pt>
                <c:pt idx="100">
                  <c:v>4.0515042035231647E-5</c:v>
                </c:pt>
                <c:pt idx="101">
                  <c:v>4.2788847378422955E-5</c:v>
                </c:pt>
                <c:pt idx="102">
                  <c:v>4.5682627681324466E-5</c:v>
                </c:pt>
                <c:pt idx="103">
                  <c:v>4.9205586535002961E-5</c:v>
                </c:pt>
                <c:pt idx="104">
                  <c:v>5.3368002302876817E-5</c:v>
                </c:pt>
                <c:pt idx="105">
                  <c:v>5.8181203275694994E-5</c:v>
                </c:pt>
                <c:pt idx="106">
                  <c:v>6.3658767673413071E-5</c:v>
                </c:pt>
                <c:pt idx="107">
                  <c:v>7.0220880044921094E-5</c:v>
                </c:pt>
                <c:pt idx="108">
                  <c:v>7.7693738547208744E-5</c:v>
                </c:pt>
                <c:pt idx="109">
                  <c:v>8.6099103763237277E-5</c:v>
                </c:pt>
                <c:pt idx="110">
                  <c:v>9.5460965207154285E-5</c:v>
                </c:pt>
                <c:pt idx="111">
                  <c:v>1.0580545521969352E-4</c:v>
                </c:pt>
                <c:pt idx="112">
                  <c:v>1.1716060378392051E-4</c:v>
                </c:pt>
                <c:pt idx="113">
                  <c:v>1.2978393887927848E-4</c:v>
                </c:pt>
                <c:pt idx="114">
                  <c:v>1.432847538964765E-4</c:v>
                </c:pt>
                <c:pt idx="115">
                  <c:v>1.5769330795917962E-4</c:v>
                </c:pt>
                <c:pt idx="116">
                  <c:v>1.7304175002829934E-4</c:v>
                </c:pt>
                <c:pt idx="117">
                  <c:v>1.8936416056422554E-4</c:v>
                </c:pt>
                <c:pt idx="118">
                  <c:v>2.0669659103427556E-4</c:v>
                </c:pt>
                <c:pt idx="119">
                  <c:v>2.2507710092120961E-4</c:v>
                </c:pt>
                <c:pt idx="120">
                  <c:v>2.4454757210844023E-4</c:v>
                </c:pt>
                <c:pt idx="121">
                  <c:v>2.6537710350515531E-4</c:v>
                </c:pt>
                <c:pt idx="122">
                  <c:v>2.8715985354164507E-4</c:v>
                </c:pt>
                <c:pt idx="123">
                  <c:v>3.0993328680633864E-4</c:v>
                </c:pt>
                <c:pt idx="124">
                  <c:v>3.3373577793756922E-4</c:v>
                </c:pt>
                <c:pt idx="125">
                  <c:v>3.5860653628024143E-4</c:v>
                </c:pt>
                <c:pt idx="126">
                  <c:v>3.8458551940452802E-4</c:v>
                </c:pt>
                <c:pt idx="127">
                  <c:v>4.117466771915653E-4</c:v>
                </c:pt>
                <c:pt idx="128">
                  <c:v>4.3986902984332639E-4</c:v>
                </c:pt>
                <c:pt idx="129">
                  <c:v>4.6898584928981447E-4</c:v>
                </c:pt>
                <c:pt idx="130">
                  <c:v>4.9913019281002204E-4</c:v>
                </c:pt>
                <c:pt idx="131">
                  <c:v>5.3033476700087745E-4</c:v>
                </c:pt>
                <c:pt idx="132">
                  <c:v>5.6263178101661766E-4</c:v>
                </c:pt>
                <c:pt idx="133">
                  <c:v>5.9605278904556046E-4</c:v>
                </c:pt>
                <c:pt idx="134">
                  <c:v>6.3063951681264238E-4</c:v>
                </c:pt>
                <c:pt idx="135">
                  <c:v>6.6642467089345135E-4</c:v>
                </c:pt>
                <c:pt idx="136">
                  <c:v>7.0317308795542818E-4</c:v>
                </c:pt>
                <c:pt idx="137">
                  <c:v>7.409080744511696E-4</c:v>
                </c:pt>
                <c:pt idx="138">
                  <c:v>7.7965172053814935E-4</c:v>
                </c:pt>
                <c:pt idx="139">
                  <c:v>8.1942476804145446E-4</c:v>
                </c:pt>
                <c:pt idx="140">
                  <c:v>8.6024647645125134E-4</c:v>
                </c:pt>
                <c:pt idx="141">
                  <c:v>9.0214448534210929E-4</c:v>
                </c:pt>
                <c:pt idx="142">
                  <c:v>9.4508938927603272E-4</c:v>
                </c:pt>
                <c:pt idx="143">
                  <c:v>9.8908877763295017E-4</c:v>
                </c:pt>
                <c:pt idx="144">
                  <c:v>1.0341535681270061E-3</c:v>
                </c:pt>
                <c:pt idx="145">
                  <c:v>1.0802927192957365E-3</c:v>
                </c:pt>
                <c:pt idx="146">
                  <c:v>1.127513128363205E-3</c:v>
                </c:pt>
                <c:pt idx="147">
                  <c:v>1.175819536275439E-3</c:v>
                </c:pt>
                <c:pt idx="148">
                  <c:v>1.2252151778445301E-3</c:v>
                </c:pt>
                <c:pt idx="149">
                  <c:v>1.2751666021897071E-3</c:v>
                </c:pt>
                <c:pt idx="150">
                  <c:v>1.3256694966225567E-3</c:v>
                </c:pt>
                <c:pt idx="151">
                  <c:v>1.3767032285330954E-3</c:v>
                </c:pt>
                <c:pt idx="152">
                  <c:v>1.4282451575999108E-3</c:v>
                </c:pt>
                <c:pt idx="153">
                  <c:v>1.4802707008143656E-3</c:v>
                </c:pt>
                <c:pt idx="154">
                  <c:v>1.532753413027874E-3</c:v>
                </c:pt>
                <c:pt idx="155">
                  <c:v>1.5846563197179117E-3</c:v>
                </c:pt>
                <c:pt idx="156">
                  <c:v>1.6358968810723743E-3</c:v>
                </c:pt>
                <c:pt idx="157">
                  <c:v>1.6864024256880281E-3</c:v>
                </c:pt>
                <c:pt idx="158">
                  <c:v>1.7360985913322691E-3</c:v>
                </c:pt>
                <c:pt idx="159">
                  <c:v>1.7849095736678549E-3</c:v>
                </c:pt>
                <c:pt idx="160">
                  <c:v>1.8327583852731672E-3</c:v>
                </c:pt>
                <c:pt idx="161">
                  <c:v>1.8795671220866996E-3</c:v>
                </c:pt>
                <c:pt idx="162">
                  <c:v>1.9252788541211712E-3</c:v>
                </c:pt>
                <c:pt idx="163">
                  <c:v>1.9689032606777009E-3</c:v>
                </c:pt>
                <c:pt idx="164">
                  <c:v>2.010965221912576E-3</c:v>
                </c:pt>
                <c:pt idx="165">
                  <c:v>2.0513577844110597E-3</c:v>
                </c:pt>
                <c:pt idx="166">
                  <c:v>2.0899728906998817E-3</c:v>
                </c:pt>
                <c:pt idx="167">
                  <c:v>2.1267017908964958E-3</c:v>
                </c:pt>
                <c:pt idx="168">
                  <c:v>2.1614354595023977E-3</c:v>
                </c:pt>
                <c:pt idx="169">
                  <c:v>2.1930740115822167E-3</c:v>
                </c:pt>
                <c:pt idx="170">
                  <c:v>2.2226892388279925E-3</c:v>
                </c:pt>
                <c:pt idx="171">
                  <c:v>2.2501810491681986E-3</c:v>
                </c:pt>
                <c:pt idx="172">
                  <c:v>2.275450653320387E-3</c:v>
                </c:pt>
                <c:pt idx="173">
                  <c:v>2.2983774298837687E-3</c:v>
                </c:pt>
                <c:pt idx="174">
                  <c:v>2.3188406922677609E-3</c:v>
                </c:pt>
                <c:pt idx="175">
                  <c:v>2.336744774492615E-3</c:v>
                </c:pt>
                <c:pt idx="176">
                  <c:v>2.3520406498732469E-3</c:v>
                </c:pt>
                <c:pt idx="177">
                  <c:v>2.3633922111131033E-3</c:v>
                </c:pt>
                <c:pt idx="178">
                  <c:v>2.3717831172195619E-3</c:v>
                </c:pt>
                <c:pt idx="179">
                  <c:v>2.3771449256792978E-3</c:v>
                </c:pt>
                <c:pt idx="180">
                  <c:v>2.3794130665794767E-3</c:v>
                </c:pt>
                <c:pt idx="181">
                  <c:v>2.378526860360373E-3</c:v>
                </c:pt>
                <c:pt idx="182">
                  <c:v>2.3744295032607052E-3</c:v>
                </c:pt>
                <c:pt idx="183">
                  <c:v>2.3662744768120042E-3</c:v>
                </c:pt>
                <c:pt idx="184">
                  <c:v>2.3551363333172396E-3</c:v>
                </c:pt>
                <c:pt idx="185">
                  <c:v>2.3409777623801557E-3</c:v>
                </c:pt>
                <c:pt idx="186">
                  <c:v>2.3237646620122079E-3</c:v>
                </c:pt>
                <c:pt idx="187">
                  <c:v>2.3034659876813805E-3</c:v>
                </c:pt>
                <c:pt idx="188">
                  <c:v>2.2800535827278263E-3</c:v>
                </c:pt>
                <c:pt idx="189">
                  <c:v>2.2535019925350483E-3</c:v>
                </c:pt>
                <c:pt idx="190">
                  <c:v>2.2238065561973053E-3</c:v>
                </c:pt>
                <c:pt idx="191">
                  <c:v>2.1909758564318642E-3</c:v>
                </c:pt>
                <c:pt idx="192">
                  <c:v>2.1564448386669987E-3</c:v>
                </c:pt>
                <c:pt idx="193">
                  <c:v>2.1202149604970127E-3</c:v>
                </c:pt>
                <c:pt idx="194">
                  <c:v>2.0822886226156629E-3</c:v>
                </c:pt>
                <c:pt idx="195">
                  <c:v>2.0426690676844622E-3</c:v>
                </c:pt>
                <c:pt idx="196">
                  <c:v>2.0013602861883011E-3</c:v>
                </c:pt>
                <c:pt idx="197">
                  <c:v>1.9583431759010142E-3</c:v>
                </c:pt>
                <c:pt idx="198">
                  <c:v>1.9144982361518591E-3</c:v>
                </c:pt>
                <c:pt idx="199">
                  <c:v>1.8698447967968692E-3</c:v>
                </c:pt>
                <c:pt idx="200">
                  <c:v>1.8244020718717713E-3</c:v>
                </c:pt>
                <c:pt idx="201">
                  <c:v>1.7781891182437792E-3</c:v>
                </c:pt>
                <c:pt idx="202">
                  <c:v>1.7312248051249903E-3</c:v>
                </c:pt>
                <c:pt idx="203">
                  <c:v>1.6835277942984378E-3</c:v>
                </c:pt>
                <c:pt idx="204">
                  <c:v>1.6351229199311752E-3</c:v>
                </c:pt>
                <c:pt idx="205">
                  <c:v>1.5861145787401457E-3</c:v>
                </c:pt>
                <c:pt idx="206">
                  <c:v>1.5365089561703189E-3</c:v>
                </c:pt>
                <c:pt idx="207">
                  <c:v>1.4863296797711393E-3</c:v>
                </c:pt>
                <c:pt idx="208">
                  <c:v>1.4355991516150776E-3</c:v>
                </c:pt>
                <c:pt idx="209">
                  <c:v>1.384338545654889E-3</c:v>
                </c:pt>
                <c:pt idx="210">
                  <c:v>1.3325678130766227E-3</c:v>
                </c:pt>
                <c:pt idx="211">
                  <c:v>1.2808634586470176E-3</c:v>
                </c:pt>
                <c:pt idx="212">
                  <c:v>1.2292749058048235E-3</c:v>
                </c:pt>
                <c:pt idx="213">
                  <c:v>1.1778250687795469E-3</c:v>
                </c:pt>
                <c:pt idx="214">
                  <c:v>1.1265355433990024E-3</c:v>
                </c:pt>
                <c:pt idx="215">
                  <c:v>1.0754266624072716E-3</c:v>
                </c:pt>
                <c:pt idx="216">
                  <c:v>1.0245175524374848E-3</c:v>
                </c:pt>
                <c:pt idx="217">
                  <c:v>9.7382619178415747E-4</c:v>
                </c:pt>
                <c:pt idx="218">
                  <c:v>9.2336815413764984E-4</c:v>
                </c:pt>
                <c:pt idx="219">
                  <c:v>8.737758472966169E-4</c:v>
                </c:pt>
                <c:pt idx="220">
                  <c:v>8.2498850423023495E-4</c:v>
                </c:pt>
                <c:pt idx="221">
                  <c:v>7.7702386819767223E-4</c:v>
                </c:pt>
                <c:pt idx="222">
                  <c:v>7.2989937914084231E-4</c:v>
                </c:pt>
                <c:pt idx="223">
                  <c:v>6.8363221392514918E-4</c:v>
                </c:pt>
                <c:pt idx="224">
                  <c:v>6.3823932203548473E-4</c:v>
                </c:pt>
                <c:pt idx="225">
                  <c:v>5.9490659273575997E-4</c:v>
                </c:pt>
                <c:pt idx="226">
                  <c:v>5.5307412787843611E-4</c:v>
                </c:pt>
                <c:pt idx="227">
                  <c:v>5.1276349526294162E-4</c:v>
                </c:pt>
                <c:pt idx="228">
                  <c:v>4.7399595957206965E-4</c:v>
                </c:pt>
                <c:pt idx="229">
                  <c:v>4.3679248459455033E-4</c:v>
                </c:pt>
                <c:pt idx="230">
                  <c:v>4.0117373028585008E-4</c:v>
                </c:pt>
                <c:pt idx="231">
                  <c:v>3.671600449410659E-4</c:v>
                </c:pt>
                <c:pt idx="232">
                  <c:v>3.3476592599658534E-4</c:v>
                </c:pt>
                <c:pt idx="233">
                  <c:v>3.0521885166514016E-4</c:v>
                </c:pt>
                <c:pt idx="234">
                  <c:v>2.7790440534197883E-4</c:v>
                </c:pt>
                <c:pt idx="235">
                  <c:v>2.5284942318842596E-4</c:v>
                </c:pt>
                <c:pt idx="236">
                  <c:v>2.3007889532880514E-4</c:v>
                </c:pt>
                <c:pt idx="237">
                  <c:v>2.0961594774662295E-4</c:v>
                </c:pt>
                <c:pt idx="238">
                  <c:v>1.9148225480598307E-4</c:v>
                </c:pt>
                <c:pt idx="239">
                  <c:v>1.7628505463288406E-4</c:v>
                </c:pt>
                <c:pt idx="240">
                  <c:v>1.6283160025007672E-4</c:v>
                </c:pt>
                <c:pt idx="241">
                  <c:v>1.5113628884896524E-4</c:v>
                </c:pt>
                <c:pt idx="242">
                  <c:v>1.412129738319771E-4</c:v>
                </c:pt>
                <c:pt idx="243">
                  <c:v>1.330751377537697E-4</c:v>
                </c:pt>
                <c:pt idx="244">
                  <c:v>1.2673606790213366E-4</c:v>
                </c:pt>
                <c:pt idx="245">
                  <c:v>1.2220903454974067E-4</c:v>
                </c:pt>
                <c:pt idx="246">
                  <c:v>1.1950285297607827E-4</c:v>
                </c:pt>
                <c:pt idx="247">
                  <c:v>1.1880062097826173E-4</c:v>
                </c:pt>
                <c:pt idx="248">
                  <c:v>1.1886502366361963E-4</c:v>
                </c:pt>
                <c:pt idx="249">
                  <c:v>1.1970196479909858E-4</c:v>
                </c:pt>
                <c:pt idx="250">
                  <c:v>1.2131728543465412E-4</c:v>
                </c:pt>
                <c:pt idx="251">
                  <c:v>1.237168069199069E-4</c:v>
                </c:pt>
                <c:pt idx="252">
                  <c:v>1.2690637411176162E-4</c:v>
                </c:pt>
                <c:pt idx="253">
                  <c:v>1.3096763992173405E-4</c:v>
                </c:pt>
                <c:pt idx="254">
                  <c:v>1.3530017295621801E-4</c:v>
                </c:pt>
                <c:pt idx="255">
                  <c:v>1.3990658963727035E-4</c:v>
                </c:pt>
                <c:pt idx="256">
                  <c:v>1.4478963059892517E-4</c:v>
                </c:pt>
                <c:pt idx="257">
                  <c:v>1.4995217674921047E-4</c:v>
                </c:pt>
                <c:pt idx="258">
                  <c:v>1.5539726605034716E-4</c:v>
                </c:pt>
                <c:pt idx="259">
                  <c:v>1.6112811126587175E-4</c:v>
                </c:pt>
                <c:pt idx="260">
                  <c:v>1.6714585543184247E-4</c:v>
                </c:pt>
                <c:pt idx="261">
                  <c:v>1.7410268296473867E-4</c:v>
                </c:pt>
                <c:pt idx="262">
                  <c:v>1.8182475302025379E-4</c:v>
                </c:pt>
                <c:pt idx="263">
                  <c:v>1.9031708037901016E-4</c:v>
                </c:pt>
                <c:pt idx="264">
                  <c:v>1.9958463153256883E-4</c:v>
                </c:pt>
                <c:pt idx="265">
                  <c:v>2.0963341510647383E-4</c:v>
                </c:pt>
                <c:pt idx="266">
                  <c:v>2.2046898582301353E-4</c:v>
                </c:pt>
                <c:pt idx="267">
                  <c:v>2.321274164287106E-4</c:v>
                </c:pt>
                <c:pt idx="268">
                  <c:v>2.4453492474856123E-4</c:v>
                </c:pt>
                <c:pt idx="269">
                  <c:v>2.5769540588721967E-4</c:v>
                </c:pt>
                <c:pt idx="270">
                  <c:v>2.7161250829777368E-4</c:v>
                </c:pt>
                <c:pt idx="271">
                  <c:v>2.8628960533453419E-4</c:v>
                </c:pt>
                <c:pt idx="272">
                  <c:v>3.017297688097603E-4</c:v>
                </c:pt>
                <c:pt idx="273">
                  <c:v>3.1793574507022582E-4</c:v>
                </c:pt>
                <c:pt idx="274">
                  <c:v>3.3491497693842036E-4</c:v>
                </c:pt>
                <c:pt idx="275">
                  <c:v>3.515880155109067E-4</c:v>
                </c:pt>
                <c:pt idx="276">
                  <c:v>3.6727364459167723E-4</c:v>
                </c:pt>
                <c:pt idx="277">
                  <c:v>3.8196145790566255E-4</c:v>
                </c:pt>
                <c:pt idx="278">
                  <c:v>3.9564077335807219E-4</c:v>
                </c:pt>
                <c:pt idx="279">
                  <c:v>4.0830072330807267E-4</c:v>
                </c:pt>
                <c:pt idx="280">
                  <c:v>4.1993034543838628E-4</c:v>
                </c:pt>
                <c:pt idx="281">
                  <c:v>4.3007737032770644E-4</c:v>
                </c:pt>
                <c:pt idx="282">
                  <c:v>4.386956517166673E-4</c:v>
                </c:pt>
                <c:pt idx="283">
                  <c:v>4.4577170690202831E-4</c:v>
                </c:pt>
                <c:pt idx="284">
                  <c:v>4.5129250305289773E-4</c:v>
                </c:pt>
                <c:pt idx="285">
                  <c:v>4.5524556834469066E-4</c:v>
                </c:pt>
                <c:pt idx="286">
                  <c:v>4.5761909779023575E-4</c:v>
                </c:pt>
                <c:pt idx="287">
                  <c:v>4.5840205285036667E-4</c:v>
                </c:pt>
                <c:pt idx="288">
                  <c:v>4.5758807267494412E-4</c:v>
                </c:pt>
                <c:pt idx="289">
                  <c:v>4.5531063192497996E-4</c:v>
                </c:pt>
                <c:pt idx="290">
                  <c:v>4.5268495180210346E-4</c:v>
                </c:pt>
                <c:pt idx="291">
                  <c:v>4.4971261716285999E-4</c:v>
                </c:pt>
                <c:pt idx="292">
                  <c:v>4.4639554031853344E-4</c:v>
                </c:pt>
                <c:pt idx="293">
                  <c:v>4.4273593885286734E-4</c:v>
                </c:pt>
                <c:pt idx="294">
                  <c:v>4.387363090038529E-4</c:v>
                </c:pt>
                <c:pt idx="295">
                  <c:v>4.3448623239247851E-4</c:v>
                </c:pt>
                <c:pt idx="296">
                  <c:v>4.3044627162958451E-4</c:v>
                </c:pt>
                <c:pt idx="297">
                  <c:v>4.2662503463602319E-4</c:v>
                </c:pt>
                <c:pt idx="298">
                  <c:v>4.2302766254728459E-4</c:v>
                </c:pt>
                <c:pt idx="299">
                  <c:v>4.1965947233889365E-4</c:v>
                </c:pt>
                <c:pt idx="300">
                  <c:v>4.1652597073222935E-4</c:v>
                </c:pt>
                <c:pt idx="301">
                  <c:v>4.1363287001318903E-4</c:v>
                </c:pt>
                <c:pt idx="302">
                  <c:v>4.1101860610520924E-4</c:v>
                </c:pt>
                <c:pt idx="303">
                  <c:v>4.0883173190678243E-4</c:v>
                </c:pt>
                <c:pt idx="304">
                  <c:v>4.0692306604667936E-4</c:v>
                </c:pt>
                <c:pt idx="305">
                  <c:v>4.0528229532263389E-4</c:v>
                </c:pt>
                <c:pt idx="306">
                  <c:v>4.0389921401015529E-4</c:v>
                </c:pt>
                <c:pt idx="307">
                  <c:v>4.0276360583527484E-4</c:v>
                </c:pt>
                <c:pt idx="308">
                  <c:v>4.0186512849190928E-4</c:v>
                </c:pt>
                <c:pt idx="309">
                  <c:v>4.0158642188319467E-4</c:v>
                </c:pt>
                <c:pt idx="310">
                  <c:v>4.0183034646711275E-4</c:v>
                </c:pt>
                <c:pt idx="311">
                  <c:v>4.0258787197380164E-4</c:v>
                </c:pt>
                <c:pt idx="312">
                  <c:v>4.0384928717723177E-4</c:v>
                </c:pt>
                <c:pt idx="313">
                  <c:v>4.0560398832742265E-4</c:v>
                </c:pt>
                <c:pt idx="314">
                  <c:v>4.0784026484608698E-4</c:v>
                </c:pt>
                <c:pt idx="315">
                  <c:v>4.1054508430621528E-4</c:v>
                </c:pt>
                <c:pt idx="316">
                  <c:v>4.1376232259092281E-4</c:v>
                </c:pt>
                <c:pt idx="317">
                  <c:v>4.1745703089789756E-4</c:v>
                </c:pt>
                <c:pt idx="318">
                  <c:v>4.2150606909663367E-4</c:v>
                </c:pt>
                <c:pt idx="319">
                  <c:v>4.2591083813583525E-4</c:v>
                </c:pt>
                <c:pt idx="320">
                  <c:v>4.3067246877762024E-4</c:v>
                </c:pt>
                <c:pt idx="321">
                  <c:v>4.3579175847417012E-4</c:v>
                </c:pt>
                <c:pt idx="322">
                  <c:v>4.4126910331709164E-4</c:v>
                </c:pt>
                <c:pt idx="323">
                  <c:v>4.4652225912713525E-4</c:v>
                </c:pt>
                <c:pt idx="324">
                  <c:v>4.5113843672407332E-4</c:v>
                </c:pt>
                <c:pt idx="325">
                  <c:v>4.5510856201483595E-4</c:v>
                </c:pt>
                <c:pt idx="326">
                  <c:v>4.5841989601261898E-4</c:v>
                </c:pt>
                <c:pt idx="327">
                  <c:v>4.6106076376192676E-4</c:v>
                </c:pt>
                <c:pt idx="328">
                  <c:v>4.6302113774760898E-4</c:v>
                </c:pt>
                <c:pt idx="329">
                  <c:v>4.6429036987525061E-4</c:v>
                </c:pt>
                <c:pt idx="330">
                  <c:v>4.6493669375119386E-4</c:v>
                </c:pt>
                <c:pt idx="331">
                  <c:v>4.6534539419645048E-4</c:v>
                </c:pt>
                <c:pt idx="332">
                  <c:v>4.6558139099789949E-4</c:v>
                </c:pt>
                <c:pt idx="333">
                  <c:v>4.656148494374506E-4</c:v>
                </c:pt>
                <c:pt idx="334">
                  <c:v>4.6541434657732553E-4</c:v>
                </c:pt>
                <c:pt idx="335">
                  <c:v>4.6494700953346387E-4</c:v>
                </c:pt>
                <c:pt idx="336">
                  <c:v>4.641787103724471E-4</c:v>
                </c:pt>
                <c:pt idx="337">
                  <c:v>4.6328424414366801E-4</c:v>
                </c:pt>
                <c:pt idx="338">
                  <c:v>4.6283792502793995E-4</c:v>
                </c:pt>
                <c:pt idx="339">
                  <c:v>4.628102537786162E-4</c:v>
                </c:pt>
                <c:pt idx="340">
                  <c:v>4.6317017478196678E-4</c:v>
                </c:pt>
                <c:pt idx="341">
                  <c:v>4.6388493541870302E-4</c:v>
                </c:pt>
                <c:pt idx="342">
                  <c:v>4.6491999489926594E-4</c:v>
                </c:pt>
                <c:pt idx="343">
                  <c:v>4.6623898978974686E-4</c:v>
                </c:pt>
                <c:pt idx="344">
                  <c:v>4.6786364744125117E-4</c:v>
                </c:pt>
                <c:pt idx="345">
                  <c:v>4.6984274171757803E-4</c:v>
                </c:pt>
                <c:pt idx="346">
                  <c:v>4.7161894447243855E-4</c:v>
                </c:pt>
                <c:pt idx="347">
                  <c:v>4.7319544571239471E-4</c:v>
                </c:pt>
                <c:pt idx="348">
                  <c:v>4.7457614686731268E-4</c:v>
                </c:pt>
                <c:pt idx="349">
                  <c:v>4.757656302696647E-4</c:v>
                </c:pt>
                <c:pt idx="350">
                  <c:v>4.7676912404165969E-4</c:v>
                </c:pt>
                <c:pt idx="351">
                  <c:v>4.7737520741491032E-4</c:v>
                </c:pt>
                <c:pt idx="352">
                  <c:v>4.7738184286771993E-4</c:v>
                </c:pt>
                <c:pt idx="353">
                  <c:v>4.7680003545169783E-4</c:v>
                </c:pt>
                <c:pt idx="354">
                  <c:v>4.7564200076672183E-4</c:v>
                </c:pt>
                <c:pt idx="355">
                  <c:v>4.7392103448023028E-4</c:v>
                </c:pt>
                <c:pt idx="356">
                  <c:v>4.7164847864602334E-4</c:v>
                </c:pt>
                <c:pt idx="357">
                  <c:v>4.6884172838256288E-4</c:v>
                </c:pt>
                <c:pt idx="358">
                  <c:v>4.6543034006911108E-4</c:v>
                </c:pt>
                <c:pt idx="359">
                  <c:v>4.6136053006372248E-4</c:v>
                </c:pt>
                <c:pt idx="360">
                  <c:v>4.5687475750030566E-4</c:v>
                </c:pt>
                <c:pt idx="361">
                  <c:v>4.522172927003436E-4</c:v>
                </c:pt>
                <c:pt idx="362">
                  <c:v>4.4741966438278035E-4</c:v>
                </c:pt>
                <c:pt idx="363">
                  <c:v>4.4251225794265811E-4</c:v>
                </c:pt>
                <c:pt idx="364">
                  <c:v>4.3752414241243764E-4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524584"/>
        <c:axId val="242524976"/>
      </c:lineChart>
      <c:dateAx>
        <c:axId val="2425245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4976"/>
        <c:crosses val="autoZero"/>
        <c:auto val="1"/>
        <c:lblOffset val="100"/>
        <c:baseTimeUnit val="days"/>
        <c:majorUnit val="1"/>
        <c:majorTimeUnit val="months"/>
      </c:dateAx>
      <c:valAx>
        <c:axId val="2425249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45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25.643083013917213</c:v>
                </c:pt>
                <c:pt idx="1">
                  <c:v>25.830409776701309</c:v>
                </c:pt>
                <c:pt idx="2">
                  <c:v>26.022967474491516</c:v>
                </c:pt>
                <c:pt idx="3">
                  <c:v>26.219349715545533</c:v>
                </c:pt>
                <c:pt idx="4">
                  <c:v>26.418150830680172</c:v>
                </c:pt>
                <c:pt idx="5">
                  <c:v>26.617965865919182</c:v>
                </c:pt>
                <c:pt idx="6">
                  <c:v>26.817390586110836</c:v>
                </c:pt>
                <c:pt idx="7">
                  <c:v>27.015021473658514</c:v>
                </c:pt>
                <c:pt idx="8">
                  <c:v>27.212492889985889</c:v>
                </c:pt>
                <c:pt idx="9">
                  <c:v>27.412605691237669</c:v>
                </c:pt>
                <c:pt idx="10">
                  <c:v>27.61568970853908</c:v>
                </c:pt>
                <c:pt idx="11">
                  <c:v>27.822069539268394</c:v>
                </c:pt>
                <c:pt idx="12">
                  <c:v>28.032069585365832</c:v>
                </c:pt>
                <c:pt idx="13">
                  <c:v>28.246014060552518</c:v>
                </c:pt>
                <c:pt idx="14">
                  <c:v>28.464226990534392</c:v>
                </c:pt>
                <c:pt idx="15">
                  <c:v>28.687034504538321</c:v>
                </c:pt>
                <c:pt idx="16">
                  <c:v>28.914768334384188</c:v>
                </c:pt>
                <c:pt idx="17">
                  <c:v>29.147751951668727</c:v>
                </c:pt>
                <c:pt idx="18">
                  <c:v>29.386308649718746</c:v>
                </c:pt>
                <c:pt idx="19">
                  <c:v>29.630761479672248</c:v>
                </c:pt>
                <c:pt idx="20">
                  <c:v>29.881433290694112</c:v>
                </c:pt>
                <c:pt idx="21">
                  <c:v>30.138646812443412</c:v>
                </c:pt>
                <c:pt idx="22">
                  <c:v>30.40420835732936</c:v>
                </c:pt>
                <c:pt idx="23">
                  <c:v>30.67898973658496</c:v>
                </c:pt>
                <c:pt idx="24">
                  <c:v>30.961912915499539</c:v>
                </c:pt>
                <c:pt idx="25">
                  <c:v>31.251914984241562</c:v>
                </c:pt>
                <c:pt idx="26">
                  <c:v>31.547933601211728</c:v>
                </c:pt>
                <c:pt idx="27">
                  <c:v>31.84890700342071</c:v>
                </c:pt>
                <c:pt idx="28">
                  <c:v>32.153773995556016</c:v>
                </c:pt>
                <c:pt idx="29">
                  <c:v>32.461470784339603</c:v>
                </c:pt>
                <c:pt idx="30">
                  <c:v>32.770935038007572</c:v>
                </c:pt>
                <c:pt idx="31">
                  <c:v>33.081107289379013</c:v>
                </c:pt>
                <c:pt idx="32">
                  <c:v>33.390928646760699</c:v>
                </c:pt>
                <c:pt idx="33">
                  <c:v>33.699340793014272</c:v>
                </c:pt>
                <c:pt idx="34">
                  <c:v>34.005285986009348</c:v>
                </c:pt>
                <c:pt idx="35">
                  <c:v>34.307707057188786</c:v>
                </c:pt>
                <c:pt idx="36">
                  <c:v>34.609234766990724</c:v>
                </c:pt>
                <c:pt idx="37">
                  <c:v>34.912880928281105</c:v>
                </c:pt>
                <c:pt idx="38">
                  <c:v>35.218174191706126</c:v>
                </c:pt>
                <c:pt idx="39">
                  <c:v>35.524633318786201</c:v>
                </c:pt>
                <c:pt idx="40">
                  <c:v>35.831777338084038</c:v>
                </c:pt>
                <c:pt idx="41">
                  <c:v>36.139125541442993</c:v>
                </c:pt>
                <c:pt idx="42">
                  <c:v>36.446197482608149</c:v>
                </c:pt>
                <c:pt idx="43">
                  <c:v>36.752509327334081</c:v>
                </c:pt>
                <c:pt idx="44">
                  <c:v>37.057584319502389</c:v>
                </c:pt>
                <c:pt idx="45">
                  <c:v>37.360942778556748</c:v>
                </c:pt>
                <c:pt idx="46">
                  <c:v>37.662105271940284</c:v>
                </c:pt>
                <c:pt idx="47">
                  <c:v>37.960592610233441</c:v>
                </c:pt>
                <c:pt idx="48">
                  <c:v>38.255925845613113</c:v>
                </c:pt>
                <c:pt idx="49">
                  <c:v>38.54762626394951</c:v>
                </c:pt>
                <c:pt idx="50">
                  <c:v>38.836207550490464</c:v>
                </c:pt>
                <c:pt idx="51">
                  <c:v>39.122579108224485</c:v>
                </c:pt>
                <c:pt idx="52">
                  <c:v>39.406840311352099</c:v>
                </c:pt>
                <c:pt idx="53">
                  <c:v>39.689088169001039</c:v>
                </c:pt>
                <c:pt idx="54">
                  <c:v>39.9694195515522</c:v>
                </c:pt>
                <c:pt idx="55">
                  <c:v>40.247931244824983</c:v>
                </c:pt>
                <c:pt idx="56">
                  <c:v>40.524719948733321</c:v>
                </c:pt>
                <c:pt idx="57">
                  <c:v>40.799912264129681</c:v>
                </c:pt>
                <c:pt idx="58">
                  <c:v>41.073608401302543</c:v>
                </c:pt>
                <c:pt idx="59">
                  <c:v>41.345904819285536</c:v>
                </c:pt>
                <c:pt idx="60">
                  <c:v>41.616897882021945</c:v>
                </c:pt>
                <c:pt idx="61">
                  <c:v>41.886683858480318</c:v>
                </c:pt>
                <c:pt idx="62">
                  <c:v>42.15535891971971</c:v>
                </c:pt>
                <c:pt idx="63">
                  <c:v>42.423019139300088</c:v>
                </c:pt>
                <c:pt idx="64">
                  <c:v>42.690143864717456</c:v>
                </c:pt>
                <c:pt idx="65">
                  <c:v>42.956955713843683</c:v>
                </c:pt>
                <c:pt idx="66">
                  <c:v>43.223154940315844</c:v>
                </c:pt>
                <c:pt idx="67">
                  <c:v>43.488453941977681</c:v>
                </c:pt>
                <c:pt idx="68">
                  <c:v>43.752565218835855</c:v>
                </c:pt>
                <c:pt idx="69">
                  <c:v>44.015201374199599</c:v>
                </c:pt>
                <c:pt idx="70">
                  <c:v>44.276075115770325</c:v>
                </c:pt>
                <c:pt idx="71">
                  <c:v>44.534880527334863</c:v>
                </c:pt>
                <c:pt idx="72">
                  <c:v>44.791300279224664</c:v>
                </c:pt>
                <c:pt idx="73">
                  <c:v>45.045047292336719</c:v>
                </c:pt>
                <c:pt idx="74">
                  <c:v>45.295834586331637</c:v>
                </c:pt>
                <c:pt idx="75">
                  <c:v>45.543375285025419</c:v>
                </c:pt>
                <c:pt idx="76">
                  <c:v>45.787382610888606</c:v>
                </c:pt>
                <c:pt idx="77">
                  <c:v>46.027569893642315</c:v>
                </c:pt>
                <c:pt idx="78">
                  <c:v>46.26581908914995</c:v>
                </c:pt>
                <c:pt idx="79">
                  <c:v>46.50375379846858</c:v>
                </c:pt>
                <c:pt idx="80">
                  <c:v>46.740704388949673</c:v>
                </c:pt>
                <c:pt idx="81">
                  <c:v>46.976000658543164</c:v>
                </c:pt>
                <c:pt idx="82">
                  <c:v>47.208972713568926</c:v>
                </c:pt>
                <c:pt idx="83">
                  <c:v>47.438950972165919</c:v>
                </c:pt>
                <c:pt idx="84">
                  <c:v>47.6652661699842</c:v>
                </c:pt>
                <c:pt idx="85">
                  <c:v>47.887244106983154</c:v>
                </c:pt>
                <c:pt idx="86">
                  <c:v>48.104235222383672</c:v>
                </c:pt>
                <c:pt idx="87">
                  <c:v>48.315571305711906</c:v>
                </c:pt>
                <c:pt idx="88">
                  <c:v>48.520584490907005</c:v>
                </c:pt>
                <c:pt idx="89">
                  <c:v>48.718606995295474</c:v>
                </c:pt>
                <c:pt idx="90">
                  <c:v>48.908965218838624</c:v>
                </c:pt>
                <c:pt idx="91">
                  <c:v>49.090999017804322</c:v>
                </c:pt>
                <c:pt idx="92">
                  <c:v>49.264678545552179</c:v>
                </c:pt>
                <c:pt idx="93">
                  <c:v>49.43071946895035</c:v>
                </c:pt>
                <c:pt idx="94">
                  <c:v>49.589603057794754</c:v>
                </c:pt>
                <c:pt idx="95">
                  <c:v>49.741808020794217</c:v>
                </c:pt>
                <c:pt idx="96">
                  <c:v>49.887812813506642</c:v>
                </c:pt>
                <c:pt idx="97">
                  <c:v>50.028095640214332</c:v>
                </c:pt>
                <c:pt idx="98">
                  <c:v>50.163134447413206</c:v>
                </c:pt>
                <c:pt idx="99">
                  <c:v>50.29336770497968</c:v>
                </c:pt>
                <c:pt idx="100">
                  <c:v>50.419277934098936</c:v>
                </c:pt>
                <c:pt idx="101">
                  <c:v>50.541341885198911</c:v>
                </c:pt>
                <c:pt idx="102">
                  <c:v>50.660036007164258</c:v>
                </c:pt>
                <c:pt idx="103">
                  <c:v>50.775836450726516</c:v>
                </c:pt>
                <c:pt idx="104">
                  <c:v>50.889219065531222</c:v>
                </c:pt>
                <c:pt idx="105">
                  <c:v>51.0006593945497</c:v>
                </c:pt>
                <c:pt idx="106">
                  <c:v>51.109647789673339</c:v>
                </c:pt>
                <c:pt idx="107">
                  <c:v>51.215253348045934</c:v>
                </c:pt>
                <c:pt idx="108">
                  <c:v>51.31739888321836</c:v>
                </c:pt>
                <c:pt idx="109">
                  <c:v>51.415987940342688</c:v>
                </c:pt>
                <c:pt idx="110">
                  <c:v>51.510924037232868</c:v>
                </c:pt>
                <c:pt idx="111">
                  <c:v>51.602110682973525</c:v>
                </c:pt>
                <c:pt idx="112">
                  <c:v>51.68945140632394</c:v>
                </c:pt>
                <c:pt idx="113">
                  <c:v>51.772827122600646</c:v>
                </c:pt>
                <c:pt idx="114">
                  <c:v>51.852183441965849</c:v>
                </c:pt>
                <c:pt idx="115">
                  <c:v>51.927424312038113</c:v>
                </c:pt>
                <c:pt idx="116">
                  <c:v>51.998453725802371</c:v>
                </c:pt>
                <c:pt idx="117">
                  <c:v>52.065175725490455</c:v>
                </c:pt>
                <c:pt idx="118">
                  <c:v>52.127494411327227</c:v>
                </c:pt>
                <c:pt idx="119">
                  <c:v>54.553827508169789</c:v>
                </c:pt>
                <c:pt idx="120">
                  <c:v>54.608063864241281</c:v>
                </c:pt>
                <c:pt idx="121">
                  <c:v>54.656874634379399</c:v>
                </c:pt>
                <c:pt idx="122">
                  <c:v>54.700603662354411</c:v>
                </c:pt>
                <c:pt idx="123">
                  <c:v>54.739548909271505</c:v>
                </c:pt>
                <c:pt idx="124">
                  <c:v>54.774008113249465</c:v>
                </c:pt>
                <c:pt idx="125">
                  <c:v>54.804278794535882</c:v>
                </c:pt>
                <c:pt idx="126">
                  <c:v>54.830658263094278</c:v>
                </c:pt>
                <c:pt idx="127">
                  <c:v>54.853440513171847</c:v>
                </c:pt>
                <c:pt idx="128">
                  <c:v>54.872949092563118</c:v>
                </c:pt>
                <c:pt idx="129">
                  <c:v>54.889481422865579</c:v>
                </c:pt>
                <c:pt idx="130">
                  <c:v>54.903334777517756</c:v>
                </c:pt>
                <c:pt idx="131">
                  <c:v>54.914806297029806</c:v>
                </c:pt>
                <c:pt idx="132">
                  <c:v>54.924192993168056</c:v>
                </c:pt>
                <c:pt idx="133">
                  <c:v>54.931791760088629</c:v>
                </c:pt>
                <c:pt idx="134">
                  <c:v>54.936940504363996</c:v>
                </c:pt>
                <c:pt idx="135">
                  <c:v>54.938847906452402</c:v>
                </c:pt>
                <c:pt idx="136">
                  <c:v>54.93764024492009</c:v>
                </c:pt>
                <c:pt idx="137">
                  <c:v>54.933417930502536</c:v>
                </c:pt>
                <c:pt idx="138">
                  <c:v>54.926281472488334</c:v>
                </c:pt>
                <c:pt idx="139">
                  <c:v>54.916331485533689</c:v>
                </c:pt>
                <c:pt idx="140">
                  <c:v>54.903668699828394</c:v>
                </c:pt>
                <c:pt idx="141">
                  <c:v>54.888389811105213</c:v>
                </c:pt>
                <c:pt idx="142">
                  <c:v>54.870599261578576</c:v>
                </c:pt>
                <c:pt idx="143">
                  <c:v>54.85039825769897</c:v>
                </c:pt>
                <c:pt idx="144">
                  <c:v>54.827887593681162</c:v>
                </c:pt>
                <c:pt idx="145">
                  <c:v>54.803168155703418</c:v>
                </c:pt>
                <c:pt idx="146">
                  <c:v>54.77634092760681</c:v>
                </c:pt>
                <c:pt idx="147">
                  <c:v>54.747506987750981</c:v>
                </c:pt>
                <c:pt idx="148">
                  <c:v>54.716734524194734</c:v>
                </c:pt>
                <c:pt idx="149">
                  <c:v>54.684009092068344</c:v>
                </c:pt>
                <c:pt idx="150">
                  <c:v>54.649231992389574</c:v>
                </c:pt>
                <c:pt idx="151">
                  <c:v>54.612308112148682</c:v>
                </c:pt>
                <c:pt idx="152">
                  <c:v>54.573142544235687</c:v>
                </c:pt>
                <c:pt idx="153">
                  <c:v>54.531640576574652</c:v>
                </c:pt>
                <c:pt idx="154">
                  <c:v>54.48770768194148</c:v>
                </c:pt>
                <c:pt idx="155">
                  <c:v>54.441354889179095</c:v>
                </c:pt>
                <c:pt idx="156">
                  <c:v>54.392498211335386</c:v>
                </c:pt>
                <c:pt idx="157">
                  <c:v>54.341047805815826</c:v>
                </c:pt>
                <c:pt idx="158">
                  <c:v>54.286913942054831</c:v>
                </c:pt>
                <c:pt idx="159">
                  <c:v>54.230006976087878</c:v>
                </c:pt>
                <c:pt idx="160">
                  <c:v>54.170237317098149</c:v>
                </c:pt>
                <c:pt idx="161">
                  <c:v>54.107515400204932</c:v>
                </c:pt>
                <c:pt idx="162">
                  <c:v>54.041142902493426</c:v>
                </c:pt>
                <c:pt idx="163">
                  <c:v>53.970818011023269</c:v>
                </c:pt>
                <c:pt idx="164">
                  <c:v>53.896890209480645</c:v>
                </c:pt>
                <c:pt idx="165">
                  <c:v>53.819762839649741</c:v>
                </c:pt>
                <c:pt idx="166">
                  <c:v>53.739838765790843</c:v>
                </c:pt>
                <c:pt idx="167">
                  <c:v>53.657520359142111</c:v>
                </c:pt>
                <c:pt idx="168">
                  <c:v>53.573209470053719</c:v>
                </c:pt>
                <c:pt idx="169">
                  <c:v>53.487375983748173</c:v>
                </c:pt>
                <c:pt idx="170">
                  <c:v>53.400298223358178</c:v>
                </c:pt>
                <c:pt idx="171">
                  <c:v>53.312373733923984</c:v>
                </c:pt>
                <c:pt idx="172">
                  <c:v>53.223999538515429</c:v>
                </c:pt>
                <c:pt idx="173">
                  <c:v>53.135574106693454</c:v>
                </c:pt>
                <c:pt idx="174">
                  <c:v>53.047495525343045</c:v>
                </c:pt>
                <c:pt idx="175">
                  <c:v>52.960159447888913</c:v>
                </c:pt>
                <c:pt idx="176">
                  <c:v>52.872976182225628</c:v>
                </c:pt>
                <c:pt idx="177">
                  <c:v>52.785223712481397</c:v>
                </c:pt>
                <c:pt idx="178">
                  <c:v>52.696836071797023</c:v>
                </c:pt>
                <c:pt idx="179">
                  <c:v>52.607816613082321</c:v>
                </c:pt>
                <c:pt idx="180">
                  <c:v>52.518168339228438</c:v>
                </c:pt>
                <c:pt idx="181">
                  <c:v>52.427893906325707</c:v>
                </c:pt>
                <c:pt idx="182">
                  <c:v>52.336995631843841</c:v>
                </c:pt>
                <c:pt idx="183">
                  <c:v>52.245536857127739</c:v>
                </c:pt>
                <c:pt idx="184">
                  <c:v>52.153449218108996</c:v>
                </c:pt>
                <c:pt idx="185">
                  <c:v>52.060734463215702</c:v>
                </c:pt>
                <c:pt idx="186">
                  <c:v>51.967394044340679</c:v>
                </c:pt>
                <c:pt idx="187">
                  <c:v>51.873429131580544</c:v>
                </c:pt>
                <c:pt idx="188">
                  <c:v>51.77884063014374</c:v>
                </c:pt>
                <c:pt idx="189">
                  <c:v>51.683629198535904</c:v>
                </c:pt>
                <c:pt idx="190">
                  <c:v>51.587369508925818</c:v>
                </c:pt>
                <c:pt idx="191">
                  <c:v>51.489755332492372</c:v>
                </c:pt>
                <c:pt idx="192">
                  <c:v>51.390842025649732</c:v>
                </c:pt>
                <c:pt idx="193">
                  <c:v>51.290824191747376</c:v>
                </c:pt>
                <c:pt idx="194">
                  <c:v>51.189896308136191</c:v>
                </c:pt>
                <c:pt idx="195">
                  <c:v>51.088252739298312</c:v>
                </c:pt>
                <c:pt idx="196">
                  <c:v>50.98608775116697</c:v>
                </c:pt>
                <c:pt idx="197">
                  <c:v>50.883602991493774</c:v>
                </c:pt>
                <c:pt idx="198">
                  <c:v>50.780929051027172</c:v>
                </c:pt>
                <c:pt idx="199">
                  <c:v>50.678259809222546</c:v>
                </c:pt>
                <c:pt idx="200">
                  <c:v>50.575789112708073</c:v>
                </c:pt>
                <c:pt idx="201">
                  <c:v>50.473710780309496</c:v>
                </c:pt>
                <c:pt idx="202">
                  <c:v>50.372218607491952</c:v>
                </c:pt>
                <c:pt idx="203">
                  <c:v>50.271506369970155</c:v>
                </c:pt>
                <c:pt idx="204">
                  <c:v>50.171490276361077</c:v>
                </c:pt>
                <c:pt idx="205">
                  <c:v>50.071886964984735</c:v>
                </c:pt>
                <c:pt idx="206">
                  <c:v>49.972609851739136</c:v>
                </c:pt>
                <c:pt idx="207">
                  <c:v>49.873559452595742</c:v>
                </c:pt>
                <c:pt idx="208">
                  <c:v>49.774636425273613</c:v>
                </c:pt>
                <c:pt idx="209">
                  <c:v>49.675741567595566</c:v>
                </c:pt>
                <c:pt idx="210">
                  <c:v>49.57677581539366</c:v>
                </c:pt>
                <c:pt idx="211">
                  <c:v>49.477598824895971</c:v>
                </c:pt>
                <c:pt idx="212">
                  <c:v>49.378103663464955</c:v>
                </c:pt>
                <c:pt idx="213">
                  <c:v>49.278191485147943</c:v>
                </c:pt>
                <c:pt idx="214">
                  <c:v>49.177763588387556</c:v>
                </c:pt>
                <c:pt idx="215">
                  <c:v>49.076721411297662</c:v>
                </c:pt>
                <c:pt idx="216">
                  <c:v>48.974966525541717</c:v>
                </c:pt>
                <c:pt idx="217">
                  <c:v>48.872400632172067</c:v>
                </c:pt>
                <c:pt idx="218">
                  <c:v>48.768995064962539</c:v>
                </c:pt>
                <c:pt idx="219">
                  <c:v>48.664795559853552</c:v>
                </c:pt>
                <c:pt idx="220">
                  <c:v>48.559886222472144</c:v>
                </c:pt>
                <c:pt idx="221">
                  <c:v>48.45434745720263</c:v>
                </c:pt>
                <c:pt idx="222">
                  <c:v>48.348259672588817</c:v>
                </c:pt>
                <c:pt idx="223">
                  <c:v>48.241703277560866</c:v>
                </c:pt>
                <c:pt idx="224">
                  <c:v>48.13475867820496</c:v>
                </c:pt>
                <c:pt idx="225">
                  <c:v>48.027424078060818</c:v>
                </c:pt>
                <c:pt idx="226">
                  <c:v>47.919821575772836</c:v>
                </c:pt>
                <c:pt idx="227">
                  <c:v>47.812031538585259</c:v>
                </c:pt>
                <c:pt idx="228">
                  <c:v>47.704134328179201</c:v>
                </c:pt>
                <c:pt idx="229">
                  <c:v>47.596210298339756</c:v>
                </c:pt>
                <c:pt idx="230">
                  <c:v>47.488339793711269</c:v>
                </c:pt>
                <c:pt idx="231">
                  <c:v>47.380603148292316</c:v>
                </c:pt>
                <c:pt idx="232">
                  <c:v>47.273861571942497</c:v>
                </c:pt>
                <c:pt idx="233">
                  <c:v>47.168536994058769</c:v>
                </c:pt>
                <c:pt idx="234">
                  <c:v>47.064220181855234</c:v>
                </c:pt>
                <c:pt idx="235">
                  <c:v>46.960457359984076</c:v>
                </c:pt>
                <c:pt idx="236">
                  <c:v>46.856795079517433</c:v>
                </c:pt>
                <c:pt idx="237">
                  <c:v>46.752780235966043</c:v>
                </c:pt>
                <c:pt idx="238">
                  <c:v>46.647960053829301</c:v>
                </c:pt>
                <c:pt idx="239">
                  <c:v>46.541843130264496</c:v>
                </c:pt>
                <c:pt idx="240">
                  <c:v>46.434059490813475</c:v>
                </c:pt>
                <c:pt idx="241">
                  <c:v>46.324157291150968</c:v>
                </c:pt>
                <c:pt idx="242">
                  <c:v>46.211685000254107</c:v>
                </c:pt>
                <c:pt idx="243">
                  <c:v>46.096191401936146</c:v>
                </c:pt>
                <c:pt idx="244">
                  <c:v>45.977225592122565</c:v>
                </c:pt>
                <c:pt idx="245">
                  <c:v>45.854336981220207</c:v>
                </c:pt>
                <c:pt idx="246">
                  <c:v>45.728843244172836</c:v>
                </c:pt>
                <c:pt idx="247">
                  <c:v>45.602151505255755</c:v>
                </c:pt>
                <c:pt idx="248">
                  <c:v>45.474051247413904</c:v>
                </c:pt>
                <c:pt idx="249">
                  <c:v>45.344249695138437</c:v>
                </c:pt>
                <c:pt idx="250">
                  <c:v>45.212454279907227</c:v>
                </c:pt>
                <c:pt idx="251">
                  <c:v>45.078372636463527</c:v>
                </c:pt>
                <c:pt idx="252">
                  <c:v>44.941712607497692</c:v>
                </c:pt>
                <c:pt idx="253">
                  <c:v>44.802170849641485</c:v>
                </c:pt>
                <c:pt idx="254">
                  <c:v>44.659494151447582</c:v>
                </c:pt>
                <c:pt idx="255">
                  <c:v>44.513390861493349</c:v>
                </c:pt>
                <c:pt idx="256">
                  <c:v>44.363569523125591</c:v>
                </c:pt>
                <c:pt idx="257">
                  <c:v>44.209738869332604</c:v>
                </c:pt>
                <c:pt idx="258">
                  <c:v>44.051607827961242</c:v>
                </c:pt>
                <c:pt idx="259">
                  <c:v>43.888885511691342</c:v>
                </c:pt>
                <c:pt idx="260">
                  <c:v>43.721873478802813</c:v>
                </c:pt>
                <c:pt idx="261">
                  <c:v>43.551076961712319</c:v>
                </c:pt>
                <c:pt idx="262">
                  <c:v>43.376578716761912</c:v>
                </c:pt>
                <c:pt idx="263">
                  <c:v>43.198446204884505</c:v>
                </c:pt>
                <c:pt idx="264">
                  <c:v>43.016746866935009</c:v>
                </c:pt>
                <c:pt idx="265">
                  <c:v>42.831548013823614</c:v>
                </c:pt>
                <c:pt idx="266">
                  <c:v>42.642916978012643</c:v>
                </c:pt>
                <c:pt idx="267">
                  <c:v>42.450930702530599</c:v>
                </c:pt>
                <c:pt idx="268">
                  <c:v>42.255667650207933</c:v>
                </c:pt>
                <c:pt idx="269">
                  <c:v>42.057195025286298</c:v>
                </c:pt>
                <c:pt idx="270">
                  <c:v>41.855579988794688</c:v>
                </c:pt>
                <c:pt idx="271">
                  <c:v>41.650889654774858</c:v>
                </c:pt>
                <c:pt idx="272">
                  <c:v>41.443191091628272</c:v>
                </c:pt>
                <c:pt idx="273">
                  <c:v>41.232551315177496</c:v>
                </c:pt>
                <c:pt idx="274">
                  <c:v>41.01841923008697</c:v>
                </c:pt>
                <c:pt idx="275">
                  <c:v>40.800400486061235</c:v>
                </c:pt>
                <c:pt idx="276">
                  <c:v>40.578740887094256</c:v>
                </c:pt>
                <c:pt idx="277">
                  <c:v>40.353651907346546</c:v>
                </c:pt>
                <c:pt idx="278">
                  <c:v>40.125344790353495</c:v>
                </c:pt>
                <c:pt idx="279">
                  <c:v>39.894030549151871</c:v>
                </c:pt>
                <c:pt idx="280">
                  <c:v>39.659919957815788</c:v>
                </c:pt>
                <c:pt idx="281">
                  <c:v>39.423246129512371</c:v>
                </c:pt>
                <c:pt idx="282">
                  <c:v>39.184209904065064</c:v>
                </c:pt>
                <c:pt idx="283">
                  <c:v>38.943021134810891</c:v>
                </c:pt>
                <c:pt idx="284">
                  <c:v>38.699889412963124</c:v>
                </c:pt>
                <c:pt idx="285">
                  <c:v>38.455024068182134</c:v>
                </c:pt>
                <c:pt idx="286">
                  <c:v>38.20863416900994</c:v>
                </c:pt>
                <c:pt idx="287">
                  <c:v>37.960928522881545</c:v>
                </c:pt>
                <c:pt idx="288">
                  <c:v>37.71180068612361</c:v>
                </c:pt>
                <c:pt idx="289">
                  <c:v>37.460938743423156</c:v>
                </c:pt>
                <c:pt idx="290">
                  <c:v>37.208188532624753</c:v>
                </c:pt>
                <c:pt idx="291">
                  <c:v>36.95345262177041</c:v>
                </c:pt>
                <c:pt idx="292">
                  <c:v>36.696633531960032</c:v>
                </c:pt>
                <c:pt idx="293">
                  <c:v>36.437633740988112</c:v>
                </c:pt>
                <c:pt idx="294">
                  <c:v>36.176355686346227</c:v>
                </c:pt>
                <c:pt idx="295">
                  <c:v>35.912697918945376</c:v>
                </c:pt>
                <c:pt idx="296">
                  <c:v>35.646541632647448</c:v>
                </c:pt>
                <c:pt idx="297">
                  <c:v>35.377789423975813</c:v>
                </c:pt>
                <c:pt idx="298">
                  <c:v>35.106344131854264</c:v>
                </c:pt>
                <c:pt idx="299">
                  <c:v>34.832108600636332</c:v>
                </c:pt>
                <c:pt idx="300">
                  <c:v>34.554985681731644</c:v>
                </c:pt>
                <c:pt idx="301">
                  <c:v>34.274878241850963</c:v>
                </c:pt>
                <c:pt idx="302">
                  <c:v>33.988999258009535</c:v>
                </c:pt>
                <c:pt idx="303">
                  <c:v>33.695521408630782</c:v>
                </c:pt>
                <c:pt idx="304">
                  <c:v>33.395799548836223</c:v>
                </c:pt>
                <c:pt idx="305">
                  <c:v>33.091187017854296</c:v>
                </c:pt>
                <c:pt idx="306">
                  <c:v>32.783036505419794</c:v>
                </c:pt>
                <c:pt idx="307">
                  <c:v>32.472700066787311</c:v>
                </c:pt>
                <c:pt idx="308">
                  <c:v>32.161529131450393</c:v>
                </c:pt>
                <c:pt idx="309">
                  <c:v>31.85085380864794</c:v>
                </c:pt>
                <c:pt idx="310">
                  <c:v>31.542028225438468</c:v>
                </c:pt>
                <c:pt idx="311">
                  <c:v>31.236402354145003</c:v>
                </c:pt>
                <c:pt idx="312">
                  <c:v>30.935325569815518</c:v>
                </c:pt>
                <c:pt idx="313">
                  <c:v>30.640146648459979</c:v>
                </c:pt>
                <c:pt idx="314">
                  <c:v>30.352213774853293</c:v>
                </c:pt>
                <c:pt idx="315">
                  <c:v>30.072874538716896</c:v>
                </c:pt>
                <c:pt idx="316">
                  <c:v>29.799262902166532</c:v>
                </c:pt>
                <c:pt idx="317">
                  <c:v>29.527794744615484</c:v>
                </c:pt>
                <c:pt idx="318">
                  <c:v>29.258863247914022</c:v>
                </c:pt>
                <c:pt idx="319">
                  <c:v>28.992854114083244</c:v>
                </c:pt>
                <c:pt idx="320">
                  <c:v>28.73015285475191</c:v>
                </c:pt>
                <c:pt idx="321">
                  <c:v>28.471144793438921</c:v>
                </c:pt>
                <c:pt idx="322">
                  <c:v>28.216215050553142</c:v>
                </c:pt>
                <c:pt idx="323">
                  <c:v>27.965726884699389</c:v>
                </c:pt>
                <c:pt idx="324">
                  <c:v>27.720084091678487</c:v>
                </c:pt>
                <c:pt idx="325">
                  <c:v>27.479671212196333</c:v>
                </c:pt>
                <c:pt idx="326">
                  <c:v>27.244872747879402</c:v>
                </c:pt>
                <c:pt idx="327">
                  <c:v>27.016072879000525</c:v>
                </c:pt>
                <c:pt idx="328">
                  <c:v>26.793655426213313</c:v>
                </c:pt>
                <c:pt idx="329">
                  <c:v>26.578003973055427</c:v>
                </c:pt>
                <c:pt idx="330">
                  <c:v>26.364990972735274</c:v>
                </c:pt>
                <c:pt idx="331">
                  <c:v>26.151413955473608</c:v>
                </c:pt>
                <c:pt idx="332">
                  <c:v>25.938979166086749</c:v>
                </c:pt>
                <c:pt idx="333">
                  <c:v>25.729321307513668</c:v>
                </c:pt>
                <c:pt idx="334">
                  <c:v>25.524074432377528</c:v>
                </c:pt>
                <c:pt idx="335">
                  <c:v>25.324871925467843</c:v>
                </c:pt>
                <c:pt idx="336">
                  <c:v>25.133346500392197</c:v>
                </c:pt>
                <c:pt idx="337">
                  <c:v>24.951169044413071</c:v>
                </c:pt>
                <c:pt idx="338">
                  <c:v>24.77999053587904</c:v>
                </c:pt>
                <c:pt idx="339">
                  <c:v>24.621441007351539</c:v>
                </c:pt>
                <c:pt idx="340">
                  <c:v>24.477149832335975</c:v>
                </c:pt>
                <c:pt idx="341">
                  <c:v>24.348745739855094</c:v>
                </c:pt>
                <c:pt idx="342">
                  <c:v>24.237856793453609</c:v>
                </c:pt>
                <c:pt idx="343">
                  <c:v>24.146110358853658</c:v>
                </c:pt>
                <c:pt idx="344">
                  <c:v>24.072046308617981</c:v>
                </c:pt>
                <c:pt idx="345">
                  <c:v>24.012808397604356</c:v>
                </c:pt>
                <c:pt idx="346">
                  <c:v>23.967824356673201</c:v>
                </c:pt>
                <c:pt idx="347">
                  <c:v>23.936628191741466</c:v>
                </c:pt>
                <c:pt idx="348">
                  <c:v>23.918754156146285</c:v>
                </c:pt>
                <c:pt idx="349">
                  <c:v>23.913736742471379</c:v>
                </c:pt>
                <c:pt idx="350">
                  <c:v>23.921110692179145</c:v>
                </c:pt>
                <c:pt idx="351">
                  <c:v>23.940389720177819</c:v>
                </c:pt>
                <c:pt idx="352">
                  <c:v>23.971071745658442</c:v>
                </c:pt>
                <c:pt idx="353">
                  <c:v>24.012692438158229</c:v>
                </c:pt>
                <c:pt idx="354">
                  <c:v>24.064787661280416</c:v>
                </c:pt>
                <c:pt idx="355">
                  <c:v>24.126893466135037</c:v>
                </c:pt>
                <c:pt idx="356">
                  <c:v>24.198546445575733</c:v>
                </c:pt>
                <c:pt idx="357">
                  <c:v>24.279282720285618</c:v>
                </c:pt>
                <c:pt idx="358">
                  <c:v>24.373045799221757</c:v>
                </c:pt>
                <c:pt idx="359">
                  <c:v>24.483153911101752</c:v>
                </c:pt>
                <c:pt idx="360">
                  <c:v>24.608243523417784</c:v>
                </c:pt>
                <c:pt idx="361">
                  <c:v>24.74693569762761</c:v>
                </c:pt>
                <c:pt idx="362">
                  <c:v>24.897831100354114</c:v>
                </c:pt>
                <c:pt idx="363">
                  <c:v>25.059531121528519</c:v>
                </c:pt>
                <c:pt idx="364">
                  <c:v>25.230637865952247</c:v>
                </c:pt>
                <c:pt idx="365">
                  <c:v>25.43686043993473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8.585225345324087</c:v>
                </c:pt>
                <c:pt idx="1">
                  <c:v>2.8967107575307627</c:v>
                </c:pt>
                <c:pt idx="2">
                  <c:v>15.923347071170392</c:v>
                </c:pt>
                <c:pt idx="3">
                  <c:v>24.399189159892614</c:v>
                </c:pt>
                <c:pt idx="4">
                  <c:v>10.237607323639452</c:v>
                </c:pt>
                <c:pt idx="5">
                  <c:v>6.0525073294405232</c:v>
                </c:pt>
                <c:pt idx="6">
                  <c:v>16.543440379890878</c:v>
                </c:pt>
                <c:pt idx="7">
                  <c:v>6.7661685185362028</c:v>
                </c:pt>
                <c:pt idx="8">
                  <c:v>6.8466988340227113</c:v>
                </c:pt>
                <c:pt idx="9">
                  <c:v>23.537771196651654</c:v>
                </c:pt>
                <c:pt idx="10">
                  <c:v>4.7518024744013498</c:v>
                </c:pt>
                <c:pt idx="11">
                  <c:v>22.853794947914313</c:v>
                </c:pt>
                <c:pt idx="12">
                  <c:v>12.631846655458098</c:v>
                </c:pt>
                <c:pt idx="13">
                  <c:v>18.074333728048636</c:v>
                </c:pt>
                <c:pt idx="14">
                  <c:v>6.4260661412888336</c:v>
                </c:pt>
                <c:pt idx="15">
                  <c:v>3.245831181842679</c:v>
                </c:pt>
                <c:pt idx="16">
                  <c:v>5.8799811600339922</c:v>
                </c:pt>
                <c:pt idx="17">
                  <c:v>20.499045081065095</c:v>
                </c:pt>
                <c:pt idx="18">
                  <c:v>9.2198101797493699</c:v>
                </c:pt>
                <c:pt idx="19">
                  <c:v>17.727488683411327</c:v>
                </c:pt>
                <c:pt idx="20">
                  <c:v>4.935513551344795</c:v>
                </c:pt>
                <c:pt idx="21">
                  <c:v>29.26192335653645</c:v>
                </c:pt>
                <c:pt idx="22">
                  <c:v>29.31889502916896</c:v>
                </c:pt>
                <c:pt idx="23">
                  <c:v>29.593415136372656</c:v>
                </c:pt>
                <c:pt idx="24">
                  <c:v>29.147218360734513</c:v>
                </c:pt>
                <c:pt idx="25">
                  <c:v>29.897004702766345</c:v>
                </c:pt>
                <c:pt idx="26">
                  <c:v>29.621506749319352</c:v>
                </c:pt>
                <c:pt idx="27">
                  <c:v>4.0127976599235442</c:v>
                </c:pt>
                <c:pt idx="28">
                  <c:v>5.965297335877124</c:v>
                </c:pt>
                <c:pt idx="29">
                  <c:v>4.8912145068026369</c:v>
                </c:pt>
                <c:pt idx="30">
                  <c:v>6.7111455871728252</c:v>
                </c:pt>
                <c:pt idx="31">
                  <c:v>13.883844584709788</c:v>
                </c:pt>
                <c:pt idx="32">
                  <c:v>5.2245664802462102</c:v>
                </c:pt>
                <c:pt idx="33">
                  <c:v>11.427026354391533</c:v>
                </c:pt>
                <c:pt idx="34">
                  <c:v>10.958759089240875</c:v>
                </c:pt>
                <c:pt idx="35">
                  <c:v>10.353296284305339</c:v>
                </c:pt>
                <c:pt idx="36">
                  <c:v>22.846233394429149</c:v>
                </c:pt>
                <c:pt idx="37">
                  <c:v>8.9971423877902694</c:v>
                </c:pt>
                <c:pt idx="38">
                  <c:v>34.749233789077465</c:v>
                </c:pt>
                <c:pt idx="39">
                  <c:v>34.82549620464745</c:v>
                </c:pt>
                <c:pt idx="40">
                  <c:v>32.356926457951026</c:v>
                </c:pt>
                <c:pt idx="41">
                  <c:v>16.287927092773675</c:v>
                </c:pt>
                <c:pt idx="42">
                  <c:v>27.08980185986697</c:v>
                </c:pt>
                <c:pt idx="43">
                  <c:v>33.104071114869498</c:v>
                </c:pt>
                <c:pt idx="44">
                  <c:v>18.364110034762941</c:v>
                </c:pt>
                <c:pt idx="45">
                  <c:v>18.096672188420534</c:v>
                </c:pt>
                <c:pt idx="46">
                  <c:v>7.8706349555768584</c:v>
                </c:pt>
                <c:pt idx="47">
                  <c:v>9.1974605522118278</c:v>
                </c:pt>
                <c:pt idx="48">
                  <c:v>30.143152041421899</c:v>
                </c:pt>
                <c:pt idx="49">
                  <c:v>18.379275509146414</c:v>
                </c:pt>
                <c:pt idx="50">
                  <c:v>21.663289953818932</c:v>
                </c:pt>
                <c:pt idx="51">
                  <c:v>21.32974383905982</c:v>
                </c:pt>
                <c:pt idx="52">
                  <c:v>34.926583675852534</c:v>
                </c:pt>
                <c:pt idx="53">
                  <c:v>36.430576044283043</c:v>
                </c:pt>
                <c:pt idx="54">
                  <c:v>20.722519347831923</c:v>
                </c:pt>
                <c:pt idx="55">
                  <c:v>30.138038390902405</c:v>
                </c:pt>
                <c:pt idx="56">
                  <c:v>40.67694336265756</c:v>
                </c:pt>
                <c:pt idx="57">
                  <c:v>28.071836806559922</c:v>
                </c:pt>
                <c:pt idx="58">
                  <c:v>32.523289875677101</c:v>
                </c:pt>
                <c:pt idx="59">
                  <c:v>41.568647812088741</c:v>
                </c:pt>
                <c:pt idx="60">
                  <c:v>10.483035861306311</c:v>
                </c:pt>
                <c:pt idx="61">
                  <c:v>39.302939196418968</c:v>
                </c:pt>
                <c:pt idx="62">
                  <c:v>4.2020658775112265</c:v>
                </c:pt>
                <c:pt idx="63">
                  <c:v>14.93928112347418</c:v>
                </c:pt>
                <c:pt idx="64">
                  <c:v>21.150743993749149</c:v>
                </c:pt>
                <c:pt idx="65">
                  <c:v>32.091427817937785</c:v>
                </c:pt>
                <c:pt idx="66">
                  <c:v>30.784445638142589</c:v>
                </c:pt>
                <c:pt idx="67">
                  <c:v>32.493090101204594</c:v>
                </c:pt>
                <c:pt idx="68">
                  <c:v>23.516156442865917</c:v>
                </c:pt>
                <c:pt idx="69">
                  <c:v>15.678818506949394</c:v>
                </c:pt>
                <c:pt idx="70">
                  <c:v>12.946598398420514</c:v>
                </c:pt>
                <c:pt idx="71">
                  <c:v>12.186451601853292</c:v>
                </c:pt>
                <c:pt idx="72">
                  <c:v>12.874266118159722</c:v>
                </c:pt>
                <c:pt idx="73">
                  <c:v>14.615695338132991</c:v>
                </c:pt>
                <c:pt idx="74">
                  <c:v>10.032146404646367</c:v>
                </c:pt>
                <c:pt idx="75">
                  <c:v>10.863455325972105</c:v>
                </c:pt>
                <c:pt idx="76">
                  <c:v>13.323811512386442</c:v>
                </c:pt>
                <c:pt idx="77">
                  <c:v>30.528943725938287</c:v>
                </c:pt>
                <c:pt idx="78">
                  <c:v>31.475405776735329</c:v>
                </c:pt>
                <c:pt idx="79">
                  <c:v>45.386849476203899</c:v>
                </c:pt>
                <c:pt idx="80">
                  <c:v>40.051020875379507</c:v>
                </c:pt>
                <c:pt idx="81">
                  <c:v>47.161174493271702</c:v>
                </c:pt>
                <c:pt idx="82">
                  <c:v>44.389297514364181</c:v>
                </c:pt>
                <c:pt idx="83">
                  <c:v>40.409942104054807</c:v>
                </c:pt>
                <c:pt idx="84">
                  <c:v>43.892699465157946</c:v>
                </c:pt>
                <c:pt idx="85">
                  <c:v>44.613841001397162</c:v>
                </c:pt>
                <c:pt idx="86">
                  <c:v>34.226528932792924</c:v>
                </c:pt>
                <c:pt idx="87">
                  <c:v>26.973183427940157</c:v>
                </c:pt>
                <c:pt idx="88">
                  <c:v>7.0408590713636077</c:v>
                </c:pt>
                <c:pt idx="89">
                  <c:v>20.958019890568902</c:v>
                </c:pt>
                <c:pt idx="90">
                  <c:v>31.218123847780028</c:v>
                </c:pt>
                <c:pt idx="91">
                  <c:v>19.148780810944498</c:v>
                </c:pt>
                <c:pt idx="92">
                  <c:v>24.454141559128558</c:v>
                </c:pt>
                <c:pt idx="93">
                  <c:v>42.884202911924653</c:v>
                </c:pt>
                <c:pt idx="94">
                  <c:v>49.419161030822437</c:v>
                </c:pt>
                <c:pt idx="95">
                  <c:v>11.606179702881192</c:v>
                </c:pt>
                <c:pt idx="96">
                  <c:v>38.229227425536571</c:v>
                </c:pt>
                <c:pt idx="97">
                  <c:v>31.017642765806972</c:v>
                </c:pt>
                <c:pt idx="98">
                  <c:v>33.852254098546268</c:v>
                </c:pt>
                <c:pt idx="99">
                  <c:v>51.750394673884912</c:v>
                </c:pt>
                <c:pt idx="100">
                  <c:v>42.70296157878694</c:v>
                </c:pt>
                <c:pt idx="101">
                  <c:v>2.4128568861587176</c:v>
                </c:pt>
                <c:pt idx="102">
                  <c:v>0</c:v>
                </c:pt>
                <c:pt idx="103">
                  <c:v>40.526845843123461</c:v>
                </c:pt>
                <c:pt idx="104">
                  <c:v>45.105007538634567</c:v>
                </c:pt>
                <c:pt idx="105">
                  <c:v>40.582013957965216</c:v>
                </c:pt>
                <c:pt idx="106">
                  <c:v>51.245452188395326</c:v>
                </c:pt>
                <c:pt idx="107">
                  <c:v>36.541854389604985</c:v>
                </c:pt>
                <c:pt idx="108">
                  <c:v>8.7470100932981278</c:v>
                </c:pt>
                <c:pt idx="109">
                  <c:v>9.8687005228355691</c:v>
                </c:pt>
                <c:pt idx="110">
                  <c:v>8.9126506459757397</c:v>
                </c:pt>
                <c:pt idx="111">
                  <c:v>26.947397579311758</c:v>
                </c:pt>
                <c:pt idx="112">
                  <c:v>9.2592997130159844</c:v>
                </c:pt>
                <c:pt idx="113">
                  <c:v>23.800897537049334</c:v>
                </c:pt>
                <c:pt idx="114">
                  <c:v>45.140097675690626</c:v>
                </c:pt>
                <c:pt idx="115">
                  <c:v>50.484543155823999</c:v>
                </c:pt>
                <c:pt idx="116">
                  <c:v>37.211947572868148</c:v>
                </c:pt>
                <c:pt idx="117">
                  <c:v>20.012932650760572</c:v>
                </c:pt>
                <c:pt idx="118">
                  <c:v>40.515434174049247</c:v>
                </c:pt>
                <c:pt idx="119">
                  <c:v>41.299557102291608</c:v>
                </c:pt>
                <c:pt idx="120">
                  <c:v>46.227072906879599</c:v>
                </c:pt>
                <c:pt idx="121">
                  <c:v>27.078261583872436</c:v>
                </c:pt>
                <c:pt idx="122">
                  <c:v>30.927095725779644</c:v>
                </c:pt>
                <c:pt idx="123">
                  <c:v>18.241100479784212</c:v>
                </c:pt>
                <c:pt idx="124">
                  <c:v>38.307882422607562</c:v>
                </c:pt>
                <c:pt idx="125">
                  <c:v>35.774703305706758</c:v>
                </c:pt>
                <c:pt idx="126">
                  <c:v>46.290505154806034</c:v>
                </c:pt>
                <c:pt idx="127">
                  <c:v>48.290686180197731</c:v>
                </c:pt>
                <c:pt idx="128">
                  <c:v>52.530844838771309</c:v>
                </c:pt>
                <c:pt idx="129">
                  <c:v>50.065378422674662</c:v>
                </c:pt>
                <c:pt idx="130">
                  <c:v>53.706050860927334</c:v>
                </c:pt>
                <c:pt idx="131">
                  <c:v>41.343305390614965</c:v>
                </c:pt>
                <c:pt idx="132">
                  <c:v>37.856470092663876</c:v>
                </c:pt>
                <c:pt idx="133">
                  <c:v>49.409415791733558</c:v>
                </c:pt>
                <c:pt idx="134">
                  <c:v>50.408443400905028</c:v>
                </c:pt>
                <c:pt idx="135">
                  <c:v>48.5383569834448</c:v>
                </c:pt>
                <c:pt idx="136">
                  <c:v>51.97129560409423</c:v>
                </c:pt>
                <c:pt idx="137">
                  <c:v>50.348508818846035</c:v>
                </c:pt>
                <c:pt idx="138">
                  <c:v>52.596540095592651</c:v>
                </c:pt>
                <c:pt idx="139">
                  <c:v>47.706447976171134</c:v>
                </c:pt>
                <c:pt idx="140">
                  <c:v>48.290112858109325</c:v>
                </c:pt>
                <c:pt idx="141">
                  <c:v>36.9392398552896</c:v>
                </c:pt>
                <c:pt idx="142">
                  <c:v>17.252956247287905</c:v>
                </c:pt>
                <c:pt idx="143">
                  <c:v>16.400504094446809</c:v>
                </c:pt>
                <c:pt idx="144">
                  <c:v>38.204245203549235</c:v>
                </c:pt>
                <c:pt idx="145">
                  <c:v>25.997875019558858</c:v>
                </c:pt>
                <c:pt idx="146">
                  <c:v>41.432467979630289</c:v>
                </c:pt>
                <c:pt idx="147">
                  <c:v>51.033107045450897</c:v>
                </c:pt>
                <c:pt idx="148">
                  <c:v>55.254448566590334</c:v>
                </c:pt>
                <c:pt idx="149">
                  <c:v>46.297883600224687</c:v>
                </c:pt>
                <c:pt idx="150">
                  <c:v>51.441813429842618</c:v>
                </c:pt>
                <c:pt idx="151">
                  <c:v>52.287454804257031</c:v>
                </c:pt>
                <c:pt idx="152">
                  <c:v>41.391120615279583</c:v>
                </c:pt>
                <c:pt idx="153">
                  <c:v>51.993124589044399</c:v>
                </c:pt>
                <c:pt idx="154">
                  <c:v>21.533394772780564</c:v>
                </c:pt>
                <c:pt idx="155">
                  <c:v>30.380537957048471</c:v>
                </c:pt>
                <c:pt idx="156">
                  <c:v>45.516373041693079</c:v>
                </c:pt>
                <c:pt idx="157">
                  <c:v>26.64835793991632</c:v>
                </c:pt>
                <c:pt idx="158">
                  <c:v>19.813471051358107</c:v>
                </c:pt>
                <c:pt idx="159">
                  <c:v>44.021645842172177</c:v>
                </c:pt>
                <c:pt idx="160">
                  <c:v>53.901717173311525</c:v>
                </c:pt>
                <c:pt idx="161">
                  <c:v>52.434289677823266</c:v>
                </c:pt>
                <c:pt idx="162">
                  <c:v>40.191375605518999</c:v>
                </c:pt>
                <c:pt idx="163">
                  <c:v>49.373519800264908</c:v>
                </c:pt>
                <c:pt idx="164">
                  <c:v>47.008117569385405</c:v>
                </c:pt>
                <c:pt idx="165">
                  <c:v>50.4658566370369</c:v>
                </c:pt>
                <c:pt idx="166">
                  <c:v>48.973849098521391</c:v>
                </c:pt>
                <c:pt idx="167">
                  <c:v>49.612914396725571</c:v>
                </c:pt>
                <c:pt idx="168">
                  <c:v>51.284212884508506</c:v>
                </c:pt>
                <c:pt idx="169">
                  <c:v>52.362537898019824</c:v>
                </c:pt>
                <c:pt idx="170">
                  <c:v>33.026948608744725</c:v>
                </c:pt>
                <c:pt idx="171">
                  <c:v>23.349659980379855</c:v>
                </c:pt>
                <c:pt idx="172">
                  <c:v>41.230533793366497</c:v>
                </c:pt>
                <c:pt idx="173">
                  <c:v>40.870457860017815</c:v>
                </c:pt>
                <c:pt idx="174">
                  <c:v>38.928818620278172</c:v>
                </c:pt>
                <c:pt idx="175">
                  <c:v>33.400445769557507</c:v>
                </c:pt>
                <c:pt idx="176">
                  <c:v>10.822072364588999</c:v>
                </c:pt>
                <c:pt idx="177">
                  <c:v>10.146807571023594</c:v>
                </c:pt>
                <c:pt idx="178">
                  <c:v>52.250753864283062</c:v>
                </c:pt>
                <c:pt idx="179">
                  <c:v>53.066743511889079</c:v>
                </c:pt>
                <c:pt idx="180">
                  <c:v>12.084323379057173</c:v>
                </c:pt>
                <c:pt idx="181">
                  <c:v>45.226026999051243</c:v>
                </c:pt>
                <c:pt idx="182">
                  <c:v>52.049433735302159</c:v>
                </c:pt>
                <c:pt idx="183">
                  <c:v>45.015500454450127</c:v>
                </c:pt>
                <c:pt idx="184">
                  <c:v>42.928362184313919</c:v>
                </c:pt>
                <c:pt idx="185">
                  <c:v>52.271718154968056</c:v>
                </c:pt>
                <c:pt idx="186">
                  <c:v>42.820550155891297</c:v>
                </c:pt>
                <c:pt idx="187">
                  <c:v>50.581612106093928</c:v>
                </c:pt>
                <c:pt idx="188">
                  <c:v>53.011680719825975</c:v>
                </c:pt>
                <c:pt idx="189">
                  <c:v>52.40950018312116</c:v>
                </c:pt>
                <c:pt idx="190">
                  <c:v>52.064282616936367</c:v>
                </c:pt>
                <c:pt idx="191">
                  <c:v>50.823726326472773</c:v>
                </c:pt>
                <c:pt idx="192">
                  <c:v>50.386324390108243</c:v>
                </c:pt>
                <c:pt idx="193">
                  <c:v>50.640890464479547</c:v>
                </c:pt>
                <c:pt idx="194">
                  <c:v>49.853201488251592</c:v>
                </c:pt>
                <c:pt idx="195">
                  <c:v>47.814935826726654</c:v>
                </c:pt>
                <c:pt idx="196">
                  <c:v>49.626009171395665</c:v>
                </c:pt>
                <c:pt idx="197">
                  <c:v>49.598560377102274</c:v>
                </c:pt>
                <c:pt idx="198">
                  <c:v>50.373469766742645</c:v>
                </c:pt>
                <c:pt idx="199">
                  <c:v>34.408924989646749</c:v>
                </c:pt>
                <c:pt idx="200">
                  <c:v>39.169096455412557</c:v>
                </c:pt>
                <c:pt idx="201">
                  <c:v>48.885008104210769</c:v>
                </c:pt>
                <c:pt idx="202">
                  <c:v>37.310462462807934</c:v>
                </c:pt>
                <c:pt idx="203">
                  <c:v>41.625749277150305</c:v>
                </c:pt>
                <c:pt idx="204">
                  <c:v>49.282842928294293</c:v>
                </c:pt>
                <c:pt idx="205">
                  <c:v>25.332042651997295</c:v>
                </c:pt>
                <c:pt idx="206">
                  <c:v>48.157300642587586</c:v>
                </c:pt>
                <c:pt idx="207">
                  <c:v>52.141107531133912</c:v>
                </c:pt>
                <c:pt idx="208">
                  <c:v>41.423940864691083</c:v>
                </c:pt>
                <c:pt idx="209">
                  <c:v>27.592189030994231</c:v>
                </c:pt>
                <c:pt idx="210">
                  <c:v>41.580296767975732</c:v>
                </c:pt>
                <c:pt idx="211">
                  <c:v>49.982388876944228</c:v>
                </c:pt>
                <c:pt idx="212">
                  <c:v>49.908524328761793</c:v>
                </c:pt>
                <c:pt idx="213">
                  <c:v>49.954134686661234</c:v>
                </c:pt>
                <c:pt idx="214">
                  <c:v>48.372067766413032</c:v>
                </c:pt>
                <c:pt idx="215">
                  <c:v>47.847871981112817</c:v>
                </c:pt>
                <c:pt idx="216">
                  <c:v>43.139971784331756</c:v>
                </c:pt>
                <c:pt idx="217">
                  <c:v>45.604682811523134</c:v>
                </c:pt>
                <c:pt idx="218">
                  <c:v>48.648486743155352</c:v>
                </c:pt>
                <c:pt idx="219">
                  <c:v>49.24050143967191</c:v>
                </c:pt>
                <c:pt idx="220">
                  <c:v>47.440868558596222</c:v>
                </c:pt>
                <c:pt idx="221">
                  <c:v>46.07830221106142</c:v>
                </c:pt>
                <c:pt idx="222">
                  <c:v>43.59744723771302</c:v>
                </c:pt>
                <c:pt idx="223">
                  <c:v>44.959594514391192</c:v>
                </c:pt>
                <c:pt idx="224">
                  <c:v>35.289803573075886</c:v>
                </c:pt>
                <c:pt idx="225">
                  <c:v>32.322585048687117</c:v>
                </c:pt>
                <c:pt idx="226">
                  <c:v>36.654777495390348</c:v>
                </c:pt>
                <c:pt idx="227">
                  <c:v>33.944923487791094</c:v>
                </c:pt>
                <c:pt idx="228">
                  <c:v>24.777784610955653</c:v>
                </c:pt>
                <c:pt idx="229">
                  <c:v>32.965017270013242</c:v>
                </c:pt>
                <c:pt idx="230">
                  <c:v>33.636970253061072</c:v>
                </c:pt>
                <c:pt idx="231">
                  <c:v>47.441986207003389</c:v>
                </c:pt>
                <c:pt idx="232">
                  <c:v>31.526406904544103</c:v>
                </c:pt>
                <c:pt idx="233">
                  <c:v>22.568590834284134</c:v>
                </c:pt>
                <c:pt idx="234">
                  <c:v>43.7881479925543</c:v>
                </c:pt>
                <c:pt idx="235">
                  <c:v>45.201489628100127</c:v>
                </c:pt>
                <c:pt idx="236">
                  <c:v>29.189035723909047</c:v>
                </c:pt>
                <c:pt idx="237">
                  <c:v>40.082154232691494</c:v>
                </c:pt>
                <c:pt idx="238">
                  <c:v>45.025736751801553</c:v>
                </c:pt>
                <c:pt idx="239">
                  <c:v>45.131825606280557</c:v>
                </c:pt>
                <c:pt idx="240">
                  <c:v>31.713488779487406</c:v>
                </c:pt>
                <c:pt idx="241">
                  <c:v>44.826136858253783</c:v>
                </c:pt>
                <c:pt idx="242">
                  <c:v>20.380531939060646</c:v>
                </c:pt>
                <c:pt idx="243">
                  <c:v>41.421100588171896</c:v>
                </c:pt>
                <c:pt idx="244">
                  <c:v>38.626945852949582</c:v>
                </c:pt>
                <c:pt idx="245">
                  <c:v>36.709476136465611</c:v>
                </c:pt>
                <c:pt idx="246">
                  <c:v>43.866978037312812</c:v>
                </c:pt>
                <c:pt idx="247">
                  <c:v>40.271340688290216</c:v>
                </c:pt>
                <c:pt idx="248">
                  <c:v>43.356410991194011</c:v>
                </c:pt>
                <c:pt idx="249">
                  <c:v>34.684933897536958</c:v>
                </c:pt>
                <c:pt idx="250">
                  <c:v>38.047114316528223</c:v>
                </c:pt>
                <c:pt idx="251">
                  <c:v>19.686566344126987</c:v>
                </c:pt>
                <c:pt idx="252">
                  <c:v>42.975209796047011</c:v>
                </c:pt>
                <c:pt idx="253">
                  <c:v>43.776130969258148</c:v>
                </c:pt>
                <c:pt idx="254">
                  <c:v>30.791403331446823</c:v>
                </c:pt>
                <c:pt idx="255">
                  <c:v>11.124698580130467</c:v>
                </c:pt>
                <c:pt idx="256">
                  <c:v>33.627489802336335</c:v>
                </c:pt>
                <c:pt idx="257">
                  <c:v>38.590421397968804</c:v>
                </c:pt>
                <c:pt idx="258">
                  <c:v>25.699706840857488</c:v>
                </c:pt>
                <c:pt idx="259">
                  <c:v>45.325695292918034</c:v>
                </c:pt>
                <c:pt idx="260">
                  <c:v>43.834755723084648</c:v>
                </c:pt>
                <c:pt idx="261">
                  <c:v>43.289847326097401</c:v>
                </c:pt>
                <c:pt idx="262">
                  <c:v>44.590300944818047</c:v>
                </c:pt>
                <c:pt idx="263">
                  <c:v>43.606454865973106</c:v>
                </c:pt>
                <c:pt idx="264">
                  <c:v>42.403544289714858</c:v>
                </c:pt>
                <c:pt idx="265">
                  <c:v>27.952978245307527</c:v>
                </c:pt>
                <c:pt idx="266">
                  <c:v>20.429912682424835</c:v>
                </c:pt>
                <c:pt idx="267">
                  <c:v>30.129154419981585</c:v>
                </c:pt>
                <c:pt idx="268">
                  <c:v>31.480332318202617</c:v>
                </c:pt>
                <c:pt idx="269">
                  <c:v>15.122817276154054</c:v>
                </c:pt>
                <c:pt idx="270">
                  <c:v>14.787842954774268</c:v>
                </c:pt>
                <c:pt idx="271">
                  <c:v>21.306699394711259</c:v>
                </c:pt>
                <c:pt idx="272">
                  <c:v>30.713304558405685</c:v>
                </c:pt>
                <c:pt idx="273">
                  <c:v>37.178063578588223</c:v>
                </c:pt>
                <c:pt idx="274">
                  <c:v>36.608413566208675</c:v>
                </c:pt>
                <c:pt idx="275">
                  <c:v>34.222785027660841</c:v>
                </c:pt>
                <c:pt idx="276">
                  <c:v>40.078134660771575</c:v>
                </c:pt>
                <c:pt idx="277">
                  <c:v>40.02316235898698</c:v>
                </c:pt>
                <c:pt idx="278">
                  <c:v>14.839469920227453</c:v>
                </c:pt>
                <c:pt idx="279">
                  <c:v>29.587644314635874</c:v>
                </c:pt>
                <c:pt idx="280">
                  <c:v>17.112996700137717</c:v>
                </c:pt>
                <c:pt idx="281">
                  <c:v>37.32778745819467</c:v>
                </c:pt>
                <c:pt idx="282">
                  <c:v>30.468114564940372</c:v>
                </c:pt>
                <c:pt idx="283">
                  <c:v>21.725311864135694</c:v>
                </c:pt>
                <c:pt idx="284">
                  <c:v>30.375996821638282</c:v>
                </c:pt>
                <c:pt idx="285">
                  <c:v>21.981922220081028</c:v>
                </c:pt>
                <c:pt idx="286">
                  <c:v>16.419568740653219</c:v>
                </c:pt>
                <c:pt idx="287">
                  <c:v>36.665622656083279</c:v>
                </c:pt>
                <c:pt idx="288">
                  <c:v>33.101778791528872</c:v>
                </c:pt>
                <c:pt idx="289">
                  <c:v>22.291837923226542</c:v>
                </c:pt>
                <c:pt idx="290">
                  <c:v>34.113607851729476</c:v>
                </c:pt>
                <c:pt idx="291">
                  <c:v>14.522717799419953</c:v>
                </c:pt>
                <c:pt idx="292">
                  <c:v>8.3292609000287232</c:v>
                </c:pt>
                <c:pt idx="293">
                  <c:v>15.223008798629367</c:v>
                </c:pt>
                <c:pt idx="294">
                  <c:v>32.837671333283893</c:v>
                </c:pt>
                <c:pt idx="295">
                  <c:v>18.703001769817934</c:v>
                </c:pt>
                <c:pt idx="296">
                  <c:v>24.949472044673797</c:v>
                </c:pt>
                <c:pt idx="297">
                  <c:v>22.033361967609199</c:v>
                </c:pt>
                <c:pt idx="298">
                  <c:v>12.315859435251234</c:v>
                </c:pt>
                <c:pt idx="299">
                  <c:v>13.493171817975583</c:v>
                </c:pt>
                <c:pt idx="300">
                  <c:v>16.996596491403135</c:v>
                </c:pt>
                <c:pt idx="301">
                  <c:v>25.382544694666869</c:v>
                </c:pt>
                <c:pt idx="302">
                  <c:v>20.784363925099672</c:v>
                </c:pt>
                <c:pt idx="303">
                  <c:v>21.487603625190509</c:v>
                </c:pt>
                <c:pt idx="304">
                  <c:v>23.152292078843907</c:v>
                </c:pt>
                <c:pt idx="305">
                  <c:v>29.012660965560642</c:v>
                </c:pt>
                <c:pt idx="306">
                  <c:v>10.089714490738482</c:v>
                </c:pt>
                <c:pt idx="307">
                  <c:v>11.779175895422153</c:v>
                </c:pt>
                <c:pt idx="308">
                  <c:v>30.947926349854775</c:v>
                </c:pt>
                <c:pt idx="309">
                  <c:v>30.587377148297463</c:v>
                </c:pt>
                <c:pt idx="310">
                  <c:v>29.239012079153788</c:v>
                </c:pt>
                <c:pt idx="311">
                  <c:v>20.003194146557576</c:v>
                </c:pt>
                <c:pt idx="312">
                  <c:v>10.581254797670391</c:v>
                </c:pt>
                <c:pt idx="313">
                  <c:v>23.601268227830513</c:v>
                </c:pt>
                <c:pt idx="314">
                  <c:v>29.419353275527271</c:v>
                </c:pt>
                <c:pt idx="315">
                  <c:v>28.093432568893167</c:v>
                </c:pt>
                <c:pt idx="316">
                  <c:v>28.280532520384295</c:v>
                </c:pt>
                <c:pt idx="317">
                  <c:v>10.571483430803429</c:v>
                </c:pt>
                <c:pt idx="318">
                  <c:v>12.625893498761608</c:v>
                </c:pt>
                <c:pt idx="319">
                  <c:v>27.977255003850864</c:v>
                </c:pt>
                <c:pt idx="320">
                  <c:v>14.950003335999225</c:v>
                </c:pt>
                <c:pt idx="321">
                  <c:v>13.651165580016016</c:v>
                </c:pt>
                <c:pt idx="322">
                  <c:v>5.8879882726477408</c:v>
                </c:pt>
                <c:pt idx="323">
                  <c:v>17.439616973201886</c:v>
                </c:pt>
                <c:pt idx="324">
                  <c:v>3.4809653750304461</c:v>
                </c:pt>
                <c:pt idx="325">
                  <c:v>7.7113215965245203</c:v>
                </c:pt>
                <c:pt idx="326">
                  <c:v>11.965185100800339</c:v>
                </c:pt>
                <c:pt idx="327">
                  <c:v>14.133732339621789</c:v>
                </c:pt>
                <c:pt idx="328">
                  <c:v>4.3472454931889741</c:v>
                </c:pt>
                <c:pt idx="329">
                  <c:v>13.485203030297868</c:v>
                </c:pt>
                <c:pt idx="330">
                  <c:v>14.363720232893495</c:v>
                </c:pt>
                <c:pt idx="331">
                  <c:v>9.272599406731505</c:v>
                </c:pt>
                <c:pt idx="332">
                  <c:v>13.046523614962693</c:v>
                </c:pt>
                <c:pt idx="333">
                  <c:v>4.2434633550311567</c:v>
                </c:pt>
                <c:pt idx="334">
                  <c:v>3.4319456097808207</c:v>
                </c:pt>
                <c:pt idx="335">
                  <c:v>6.4814678755097725</c:v>
                </c:pt>
                <c:pt idx="336">
                  <c:v>7.2947225871032808</c:v>
                </c:pt>
                <c:pt idx="337">
                  <c:v>20.217101699819196</c:v>
                </c:pt>
                <c:pt idx="338">
                  <c:v>25.669555007393448</c:v>
                </c:pt>
                <c:pt idx="339">
                  <c:v>11.200425533279594</c:v>
                </c:pt>
                <c:pt idx="340">
                  <c:v>20.120392028709364</c:v>
                </c:pt>
                <c:pt idx="341">
                  <c:v>4.614423878515991</c:v>
                </c:pt>
                <c:pt idx="342">
                  <c:v>5.6184631175044624</c:v>
                </c:pt>
                <c:pt idx="343">
                  <c:v>13.998455034979244</c:v>
                </c:pt>
                <c:pt idx="344">
                  <c:v>17.065792909421745</c:v>
                </c:pt>
                <c:pt idx="345">
                  <c:v>5.03939922001212</c:v>
                </c:pt>
                <c:pt idx="346">
                  <c:v>5.5249033870900996</c:v>
                </c:pt>
                <c:pt idx="347">
                  <c:v>16.973872879275497</c:v>
                </c:pt>
                <c:pt idx="348">
                  <c:v>7.1087424798303447</c:v>
                </c:pt>
                <c:pt idx="349">
                  <c:v>4.8287764252917675</c:v>
                </c:pt>
                <c:pt idx="350">
                  <c:v>2.7007721788419032</c:v>
                </c:pt>
                <c:pt idx="351">
                  <c:v>21.29099115136049</c:v>
                </c:pt>
                <c:pt idx="352">
                  <c:v>18.021588385309276</c:v>
                </c:pt>
                <c:pt idx="353">
                  <c:v>4.39046244718529</c:v>
                </c:pt>
                <c:pt idx="354">
                  <c:v>22.187680055356125</c:v>
                </c:pt>
                <c:pt idx="355">
                  <c:v>17.156910613806332</c:v>
                </c:pt>
                <c:pt idx="356">
                  <c:v>17.697293437025358</c:v>
                </c:pt>
                <c:pt idx="357">
                  <c:v>23.195309776705045</c:v>
                </c:pt>
                <c:pt idx="358">
                  <c:v>13.586648521254931</c:v>
                </c:pt>
                <c:pt idx="359">
                  <c:v>22.429976800079068</c:v>
                </c:pt>
                <c:pt idx="360">
                  <c:v>6.0915583176295254</c:v>
                </c:pt>
                <c:pt idx="361">
                  <c:v>23.747028950174492</c:v>
                </c:pt>
                <c:pt idx="362">
                  <c:v>10.339938894937671</c:v>
                </c:pt>
                <c:pt idx="363">
                  <c:v>14.850270425709152</c:v>
                </c:pt>
                <c:pt idx="364">
                  <c:v>11.230064900680727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8.585225345324087</c:v>
                </c:pt>
                <c:pt idx="1">
                  <c:v>2.8967107575307627</c:v>
                </c:pt>
                <c:pt idx="2">
                  <c:v>15.923347071170392</c:v>
                </c:pt>
                <c:pt idx="3">
                  <c:v>24.399189159892614</c:v>
                </c:pt>
                <c:pt idx="4">
                  <c:v>10.237607323639452</c:v>
                </c:pt>
                <c:pt idx="5">
                  <c:v>6.0525073294405232</c:v>
                </c:pt>
                <c:pt idx="6">
                  <c:v>16.543440379890878</c:v>
                </c:pt>
                <c:pt idx="7">
                  <c:v>6.7661685185362028</c:v>
                </c:pt>
                <c:pt idx="8">
                  <c:v>6.8466988340227113</c:v>
                </c:pt>
                <c:pt idx="9">
                  <c:v>23.537771196651654</c:v>
                </c:pt>
                <c:pt idx="10">
                  <c:v>4.7518024744013498</c:v>
                </c:pt>
                <c:pt idx="11">
                  <c:v>22.853794947914313</c:v>
                </c:pt>
                <c:pt idx="12">
                  <c:v>12.631846655458098</c:v>
                </c:pt>
                <c:pt idx="13">
                  <c:v>18.074333728048636</c:v>
                </c:pt>
                <c:pt idx="14">
                  <c:v>6.4260661412888336</c:v>
                </c:pt>
                <c:pt idx="15">
                  <c:v>3.245831181842679</c:v>
                </c:pt>
                <c:pt idx="16">
                  <c:v>5.8799811600339922</c:v>
                </c:pt>
                <c:pt idx="17">
                  <c:v>20.499045081065095</c:v>
                </c:pt>
                <c:pt idx="18">
                  <c:v>9.2198101797493699</c:v>
                </c:pt>
                <c:pt idx="19">
                  <c:v>17.727488683411327</c:v>
                </c:pt>
                <c:pt idx="20">
                  <c:v>4.935513551344795</c:v>
                </c:pt>
                <c:pt idx="21">
                  <c:v>29.26192335653645</c:v>
                </c:pt>
                <c:pt idx="22">
                  <c:v>29.31889502916896</c:v>
                </c:pt>
                <c:pt idx="23">
                  <c:v>29.593415136372656</c:v>
                </c:pt>
                <c:pt idx="24">
                  <c:v>29.147218360734513</c:v>
                </c:pt>
                <c:pt idx="25">
                  <c:v>29.897004702766345</c:v>
                </c:pt>
                <c:pt idx="26">
                  <c:v>29.621506749319352</c:v>
                </c:pt>
                <c:pt idx="27">
                  <c:v>4.0127976599235442</c:v>
                </c:pt>
                <c:pt idx="28">
                  <c:v>5.965297335877124</c:v>
                </c:pt>
                <c:pt idx="29">
                  <c:v>4.8912145068026369</c:v>
                </c:pt>
                <c:pt idx="30">
                  <c:v>6.7111455871728252</c:v>
                </c:pt>
                <c:pt idx="31">
                  <c:v>13.883844584709788</c:v>
                </c:pt>
                <c:pt idx="32">
                  <c:v>5.2245664802462102</c:v>
                </c:pt>
                <c:pt idx="33">
                  <c:v>11.427026354391533</c:v>
                </c:pt>
                <c:pt idx="34">
                  <c:v>10.958759089240875</c:v>
                </c:pt>
                <c:pt idx="35">
                  <c:v>10.353296284305339</c:v>
                </c:pt>
                <c:pt idx="36">
                  <c:v>22.846233394429149</c:v>
                </c:pt>
                <c:pt idx="37">
                  <c:v>8.9971423877902694</c:v>
                </c:pt>
                <c:pt idx="38">
                  <c:v>34.749233789077465</c:v>
                </c:pt>
                <c:pt idx="39">
                  <c:v>34.82549620464745</c:v>
                </c:pt>
                <c:pt idx="40">
                  <c:v>32.356926457951026</c:v>
                </c:pt>
                <c:pt idx="41">
                  <c:v>16.287927092773675</c:v>
                </c:pt>
                <c:pt idx="42">
                  <c:v>27.08980185986697</c:v>
                </c:pt>
                <c:pt idx="43">
                  <c:v>33.104071114869498</c:v>
                </c:pt>
                <c:pt idx="44">
                  <c:v>18.364110034762941</c:v>
                </c:pt>
                <c:pt idx="45">
                  <c:v>18.096672188420534</c:v>
                </c:pt>
                <c:pt idx="46">
                  <c:v>7.8706349555768584</c:v>
                </c:pt>
                <c:pt idx="47">
                  <c:v>9.1974605522118278</c:v>
                </c:pt>
                <c:pt idx="48">
                  <c:v>30.143152041421899</c:v>
                </c:pt>
                <c:pt idx="49">
                  <c:v>18.379275509146414</c:v>
                </c:pt>
                <c:pt idx="50">
                  <c:v>21.663289953818932</c:v>
                </c:pt>
                <c:pt idx="51">
                  <c:v>21.32974383905982</c:v>
                </c:pt>
                <c:pt idx="52">
                  <c:v>34.926583675852534</c:v>
                </c:pt>
                <c:pt idx="53">
                  <c:v>36.430576044283043</c:v>
                </c:pt>
                <c:pt idx="54">
                  <c:v>20.722519347831923</c:v>
                </c:pt>
                <c:pt idx="55">
                  <c:v>30.138038390902405</c:v>
                </c:pt>
                <c:pt idx="56">
                  <c:v>40.67694336265756</c:v>
                </c:pt>
                <c:pt idx="57">
                  <c:v>28.071836806559922</c:v>
                </c:pt>
                <c:pt idx="58">
                  <c:v>32.523289875677101</c:v>
                </c:pt>
                <c:pt idx="59">
                  <c:v>41.568647812088741</c:v>
                </c:pt>
                <c:pt idx="60">
                  <c:v>10.483035861306311</c:v>
                </c:pt>
                <c:pt idx="61">
                  <c:v>39.302939196418968</c:v>
                </c:pt>
                <c:pt idx="62">
                  <c:v>4.2020658775112265</c:v>
                </c:pt>
                <c:pt idx="63">
                  <c:v>14.93928112347418</c:v>
                </c:pt>
                <c:pt idx="64">
                  <c:v>21.150743993749149</c:v>
                </c:pt>
                <c:pt idx="65">
                  <c:v>32.091427817937785</c:v>
                </c:pt>
                <c:pt idx="66">
                  <c:v>30.784445638142589</c:v>
                </c:pt>
                <c:pt idx="67">
                  <c:v>32.493090101204594</c:v>
                </c:pt>
                <c:pt idx="68">
                  <c:v>23.516156442865917</c:v>
                </c:pt>
                <c:pt idx="69">
                  <c:v>15.678818506949394</c:v>
                </c:pt>
                <c:pt idx="70">
                  <c:v>12.946598398420514</c:v>
                </c:pt>
                <c:pt idx="71">
                  <c:v>12.186451601853292</c:v>
                </c:pt>
                <c:pt idx="72">
                  <c:v>12.874266118159722</c:v>
                </c:pt>
                <c:pt idx="73">
                  <c:v>14.615695338132991</c:v>
                </c:pt>
                <c:pt idx="74">
                  <c:v>10.032146404646367</c:v>
                </c:pt>
                <c:pt idx="75">
                  <c:v>10.863455325972105</c:v>
                </c:pt>
                <c:pt idx="76">
                  <c:v>13.323811512386442</c:v>
                </c:pt>
                <c:pt idx="77">
                  <c:v>30.528943725938287</c:v>
                </c:pt>
                <c:pt idx="78">
                  <c:v>31.475405776735329</c:v>
                </c:pt>
                <c:pt idx="79">
                  <c:v>45.386849476203899</c:v>
                </c:pt>
                <c:pt idx="80">
                  <c:v>40.051020875379507</c:v>
                </c:pt>
                <c:pt idx="81">
                  <c:v>47.161174493271702</c:v>
                </c:pt>
                <c:pt idx="82">
                  <c:v>44.389297514364181</c:v>
                </c:pt>
                <c:pt idx="83">
                  <c:v>40.409942104054807</c:v>
                </c:pt>
                <c:pt idx="84">
                  <c:v>43.892699465157946</c:v>
                </c:pt>
                <c:pt idx="85">
                  <c:v>44.613841001397162</c:v>
                </c:pt>
                <c:pt idx="86">
                  <c:v>34.226528932792924</c:v>
                </c:pt>
                <c:pt idx="87">
                  <c:v>26.973183427940157</c:v>
                </c:pt>
                <c:pt idx="88">
                  <c:v>7.0408590713636077</c:v>
                </c:pt>
                <c:pt idx="89">
                  <c:v>20.958019890568902</c:v>
                </c:pt>
                <c:pt idx="90">
                  <c:v>31.218123847780028</c:v>
                </c:pt>
                <c:pt idx="91">
                  <c:v>19.148780810944498</c:v>
                </c:pt>
                <c:pt idx="92">
                  <c:v>24.454141559128558</c:v>
                </c:pt>
                <c:pt idx="93">
                  <c:v>42.884202911924653</c:v>
                </c:pt>
                <c:pt idx="94">
                  <c:v>49.419161030822437</c:v>
                </c:pt>
                <c:pt idx="95">
                  <c:v>11.606179702881192</c:v>
                </c:pt>
                <c:pt idx="96">
                  <c:v>38.229227425536571</c:v>
                </c:pt>
                <c:pt idx="97">
                  <c:v>31.017642765806972</c:v>
                </c:pt>
                <c:pt idx="98">
                  <c:v>33.852254098546268</c:v>
                </c:pt>
                <c:pt idx="99">
                  <c:v>51.750394673884912</c:v>
                </c:pt>
                <c:pt idx="100">
                  <c:v>42.70296157878694</c:v>
                </c:pt>
                <c:pt idx="101">
                  <c:v>2.4128568861587176</c:v>
                </c:pt>
                <c:pt idx="102">
                  <c:v>0</c:v>
                </c:pt>
                <c:pt idx="103">
                  <c:v>40.526845843123461</c:v>
                </c:pt>
                <c:pt idx="104">
                  <c:v>45.105007538634567</c:v>
                </c:pt>
                <c:pt idx="105">
                  <c:v>40.582013957965216</c:v>
                </c:pt>
                <c:pt idx="106">
                  <c:v>51.245452188395326</c:v>
                </c:pt>
                <c:pt idx="107">
                  <c:v>36.541854389604985</c:v>
                </c:pt>
                <c:pt idx="108">
                  <c:v>8.7470100932981278</c:v>
                </c:pt>
                <c:pt idx="109">
                  <c:v>9.8687005228355691</c:v>
                </c:pt>
                <c:pt idx="110">
                  <c:v>8.9126506459757397</c:v>
                </c:pt>
                <c:pt idx="111">
                  <c:v>26.947397579311758</c:v>
                </c:pt>
                <c:pt idx="112">
                  <c:v>9.2592997130159844</c:v>
                </c:pt>
                <c:pt idx="113">
                  <c:v>23.800897537049334</c:v>
                </c:pt>
                <c:pt idx="114">
                  <c:v>45.140097675690626</c:v>
                </c:pt>
                <c:pt idx="115">
                  <c:v>50.484543155823999</c:v>
                </c:pt>
                <c:pt idx="116">
                  <c:v>37.211947572868148</c:v>
                </c:pt>
                <c:pt idx="117">
                  <c:v>20.012932650760572</c:v>
                </c:pt>
                <c:pt idx="118">
                  <c:v>40.515434174049247</c:v>
                </c:pt>
                <c:pt idx="119">
                  <c:v>41.299557102291608</c:v>
                </c:pt>
                <c:pt idx="120">
                  <c:v>46.227072906879599</c:v>
                </c:pt>
                <c:pt idx="121">
                  <c:v>27.078261583872436</c:v>
                </c:pt>
                <c:pt idx="122">
                  <c:v>30.927095725779644</c:v>
                </c:pt>
                <c:pt idx="123">
                  <c:v>18.241100479784212</c:v>
                </c:pt>
                <c:pt idx="124">
                  <c:v>38.307882422607562</c:v>
                </c:pt>
                <c:pt idx="125">
                  <c:v>35.774703305706758</c:v>
                </c:pt>
                <c:pt idx="126">
                  <c:v>46.290505154806034</c:v>
                </c:pt>
                <c:pt idx="127">
                  <c:v>48.290686180197731</c:v>
                </c:pt>
                <c:pt idx="128">
                  <c:v>52.530844838771309</c:v>
                </c:pt>
                <c:pt idx="129">
                  <c:v>50.065378422674662</c:v>
                </c:pt>
                <c:pt idx="130">
                  <c:v>53.706050860927334</c:v>
                </c:pt>
                <c:pt idx="131">
                  <c:v>41.343305390614965</c:v>
                </c:pt>
                <c:pt idx="132">
                  <c:v>37.856470092663876</c:v>
                </c:pt>
                <c:pt idx="133">
                  <c:v>49.409415791733558</c:v>
                </c:pt>
                <c:pt idx="134">
                  <c:v>50.408443400905028</c:v>
                </c:pt>
                <c:pt idx="135">
                  <c:v>48.5383569834448</c:v>
                </c:pt>
                <c:pt idx="136">
                  <c:v>51.97129560409423</c:v>
                </c:pt>
                <c:pt idx="137">
                  <c:v>50.348508818846035</c:v>
                </c:pt>
                <c:pt idx="138">
                  <c:v>52.596540095592651</c:v>
                </c:pt>
                <c:pt idx="139">
                  <c:v>47.706447976171134</c:v>
                </c:pt>
                <c:pt idx="140">
                  <c:v>48.290112858109325</c:v>
                </c:pt>
                <c:pt idx="141">
                  <c:v>36.9392398552896</c:v>
                </c:pt>
                <c:pt idx="142">
                  <c:v>17.252956247287905</c:v>
                </c:pt>
                <c:pt idx="143">
                  <c:v>16.400504094446809</c:v>
                </c:pt>
                <c:pt idx="144">
                  <c:v>38.204245203549235</c:v>
                </c:pt>
                <c:pt idx="145">
                  <c:v>25.997875019558858</c:v>
                </c:pt>
                <c:pt idx="146">
                  <c:v>41.432467979630289</c:v>
                </c:pt>
                <c:pt idx="147">
                  <c:v>51.033107045450897</c:v>
                </c:pt>
                <c:pt idx="148">
                  <c:v>55.254448566590334</c:v>
                </c:pt>
                <c:pt idx="149">
                  <c:v>46.297883600224687</c:v>
                </c:pt>
                <c:pt idx="150">
                  <c:v>51.441813429842618</c:v>
                </c:pt>
                <c:pt idx="151">
                  <c:v>52.287454804257031</c:v>
                </c:pt>
                <c:pt idx="152">
                  <c:v>41.391120615279583</c:v>
                </c:pt>
                <c:pt idx="153">
                  <c:v>51.993124589044399</c:v>
                </c:pt>
                <c:pt idx="154">
                  <c:v>21.533394772780564</c:v>
                </c:pt>
                <c:pt idx="155">
                  <c:v>30.380537957048471</c:v>
                </c:pt>
                <c:pt idx="156">
                  <c:v>45.516373041693079</c:v>
                </c:pt>
                <c:pt idx="157">
                  <c:v>26.64835793991632</c:v>
                </c:pt>
                <c:pt idx="158">
                  <c:v>19.813471051358107</c:v>
                </c:pt>
                <c:pt idx="159">
                  <c:v>44.021645842172177</c:v>
                </c:pt>
                <c:pt idx="160">
                  <c:v>53.901717173311525</c:v>
                </c:pt>
                <c:pt idx="161">
                  <c:v>52.434289677823266</c:v>
                </c:pt>
                <c:pt idx="162">
                  <c:v>40.191375605518999</c:v>
                </c:pt>
                <c:pt idx="163">
                  <c:v>49.373519800264908</c:v>
                </c:pt>
                <c:pt idx="164">
                  <c:v>47.008117569385405</c:v>
                </c:pt>
                <c:pt idx="165">
                  <c:v>50.4658566370369</c:v>
                </c:pt>
                <c:pt idx="166">
                  <c:v>48.973849098521391</c:v>
                </c:pt>
                <c:pt idx="167">
                  <c:v>49.612914396725571</c:v>
                </c:pt>
                <c:pt idx="168">
                  <c:v>51.284212884508506</c:v>
                </c:pt>
                <c:pt idx="169">
                  <c:v>52.362537898019824</c:v>
                </c:pt>
                <c:pt idx="170">
                  <c:v>33.026948608744725</c:v>
                </c:pt>
                <c:pt idx="171">
                  <c:v>23.349659980379855</c:v>
                </c:pt>
                <c:pt idx="172">
                  <c:v>41.230533793366497</c:v>
                </c:pt>
                <c:pt idx="173">
                  <c:v>40.870457860017815</c:v>
                </c:pt>
                <c:pt idx="174">
                  <c:v>38.928818620278172</c:v>
                </c:pt>
                <c:pt idx="175">
                  <c:v>33.400445769557507</c:v>
                </c:pt>
                <c:pt idx="176">
                  <c:v>10.822072364588999</c:v>
                </c:pt>
                <c:pt idx="177">
                  <c:v>10.146807571023594</c:v>
                </c:pt>
                <c:pt idx="178">
                  <c:v>52.250753864283062</c:v>
                </c:pt>
                <c:pt idx="179">
                  <c:v>53.066743511889079</c:v>
                </c:pt>
                <c:pt idx="180">
                  <c:v>12.084323379057173</c:v>
                </c:pt>
                <c:pt idx="181">
                  <c:v>45.226026999051243</c:v>
                </c:pt>
                <c:pt idx="182">
                  <c:v>52.049433735302159</c:v>
                </c:pt>
                <c:pt idx="183">
                  <c:v>45.015500454450127</c:v>
                </c:pt>
                <c:pt idx="184">
                  <c:v>42.928362184313919</c:v>
                </c:pt>
                <c:pt idx="185">
                  <c:v>52.271718154968056</c:v>
                </c:pt>
                <c:pt idx="186">
                  <c:v>42.820550155891297</c:v>
                </c:pt>
                <c:pt idx="187">
                  <c:v>50.581612106093928</c:v>
                </c:pt>
                <c:pt idx="188">
                  <c:v>53.011680719825975</c:v>
                </c:pt>
                <c:pt idx="189">
                  <c:v>52.40950018312116</c:v>
                </c:pt>
                <c:pt idx="190">
                  <c:v>52.064282616936367</c:v>
                </c:pt>
                <c:pt idx="191">
                  <c:v>50.823726326472773</c:v>
                </c:pt>
                <c:pt idx="192">
                  <c:v>50.386324390108243</c:v>
                </c:pt>
                <c:pt idx="193">
                  <c:v>50.640890464479547</c:v>
                </c:pt>
                <c:pt idx="194">
                  <c:v>49.853201488251592</c:v>
                </c:pt>
                <c:pt idx="195">
                  <c:v>47.814935826726654</c:v>
                </c:pt>
                <c:pt idx="196">
                  <c:v>49.626009171395665</c:v>
                </c:pt>
                <c:pt idx="197">
                  <c:v>49.598560377102274</c:v>
                </c:pt>
                <c:pt idx="198">
                  <c:v>50.373469766742645</c:v>
                </c:pt>
                <c:pt idx="199">
                  <c:v>34.408924989646749</c:v>
                </c:pt>
                <c:pt idx="200">
                  <c:v>39.169096455412557</c:v>
                </c:pt>
                <c:pt idx="201">
                  <c:v>48.885008104210769</c:v>
                </c:pt>
                <c:pt idx="202">
                  <c:v>37.310462462807934</c:v>
                </c:pt>
                <c:pt idx="203">
                  <c:v>41.625749277150305</c:v>
                </c:pt>
                <c:pt idx="204">
                  <c:v>49.282842928294293</c:v>
                </c:pt>
                <c:pt idx="205">
                  <c:v>25.332042651997295</c:v>
                </c:pt>
                <c:pt idx="206">
                  <c:v>48.157300642587586</c:v>
                </c:pt>
                <c:pt idx="207">
                  <c:v>52.141107531133912</c:v>
                </c:pt>
                <c:pt idx="208">
                  <c:v>41.423940864691083</c:v>
                </c:pt>
                <c:pt idx="209">
                  <c:v>27.592189030994231</c:v>
                </c:pt>
                <c:pt idx="210">
                  <c:v>41.580296767975732</c:v>
                </c:pt>
                <c:pt idx="211">
                  <c:v>49.982388876944228</c:v>
                </c:pt>
                <c:pt idx="212">
                  <c:v>49.908524328761793</c:v>
                </c:pt>
                <c:pt idx="213">
                  <c:v>49.954134686661234</c:v>
                </c:pt>
                <c:pt idx="214">
                  <c:v>48.372067766413032</c:v>
                </c:pt>
                <c:pt idx="215">
                  <c:v>47.847871981112817</c:v>
                </c:pt>
                <c:pt idx="216">
                  <c:v>43.139971784331756</c:v>
                </c:pt>
                <c:pt idx="217">
                  <c:v>45.604682811523134</c:v>
                </c:pt>
                <c:pt idx="218">
                  <c:v>48.648486743155352</c:v>
                </c:pt>
                <c:pt idx="219">
                  <c:v>49.24050143967191</c:v>
                </c:pt>
                <c:pt idx="220">
                  <c:v>47.440868558596222</c:v>
                </c:pt>
                <c:pt idx="221">
                  <c:v>46.07830221106142</c:v>
                </c:pt>
                <c:pt idx="222">
                  <c:v>43.59744723771302</c:v>
                </c:pt>
                <c:pt idx="223">
                  <c:v>44.959594514391192</c:v>
                </c:pt>
                <c:pt idx="224">
                  <c:v>35.289803573075886</c:v>
                </c:pt>
                <c:pt idx="225">
                  <c:v>32.322585048687117</c:v>
                </c:pt>
                <c:pt idx="226">
                  <c:v>36.654777495390348</c:v>
                </c:pt>
                <c:pt idx="227">
                  <c:v>33.944923487791094</c:v>
                </c:pt>
                <c:pt idx="228">
                  <c:v>24.777784610955653</c:v>
                </c:pt>
                <c:pt idx="229">
                  <c:v>32.965017270013242</c:v>
                </c:pt>
                <c:pt idx="230">
                  <c:v>33.636970253061072</c:v>
                </c:pt>
                <c:pt idx="231">
                  <c:v>47.441986207003389</c:v>
                </c:pt>
                <c:pt idx="232">
                  <c:v>31.526406904544103</c:v>
                </c:pt>
                <c:pt idx="233">
                  <c:v>22.568590834284134</c:v>
                </c:pt>
                <c:pt idx="234">
                  <c:v>43.7881479925543</c:v>
                </c:pt>
                <c:pt idx="235">
                  <c:v>45.201489628100127</c:v>
                </c:pt>
                <c:pt idx="236">
                  <c:v>29.189035723909047</c:v>
                </c:pt>
                <c:pt idx="237">
                  <c:v>40.082154232691494</c:v>
                </c:pt>
                <c:pt idx="238">
                  <c:v>45.025736751801553</c:v>
                </c:pt>
                <c:pt idx="239">
                  <c:v>45.131825606280557</c:v>
                </c:pt>
                <c:pt idx="240">
                  <c:v>31.713488779487406</c:v>
                </c:pt>
                <c:pt idx="241">
                  <c:v>44.826136858253783</c:v>
                </c:pt>
                <c:pt idx="242">
                  <c:v>20.380531939060646</c:v>
                </c:pt>
                <c:pt idx="243">
                  <c:v>41.421100588171896</c:v>
                </c:pt>
                <c:pt idx="244">
                  <c:v>38.626945852949582</c:v>
                </c:pt>
                <c:pt idx="245">
                  <c:v>36.709476136465611</c:v>
                </c:pt>
                <c:pt idx="246">
                  <c:v>43.866978037312812</c:v>
                </c:pt>
                <c:pt idx="247">
                  <c:v>40.271340688290216</c:v>
                </c:pt>
                <c:pt idx="248">
                  <c:v>43.356410991194011</c:v>
                </c:pt>
                <c:pt idx="249">
                  <c:v>34.684933897536958</c:v>
                </c:pt>
                <c:pt idx="250">
                  <c:v>38.047114316528223</c:v>
                </c:pt>
                <c:pt idx="251">
                  <c:v>19.686566344126987</c:v>
                </c:pt>
                <c:pt idx="252">
                  <c:v>42.975209796047011</c:v>
                </c:pt>
                <c:pt idx="253">
                  <c:v>43.776130969258148</c:v>
                </c:pt>
                <c:pt idx="254">
                  <c:v>30.791403331446823</c:v>
                </c:pt>
                <c:pt idx="255">
                  <c:v>11.124698580130467</c:v>
                </c:pt>
                <c:pt idx="256">
                  <c:v>33.627489802336335</c:v>
                </c:pt>
                <c:pt idx="257">
                  <c:v>38.590421397968804</c:v>
                </c:pt>
                <c:pt idx="258">
                  <c:v>25.699706840857488</c:v>
                </c:pt>
                <c:pt idx="259">
                  <c:v>45.325695292918034</c:v>
                </c:pt>
                <c:pt idx="260">
                  <c:v>43.834755723084648</c:v>
                </c:pt>
                <c:pt idx="261">
                  <c:v>43.289847326097401</c:v>
                </c:pt>
                <c:pt idx="262">
                  <c:v>44.590300944818047</c:v>
                </c:pt>
                <c:pt idx="263">
                  <c:v>43.606454865973106</c:v>
                </c:pt>
                <c:pt idx="264">
                  <c:v>42.403544289714858</c:v>
                </c:pt>
                <c:pt idx="265">
                  <c:v>27.952978245307527</c:v>
                </c:pt>
                <c:pt idx="266">
                  <c:v>20.429912682424835</c:v>
                </c:pt>
                <c:pt idx="267">
                  <c:v>30.129154419981585</c:v>
                </c:pt>
                <c:pt idx="268">
                  <c:v>31.480332318202617</c:v>
                </c:pt>
                <c:pt idx="269">
                  <c:v>15.122817276154054</c:v>
                </c:pt>
                <c:pt idx="270">
                  <c:v>14.787842954774268</c:v>
                </c:pt>
                <c:pt idx="271">
                  <c:v>21.306699394711259</c:v>
                </c:pt>
                <c:pt idx="272">
                  <c:v>30.713304558405685</c:v>
                </c:pt>
                <c:pt idx="273">
                  <c:v>37.178063578588223</c:v>
                </c:pt>
                <c:pt idx="274">
                  <c:v>36.608413566208675</c:v>
                </c:pt>
                <c:pt idx="275">
                  <c:v>34.222785027660841</c:v>
                </c:pt>
                <c:pt idx="276">
                  <c:v>40.078134660771575</c:v>
                </c:pt>
                <c:pt idx="277">
                  <c:v>40.02316235898698</c:v>
                </c:pt>
                <c:pt idx="278">
                  <c:v>14.839469920227453</c:v>
                </c:pt>
                <c:pt idx="279">
                  <c:v>29.587644314635874</c:v>
                </c:pt>
                <c:pt idx="280">
                  <c:v>17.112996700137717</c:v>
                </c:pt>
                <c:pt idx="281">
                  <c:v>37.32778745819467</c:v>
                </c:pt>
                <c:pt idx="282">
                  <c:v>30.468114564940372</c:v>
                </c:pt>
                <c:pt idx="283">
                  <c:v>21.725311864135694</c:v>
                </c:pt>
                <c:pt idx="284">
                  <c:v>30.375996821638282</c:v>
                </c:pt>
                <c:pt idx="285">
                  <c:v>21.981922220081028</c:v>
                </c:pt>
                <c:pt idx="286">
                  <c:v>16.419568740653219</c:v>
                </c:pt>
                <c:pt idx="287">
                  <c:v>36.665622656083279</c:v>
                </c:pt>
                <c:pt idx="288">
                  <c:v>33.101778791528872</c:v>
                </c:pt>
                <c:pt idx="289">
                  <c:v>22.291837923226542</c:v>
                </c:pt>
                <c:pt idx="290">
                  <c:v>34.113607851729476</c:v>
                </c:pt>
                <c:pt idx="291">
                  <c:v>14.522717799419953</c:v>
                </c:pt>
                <c:pt idx="292">
                  <c:v>8.3292609000287232</c:v>
                </c:pt>
                <c:pt idx="293">
                  <c:v>15.223008798629367</c:v>
                </c:pt>
                <c:pt idx="294">
                  <c:v>32.837671333283893</c:v>
                </c:pt>
                <c:pt idx="295">
                  <c:v>18.703001769817934</c:v>
                </c:pt>
                <c:pt idx="296">
                  <c:v>24.949472044673797</c:v>
                </c:pt>
                <c:pt idx="297">
                  <c:v>22.033361967609199</c:v>
                </c:pt>
                <c:pt idx="298">
                  <c:v>12.315859435251234</c:v>
                </c:pt>
                <c:pt idx="299">
                  <c:v>13.493171817975583</c:v>
                </c:pt>
                <c:pt idx="300">
                  <c:v>16.996596491403135</c:v>
                </c:pt>
                <c:pt idx="301">
                  <c:v>25.382544694666869</c:v>
                </c:pt>
                <c:pt idx="302">
                  <c:v>20.784363925099672</c:v>
                </c:pt>
                <c:pt idx="303">
                  <c:v>21.487603625190509</c:v>
                </c:pt>
                <c:pt idx="304">
                  <c:v>23.152292078843907</c:v>
                </c:pt>
                <c:pt idx="305">
                  <c:v>29.012660965560642</c:v>
                </c:pt>
                <c:pt idx="306">
                  <c:v>10.089714490738482</c:v>
                </c:pt>
                <c:pt idx="307">
                  <c:v>11.779175895422153</c:v>
                </c:pt>
                <c:pt idx="308">
                  <c:v>30.947926349854775</c:v>
                </c:pt>
                <c:pt idx="309">
                  <c:v>30.587377148297463</c:v>
                </c:pt>
                <c:pt idx="310">
                  <c:v>29.239012079153788</c:v>
                </c:pt>
                <c:pt idx="311">
                  <c:v>20.003194146557576</c:v>
                </c:pt>
                <c:pt idx="312">
                  <c:v>10.581254797670391</c:v>
                </c:pt>
                <c:pt idx="313">
                  <c:v>23.601268227830513</c:v>
                </c:pt>
                <c:pt idx="314">
                  <c:v>29.419353275527271</c:v>
                </c:pt>
                <c:pt idx="315">
                  <c:v>28.093432568893167</c:v>
                </c:pt>
                <c:pt idx="316">
                  <c:v>28.280532520384295</c:v>
                </c:pt>
                <c:pt idx="317">
                  <c:v>10.571483430803429</c:v>
                </c:pt>
                <c:pt idx="318">
                  <c:v>12.625893498761608</c:v>
                </c:pt>
                <c:pt idx="319">
                  <c:v>27.977255003850864</c:v>
                </c:pt>
                <c:pt idx="320">
                  <c:v>14.950003335999225</c:v>
                </c:pt>
                <c:pt idx="321">
                  <c:v>13.651165580016016</c:v>
                </c:pt>
                <c:pt idx="322">
                  <c:v>5.8879882726477408</c:v>
                </c:pt>
                <c:pt idx="323">
                  <c:v>17.439616973201886</c:v>
                </c:pt>
                <c:pt idx="324">
                  <c:v>3.4809653750304461</c:v>
                </c:pt>
                <c:pt idx="325">
                  <c:v>7.7113215965245203</c:v>
                </c:pt>
                <c:pt idx="326">
                  <c:v>11.965185100800339</c:v>
                </c:pt>
                <c:pt idx="327">
                  <c:v>14.133732339621789</c:v>
                </c:pt>
                <c:pt idx="328">
                  <c:v>4.3472454931889741</c:v>
                </c:pt>
                <c:pt idx="329">
                  <c:v>13.485203030297868</c:v>
                </c:pt>
                <c:pt idx="330">
                  <c:v>14.363720232893495</c:v>
                </c:pt>
                <c:pt idx="331">
                  <c:v>9.272599406731505</c:v>
                </c:pt>
                <c:pt idx="332">
                  <c:v>13.046523614962693</c:v>
                </c:pt>
                <c:pt idx="333">
                  <c:v>4.2434633550311567</c:v>
                </c:pt>
                <c:pt idx="334">
                  <c:v>3.4319456097808207</c:v>
                </c:pt>
                <c:pt idx="335">
                  <c:v>6.4814678755097725</c:v>
                </c:pt>
                <c:pt idx="336">
                  <c:v>7.2947225871032808</c:v>
                </c:pt>
                <c:pt idx="337">
                  <c:v>20.217101699819196</c:v>
                </c:pt>
                <c:pt idx="338">
                  <c:v>25.669555007393448</c:v>
                </c:pt>
                <c:pt idx="339">
                  <c:v>11.200425533279594</c:v>
                </c:pt>
                <c:pt idx="340">
                  <c:v>20.120392028709364</c:v>
                </c:pt>
                <c:pt idx="341">
                  <c:v>4.614423878515991</c:v>
                </c:pt>
                <c:pt idx="342">
                  <c:v>5.6184631175044624</c:v>
                </c:pt>
                <c:pt idx="343">
                  <c:v>13.998455034979244</c:v>
                </c:pt>
                <c:pt idx="344">
                  <c:v>17.065792909421745</c:v>
                </c:pt>
                <c:pt idx="345">
                  <c:v>5.03939922001212</c:v>
                </c:pt>
                <c:pt idx="346">
                  <c:v>5.5249033870900996</c:v>
                </c:pt>
                <c:pt idx="347">
                  <c:v>16.973872879275497</c:v>
                </c:pt>
                <c:pt idx="348">
                  <c:v>7.1087424798303447</c:v>
                </c:pt>
                <c:pt idx="349">
                  <c:v>4.8287764252917675</c:v>
                </c:pt>
                <c:pt idx="350">
                  <c:v>2.7007721788419032</c:v>
                </c:pt>
                <c:pt idx="351">
                  <c:v>21.29099115136049</c:v>
                </c:pt>
                <c:pt idx="352">
                  <c:v>18.021588385309276</c:v>
                </c:pt>
                <c:pt idx="353">
                  <c:v>4.39046244718529</c:v>
                </c:pt>
                <c:pt idx="354">
                  <c:v>22.187680055356125</c:v>
                </c:pt>
                <c:pt idx="355">
                  <c:v>17.156910613806332</c:v>
                </c:pt>
                <c:pt idx="356">
                  <c:v>17.697293437025358</c:v>
                </c:pt>
                <c:pt idx="357">
                  <c:v>23.195309776705045</c:v>
                </c:pt>
                <c:pt idx="358">
                  <c:v>13.586648521254931</c:v>
                </c:pt>
                <c:pt idx="359">
                  <c:v>22.429976800079068</c:v>
                </c:pt>
                <c:pt idx="360">
                  <c:v>6.0915583176295254</c:v>
                </c:pt>
                <c:pt idx="361">
                  <c:v>23.747028950174492</c:v>
                </c:pt>
                <c:pt idx="362">
                  <c:v>10.339938894937671</c:v>
                </c:pt>
                <c:pt idx="363">
                  <c:v>14.850270425709152</c:v>
                </c:pt>
                <c:pt idx="364">
                  <c:v>11.230064900680727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526152"/>
        <c:axId val="242526544"/>
      </c:lineChart>
      <c:dateAx>
        <c:axId val="242526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6544"/>
        <c:crosses val="autoZero"/>
        <c:auto val="1"/>
        <c:lblOffset val="100"/>
        <c:baseTimeUnit val="days"/>
        <c:majorUnit val="1"/>
        <c:majorTimeUnit val="months"/>
      </c:dateAx>
      <c:valAx>
        <c:axId val="2425265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61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Aureville</c:v>
            </c:pt>
          </c:strCache>
        </c:strRef>
      </c:tx>
      <c:layout>
        <c:manualLayout>
          <c:xMode val="edge"/>
          <c:yMode val="edge"/>
          <c:x val="3.7141021137319749E-2"/>
          <c:y val="5.17127104842445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Masques!$P$48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Masques!$P$49:$P$70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-1.2429377696884656</c:v>
                </c:pt>
                <c:pt idx="3">
                  <c:v>-3.306173167150432</c:v>
                </c:pt>
                <c:pt idx="4">
                  <c:v>-0.76127662752435143</c:v>
                </c:pt>
                <c:pt idx="5">
                  <c:v>3.5140868431875494</c:v>
                </c:pt>
                <c:pt idx="6">
                  <c:v>2.9041259410057814</c:v>
                </c:pt>
                <c:pt idx="7">
                  <c:v>3.3015223833880096</c:v>
                </c:pt>
                <c:pt idx="8">
                  <c:v>8.9553661987281092</c:v>
                </c:pt>
                <c:pt idx="9">
                  <c:v>7.9155197569860212</c:v>
                </c:pt>
                <c:pt idx="10">
                  <c:v>6.2578163232642741</c:v>
                </c:pt>
                <c:pt idx="11">
                  <c:v>7.8577818627086105</c:v>
                </c:pt>
                <c:pt idx="12">
                  <c:v>5.0643334581523254</c:v>
                </c:pt>
                <c:pt idx="13">
                  <c:v>6.43173204058417</c:v>
                </c:pt>
                <c:pt idx="14">
                  <c:v>3.0502776029197713</c:v>
                </c:pt>
                <c:pt idx="15">
                  <c:v>3.8346591126693546</c:v>
                </c:pt>
                <c:pt idx="16">
                  <c:v>17.148460729111125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Masques!$Q$48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Masques!$Q$49:$Q$70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0.5297498807539196</c:v>
                </c:pt>
                <c:pt idx="3">
                  <c:v>-3.306173167150432</c:v>
                </c:pt>
                <c:pt idx="4">
                  <c:v>0.71890462307338099</c:v>
                </c:pt>
                <c:pt idx="5">
                  <c:v>4.6669432002478732</c:v>
                </c:pt>
                <c:pt idx="6">
                  <c:v>3.9184830686205552</c:v>
                </c:pt>
                <c:pt idx="7">
                  <c:v>3.5947670563958378</c:v>
                </c:pt>
                <c:pt idx="8">
                  <c:v>9.1622462944338121</c:v>
                </c:pt>
                <c:pt idx="9">
                  <c:v>8.1621388620267652</c:v>
                </c:pt>
                <c:pt idx="10">
                  <c:v>6.5128156455153032</c:v>
                </c:pt>
                <c:pt idx="11">
                  <c:v>8.1363242303306205</c:v>
                </c:pt>
                <c:pt idx="12">
                  <c:v>5.5085214366535569</c:v>
                </c:pt>
                <c:pt idx="13">
                  <c:v>7.0563160897321611</c:v>
                </c:pt>
                <c:pt idx="14">
                  <c:v>3.4472804723209003</c:v>
                </c:pt>
                <c:pt idx="15">
                  <c:v>8.0351484194693761</c:v>
                </c:pt>
                <c:pt idx="16">
                  <c:v>19.580178920202783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Masques!$R$48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Masques!$R$49:$R$70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-0.85070835461390082</c:v>
                </c:pt>
                <c:pt idx="2">
                  <c:v>2.3014242135928979</c:v>
                </c:pt>
                <c:pt idx="3">
                  <c:v>-3.306173167150432</c:v>
                </c:pt>
                <c:pt idx="4">
                  <c:v>2.1981270679199549</c:v>
                </c:pt>
                <c:pt idx="5">
                  <c:v>5.8160251654012596</c:v>
                </c:pt>
                <c:pt idx="6">
                  <c:v>4.9303862495148376</c:v>
                </c:pt>
                <c:pt idx="7">
                  <c:v>3.8878232763662468</c:v>
                </c:pt>
                <c:pt idx="8">
                  <c:v>9.3688857096959328</c:v>
                </c:pt>
                <c:pt idx="9">
                  <c:v>8.408453839782835</c:v>
                </c:pt>
                <c:pt idx="10">
                  <c:v>6.7675561084731672</c:v>
                </c:pt>
                <c:pt idx="11">
                  <c:v>8.4144799444983125</c:v>
                </c:pt>
                <c:pt idx="12">
                  <c:v>5.952046226973164</c:v>
                </c:pt>
                <c:pt idx="13">
                  <c:v>7.6792191668987844</c:v>
                </c:pt>
                <c:pt idx="14">
                  <c:v>3.843952207704354</c:v>
                </c:pt>
                <c:pt idx="15">
                  <c:v>12.150603418462989</c:v>
                </c:pt>
                <c:pt idx="16">
                  <c:v>21.940669791028864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Masques!$S$48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Masques!$S$49:$S$70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2.2915339970628024</c:v>
                </c:pt>
                <c:pt idx="2">
                  <c:v>4.0687075098763392</c:v>
                </c:pt>
                <c:pt idx="3">
                  <c:v>-0.20101651564224909</c:v>
                </c:pt>
                <c:pt idx="4">
                  <c:v>3.6744242717650737</c:v>
                </c:pt>
                <c:pt idx="5">
                  <c:v>6.9604321502625579</c:v>
                </c:pt>
                <c:pt idx="6">
                  <c:v>5.9392158029090885</c:v>
                </c:pt>
                <c:pt idx="7">
                  <c:v>4.1806759071069806</c:v>
                </c:pt>
                <c:pt idx="8">
                  <c:v>9.5752794982161635</c:v>
                </c:pt>
                <c:pt idx="9">
                  <c:v>8.6544561651056533</c:v>
                </c:pt>
                <c:pt idx="10">
                  <c:v>7.0220280506811514</c:v>
                </c:pt>
                <c:pt idx="11">
                  <c:v>8.6922367262256799</c:v>
                </c:pt>
                <c:pt idx="12">
                  <c:v>6.3948562841252219</c:v>
                </c:pt>
                <c:pt idx="13">
                  <c:v>8.3003014293219071</c:v>
                </c:pt>
                <c:pt idx="14">
                  <c:v>4.2402552485420104</c:v>
                </c:pt>
                <c:pt idx="15">
                  <c:v>16.142786009649384</c:v>
                </c:pt>
                <c:pt idx="16">
                  <c:v>24.225370209281802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Masques!$T$48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Masques!$T$49:$T$70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5.4200584256745525</c:v>
                </c:pt>
                <c:pt idx="2">
                  <c:v>5.8282720678036588</c:v>
                </c:pt>
                <c:pt idx="3">
                  <c:v>4.258253743357332</c:v>
                </c:pt>
                <c:pt idx="4">
                  <c:v>5.1458530645571781</c:v>
                </c:pt>
                <c:pt idx="5">
                  <c:v>8.0992857768196558</c:v>
                </c:pt>
                <c:pt idx="6">
                  <c:v>6.9443634206264671</c:v>
                </c:pt>
                <c:pt idx="7">
                  <c:v>4.473309875994441</c:v>
                </c:pt>
                <c:pt idx="8">
                  <c:v>9.7814227509454632</c:v>
                </c:pt>
                <c:pt idx="9">
                  <c:v>8.9001373805808655</c:v>
                </c:pt>
                <c:pt idx="10">
                  <c:v>7.2762218734110498</c:v>
                </c:pt>
                <c:pt idx="11">
                  <c:v>8.9695824067180503</c:v>
                </c:pt>
                <c:pt idx="12">
                  <c:v>6.8369005705640733</c:v>
                </c:pt>
                <c:pt idx="13">
                  <c:v>8.919425561449934</c:v>
                </c:pt>
                <c:pt idx="14">
                  <c:v>4.6361522451820907</c:v>
                </c:pt>
                <c:pt idx="15">
                  <c:v>19.980418102763387</c:v>
                </c:pt>
                <c:pt idx="16">
                  <c:v>26.430965501225863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Masques!$U$48</c:f>
              <c:strCache>
                <c:ptCount val="1"/>
                <c:pt idx="0">
                  <c:v>0,00m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Masques!$U$49:$U$70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8.5165300307350549</c:v>
                </c:pt>
                <c:pt idx="2">
                  <c:v>7.5768772100888402</c:v>
                </c:pt>
                <c:pt idx="3">
                  <c:v>8.6665342510555572</c:v>
                </c:pt>
                <c:pt idx="4">
                  <c:v>6.610508690823294</c:v>
                </c:pt>
                <c:pt idx="5">
                  <c:v>9.2317336967595711</c:v>
                </c:pt>
                <c:pt idx="6">
                  <c:v>7.9452342810500545</c:v>
                </c:pt>
                <c:pt idx="7">
                  <c:v>4.7657101785319922</c:v>
                </c:pt>
                <c:pt idx="8">
                  <c:v>9.9873105966891735</c:v>
                </c:pt>
                <c:pt idx="9">
                  <c:v>9.1454890980882055</c:v>
                </c:pt>
                <c:pt idx="10">
                  <c:v>7.5301280426944439</c:v>
                </c:pt>
                <c:pt idx="11">
                  <c:v>9.2465049302300404</c:v>
                </c:pt>
                <c:pt idx="12">
                  <c:v>7.2781285896789738</c:v>
                </c:pt>
                <c:pt idx="13">
                  <c:v>9.5364569405200825</c:v>
                </c:pt>
                <c:pt idx="14">
                  <c:v>5.0316060795292854</c:v>
                </c:pt>
                <c:pt idx="15">
                  <c:v>23.640060919050594</c:v>
                </c:pt>
                <c:pt idx="16">
                  <c:v>28.555301252061604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Masques!$V$48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Masques!$V$49:$V$70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11.563728053983908</c:v>
                </c:pt>
                <c:pt idx="2">
                  <c:v>9.3114038662676393</c:v>
                </c:pt>
                <c:pt idx="3">
                  <c:v>12.973979684979001</c:v>
                </c:pt>
                <c:pt idx="4">
                  <c:v>8.0665392078872653</c:v>
                </c:pt>
                <c:pt idx="5">
                  <c:v>10.356953112563019</c:v>
                </c:pt>
                <c:pt idx="6">
                  <c:v>8.9412490415770165</c:v>
                </c:pt>
                <c:pt idx="7">
                  <c:v>5.0578618828555637</c:v>
                </c:pt>
                <c:pt idx="8">
                  <c:v>10.192938202698388</c:v>
                </c:pt>
                <c:pt idx="9">
                  <c:v>9.3905030003251593</c:v>
                </c:pt>
                <c:pt idx="10">
                  <c:v>7.78373709131706</c:v>
                </c:pt>
                <c:pt idx="11">
                  <c:v>9.5229923568483699</c:v>
                </c:pt>
                <c:pt idx="12">
                  <c:v>7.7184904183501182</c:v>
                </c:pt>
                <c:pt idx="13">
                  <c:v>10.151263793157824</c:v>
                </c:pt>
                <c:pt idx="14">
                  <c:v>5.4265798853972802</c:v>
                </c:pt>
                <c:pt idx="15">
                  <c:v>27.106140153427113</c:v>
                </c:pt>
                <c:pt idx="16">
                  <c:v>30.597270283857156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Masques!$W$48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Masques!$W$49:$W$70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14.546078373684997</c:v>
                </c:pt>
                <c:pt idx="2">
                  <c:v>11.028885843968789</c:v>
                </c:pt>
                <c:pt idx="3">
                  <c:v>17.137460379281482</c:v>
                </c:pt>
                <c:pt idx="4">
                  <c:v>9.5121588690676244</c:v>
                </c:pt>
                <c:pt idx="5">
                  <c:v>11.474153967945229</c:v>
                </c:pt>
                <c:pt idx="6">
                  <c:v>9.931845694058886</c:v>
                </c:pt>
                <c:pt idx="7">
                  <c:v>5.3497501341833118</c:v>
                </c:pt>
                <c:pt idx="8">
                  <c:v>10.398300775247481</c:v>
                </c:pt>
                <c:pt idx="9">
                  <c:v>9.6351708422938955</c:v>
                </c:pt>
                <c:pt idx="10">
                  <c:v>8.0370396207752961</c:v>
                </c:pt>
                <c:pt idx="11">
                  <c:v>9.799032865198166</c:v>
                </c:pt>
                <c:pt idx="12">
                  <c:v>8.1579367385175114</c:v>
                </c:pt>
                <c:pt idx="13">
                  <c:v>10.763717342616772</c:v>
                </c:pt>
                <c:pt idx="14">
                  <c:v>5.8210370685065502</c:v>
                </c:pt>
                <c:pt idx="15">
                  <c:v>30.370303332353703</c:v>
                </c:pt>
                <c:pt idx="16">
                  <c:v>32.556685084238531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Masques!$X$48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Masques!$X$49:$X$70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17.450054352917732</c:v>
                </c:pt>
                <c:pt idx="2">
                  <c:v>12.726537067985547</c:v>
                </c:pt>
                <c:pt idx="3">
                  <c:v>21.122648466238154</c:v>
                </c:pt>
                <c:pt idx="4">
                  <c:v>10.945660263845165</c:v>
                </c:pt>
                <c:pt idx="5">
                  <c:v>12.582581781900826</c:v>
                </c:pt>
                <c:pt idx="6">
                  <c:v>10.916481269927862</c:v>
                </c:pt>
                <c:pt idx="7">
                  <c:v>5.641360159206072</c:v>
                </c:pt>
                <c:pt idx="8">
                  <c:v>10.603393560197643</c:v>
                </c:pt>
                <c:pt idx="9">
                  <c:v>9.8794844527509227</c:v>
                </c:pt>
                <c:pt idx="10">
                  <c:v>8.2900263031939652</c:v>
                </c:pt>
                <c:pt idx="11">
                  <c:v>10.074614755071547</c:v>
                </c:pt>
                <c:pt idx="12">
                  <c:v>8.5964188677172331</c:v>
                </c:pt>
                <c:pt idx="13">
                  <c:v>11.373691946333544</c:v>
                </c:pt>
                <c:pt idx="14">
                  <c:v>6.2149413261012443</c:v>
                </c:pt>
                <c:pt idx="15">
                  <c:v>33.430356059247728</c:v>
                </c:pt>
                <c:pt idx="16">
                  <c:v>34.434144564197112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Masques!$Y$48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Masques!$Y$49:$Y$70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20.264427405920163</c:v>
                </c:pt>
                <c:pt idx="2">
                  <c:v>14.401774258249144</c:v>
                </c:pt>
                <c:pt idx="3">
                  <c:v>24.904886214676072</c:v>
                </c:pt>
                <c:pt idx="4">
                  <c:v>12.36542502954523</c:v>
                </c:pt>
                <c:pt idx="5">
                  <c:v>13.68152010753743</c:v>
                </c:pt>
                <c:pt idx="6">
                  <c:v>11.894633384066815</c:v>
                </c:pt>
                <c:pt idx="7">
                  <c:v>5.9326772704155246</c:v>
                </c:pt>
                <c:pt idx="8">
                  <c:v>10.808211843546305</c:v>
                </c:pt>
                <c:pt idx="9">
                  <c:v>10.123435735618976</c:v>
                </c:pt>
                <c:pt idx="10">
                  <c:v>8.5426878832044153</c:v>
                </c:pt>
                <c:pt idx="11">
                  <c:v>10.34972644997737</c:v>
                </c:pt>
                <c:pt idx="12">
                  <c:v>9.0338887885428516</c:v>
                </c:pt>
                <c:pt idx="13">
                  <c:v>11.981065223527819</c:v>
                </c:pt>
                <c:pt idx="14">
                  <c:v>6.6082566661599413</c:v>
                </c:pt>
                <c:pt idx="15">
                  <c:v>36.289014083663488</c:v>
                </c:pt>
                <c:pt idx="16">
                  <c:v>36.230902258032792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Masques!$Z$48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Masques!$Z$49:$Z$70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22.980367536275452</c:v>
                </c:pt>
                <c:pt idx="2">
                  <c:v>16.052234723306679</c:v>
                </c:pt>
                <c:pt idx="3">
                  <c:v>28.468953854249847</c:v>
                </c:pt>
                <c:pt idx="4">
                  <c:v>13.769932996059271</c:v>
                </c:pt>
                <c:pt idx="5">
                  <c:v>14.770292603850663</c:v>
                </c:pt>
                <c:pt idx="6">
                  <c:v>12.86580160892783</c:v>
                </c:pt>
                <c:pt idx="7">
                  <c:v>6.2236868703669792</c:v>
                </c:pt>
                <c:pt idx="8">
                  <c:v>11.012750951962373</c:v>
                </c:pt>
                <c:pt idx="9">
                  <c:v>10.367016671360629</c:v>
                </c:pt>
                <c:pt idx="10">
                  <c:v>8.7950151797821938</c:v>
                </c:pt>
                <c:pt idx="11">
                  <c:v>10.624356499611052</c:v>
                </c:pt>
                <c:pt idx="12">
                  <c:v>9.4702991769930662</c:v>
                </c:pt>
                <c:pt idx="13">
                  <c:v>12.585718172633785</c:v>
                </c:pt>
                <c:pt idx="14">
                  <c:v>7.0009474261761024</c:v>
                </c:pt>
                <c:pt idx="15">
                  <c:v>38.952656186642685</c:v>
                </c:pt>
                <c:pt idx="16">
                  <c:v>37.9487412305728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Masques!$I$7</c:f>
              <c:numCache>
                <c:formatCode>0.0</c:formatCode>
                <c:ptCount val="1"/>
                <c:pt idx="0">
                  <c:v>20</c:v>
                </c:pt>
              </c:numCache>
            </c:numRef>
          </c:xVal>
          <c:yVal>
            <c:numRef>
              <c:f>Masques!$J$7</c:f>
              <c:numCache>
                <c:formatCode>0.0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801296"/>
        <c:axId val="242801688"/>
      </c:scatterChart>
      <c:valAx>
        <c:axId val="242801296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242801688"/>
        <c:crosses val="autoZero"/>
        <c:crossBetween val="midCat"/>
        <c:majorUnit val="30"/>
      </c:valAx>
      <c:valAx>
        <c:axId val="24280168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801296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795875352362E-2"/>
          <c:y val="0.95476619502258608"/>
          <c:w val="0.95223062840757544"/>
          <c:h val="4.33322874488886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6.6565351864263378E-2</c:v>
                </c:pt>
                <c:pt idx="1">
                  <c:v>6.6585796478654369E-2</c:v>
                </c:pt>
                <c:pt idx="2">
                  <c:v>6.6606240645255888E-2</c:v>
                </c:pt>
                <c:pt idx="3">
                  <c:v>6.6626684364077704E-2</c:v>
                </c:pt>
                <c:pt idx="4">
                  <c:v>6.6647127635129588E-2</c:v>
                </c:pt>
                <c:pt idx="5">
                  <c:v>6.6667570458421421E-2</c:v>
                </c:pt>
                <c:pt idx="6">
                  <c:v>6.6688012833962862E-2</c:v>
                </c:pt>
                <c:pt idx="7">
                  <c:v>6.6708454761763902E-2</c:v>
                </c:pt>
                <c:pt idx="8">
                  <c:v>6.6728896241834201E-2</c:v>
                </c:pt>
                <c:pt idx="9">
                  <c:v>6.6749337274183751E-2</c:v>
                </c:pt>
                <c:pt idx="10">
                  <c:v>6.6769777858822099E-2</c:v>
                </c:pt>
                <c:pt idx="11">
                  <c:v>6.6790217995759238E-2</c:v>
                </c:pt>
                <c:pt idx="12">
                  <c:v>6.6810657685004826E-2</c:v>
                </c:pt>
                <c:pt idx="13">
                  <c:v>6.6831096926568856E-2</c:v>
                </c:pt>
                <c:pt idx="14">
                  <c:v>6.6851535720461097E-2</c:v>
                </c:pt>
                <c:pt idx="15">
                  <c:v>6.6871974066691209E-2</c:v>
                </c:pt>
                <c:pt idx="16">
                  <c:v>6.6892411965269072E-2</c:v>
                </c:pt>
                <c:pt idx="17">
                  <c:v>6.6912849416204456E-2</c:v>
                </c:pt>
                <c:pt idx="18">
                  <c:v>6.6933286419507354E-2</c:v>
                </c:pt>
                <c:pt idx="19">
                  <c:v>6.6953722975187313E-2</c:v>
                </c:pt>
                <c:pt idx="20">
                  <c:v>6.6974159083254325E-2</c:v>
                </c:pt>
                <c:pt idx="21">
                  <c:v>6.6994594743718161E-2</c:v>
                </c:pt>
                <c:pt idx="22">
                  <c:v>6.7015029956588479E-2</c:v>
                </c:pt>
                <c:pt idx="23">
                  <c:v>6.7035464721875271E-2</c:v>
                </c:pt>
                <c:pt idx="24">
                  <c:v>6.7055899039588196E-2</c:v>
                </c:pt>
                <c:pt idx="25">
                  <c:v>6.7076332909737135E-2</c:v>
                </c:pt>
                <c:pt idx="26">
                  <c:v>6.7096766332331859E-2</c:v>
                </c:pt>
                <c:pt idx="27">
                  <c:v>6.7117199307382247E-2</c:v>
                </c:pt>
                <c:pt idx="28">
                  <c:v>6.7137631834897959E-2</c:v>
                </c:pt>
                <c:pt idx="29">
                  <c:v>6.7158063914888988E-2</c:v>
                </c:pt>
                <c:pt idx="30">
                  <c:v>6.7178495547364991E-2</c:v>
                </c:pt>
                <c:pt idx="31">
                  <c:v>6.719892673233574E-2</c:v>
                </c:pt>
                <c:pt idx="32">
                  <c:v>6.7219357469811225E-2</c:v>
                </c:pt>
                <c:pt idx="33">
                  <c:v>6.7239787759800995E-2</c:v>
                </c:pt>
                <c:pt idx="34">
                  <c:v>6.7260217602315042E-2</c:v>
                </c:pt>
                <c:pt idx="35">
                  <c:v>6.7280646997363136E-2</c:v>
                </c:pt>
                <c:pt idx="36">
                  <c:v>6.7301075944954936E-2</c:v>
                </c:pt>
                <c:pt idx="37">
                  <c:v>6.7321504445100433E-2</c:v>
                </c:pt>
                <c:pt idx="38">
                  <c:v>6.7341932497809398E-2</c:v>
                </c:pt>
                <c:pt idx="39">
                  <c:v>6.736236010309149E-2</c:v>
                </c:pt>
                <c:pt idx="40">
                  <c:v>6.73827872609567E-2</c:v>
                </c:pt>
                <c:pt idx="41">
                  <c:v>6.7403213971414577E-2</c:v>
                </c:pt>
                <c:pt idx="42">
                  <c:v>6.7423640234475224E-2</c:v>
                </c:pt>
                <c:pt idx="43">
                  <c:v>6.7444066050148188E-2</c:v>
                </c:pt>
                <c:pt idx="44">
                  <c:v>6.7464491418443462E-2</c:v>
                </c:pt>
                <c:pt idx="45">
                  <c:v>6.7484916339370704E-2</c:v>
                </c:pt>
                <c:pt idx="46">
                  <c:v>6.7505340812939685E-2</c:v>
                </c:pt>
                <c:pt idx="47">
                  <c:v>6.7525764839160396E-2</c:v>
                </c:pt>
                <c:pt idx="48">
                  <c:v>6.7546188418042385E-2</c:v>
                </c:pt>
                <c:pt idx="49">
                  <c:v>6.7566611549595645E-2</c:v>
                </c:pt>
                <c:pt idx="50">
                  <c:v>6.7587034233829946E-2</c:v>
                </c:pt>
                <c:pt idx="51">
                  <c:v>6.7607456470755056E-2</c:v>
                </c:pt>
                <c:pt idx="52">
                  <c:v>6.7627878260380636E-2</c:v>
                </c:pt>
                <c:pt idx="53">
                  <c:v>6.7648299602716788E-2</c:v>
                </c:pt>
                <c:pt idx="54">
                  <c:v>6.7668720497773061E-2</c:v>
                </c:pt>
                <c:pt idx="55">
                  <c:v>6.7689140945559223E-2</c:v>
                </c:pt>
                <c:pt idx="56">
                  <c:v>6.7709560946085268E-2</c:v>
                </c:pt>
                <c:pt idx="57">
                  <c:v>6.7729980499360964E-2</c:v>
                </c:pt>
                <c:pt idx="58">
                  <c:v>6.7750399605395972E-2</c:v>
                </c:pt>
                <c:pt idx="59">
                  <c:v>6.7770818264200061E-2</c:v>
                </c:pt>
                <c:pt idx="60">
                  <c:v>6.7791236475783223E-2</c:v>
                </c:pt>
                <c:pt idx="61">
                  <c:v>6.7811654240155117E-2</c:v>
                </c:pt>
                <c:pt idx="62">
                  <c:v>6.7832071557325624E-2</c:v>
                </c:pt>
                <c:pt idx="63">
                  <c:v>6.7852488427304403E-2</c:v>
                </c:pt>
                <c:pt idx="64">
                  <c:v>6.7872904850101445E-2</c:v>
                </c:pt>
                <c:pt idx="65">
                  <c:v>6.78933208257263E-2</c:v>
                </c:pt>
                <c:pt idx="66">
                  <c:v>6.7913736354188958E-2</c:v>
                </c:pt>
                <c:pt idx="67">
                  <c:v>6.793415143549919E-2</c:v>
                </c:pt>
                <c:pt idx="68">
                  <c:v>6.7954566069666655E-2</c:v>
                </c:pt>
                <c:pt idx="69">
                  <c:v>6.7974980256701234E-2</c:v>
                </c:pt>
                <c:pt idx="70">
                  <c:v>6.7995393996612807E-2</c:v>
                </c:pt>
                <c:pt idx="71">
                  <c:v>6.8015807289411034E-2</c:v>
                </c:pt>
                <c:pt idx="72">
                  <c:v>6.8036220135105796E-2</c:v>
                </c:pt>
                <c:pt idx="73">
                  <c:v>6.8056632533706862E-2</c:v>
                </c:pt>
                <c:pt idx="74">
                  <c:v>6.8077044485223892E-2</c:v>
                </c:pt>
                <c:pt idx="75">
                  <c:v>6.8097455989666877E-2</c:v>
                </c:pt>
                <c:pt idx="76">
                  <c:v>6.8117867047045588E-2</c:v>
                </c:pt>
                <c:pt idx="77">
                  <c:v>6.8138277657369684E-2</c:v>
                </c:pt>
                <c:pt idx="78">
                  <c:v>6.8158687820649044E-2</c:v>
                </c:pt>
                <c:pt idx="79">
                  <c:v>6.817909753689344E-2</c:v>
                </c:pt>
                <c:pt idx="80">
                  <c:v>6.8199506806112753E-2</c:v>
                </c:pt>
                <c:pt idx="81">
                  <c:v>6.8219915628316641E-2</c:v>
                </c:pt>
                <c:pt idx="82">
                  <c:v>6.8240324003514874E-2</c:v>
                </c:pt>
                <c:pt idx="83">
                  <c:v>6.8260731931717333E-2</c:v>
                </c:pt>
                <c:pt idx="84">
                  <c:v>6.82811394129339E-2</c:v>
                </c:pt>
                <c:pt idx="85">
                  <c:v>6.8301546447174122E-2</c:v>
                </c:pt>
                <c:pt idx="86">
                  <c:v>6.8321953034447991E-2</c:v>
                </c:pt>
                <c:pt idx="87">
                  <c:v>6.8342359174765277E-2</c:v>
                </c:pt>
                <c:pt idx="88">
                  <c:v>6.8362764868135639E-2</c:v>
                </c:pt>
                <c:pt idx="89">
                  <c:v>6.8383170114568959E-2</c:v>
                </c:pt>
                <c:pt idx="90">
                  <c:v>6.8403574914075005E-2</c:v>
                </c:pt>
                <c:pt idx="91">
                  <c:v>6.8423979266663548E-2</c:v>
                </c:pt>
                <c:pt idx="92">
                  <c:v>6.844438317234447E-2</c:v>
                </c:pt>
                <c:pt idx="93">
                  <c:v>6.8464786631127428E-2</c:v>
                </c:pt>
                <c:pt idx="94">
                  <c:v>6.8485189643022304E-2</c:v>
                </c:pt>
                <c:pt idx="95">
                  <c:v>6.8505592208038868E-2</c:v>
                </c:pt>
                <c:pt idx="96">
                  <c:v>6.852599432618689E-2</c:v>
                </c:pt>
                <c:pt idx="97">
                  <c:v>6.8546395997476139E-2</c:v>
                </c:pt>
                <c:pt idx="98">
                  <c:v>6.8566797221916498E-2</c:v>
                </c:pt>
                <c:pt idx="99">
                  <c:v>6.8587197999517624E-2</c:v>
                </c:pt>
                <c:pt idx="100">
                  <c:v>6.8607598330289399E-2</c:v>
                </c:pt>
                <c:pt idx="101">
                  <c:v>6.8627998214241592E-2</c:v>
                </c:pt>
                <c:pt idx="102">
                  <c:v>6.8648397651383863E-2</c:v>
                </c:pt>
                <c:pt idx="103">
                  <c:v>6.8668796641726204E-2</c:v>
                </c:pt>
                <c:pt idx="104">
                  <c:v>6.8689195185278273E-2</c:v>
                </c:pt>
                <c:pt idx="105">
                  <c:v>6.8709593282049841E-2</c:v>
                </c:pt>
                <c:pt idx="106">
                  <c:v>6.8729990932050788E-2</c:v>
                </c:pt>
                <c:pt idx="107">
                  <c:v>6.8750388135290885E-2</c:v>
                </c:pt>
                <c:pt idx="108">
                  <c:v>6.8770784891779901E-2</c:v>
                </c:pt>
                <c:pt idx="109">
                  <c:v>6.8791181201527496E-2</c:v>
                </c:pt>
                <c:pt idx="110">
                  <c:v>6.8811577064543661E-2</c:v>
                </c:pt>
                <c:pt idx="111">
                  <c:v>6.8831972480838055E-2</c:v>
                </c:pt>
                <c:pt idx="112">
                  <c:v>6.8852367450420449E-2</c:v>
                </c:pt>
                <c:pt idx="113">
                  <c:v>6.8872761973300611E-2</c:v>
                </c:pt>
                <c:pt idx="114">
                  <c:v>6.8893156049488535E-2</c:v>
                </c:pt>
                <c:pt idx="115">
                  <c:v>6.8913549678993768E-2</c:v>
                </c:pt>
                <c:pt idx="116">
                  <c:v>6.8933942861826192E-2</c:v>
                </c:pt>
                <c:pt idx="117">
                  <c:v>6.8954335597995575E-2</c:v>
                </c:pt>
                <c:pt idx="118">
                  <c:v>6.8974727887511689E-2</c:v>
                </c:pt>
                <c:pt idx="119">
                  <c:v>6.8995119730384302E-2</c:v>
                </c:pt>
                <c:pt idx="120">
                  <c:v>6.9015511126623186E-2</c:v>
                </c:pt>
                <c:pt idx="121">
                  <c:v>6.903590207623822E-2</c:v>
                </c:pt>
                <c:pt idx="122">
                  <c:v>6.9056292579239176E-2</c:v>
                </c:pt>
                <c:pt idx="123">
                  <c:v>6.9076682635635711E-2</c:v>
                </c:pt>
                <c:pt idx="124">
                  <c:v>6.9097072245437707E-2</c:v>
                </c:pt>
                <c:pt idx="125">
                  <c:v>6.9117461408654934E-2</c:v>
                </c:pt>
                <c:pt idx="126">
                  <c:v>6.9137850125297162E-2</c:v>
                </c:pt>
                <c:pt idx="127">
                  <c:v>6.9158238395374161E-2</c:v>
                </c:pt>
                <c:pt idx="128">
                  <c:v>6.91786262188957E-2</c:v>
                </c:pt>
                <c:pt idx="129">
                  <c:v>6.919901359587155E-2</c:v>
                </c:pt>
                <c:pt idx="130">
                  <c:v>6.9219400526311592E-2</c:v>
                </c:pt>
                <c:pt idx="131">
                  <c:v>6.9239787010225484E-2</c:v>
                </c:pt>
                <c:pt idx="132">
                  <c:v>6.9260173047623108E-2</c:v>
                </c:pt>
                <c:pt idx="133">
                  <c:v>6.9280558638514123E-2</c:v>
                </c:pt>
                <c:pt idx="134">
                  <c:v>6.9300943782908409E-2</c:v>
                </c:pt>
                <c:pt idx="135">
                  <c:v>6.9321328480815736E-2</c:v>
                </c:pt>
                <c:pt idx="136">
                  <c:v>6.9341712732245875E-2</c:v>
                </c:pt>
                <c:pt idx="137">
                  <c:v>6.9362096537208595E-2</c:v>
                </c:pt>
                <c:pt idx="138">
                  <c:v>6.9382479895713556E-2</c:v>
                </c:pt>
                <c:pt idx="139">
                  <c:v>6.9402862807770749E-2</c:v>
                </c:pt>
                <c:pt idx="140">
                  <c:v>6.9423245273389944E-2</c:v>
                </c:pt>
                <c:pt idx="141">
                  <c:v>6.944362729258069E-2</c:v>
                </c:pt>
                <c:pt idx="142">
                  <c:v>6.9464008865352977E-2</c:v>
                </c:pt>
                <c:pt idx="143">
                  <c:v>6.9484389991716466E-2</c:v>
                </c:pt>
                <c:pt idx="144">
                  <c:v>6.9504770671681038E-2</c:v>
                </c:pt>
                <c:pt idx="145">
                  <c:v>6.952515090525635E-2</c:v>
                </c:pt>
                <c:pt idx="146">
                  <c:v>6.9545530692452284E-2</c:v>
                </c:pt>
                <c:pt idx="147">
                  <c:v>6.9565910033278611E-2</c:v>
                </c:pt>
                <c:pt idx="148">
                  <c:v>6.9586288927744988E-2</c:v>
                </c:pt>
                <c:pt idx="149">
                  <c:v>6.9606667375861297E-2</c:v>
                </c:pt>
                <c:pt idx="150">
                  <c:v>6.9627045377637309E-2</c:v>
                </c:pt>
                <c:pt idx="151">
                  <c:v>6.9647422933082792E-2</c:v>
                </c:pt>
                <c:pt idx="152">
                  <c:v>6.9667800042207517E-2</c:v>
                </c:pt>
                <c:pt idx="153">
                  <c:v>6.9688176705021254E-2</c:v>
                </c:pt>
                <c:pt idx="154">
                  <c:v>6.9708552921533773E-2</c:v>
                </c:pt>
                <c:pt idx="155">
                  <c:v>6.9728928691754843E-2</c:v>
                </c:pt>
                <c:pt idx="156">
                  <c:v>6.9749304015694236E-2</c:v>
                </c:pt>
                <c:pt idx="157">
                  <c:v>6.9769678893361831E-2</c:v>
                </c:pt>
                <c:pt idx="158">
                  <c:v>6.9790053324767176E-2</c:v>
                </c:pt>
                <c:pt idx="159">
                  <c:v>6.9810427309920264E-2</c:v>
                </c:pt>
                <c:pt idx="160">
                  <c:v>6.9830800848830754E-2</c:v>
                </c:pt>
                <c:pt idx="161">
                  <c:v>6.9851173941508526E-2</c:v>
                </c:pt>
                <c:pt idx="162">
                  <c:v>6.987154658796324E-2</c:v>
                </c:pt>
                <c:pt idx="163">
                  <c:v>6.9891918788204666E-2</c:v>
                </c:pt>
                <c:pt idx="164">
                  <c:v>6.9912290542242683E-2</c:v>
                </c:pt>
                <c:pt idx="165">
                  <c:v>6.9932661850087063E-2</c:v>
                </c:pt>
                <c:pt idx="166">
                  <c:v>6.9953032711747465E-2</c:v>
                </c:pt>
                <c:pt idx="167">
                  <c:v>6.9973403127233658E-2</c:v>
                </c:pt>
                <c:pt idx="168">
                  <c:v>6.9993773096555523E-2</c:v>
                </c:pt>
                <c:pt idx="169">
                  <c:v>7.0014142619722719E-2</c:v>
                </c:pt>
                <c:pt idx="170">
                  <c:v>7.0034511696745128E-2</c:v>
                </c:pt>
                <c:pt idx="171">
                  <c:v>7.0054880327632518E-2</c:v>
                </c:pt>
                <c:pt idx="172">
                  <c:v>7.007524851239455E-2</c:v>
                </c:pt>
                <c:pt idx="173">
                  <c:v>7.0095616251041104E-2</c:v>
                </c:pt>
                <c:pt idx="174">
                  <c:v>7.011598354358195E-2</c:v>
                </c:pt>
                <c:pt idx="175">
                  <c:v>7.0136350390026747E-2</c:v>
                </c:pt>
                <c:pt idx="176">
                  <c:v>7.0156716790385376E-2</c:v>
                </c:pt>
                <c:pt idx="177">
                  <c:v>7.0177082744667496E-2</c:v>
                </c:pt>
                <c:pt idx="178">
                  <c:v>7.0197448252882988E-2</c:v>
                </c:pt>
                <c:pt idx="179">
                  <c:v>7.0217813315041622E-2</c:v>
                </c:pt>
                <c:pt idx="180">
                  <c:v>7.0238177931153056E-2</c:v>
                </c:pt>
                <c:pt idx="181">
                  <c:v>7.0258542101227173E-2</c:v>
                </c:pt>
                <c:pt idx="182">
                  <c:v>7.0278905825273741E-2</c:v>
                </c:pt>
                <c:pt idx="183">
                  <c:v>7.029926910330242E-2</c:v>
                </c:pt>
                <c:pt idx="184">
                  <c:v>7.031963193532309E-2</c:v>
                </c:pt>
                <c:pt idx="185">
                  <c:v>7.0339994321345523E-2</c:v>
                </c:pt>
                <c:pt idx="186">
                  <c:v>7.0360356261379375E-2</c:v>
                </c:pt>
                <c:pt idx="187">
                  <c:v>7.038071775543453E-2</c:v>
                </c:pt>
                <c:pt idx="188">
                  <c:v>7.0401078803520645E-2</c:v>
                </c:pt>
                <c:pt idx="189">
                  <c:v>7.0421439405647601E-2</c:v>
                </c:pt>
                <c:pt idx="190">
                  <c:v>7.0441799561825058E-2</c:v>
                </c:pt>
                <c:pt idx="191">
                  <c:v>7.0462159272062896E-2</c:v>
                </c:pt>
                <c:pt idx="192">
                  <c:v>7.0482518536370886E-2</c:v>
                </c:pt>
                <c:pt idx="193">
                  <c:v>7.0502877354758686E-2</c:v>
                </c:pt>
                <c:pt idx="194">
                  <c:v>7.0523235727236067E-2</c:v>
                </c:pt>
                <c:pt idx="195">
                  <c:v>7.0543593653812908E-2</c:v>
                </c:pt>
                <c:pt idx="196">
                  <c:v>7.056395113449887E-2</c:v>
                </c:pt>
                <c:pt idx="197">
                  <c:v>7.0584308169303722E-2</c:v>
                </c:pt>
                <c:pt idx="198">
                  <c:v>7.0604664758237345E-2</c:v>
                </c:pt>
                <c:pt idx="199">
                  <c:v>7.0625020901309399E-2</c:v>
                </c:pt>
                <c:pt idx="200">
                  <c:v>7.0645376598529652E-2</c:v>
                </c:pt>
                <c:pt idx="201">
                  <c:v>7.0665731849907876E-2</c:v>
                </c:pt>
                <c:pt idx="202">
                  <c:v>7.068608665545395E-2</c:v>
                </c:pt>
                <c:pt idx="203">
                  <c:v>7.0706441015177424E-2</c:v>
                </c:pt>
                <c:pt idx="204">
                  <c:v>7.0726794929088288E-2</c:v>
                </c:pt>
                <c:pt idx="205">
                  <c:v>7.0747148397196091E-2</c:v>
                </c:pt>
                <c:pt idx="206">
                  <c:v>7.0767501419510825E-2</c:v>
                </c:pt>
                <c:pt idx="207">
                  <c:v>7.0787853996042038E-2</c:v>
                </c:pt>
                <c:pt idx="208">
                  <c:v>7.0808206126799611E-2</c:v>
                </c:pt>
                <c:pt idx="209">
                  <c:v>7.0828557811793313E-2</c:v>
                </c:pt>
                <c:pt idx="210">
                  <c:v>7.0848909051032916E-2</c:v>
                </c:pt>
                <c:pt idx="211">
                  <c:v>7.0869259844528076E-2</c:v>
                </c:pt>
                <c:pt idx="212">
                  <c:v>7.0889610192288677E-2</c:v>
                </c:pt>
                <c:pt idx="213">
                  <c:v>7.0909960094324487E-2</c:v>
                </c:pt>
                <c:pt idx="214">
                  <c:v>7.0930309550645054E-2</c:v>
                </c:pt>
                <c:pt idx="215">
                  <c:v>7.0950658561260482E-2</c:v>
                </c:pt>
                <c:pt idx="216">
                  <c:v>7.0971007126180208E-2</c:v>
                </c:pt>
                <c:pt idx="217">
                  <c:v>7.0991355245414223E-2</c:v>
                </c:pt>
                <c:pt idx="218">
                  <c:v>7.1011702918972186E-2</c:v>
                </c:pt>
                <c:pt idx="219">
                  <c:v>7.1032050146863868E-2</c:v>
                </c:pt>
                <c:pt idx="220">
                  <c:v>7.1052396929099038E-2</c:v>
                </c:pt>
                <c:pt idx="221">
                  <c:v>7.1072743265687466E-2</c:v>
                </c:pt>
                <c:pt idx="222">
                  <c:v>7.1093089156638922E-2</c:v>
                </c:pt>
                <c:pt idx="223">
                  <c:v>7.1113434601963177E-2</c:v>
                </c:pt>
                <c:pt idx="224">
                  <c:v>7.1133779601669889E-2</c:v>
                </c:pt>
                <c:pt idx="225">
                  <c:v>7.1154124155768939E-2</c:v>
                </c:pt>
                <c:pt idx="226">
                  <c:v>7.1174468264269986E-2</c:v>
                </c:pt>
                <c:pt idx="227">
                  <c:v>7.1194811927182911E-2</c:v>
                </c:pt>
                <c:pt idx="228">
                  <c:v>7.1215155144517372E-2</c:v>
                </c:pt>
                <c:pt idx="229">
                  <c:v>7.1235497916283141E-2</c:v>
                </c:pt>
                <c:pt idx="230">
                  <c:v>7.1255840242490098E-2</c:v>
                </c:pt>
                <c:pt idx="231">
                  <c:v>7.1276182123147791E-2</c:v>
                </c:pt>
                <c:pt idx="232">
                  <c:v>7.1296523558266212E-2</c:v>
                </c:pt>
                <c:pt idx="233">
                  <c:v>7.1316864547854908E-2</c:v>
                </c:pt>
                <c:pt idx="234">
                  <c:v>7.1337205091923761E-2</c:v>
                </c:pt>
                <c:pt idx="235">
                  <c:v>7.135754519048243E-2</c:v>
                </c:pt>
                <c:pt idx="236">
                  <c:v>7.1377884843540795E-2</c:v>
                </c:pt>
                <c:pt idx="237">
                  <c:v>7.1398224051108627E-2</c:v>
                </c:pt>
                <c:pt idx="238">
                  <c:v>7.1418562813195474E-2</c:v>
                </c:pt>
                <c:pt idx="239">
                  <c:v>7.1438901129811327E-2</c:v>
                </c:pt>
                <c:pt idx="240">
                  <c:v>7.1459239000965846E-2</c:v>
                </c:pt>
                <c:pt idx="241">
                  <c:v>7.1479576426668689E-2</c:v>
                </c:pt>
                <c:pt idx="242">
                  <c:v>7.1499913406929849E-2</c:v>
                </c:pt>
                <c:pt idx="243">
                  <c:v>7.1520249941758873E-2</c:v>
                </c:pt>
                <c:pt idx="244">
                  <c:v>7.1540586031165643E-2</c:v>
                </c:pt>
                <c:pt idx="245">
                  <c:v>7.1560921675159817E-2</c:v>
                </c:pt>
                <c:pt idx="246">
                  <c:v>7.1581256873751165E-2</c:v>
                </c:pt>
                <c:pt idx="247">
                  <c:v>7.1601591626949568E-2</c:v>
                </c:pt>
                <c:pt idx="248">
                  <c:v>7.1621925934764685E-2</c:v>
                </c:pt>
                <c:pt idx="249">
                  <c:v>7.1642259797206176E-2</c:v>
                </c:pt>
                <c:pt idx="250">
                  <c:v>7.1662593214283921E-2</c:v>
                </c:pt>
                <c:pt idx="251">
                  <c:v>7.1682926186007689E-2</c:v>
                </c:pt>
                <c:pt idx="252">
                  <c:v>7.1703258712387252E-2</c:v>
                </c:pt>
                <c:pt idx="253">
                  <c:v>7.1723590793432157E-2</c:v>
                </c:pt>
                <c:pt idx="254">
                  <c:v>7.1743922429152396E-2</c:v>
                </c:pt>
                <c:pt idx="255">
                  <c:v>7.1764253619557627E-2</c:v>
                </c:pt>
                <c:pt idx="256">
                  <c:v>7.1784584364657622E-2</c:v>
                </c:pt>
                <c:pt idx="257">
                  <c:v>7.1804914664462149E-2</c:v>
                </c:pt>
                <c:pt idx="258">
                  <c:v>7.1825244518980869E-2</c:v>
                </c:pt>
                <c:pt idx="259">
                  <c:v>7.1845573928223549E-2</c:v>
                </c:pt>
                <c:pt idx="260">
                  <c:v>7.1865902892200073E-2</c:v>
                </c:pt>
                <c:pt idx="261">
                  <c:v>7.1886231410920098E-2</c:v>
                </c:pt>
                <c:pt idx="262">
                  <c:v>7.1906559484393395E-2</c:v>
                </c:pt>
                <c:pt idx="263">
                  <c:v>7.1926887112629734E-2</c:v>
                </c:pt>
                <c:pt idx="264">
                  <c:v>7.1947214295638884E-2</c:v>
                </c:pt>
                <c:pt idx="265">
                  <c:v>7.1967541033430504E-2</c:v>
                </c:pt>
                <c:pt idx="266">
                  <c:v>7.1987867326014365E-2</c:v>
                </c:pt>
                <c:pt idx="267">
                  <c:v>7.2008193173400237E-2</c:v>
                </c:pt>
                <c:pt idx="268">
                  <c:v>7.2028518575598E-2</c:v>
                </c:pt>
                <c:pt idx="269">
                  <c:v>7.2048843532617202E-2</c:v>
                </c:pt>
                <c:pt idx="270">
                  <c:v>7.2069168044467724E-2</c:v>
                </c:pt>
                <c:pt idx="271">
                  <c:v>7.2089492111159226E-2</c:v>
                </c:pt>
                <c:pt idx="272">
                  <c:v>7.2109815732701477E-2</c:v>
                </c:pt>
                <c:pt idx="273">
                  <c:v>7.2130138909104358E-2</c:v>
                </c:pt>
                <c:pt idx="274">
                  <c:v>7.2150461640377417E-2</c:v>
                </c:pt>
                <c:pt idx="275">
                  <c:v>7.2170783926530646E-2</c:v>
                </c:pt>
                <c:pt idx="276">
                  <c:v>7.2191105767573482E-2</c:v>
                </c:pt>
                <c:pt idx="277">
                  <c:v>7.2211427163516029E-2</c:v>
                </c:pt>
                <c:pt idx="278">
                  <c:v>7.2231748114367722E-2</c:v>
                </c:pt>
                <c:pt idx="279">
                  <c:v>7.2252068620138443E-2</c:v>
                </c:pt>
                <c:pt idx="280">
                  <c:v>7.2272388680837962E-2</c:v>
                </c:pt>
                <c:pt idx="281">
                  <c:v>7.2292708296476049E-2</c:v>
                </c:pt>
                <c:pt idx="282">
                  <c:v>7.2313027467062252E-2</c:v>
                </c:pt>
                <c:pt idx="283">
                  <c:v>7.2333346192606673E-2</c:v>
                </c:pt>
                <c:pt idx="284">
                  <c:v>7.2353664473118751E-2</c:v>
                </c:pt>
                <c:pt idx="285">
                  <c:v>7.2373982308608364E-2</c:v>
                </c:pt>
                <c:pt idx="286">
                  <c:v>7.2394299699085174E-2</c:v>
                </c:pt>
                <c:pt idx="287">
                  <c:v>7.241461664455906E-2</c:v>
                </c:pt>
                <c:pt idx="288">
                  <c:v>7.2434933145039682E-2</c:v>
                </c:pt>
                <c:pt idx="289">
                  <c:v>7.2455249200536809E-2</c:v>
                </c:pt>
                <c:pt idx="290">
                  <c:v>7.24755648110601E-2</c:v>
                </c:pt>
                <c:pt idx="291">
                  <c:v>7.2495879976619437E-2</c:v>
                </c:pt>
                <c:pt idx="292">
                  <c:v>7.251619469722459E-2</c:v>
                </c:pt>
                <c:pt idx="293">
                  <c:v>7.2536508972885105E-2</c:v>
                </c:pt>
                <c:pt idx="294">
                  <c:v>7.2556822803610976E-2</c:v>
                </c:pt>
                <c:pt idx="295">
                  <c:v>7.2577136189411751E-2</c:v>
                </c:pt>
                <c:pt idx="296">
                  <c:v>7.2597449130297198E-2</c:v>
                </c:pt>
                <c:pt idx="297">
                  <c:v>7.26177616262772E-2</c:v>
                </c:pt>
                <c:pt idx="298">
                  <c:v>7.2638073677361303E-2</c:v>
                </c:pt>
                <c:pt idx="299">
                  <c:v>7.265838528355939E-2</c:v>
                </c:pt>
                <c:pt idx="300">
                  <c:v>7.267869644488123E-2</c:v>
                </c:pt>
                <c:pt idx="301">
                  <c:v>7.2699007161336482E-2</c:v>
                </c:pt>
                <c:pt idx="302">
                  <c:v>7.2719317432934916E-2</c:v>
                </c:pt>
                <c:pt idx="303">
                  <c:v>7.2739627259686301E-2</c:v>
                </c:pt>
                <c:pt idx="304">
                  <c:v>7.2759936641600298E-2</c:v>
                </c:pt>
                <c:pt idx="305">
                  <c:v>7.2780245578686675E-2</c:v>
                </c:pt>
                <c:pt idx="306">
                  <c:v>7.2800554070955315E-2</c:v>
                </c:pt>
                <c:pt idx="307">
                  <c:v>7.2820862118415763E-2</c:v>
                </c:pt>
                <c:pt idx="308">
                  <c:v>7.2841169721077903E-2</c:v>
                </c:pt>
                <c:pt idx="309">
                  <c:v>7.2861476878951503E-2</c:v>
                </c:pt>
                <c:pt idx="310">
                  <c:v>7.2881783592046112E-2</c:v>
                </c:pt>
                <c:pt idx="311">
                  <c:v>7.2902089860371611E-2</c:v>
                </c:pt>
                <c:pt idx="312">
                  <c:v>7.2922395683937768E-2</c:v>
                </c:pt>
                <c:pt idx="313">
                  <c:v>7.2942701062754245E-2</c:v>
                </c:pt>
                <c:pt idx="314">
                  <c:v>7.296300599683081E-2</c:v>
                </c:pt>
                <c:pt idx="315">
                  <c:v>7.2983310486177233E-2</c:v>
                </c:pt>
                <c:pt idx="316">
                  <c:v>7.3003614530803174E-2</c:v>
                </c:pt>
                <c:pt idx="317">
                  <c:v>7.3023918130718402E-2</c:v>
                </c:pt>
                <c:pt idx="318">
                  <c:v>7.3044221285932798E-2</c:v>
                </c:pt>
                <c:pt idx="319">
                  <c:v>7.306452399645591E-2</c:v>
                </c:pt>
                <c:pt idx="320">
                  <c:v>7.308482626229762E-2</c:v>
                </c:pt>
                <c:pt idx="321">
                  <c:v>7.3105128083467474E-2</c:v>
                </c:pt>
                <c:pt idx="322">
                  <c:v>7.3125429459975466E-2</c:v>
                </c:pt>
                <c:pt idx="323">
                  <c:v>7.3145730391831143E-2</c:v>
                </c:pt>
                <c:pt idx="324">
                  <c:v>7.3166030879044386E-2</c:v>
                </c:pt>
                <c:pt idx="325">
                  <c:v>7.3186330921624743E-2</c:v>
                </c:pt>
                <c:pt idx="326">
                  <c:v>7.3206630519582205E-2</c:v>
                </c:pt>
                <c:pt idx="327">
                  <c:v>7.3226929672926322E-2</c:v>
                </c:pt>
                <c:pt idx="328">
                  <c:v>7.3247228381666862E-2</c:v>
                </c:pt>
                <c:pt idx="329">
                  <c:v>7.3267526645813597E-2</c:v>
                </c:pt>
                <c:pt idx="330">
                  <c:v>7.3287824465376183E-2</c:v>
                </c:pt>
                <c:pt idx="331">
                  <c:v>7.3308121840364504E-2</c:v>
                </c:pt>
                <c:pt idx="332">
                  <c:v>7.3328418770788217E-2</c:v>
                </c:pt>
                <c:pt idx="333">
                  <c:v>7.3348715256657093E-2</c:v>
                </c:pt>
                <c:pt idx="334">
                  <c:v>7.3369011297980791E-2</c:v>
                </c:pt>
                <c:pt idx="335">
                  <c:v>7.338930689476908E-2</c:v>
                </c:pt>
                <c:pt idx="336">
                  <c:v>7.340960204703173E-2</c:v>
                </c:pt>
                <c:pt idx="337">
                  <c:v>7.3429896754778512E-2</c:v>
                </c:pt>
                <c:pt idx="338">
                  <c:v>7.3450191018019084E-2</c:v>
                </c:pt>
                <c:pt idx="339">
                  <c:v>7.3470484836763217E-2</c:v>
                </c:pt>
                <c:pt idx="340">
                  <c:v>7.3490778211020569E-2</c:v>
                </c:pt>
                <c:pt idx="341">
                  <c:v>7.3511071140801021E-2</c:v>
                </c:pt>
                <c:pt idx="342">
                  <c:v>7.3531363626114121E-2</c:v>
                </c:pt>
                <c:pt idx="343">
                  <c:v>7.3551655666969862E-2</c:v>
                </c:pt>
                <c:pt idx="344">
                  <c:v>7.3571947263377679E-2</c:v>
                </c:pt>
                <c:pt idx="345">
                  <c:v>7.3592238415347566E-2</c:v>
                </c:pt>
                <c:pt idx="346">
                  <c:v>7.361252912288907E-2</c:v>
                </c:pt>
                <c:pt idx="347">
                  <c:v>7.3632819386012072E-2</c:v>
                </c:pt>
                <c:pt idx="348">
                  <c:v>7.365310920472623E-2</c:v>
                </c:pt>
                <c:pt idx="349">
                  <c:v>7.3673398579041316E-2</c:v>
                </c:pt>
                <c:pt idx="350">
                  <c:v>7.3693687508966987E-2</c:v>
                </c:pt>
                <c:pt idx="351">
                  <c:v>7.3713975994513015E-2</c:v>
                </c:pt>
                <c:pt idx="352">
                  <c:v>7.3734264035689168E-2</c:v>
                </c:pt>
                <c:pt idx="353">
                  <c:v>7.3754551632505105E-2</c:v>
                </c:pt>
                <c:pt idx="354">
                  <c:v>7.3774838784970598E-2</c:v>
                </c:pt>
                <c:pt idx="355">
                  <c:v>7.3795125493095415E-2</c:v>
                </c:pt>
                <c:pt idx="356">
                  <c:v>7.3815411756889326E-2</c:v>
                </c:pt>
                <c:pt idx="357">
                  <c:v>7.3835697576361881E-2</c:v>
                </c:pt>
                <c:pt idx="358">
                  <c:v>7.3855982951522958E-2</c:v>
                </c:pt>
                <c:pt idx="359">
                  <c:v>7.3876267882382329E-2</c:v>
                </c:pt>
                <c:pt idx="360">
                  <c:v>7.3896552368949542E-2</c:v>
                </c:pt>
                <c:pt idx="361">
                  <c:v>7.3916836411234588E-2</c:v>
                </c:pt>
                <c:pt idx="362">
                  <c:v>7.3937120009246904E-2</c:v>
                </c:pt>
                <c:pt idx="363">
                  <c:v>7.3957403162996482E-2</c:v>
                </c:pt>
                <c:pt idx="364">
                  <c:v>7.3977685872492871E-2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4.3248347334019104E-4</c:v>
                </c:pt>
                <c:pt idx="1">
                  <c:v>4.2794188753134392E-4</c:v>
                </c:pt>
                <c:pt idx="2">
                  <c:v>4.2390027108680367E-4</c:v>
                </c:pt>
                <c:pt idx="3">
                  <c:v>4.2036996071891542E-4</c:v>
                </c:pt>
                <c:pt idx="4">
                  <c:v>4.173609712504127E-4</c:v>
                </c:pt>
                <c:pt idx="5">
                  <c:v>4.1488227395743415E-4</c:v>
                </c:pt>
                <c:pt idx="6">
                  <c:v>4.1294207542776372E-4</c:v>
                </c:pt>
                <c:pt idx="7">
                  <c:v>4.1154809503810301E-4</c:v>
                </c:pt>
                <c:pt idx="8">
                  <c:v>4.1066201982917108E-4</c:v>
                </c:pt>
                <c:pt idx="9">
                  <c:v>4.0969897587215192E-4</c:v>
                </c:pt>
                <c:pt idx="10">
                  <c:v>4.084724519436843E-4</c:v>
                </c:pt>
                <c:pt idx="11">
                  <c:v>4.0698271868775461E-4</c:v>
                </c:pt>
                <c:pt idx="12">
                  <c:v>4.052303669615522E-4</c:v>
                </c:pt>
                <c:pt idx="13">
                  <c:v>4.0321632178414238E-4</c:v>
                </c:pt>
                <c:pt idx="14">
                  <c:v>4.0094185373478017E-4</c:v>
                </c:pt>
                <c:pt idx="15">
                  <c:v>3.9832873190925221E-4</c:v>
                </c:pt>
                <c:pt idx="16">
                  <c:v>3.9510161667089113E-4</c:v>
                </c:pt>
                <c:pt idx="17">
                  <c:v>3.91271521927011E-4</c:v>
                </c:pt>
                <c:pt idx="18">
                  <c:v>3.8684999096807857E-4</c:v>
                </c:pt>
                <c:pt idx="19">
                  <c:v>3.8185124911753883E-4</c:v>
                </c:pt>
                <c:pt idx="20">
                  <c:v>3.7629091556406384E-4</c:v>
                </c:pt>
                <c:pt idx="21">
                  <c:v>3.701833777853411E-4</c:v>
                </c:pt>
                <c:pt idx="22">
                  <c:v>3.6352573694215597E-4</c:v>
                </c:pt>
                <c:pt idx="23">
                  <c:v>3.566593879782544E-4</c:v>
                </c:pt>
                <c:pt idx="24">
                  <c:v>3.5007839018412799E-4</c:v>
                </c:pt>
                <c:pt idx="25">
                  <c:v>3.4379233848284071E-4</c:v>
                </c:pt>
                <c:pt idx="26">
                  <c:v>3.3780915796701545E-4</c:v>
                </c:pt>
                <c:pt idx="27">
                  <c:v>3.3213526529337348E-4</c:v>
                </c:pt>
                <c:pt idx="28">
                  <c:v>3.2677573100888419E-4</c:v>
                </c:pt>
                <c:pt idx="29">
                  <c:v>3.2183223599886583E-4</c:v>
                </c:pt>
                <c:pt idx="30">
                  <c:v>3.1737469526254099E-4</c:v>
                </c:pt>
                <c:pt idx="31">
                  <c:v>3.134004382186638E-4</c:v>
                </c:pt>
                <c:pt idx="32">
                  <c:v>3.0990627182051416E-4</c:v>
                </c:pt>
                <c:pt idx="33">
                  <c:v>3.0688866150209004E-4</c:v>
                </c:pt>
                <c:pt idx="34">
                  <c:v>3.0434389991243992E-4</c:v>
                </c:pt>
                <c:pt idx="35">
                  <c:v>3.0226826405382119E-4</c:v>
                </c:pt>
                <c:pt idx="36">
                  <c:v>3.0062613837109683E-4</c:v>
                </c:pt>
                <c:pt idx="37">
                  <c:v>2.9944634954447418E-4</c:v>
                </c:pt>
                <c:pt idx="38">
                  <c:v>2.9843305278404809E-4</c:v>
                </c:pt>
                <c:pt idx="39">
                  <c:v>2.9758625861927847E-4</c:v>
                </c:pt>
                <c:pt idx="40">
                  <c:v>2.9690589312738371E-4</c:v>
                </c:pt>
                <c:pt idx="41">
                  <c:v>2.9639182894048246E-4</c:v>
                </c:pt>
                <c:pt idx="42">
                  <c:v>2.9604391505023351E-4</c:v>
                </c:pt>
                <c:pt idx="43">
                  <c:v>2.9596120470605952E-4</c:v>
                </c:pt>
                <c:pt idx="44">
                  <c:v>2.9605543589164514E-4</c:v>
                </c:pt>
                <c:pt idx="45">
                  <c:v>2.9632631049304579E-4</c:v>
                </c:pt>
                <c:pt idx="46">
                  <c:v>2.9677363346918624E-4</c:v>
                </c:pt>
                <c:pt idx="47">
                  <c:v>2.9739733846037179E-4</c:v>
                </c:pt>
                <c:pt idx="48">
                  <c:v>2.9819751267032795E-4</c:v>
                </c:pt>
                <c:pt idx="49">
                  <c:v>2.9917442123975399E-4</c:v>
                </c:pt>
                <c:pt idx="50">
                  <c:v>3.0032086081404236E-4</c:v>
                </c:pt>
                <c:pt idx="51">
                  <c:v>3.0132050382642036E-4</c:v>
                </c:pt>
                <c:pt idx="52">
                  <c:v>3.0211616344871448E-4</c:v>
                </c:pt>
                <c:pt idx="53">
                  <c:v>3.0270993202525165E-4</c:v>
                </c:pt>
                <c:pt idx="54">
                  <c:v>3.0310527357475971E-4</c:v>
                </c:pt>
                <c:pt idx="55">
                  <c:v>3.0330555321725344E-4</c:v>
                </c:pt>
                <c:pt idx="56">
                  <c:v>3.0331405310038396E-4</c:v>
                </c:pt>
                <c:pt idx="57">
                  <c:v>3.0239911389771826E-4</c:v>
                </c:pt>
                <c:pt idx="58">
                  <c:v>3.0048869051667321E-4</c:v>
                </c:pt>
                <c:pt idx="59">
                  <c:v>2.9760090727208588E-4</c:v>
                </c:pt>
                <c:pt idx="60">
                  <c:v>2.9375324280319547E-4</c:v>
                </c:pt>
                <c:pt idx="61">
                  <c:v>2.8896256467404751E-4</c:v>
                </c:pt>
                <c:pt idx="62">
                  <c:v>2.8324515683829425E-4</c:v>
                </c:pt>
                <c:pt idx="63">
                  <c:v>2.7661674030910588E-4</c:v>
                </c:pt>
                <c:pt idx="64">
                  <c:v>2.6909007157996416E-4</c:v>
                </c:pt>
                <c:pt idx="65">
                  <c:v>2.6069992063711443E-4</c:v>
                </c:pt>
                <c:pt idx="66">
                  <c:v>2.5174164853349707E-4</c:v>
                </c:pt>
                <c:pt idx="67">
                  <c:v>2.4222608554310502E-4</c:v>
                </c:pt>
                <c:pt idx="68">
                  <c:v>2.3216332051137495E-4</c:v>
                </c:pt>
                <c:pt idx="69">
                  <c:v>2.2156265365620148E-4</c:v>
                </c:pt>
                <c:pt idx="70">
                  <c:v>2.1043254977876535E-4</c:v>
                </c:pt>
                <c:pt idx="71">
                  <c:v>1.9920111340660115E-4</c:v>
                </c:pt>
                <c:pt idx="72">
                  <c:v>1.8854316388436916E-4</c:v>
                </c:pt>
                <c:pt idx="73">
                  <c:v>1.7844872325258212E-4</c:v>
                </c:pt>
                <c:pt idx="74">
                  <c:v>1.6890797201480286E-4</c:v>
                </c:pt>
                <c:pt idx="75">
                  <c:v>1.599112842962336E-4</c:v>
                </c:pt>
                <c:pt idx="76">
                  <c:v>1.5144926262536149E-4</c:v>
                </c:pt>
                <c:pt idx="77">
                  <c:v>1.4351277226916343E-4</c:v>
                </c:pt>
                <c:pt idx="78">
                  <c:v>1.3608660181867416E-4</c:v>
                </c:pt>
                <c:pt idx="79">
                  <c:v>1.2920651285964696E-4</c:v>
                </c:pt>
                <c:pt idx="80">
                  <c:v>1.2284764783409351E-4</c:v>
                </c:pt>
                <c:pt idx="81">
                  <c:v>1.1700414084389127E-4</c:v>
                </c:pt>
                <c:pt idx="82">
                  <c:v>1.1167016066760919E-4</c:v>
                </c:pt>
                <c:pt idx="83">
                  <c:v>1.0684000279850039E-4</c:v>
                </c:pt>
                <c:pt idx="84">
                  <c:v>1.0250817806388528E-4</c:v>
                </c:pt>
                <c:pt idx="85">
                  <c:v>9.877916520225808E-5</c:v>
                </c:pt>
                <c:pt idx="86">
                  <c:v>9.5250426750534851E-5</c:v>
                </c:pt>
                <c:pt idx="87">
                  <c:v>9.1919637465695788E-5</c:v>
                </c:pt>
                <c:pt idx="88">
                  <c:v>8.8784514581561236E-5</c:v>
                </c:pt>
                <c:pt idx="89">
                  <c:v>8.5848228356802077E-5</c:v>
                </c:pt>
                <c:pt idx="90">
                  <c:v>8.3240238228054277E-5</c:v>
                </c:pt>
                <c:pt idx="91">
                  <c:v>8.0821343335122191E-5</c:v>
                </c:pt>
                <c:pt idx="92">
                  <c:v>7.8589613208690561E-5</c:v>
                </c:pt>
                <c:pt idx="93">
                  <c:v>7.6914013821994346E-5</c:v>
                </c:pt>
                <c:pt idx="94">
                  <c:v>7.5744935604316825E-5</c:v>
                </c:pt>
                <c:pt idx="95">
                  <c:v>7.5080711375680347E-5</c:v>
                </c:pt>
                <c:pt idx="96">
                  <c:v>7.4920628179779347E-5</c:v>
                </c:pt>
                <c:pt idx="97">
                  <c:v>7.5264889763820893E-5</c:v>
                </c:pt>
                <c:pt idx="98">
                  <c:v>7.6114581025489193E-5</c:v>
                </c:pt>
                <c:pt idx="99">
                  <c:v>7.8251425380769163E-5</c:v>
                </c:pt>
                <c:pt idx="100">
                  <c:v>8.1571449750479354E-5</c:v>
                </c:pt>
                <c:pt idx="101">
                  <c:v>8.6082003792298974E-5</c:v>
                </c:pt>
                <c:pt idx="102">
                  <c:v>9.1792178109144273E-5</c:v>
                </c:pt>
                <c:pt idx="103">
                  <c:v>9.8712725058184404E-5</c:v>
                </c:pt>
                <c:pt idx="104">
                  <c:v>1.0685597794852506E-4</c:v>
                </c:pt>
                <c:pt idx="105">
                  <c:v>1.1623576776416844E-4</c:v>
                </c:pt>
                <c:pt idx="106">
                  <c:v>1.2686978100322498E-4</c:v>
                </c:pt>
                <c:pt idx="107">
                  <c:v>1.3956592520369572E-4</c:v>
                </c:pt>
                <c:pt idx="108">
                  <c:v>1.5397268552133994E-4</c:v>
                </c:pt>
                <c:pt idx="109">
                  <c:v>1.7011901042536263E-4</c:v>
                </c:pt>
                <c:pt idx="110">
                  <c:v>1.8803723899084467E-4</c:v>
                </c:pt>
                <c:pt idx="111">
                  <c:v>2.0776286078400262E-4</c:v>
                </c:pt>
                <c:pt idx="112">
                  <c:v>2.293339676528794E-4</c:v>
                </c:pt>
                <c:pt idx="113">
                  <c:v>2.5322856758182565E-4</c:v>
                </c:pt>
                <c:pt idx="114">
                  <c:v>2.7867790858796871E-4</c:v>
                </c:pt>
                <c:pt idx="115">
                  <c:v>3.0572375085333598E-4</c:v>
                </c:pt>
                <c:pt idx="116">
                  <c:v>3.3441040755714552E-4</c:v>
                </c:pt>
                <c:pt idx="117">
                  <c:v>3.6478476976385167E-4</c:v>
                </c:pt>
                <c:pt idx="118">
                  <c:v>3.9689632706184792E-4</c:v>
                </c:pt>
                <c:pt idx="119">
                  <c:v>4.307971836411488E-4</c:v>
                </c:pt>
                <c:pt idx="120">
                  <c:v>4.6654546581854987E-4</c:v>
                </c:pt>
                <c:pt idx="121">
                  <c:v>5.0462632828205528E-4</c:v>
                </c:pt>
                <c:pt idx="122">
                  <c:v>5.4425218372005811E-4</c:v>
                </c:pt>
                <c:pt idx="123">
                  <c:v>5.854726252561939E-4</c:v>
                </c:pt>
                <c:pt idx="124">
                  <c:v>6.2833788455921176E-4</c:v>
                </c:pt>
                <c:pt idx="125">
                  <c:v>6.7289868482524687E-4</c:v>
                </c:pt>
                <c:pt idx="126">
                  <c:v>7.1920607956965654E-4</c:v>
                </c:pt>
                <c:pt idx="127">
                  <c:v>7.6736798916185434E-4</c:v>
                </c:pt>
                <c:pt idx="128">
                  <c:v>8.1695053797545898E-4</c:v>
                </c:pt>
                <c:pt idx="129">
                  <c:v>8.6799251982855839E-4</c:v>
                </c:pt>
                <c:pt idx="130">
                  <c:v>9.205315854305668E-4</c:v>
                </c:pt>
                <c:pt idx="131">
                  <c:v>9.7460404166431871E-4</c:v>
                </c:pt>
                <c:pt idx="132">
                  <c:v>1.0302446405296953E-3</c:v>
                </c:pt>
                <c:pt idx="133">
                  <c:v>1.0874863581049792E-3</c:v>
                </c:pt>
                <c:pt idx="134">
                  <c:v>1.1463801502710853E-3</c:v>
                </c:pt>
                <c:pt idx="135">
                  <c:v>1.2069373288937394E-3</c:v>
                </c:pt>
                <c:pt idx="136">
                  <c:v>1.2687058221815531E-3</c:v>
                </c:pt>
                <c:pt idx="137">
                  <c:v>1.3317034496931261E-3</c:v>
                </c:pt>
                <c:pt idx="138">
                  <c:v>1.3959456363826996E-3</c:v>
                </c:pt>
                <c:pt idx="139">
                  <c:v>1.461445271206905E-3</c:v>
                </c:pt>
                <c:pt idx="140">
                  <c:v>1.5282125692126617E-3</c:v>
                </c:pt>
                <c:pt idx="141">
                  <c:v>1.5963304391666685E-3</c:v>
                </c:pt>
                <c:pt idx="142">
                  <c:v>1.6657402636618911E-3</c:v>
                </c:pt>
                <c:pt idx="143">
                  <c:v>1.7364415095158536E-3</c:v>
                </c:pt>
                <c:pt idx="144">
                  <c:v>1.8084403969684448E-3</c:v>
                </c:pt>
                <c:pt idx="145">
                  <c:v>1.8817406115033053E-3</c:v>
                </c:pt>
                <c:pt idx="146">
                  <c:v>1.9563432262234928E-3</c:v>
                </c:pt>
                <c:pt idx="147">
                  <c:v>2.0322466347649018E-3</c:v>
                </c:pt>
                <c:pt idx="148">
                  <c:v>2.1094477642486552E-3</c:v>
                </c:pt>
                <c:pt idx="149">
                  <c:v>2.1870490625910889E-3</c:v>
                </c:pt>
                <c:pt idx="150">
                  <c:v>2.265090496840576E-3</c:v>
                </c:pt>
                <c:pt idx="151">
                  <c:v>2.343548875366099E-3</c:v>
                </c:pt>
                <c:pt idx="152">
                  <c:v>2.4223994387871984E-3</c:v>
                </c:pt>
                <c:pt idx="153">
                  <c:v>2.5016159707252498E-3</c:v>
                </c:pt>
                <c:pt idx="154">
                  <c:v>2.581170922286974E-3</c:v>
                </c:pt>
                <c:pt idx="155">
                  <c:v>2.6591050108853223E-3</c:v>
                </c:pt>
                <c:pt idx="156">
                  <c:v>2.7351965650421481E-3</c:v>
                </c:pt>
                <c:pt idx="157">
                  <c:v>2.8093319838780398E-3</c:v>
                </c:pt>
                <c:pt idx="158">
                  <c:v>2.8813963374096658E-3</c:v>
                </c:pt>
                <c:pt idx="159">
                  <c:v>2.9512737430617835E-3</c:v>
                </c:pt>
                <c:pt idx="160">
                  <c:v>3.0188477474631494E-3</c:v>
                </c:pt>
                <c:pt idx="161">
                  <c:v>3.0840017090107696E-3</c:v>
                </c:pt>
                <c:pt idx="162">
                  <c:v>3.1466545118710551E-3</c:v>
                </c:pt>
                <c:pt idx="163">
                  <c:v>3.2054691713181934E-3</c:v>
                </c:pt>
                <c:pt idx="164">
                  <c:v>3.2613107025602707E-3</c:v>
                </c:pt>
                <c:pt idx="165">
                  <c:v>3.3140426967141457E-3</c:v>
                </c:pt>
                <c:pt idx="166">
                  <c:v>3.3635284346704253E-3</c:v>
                </c:pt>
                <c:pt idx="167">
                  <c:v>3.4096314208346078E-3</c:v>
                </c:pt>
                <c:pt idx="168">
                  <c:v>3.4522159145805422E-3</c:v>
                </c:pt>
                <c:pt idx="169">
                  <c:v>3.489869947814298E-3</c:v>
                </c:pt>
                <c:pt idx="170">
                  <c:v>3.524739489790968E-3</c:v>
                </c:pt>
                <c:pt idx="171">
                  <c:v>3.5567484444846572E-3</c:v>
                </c:pt>
                <c:pt idx="172">
                  <c:v>3.5858228795859516E-3</c:v>
                </c:pt>
                <c:pt idx="173">
                  <c:v>3.6118543403479888E-3</c:v>
                </c:pt>
                <c:pt idx="174">
                  <c:v>3.6347341112948186E-3</c:v>
                </c:pt>
                <c:pt idx="175">
                  <c:v>3.6543920673430329E-3</c:v>
                </c:pt>
                <c:pt idx="176">
                  <c:v>3.6708296286214448E-3</c:v>
                </c:pt>
                <c:pt idx="177">
                  <c:v>3.6816155203066459E-3</c:v>
                </c:pt>
                <c:pt idx="178">
                  <c:v>3.6879808918277293E-3</c:v>
                </c:pt>
                <c:pt idx="179">
                  <c:v>3.6898509356329428E-3</c:v>
                </c:pt>
                <c:pt idx="180">
                  <c:v>3.6871556873520539E-3</c:v>
                </c:pt>
                <c:pt idx="181">
                  <c:v>3.6798299721135059E-3</c:v>
                </c:pt>
                <c:pt idx="182">
                  <c:v>3.6678133129793653E-3</c:v>
                </c:pt>
                <c:pt idx="183">
                  <c:v>3.6498797699675762E-3</c:v>
                </c:pt>
                <c:pt idx="184">
                  <c:v>3.6273095659026333E-3</c:v>
                </c:pt>
                <c:pt idx="185">
                  <c:v>3.6000489394074136E-3</c:v>
                </c:pt>
                <c:pt idx="186">
                  <c:v>3.5680482549397619E-3</c:v>
                </c:pt>
                <c:pt idx="187">
                  <c:v>3.5312617800175548E-3</c:v>
                </c:pt>
                <c:pt idx="188">
                  <c:v>3.4896474380082488E-3</c:v>
                </c:pt>
                <c:pt idx="189">
                  <c:v>3.443166539771482E-3</c:v>
                </c:pt>
                <c:pt idx="190">
                  <c:v>3.3918113959077257E-3</c:v>
                </c:pt>
                <c:pt idx="191">
                  <c:v>3.3357983522813838E-3</c:v>
                </c:pt>
                <c:pt idx="192">
                  <c:v>3.2778273694896352E-3</c:v>
                </c:pt>
                <c:pt idx="193">
                  <c:v>3.2179112725248728E-3</c:v>
                </c:pt>
                <c:pt idx="194">
                  <c:v>3.1560632800328361E-3</c:v>
                </c:pt>
                <c:pt idx="195">
                  <c:v>3.0922968847320979E-3</c:v>
                </c:pt>
                <c:pt idx="196">
                  <c:v>3.0266257469578855E-3</c:v>
                </c:pt>
                <c:pt idx="197">
                  <c:v>2.9589172423684787E-3</c:v>
                </c:pt>
                <c:pt idx="198">
                  <c:v>2.8904312837508546E-3</c:v>
                </c:pt>
                <c:pt idx="199">
                  <c:v>2.8211915522476068E-3</c:v>
                </c:pt>
                <c:pt idx="200">
                  <c:v>2.7512212239310008E-3</c:v>
                </c:pt>
                <c:pt idx="201">
                  <c:v>2.6805429450289433E-3</c:v>
                </c:pt>
                <c:pt idx="202">
                  <c:v>2.6091788212740069E-3</c:v>
                </c:pt>
                <c:pt idx="203">
                  <c:v>2.5371504209527108E-3</c:v>
                </c:pt>
                <c:pt idx="204">
                  <c:v>2.4644884209341716E-3</c:v>
                </c:pt>
                <c:pt idx="205">
                  <c:v>2.3913046121469246E-3</c:v>
                </c:pt>
                <c:pt idx="206">
                  <c:v>2.3173640037000495E-3</c:v>
                </c:pt>
                <c:pt idx="207">
                  <c:v>2.2426887974532094E-3</c:v>
                </c:pt>
                <c:pt idx="208">
                  <c:v>2.1672996123817292E-3</c:v>
                </c:pt>
                <c:pt idx="209">
                  <c:v>2.0912154996332172E-3</c:v>
                </c:pt>
                <c:pt idx="210">
                  <c:v>2.0144539663090873E-3</c:v>
                </c:pt>
                <c:pt idx="211">
                  <c:v>1.9378664394416518E-3</c:v>
                </c:pt>
                <c:pt idx="212">
                  <c:v>1.8616371544020033E-3</c:v>
                </c:pt>
                <c:pt idx="213">
                  <c:v>1.7857891853186958E-3</c:v>
                </c:pt>
                <c:pt idx="214">
                  <c:v>1.7103439853334663E-3</c:v>
                </c:pt>
                <c:pt idx="215">
                  <c:v>1.6353214747193865E-3</c:v>
                </c:pt>
                <c:pt idx="216">
                  <c:v>1.5607401292564152E-3</c:v>
                </c:pt>
                <c:pt idx="217">
                  <c:v>1.4866170678147703E-3</c:v>
                </c:pt>
                <c:pt idx="218">
                  <c:v>1.4129661273876608E-3</c:v>
                </c:pt>
                <c:pt idx="219">
                  <c:v>1.3407146786696179E-3</c:v>
                </c:pt>
                <c:pt idx="220">
                  <c:v>1.2698041195774116E-3</c:v>
                </c:pt>
                <c:pt idx="221">
                  <c:v>1.2002515326695507E-3</c:v>
                </c:pt>
                <c:pt idx="222">
                  <c:v>1.1320739215528949E-3</c:v>
                </c:pt>
                <c:pt idx="223">
                  <c:v>1.0652882581137328E-3</c:v>
                </c:pt>
                <c:pt idx="224">
                  <c:v>9.9991152272460105E-4</c:v>
                </c:pt>
                <c:pt idx="225">
                  <c:v>9.3767055151347035E-4</c:v>
                </c:pt>
                <c:pt idx="226">
                  <c:v>8.7772461161265112E-4</c:v>
                </c:pt>
                <c:pt idx="227">
                  <c:v>8.200969719200635E-4</c:v>
                </c:pt>
                <c:pt idx="228">
                  <c:v>7.6481083867929495E-4</c:v>
                </c:pt>
                <c:pt idx="229">
                  <c:v>7.1188934249166735E-4</c:v>
                </c:pt>
                <c:pt idx="230">
                  <c:v>6.6135551805063405E-4</c:v>
                </c:pt>
                <c:pt idx="231">
                  <c:v>6.1323227704353461E-4</c:v>
                </c:pt>
                <c:pt idx="232">
                  <c:v>5.6753300507239536E-4</c:v>
                </c:pt>
                <c:pt idx="233">
                  <c:v>5.2603276646284844E-4</c:v>
                </c:pt>
                <c:pt idx="234">
                  <c:v>4.878211067294239E-4</c:v>
                </c:pt>
                <c:pt idx="235">
                  <c:v>4.5293148308732156E-4</c:v>
                </c:pt>
                <c:pt idx="236">
                  <c:v>4.2139510504720035E-4</c:v>
                </c:pt>
                <c:pt idx="237">
                  <c:v>3.9324081327536117E-4</c:v>
                </c:pt>
                <c:pt idx="238">
                  <c:v>3.684957200433111E-4</c:v>
                </c:pt>
                <c:pt idx="239">
                  <c:v>3.4802217965442228E-4</c:v>
                </c:pt>
                <c:pt idx="240">
                  <c:v>3.3008210202102091E-4</c:v>
                </c:pt>
                <c:pt idx="241">
                  <c:v>3.1469379430345109E-4</c:v>
                </c:pt>
                <c:pt idx="242">
                  <c:v>3.0187504589976723E-4</c:v>
                </c:pt>
                <c:pt idx="243">
                  <c:v>2.9164336820992171E-4</c:v>
                </c:pt>
                <c:pt idx="244">
                  <c:v>2.8401623833725201E-4</c:v>
                </c:pt>
                <c:pt idx="245">
                  <c:v>2.7901134683400364E-4</c:v>
                </c:pt>
                <c:pt idx="246">
                  <c:v>2.7663615718320322E-4</c:v>
                </c:pt>
                <c:pt idx="247">
                  <c:v>2.7723692676120314E-4</c:v>
                </c:pt>
                <c:pt idx="248">
                  <c:v>2.7902472185758657E-4</c:v>
                </c:pt>
                <c:pt idx="249">
                  <c:v>2.8200838113531253E-4</c:v>
                </c:pt>
                <c:pt idx="250">
                  <c:v>2.8619672778980987E-4</c:v>
                </c:pt>
                <c:pt idx="251">
                  <c:v>2.9159863308010132E-4</c:v>
                </c:pt>
                <c:pt idx="252">
                  <c:v>2.9822308032803559E-4</c:v>
                </c:pt>
                <c:pt idx="253">
                  <c:v>3.0633340435817953E-4</c:v>
                </c:pt>
                <c:pt idx="254">
                  <c:v>3.1507878028603196E-4</c:v>
                </c:pt>
                <c:pt idx="255">
                  <c:v>3.2446547045968268E-4</c:v>
                </c:pt>
                <c:pt idx="256">
                  <c:v>3.3449998755204728E-4</c:v>
                </c:pt>
                <c:pt idx="257">
                  <c:v>3.4518913291341186E-4</c:v>
                </c:pt>
                <c:pt idx="258">
                  <c:v>3.5654003649420449E-4</c:v>
                </c:pt>
                <c:pt idx="259">
                  <c:v>3.6856019889495013E-4</c:v>
                </c:pt>
                <c:pt idx="260">
                  <c:v>3.8125237317072116E-4</c:v>
                </c:pt>
                <c:pt idx="261">
                  <c:v>3.9542175043442122E-4</c:v>
                </c:pt>
                <c:pt idx="262">
                  <c:v>4.107269847532422E-4</c:v>
                </c:pt>
                <c:pt idx="263">
                  <c:v>4.2717473693483217E-4</c:v>
                </c:pt>
                <c:pt idx="264">
                  <c:v>4.4477157000868446E-4</c:v>
                </c:pt>
                <c:pt idx="265">
                  <c:v>4.6352637662922203E-4</c:v>
                </c:pt>
                <c:pt idx="266">
                  <c:v>4.8344701278689434E-4</c:v>
                </c:pt>
                <c:pt idx="267">
                  <c:v>5.0431424199545065E-4</c:v>
                </c:pt>
                <c:pt idx="268">
                  <c:v>5.258678409011011E-4</c:v>
                </c:pt>
                <c:pt idx="269">
                  <c:v>5.4810912138860584E-4</c:v>
                </c:pt>
                <c:pt idx="270">
                  <c:v>5.7103902383436934E-4</c:v>
                </c:pt>
                <c:pt idx="271">
                  <c:v>5.9465809656003316E-4</c:v>
                </c:pt>
                <c:pt idx="272">
                  <c:v>6.1896647894683866E-4</c:v>
                </c:pt>
                <c:pt idx="273">
                  <c:v>6.4396388881194993E-4</c:v>
                </c:pt>
                <c:pt idx="274">
                  <c:v>6.6965969769735071E-4</c:v>
                </c:pt>
                <c:pt idx="275">
                  <c:v>6.9460357246592028E-4</c:v>
                </c:pt>
                <c:pt idx="276">
                  <c:v>7.1795221370712632E-4</c:v>
                </c:pt>
                <c:pt idx="277">
                  <c:v>7.3968850157161753E-4</c:v>
                </c:pt>
                <c:pt idx="278">
                  <c:v>7.5979491970151985E-4</c:v>
                </c:pt>
                <c:pt idx="279">
                  <c:v>7.7825370334064659E-4</c:v>
                </c:pt>
                <c:pt idx="280">
                  <c:v>7.9504698811090299E-4</c:v>
                </c:pt>
                <c:pt idx="281">
                  <c:v>8.0958462742452685E-4</c:v>
                </c:pt>
                <c:pt idx="282">
                  <c:v>8.2207943288056112E-4</c:v>
                </c:pt>
                <c:pt idx="283">
                  <c:v>8.3251243970903826E-4</c:v>
                </c:pt>
                <c:pt idx="284">
                  <c:v>8.4086528578008459E-4</c:v>
                </c:pt>
                <c:pt idx="285">
                  <c:v>8.471203678339659E-4</c:v>
                </c:pt>
                <c:pt idx="286">
                  <c:v>8.5126099047355707E-4</c:v>
                </c:pt>
                <c:pt idx="287">
                  <c:v>8.5327150664840515E-4</c:v>
                </c:pt>
                <c:pt idx="288">
                  <c:v>8.5314456820075242E-4</c:v>
                </c:pt>
                <c:pt idx="289">
                  <c:v>8.5090369149048994E-4</c:v>
                </c:pt>
                <c:pt idx="290">
                  <c:v>8.4804538670866679E-4</c:v>
                </c:pt>
                <c:pt idx="291">
                  <c:v>8.4457237112314223E-4</c:v>
                </c:pt>
                <c:pt idx="292">
                  <c:v>8.4048801357348882E-4</c:v>
                </c:pt>
                <c:pt idx="293">
                  <c:v>8.3579630182336587E-4</c:v>
                </c:pt>
                <c:pt idx="294">
                  <c:v>8.3050180213004477E-4</c:v>
                </c:pt>
                <c:pt idx="295">
                  <c:v>8.2471678523144938E-4</c:v>
                </c:pt>
                <c:pt idx="296">
                  <c:v>8.190428701680166E-4</c:v>
                </c:pt>
                <c:pt idx="297">
                  <c:v>8.1349519467282584E-4</c:v>
                </c:pt>
                <c:pt idx="298">
                  <c:v>8.0808239531702825E-4</c:v>
                </c:pt>
                <c:pt idx="299">
                  <c:v>8.0281347799878323E-4</c:v>
                </c:pt>
                <c:pt idx="300">
                  <c:v>7.9769781619206987E-4</c:v>
                </c:pt>
                <c:pt idx="301">
                  <c:v>7.9274514944722941E-4</c:v>
                </c:pt>
                <c:pt idx="302">
                  <c:v>7.8802789354592514E-4</c:v>
                </c:pt>
                <c:pt idx="303">
                  <c:v>7.8383272349068082E-4</c:v>
                </c:pt>
                <c:pt idx="304">
                  <c:v>7.8011413949079396E-4</c:v>
                </c:pt>
                <c:pt idx="305">
                  <c:v>7.7685197815846986E-4</c:v>
                </c:pt>
                <c:pt idx="306">
                  <c:v>7.7402623411127261E-4</c:v>
                </c:pt>
                <c:pt idx="307">
                  <c:v>7.7161684876090231E-4</c:v>
                </c:pt>
                <c:pt idx="308">
                  <c:v>7.6960350509049785E-4</c:v>
                </c:pt>
                <c:pt idx="309">
                  <c:v>7.6861503459300451E-4</c:v>
                </c:pt>
                <c:pt idx="310">
                  <c:v>7.6852496761120994E-4</c:v>
                </c:pt>
                <c:pt idx="311">
                  <c:v>7.6931521879156095E-4</c:v>
                </c:pt>
                <c:pt idx="312">
                  <c:v>7.709664845379499E-4</c:v>
                </c:pt>
                <c:pt idx="313">
                  <c:v>7.7345787831793083E-4</c:v>
                </c:pt>
                <c:pt idx="314">
                  <c:v>7.7676656392312729E-4</c:v>
                </c:pt>
                <c:pt idx="315">
                  <c:v>7.8086739048823287E-4</c:v>
                </c:pt>
                <c:pt idx="316">
                  <c:v>7.8584353323391616E-4</c:v>
                </c:pt>
                <c:pt idx="317">
                  <c:v>7.9438369705767207E-4</c:v>
                </c:pt>
                <c:pt idx="318">
                  <c:v>8.0626656048266986E-4</c:v>
                </c:pt>
                <c:pt idx="319">
                  <c:v>8.2151402983764816E-4</c:v>
                </c:pt>
                <c:pt idx="320">
                  <c:v>8.4014851053790468E-4</c:v>
                </c:pt>
                <c:pt idx="321">
                  <c:v>8.621926470754592E-4</c:v>
                </c:pt>
                <c:pt idx="322">
                  <c:v>8.876690128628719E-4</c:v>
                </c:pt>
                <c:pt idx="323">
                  <c:v>9.1737369601233671E-4</c:v>
                </c:pt>
                <c:pt idx="324">
                  <c:v>9.5066072647826847E-4</c:v>
                </c:pt>
                <c:pt idx="325">
                  <c:v>9.8755100010232302E-4</c:v>
                </c:pt>
                <c:pt idx="326">
                  <c:v>1.0280570794391859E-3</c:v>
                </c:pt>
                <c:pt idx="327">
                  <c:v>1.0721923034776207E-3</c:v>
                </c:pt>
                <c:pt idx="328">
                  <c:v>1.119971944825905E-3</c:v>
                </c:pt>
                <c:pt idx="329">
                  <c:v>1.1714076738111481E-3</c:v>
                </c:pt>
                <c:pt idx="330">
                  <c:v>1.2267164275826118E-3</c:v>
                </c:pt>
                <c:pt idx="331">
                  <c:v>1.2827390768290446E-3</c:v>
                </c:pt>
                <c:pt idx="332">
                  <c:v>1.336758848656844E-3</c:v>
                </c:pt>
                <c:pt idx="333">
                  <c:v>1.388703616232773E-3</c:v>
                </c:pt>
                <c:pt idx="334">
                  <c:v>1.4384826083561077E-3</c:v>
                </c:pt>
                <c:pt idx="335">
                  <c:v>1.4859869784740614E-3</c:v>
                </c:pt>
                <c:pt idx="336">
                  <c:v>1.5310906222791387E-3</c:v>
                </c:pt>
                <c:pt idx="337">
                  <c:v>1.5720963200112539E-3</c:v>
                </c:pt>
                <c:pt idx="338">
                  <c:v>1.6080237806264097E-3</c:v>
                </c:pt>
                <c:pt idx="339">
                  <c:v>1.6386847660475553E-3</c:v>
                </c:pt>
                <c:pt idx="340">
                  <c:v>1.663885809985057E-3</c:v>
                </c:pt>
                <c:pt idx="341">
                  <c:v>1.6834328705407477E-3</c:v>
                </c:pt>
                <c:pt idx="342">
                  <c:v>1.6971364699666282E-3</c:v>
                </c:pt>
                <c:pt idx="343">
                  <c:v>1.7048172620146671E-3</c:v>
                </c:pt>
                <c:pt idx="344">
                  <c:v>1.7065303643919796E-3</c:v>
                </c:pt>
                <c:pt idx="345">
                  <c:v>1.7024514339822863E-3</c:v>
                </c:pt>
                <c:pt idx="346">
                  <c:v>1.6969865289828137E-3</c:v>
                </c:pt>
                <c:pt idx="347">
                  <c:v>1.6901627186778933E-3</c:v>
                </c:pt>
                <c:pt idx="348">
                  <c:v>1.6820106082346233E-3</c:v>
                </c:pt>
                <c:pt idx="349">
                  <c:v>1.6725640663480883E-3</c:v>
                </c:pt>
                <c:pt idx="350">
                  <c:v>1.6618599320075342E-3</c:v>
                </c:pt>
                <c:pt idx="351">
                  <c:v>1.6508246855533796E-3</c:v>
                </c:pt>
                <c:pt idx="352">
                  <c:v>1.6410504131641167E-3</c:v>
                </c:pt>
                <c:pt idx="353">
                  <c:v>1.6325580381913798E-3</c:v>
                </c:pt>
                <c:pt idx="354">
                  <c:v>1.6253659349675308E-3</c:v>
                </c:pt>
                <c:pt idx="355">
                  <c:v>1.6194900785329327E-3</c:v>
                </c:pt>
                <c:pt idx="356">
                  <c:v>1.6149294500236251E-3</c:v>
                </c:pt>
                <c:pt idx="357">
                  <c:v>1.6117086790004779E-3</c:v>
                </c:pt>
                <c:pt idx="358">
                  <c:v>1.6095394788083839E-3</c:v>
                </c:pt>
                <c:pt idx="359">
                  <c:v>1.6081786067057811E-3</c:v>
                </c:pt>
                <c:pt idx="360">
                  <c:v>1.6061874198794665E-3</c:v>
                </c:pt>
                <c:pt idx="361">
                  <c:v>1.6028071291345131E-3</c:v>
                </c:pt>
                <c:pt idx="362">
                  <c:v>1.598145544937766E-3</c:v>
                </c:pt>
                <c:pt idx="363">
                  <c:v>1.5923109854742868E-3</c:v>
                </c:pt>
                <c:pt idx="364">
                  <c:v>1.5854111621755771E-3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526936"/>
        <c:axId val="242527328"/>
      </c:lineChart>
      <c:dateAx>
        <c:axId val="242526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7328"/>
        <c:crosses val="autoZero"/>
        <c:auto val="1"/>
        <c:lblOffset val="100"/>
        <c:baseTimeUnit val="days"/>
        <c:majorUnit val="1"/>
        <c:majorTimeUnit val="months"/>
      </c:dateAx>
      <c:valAx>
        <c:axId val="2425273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5269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00904"/>
        <c:axId val="242802472"/>
      </c:lineChart>
      <c:dateAx>
        <c:axId val="242800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80247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24280247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800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8.8791016788630356E-3</c:v>
                </c:pt>
                <c:pt idx="1">
                  <c:v>8.4111513235046245E-3</c:v>
                </c:pt>
                <c:pt idx="2">
                  <c:v>7.9394884766269616E-3</c:v>
                </c:pt>
                <c:pt idx="3">
                  <c:v>7.4640807895244073E-3</c:v>
                </c:pt>
                <c:pt idx="4">
                  <c:v>6.9849007158065959E-3</c:v>
                </c:pt>
                <c:pt idx="5">
                  <c:v>6.501925595948913E-3</c:v>
                </c:pt>
                <c:pt idx="6">
                  <c:v>6.0151377419265144E-3</c:v>
                </c:pt>
                <c:pt idx="7">
                  <c:v>5.5245245216931594E-3</c:v>
                </c:pt>
                <c:pt idx="8">
                  <c:v>5.0300784437656261E-3</c:v>
                </c:pt>
                <c:pt idx="9">
                  <c:v>4.5576343572666213E-3</c:v>
                </c:pt>
                <c:pt idx="10">
                  <c:v>4.1320726907236264E-3</c:v>
                </c:pt>
                <c:pt idx="11">
                  <c:v>3.7534637105510172E-3</c:v>
                </c:pt>
                <c:pt idx="12">
                  <c:v>3.421876988041311E-3</c:v>
                </c:pt>
                <c:pt idx="13">
                  <c:v>3.1373801955196742E-3</c:v>
                </c:pt>
                <c:pt idx="14">
                  <c:v>2.900037902446998E-3</c:v>
                </c:pt>
                <c:pt idx="15">
                  <c:v>2.712987292004585E-3</c:v>
                </c:pt>
                <c:pt idx="16">
                  <c:v>2.5547228116979616E-3</c:v>
                </c:pt>
                <c:pt idx="17">
                  <c:v>2.4252777912153883E-3</c:v>
                </c:pt>
                <c:pt idx="18">
                  <c:v>2.3246814494286869E-3</c:v>
                </c:pt>
                <c:pt idx="19">
                  <c:v>2.2529707261711822E-3</c:v>
                </c:pt>
                <c:pt idx="20">
                  <c:v>2.2101815943121462E-3</c:v>
                </c:pt>
                <c:pt idx="21">
                  <c:v>2.1963347460880402E-3</c:v>
                </c:pt>
                <c:pt idx="22">
                  <c:v>2.2114464279610396E-3</c:v>
                </c:pt>
                <c:pt idx="23">
                  <c:v>2.2549513078918173E-3</c:v>
                </c:pt>
                <c:pt idx="24">
                  <c:v>2.3009206500066337E-3</c:v>
                </c:pt>
                <c:pt idx="25">
                  <c:v>2.349355083908477E-3</c:v>
                </c:pt>
                <c:pt idx="26">
                  <c:v>2.4002551783669735E-3</c:v>
                </c:pt>
                <c:pt idx="27">
                  <c:v>2.4536214726039304E-3</c:v>
                </c:pt>
                <c:pt idx="28">
                  <c:v>2.5094545076297724E-3</c:v>
                </c:pt>
                <c:pt idx="29">
                  <c:v>2.5648676590492602E-3</c:v>
                </c:pt>
                <c:pt idx="30">
                  <c:v>2.6167797335191205E-3</c:v>
                </c:pt>
                <c:pt idx="31">
                  <c:v>2.6651922075034344E-3</c:v>
                </c:pt>
                <c:pt idx="32">
                  <c:v>2.7101070624538366E-3</c:v>
                </c:pt>
                <c:pt idx="33">
                  <c:v>2.7515267414894781E-3</c:v>
                </c:pt>
                <c:pt idx="34">
                  <c:v>2.7894541060892058E-3</c:v>
                </c:pt>
                <c:pt idx="35">
                  <c:v>2.8238923927820705E-3</c:v>
                </c:pt>
                <c:pt idx="36">
                  <c:v>2.8548451698322819E-3</c:v>
                </c:pt>
                <c:pt idx="37">
                  <c:v>2.8847581750299878E-3</c:v>
                </c:pt>
                <c:pt idx="38">
                  <c:v>2.9142121685425105E-3</c:v>
                </c:pt>
                <c:pt idx="39">
                  <c:v>2.9432106385809463E-3</c:v>
                </c:pt>
                <c:pt idx="40">
                  <c:v>2.9717572267198623E-3</c:v>
                </c:pt>
                <c:pt idx="41">
                  <c:v>2.9998557223617807E-3</c:v>
                </c:pt>
                <c:pt idx="42">
                  <c:v>3.0275100571817196E-3</c:v>
                </c:pt>
                <c:pt idx="43">
                  <c:v>3.051509807661217E-3</c:v>
                </c:pt>
                <c:pt idx="44">
                  <c:v>3.0747440796037666E-3</c:v>
                </c:pt>
                <c:pt idx="45">
                  <c:v>3.0972172215801455E-3</c:v>
                </c:pt>
                <c:pt idx="46">
                  <c:v>3.1189336731381151E-3</c:v>
                </c:pt>
                <c:pt idx="47">
                  <c:v>3.1398979551410106E-3</c:v>
                </c:pt>
                <c:pt idx="48">
                  <c:v>3.1601146600659649E-3</c:v>
                </c:pt>
                <c:pt idx="49">
                  <c:v>3.1795884423301908E-3</c:v>
                </c:pt>
                <c:pt idx="50">
                  <c:v>3.1983240085980808E-3</c:v>
                </c:pt>
                <c:pt idx="51">
                  <c:v>3.2069010991589843E-3</c:v>
                </c:pt>
                <c:pt idx="52">
                  <c:v>3.2028674236117354E-3</c:v>
                </c:pt>
                <c:pt idx="53">
                  <c:v>3.1862062340354859E-3</c:v>
                </c:pt>
                <c:pt idx="54">
                  <c:v>3.1569164039052405E-3</c:v>
                </c:pt>
                <c:pt idx="55">
                  <c:v>3.1149966228591112E-3</c:v>
                </c:pt>
                <c:pt idx="56">
                  <c:v>3.0604454434529547E-3</c:v>
                </c:pt>
                <c:pt idx="57">
                  <c:v>2.9941430634850357E-3</c:v>
                </c:pt>
                <c:pt idx="58">
                  <c:v>2.9193010221244381E-3</c:v>
                </c:pt>
                <c:pt idx="59">
                  <c:v>2.835917821598085E-3</c:v>
                </c:pt>
                <c:pt idx="60">
                  <c:v>2.7439920288076032E-3</c:v>
                </c:pt>
                <c:pt idx="61">
                  <c:v>2.6435223069366971E-3</c:v>
                </c:pt>
                <c:pt idx="62">
                  <c:v>2.534507447054522E-3</c:v>
                </c:pt>
                <c:pt idx="63">
                  <c:v>2.416946399727071E-3</c:v>
                </c:pt>
                <c:pt idx="64">
                  <c:v>2.2908383066181236E-3</c:v>
                </c:pt>
                <c:pt idx="65">
                  <c:v>2.1596488657016182E-3</c:v>
                </c:pt>
                <c:pt idx="66">
                  <c:v>2.0328031428347012E-3</c:v>
                </c:pt>
                <c:pt idx="67">
                  <c:v>1.9103010683553421E-3</c:v>
                </c:pt>
                <c:pt idx="68">
                  <c:v>1.7921427065704135E-3</c:v>
                </c:pt>
                <c:pt idx="69">
                  <c:v>1.6783282396635986E-3</c:v>
                </c:pt>
                <c:pt idx="70">
                  <c:v>1.5688579516128516E-3</c:v>
                </c:pt>
                <c:pt idx="71">
                  <c:v>1.4645337790184475E-3</c:v>
                </c:pt>
                <c:pt idx="72">
                  <c:v>1.3644743754794941E-3</c:v>
                </c:pt>
                <c:pt idx="73">
                  <c:v>1.2686802282267575E-3</c:v>
                </c:pt>
                <c:pt idx="74">
                  <c:v>1.1771518629335497E-3</c:v>
                </c:pt>
                <c:pt idx="75">
                  <c:v>1.0898898279288367E-3</c:v>
                </c:pt>
                <c:pt idx="76">
                  <c:v>1.0068946784064247E-3</c:v>
                </c:pt>
                <c:pt idx="77">
                  <c:v>9.2816696063796947E-4</c:v>
                </c:pt>
                <c:pt idx="78">
                  <c:v>8.5370722452630531E-4</c:v>
                </c:pt>
                <c:pt idx="79">
                  <c:v>7.8512101170454213E-4</c:v>
                </c:pt>
                <c:pt idx="80">
                  <c:v>7.1894444097689682E-4</c:v>
                </c:pt>
                <c:pt idx="81">
                  <c:v>6.5517697446774504E-4</c:v>
                </c:pt>
                <c:pt idx="82">
                  <c:v>5.9381815211052142E-4</c:v>
                </c:pt>
                <c:pt idx="83">
                  <c:v>5.3486758394831165E-4</c:v>
                </c:pt>
                <c:pt idx="84">
                  <c:v>4.7832494243634123E-4</c:v>
                </c:pt>
                <c:pt idx="85">
                  <c:v>4.2591873933126636E-4</c:v>
                </c:pt>
                <c:pt idx="86">
                  <c:v>3.7684737716026226E-4</c:v>
                </c:pt>
                <c:pt idx="87">
                  <c:v>3.3111050067872929E-4</c:v>
                </c:pt>
                <c:pt idx="88">
                  <c:v>2.8870776947115034E-4</c:v>
                </c:pt>
                <c:pt idx="89">
                  <c:v>2.4963884727995436E-4</c:v>
                </c:pt>
                <c:pt idx="90">
                  <c:v>2.1390339133381625E-4</c:v>
                </c:pt>
                <c:pt idx="91">
                  <c:v>1.8150104167696514E-4</c:v>
                </c:pt>
                <c:pt idx="92">
                  <c:v>1.5243141049763143E-4</c:v>
                </c:pt>
                <c:pt idx="93">
                  <c:v>1.281073410418383E-4</c:v>
                </c:pt>
                <c:pt idx="94">
                  <c:v>1.0692744806346284E-4</c:v>
                </c:pt>
                <c:pt idx="95">
                  <c:v>8.8891224065601956E-5</c:v>
                </c:pt>
                <c:pt idx="96">
                  <c:v>7.3998095026863526E-5</c:v>
                </c:pt>
                <c:pt idx="97">
                  <c:v>6.2247410331522696E-5</c:v>
                </c:pt>
                <c:pt idx="98">
                  <c:v>5.3638432698756495E-5</c:v>
                </c:pt>
                <c:pt idx="99">
                  <c:v>4.9684398099394474E-5</c:v>
                </c:pt>
                <c:pt idx="100">
                  <c:v>4.8657127291659715E-5</c:v>
                </c:pt>
                <c:pt idx="101">
                  <c:v>5.0555609819573195E-5</c:v>
                </c:pt>
                <c:pt idx="102">
                  <c:v>5.5378715419698998E-5</c:v>
                </c:pt>
                <c:pt idx="103">
                  <c:v>6.3125184632918996E-5</c:v>
                </c:pt>
                <c:pt idx="104">
                  <c:v>7.3793619417424514E-5</c:v>
                </c:pt>
                <c:pt idx="105">
                  <c:v>8.7382473760599759E-5</c:v>
                </c:pt>
                <c:pt idx="106">
                  <c:v>1.0389004429160642E-4</c:v>
                </c:pt>
                <c:pt idx="107">
                  <c:v>1.2673200360732113E-4</c:v>
                </c:pt>
                <c:pt idx="108">
                  <c:v>1.5449385497377902E-4</c:v>
                </c:pt>
                <c:pt idx="109">
                  <c:v>1.8717213651930648E-4</c:v>
                </c:pt>
                <c:pt idx="110">
                  <c:v>2.2476371055511548E-4</c:v>
                </c:pt>
                <c:pt idx="111">
                  <c:v>2.6726561072688235E-4</c:v>
                </c:pt>
                <c:pt idx="112">
                  <c:v>3.1467427542579467E-4</c:v>
                </c:pt>
                <c:pt idx="113">
                  <c:v>3.7148244834052965E-4</c:v>
                </c:pt>
                <c:pt idx="114">
                  <c:v>4.3617307393812107E-4</c:v>
                </c:pt>
                <c:pt idx="115">
                  <c:v>5.0874001380927104E-4</c:v>
                </c:pt>
                <c:pt idx="116">
                  <c:v>5.8917682604608967E-4</c:v>
                </c:pt>
                <c:pt idx="117">
                  <c:v>6.7747674795055738E-4</c:v>
                </c:pt>
                <c:pt idx="118">
                  <c:v>7.7363267873880399E-4</c:v>
                </c:pt>
                <c:pt idx="119">
                  <c:v>8.7763716224643505E-4</c:v>
                </c:pt>
                <c:pt idx="120">
                  <c:v>9.8948236963225435E-4</c:v>
                </c:pt>
                <c:pt idx="121">
                  <c:v>1.1136975675785242E-3</c:v>
                </c:pt>
                <c:pt idx="122">
                  <c:v>1.2468643037631679E-3</c:v>
                </c:pt>
                <c:pt idx="123">
                  <c:v>1.3889725239531153E-3</c:v>
                </c:pt>
                <c:pt idx="124">
                  <c:v>1.5400116798662971E-3</c:v>
                </c:pt>
                <c:pt idx="125">
                  <c:v>1.6999707094116766E-3</c:v>
                </c:pt>
                <c:pt idx="126">
                  <c:v>1.8688380169109191E-3</c:v>
                </c:pt>
                <c:pt idx="127">
                  <c:v>2.05018772640884E-3</c:v>
                </c:pt>
                <c:pt idx="128">
                  <c:v>2.2395246280350481E-3</c:v>
                </c:pt>
                <c:pt idx="129">
                  <c:v>2.4368361627970184E-3</c:v>
                </c:pt>
                <c:pt idx="130">
                  <c:v>2.6421092011790592E-3</c:v>
                </c:pt>
                <c:pt idx="131">
                  <c:v>2.8553300253122732E-3</c:v>
                </c:pt>
                <c:pt idx="132">
                  <c:v>3.0764843111612283E-3</c:v>
                </c:pt>
                <c:pt idx="133">
                  <c:v>3.3055571107298751E-3</c:v>
                </c:pt>
                <c:pt idx="134">
                  <c:v>3.5425328342564557E-3</c:v>
                </c:pt>
                <c:pt idx="135">
                  <c:v>3.7885423895178826E-3</c:v>
                </c:pt>
                <c:pt idx="136">
                  <c:v>4.0390515856703882E-3</c:v>
                </c:pt>
                <c:pt idx="137">
                  <c:v>4.2940467044600521E-3</c:v>
                </c:pt>
                <c:pt idx="138">
                  <c:v>4.5535135202711251E-3</c:v>
                </c:pt>
                <c:pt idx="139">
                  <c:v>4.817437289841243E-3</c:v>
                </c:pt>
                <c:pt idx="140">
                  <c:v>5.0858027417293641E-3</c:v>
                </c:pt>
                <c:pt idx="141">
                  <c:v>5.3570350359561682E-3</c:v>
                </c:pt>
                <c:pt idx="142">
                  <c:v>5.6275225799992121E-3</c:v>
                </c:pt>
                <c:pt idx="143">
                  <c:v>5.8972246832314328E-3</c:v>
                </c:pt>
                <c:pt idx="144">
                  <c:v>6.1661327964860832E-3</c:v>
                </c:pt>
                <c:pt idx="145">
                  <c:v>6.4342398837605843E-3</c:v>
                </c:pt>
                <c:pt idx="146">
                  <c:v>6.7015404165431244E-3</c:v>
                </c:pt>
                <c:pt idx="147">
                  <c:v>6.9680303683478956E-3</c:v>
                </c:pt>
                <c:pt idx="148">
                  <c:v>7.2337072091038131E-3</c:v>
                </c:pt>
                <c:pt idx="149">
                  <c:v>7.4946889268712926E-3</c:v>
                </c:pt>
                <c:pt idx="150">
                  <c:v>7.7498437832333403E-3</c:v>
                </c:pt>
                <c:pt idx="151">
                  <c:v>7.9991827929826523E-3</c:v>
                </c:pt>
                <c:pt idx="152">
                  <c:v>8.2427187031003102E-3</c:v>
                </c:pt>
                <c:pt idx="153">
                  <c:v>8.4804659194422215E-3</c:v>
                </c:pt>
                <c:pt idx="154">
                  <c:v>8.7124404334677618E-3</c:v>
                </c:pt>
                <c:pt idx="155">
                  <c:v>8.9323956467328713E-3</c:v>
                </c:pt>
                <c:pt idx="156">
                  <c:v>9.14190833398143E-3</c:v>
                </c:pt>
                <c:pt idx="157">
                  <c:v>9.3410078075259178E-3</c:v>
                </c:pt>
                <c:pt idx="158">
                  <c:v>9.5297246714685056E-3</c:v>
                </c:pt>
                <c:pt idx="159">
                  <c:v>9.7080906845172336E-3</c:v>
                </c:pt>
                <c:pt idx="160">
                  <c:v>9.8761386229182738E-3</c:v>
                </c:pt>
                <c:pt idx="161">
                  <c:v>1.0033902143281538E-2</c:v>
                </c:pt>
                <c:pt idx="162">
                  <c:v>1.018141564545671E-2</c:v>
                </c:pt>
                <c:pt idx="163">
                  <c:v>1.0311631480779638E-2</c:v>
                </c:pt>
                <c:pt idx="164">
                  <c:v>1.0428443204567978E-2</c:v>
                </c:pt>
                <c:pt idx="165">
                  <c:v>1.0531892341901401E-2</c:v>
                </c:pt>
                <c:pt idx="166">
                  <c:v>1.0622020385711591E-2</c:v>
                </c:pt>
                <c:pt idx="167">
                  <c:v>1.0698868615467467E-2</c:v>
                </c:pt>
                <c:pt idx="168">
                  <c:v>1.0762477916196844E-2</c:v>
                </c:pt>
                <c:pt idx="169">
                  <c:v>1.0805831031277429E-2</c:v>
                </c:pt>
                <c:pt idx="170">
                  <c:v>1.0835186168761054E-2</c:v>
                </c:pt>
                <c:pt idx="171">
                  <c:v>1.0850582941087268E-2</c:v>
                </c:pt>
                <c:pt idx="172">
                  <c:v>1.0852059711941399E-2</c:v>
                </c:pt>
                <c:pt idx="173">
                  <c:v>1.0839542557021209E-2</c:v>
                </c:pt>
                <c:pt idx="174">
                  <c:v>1.0812951139934338E-2</c:v>
                </c:pt>
                <c:pt idx="175">
                  <c:v>1.0772313133777115E-2</c:v>
                </c:pt>
                <c:pt idx="176">
                  <c:v>1.0717656118947106E-2</c:v>
                </c:pt>
                <c:pt idx="177">
                  <c:v>1.0642822531550937E-2</c:v>
                </c:pt>
                <c:pt idx="178">
                  <c:v>1.055487388519199E-2</c:v>
                </c:pt>
                <c:pt idx="179">
                  <c:v>1.0453835675495533E-2</c:v>
                </c:pt>
                <c:pt idx="180">
                  <c:v>1.0339732977180618E-2</c:v>
                </c:pt>
                <c:pt idx="181">
                  <c:v>1.0212590366432676E-2</c:v>
                </c:pt>
                <c:pt idx="182">
                  <c:v>1.007243184336807E-2</c:v>
                </c:pt>
                <c:pt idx="183">
                  <c:v>9.9154740417996892E-3</c:v>
                </c:pt>
                <c:pt idx="184">
                  <c:v>9.7487495015232076E-3</c:v>
                </c:pt>
                <c:pt idx="185">
                  <c:v>9.5722754291366185E-3</c:v>
                </c:pt>
                <c:pt idx="186">
                  <c:v>9.3860682663737139E-3</c:v>
                </c:pt>
                <c:pt idx="187">
                  <c:v>9.1901436314281194E-3</c:v>
                </c:pt>
                <c:pt idx="188">
                  <c:v>8.9845162603246643E-3</c:v>
                </c:pt>
                <c:pt idx="189">
                  <c:v>8.7691999480100299E-3</c:v>
                </c:pt>
                <c:pt idx="190">
                  <c:v>8.5442074898342147E-3</c:v>
                </c:pt>
                <c:pt idx="191">
                  <c:v>8.3080332248466424E-3</c:v>
                </c:pt>
                <c:pt idx="192">
                  <c:v>8.0668315065805362E-3</c:v>
                </c:pt>
                <c:pt idx="193">
                  <c:v>7.8206061458992292E-3</c:v>
                </c:pt>
                <c:pt idx="194">
                  <c:v>7.5693600359726144E-3</c:v>
                </c:pt>
                <c:pt idx="195">
                  <c:v>7.313095121076728E-3</c:v>
                </c:pt>
                <c:pt idx="196">
                  <c:v>7.0518123650871066E-3</c:v>
                </c:pt>
                <c:pt idx="197">
                  <c:v>6.7866229641511747E-3</c:v>
                </c:pt>
                <c:pt idx="198">
                  <c:v>6.5213076253935985E-3</c:v>
                </c:pt>
                <c:pt idx="199">
                  <c:v>6.2558594613055518E-3</c:v>
                </c:pt>
                <c:pt idx="200">
                  <c:v>5.9902709255146716E-3</c:v>
                </c:pt>
                <c:pt idx="201">
                  <c:v>5.724533810336687E-3</c:v>
                </c:pt>
                <c:pt idx="202">
                  <c:v>5.4586392443735409E-3</c:v>
                </c:pt>
                <c:pt idx="203">
                  <c:v>5.1925776902329666E-3</c:v>
                </c:pt>
                <c:pt idx="204">
                  <c:v>4.9263309868432907E-3</c:v>
                </c:pt>
                <c:pt idx="205">
                  <c:v>4.6633359421214739E-3</c:v>
                </c:pt>
                <c:pt idx="206">
                  <c:v>4.4050879611485681E-3</c:v>
                </c:pt>
                <c:pt idx="207">
                  <c:v>4.1515719853219904E-3</c:v>
                </c:pt>
                <c:pt idx="208">
                  <c:v>3.9027736470885034E-3</c:v>
                </c:pt>
                <c:pt idx="209">
                  <c:v>3.6586792557311929E-3</c:v>
                </c:pt>
                <c:pt idx="210">
                  <c:v>3.4192757832896335E-3</c:v>
                </c:pt>
                <c:pt idx="211">
                  <c:v>3.1889122861311955E-3</c:v>
                </c:pt>
                <c:pt idx="212">
                  <c:v>2.9664678591849424E-3</c:v>
                </c:pt>
                <c:pt idx="213">
                  <c:v>2.7519302822217322E-3</c:v>
                </c:pt>
                <c:pt idx="214">
                  <c:v>2.5452881605289549E-3</c:v>
                </c:pt>
                <c:pt idx="215">
                  <c:v>2.3465309006575632E-3</c:v>
                </c:pt>
                <c:pt idx="216">
                  <c:v>2.1556486861570748E-3</c:v>
                </c:pt>
                <c:pt idx="217">
                  <c:v>1.9726324533184455E-3</c:v>
                </c:pt>
                <c:pt idx="218">
                  <c:v>1.7974738669031278E-3</c:v>
                </c:pt>
                <c:pt idx="219">
                  <c:v>1.6344757746820135E-3</c:v>
                </c:pt>
                <c:pt idx="220">
                  <c:v>1.480180577068312E-3</c:v>
                </c:pt>
                <c:pt idx="221">
                  <c:v>1.3345819843464761E-3</c:v>
                </c:pt>
                <c:pt idx="222">
                  <c:v>1.1976743795099141E-3</c:v>
                </c:pt>
                <c:pt idx="223">
                  <c:v>1.0694527913497375E-3</c:v>
                </c:pt>
                <c:pt idx="224">
                  <c:v>9.4991286750611872E-4</c:v>
                </c:pt>
                <c:pt idx="225">
                  <c:v>8.423225527288816E-4</c:v>
                </c:pt>
                <c:pt idx="226">
                  <c:v>7.4232154207612997E-4</c:v>
                </c:pt>
                <c:pt idx="227">
                  <c:v>6.4990723553750445E-4</c:v>
                </c:pt>
                <c:pt idx="228">
                  <c:v>5.6507749338849129E-4</c:v>
                </c:pt>
                <c:pt idx="229">
                  <c:v>4.8783061261792565E-4</c:v>
                </c:pt>
                <c:pt idx="230">
                  <c:v>4.1816530336760064E-4</c:v>
                </c:pt>
                <c:pt idx="231">
                  <c:v>3.5608066537076699E-4</c:v>
                </c:pt>
                <c:pt idx="232">
                  <c:v>3.0157616438145323E-4</c:v>
                </c:pt>
                <c:pt idx="233">
                  <c:v>2.5609967625461738E-4</c:v>
                </c:pt>
                <c:pt idx="234">
                  <c:v>2.1534092899232527E-4</c:v>
                </c:pt>
                <c:pt idx="235">
                  <c:v>1.7930005074913728E-4</c:v>
                </c:pt>
                <c:pt idx="236">
                  <c:v>1.4797730601083905E-4</c:v>
                </c:pt>
                <c:pt idx="237">
                  <c:v>1.2137295815853034E-4</c:v>
                </c:pt>
                <c:pt idx="238">
                  <c:v>9.9487442887895809E-5</c:v>
                </c:pt>
                <c:pt idx="239">
                  <c:v>8.3672795640433835E-5</c:v>
                </c:pt>
                <c:pt idx="240">
                  <c:v>7.0656351029176561E-5</c:v>
                </c:pt>
                <c:pt idx="241">
                  <c:v>6.0438583681891861E-5</c:v>
                </c:pt>
                <c:pt idx="242">
                  <c:v>5.3020086187219122E-5</c:v>
                </c:pt>
                <c:pt idx="243">
                  <c:v>4.840157403689936E-5</c:v>
                </c:pt>
                <c:pt idx="244">
                  <c:v>4.6583890567307864E-5</c:v>
                </c:pt>
                <c:pt idx="245">
                  <c:v>4.7568011900584294E-5</c:v>
                </c:pt>
                <c:pt idx="246">
                  <c:v>5.1355051885754609E-5</c:v>
                </c:pt>
                <c:pt idx="247">
                  <c:v>5.960008669202953E-5</c:v>
                </c:pt>
                <c:pt idx="248">
                  <c:v>7.0855076739253866E-5</c:v>
                </c:pt>
                <c:pt idx="249">
                  <c:v>8.5121722683917538E-5</c:v>
                </c:pt>
                <c:pt idx="250">
                  <c:v>1.0240189495768672E-4</c:v>
                </c:pt>
                <c:pt idx="251">
                  <c:v>1.2269763907031095E-4</c:v>
                </c:pt>
                <c:pt idx="252">
                  <c:v>1.4601118090940018E-4</c:v>
                </c:pt>
                <c:pt idx="253">
                  <c:v>1.738786326050181E-4</c:v>
                </c:pt>
                <c:pt idx="254">
                  <c:v>2.0494915920974953E-4</c:v>
                </c:pt>
                <c:pt idx="255">
                  <c:v>2.392257239437471E-4</c:v>
                </c:pt>
                <c:pt idx="256">
                  <c:v>2.7671150361221423E-4</c:v>
                </c:pt>
                <c:pt idx="257">
                  <c:v>3.1740989422060452E-4</c:v>
                </c:pt>
                <c:pt idx="258">
                  <c:v>3.6132451659124119E-4</c:v>
                </c:pt>
                <c:pt idx="259">
                  <c:v>4.0845922198565752E-4</c:v>
                </c:pt>
                <c:pt idx="260">
                  <c:v>4.5881809771725155E-4</c:v>
                </c:pt>
                <c:pt idx="261">
                  <c:v>5.1317419339830294E-4</c:v>
                </c:pt>
                <c:pt idx="262">
                  <c:v>5.6987343790043188E-4</c:v>
                </c:pt>
                <c:pt idx="263">
                  <c:v>6.2891987077996823E-4</c:v>
                </c:pt>
                <c:pt idx="264">
                  <c:v>6.90317762258321E-4</c:v>
                </c:pt>
                <c:pt idx="265">
                  <c:v>7.5407563708777326E-4</c:v>
                </c:pt>
                <c:pt idx="266">
                  <c:v>8.2020149873284257E-4</c:v>
                </c:pt>
                <c:pt idx="267">
                  <c:v>8.9203159846294538E-4</c:v>
                </c:pt>
                <c:pt idx="268">
                  <c:v>9.6803488364443236E-4</c:v>
                </c:pt>
                <c:pt idx="269">
                  <c:v>1.0482190611462484E-3</c:v>
                </c:pt>
                <c:pt idx="270">
                  <c:v>1.1325919083609776E-3</c:v>
                </c:pt>
                <c:pt idx="271">
                  <c:v>1.221161228003012E-3</c:v>
                </c:pt>
                <c:pt idx="272">
                  <c:v>1.3139348029324257E-3</c:v>
                </c:pt>
                <c:pt idx="273">
                  <c:v>1.4109203509646534E-3</c:v>
                </c:pt>
                <c:pt idx="274">
                  <c:v>1.5121254796965362E-3</c:v>
                </c:pt>
                <c:pt idx="275">
                  <c:v>1.6184079391061085E-3</c:v>
                </c:pt>
                <c:pt idx="276">
                  <c:v>1.7290028934952865E-3</c:v>
                </c:pt>
                <c:pt idx="277">
                  <c:v>1.8439174849594086E-3</c:v>
                </c:pt>
                <c:pt idx="278">
                  <c:v>1.9631585640822609E-3</c:v>
                </c:pt>
                <c:pt idx="279">
                  <c:v>2.0867326438980642E-3</c:v>
                </c:pt>
                <c:pt idx="280">
                  <c:v>2.2146458538717709E-3</c:v>
                </c:pt>
                <c:pt idx="281">
                  <c:v>2.337787302373732E-3</c:v>
                </c:pt>
                <c:pt idx="282">
                  <c:v>2.4527934264437683E-3</c:v>
                </c:pt>
                <c:pt idx="283">
                  <c:v>2.5596493259999772E-3</c:v>
                </c:pt>
                <c:pt idx="284">
                  <c:v>2.6583395545074231E-3</c:v>
                </c:pt>
                <c:pt idx="285">
                  <c:v>2.7488482094173657E-3</c:v>
                </c:pt>
                <c:pt idx="286">
                  <c:v>2.8311590226319139E-3</c:v>
                </c:pt>
                <c:pt idx="287">
                  <c:v>2.9052554509430826E-3</c:v>
                </c:pt>
                <c:pt idx="288">
                  <c:v>2.9711207664813574E-3</c:v>
                </c:pt>
                <c:pt idx="289">
                  <c:v>3.025617270541845E-3</c:v>
                </c:pt>
                <c:pt idx="290">
                  <c:v>3.0678666000202828E-3</c:v>
                </c:pt>
                <c:pt idx="291">
                  <c:v>3.0978462102553127E-3</c:v>
                </c:pt>
                <c:pt idx="292">
                  <c:v>3.1155339494800434E-3</c:v>
                </c:pt>
                <c:pt idx="293">
                  <c:v>3.1209081926337114E-3</c:v>
                </c:pt>
                <c:pt idx="294">
                  <c:v>3.1139479751615862E-3</c:v>
                </c:pt>
                <c:pt idx="295">
                  <c:v>3.0970097581969548E-3</c:v>
                </c:pt>
                <c:pt idx="296">
                  <c:v>3.0792993821869238E-3</c:v>
                </c:pt>
                <c:pt idx="297">
                  <c:v>3.0608383316223921E-3</c:v>
                </c:pt>
                <c:pt idx="298">
                  <c:v>3.0416223634772478E-3</c:v>
                </c:pt>
                <c:pt idx="299">
                  <c:v>3.0216472830612378E-3</c:v>
                </c:pt>
                <c:pt idx="300">
                  <c:v>3.0009089509888502E-3</c:v>
                </c:pt>
                <c:pt idx="301">
                  <c:v>2.9794032901389158E-3</c:v>
                </c:pt>
                <c:pt idx="302">
                  <c:v>2.9571262926210164E-3</c:v>
                </c:pt>
                <c:pt idx="303">
                  <c:v>2.9312551396421501E-3</c:v>
                </c:pt>
                <c:pt idx="304">
                  <c:v>2.9049249724495529E-3</c:v>
                </c:pt>
                <c:pt idx="305">
                  <c:v>2.8781324986218498E-3</c:v>
                </c:pt>
                <c:pt idx="306">
                  <c:v>2.8508745302184449E-3</c:v>
                </c:pt>
                <c:pt idx="307">
                  <c:v>2.8231479877777943E-3</c:v>
                </c:pt>
                <c:pt idx="308">
                  <c:v>2.7949499042918538E-3</c:v>
                </c:pt>
                <c:pt idx="309">
                  <c:v>2.7657118951183932E-3</c:v>
                </c:pt>
                <c:pt idx="310">
                  <c:v>2.7330374034748753E-3</c:v>
                </c:pt>
                <c:pt idx="311">
                  <c:v>2.6969198265181043E-3</c:v>
                </c:pt>
                <c:pt idx="312">
                  <c:v>2.6573528169423115E-3</c:v>
                </c:pt>
                <c:pt idx="313">
                  <c:v>2.6143303141359553E-3</c:v>
                </c:pt>
                <c:pt idx="314">
                  <c:v>2.5678465753140012E-3</c:v>
                </c:pt>
                <c:pt idx="315">
                  <c:v>2.5178962066832542E-3</c:v>
                </c:pt>
                <c:pt idx="316">
                  <c:v>2.4644741945672897E-3</c:v>
                </c:pt>
                <c:pt idx="317">
                  <c:v>2.4106040216054546E-3</c:v>
                </c:pt>
                <c:pt idx="318">
                  <c:v>2.3591226726912841E-3</c:v>
                </c:pt>
                <c:pt idx="319">
                  <c:v>2.310032820161408E-3</c:v>
                </c:pt>
                <c:pt idx="320">
                  <c:v>2.2633371253255249E-3</c:v>
                </c:pt>
                <c:pt idx="321">
                  <c:v>2.2190382159598598E-3</c:v>
                </c:pt>
                <c:pt idx="322">
                  <c:v>2.1771386638090306E-3</c:v>
                </c:pt>
                <c:pt idx="323">
                  <c:v>2.1631789899091056E-3</c:v>
                </c:pt>
                <c:pt idx="324">
                  <c:v>2.1777523844013057E-3</c:v>
                </c:pt>
                <c:pt idx="325">
                  <c:v>2.2208805313672975E-3</c:v>
                </c:pt>
                <c:pt idx="326">
                  <c:v>2.292567500022059E-3</c:v>
                </c:pt>
                <c:pt idx="327">
                  <c:v>2.3928211581950593E-3</c:v>
                </c:pt>
                <c:pt idx="328">
                  <c:v>2.5216562562895149E-3</c:v>
                </c:pt>
                <c:pt idx="329">
                  <c:v>2.6790838490437941E-3</c:v>
                </c:pt>
                <c:pt idx="330">
                  <c:v>2.8651118907965581E-3</c:v>
                </c:pt>
                <c:pt idx="331">
                  <c:v>3.1010385553712216E-3</c:v>
                </c:pt>
                <c:pt idx="332">
                  <c:v>3.3838340940877173E-3</c:v>
                </c:pt>
                <c:pt idx="333">
                  <c:v>3.713504114158191E-3</c:v>
                </c:pt>
                <c:pt idx="334">
                  <c:v>4.0900520846860388E-3</c:v>
                </c:pt>
                <c:pt idx="335">
                  <c:v>4.513480311668345E-3</c:v>
                </c:pt>
                <c:pt idx="336">
                  <c:v>4.9837909129522998E-3</c:v>
                </c:pt>
                <c:pt idx="337">
                  <c:v>5.4763922845132299E-3</c:v>
                </c:pt>
                <c:pt idx="338">
                  <c:v>5.9656973690614739E-3</c:v>
                </c:pt>
                <c:pt idx="339">
                  <c:v>6.4517101219703664E-3</c:v>
                </c:pt>
                <c:pt idx="340">
                  <c:v>6.9344386355182398E-3</c:v>
                </c:pt>
                <c:pt idx="341">
                  <c:v>7.4138950704240782E-3</c:v>
                </c:pt>
                <c:pt idx="342">
                  <c:v>7.8900955873883061E-3</c:v>
                </c:pt>
                <c:pt idx="343">
                  <c:v>8.3630602785415599E-3</c:v>
                </c:pt>
                <c:pt idx="344">
                  <c:v>8.8328130990068549E-3</c:v>
                </c:pt>
                <c:pt idx="345">
                  <c:v>9.2993817983828015E-3</c:v>
                </c:pt>
                <c:pt idx="346">
                  <c:v>9.7202509838222543E-3</c:v>
                </c:pt>
                <c:pt idx="347">
                  <c:v>1.0095447311048725E-2</c:v>
                </c:pt>
                <c:pt idx="348">
                  <c:v>1.0424997313374406E-2</c:v>
                </c:pt>
                <c:pt idx="349">
                  <c:v>1.0708926448709006E-2</c:v>
                </c:pt>
                <c:pt idx="350">
                  <c:v>1.0947258146810166E-2</c:v>
                </c:pt>
                <c:pt idx="351">
                  <c:v>1.111876230054354E-2</c:v>
                </c:pt>
                <c:pt idx="352">
                  <c:v>1.1248062983959395E-2</c:v>
                </c:pt>
                <c:pt idx="353">
                  <c:v>1.1335172099667499E-2</c:v>
                </c:pt>
                <c:pt idx="354">
                  <c:v>1.1380096078834888E-2</c:v>
                </c:pt>
                <c:pt idx="355">
                  <c:v>1.1382834997588987E-2</c:v>
                </c:pt>
                <c:pt idx="356">
                  <c:v>1.1343389532925451E-2</c:v>
                </c:pt>
                <c:pt idx="357">
                  <c:v>1.1261719137346715E-2</c:v>
                </c:pt>
                <c:pt idx="358">
                  <c:v>1.113774840019742E-2</c:v>
                </c:pt>
                <c:pt idx="359">
                  <c:v>1.097139557362832E-2</c:v>
                </c:pt>
                <c:pt idx="360">
                  <c:v>1.0737899504664748E-2</c:v>
                </c:pt>
                <c:pt idx="361">
                  <c:v>1.0458450373224182E-2</c:v>
                </c:pt>
                <c:pt idx="362">
                  <c:v>1.0132948288249044E-2</c:v>
                </c:pt>
                <c:pt idx="363">
                  <c:v>9.761291306464635E-3</c:v>
                </c:pt>
                <c:pt idx="364">
                  <c:v>9.3433766091667019E-3</c:v>
                </c:pt>
                <c:pt idx="365" formatCode="0.0000">
                  <c:v>8.8791016788630356E-3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1.0027081438078282E-2</c:v>
                </c:pt>
                <c:pt idx="1">
                  <c:v>9.5272079119239905E-3</c:v>
                </c:pt>
                <c:pt idx="2">
                  <c:v>9.0245353854112691E-3</c:v>
                </c:pt>
                <c:pt idx="3">
                  <c:v>8.5190295947924766E-3</c:v>
                </c:pt>
                <c:pt idx="4">
                  <c:v>8.0106614151529299E-3</c:v>
                </c:pt>
                <c:pt idx="5">
                  <c:v>7.4994069210396657E-3</c:v>
                </c:pt>
                <c:pt idx="6">
                  <c:v>6.9852474471864918E-3</c:v>
                </c:pt>
                <c:pt idx="7">
                  <c:v>6.4681696490609215E-3</c:v>
                </c:pt>
                <c:pt idx="8">
                  <c:v>5.9481655635314499E-3</c:v>
                </c:pt>
                <c:pt idx="9">
                  <c:v>5.4524486120592431E-3</c:v>
                </c:pt>
                <c:pt idx="10">
                  <c:v>5.0075210535336021E-3</c:v>
                </c:pt>
                <c:pt idx="11">
                  <c:v>4.6134569278275797E-3</c:v>
                </c:pt>
                <c:pt idx="12">
                  <c:v>4.2703293610590757E-3</c:v>
                </c:pt>
                <c:pt idx="13">
                  <c:v>3.9782092615899779E-3</c:v>
                </c:pt>
                <c:pt idx="14">
                  <c:v>3.7371640159595235E-3</c:v>
                </c:pt>
                <c:pt idx="15">
                  <c:v>3.5497304309762383E-3</c:v>
                </c:pt>
                <c:pt idx="16">
                  <c:v>3.391837389665437E-3</c:v>
                </c:pt>
                <c:pt idx="17">
                  <c:v>3.2635167678583383E-3</c:v>
                </c:pt>
                <c:pt idx="18">
                  <c:v>3.1647961752958565E-3</c:v>
                </c:pt>
                <c:pt idx="19">
                  <c:v>3.0957154683649338E-3</c:v>
                </c:pt>
                <c:pt idx="20">
                  <c:v>3.056315549142128E-3</c:v>
                </c:pt>
                <c:pt idx="21">
                  <c:v>3.0466183123944459E-3</c:v>
                </c:pt>
                <c:pt idx="22">
                  <c:v>3.0666411096114538E-3</c:v>
                </c:pt>
                <c:pt idx="23">
                  <c:v>3.1173223883068425E-3</c:v>
                </c:pt>
                <c:pt idx="24">
                  <c:v>3.1713505352088979E-3</c:v>
                </c:pt>
                <c:pt idx="25">
                  <c:v>3.2287269821667576E-3</c:v>
                </c:pt>
                <c:pt idx="26">
                  <c:v>3.2894530360799705E-3</c:v>
                </c:pt>
                <c:pt idx="27">
                  <c:v>3.353529921418115E-3</c:v>
                </c:pt>
                <c:pt idx="28">
                  <c:v>3.4209588228103333E-3</c:v>
                </c:pt>
                <c:pt idx="29">
                  <c:v>3.4893325460873194E-3</c:v>
                </c:pt>
                <c:pt idx="30">
                  <c:v>3.5561741344220382E-3</c:v>
                </c:pt>
                <c:pt idx="31">
                  <c:v>3.6214855174829265E-3</c:v>
                </c:pt>
                <c:pt idx="32">
                  <c:v>3.6852690644959643E-3</c:v>
                </c:pt>
                <c:pt idx="33">
                  <c:v>3.7475275656983216E-3</c:v>
                </c:pt>
                <c:pt idx="34">
                  <c:v>3.8082642138085559E-3</c:v>
                </c:pt>
                <c:pt idx="35">
                  <c:v>3.8674825854945996E-3</c:v>
                </c:pt>
                <c:pt idx="36">
                  <c:v>3.9251866228342753E-3</c:v>
                </c:pt>
                <c:pt idx="37">
                  <c:v>3.981934852365504E-3</c:v>
                </c:pt>
                <c:pt idx="38">
                  <c:v>4.0368068129504305E-3</c:v>
                </c:pt>
                <c:pt idx="39">
                  <c:v>4.0898075261174309E-3</c:v>
                </c:pt>
                <c:pt idx="40">
                  <c:v>4.1409423095283386E-3</c:v>
                </c:pt>
                <c:pt idx="41">
                  <c:v>4.1902167538267676E-3</c:v>
                </c:pt>
                <c:pt idx="42">
                  <c:v>4.2376366994588974E-3</c:v>
                </c:pt>
                <c:pt idx="43">
                  <c:v>4.2796643297458676E-3</c:v>
                </c:pt>
                <c:pt idx="44">
                  <c:v>4.318712593007379E-3</c:v>
                </c:pt>
                <c:pt idx="45">
                  <c:v>4.3547881405364142E-3</c:v>
                </c:pt>
                <c:pt idx="46">
                  <c:v>4.3878977182334362E-3</c:v>
                </c:pt>
                <c:pt idx="47">
                  <c:v>4.4180481292236005E-3</c:v>
                </c:pt>
                <c:pt idx="48">
                  <c:v>4.4452461964172392E-3</c:v>
                </c:pt>
                <c:pt idx="49">
                  <c:v>4.4694987251097879E-3</c:v>
                </c:pt>
                <c:pt idx="50">
                  <c:v>4.4908124655547435E-3</c:v>
                </c:pt>
                <c:pt idx="51">
                  <c:v>4.4991948993474843E-3</c:v>
                </c:pt>
                <c:pt idx="52">
                  <c:v>4.4940742339157425E-3</c:v>
                </c:pt>
                <c:pt idx="53">
                  <c:v>4.4754268500221536E-3</c:v>
                </c:pt>
                <c:pt idx="54">
                  <c:v>4.4432511405252326E-3</c:v>
                </c:pt>
                <c:pt idx="55">
                  <c:v>4.3975453024737146E-3</c:v>
                </c:pt>
                <c:pt idx="56">
                  <c:v>4.3383073872029949E-3</c:v>
                </c:pt>
                <c:pt idx="57">
                  <c:v>4.2641935078140012E-3</c:v>
                </c:pt>
                <c:pt idx="58">
                  <c:v>4.1787439095327542E-3</c:v>
                </c:pt>
                <c:pt idx="59">
                  <c:v>4.0819565447714331E-3</c:v>
                </c:pt>
                <c:pt idx="60">
                  <c:v>3.9738294312264442E-3</c:v>
                </c:pt>
                <c:pt idx="61">
                  <c:v>3.8543606938367899E-3</c:v>
                </c:pt>
                <c:pt idx="62">
                  <c:v>3.7235486067365847E-3</c:v>
                </c:pt>
                <c:pt idx="63">
                  <c:v>3.5813916352192498E-3</c:v>
                </c:pt>
                <c:pt idx="64">
                  <c:v>3.4278884776864685E-3</c:v>
                </c:pt>
                <c:pt idx="65">
                  <c:v>3.2665097768326524E-3</c:v>
                </c:pt>
                <c:pt idx="66">
                  <c:v>3.1072544623642917E-3</c:v>
                </c:pt>
                <c:pt idx="67">
                  <c:v>2.9501222115268489E-3</c:v>
                </c:pt>
                <c:pt idx="68">
                  <c:v>2.7951129109218577E-3</c:v>
                </c:pt>
                <c:pt idx="69">
                  <c:v>2.6422266486180279E-3</c:v>
                </c:pt>
                <c:pt idx="70">
                  <c:v>2.4914637062769338E-3</c:v>
                </c:pt>
                <c:pt idx="71">
                  <c:v>2.3444493086341618E-3</c:v>
                </c:pt>
                <c:pt idx="72">
                  <c:v>2.2025258999528526E-3</c:v>
                </c:pt>
                <c:pt idx="73">
                  <c:v>2.0656941131221677E-3</c:v>
                </c:pt>
                <c:pt idx="74">
                  <c:v>1.9339546601299775E-3</c:v>
                </c:pt>
                <c:pt idx="75">
                  <c:v>1.8073083132120612E-3</c:v>
                </c:pt>
                <c:pt idx="76">
                  <c:v>1.6857558859949186E-3</c:v>
                </c:pt>
                <c:pt idx="77">
                  <c:v>1.5692982146448629E-3</c:v>
                </c:pt>
                <c:pt idx="78">
                  <c:v>1.4579361874160629E-3</c:v>
                </c:pt>
                <c:pt idx="79">
                  <c:v>1.3541594487514273E-3</c:v>
                </c:pt>
                <c:pt idx="80">
                  <c:v>1.2545000629359865E-3</c:v>
                </c:pt>
                <c:pt idx="81">
                  <c:v>1.1589570958952203E-3</c:v>
                </c:pt>
                <c:pt idx="82">
                  <c:v>1.06752972931052E-3</c:v>
                </c:pt>
                <c:pt idx="83">
                  <c:v>9.8021724745914608E-4</c:v>
                </c:pt>
                <c:pt idx="84">
                  <c:v>8.9701902405762632E-4</c:v>
                </c:pt>
                <c:pt idx="85">
                  <c:v>8.2283551467445188E-4</c:v>
                </c:pt>
                <c:pt idx="86">
                  <c:v>7.5604164434222296E-4</c:v>
                </c:pt>
                <c:pt idx="87">
                  <c:v>6.9663638833974398E-4</c:v>
                </c:pt>
                <c:pt idx="88">
                  <c:v>6.4461870099106078E-4</c:v>
                </c:pt>
                <c:pt idx="89">
                  <c:v>5.9998749200587383E-4</c:v>
                </c:pt>
                <c:pt idx="90">
                  <c:v>5.6274160281864175E-4</c:v>
                </c:pt>
                <c:pt idx="91">
                  <c:v>5.3287978293001985E-4</c:v>
                </c:pt>
                <c:pt idx="92">
                  <c:v>5.1040066624648717E-4</c:v>
                </c:pt>
                <c:pt idx="93">
                  <c:v>5.0088116599744539E-4</c:v>
                </c:pt>
                <c:pt idx="94">
                  <c:v>5.0183693983979092E-4</c:v>
                </c:pt>
                <c:pt idx="95">
                  <c:v>5.1326524965755705E-4</c:v>
                </c:pt>
                <c:pt idx="96">
                  <c:v>5.3516304361992458E-4</c:v>
                </c:pt>
                <c:pt idx="97">
                  <c:v>5.6752692259559882E-4</c:v>
                </c:pt>
                <c:pt idx="98">
                  <c:v>6.1035310656271915E-4</c:v>
                </c:pt>
                <c:pt idx="99">
                  <c:v>6.7013309042791966E-4</c:v>
                </c:pt>
                <c:pt idx="100">
                  <c:v>7.4196484586487458E-4</c:v>
                </c:pt>
                <c:pt idx="101">
                  <c:v>8.2584252931348012E-4</c:v>
                </c:pt>
                <c:pt idx="102">
                  <c:v>9.2175970536661318E-4</c:v>
                </c:pt>
                <c:pt idx="103">
                  <c:v>1.029709308040439E-3</c:v>
                </c:pt>
                <c:pt idx="104">
                  <c:v>1.1496836020648939E-3</c:v>
                </c:pt>
                <c:pt idx="105">
                  <c:v>1.2816741441557501E-3</c:v>
                </c:pt>
                <c:pt idx="106">
                  <c:v>1.4256717442977407E-3</c:v>
                </c:pt>
                <c:pt idx="107">
                  <c:v>1.5888959445706965E-3</c:v>
                </c:pt>
                <c:pt idx="108">
                  <c:v>1.7657641218145771E-3</c:v>
                </c:pt>
                <c:pt idx="109">
                  <c:v>1.9562634718518026E-3</c:v>
                </c:pt>
                <c:pt idx="110">
                  <c:v>2.1603863359267298E-3</c:v>
                </c:pt>
                <c:pt idx="111">
                  <c:v>2.3781266527693307E-3</c:v>
                </c:pt>
                <c:pt idx="112">
                  <c:v>2.6094728601377148E-3</c:v>
                </c:pt>
                <c:pt idx="113">
                  <c:v>2.8620797083410477E-3</c:v>
                </c:pt>
                <c:pt idx="114">
                  <c:v>3.1294502308612652E-3</c:v>
                </c:pt>
                <c:pt idx="115">
                  <c:v>3.4115701855388721E-3</c:v>
                </c:pt>
                <c:pt idx="116">
                  <c:v>3.7084246311907252E-3</c:v>
                </c:pt>
                <c:pt idx="117">
                  <c:v>4.019997895081181E-3</c:v>
                </c:pt>
                <c:pt idx="118">
                  <c:v>4.3462735403624704E-3</c:v>
                </c:pt>
                <c:pt idx="119">
                  <c:v>4.6872343335232353E-3</c:v>
                </c:pt>
                <c:pt idx="120">
                  <c:v>5.0428622118289732E-3</c:v>
                </c:pt>
                <c:pt idx="121">
                  <c:v>5.4179190097876258E-3</c:v>
                </c:pt>
                <c:pt idx="122">
                  <c:v>5.8051754929426729E-3</c:v>
                </c:pt>
                <c:pt idx="123">
                  <c:v>6.2046127701556805E-3</c:v>
                </c:pt>
                <c:pt idx="124">
                  <c:v>6.61621109016838E-3</c:v>
                </c:pt>
                <c:pt idx="125">
                  <c:v>7.0399498144161987E-3</c:v>
                </c:pt>
                <c:pt idx="126">
                  <c:v>7.4758073897580185E-3</c:v>
                </c:pt>
                <c:pt idx="127">
                  <c:v>7.9262633179371655E-3</c:v>
                </c:pt>
                <c:pt idx="128">
                  <c:v>8.3836544332700855E-3</c:v>
                </c:pt>
                <c:pt idx="129">
                  <c:v>8.8479610654356063E-3</c:v>
                </c:pt>
                <c:pt idx="130">
                  <c:v>9.3191627785785946E-3</c:v>
                </c:pt>
                <c:pt idx="131">
                  <c:v>9.7972383552641581E-3</c:v>
                </c:pt>
                <c:pt idx="132">
                  <c:v>1.0282165780501293E-2</c:v>
                </c:pt>
                <c:pt idx="133">
                  <c:v>1.0773922225831206E-2</c:v>
                </c:pt>
                <c:pt idx="134">
                  <c:v>1.1272484033373225E-2</c:v>
                </c:pt>
                <c:pt idx="135">
                  <c:v>1.1776498731759394E-2</c:v>
                </c:pt>
                <c:pt idx="136">
                  <c:v>1.2281184390528369E-2</c:v>
                </c:pt>
                <c:pt idx="137">
                  <c:v>1.2786521920537626E-2</c:v>
                </c:pt>
                <c:pt idx="138">
                  <c:v>1.3292491713738525E-2</c:v>
                </c:pt>
                <c:pt idx="139">
                  <c:v>1.379907364092732E-2</c:v>
                </c:pt>
                <c:pt idx="140">
                  <c:v>1.4306247048765418E-2</c:v>
                </c:pt>
                <c:pt idx="141">
                  <c:v>1.480316971272635E-2</c:v>
                </c:pt>
                <c:pt idx="142">
                  <c:v>1.5287262092063311E-2</c:v>
                </c:pt>
                <c:pt idx="143">
                  <c:v>1.5758442236763121E-2</c:v>
                </c:pt>
                <c:pt idx="144">
                  <c:v>1.6216718496068341E-2</c:v>
                </c:pt>
                <c:pt idx="145">
                  <c:v>1.6662103214303441E-2</c:v>
                </c:pt>
                <c:pt idx="146">
                  <c:v>1.7094612567468442E-2</c:v>
                </c:pt>
                <c:pt idx="147">
                  <c:v>1.7514266400381163E-2</c:v>
                </c:pt>
                <c:pt idx="148">
                  <c:v>1.7921088063432542E-2</c:v>
                </c:pt>
                <c:pt idx="149">
                  <c:v>1.8308473468939056E-2</c:v>
                </c:pt>
                <c:pt idx="150">
                  <c:v>1.8677782633979734E-2</c:v>
                </c:pt>
                <c:pt idx="151">
                  <c:v>1.9029058142813037E-2</c:v>
                </c:pt>
                <c:pt idx="152">
                  <c:v>1.9362345692139404E-2</c:v>
                </c:pt>
                <c:pt idx="153">
                  <c:v>1.9677693856256739E-2</c:v>
                </c:pt>
                <c:pt idx="154">
                  <c:v>1.9975153852318277E-2</c:v>
                </c:pt>
                <c:pt idx="155">
                  <c:v>2.0248875766923555E-2</c:v>
                </c:pt>
                <c:pt idx="156">
                  <c:v>2.0509657070276983E-2</c:v>
                </c:pt>
                <c:pt idx="157">
                  <c:v>2.0757546366708988E-2</c:v>
                </c:pt>
                <c:pt idx="158">
                  <c:v>2.0992593898403761E-2</c:v>
                </c:pt>
                <c:pt idx="159">
                  <c:v>2.1214851375947866E-2</c:v>
                </c:pt>
                <c:pt idx="160">
                  <c:v>2.1424371809135853E-2</c:v>
                </c:pt>
                <c:pt idx="161">
                  <c:v>2.1621209337539814E-2</c:v>
                </c:pt>
                <c:pt idx="162">
                  <c:v>2.180541906119085E-2</c:v>
                </c:pt>
                <c:pt idx="163">
                  <c:v>2.1967059135053781E-2</c:v>
                </c:pt>
                <c:pt idx="164">
                  <c:v>2.2112773854863581E-2</c:v>
                </c:pt>
                <c:pt idx="165">
                  <c:v>2.2242626175880062E-2</c:v>
                </c:pt>
                <c:pt idx="166">
                  <c:v>2.2356679082816341E-2</c:v>
                </c:pt>
                <c:pt idx="167">
                  <c:v>2.2454995373560067E-2</c:v>
                </c:pt>
                <c:pt idx="168">
                  <c:v>2.2537637443605318E-2</c:v>
                </c:pt>
                <c:pt idx="169">
                  <c:v>2.2594704748390936E-2</c:v>
                </c:pt>
                <c:pt idx="170">
                  <c:v>2.2632124374149434E-2</c:v>
                </c:pt>
                <c:pt idx="171">
                  <c:v>2.2649962260184304E-2</c:v>
                </c:pt>
                <c:pt idx="172">
                  <c:v>2.2648282583099328E-2</c:v>
                </c:pt>
                <c:pt idx="173">
                  <c:v>2.2626916099089383E-2</c:v>
                </c:pt>
                <c:pt idx="174">
                  <c:v>2.2585680692422953E-2</c:v>
                </c:pt>
                <c:pt idx="175">
                  <c:v>2.2524619717853783E-2</c:v>
                </c:pt>
                <c:pt idx="176">
                  <c:v>2.2443776399350347E-2</c:v>
                </c:pt>
                <c:pt idx="177">
                  <c:v>2.2337364752951047E-2</c:v>
                </c:pt>
                <c:pt idx="178">
                  <c:v>2.2215352601681903E-2</c:v>
                </c:pt>
                <c:pt idx="179">
                  <c:v>2.2077775910131176E-2</c:v>
                </c:pt>
                <c:pt idx="180">
                  <c:v>2.192467011220994E-2</c:v>
                </c:pt>
                <c:pt idx="181">
                  <c:v>2.1756070018567553E-2</c:v>
                </c:pt>
                <c:pt idx="182">
                  <c:v>2.1572009724200949E-2</c:v>
                </c:pt>
                <c:pt idx="183">
                  <c:v>2.136601861143721E-2</c:v>
                </c:pt>
                <c:pt idx="184">
                  <c:v>2.1148025758780331E-2</c:v>
                </c:pt>
                <c:pt idx="185">
                  <c:v>2.0918057644706639E-2</c:v>
                </c:pt>
                <c:pt idx="186">
                  <c:v>2.0676139784877447E-2</c:v>
                </c:pt>
                <c:pt idx="187">
                  <c:v>2.0422296659723158E-2</c:v>
                </c:pt>
                <c:pt idx="188">
                  <c:v>2.0156551642137754E-2</c:v>
                </c:pt>
                <c:pt idx="189">
                  <c:v>1.9878926924549584E-2</c:v>
                </c:pt>
                <c:pt idx="190">
                  <c:v>1.9589443446861764E-2</c:v>
                </c:pt>
                <c:pt idx="191">
                  <c:v>1.9277588743248458E-2</c:v>
                </c:pt>
                <c:pt idx="192">
                  <c:v>1.8949182411369406E-2</c:v>
                </c:pt>
                <c:pt idx="193">
                  <c:v>1.8604246572901158E-2</c:v>
                </c:pt>
                <c:pt idx="194">
                  <c:v>1.8242801453120946E-2</c:v>
                </c:pt>
                <c:pt idx="195">
                  <c:v>1.7864865280800234E-2</c:v>
                </c:pt>
                <c:pt idx="196">
                  <c:v>1.7470454187374463E-2</c:v>
                </c:pt>
                <c:pt idx="197">
                  <c:v>1.7058295711944522E-2</c:v>
                </c:pt>
                <c:pt idx="198">
                  <c:v>1.6634866069626109E-2</c:v>
                </c:pt>
                <c:pt idx="199">
                  <c:v>1.6200169393984071E-2</c:v>
                </c:pt>
                <c:pt idx="200">
                  <c:v>1.5754207786380012E-2</c:v>
                </c:pt>
                <c:pt idx="201">
                  <c:v>1.5296981245957379E-2</c:v>
                </c:pt>
                <c:pt idx="202">
                  <c:v>1.4828487599737435E-2</c:v>
                </c:pt>
                <c:pt idx="203">
                  <c:v>1.434872243304554E-2</c:v>
                </c:pt>
                <c:pt idx="204">
                  <c:v>1.3857656641595098E-2</c:v>
                </c:pt>
                <c:pt idx="205">
                  <c:v>1.3357665540019525E-2</c:v>
                </c:pt>
                <c:pt idx="206">
                  <c:v>1.2859211894548243E-2</c:v>
                </c:pt>
                <c:pt idx="207">
                  <c:v>1.2362270335782133E-2</c:v>
                </c:pt>
                <c:pt idx="208">
                  <c:v>1.1866816201218046E-2</c:v>
                </c:pt>
                <c:pt idx="209">
                  <c:v>1.137282553159339E-2</c:v>
                </c:pt>
                <c:pt idx="210">
                  <c:v>1.0880275067633095E-2</c:v>
                </c:pt>
                <c:pt idx="211">
                  <c:v>1.0393737516817237E-2</c:v>
                </c:pt>
                <c:pt idx="212">
                  <c:v>9.914470943346165E-3</c:v>
                </c:pt>
                <c:pt idx="213">
                  <c:v>9.4424520713843052E-3</c:v>
                </c:pt>
                <c:pt idx="214">
                  <c:v>8.9776587113708315E-3</c:v>
                </c:pt>
                <c:pt idx="215">
                  <c:v>8.5200697383072659E-3</c:v>
                </c:pt>
                <c:pt idx="216">
                  <c:v>8.0696650700064418E-3</c:v>
                </c:pt>
                <c:pt idx="217">
                  <c:v>7.6264256453715609E-3</c:v>
                </c:pt>
                <c:pt idx="218">
                  <c:v>7.1903334026256855E-3</c:v>
                </c:pt>
                <c:pt idx="219">
                  <c:v>6.7687209920355698E-3</c:v>
                </c:pt>
                <c:pt idx="220">
                  <c:v>6.3591642047165749E-3</c:v>
                </c:pt>
                <c:pt idx="221">
                  <c:v>5.9616473904960865E-3</c:v>
                </c:pt>
                <c:pt idx="222">
                  <c:v>5.5761560704498973E-3</c:v>
                </c:pt>
                <c:pt idx="223">
                  <c:v>5.2026768999077003E-3</c:v>
                </c:pt>
                <c:pt idx="224">
                  <c:v>4.8411976312999283E-3</c:v>
                </c:pt>
                <c:pt idx="225">
                  <c:v>4.4986280878830083E-3</c:v>
                </c:pt>
                <c:pt idx="226">
                  <c:v>4.1703673661073895E-3</c:v>
                </c:pt>
                <c:pt idx="227">
                  <c:v>3.8564064770669725E-3</c:v>
                </c:pt>
                <c:pt idx="228">
                  <c:v>3.5567374723076209E-3</c:v>
                </c:pt>
                <c:pt idx="229">
                  <c:v>3.2713533994289286E-3</c:v>
                </c:pt>
                <c:pt idx="230">
                  <c:v>3.0002482577536661E-3</c:v>
                </c:pt>
                <c:pt idx="231">
                  <c:v>2.7434169539984191E-3</c:v>
                </c:pt>
                <c:pt idx="232">
                  <c:v>2.5008552578789024E-3</c:v>
                </c:pt>
                <c:pt idx="233">
                  <c:v>2.2787722827875352E-3</c:v>
                </c:pt>
                <c:pt idx="234">
                  <c:v>2.0698163391759308E-3</c:v>
                </c:pt>
                <c:pt idx="235">
                  <c:v>1.8739869422045707E-3</c:v>
                </c:pt>
                <c:pt idx="236">
                  <c:v>1.6912842121847716E-3</c:v>
                </c:pt>
                <c:pt idx="237">
                  <c:v>1.5217071892604176E-3</c:v>
                </c:pt>
                <c:pt idx="238">
                  <c:v>1.3652553255208086E-3</c:v>
                </c:pt>
                <c:pt idx="239">
                  <c:v>1.227262792254875E-3</c:v>
                </c:pt>
                <c:pt idx="240">
                  <c:v>1.100805852881154E-3</c:v>
                </c:pt>
                <c:pt idx="241">
                  <c:v>9.858849925576407E-4</c:v>
                </c:pt>
                <c:pt idx="242">
                  <c:v>8.8250113156397179E-4</c:v>
                </c:pt>
                <c:pt idx="243">
                  <c:v>7.906556456947529E-4</c:v>
                </c:pt>
                <c:pt idx="244">
                  <c:v>7.1035038664280707E-4</c:v>
                </c:pt>
                <c:pt idx="245">
                  <c:v>6.4158770237450263E-4</c:v>
                </c:pt>
                <c:pt idx="246">
                  <c:v>5.8437045750754386E-4</c:v>
                </c:pt>
                <c:pt idx="247">
                  <c:v>5.4339053796153322E-4</c:v>
                </c:pt>
                <c:pt idx="248">
                  <c:v>5.1243236072410602E-4</c:v>
                </c:pt>
                <c:pt idx="249">
                  <c:v>4.9149983818873874E-4</c:v>
                </c:pt>
                <c:pt idx="250">
                  <c:v>4.8059740066798521E-4</c:v>
                </c:pt>
                <c:pt idx="251">
                  <c:v>4.7973001408717066E-4</c:v>
                </c:pt>
                <c:pt idx="252">
                  <c:v>4.8890319765657628E-4</c:v>
                </c:pt>
                <c:pt idx="253">
                  <c:v>5.105006954375514E-4</c:v>
                </c:pt>
                <c:pt idx="254">
                  <c:v>5.3918461802243646E-4</c:v>
                </c:pt>
                <c:pt idx="255">
                  <c:v>5.7496036252457016E-4</c:v>
                </c:pt>
                <c:pt idx="256">
                  <c:v>6.1783377127165627E-4</c:v>
                </c:pt>
                <c:pt idx="257">
                  <c:v>6.6781114425510226E-4</c:v>
                </c:pt>
                <c:pt idx="258">
                  <c:v>7.2489925158382288E-4</c:v>
                </c:pt>
                <c:pt idx="259">
                  <c:v>7.8910534594884456E-4</c:v>
                </c:pt>
                <c:pt idx="260">
                  <c:v>8.6043717506761625E-4</c:v>
                </c:pt>
                <c:pt idx="261">
                  <c:v>9.4046117285089199E-4</c:v>
                </c:pt>
                <c:pt idx="262">
                  <c:v>1.0244833957010395E-3</c:v>
                </c:pt>
                <c:pt idx="263">
                  <c:v>1.1125103222409307E-3</c:v>
                </c:pt>
                <c:pt idx="264">
                  <c:v>1.2045488174610168E-3</c:v>
                </c:pt>
                <c:pt idx="265">
                  <c:v>1.3006130695938335E-3</c:v>
                </c:pt>
                <c:pt idx="266">
                  <c:v>1.4007160905063366E-3</c:v>
                </c:pt>
                <c:pt idx="267">
                  <c:v>1.5082023539305007E-3</c:v>
                </c:pt>
                <c:pt idx="268">
                  <c:v>1.6206963230103767E-3</c:v>
                </c:pt>
                <c:pt idx="269">
                  <c:v>1.7382078213144432E-3</c:v>
                </c:pt>
                <c:pt idx="270">
                  <c:v>1.8607466616428106E-3</c:v>
                </c:pt>
                <c:pt idx="271">
                  <c:v>1.988322592040894E-3</c:v>
                </c:pt>
                <c:pt idx="272">
                  <c:v>2.1209452418563261E-3</c:v>
                </c:pt>
                <c:pt idx="273">
                  <c:v>2.2586240677725505E-3</c:v>
                </c:pt>
                <c:pt idx="274">
                  <c:v>2.4013682998690025E-3</c:v>
                </c:pt>
                <c:pt idx="275">
                  <c:v>2.547892887685818E-3</c:v>
                </c:pt>
                <c:pt idx="276">
                  <c:v>2.6966369881772836E-3</c:v>
                </c:pt>
                <c:pt idx="277">
                  <c:v>2.8476045052337278E-3</c:v>
                </c:pt>
                <c:pt idx="278">
                  <c:v>3.0007987886455701E-3</c:v>
                </c:pt>
                <c:pt idx="279">
                  <c:v>3.1562226115468147E-3</c:v>
                </c:pt>
                <c:pt idx="280">
                  <c:v>3.3138781478865183E-3</c:v>
                </c:pt>
                <c:pt idx="281">
                  <c:v>3.4640949797597968E-3</c:v>
                </c:pt>
                <c:pt idx="282">
                  <c:v>3.6034991951834163E-3</c:v>
                </c:pt>
                <c:pt idx="283">
                  <c:v>3.7320705508146861E-3</c:v>
                </c:pt>
                <c:pt idx="284">
                  <c:v>3.8497881367700153E-3</c:v>
                </c:pt>
                <c:pt idx="285">
                  <c:v>3.9566304966804086E-3</c:v>
                </c:pt>
                <c:pt idx="286">
                  <c:v>4.0525757477837517E-3</c:v>
                </c:pt>
                <c:pt idx="287">
                  <c:v>4.1376017009798587E-3</c:v>
                </c:pt>
                <c:pt idx="288">
                  <c:v>4.2116859808994126E-3</c:v>
                </c:pt>
                <c:pt idx="289">
                  <c:v>4.2713654703555731E-3</c:v>
                </c:pt>
                <c:pt idx="290">
                  <c:v>4.3179166076925202E-3</c:v>
                </c:pt>
                <c:pt idx="291">
                  <c:v>4.3513140984148832E-3</c:v>
                </c:pt>
                <c:pt idx="292">
                  <c:v>4.3715330656612659E-3</c:v>
                </c:pt>
                <c:pt idx="293">
                  <c:v>4.3785491935849829E-3</c:v>
                </c:pt>
                <c:pt idx="294">
                  <c:v>4.3723388707181884E-3</c:v>
                </c:pt>
                <c:pt idx="295">
                  <c:v>4.3534191348895352E-3</c:v>
                </c:pt>
                <c:pt idx="296">
                  <c:v>4.3315655723740881E-3</c:v>
                </c:pt>
                <c:pt idx="297">
                  <c:v>4.306805908370002E-3</c:v>
                </c:pt>
                <c:pt idx="298">
                  <c:v>4.2791316607259551E-3</c:v>
                </c:pt>
                <c:pt idx="299">
                  <c:v>4.2485343493104608E-3</c:v>
                </c:pt>
                <c:pt idx="300">
                  <c:v>4.2150055229228179E-3</c:v>
                </c:pt>
                <c:pt idx="301">
                  <c:v>4.1785367861909943E-3</c:v>
                </c:pt>
                <c:pt idx="302">
                  <c:v>4.1391198264790754E-3</c:v>
                </c:pt>
                <c:pt idx="303">
                  <c:v>4.0943950418386435E-3</c:v>
                </c:pt>
                <c:pt idx="304">
                  <c:v>4.0478160921978111E-3</c:v>
                </c:pt>
                <c:pt idx="305">
                  <c:v>3.9993766670067951E-3</c:v>
                </c:pt>
                <c:pt idx="306">
                  <c:v>3.9490706444371233E-3</c:v>
                </c:pt>
                <c:pt idx="307">
                  <c:v>3.896892108053765E-3</c:v>
                </c:pt>
                <c:pt idx="308">
                  <c:v>3.8428353634543458E-3</c:v>
                </c:pt>
                <c:pt idx="309">
                  <c:v>3.7878010572236164E-3</c:v>
                </c:pt>
                <c:pt idx="310">
                  <c:v>3.7312420792058646E-3</c:v>
                </c:pt>
                <c:pt idx="311">
                  <c:v>3.6731539766478327E-3</c:v>
                </c:pt>
                <c:pt idx="312">
                  <c:v>3.6135325668136854E-3</c:v>
                </c:pt>
                <c:pt idx="313">
                  <c:v>3.5523739503308411E-3</c:v>
                </c:pt>
                <c:pt idx="314">
                  <c:v>3.4896745245024036E-3</c:v>
                </c:pt>
                <c:pt idx="315">
                  <c:v>3.4254309966645128E-3</c:v>
                </c:pt>
                <c:pt idx="316">
                  <c:v>3.359640397488805E-3</c:v>
                </c:pt>
                <c:pt idx="317">
                  <c:v>3.2947350703470464E-3</c:v>
                </c:pt>
                <c:pt idx="318">
                  <c:v>3.2330825939303463E-3</c:v>
                </c:pt>
                <c:pt idx="319">
                  <c:v>3.1746862563396421E-3</c:v>
                </c:pt>
                <c:pt idx="320">
                  <c:v>3.1195493002935926E-3</c:v>
                </c:pt>
                <c:pt idx="321">
                  <c:v>3.0676748925400807E-3</c:v>
                </c:pt>
                <c:pt idx="322">
                  <c:v>3.0190660932795377E-3</c:v>
                </c:pt>
                <c:pt idx="323">
                  <c:v>3.0006267193023878E-3</c:v>
                </c:pt>
                <c:pt idx="324">
                  <c:v>3.0114713160926967E-3</c:v>
                </c:pt>
                <c:pt idx="325">
                  <c:v>3.0516216364818807E-3</c:v>
                </c:pt>
                <c:pt idx="326">
                  <c:v>3.1210765920038235E-3</c:v>
                </c:pt>
                <c:pt idx="327">
                  <c:v>3.219842279734242E-3</c:v>
                </c:pt>
                <c:pt idx="328">
                  <c:v>3.3479358053259338E-3</c:v>
                </c:pt>
                <c:pt idx="329">
                  <c:v>3.5053704431696371E-3</c:v>
                </c:pt>
                <c:pt idx="330">
                  <c:v>3.6921562476641945E-3</c:v>
                </c:pt>
                <c:pt idx="331">
                  <c:v>3.9321279324522444E-3</c:v>
                </c:pt>
                <c:pt idx="332">
                  <c:v>4.2228537540757059E-3</c:v>
                </c:pt>
                <c:pt idx="333">
                  <c:v>4.5643417928408012E-3</c:v>
                </c:pt>
                <c:pt idx="334">
                  <c:v>4.9565976828272124E-3</c:v>
                </c:pt>
                <c:pt idx="335">
                  <c:v>5.3996256680125627E-3</c:v>
                </c:pt>
                <c:pt idx="336">
                  <c:v>5.8934296583397563E-3</c:v>
                </c:pt>
                <c:pt idx="337">
                  <c:v>6.4118159349184391E-3</c:v>
                </c:pt>
                <c:pt idx="338">
                  <c:v>6.9278334272320852E-3</c:v>
                </c:pt>
                <c:pt idx="339">
                  <c:v>7.4414877296338708E-3</c:v>
                </c:pt>
                <c:pt idx="340">
                  <c:v>7.9527887758784003E-3</c:v>
                </c:pt>
                <c:pt idx="341">
                  <c:v>8.4617507900330638E-3</c:v>
                </c:pt>
                <c:pt idx="342">
                  <c:v>8.9683922373943424E-3</c:v>
                </c:pt>
                <c:pt idx="343">
                  <c:v>9.4727357752993121E-3</c:v>
                </c:pt>
                <c:pt idx="344">
                  <c:v>9.9748082040668051E-3</c:v>
                </c:pt>
                <c:pt idx="345">
                  <c:v>1.0474640417848508E-2</c:v>
                </c:pt>
                <c:pt idx="346">
                  <c:v>1.0925611608313368E-2</c:v>
                </c:pt>
                <c:pt idx="347">
                  <c:v>1.132775141388421E-2</c:v>
                </c:pt>
                <c:pt idx="348">
                  <c:v>1.1681089349623704E-2</c:v>
                </c:pt>
                <c:pt idx="349">
                  <c:v>1.1985653788193697E-2</c:v>
                </c:pt>
                <c:pt idx="350">
                  <c:v>1.2241470941085365E-2</c:v>
                </c:pt>
                <c:pt idx="351">
                  <c:v>1.2425739851637099E-2</c:v>
                </c:pt>
                <c:pt idx="352">
                  <c:v>1.2564691514732435E-2</c:v>
                </c:pt>
                <c:pt idx="353">
                  <c:v>1.2658339719283729E-2</c:v>
                </c:pt>
                <c:pt idx="354">
                  <c:v>1.2706692377655713E-2</c:v>
                </c:pt>
                <c:pt idx="355">
                  <c:v>1.2709750576621227E-2</c:v>
                </c:pt>
                <c:pt idx="356">
                  <c:v>1.2667516382936039E-2</c:v>
                </c:pt>
                <c:pt idx="357">
                  <c:v>1.2579946172786382E-2</c:v>
                </c:pt>
                <c:pt idx="358">
                  <c:v>1.2446957711028229E-2</c:v>
                </c:pt>
                <c:pt idx="359">
                  <c:v>1.2268461956097931E-2</c:v>
                </c:pt>
                <c:pt idx="360">
                  <c:v>1.2018081036577061E-2</c:v>
                </c:pt>
                <c:pt idx="361">
                  <c:v>1.1718573117664796E-2</c:v>
                </c:pt>
                <c:pt idx="362">
                  <c:v>1.1369829960224405E-2</c:v>
                </c:pt>
                <c:pt idx="363">
                  <c:v>1.0971741139970195E-2</c:v>
                </c:pt>
                <c:pt idx="364">
                  <c:v>1.0524195305818884E-2</c:v>
                </c:pt>
                <c:pt idx="365">
                  <c:v>1.0027081438078282E-2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1.1379781819019974E-2</c:v>
                </c:pt>
                <c:pt idx="1">
                  <c:v>1.0846271542251687E-2</c:v>
                </c:pt>
                <c:pt idx="2">
                  <c:v>1.0310903684875387E-2</c:v>
                </c:pt>
                <c:pt idx="3">
                  <c:v>9.7736415675955517E-3</c:v>
                </c:pt>
                <c:pt idx="4">
                  <c:v>9.2344540051018578E-3</c:v>
                </c:pt>
                <c:pt idx="5">
                  <c:v>8.6933153420505494E-3</c:v>
                </c:pt>
                <c:pt idx="6">
                  <c:v>8.150205489157401E-3</c:v>
                </c:pt>
                <c:pt idx="7">
                  <c:v>7.6051099590850983E-3</c:v>
                </c:pt>
                <c:pt idx="8">
                  <c:v>7.0580199024686194E-3</c:v>
                </c:pt>
                <c:pt idx="9">
                  <c:v>6.5376899962019501E-3</c:v>
                </c:pt>
                <c:pt idx="10">
                  <c:v>6.0722059867598212E-3</c:v>
                </c:pt>
                <c:pt idx="11">
                  <c:v>5.6616454631426777E-3</c:v>
                </c:pt>
                <c:pt idx="12">
                  <c:v>5.3060848785625976E-3</c:v>
                </c:pt>
                <c:pt idx="13">
                  <c:v>5.0055981423854749E-3</c:v>
                </c:pt>
                <c:pt idx="14">
                  <c:v>4.76025521198996E-3</c:v>
                </c:pt>
                <c:pt idx="15">
                  <c:v>4.5717048068624607E-3</c:v>
                </c:pt>
                <c:pt idx="16">
                  <c:v>4.4133193691493671E-3</c:v>
                </c:pt>
                <c:pt idx="17">
                  <c:v>4.2851288285839515E-3</c:v>
                </c:pt>
                <c:pt idx="18">
                  <c:v>4.1871587273427024E-3</c:v>
                </c:pt>
                <c:pt idx="19">
                  <c:v>4.1194524264386283E-3</c:v>
                </c:pt>
                <c:pt idx="20">
                  <c:v>4.0820568069513882E-3</c:v>
                </c:pt>
                <c:pt idx="21">
                  <c:v>4.0749952367697857E-3</c:v>
                </c:pt>
                <c:pt idx="22">
                  <c:v>4.0982864540274428E-3</c:v>
                </c:pt>
                <c:pt idx="23">
                  <c:v>4.1544320463612295E-3</c:v>
                </c:pt>
                <c:pt idx="24">
                  <c:v>4.2145741221638966E-3</c:v>
                </c:pt>
                <c:pt idx="25">
                  <c:v>4.2787151996790925E-3</c:v>
                </c:pt>
                <c:pt idx="26">
                  <c:v>4.346857624780695E-3</c:v>
                </c:pt>
                <c:pt idx="27">
                  <c:v>4.4190036218638299E-3</c:v>
                </c:pt>
                <c:pt idx="28">
                  <c:v>4.4951553448284642E-3</c:v>
                </c:pt>
                <c:pt idx="29">
                  <c:v>4.5741250651333502E-3</c:v>
                </c:pt>
                <c:pt idx="30">
                  <c:v>4.6543282770211214E-3</c:v>
                </c:pt>
                <c:pt idx="31">
                  <c:v>4.7357675680996031E-3</c:v>
                </c:pt>
                <c:pt idx="32">
                  <c:v>4.8184458357774466E-3</c:v>
                </c:pt>
                <c:pt idx="33">
                  <c:v>4.9023663034769155E-3</c:v>
                </c:pt>
                <c:pt idx="34">
                  <c:v>4.9875325368682723E-3</c:v>
                </c:pt>
                <c:pt idx="35">
                  <c:v>5.0739484601012757E-3</c:v>
                </c:pt>
                <c:pt idx="36">
                  <c:v>5.1616183720269958E-3</c:v>
                </c:pt>
                <c:pt idx="37">
                  <c:v>5.2490775892675449E-3</c:v>
                </c:pt>
                <c:pt idx="38">
                  <c:v>5.3338453802944203E-3</c:v>
                </c:pt>
                <c:pt idx="39">
                  <c:v>5.4159283221988661E-3</c:v>
                </c:pt>
                <c:pt idx="40">
                  <c:v>5.4953334469726792E-3</c:v>
                </c:pt>
                <c:pt idx="41">
                  <c:v>5.5720682082880599E-3</c:v>
                </c:pt>
                <c:pt idx="42">
                  <c:v>5.6461404482411881E-3</c:v>
                </c:pt>
                <c:pt idx="43">
                  <c:v>5.7159741995278859E-3</c:v>
                </c:pt>
                <c:pt idx="44">
                  <c:v>5.7827669621714414E-3</c:v>
                </c:pt>
                <c:pt idx="45">
                  <c:v>5.846527608085926E-3</c:v>
                </c:pt>
                <c:pt idx="46">
                  <c:v>5.9072652410950824E-3</c:v>
                </c:pt>
                <c:pt idx="47">
                  <c:v>5.9649891587741678E-3</c:v>
                </c:pt>
                <c:pt idx="48">
                  <c:v>6.0197088142157238E-3</c:v>
                </c:pt>
                <c:pt idx="49">
                  <c:v>6.0714337778483216E-3</c:v>
                </c:pt>
                <c:pt idx="50">
                  <c:v>6.1201736992189254E-3</c:v>
                </c:pt>
                <c:pt idx="51">
                  <c:v>6.1550470969208527E-3</c:v>
                </c:pt>
                <c:pt idx="52">
                  <c:v>6.1774977802048006E-3</c:v>
                </c:pt>
                <c:pt idx="53">
                  <c:v>6.1874936921727589E-3</c:v>
                </c:pt>
                <c:pt idx="54">
                  <c:v>6.1850328428390243E-3</c:v>
                </c:pt>
                <c:pt idx="55">
                  <c:v>6.1701130216055555E-3</c:v>
                </c:pt>
                <c:pt idx="56">
                  <c:v>6.1427318434107312E-3</c:v>
                </c:pt>
                <c:pt idx="57">
                  <c:v>6.0933242138399247E-3</c:v>
                </c:pt>
                <c:pt idx="58">
                  <c:v>6.0234708670958608E-3</c:v>
                </c:pt>
                <c:pt idx="59">
                  <c:v>5.9331689909426846E-3</c:v>
                </c:pt>
                <c:pt idx="60">
                  <c:v>5.822415766186642E-3</c:v>
                </c:pt>
                <c:pt idx="61">
                  <c:v>5.6912084423486921E-3</c:v>
                </c:pt>
                <c:pt idx="62">
                  <c:v>5.5395444133284734E-3</c:v>
                </c:pt>
                <c:pt idx="63">
                  <c:v>5.3674212930854863E-3</c:v>
                </c:pt>
                <c:pt idx="64">
                  <c:v>5.1748369912977292E-3</c:v>
                </c:pt>
                <c:pt idx="65">
                  <c:v>4.9653031909473863E-3</c:v>
                </c:pt>
                <c:pt idx="66">
                  <c:v>4.7497102938500136E-3</c:v>
                </c:pt>
                <c:pt idx="67">
                  <c:v>4.528057581725399E-3</c:v>
                </c:pt>
                <c:pt idx="68">
                  <c:v>4.3003447301334652E-3</c:v>
                </c:pt>
                <c:pt idx="69">
                  <c:v>4.0665718308392808E-3</c:v>
                </c:pt>
                <c:pt idx="70">
                  <c:v>3.8267394142003706E-3</c:v>
                </c:pt>
                <c:pt idx="71">
                  <c:v>3.5864784557136631E-3</c:v>
                </c:pt>
                <c:pt idx="72">
                  <c:v>3.3553529513098597E-3</c:v>
                </c:pt>
                <c:pt idx="73">
                  <c:v>3.133363981478805E-3</c:v>
                </c:pt>
                <c:pt idx="74">
                  <c:v>2.9205127338616126E-3</c:v>
                </c:pt>
                <c:pt idx="75">
                  <c:v>2.7168004694298094E-3</c:v>
                </c:pt>
                <c:pt idx="76">
                  <c:v>2.5222284886547981E-3</c:v>
                </c:pt>
                <c:pt idx="77">
                  <c:v>2.3367980976867937E-3</c:v>
                </c:pt>
                <c:pt idx="78">
                  <c:v>2.1605106462558826E-3</c:v>
                </c:pt>
                <c:pt idx="79">
                  <c:v>1.9968123786831184E-3</c:v>
                </c:pt>
                <c:pt idx="80">
                  <c:v>1.8421947583117375E-3</c:v>
                </c:pt>
                <c:pt idx="81">
                  <c:v>1.6966559889169022E-3</c:v>
                </c:pt>
                <c:pt idx="82">
                  <c:v>1.5601944460920272E-3</c:v>
                </c:pt>
                <c:pt idx="83">
                  <c:v>1.4328086482061741E-3</c:v>
                </c:pt>
                <c:pt idx="84">
                  <c:v>1.3144972273664726E-3</c:v>
                </c:pt>
                <c:pt idx="85">
                  <c:v>1.2136386303089964E-3</c:v>
                </c:pt>
                <c:pt idx="86">
                  <c:v>1.1246036269672117E-3</c:v>
                </c:pt>
                <c:pt idx="87">
                  <c:v>1.0473904932779149E-3</c:v>
                </c:pt>
                <c:pt idx="88">
                  <c:v>9.819974487696012E-4</c:v>
                </c:pt>
                <c:pt idx="89">
                  <c:v>9.2842261870112683E-4</c:v>
                </c:pt>
                <c:pt idx="90">
                  <c:v>8.8666399619835633E-4</c:v>
                </c:pt>
                <c:pt idx="91">
                  <c:v>8.5671940439439268E-4</c:v>
                </c:pt>
                <c:pt idx="92">
                  <c:v>8.3858645856708838E-4</c:v>
                </c:pt>
                <c:pt idx="93">
                  <c:v>8.4314604280860477E-4</c:v>
                </c:pt>
                <c:pt idx="94">
                  <c:v>8.6695842737814657E-4</c:v>
                </c:pt>
                <c:pt idx="95">
                  <c:v>9.100182892138875E-4</c:v>
                </c:pt>
                <c:pt idx="96">
                  <c:v>9.7231970029709681E-4</c:v>
                </c:pt>
                <c:pt idx="97">
                  <c:v>1.053856065913821E-3</c:v>
                </c:pt>
                <c:pt idx="98">
                  <c:v>1.1546200629088111E-3</c:v>
                </c:pt>
                <c:pt idx="99">
                  <c:v>1.2880128198007252E-3</c:v>
                </c:pt>
                <c:pt idx="100">
                  <c:v>1.4456510325623953E-3</c:v>
                </c:pt>
                <c:pt idx="101">
                  <c:v>1.6275227005245667E-3</c:v>
                </c:pt>
                <c:pt idx="102">
                  <c:v>1.8336146154100126E-3</c:v>
                </c:pt>
                <c:pt idx="103">
                  <c:v>2.0639122834101783E-3</c:v>
                </c:pt>
                <c:pt idx="104">
                  <c:v>2.3183998473017475E-3</c:v>
                </c:pt>
                <c:pt idx="105">
                  <c:v>2.5970600085267991E-3</c:v>
                </c:pt>
                <c:pt idx="106">
                  <c:v>2.899873949294942E-3</c:v>
                </c:pt>
                <c:pt idx="107">
                  <c:v>3.2405815006821478E-3</c:v>
                </c:pt>
                <c:pt idx="108">
                  <c:v>3.60829011020986E-3</c:v>
                </c:pt>
                <c:pt idx="109">
                  <c:v>4.002973912016144E-3</c:v>
                </c:pt>
                <c:pt idx="110">
                  <c:v>4.4246176248682141E-3</c:v>
                </c:pt>
                <c:pt idx="111">
                  <c:v>4.8732093190865878E-3</c:v>
                </c:pt>
                <c:pt idx="112">
                  <c:v>5.3487258427108338E-3</c:v>
                </c:pt>
                <c:pt idx="113">
                  <c:v>5.8644142413353806E-3</c:v>
                </c:pt>
                <c:pt idx="114">
                  <c:v>6.406865059578948E-3</c:v>
                </c:pt>
                <c:pt idx="115">
                  <c:v>6.9760514359953896E-3</c:v>
                </c:pt>
                <c:pt idx="116">
                  <c:v>7.5719451904606274E-3</c:v>
                </c:pt>
                <c:pt idx="117">
                  <c:v>8.1945167651513977E-3</c:v>
                </c:pt>
                <c:pt idx="118">
                  <c:v>8.8437351654609697E-3</c:v>
                </c:pt>
                <c:pt idx="119">
                  <c:v>9.5195679009315963E-3</c:v>
                </c:pt>
                <c:pt idx="120">
                  <c:v>1.0221980926170571E-2</c:v>
                </c:pt>
                <c:pt idx="121">
                  <c:v>1.0958994669592595E-2</c:v>
                </c:pt>
                <c:pt idx="122">
                  <c:v>1.1716850631796524E-2</c:v>
                </c:pt>
                <c:pt idx="123">
                  <c:v>1.2495514139429398E-2</c:v>
                </c:pt>
                <c:pt idx="124">
                  <c:v>1.3294948962368089E-2</c:v>
                </c:pt>
                <c:pt idx="125">
                  <c:v>1.4115117267154177E-2</c:v>
                </c:pt>
                <c:pt idx="126">
                  <c:v>1.4955979570259953E-2</c:v>
                </c:pt>
                <c:pt idx="127">
                  <c:v>1.5819646719249524E-2</c:v>
                </c:pt>
                <c:pt idx="128">
                  <c:v>1.669285350445306E-2</c:v>
                </c:pt>
                <c:pt idx="129">
                  <c:v>1.7575565614859356E-2</c:v>
                </c:pt>
                <c:pt idx="130">
                  <c:v>1.8467747461544393E-2</c:v>
                </c:pt>
                <c:pt idx="131">
                  <c:v>1.9369362155135534E-2</c:v>
                </c:pt>
                <c:pt idx="132">
                  <c:v>2.028037148341499E-2</c:v>
                </c:pt>
                <c:pt idx="133">
                  <c:v>2.1200735889050998E-2</c:v>
                </c:pt>
                <c:pt idx="134">
                  <c:v>2.2130414447244302E-2</c:v>
                </c:pt>
                <c:pt idx="135">
                  <c:v>2.3066380065850784E-2</c:v>
                </c:pt>
                <c:pt idx="136">
                  <c:v>2.4000574548655913E-2</c:v>
                </c:pt>
                <c:pt idx="137">
                  <c:v>2.4932965682624347E-2</c:v>
                </c:pt>
                <c:pt idx="138">
                  <c:v>2.5863520475053258E-2</c:v>
                </c:pt>
                <c:pt idx="139">
                  <c:v>2.6792205156039015E-2</c:v>
                </c:pt>
                <c:pt idx="140">
                  <c:v>2.7718985179520293E-2</c:v>
                </c:pt>
                <c:pt idx="141">
                  <c:v>2.8618772846765662E-2</c:v>
                </c:pt>
                <c:pt idx="142">
                  <c:v>2.9489263023093282E-2</c:v>
                </c:pt>
                <c:pt idx="143">
                  <c:v>3.033030730545043E-2</c:v>
                </c:pt>
                <c:pt idx="144">
                  <c:v>3.114193244975326E-2</c:v>
                </c:pt>
                <c:pt idx="145">
                  <c:v>3.1924173092338894E-2</c:v>
                </c:pt>
                <c:pt idx="146">
                  <c:v>3.267707137296403E-2</c:v>
                </c:pt>
                <c:pt idx="147">
                  <c:v>3.3400676558857138E-2</c:v>
                </c:pt>
                <c:pt idx="148">
                  <c:v>3.4095044668027014E-2</c:v>
                </c:pt>
                <c:pt idx="149">
                  <c:v>3.4747583911480591E-2</c:v>
                </c:pt>
                <c:pt idx="150">
                  <c:v>3.5361348404468709E-2</c:v>
                </c:pt>
                <c:pt idx="151">
                  <c:v>3.5936429863042151E-2</c:v>
                </c:pt>
                <c:pt idx="152">
                  <c:v>3.6472925718299139E-2</c:v>
                </c:pt>
                <c:pt idx="153">
                  <c:v>3.6970938609091945E-2</c:v>
                </c:pt>
                <c:pt idx="154">
                  <c:v>3.7430575874927492E-2</c:v>
                </c:pt>
                <c:pt idx="155">
                  <c:v>3.7856264092798665E-2</c:v>
                </c:pt>
                <c:pt idx="156">
                  <c:v>3.8272953093493607E-2</c:v>
                </c:pt>
                <c:pt idx="157">
                  <c:v>3.8680705852643375E-2</c:v>
                </c:pt>
                <c:pt idx="158">
                  <c:v>3.9079587836065584E-2</c:v>
                </c:pt>
                <c:pt idx="159">
                  <c:v>3.9469666887298055E-2</c:v>
                </c:pt>
                <c:pt idx="160">
                  <c:v>3.9851013115611386E-2</c:v>
                </c:pt>
                <c:pt idx="161">
                  <c:v>4.0223698783581736E-2</c:v>
                </c:pt>
                <c:pt idx="162">
                  <c:v>4.0587798194872161E-2</c:v>
                </c:pt>
                <c:pt idx="163">
                  <c:v>4.0916280261151496E-2</c:v>
                </c:pt>
                <c:pt idx="164">
                  <c:v>4.1221809985576528E-2</c:v>
                </c:pt>
                <c:pt idx="165">
                  <c:v>4.1504492980343081E-2</c:v>
                </c:pt>
                <c:pt idx="166">
                  <c:v>4.1764435454520271E-2</c:v>
                </c:pt>
                <c:pt idx="167">
                  <c:v>4.2001743903016329E-2</c:v>
                </c:pt>
                <c:pt idx="168">
                  <c:v>4.221652479687036E-2</c:v>
                </c:pt>
                <c:pt idx="169">
                  <c:v>4.2381872973047463E-2</c:v>
                </c:pt>
                <c:pt idx="170">
                  <c:v>4.2493662511870721E-2</c:v>
                </c:pt>
                <c:pt idx="171">
                  <c:v>4.255204642063376E-2</c:v>
                </c:pt>
                <c:pt idx="172">
                  <c:v>4.2557172927297417E-2</c:v>
                </c:pt>
                <c:pt idx="173">
                  <c:v>4.2508750043118271E-2</c:v>
                </c:pt>
                <c:pt idx="174">
                  <c:v>4.2406460705073125E-2</c:v>
                </c:pt>
                <c:pt idx="175">
                  <c:v>4.2250411425104495E-2</c:v>
                </c:pt>
                <c:pt idx="176">
                  <c:v>4.2040708360379826E-2</c:v>
                </c:pt>
                <c:pt idx="177">
                  <c:v>4.1781717529384088E-2</c:v>
                </c:pt>
                <c:pt idx="178">
                  <c:v>4.1500423940221166E-2</c:v>
                </c:pt>
                <c:pt idx="179">
                  <c:v>4.1196884218523327E-2</c:v>
                </c:pt>
                <c:pt idx="180">
                  <c:v>4.0871153989719251E-2</c:v>
                </c:pt>
                <c:pt idx="181">
                  <c:v>4.0523287745898168E-2</c:v>
                </c:pt>
                <c:pt idx="182">
                  <c:v>4.0153338713036009E-2</c:v>
                </c:pt>
                <c:pt idx="183">
                  <c:v>3.9748946666858444E-2</c:v>
                </c:pt>
                <c:pt idx="184">
                  <c:v>3.9336987772171948E-2</c:v>
                </c:pt>
                <c:pt idx="185">
                  <c:v>3.8917490041995684E-2</c:v>
                </c:pt>
                <c:pt idx="186">
                  <c:v>3.8490480249576416E-2</c:v>
                </c:pt>
                <c:pt idx="187">
                  <c:v>3.805598388049828E-2</c:v>
                </c:pt>
                <c:pt idx="188">
                  <c:v>3.7614025084998726E-2</c:v>
                </c:pt>
                <c:pt idx="189">
                  <c:v>3.7164626629122226E-2</c:v>
                </c:pt>
                <c:pt idx="190">
                  <c:v>3.6707809847495193E-2</c:v>
                </c:pt>
                <c:pt idx="191">
                  <c:v>3.6219211212666906E-2</c:v>
                </c:pt>
                <c:pt idx="192">
                  <c:v>3.5694648442980655E-2</c:v>
                </c:pt>
                <c:pt idx="193">
                  <c:v>3.5134172017563185E-2</c:v>
                </c:pt>
                <c:pt idx="194">
                  <c:v>3.4537828750816034E-2</c:v>
                </c:pt>
                <c:pt idx="195">
                  <c:v>3.3905661576048067E-2</c:v>
                </c:pt>
                <c:pt idx="196">
                  <c:v>3.3237709327742802E-2</c:v>
                </c:pt>
                <c:pt idx="197">
                  <c:v>3.2531115188906751E-2</c:v>
                </c:pt>
                <c:pt idx="198">
                  <c:v>3.1798246593275618E-2</c:v>
                </c:pt>
                <c:pt idx="199">
                  <c:v>3.1039119444104285E-2</c:v>
                </c:pt>
                <c:pt idx="200">
                  <c:v>3.0253745528219574E-2</c:v>
                </c:pt>
                <c:pt idx="201">
                  <c:v>2.9442132354504852E-2</c:v>
                </c:pt>
                <c:pt idx="202">
                  <c:v>2.8604282992594054E-2</c:v>
                </c:pt>
                <c:pt idx="203">
                  <c:v>2.7740195912203152E-2</c:v>
                </c:pt>
                <c:pt idx="204">
                  <c:v>2.6849821463442697E-2</c:v>
                </c:pt>
                <c:pt idx="205">
                  <c:v>2.5935169625626087E-2</c:v>
                </c:pt>
                <c:pt idx="206">
                  <c:v>2.502047752145313E-2</c:v>
                </c:pt>
                <c:pt idx="207">
                  <c:v>2.4105700045475787E-2</c:v>
                </c:pt>
                <c:pt idx="208">
                  <c:v>2.3190793154460421E-2</c:v>
                </c:pt>
                <c:pt idx="209">
                  <c:v>2.2275713869597032E-2</c:v>
                </c:pt>
                <c:pt idx="210">
                  <c:v>2.1360420279494152E-2</c:v>
                </c:pt>
                <c:pt idx="211">
                  <c:v>2.0452615062121694E-2</c:v>
                </c:pt>
                <c:pt idx="212">
                  <c:v>1.9555136348208272E-2</c:v>
                </c:pt>
                <c:pt idx="213">
                  <c:v>1.8667941635295757E-2</c:v>
                </c:pt>
                <c:pt idx="214">
                  <c:v>1.7790990222709559E-2</c:v>
                </c:pt>
                <c:pt idx="215">
                  <c:v>1.6924243181151995E-2</c:v>
                </c:pt>
                <c:pt idx="216">
                  <c:v>1.6067663322219834E-2</c:v>
                </c:pt>
                <c:pt idx="217">
                  <c:v>1.5221215167981764E-2</c:v>
                </c:pt>
                <c:pt idx="218">
                  <c:v>1.4384864920457555E-2</c:v>
                </c:pt>
                <c:pt idx="219">
                  <c:v>1.3571302789060177E-2</c:v>
                </c:pt>
                <c:pt idx="220">
                  <c:v>1.2778425959029262E-2</c:v>
                </c:pt>
                <c:pt idx="221">
                  <c:v>1.2006204419485004E-2</c:v>
                </c:pt>
                <c:pt idx="222">
                  <c:v>1.1254610279478092E-2</c:v>
                </c:pt>
                <c:pt idx="223">
                  <c:v>1.0523617704638952E-2</c:v>
                </c:pt>
                <c:pt idx="224">
                  <c:v>9.8132028535084515E-3</c:v>
                </c:pt>
                <c:pt idx="225">
                  <c:v>9.1365168661090342E-3</c:v>
                </c:pt>
                <c:pt idx="226">
                  <c:v>8.4858038008944342E-3</c:v>
                </c:pt>
                <c:pt idx="227">
                  <c:v>7.8610457901559603E-3</c:v>
                </c:pt>
                <c:pt idx="228">
                  <c:v>7.2622269226281814E-3</c:v>
                </c:pt>
                <c:pt idx="229">
                  <c:v>6.6893331629142129E-3</c:v>
                </c:pt>
                <c:pt idx="230">
                  <c:v>6.1423522710487019E-3</c:v>
                </c:pt>
                <c:pt idx="231">
                  <c:v>5.6212737220636974E-3</c:v>
                </c:pt>
                <c:pt idx="232">
                  <c:v>5.1260886254207716E-3</c:v>
                </c:pt>
                <c:pt idx="233">
                  <c:v>4.6696143418706168E-3</c:v>
                </c:pt>
                <c:pt idx="234">
                  <c:v>4.2391241336145122E-3</c:v>
                </c:pt>
                <c:pt idx="235">
                  <c:v>3.8346168341030513E-3</c:v>
                </c:pt>
                <c:pt idx="236">
                  <c:v>3.4560924763320246E-3</c:v>
                </c:pt>
                <c:pt idx="237">
                  <c:v>3.1035488408302915E-3</c:v>
                </c:pt>
                <c:pt idx="238">
                  <c:v>2.7769845116514826E-3</c:v>
                </c:pt>
                <c:pt idx="239">
                  <c:v>2.4868061295077108E-3</c:v>
                </c:pt>
                <c:pt idx="240">
                  <c:v>2.2198351934782866E-3</c:v>
                </c:pt>
                <c:pt idx="241">
                  <c:v>1.9760724024547286E-3</c:v>
                </c:pt>
                <c:pt idx="242">
                  <c:v>1.7555193219343176E-3</c:v>
                </c:pt>
                <c:pt idx="243">
                  <c:v>1.558178425051371E-3</c:v>
                </c:pt>
                <c:pt idx="244">
                  <c:v>1.384053133587803E-3</c:v>
                </c:pt>
                <c:pt idx="245">
                  <c:v>1.2331478589680791E-3</c:v>
                </c:pt>
                <c:pt idx="246">
                  <c:v>1.10546804325977E-3</c:v>
                </c:pt>
                <c:pt idx="247">
                  <c:v>1.0090365615993723E-3</c:v>
                </c:pt>
                <c:pt idx="248">
                  <c:v>9.3102108851084045E-4</c:v>
                </c:pt>
                <c:pt idx="249">
                  <c:v>8.7142825701882803E-4</c:v>
                </c:pt>
                <c:pt idx="250">
                  <c:v>8.3026563731669004E-4</c:v>
                </c:pt>
                <c:pt idx="251">
                  <c:v>8.0754176929099598E-4</c:v>
                </c:pt>
                <c:pt idx="252">
                  <c:v>8.0326619500719601E-4</c:v>
                </c:pt>
                <c:pt idx="253">
                  <c:v>8.207401852128774E-4</c:v>
                </c:pt>
                <c:pt idx="254">
                  <c:v>8.4954726238452695E-4</c:v>
                </c:pt>
                <c:pt idx="255">
                  <c:v>8.8969555621866989E-4</c:v>
                </c:pt>
                <c:pt idx="256">
                  <c:v>9.4119389682565432E-4</c:v>
                </c:pt>
                <c:pt idx="257">
                  <c:v>1.0040518346519675E-3</c:v>
                </c:pt>
                <c:pt idx="258">
                  <c:v>1.0782796604097812E-3</c:v>
                </c:pt>
                <c:pt idx="259">
                  <c:v>1.1638884250223015E-3</c:v>
                </c:pt>
                <c:pt idx="260">
                  <c:v>1.2608899595386522E-3</c:v>
                </c:pt>
                <c:pt idx="261">
                  <c:v>1.3746961760321824E-3</c:v>
                </c:pt>
                <c:pt idx="262">
                  <c:v>1.4972822397354771E-3</c:v>
                </c:pt>
                <c:pt idx="263">
                  <c:v>1.6286602046333201E-3</c:v>
                </c:pt>
                <c:pt idx="264">
                  <c:v>1.7688428906603548E-3</c:v>
                </c:pt>
                <c:pt idx="265">
                  <c:v>1.9178541194957474E-3</c:v>
                </c:pt>
                <c:pt idx="266">
                  <c:v>2.075716380484649E-3</c:v>
                </c:pt>
                <c:pt idx="267">
                  <c:v>2.2458219595879124E-3</c:v>
                </c:pt>
                <c:pt idx="268">
                  <c:v>2.424886349984349E-3</c:v>
                </c:pt>
                <c:pt idx="269">
                  <c:v>2.6129265219395612E-3</c:v>
                </c:pt>
                <c:pt idx="270">
                  <c:v>2.8099595258624533E-3</c:v>
                </c:pt>
                <c:pt idx="271">
                  <c:v>3.016002395458758E-3</c:v>
                </c:pt>
                <c:pt idx="272">
                  <c:v>3.2310720509491236E-3</c:v>
                </c:pt>
                <c:pt idx="273">
                  <c:v>3.455185202251966E-3</c:v>
                </c:pt>
                <c:pt idx="274">
                  <c:v>3.6883582522067109E-3</c:v>
                </c:pt>
                <c:pt idx="275">
                  <c:v>3.9213855671609956E-3</c:v>
                </c:pt>
                <c:pt idx="276">
                  <c:v>4.1488372852052412E-3</c:v>
                </c:pt>
                <c:pt idx="277">
                  <c:v>4.3707061081396962E-3</c:v>
                </c:pt>
                <c:pt idx="278">
                  <c:v>4.5869834829547736E-3</c:v>
                </c:pt>
                <c:pt idx="279">
                  <c:v>4.7976596658619369E-3</c:v>
                </c:pt>
                <c:pt idx="280">
                  <c:v>5.0027237863672618E-3</c:v>
                </c:pt>
                <c:pt idx="281">
                  <c:v>5.1916291345487009E-3</c:v>
                </c:pt>
                <c:pt idx="282">
                  <c:v>5.360946221837277E-3</c:v>
                </c:pt>
                <c:pt idx="283">
                  <c:v>5.51063927675495E-3</c:v>
                </c:pt>
                <c:pt idx="284">
                  <c:v>5.6406716825513235E-3</c:v>
                </c:pt>
                <c:pt idx="285">
                  <c:v>5.7510061937312562E-3</c:v>
                </c:pt>
                <c:pt idx="286">
                  <c:v>5.8416051526364353E-3</c:v>
                </c:pt>
                <c:pt idx="287">
                  <c:v>5.912430705971969E-3</c:v>
                </c:pt>
                <c:pt idx="288">
                  <c:v>5.9634450213536293E-3</c:v>
                </c:pt>
                <c:pt idx="289">
                  <c:v>5.9930724747399656E-3</c:v>
                </c:pt>
                <c:pt idx="290">
                  <c:v>6.0105664043246841E-3</c:v>
                </c:pt>
                <c:pt idx="291">
                  <c:v>6.0159018209561864E-3</c:v>
                </c:pt>
                <c:pt idx="292">
                  <c:v>6.0090542353334582E-3</c:v>
                </c:pt>
                <c:pt idx="293">
                  <c:v>5.9899997900977704E-3</c:v>
                </c:pt>
                <c:pt idx="294">
                  <c:v>5.9587153919010228E-3</c:v>
                </c:pt>
                <c:pt idx="295">
                  <c:v>5.9137495299431547E-3</c:v>
                </c:pt>
                <c:pt idx="296">
                  <c:v>5.8657636277579641E-3</c:v>
                </c:pt>
                <c:pt idx="297">
                  <c:v>5.814796444258339E-3</c:v>
                </c:pt>
                <c:pt idx="298">
                  <c:v>5.7608375000255917E-3</c:v>
                </c:pt>
                <c:pt idx="299">
                  <c:v>5.7038764150040486E-3</c:v>
                </c:pt>
                <c:pt idx="300">
                  <c:v>5.6439029359800193E-3</c:v>
                </c:pt>
                <c:pt idx="301">
                  <c:v>5.5809069640431787E-3</c:v>
                </c:pt>
                <c:pt idx="302">
                  <c:v>5.514878582060765E-3</c:v>
                </c:pt>
                <c:pt idx="303">
                  <c:v>5.4446463715668095E-3</c:v>
                </c:pt>
                <c:pt idx="304">
                  <c:v>5.3717481423165543E-3</c:v>
                </c:pt>
                <c:pt idx="305">
                  <c:v>5.2961752414168442E-3</c:v>
                </c:pt>
                <c:pt idx="306">
                  <c:v>5.217919308328791E-3</c:v>
                </c:pt>
                <c:pt idx="307">
                  <c:v>5.1369722987876232E-3</c:v>
                </c:pt>
                <c:pt idx="308">
                  <c:v>5.0533265086790888E-3</c:v>
                </c:pt>
                <c:pt idx="309">
                  <c:v>4.9694101826219042E-3</c:v>
                </c:pt>
                <c:pt idx="310">
                  <c:v>4.8866597032562915E-3</c:v>
                </c:pt>
                <c:pt idx="311">
                  <c:v>4.8050737364609842E-3</c:v>
                </c:pt>
                <c:pt idx="312">
                  <c:v>4.7246512111568115E-3</c:v>
                </c:pt>
                <c:pt idx="313">
                  <c:v>4.645391307661906E-3</c:v>
                </c:pt>
                <c:pt idx="314">
                  <c:v>4.5672934460031711E-3</c:v>
                </c:pt>
                <c:pt idx="315">
                  <c:v>4.4903572742865088E-3</c:v>
                </c:pt>
                <c:pt idx="316">
                  <c:v>4.4145826569952631E-3</c:v>
                </c:pt>
                <c:pt idx="317">
                  <c:v>4.3415286429854165E-3</c:v>
                </c:pt>
                <c:pt idx="318">
                  <c:v>4.2723667341728264E-3</c:v>
                </c:pt>
                <c:pt idx="319">
                  <c:v>4.207100325991941E-3</c:v>
                </c:pt>
                <c:pt idx="320">
                  <c:v>4.1457327431531736E-3</c:v>
                </c:pt>
                <c:pt idx="321">
                  <c:v>4.0882672030300759E-3</c:v>
                </c:pt>
                <c:pt idx="322">
                  <c:v>4.0347067790625002E-3</c:v>
                </c:pt>
                <c:pt idx="323">
                  <c:v>4.0134793186059857E-3</c:v>
                </c:pt>
                <c:pt idx="324">
                  <c:v>4.022162236567998E-3</c:v>
                </c:pt>
                <c:pt idx="325">
                  <c:v>4.06077699434617E-3</c:v>
                </c:pt>
                <c:pt idx="326">
                  <c:v>4.1293158759875418E-3</c:v>
                </c:pt>
                <c:pt idx="327">
                  <c:v>4.2277824683698969E-3</c:v>
                </c:pt>
                <c:pt idx="328">
                  <c:v>4.3561964324507476E-3</c:v>
                </c:pt>
                <c:pt idx="329">
                  <c:v>4.5145734912791467E-3</c:v>
                </c:pt>
                <c:pt idx="330">
                  <c:v>4.7029260547217927E-3</c:v>
                </c:pt>
                <c:pt idx="331">
                  <c:v>4.9476161207362909E-3</c:v>
                </c:pt>
                <c:pt idx="332">
                  <c:v>5.2470942061774188E-3</c:v>
                </c:pt>
                <c:pt idx="333">
                  <c:v>5.6013712510887522E-3</c:v>
                </c:pt>
                <c:pt idx="334">
                  <c:v>6.0104554333096005E-3</c:v>
                </c:pt>
                <c:pt idx="335">
                  <c:v>6.4743533088831321E-3</c:v>
                </c:pt>
                <c:pt idx="336">
                  <c:v>6.9930709523937902E-3</c:v>
                </c:pt>
                <c:pt idx="337">
                  <c:v>7.5388506900941179E-3</c:v>
                </c:pt>
                <c:pt idx="338">
                  <c:v>8.0832163002811392E-3</c:v>
                </c:pt>
                <c:pt idx="339">
                  <c:v>8.6261753934454722E-3</c:v>
                </c:pt>
                <c:pt idx="340">
                  <c:v>9.167740134943321E-3</c:v>
                </c:pt>
                <c:pt idx="341">
                  <c:v>9.7079272158716191E-3</c:v>
                </c:pt>
                <c:pt idx="342">
                  <c:v>1.024675782394785E-2</c:v>
                </c:pt>
                <c:pt idx="343">
                  <c:v>1.0784257614269868E-2</c:v>
                </c:pt>
                <c:pt idx="344">
                  <c:v>1.132045668022473E-2</c:v>
                </c:pt>
                <c:pt idx="345">
                  <c:v>1.1855389524294284E-2</c:v>
                </c:pt>
                <c:pt idx="346">
                  <c:v>1.2338202936077727E-2</c:v>
                </c:pt>
                <c:pt idx="347">
                  <c:v>1.2768930008648531E-2</c:v>
                </c:pt>
                <c:pt idx="348">
                  <c:v>1.3147603717319835E-2</c:v>
                </c:pt>
                <c:pt idx="349">
                  <c:v>1.3474255832490173E-2</c:v>
                </c:pt>
                <c:pt idx="350">
                  <c:v>1.3748915832794265E-2</c:v>
                </c:pt>
                <c:pt idx="351">
                  <c:v>1.3947075321575691E-2</c:v>
                </c:pt>
                <c:pt idx="352">
                  <c:v>1.4096534811352092E-2</c:v>
                </c:pt>
                <c:pt idx="353">
                  <c:v>1.4197310350465842E-2</c:v>
                </c:pt>
                <c:pt idx="354">
                  <c:v>1.4249411670316743E-2</c:v>
                </c:pt>
                <c:pt idx="355">
                  <c:v>1.4252841165163566E-2</c:v>
                </c:pt>
                <c:pt idx="356">
                  <c:v>1.4207602690910393E-2</c:v>
                </c:pt>
                <c:pt idx="357">
                  <c:v>1.4113649264026126E-2</c:v>
                </c:pt>
                <c:pt idx="358">
                  <c:v>1.3970890972524769E-2</c:v>
                </c:pt>
                <c:pt idx="359">
                  <c:v>1.3779230587894811E-2</c:v>
                </c:pt>
                <c:pt idx="360">
                  <c:v>1.3510710501412074E-2</c:v>
                </c:pt>
                <c:pt idx="361">
                  <c:v>1.318979342354377E-2</c:v>
                </c:pt>
                <c:pt idx="362">
                  <c:v>1.2816362018184429E-2</c:v>
                </c:pt>
                <c:pt idx="363">
                  <c:v>1.2390296635115596E-2</c:v>
                </c:pt>
                <c:pt idx="364">
                  <c:v>1.1911476652471069E-2</c:v>
                </c:pt>
                <c:pt idx="365">
                  <c:v>1.1379781819019974E-2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1.3472134343648646E-2</c:v>
                </c:pt>
                <c:pt idx="1">
                  <c:v>1.2921978259700035E-2</c:v>
                </c:pt>
                <c:pt idx="2">
                  <c:v>1.2371288750774492E-2</c:v>
                </c:pt>
                <c:pt idx="3">
                  <c:v>1.1820025528627256E-2</c:v>
                </c:pt>
                <c:pt idx="4">
                  <c:v>1.1268153986207985E-2</c:v>
                </c:pt>
                <c:pt idx="5">
                  <c:v>1.0715645199747775E-2</c:v>
                </c:pt>
                <c:pt idx="6">
                  <c:v>1.0162475930983598E-2</c:v>
                </c:pt>
                <c:pt idx="7">
                  <c:v>9.6086286291314944E-3</c:v>
                </c:pt>
                <c:pt idx="8">
                  <c:v>9.0540914330263077E-3</c:v>
                </c:pt>
                <c:pt idx="9">
                  <c:v>8.5264466263598026E-3</c:v>
                </c:pt>
                <c:pt idx="10">
                  <c:v>8.0546511612444097E-3</c:v>
                </c:pt>
                <c:pt idx="11">
                  <c:v>7.638779259390484E-3</c:v>
                </c:pt>
                <c:pt idx="12">
                  <c:v>7.2789039690111385E-3</c:v>
                </c:pt>
                <c:pt idx="13">
                  <c:v>6.9750957303547868E-3</c:v>
                </c:pt>
                <c:pt idx="14">
                  <c:v>6.727420941120746E-3</c:v>
                </c:pt>
                <c:pt idx="15">
                  <c:v>6.5359695331472815E-3</c:v>
                </c:pt>
                <c:pt idx="16">
                  <c:v>6.3718949031689428E-3</c:v>
                </c:pt>
                <c:pt idx="17">
                  <c:v>6.2352202020031612E-3</c:v>
                </c:pt>
                <c:pt idx="18">
                  <c:v>6.1259647952391577E-3</c:v>
                </c:pt>
                <c:pt idx="19">
                  <c:v>6.0441772747033351E-3</c:v>
                </c:pt>
                <c:pt idx="20">
                  <c:v>5.9899149235559555E-3</c:v>
                </c:pt>
                <c:pt idx="21">
                  <c:v>5.9632034378493516E-3</c:v>
                </c:pt>
                <c:pt idx="22">
                  <c:v>5.9640641960701435E-3</c:v>
                </c:pt>
                <c:pt idx="23">
                  <c:v>5.9975068105300343E-3</c:v>
                </c:pt>
                <c:pt idx="24">
                  <c:v>6.0358510463392077E-3</c:v>
                </c:pt>
                <c:pt idx="25">
                  <c:v>6.079103268566817E-3</c:v>
                </c:pt>
                <c:pt idx="26">
                  <c:v>6.1272694504997212E-3</c:v>
                </c:pt>
                <c:pt idx="27">
                  <c:v>6.1803552363643164E-3</c:v>
                </c:pt>
                <c:pt idx="28">
                  <c:v>6.2383660041797351E-3</c:v>
                </c:pt>
                <c:pt idx="29">
                  <c:v>6.3024145554440233E-3</c:v>
                </c:pt>
                <c:pt idx="30">
                  <c:v>6.3724767872949022E-3</c:v>
                </c:pt>
                <c:pt idx="31">
                  <c:v>6.4485575001442677E-3</c:v>
                </c:pt>
                <c:pt idx="32">
                  <c:v>6.5306614139316781E-3</c:v>
                </c:pt>
                <c:pt idx="33">
                  <c:v>6.6187932443779506E-3</c:v>
                </c:pt>
                <c:pt idx="34">
                  <c:v>6.7129577792680887E-3</c:v>
                </c:pt>
                <c:pt idx="35">
                  <c:v>6.8131599547299393E-3</c:v>
                </c:pt>
                <c:pt idx="36">
                  <c:v>6.9194049314997659E-3</c:v>
                </c:pt>
                <c:pt idx="37">
                  <c:v>7.0290487363236535E-3</c:v>
                </c:pt>
                <c:pt idx="38">
                  <c:v>7.1371074751194266E-3</c:v>
                </c:pt>
                <c:pt idx="39">
                  <c:v>7.2435894799395342E-3</c:v>
                </c:pt>
                <c:pt idx="40">
                  <c:v>7.3485036430388792E-3</c:v>
                </c:pt>
                <c:pt idx="41">
                  <c:v>7.4518593976279843E-3</c:v>
                </c:pt>
                <c:pt idx="42">
                  <c:v>7.5536666985775922E-3</c:v>
                </c:pt>
                <c:pt idx="43">
                  <c:v>7.6537213513905187E-3</c:v>
                </c:pt>
                <c:pt idx="44">
                  <c:v>7.7509278986294646E-3</c:v>
                </c:pt>
                <c:pt idx="45">
                  <c:v>7.8452980392100958E-3</c:v>
                </c:pt>
                <c:pt idx="46">
                  <c:v>7.9368438634980169E-3</c:v>
                </c:pt>
                <c:pt idx="47">
                  <c:v>8.0255778175436707E-3</c:v>
                </c:pt>
                <c:pt idx="48">
                  <c:v>8.1115126672151525E-3</c:v>
                </c:pt>
                <c:pt idx="49">
                  <c:v>8.1946614624021832E-3</c:v>
                </c:pt>
                <c:pt idx="50">
                  <c:v>8.2750375011711036E-3</c:v>
                </c:pt>
                <c:pt idx="51">
                  <c:v>8.3404261444910855E-3</c:v>
                </c:pt>
                <c:pt idx="52">
                  <c:v>8.3934419636797469E-3</c:v>
                </c:pt>
                <c:pt idx="53">
                  <c:v>8.43404172108125E-3</c:v>
                </c:pt>
                <c:pt idx="54">
                  <c:v>8.4622228815333361E-3</c:v>
                </c:pt>
                <c:pt idx="55">
                  <c:v>8.4779826444819004E-3</c:v>
                </c:pt>
                <c:pt idx="56">
                  <c:v>8.4813179900107196E-3</c:v>
                </c:pt>
                <c:pt idx="57">
                  <c:v>8.4536346378741023E-3</c:v>
                </c:pt>
                <c:pt idx="58">
                  <c:v>8.395143531111017E-3</c:v>
                </c:pt>
                <c:pt idx="59">
                  <c:v>8.3058408622983942E-3</c:v>
                </c:pt>
                <c:pt idx="60">
                  <c:v>8.1857227443225891E-3</c:v>
                </c:pt>
                <c:pt idx="61">
                  <c:v>8.0347853244010503E-3</c:v>
                </c:pt>
                <c:pt idx="62">
                  <c:v>7.8530248980918389E-3</c:v>
                </c:pt>
                <c:pt idx="63">
                  <c:v>7.6404380233274045E-3</c:v>
                </c:pt>
                <c:pt idx="64">
                  <c:v>7.3970216344165169E-3</c:v>
                </c:pt>
                <c:pt idx="65">
                  <c:v>7.1258287257863623E-3</c:v>
                </c:pt>
                <c:pt idx="66">
                  <c:v>6.8390860311048568E-3</c:v>
                </c:pt>
                <c:pt idx="67">
                  <c:v>6.5367923345814359E-3</c:v>
                </c:pt>
                <c:pt idx="68">
                  <c:v>6.2189470368319314E-3</c:v>
                </c:pt>
                <c:pt idx="69">
                  <c:v>5.8855502123325854E-3</c:v>
                </c:pt>
                <c:pt idx="70">
                  <c:v>5.5366026669061751E-3</c:v>
                </c:pt>
                <c:pt idx="71">
                  <c:v>5.1825863475060295E-3</c:v>
                </c:pt>
                <c:pt idx="72">
                  <c:v>4.8420946854314008E-3</c:v>
                </c:pt>
                <c:pt idx="73">
                  <c:v>4.5151293070150719E-3</c:v>
                </c:pt>
                <c:pt idx="74">
                  <c:v>4.2016919947507735E-3</c:v>
                </c:pt>
                <c:pt idx="75">
                  <c:v>3.9017846372242687E-3</c:v>
                </c:pt>
                <c:pt idx="76">
                  <c:v>3.6154091790304836E-3</c:v>
                </c:pt>
                <c:pt idx="77">
                  <c:v>3.3425675707042697E-3</c:v>
                </c:pt>
                <c:pt idx="78">
                  <c:v>3.0832618210056236E-3</c:v>
                </c:pt>
                <c:pt idx="79">
                  <c:v>2.8420943819925677E-3</c:v>
                </c:pt>
                <c:pt idx="80">
                  <c:v>2.6160160150941326E-3</c:v>
                </c:pt>
                <c:pt idx="81">
                  <c:v>2.4050238628554352E-3</c:v>
                </c:pt>
                <c:pt idx="82">
                  <c:v>2.2091153138217938E-3</c:v>
                </c:pt>
                <c:pt idx="83">
                  <c:v>2.0282879542705447E-3</c:v>
                </c:pt>
                <c:pt idx="84">
                  <c:v>1.8625395199500013E-3</c:v>
                </c:pt>
                <c:pt idx="85">
                  <c:v>1.723808521145468E-3</c:v>
                </c:pt>
                <c:pt idx="86">
                  <c:v>1.6016167775749965E-3</c:v>
                </c:pt>
                <c:pt idx="87">
                  <c:v>1.495961853660515E-3</c:v>
                </c:pt>
                <c:pt idx="88">
                  <c:v>1.4068412318951539E-3</c:v>
                </c:pt>
                <c:pt idx="89">
                  <c:v>1.3342522598805372E-3</c:v>
                </c:pt>
                <c:pt idx="90">
                  <c:v>1.2781920973611784E-3</c:v>
                </c:pt>
                <c:pt idx="91">
                  <c:v>1.2386576632640231E-3</c:v>
                </c:pt>
                <c:pt idx="92">
                  <c:v>1.215645582734101E-3</c:v>
                </c:pt>
                <c:pt idx="93">
                  <c:v>1.2266582259415116E-3</c:v>
                </c:pt>
                <c:pt idx="94">
                  <c:v>1.2671017593492665E-3</c:v>
                </c:pt>
                <c:pt idx="95">
                  <c:v>1.3369680080742498E-3</c:v>
                </c:pt>
                <c:pt idx="96">
                  <c:v>1.4362478672743783E-3</c:v>
                </c:pt>
                <c:pt idx="97">
                  <c:v>1.5649312077705389E-3</c:v>
                </c:pt>
                <c:pt idx="98">
                  <c:v>1.7230067816571843E-3</c:v>
                </c:pt>
                <c:pt idx="99">
                  <c:v>1.9327645808590868E-3</c:v>
                </c:pt>
                <c:pt idx="100">
                  <c:v>2.1822567385802738E-3</c:v>
                </c:pt>
                <c:pt idx="101">
                  <c:v>2.4714638238044974E-3</c:v>
                </c:pt>
                <c:pt idx="102">
                  <c:v>2.8003644379568106E-3</c:v>
                </c:pt>
                <c:pt idx="103">
                  <c:v>3.1689350872119537E-3</c:v>
                </c:pt>
                <c:pt idx="104">
                  <c:v>3.5771500548635112E-3</c:v>
                </c:pt>
                <c:pt idx="105">
                  <c:v>4.0249812736376902E-3</c:v>
                </c:pt>
                <c:pt idx="106">
                  <c:v>4.5123981980406793E-3</c:v>
                </c:pt>
                <c:pt idx="107">
                  <c:v>5.0617901524565058E-3</c:v>
                </c:pt>
                <c:pt idx="108">
                  <c:v>5.6556359990234256E-3</c:v>
                </c:pt>
                <c:pt idx="109">
                  <c:v>6.2938935661592072E-3</c:v>
                </c:pt>
                <c:pt idx="110">
                  <c:v>6.9765372464928475E-3</c:v>
                </c:pt>
                <c:pt idx="111">
                  <c:v>7.7035468117380686E-3</c:v>
                </c:pt>
                <c:pt idx="112">
                  <c:v>8.4748843693430529E-3</c:v>
                </c:pt>
                <c:pt idx="113">
                  <c:v>9.311148289493006E-3</c:v>
                </c:pt>
                <c:pt idx="114">
                  <c:v>1.0190037358337151E-2</c:v>
                </c:pt>
                <c:pt idx="115">
                  <c:v>1.1111508569305206E-2</c:v>
                </c:pt>
                <c:pt idx="116">
                  <c:v>1.2075516802303635E-2</c:v>
                </c:pt>
                <c:pt idx="117">
                  <c:v>1.3082014729697474E-2</c:v>
                </c:pt>
                <c:pt idx="118">
                  <c:v>1.4130952722191977E-2</c:v>
                </c:pt>
                <c:pt idx="119">
                  <c:v>1.5222278754740829E-2</c:v>
                </c:pt>
                <c:pt idx="120">
                  <c:v>1.6355938312428143E-2</c:v>
                </c:pt>
                <c:pt idx="121">
                  <c:v>1.7544331353446199E-2</c:v>
                </c:pt>
                <c:pt idx="122">
                  <c:v>1.8765039830660874E-2</c:v>
                </c:pt>
                <c:pt idx="123">
                  <c:v>2.0018008904077938E-2</c:v>
                </c:pt>
                <c:pt idx="124">
                  <c:v>2.1303181278666327E-2</c:v>
                </c:pt>
                <c:pt idx="125">
                  <c:v>2.2620497132105021E-2</c:v>
                </c:pt>
                <c:pt idx="126">
                  <c:v>2.3969894042259483E-2</c:v>
                </c:pt>
                <c:pt idx="127">
                  <c:v>2.5353732263068942E-2</c:v>
                </c:pt>
                <c:pt idx="128">
                  <c:v>2.6751382953752945E-2</c:v>
                </c:pt>
                <c:pt idx="129">
                  <c:v>2.8162792528080762E-2</c:v>
                </c:pt>
                <c:pt idx="130">
                  <c:v>2.9587905426820937E-2</c:v>
                </c:pt>
                <c:pt idx="131">
                  <c:v>3.1026664084864819E-2</c:v>
                </c:pt>
                <c:pt idx="132">
                  <c:v>3.2479008898573337E-2</c:v>
                </c:pt>
                <c:pt idx="133">
                  <c:v>3.39448781933284E-2</c:v>
                </c:pt>
                <c:pt idx="134">
                  <c:v>3.5424208190948415E-2</c:v>
                </c:pt>
                <c:pt idx="135">
                  <c:v>3.6912109634875061E-2</c:v>
                </c:pt>
                <c:pt idx="136">
                  <c:v>3.8396121975909477E-2</c:v>
                </c:pt>
                <c:pt idx="137">
                  <c:v>3.9876195200756151E-2</c:v>
                </c:pt>
                <c:pt idx="138">
                  <c:v>4.1352278122310702E-2</c:v>
                </c:pt>
                <c:pt idx="139">
                  <c:v>4.2824318385944381E-2</c:v>
                </c:pt>
                <c:pt idx="140">
                  <c:v>4.429226247351211E-2</c:v>
                </c:pt>
                <c:pt idx="141">
                  <c:v>4.5724875644961825E-2</c:v>
                </c:pt>
                <c:pt idx="142">
                  <c:v>4.7119472332732608E-2</c:v>
                </c:pt>
                <c:pt idx="143">
                  <c:v>4.8475803311243654E-2</c:v>
                </c:pt>
                <c:pt idx="144">
                  <c:v>4.9793898160325221E-2</c:v>
                </c:pt>
                <c:pt idx="145">
                  <c:v>5.1073798088407417E-2</c:v>
                </c:pt>
                <c:pt idx="146">
                  <c:v>5.2315555448267832E-2</c:v>
                </c:pt>
                <c:pt idx="147">
                  <c:v>5.3519233254463588E-2</c:v>
                </c:pt>
                <c:pt idx="148">
                  <c:v>5.4684904699574911E-2</c:v>
                </c:pt>
                <c:pt idx="149">
                  <c:v>5.5792349584967961E-2</c:v>
                </c:pt>
                <c:pt idx="150">
                  <c:v>5.6846484626780124E-2</c:v>
                </c:pt>
                <c:pt idx="151">
                  <c:v>5.7847438996359975E-2</c:v>
                </c:pt>
                <c:pt idx="152">
                  <c:v>5.8795350861900131E-2</c:v>
                </c:pt>
                <c:pt idx="153">
                  <c:v>5.9690366695594153E-2</c:v>
                </c:pt>
                <c:pt idx="154">
                  <c:v>6.0532640581105225E-2</c:v>
                </c:pt>
                <c:pt idx="155">
                  <c:v>6.1316073756387514E-2</c:v>
                </c:pt>
                <c:pt idx="156">
                  <c:v>6.2071764476147401E-2</c:v>
                </c:pt>
                <c:pt idx="157">
                  <c:v>6.279983869369464E-2</c:v>
                </c:pt>
                <c:pt idx="158">
                  <c:v>6.3500426995941231E-2</c:v>
                </c:pt>
                <c:pt idx="159">
                  <c:v>6.4173664244503589E-2</c:v>
                </c:pt>
                <c:pt idx="160">
                  <c:v>6.4819689217582549E-2</c:v>
                </c:pt>
                <c:pt idx="161">
                  <c:v>6.5438644251129149E-2</c:v>
                </c:pt>
                <c:pt idx="162">
                  <c:v>6.6030674880348902E-2</c:v>
                </c:pt>
                <c:pt idx="163">
                  <c:v>6.6557997435914784E-2</c:v>
                </c:pt>
                <c:pt idx="164">
                  <c:v>6.7040947726561842E-2</c:v>
                </c:pt>
                <c:pt idx="165">
                  <c:v>6.7479710229665923E-2</c:v>
                </c:pt>
                <c:pt idx="166">
                  <c:v>6.7874469944931681E-2</c:v>
                </c:pt>
                <c:pt idx="167">
                  <c:v>6.8225411792539103E-2</c:v>
                </c:pt>
                <c:pt idx="168">
                  <c:v>6.8532720013445778E-2</c:v>
                </c:pt>
                <c:pt idx="169">
                  <c:v>6.8758779888199478E-2</c:v>
                </c:pt>
                <c:pt idx="170">
                  <c:v>6.8910037320244602E-2</c:v>
                </c:pt>
                <c:pt idx="171">
                  <c:v>6.8986719322624429E-2</c:v>
                </c:pt>
                <c:pt idx="172">
                  <c:v>6.898904622054787E-2</c:v>
                </c:pt>
                <c:pt idx="173">
                  <c:v>6.8916525870262077E-2</c:v>
                </c:pt>
                <c:pt idx="174">
                  <c:v>6.8768626121359699E-2</c:v>
                </c:pt>
                <c:pt idx="175">
                  <c:v>6.854550154525034E-2</c:v>
                </c:pt>
                <c:pt idx="176">
                  <c:v>6.8247306216982356E-2</c:v>
                </c:pt>
                <c:pt idx="177">
                  <c:v>6.7868012585950446E-2</c:v>
                </c:pt>
                <c:pt idx="178">
                  <c:v>6.7445405325779237E-2</c:v>
                </c:pt>
                <c:pt idx="179">
                  <c:v>6.6979587264146642E-2</c:v>
                </c:pt>
                <c:pt idx="180">
                  <c:v>6.6470659563657331E-2</c:v>
                </c:pt>
                <c:pt idx="181">
                  <c:v>6.5918721464208255E-2</c:v>
                </c:pt>
                <c:pt idx="182">
                  <c:v>6.5323870025942379E-2</c:v>
                </c:pt>
                <c:pt idx="183">
                  <c:v>6.4666285273381266E-2</c:v>
                </c:pt>
                <c:pt idx="184">
                  <c:v>6.3983600987779096E-2</c:v>
                </c:pt>
                <c:pt idx="185">
                  <c:v>6.3275880851114283E-2</c:v>
                </c:pt>
                <c:pt idx="186">
                  <c:v>6.2543186007486193E-2</c:v>
                </c:pt>
                <c:pt idx="187">
                  <c:v>6.178557490986978E-2</c:v>
                </c:pt>
                <c:pt idx="188">
                  <c:v>6.1003103167203761E-2</c:v>
                </c:pt>
                <c:pt idx="189">
                  <c:v>6.0195823389592028E-2</c:v>
                </c:pt>
                <c:pt idx="190">
                  <c:v>5.9363785036136228E-2</c:v>
                </c:pt>
                <c:pt idx="191">
                  <c:v>5.8476686826057368E-2</c:v>
                </c:pt>
                <c:pt idx="192">
                  <c:v>5.7540746670736075E-2</c:v>
                </c:pt>
                <c:pt idx="193">
                  <c:v>5.6556031865697194E-2</c:v>
                </c:pt>
                <c:pt idx="194">
                  <c:v>5.552260419112056E-2</c:v>
                </c:pt>
                <c:pt idx="195">
                  <c:v>5.4440519616544614E-2</c:v>
                </c:pt>
                <c:pt idx="196">
                  <c:v>5.3309828003371466E-2</c:v>
                </c:pt>
                <c:pt idx="197">
                  <c:v>5.2125900466565157E-2</c:v>
                </c:pt>
                <c:pt idx="198">
                  <c:v>5.0908568697027312E-2</c:v>
                </c:pt>
                <c:pt idx="199">
                  <c:v>4.9657847510874979E-2</c:v>
                </c:pt>
                <c:pt idx="200">
                  <c:v>4.8373745792146421E-2</c:v>
                </c:pt>
                <c:pt idx="201">
                  <c:v>4.7056266285310712E-2</c:v>
                </c:pt>
                <c:pt idx="202">
                  <c:v>4.5705405388113685E-2</c:v>
                </c:pt>
                <c:pt idx="203">
                  <c:v>4.4321152945442144E-2</c:v>
                </c:pt>
                <c:pt idx="204">
                  <c:v>4.2903422759661212E-2</c:v>
                </c:pt>
                <c:pt idx="205">
                  <c:v>4.1454443744842008E-2</c:v>
                </c:pt>
                <c:pt idx="206">
                  <c:v>4.0004366235375101E-2</c:v>
                </c:pt>
                <c:pt idx="207">
                  <c:v>3.8553119299969775E-2</c:v>
                </c:pt>
                <c:pt idx="208">
                  <c:v>3.7100633606565687E-2</c:v>
                </c:pt>
                <c:pt idx="209">
                  <c:v>3.5646841429053895E-2</c:v>
                </c:pt>
                <c:pt idx="210">
                  <c:v>3.4191676655254834E-2</c:v>
                </c:pt>
                <c:pt idx="211">
                  <c:v>3.2747048529447605E-2</c:v>
                </c:pt>
                <c:pt idx="212">
                  <c:v>3.1317545045250923E-2</c:v>
                </c:pt>
                <c:pt idx="213">
                  <c:v>2.9903099009412393E-2</c:v>
                </c:pt>
                <c:pt idx="214">
                  <c:v>2.8503646005293898E-2</c:v>
                </c:pt>
                <c:pt idx="215">
                  <c:v>2.7119124348555613E-2</c:v>
                </c:pt>
                <c:pt idx="216">
                  <c:v>2.5749475042718684E-2</c:v>
                </c:pt>
                <c:pt idx="217">
                  <c:v>2.4394641734823849E-2</c:v>
                </c:pt>
                <c:pt idx="218">
                  <c:v>2.3054570670932643E-2</c:v>
                </c:pt>
                <c:pt idx="219">
                  <c:v>2.1748995067382704E-2</c:v>
                </c:pt>
                <c:pt idx="220">
                  <c:v>2.047552987467265E-2</c:v>
                </c:pt>
                <c:pt idx="221">
                  <c:v>1.9234127086859166E-2</c:v>
                </c:pt>
                <c:pt idx="222">
                  <c:v>1.8024742041163139E-2</c:v>
                </c:pt>
                <c:pt idx="223">
                  <c:v>1.6847333319675972E-2</c:v>
                </c:pt>
                <c:pt idx="224">
                  <c:v>1.5701862650555464E-2</c:v>
                </c:pt>
                <c:pt idx="225">
                  <c:v>1.4609760446132476E-2</c:v>
                </c:pt>
                <c:pt idx="226">
                  <c:v>1.3559032476294865E-2</c:v>
                </c:pt>
                <c:pt idx="227">
                  <c:v>1.2549649938478907E-2</c:v>
                </c:pt>
                <c:pt idx="228">
                  <c:v>1.1581587164262561E-2</c:v>
                </c:pt>
                <c:pt idx="229">
                  <c:v>1.0654821491013431E-2</c:v>
                </c:pt>
                <c:pt idx="230">
                  <c:v>9.7693331337567937E-3</c:v>
                </c:pt>
                <c:pt idx="231">
                  <c:v>8.9251050570477719E-3</c:v>
                </c:pt>
                <c:pt idx="232">
                  <c:v>8.1221228466307038E-3</c:v>
                </c:pt>
                <c:pt idx="233">
                  <c:v>7.3817048109286422E-3</c:v>
                </c:pt>
                <c:pt idx="234">
                  <c:v>6.68405948673344E-3</c:v>
                </c:pt>
                <c:pt idx="235">
                  <c:v>6.0291849887903143E-3</c:v>
                </c:pt>
                <c:pt idx="236">
                  <c:v>5.4170813399371008E-3</c:v>
                </c:pt>
                <c:pt idx="237">
                  <c:v>4.8477450596060298E-3</c:v>
                </c:pt>
                <c:pt idx="238">
                  <c:v>4.3211739977214196E-3</c:v>
                </c:pt>
                <c:pt idx="239">
                  <c:v>3.8541073635467646E-3</c:v>
                </c:pt>
                <c:pt idx="240">
                  <c:v>3.4250707846536963E-3</c:v>
                </c:pt>
                <c:pt idx="241">
                  <c:v>3.0340655566346575E-3</c:v>
                </c:pt>
                <c:pt idx="242">
                  <c:v>2.6810944011763532E-3</c:v>
                </c:pt>
                <c:pt idx="243">
                  <c:v>2.3661615332959229E-3</c:v>
                </c:pt>
                <c:pt idx="244">
                  <c:v>2.0892727285447194E-3</c:v>
                </c:pt>
                <c:pt idx="245">
                  <c:v>1.8504353901884808E-3</c:v>
                </c:pt>
                <c:pt idx="246">
                  <c:v>1.6496586163965803E-3</c:v>
                </c:pt>
                <c:pt idx="247">
                  <c:v>1.4983761598023257E-3</c:v>
                </c:pt>
                <c:pt idx="248">
                  <c:v>1.375244225075954E-3</c:v>
                </c:pt>
                <c:pt idx="249">
                  <c:v>1.2802728415189505E-3</c:v>
                </c:pt>
                <c:pt idx="250">
                  <c:v>1.2134734683331557E-3</c:v>
                </c:pt>
                <c:pt idx="251">
                  <c:v>1.1748590443388053E-3</c:v>
                </c:pt>
                <c:pt idx="252">
                  <c:v>1.1644440376352753E-3</c:v>
                </c:pt>
                <c:pt idx="253">
                  <c:v>1.1866383727835612E-3</c:v>
                </c:pt>
                <c:pt idx="254">
                  <c:v>1.2246855649609594E-3</c:v>
                </c:pt>
                <c:pt idx="255">
                  <c:v>1.2785969262049722E-3</c:v>
                </c:pt>
                <c:pt idx="256">
                  <c:v>1.3483847467439501E-3</c:v>
                </c:pt>
                <c:pt idx="257">
                  <c:v>1.434062322865337E-3</c:v>
                </c:pt>
                <c:pt idx="258">
                  <c:v>1.53564398479441E-3</c:v>
                </c:pt>
                <c:pt idx="259">
                  <c:v>1.6531451245954531E-3</c:v>
                </c:pt>
                <c:pt idx="260">
                  <c:v>1.7865822240294192E-3</c:v>
                </c:pt>
                <c:pt idx="261">
                  <c:v>1.946023775134721E-3</c:v>
                </c:pt>
                <c:pt idx="262">
                  <c:v>2.1200364692991187E-3</c:v>
                </c:pt>
                <c:pt idx="263">
                  <c:v>2.3086392776219965E-3</c:v>
                </c:pt>
                <c:pt idx="264">
                  <c:v>2.5118524028336464E-3</c:v>
                </c:pt>
                <c:pt idx="265">
                  <c:v>2.7297118530960189E-3</c:v>
                </c:pt>
                <c:pt idx="266">
                  <c:v>2.9622520390146282E-3</c:v>
                </c:pt>
                <c:pt idx="267">
                  <c:v>3.2124348522557834E-3</c:v>
                </c:pt>
                <c:pt idx="268">
                  <c:v>3.475877148828375E-3</c:v>
                </c:pt>
                <c:pt idx="269">
                  <c:v>3.7526040930195071E-3</c:v>
                </c:pt>
                <c:pt idx="270">
                  <c:v>4.0426409748191153E-3</c:v>
                </c:pt>
                <c:pt idx="271">
                  <c:v>4.3460130665498344E-3</c:v>
                </c:pt>
                <c:pt idx="272">
                  <c:v>4.6627454795893069E-3</c:v>
                </c:pt>
                <c:pt idx="273">
                  <c:v>4.9928630210418134E-3</c:v>
                </c:pt>
                <c:pt idx="274">
                  <c:v>5.3363900504681226E-3</c:v>
                </c:pt>
                <c:pt idx="275">
                  <c:v>5.6754221042934474E-3</c:v>
                </c:pt>
                <c:pt idx="276">
                  <c:v>5.9998444218503843E-3</c:v>
                </c:pt>
                <c:pt idx="277">
                  <c:v>6.3096366750506712E-3</c:v>
                </c:pt>
                <c:pt idx="278">
                  <c:v>6.6047764436925711E-3</c:v>
                </c:pt>
                <c:pt idx="279">
                  <c:v>6.8852393799184314E-3</c:v>
                </c:pt>
                <c:pt idx="280">
                  <c:v>7.1509993727336104E-3</c:v>
                </c:pt>
                <c:pt idx="281">
                  <c:v>7.3902007084332803E-3</c:v>
                </c:pt>
                <c:pt idx="282">
                  <c:v>7.599838726109906E-3</c:v>
                </c:pt>
                <c:pt idx="283">
                  <c:v>7.7798597674743021E-3</c:v>
                </c:pt>
                <c:pt idx="284">
                  <c:v>7.9302090986466001E-3</c:v>
                </c:pt>
                <c:pt idx="285">
                  <c:v>8.0508312364173593E-3</c:v>
                </c:pt>
                <c:pt idx="286">
                  <c:v>8.141670274584574E-3</c:v>
                </c:pt>
                <c:pt idx="287">
                  <c:v>8.2026702102131269E-3</c:v>
                </c:pt>
                <c:pt idx="288">
                  <c:v>8.2337752699234226E-3</c:v>
                </c:pt>
                <c:pt idx="289">
                  <c:v>8.2347218357349174E-3</c:v>
                </c:pt>
                <c:pt idx="290">
                  <c:v>8.2235218227725889E-3</c:v>
                </c:pt>
                <c:pt idx="291">
                  <c:v>8.200148472402918E-3</c:v>
                </c:pt>
                <c:pt idx="292">
                  <c:v>8.1645756543199024E-3</c:v>
                </c:pt>
                <c:pt idx="293">
                  <c:v>8.1167779983065142E-3</c:v>
                </c:pt>
                <c:pt idx="294">
                  <c:v>8.0567310259640756E-3</c:v>
                </c:pt>
                <c:pt idx="295">
                  <c:v>7.9818338047489227E-3</c:v>
                </c:pt>
                <c:pt idx="296">
                  <c:v>7.9040726782475795E-3</c:v>
                </c:pt>
                <c:pt idx="297">
                  <c:v>7.8235014539677437E-3</c:v>
                </c:pt>
                <c:pt idx="298">
                  <c:v>7.7401074599811491E-3</c:v>
                </c:pt>
                <c:pt idx="299">
                  <c:v>7.653878242640859E-3</c:v>
                </c:pt>
                <c:pt idx="300">
                  <c:v>7.5648015923535971E-3</c:v>
                </c:pt>
                <c:pt idx="301">
                  <c:v>7.4728655693283852E-3</c:v>
                </c:pt>
                <c:pt idx="302">
                  <c:v>7.3780585293424352E-3</c:v>
                </c:pt>
                <c:pt idx="303">
                  <c:v>7.2814505698929081E-3</c:v>
                </c:pt>
                <c:pt idx="304">
                  <c:v>7.1832421406650979E-3</c:v>
                </c:pt>
                <c:pt idx="305">
                  <c:v>7.0834244806009111E-3</c:v>
                </c:pt>
                <c:pt idx="306">
                  <c:v>6.9819892113160168E-3</c:v>
                </c:pt>
                <c:pt idx="307">
                  <c:v>6.8789283509831404E-3</c:v>
                </c:pt>
                <c:pt idx="308">
                  <c:v>6.7742343281572831E-3</c:v>
                </c:pt>
                <c:pt idx="309">
                  <c:v>6.6727887997094391E-3</c:v>
                </c:pt>
                <c:pt idx="310">
                  <c:v>6.5771882242613251E-3</c:v>
                </c:pt>
                <c:pt idx="311">
                  <c:v>6.4874363963928214E-3</c:v>
                </c:pt>
                <c:pt idx="312">
                  <c:v>6.403537242213069E-3</c:v>
                </c:pt>
                <c:pt idx="313">
                  <c:v>6.3254947645475608E-3</c:v>
                </c:pt>
                <c:pt idx="314">
                  <c:v>6.2533129880660678E-3</c:v>
                </c:pt>
                <c:pt idx="315">
                  <c:v>6.1869959044904693E-3</c:v>
                </c:pt>
                <c:pt idx="316">
                  <c:v>6.1265474177047878E-3</c:v>
                </c:pt>
                <c:pt idx="317">
                  <c:v>6.071999839453268E-3</c:v>
                </c:pt>
                <c:pt idx="318">
                  <c:v>6.0222681374224067E-3</c:v>
                </c:pt>
                <c:pt idx="319">
                  <c:v>5.9773544508978553E-3</c:v>
                </c:pt>
                <c:pt idx="320">
                  <c:v>5.9372607030473042E-3</c:v>
                </c:pt>
                <c:pt idx="321">
                  <c:v>5.9019885557919857E-3</c:v>
                </c:pt>
                <c:pt idx="322">
                  <c:v>5.8715393647022539E-3</c:v>
                </c:pt>
                <c:pt idx="323">
                  <c:v>5.873183225956387E-3</c:v>
                </c:pt>
                <c:pt idx="324">
                  <c:v>5.9020270283241917E-3</c:v>
                </c:pt>
                <c:pt idx="325">
                  <c:v>5.9580870188818275E-3</c:v>
                </c:pt>
                <c:pt idx="326">
                  <c:v>6.0413386097678363E-3</c:v>
                </c:pt>
                <c:pt idx="327">
                  <c:v>6.151776460164439E-3</c:v>
                </c:pt>
                <c:pt idx="328">
                  <c:v>6.2894215268372092E-3</c:v>
                </c:pt>
                <c:pt idx="329">
                  <c:v>6.4542913509775465E-3</c:v>
                </c:pt>
                <c:pt idx="330">
                  <c:v>6.6464006268797697E-3</c:v>
                </c:pt>
                <c:pt idx="331">
                  <c:v>6.8943001610464946E-3</c:v>
                </c:pt>
                <c:pt idx="332">
                  <c:v>7.197980378607618E-3</c:v>
                </c:pt>
                <c:pt idx="333">
                  <c:v>7.5574563641454583E-3</c:v>
                </c:pt>
                <c:pt idx="334">
                  <c:v>7.9727403749272428E-3</c:v>
                </c:pt>
                <c:pt idx="335">
                  <c:v>8.4438430027208595E-3</c:v>
                </c:pt>
                <c:pt idx="336">
                  <c:v>8.970774335514178E-3</c:v>
                </c:pt>
                <c:pt idx="337">
                  <c:v>9.5249137699910946E-3</c:v>
                </c:pt>
                <c:pt idx="338">
                  <c:v>1.0078947237075598E-2</c:v>
                </c:pt>
                <c:pt idx="339">
                  <c:v>1.0632886454703604E-2</c:v>
                </c:pt>
                <c:pt idx="340">
                  <c:v>1.11867477480539E-2</c:v>
                </c:pt>
                <c:pt idx="341">
                  <c:v>1.1740552047877835E-2</c:v>
                </c:pt>
                <c:pt idx="342">
                  <c:v>1.2294324888832342E-2</c:v>
                </c:pt>
                <c:pt idx="343">
                  <c:v>1.2848096407668388E-2</c:v>
                </c:pt>
                <c:pt idx="344">
                  <c:v>1.3401901341600284E-2</c:v>
                </c:pt>
                <c:pt idx="345">
                  <c:v>1.3955779026550201E-2</c:v>
                </c:pt>
                <c:pt idx="346">
                  <c:v>1.4455783599950875E-2</c:v>
                </c:pt>
                <c:pt idx="347">
                  <c:v>1.4901952832675086E-2</c:v>
                </c:pt>
                <c:pt idx="348">
                  <c:v>1.5294324379579614E-2</c:v>
                </c:pt>
                <c:pt idx="349">
                  <c:v>1.5632934655387919E-2</c:v>
                </c:pt>
                <c:pt idx="350">
                  <c:v>1.5917817710927974E-2</c:v>
                </c:pt>
                <c:pt idx="351">
                  <c:v>1.6123559025244861E-2</c:v>
                </c:pt>
                <c:pt idx="352">
                  <c:v>1.6278830752532482E-2</c:v>
                </c:pt>
                <c:pt idx="353">
                  <c:v>1.6383652983269523E-2</c:v>
                </c:pt>
                <c:pt idx="354">
                  <c:v>1.6438039256580311E-2</c:v>
                </c:pt>
                <c:pt idx="355">
                  <c:v>1.644199550208901E-2</c:v>
                </c:pt>
                <c:pt idx="356">
                  <c:v>1.639553031285285E-2</c:v>
                </c:pt>
                <c:pt idx="357">
                  <c:v>1.6298594707449862E-2</c:v>
                </c:pt>
                <c:pt idx="358">
                  <c:v>1.6151091181266706E-2</c:v>
                </c:pt>
                <c:pt idx="359">
                  <c:v>1.5952914641588569E-2</c:v>
                </c:pt>
                <c:pt idx="360">
                  <c:v>1.5675229641042395E-2</c:v>
                </c:pt>
                <c:pt idx="361">
                  <c:v>1.5343402756623945E-2</c:v>
                </c:pt>
                <c:pt idx="362">
                  <c:v>1.4957308259354081E-2</c:v>
                </c:pt>
                <c:pt idx="363">
                  <c:v>1.4516818034553217E-2</c:v>
                </c:pt>
                <c:pt idx="364">
                  <c:v>1.402180296996134E-2</c:v>
                </c:pt>
                <c:pt idx="365">
                  <c:v>1.3472134343648646E-2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1.6800980402347638E-2</c:v>
                </c:pt>
                <c:pt idx="1">
                  <c:v>1.6242014267559796E-2</c:v>
                </c:pt>
                <c:pt idx="2">
                  <c:v>1.5686466279495326E-2</c:v>
                </c:pt>
                <c:pt idx="3">
                  <c:v>1.5134293228881325E-2</c:v>
                </c:pt>
                <c:pt idx="4">
                  <c:v>1.458545771494328E-2</c:v>
                </c:pt>
                <c:pt idx="5">
                  <c:v>1.4039928046932507E-2</c:v>
                </c:pt>
                <c:pt idx="6">
                  <c:v>1.3497678145833436E-2</c:v>
                </c:pt>
                <c:pt idx="7">
                  <c:v>1.2958687445745005E-2</c:v>
                </c:pt>
                <c:pt idx="8">
                  <c:v>1.2422940795474832E-2</c:v>
                </c:pt>
                <c:pt idx="9">
                  <c:v>1.1913627998321139E-2</c:v>
                </c:pt>
                <c:pt idx="10">
                  <c:v>1.1458176179960153E-2</c:v>
                </c:pt>
                <c:pt idx="11">
                  <c:v>1.1056647704608111E-2</c:v>
                </c:pt>
                <c:pt idx="12">
                  <c:v>1.0709103819757523E-2</c:v>
                </c:pt>
                <c:pt idx="13">
                  <c:v>1.0415603271392593E-2</c:v>
                </c:pt>
                <c:pt idx="14">
                  <c:v>1.017620091902866E-2</c:v>
                </c:pt>
                <c:pt idx="15">
                  <c:v>9.9902828492606059E-3</c:v>
                </c:pt>
                <c:pt idx="16">
                  <c:v>9.8265493474901881E-3</c:v>
                </c:pt>
                <c:pt idx="17">
                  <c:v>9.6850104159386437E-3</c:v>
                </c:pt>
                <c:pt idx="18">
                  <c:v>9.5656732842469162E-3</c:v>
                </c:pt>
                <c:pt idx="19">
                  <c:v>9.4685946510959084E-3</c:v>
                </c:pt>
                <c:pt idx="20">
                  <c:v>9.3938492967511143E-3</c:v>
                </c:pt>
                <c:pt idx="21">
                  <c:v>9.3414662203762048E-3</c:v>
                </c:pt>
                <c:pt idx="22">
                  <c:v>9.3114707415948798E-3</c:v>
                </c:pt>
                <c:pt idx="23">
                  <c:v>9.3119539709548716E-3</c:v>
                </c:pt>
                <c:pt idx="24">
                  <c:v>9.3196471921906613E-3</c:v>
                </c:pt>
                <c:pt idx="25">
                  <c:v>9.334563328114184E-3</c:v>
                </c:pt>
                <c:pt idx="26">
                  <c:v>9.3567144793017688E-3</c:v>
                </c:pt>
                <c:pt idx="27">
                  <c:v>9.3861120165842048E-3</c:v>
                </c:pt>
                <c:pt idx="28">
                  <c:v>9.422766673738309E-3</c:v>
                </c:pt>
                <c:pt idx="29">
                  <c:v>9.4687584321100759E-3</c:v>
                </c:pt>
                <c:pt idx="30">
                  <c:v>9.5247614887177898E-3</c:v>
                </c:pt>
                <c:pt idx="31">
                  <c:v>9.5907848541323532E-3</c:v>
                </c:pt>
                <c:pt idx="32">
                  <c:v>9.6668371027512183E-3</c:v>
                </c:pt>
                <c:pt idx="33">
                  <c:v>9.7529264995472025E-3</c:v>
                </c:pt>
                <c:pt idx="34">
                  <c:v>9.849061126860818E-3</c:v>
                </c:pt>
                <c:pt idx="35">
                  <c:v>9.9552490111857374E-3</c:v>
                </c:pt>
                <c:pt idx="36">
                  <c:v>1.0071498249934828E-2</c:v>
                </c:pt>
                <c:pt idx="37">
                  <c:v>1.0195864200252621E-2</c:v>
                </c:pt>
                <c:pt idx="38">
                  <c:v>1.0320289688435668E-2</c:v>
                </c:pt>
                <c:pt idx="39">
                  <c:v>1.0444786450421273E-2</c:v>
                </c:pt>
                <c:pt idx="40">
                  <c:v>1.0569366847781507E-2</c:v>
                </c:pt>
                <c:pt idx="41">
                  <c:v>1.0694043869234783E-2</c:v>
                </c:pt>
                <c:pt idx="42">
                  <c:v>1.081883113208707E-2</c:v>
                </c:pt>
                <c:pt idx="43">
                  <c:v>1.0944631267251153E-2</c:v>
                </c:pt>
                <c:pt idx="44">
                  <c:v>1.1069391346820374E-2</c:v>
                </c:pt>
                <c:pt idx="45">
                  <c:v>1.11931271628746E-2</c:v>
                </c:pt>
                <c:pt idx="46">
                  <c:v>1.1315855099907129E-2</c:v>
                </c:pt>
                <c:pt idx="47">
                  <c:v>1.1437592121598074E-2</c:v>
                </c:pt>
                <c:pt idx="48">
                  <c:v>1.1558355757442025E-2</c:v>
                </c:pt>
                <c:pt idx="49">
                  <c:v>1.167816408947725E-2</c:v>
                </c:pt>
                <c:pt idx="50">
                  <c:v>1.1797035738945061E-2</c:v>
                </c:pt>
                <c:pt idx="51">
                  <c:v>1.1899142015131975E-2</c:v>
                </c:pt>
                <c:pt idx="52">
                  <c:v>1.1986387911984748E-2</c:v>
                </c:pt>
                <c:pt idx="53">
                  <c:v>1.2058711830901653E-2</c:v>
                </c:pt>
                <c:pt idx="54">
                  <c:v>1.2116110234195418E-2</c:v>
                </c:pt>
                <c:pt idx="55">
                  <c:v>1.2158579230291344E-2</c:v>
                </c:pt>
                <c:pt idx="56">
                  <c:v>1.2186114629068018E-2</c:v>
                </c:pt>
                <c:pt idx="57">
                  <c:v>1.2171086976722674E-2</c:v>
                </c:pt>
                <c:pt idx="58">
                  <c:v>1.2112603212083994E-2</c:v>
                </c:pt>
                <c:pt idx="59">
                  <c:v>1.201065795585031E-2</c:v>
                </c:pt>
                <c:pt idx="60">
                  <c:v>1.1865245680763012E-2</c:v>
                </c:pt>
                <c:pt idx="61">
                  <c:v>1.1676360872442906E-2</c:v>
                </c:pt>
                <c:pt idx="62">
                  <c:v>1.1443998190208896E-2</c:v>
                </c:pt>
                <c:pt idx="63">
                  <c:v>1.1168152627931921E-2</c:v>
                </c:pt>
                <c:pt idx="64">
                  <c:v>1.0848819674842561E-2</c:v>
                </c:pt>
                <c:pt idx="65">
                  <c:v>1.048931736717495E-2</c:v>
                </c:pt>
                <c:pt idx="66">
                  <c:v>1.0105491218668062E-2</c:v>
                </c:pt>
                <c:pt idx="67">
                  <c:v>9.6973392185758095E-3</c:v>
                </c:pt>
                <c:pt idx="68">
                  <c:v>9.2648602246242235E-3</c:v>
                </c:pt>
                <c:pt idx="69">
                  <c:v>8.8080540528918567E-3</c:v>
                </c:pt>
                <c:pt idx="70">
                  <c:v>8.3269215677375611E-3</c:v>
                </c:pt>
                <c:pt idx="71">
                  <c:v>7.8375498583869562E-3</c:v>
                </c:pt>
                <c:pt idx="72">
                  <c:v>7.3675670107916551E-3</c:v>
                </c:pt>
                <c:pt idx="73">
                  <c:v>6.9169749858824193E-3</c:v>
                </c:pt>
                <c:pt idx="74">
                  <c:v>6.4857759415520135E-3</c:v>
                </c:pt>
                <c:pt idx="75">
                  <c:v>6.0739721608700373E-3</c:v>
                </c:pt>
                <c:pt idx="76">
                  <c:v>5.6815659802763761E-3</c:v>
                </c:pt>
                <c:pt idx="77">
                  <c:v>5.3085597177956849E-3</c:v>
                </c:pt>
                <c:pt idx="78">
                  <c:v>4.9549557657412686E-3</c:v>
                </c:pt>
                <c:pt idx="79">
                  <c:v>4.6260266847412768E-3</c:v>
                </c:pt>
                <c:pt idx="80">
                  <c:v>4.3184607362745228E-3</c:v>
                </c:pt>
                <c:pt idx="81">
                  <c:v>4.0322536715949467E-3</c:v>
                </c:pt>
                <c:pt idx="82">
                  <c:v>3.7674015741661002E-3</c:v>
                </c:pt>
                <c:pt idx="83">
                  <c:v>3.5239007913185709E-3</c:v>
                </c:pt>
                <c:pt idx="84">
                  <c:v>3.3017478659196652E-3</c:v>
                </c:pt>
                <c:pt idx="85">
                  <c:v>3.1144240386543065E-3</c:v>
                </c:pt>
                <c:pt idx="86">
                  <c:v>2.9458483090854088E-3</c:v>
                </c:pt>
                <c:pt idx="87">
                  <c:v>2.7960177418570507E-3</c:v>
                </c:pt>
                <c:pt idx="88">
                  <c:v>2.6649293472121431E-3</c:v>
                </c:pt>
                <c:pt idx="89">
                  <c:v>2.5525800209598871E-3</c:v>
                </c:pt>
                <c:pt idx="90">
                  <c:v>2.4589664844377455E-3</c:v>
                </c:pt>
                <c:pt idx="91">
                  <c:v>2.3840852244832746E-3</c:v>
                </c:pt>
                <c:pt idx="92">
                  <c:v>2.3279324333986004E-3</c:v>
                </c:pt>
                <c:pt idx="93">
                  <c:v>2.3133058635518341E-3</c:v>
                </c:pt>
                <c:pt idx="94">
                  <c:v>2.3349476625019417E-3</c:v>
                </c:pt>
                <c:pt idx="95">
                  <c:v>2.3928479008076802E-3</c:v>
                </c:pt>
                <c:pt idx="96">
                  <c:v>2.4869955391190182E-3</c:v>
                </c:pt>
                <c:pt idx="97">
                  <c:v>2.6173783118798332E-3</c:v>
                </c:pt>
                <c:pt idx="98">
                  <c:v>2.7839826110097961E-3</c:v>
                </c:pt>
                <c:pt idx="99">
                  <c:v>3.0201586984063117E-3</c:v>
                </c:pt>
                <c:pt idx="100">
                  <c:v>3.3124099524150172E-3</c:v>
                </c:pt>
                <c:pt idx="101">
                  <c:v>3.6607100605945977E-3</c:v>
                </c:pt>
                <c:pt idx="102">
                  <c:v>4.0650300110151366E-3</c:v>
                </c:pt>
                <c:pt idx="103">
                  <c:v>4.5253379120886944E-3</c:v>
                </c:pt>
                <c:pt idx="104">
                  <c:v>5.0415988124891051E-3</c:v>
                </c:pt>
                <c:pt idx="105">
                  <c:v>5.6137745209902746E-3</c:v>
                </c:pt>
                <c:pt idx="106">
                  <c:v>6.2418234263533585E-3</c:v>
                </c:pt>
                <c:pt idx="107">
                  <c:v>6.9590552978534654E-3</c:v>
                </c:pt>
                <c:pt idx="108">
                  <c:v>7.7426441436621724E-3</c:v>
                </c:pt>
                <c:pt idx="109">
                  <c:v>8.5925300884214795E-3</c:v>
                </c:pt>
                <c:pt idx="110">
                  <c:v>9.5086755387083517E-3</c:v>
                </c:pt>
                <c:pt idx="111">
                  <c:v>1.0491049822285914E-2</c:v>
                </c:pt>
                <c:pt idx="112">
                  <c:v>1.1539597958088031E-2</c:v>
                </c:pt>
                <c:pt idx="113">
                  <c:v>1.2680802446584594E-2</c:v>
                </c:pt>
                <c:pt idx="114">
                  <c:v>1.388130449582326E-2</c:v>
                </c:pt>
                <c:pt idx="115">
                  <c:v>1.5141044681015159E-2</c:v>
                </c:pt>
                <c:pt idx="116">
                  <c:v>1.6459960656932112E-2</c:v>
                </c:pt>
                <c:pt idx="117">
                  <c:v>1.7837987027135523E-2</c:v>
                </c:pt>
                <c:pt idx="118">
                  <c:v>1.9275055213068788E-2</c:v>
                </c:pt>
                <c:pt idx="119">
                  <c:v>2.0771093323185875E-2</c:v>
                </c:pt>
                <c:pt idx="120">
                  <c:v>2.2326026022044171E-2</c:v>
                </c:pt>
                <c:pt idx="121">
                  <c:v>2.395768927751037E-2</c:v>
                </c:pt>
                <c:pt idx="122">
                  <c:v>2.5632741486248629E-2</c:v>
                </c:pt>
                <c:pt idx="123">
                  <c:v>2.7351108172107282E-2</c:v>
                </c:pt>
                <c:pt idx="124">
                  <c:v>2.9112711530055808E-2</c:v>
                </c:pt>
                <c:pt idx="125">
                  <c:v>3.0917470329129736E-2</c:v>
                </c:pt>
                <c:pt idx="126">
                  <c:v>3.276529981500606E-2</c:v>
                </c:pt>
                <c:pt idx="127">
                  <c:v>3.4659290504035822E-2</c:v>
                </c:pt>
                <c:pt idx="128">
                  <c:v>3.6572909258456472E-2</c:v>
                </c:pt>
                <c:pt idx="129">
                  <c:v>3.8506082063552625E-2</c:v>
                </c:pt>
                <c:pt idx="130">
                  <c:v>4.0458732167643029E-2</c:v>
                </c:pt>
                <c:pt idx="131">
                  <c:v>4.2430780035497224E-2</c:v>
                </c:pt>
                <c:pt idx="132">
                  <c:v>4.4422143302057147E-2</c:v>
                </c:pt>
                <c:pt idx="133">
                  <c:v>4.643273672643853E-2</c:v>
                </c:pt>
                <c:pt idx="134">
                  <c:v>4.8462472145746803E-2</c:v>
                </c:pt>
                <c:pt idx="135">
                  <c:v>5.0506188233830129E-2</c:v>
                </c:pt>
                <c:pt idx="136">
                  <c:v>5.2545966732671569E-2</c:v>
                </c:pt>
                <c:pt idx="137">
                  <c:v>5.4581737352047549E-2</c:v>
                </c:pt>
                <c:pt idx="138">
                  <c:v>5.661342810347781E-2</c:v>
                </c:pt>
                <c:pt idx="139">
                  <c:v>5.8640965305766485E-2</c:v>
                </c:pt>
                <c:pt idx="140">
                  <c:v>6.0664273587426716E-2</c:v>
                </c:pt>
                <c:pt idx="141">
                  <c:v>6.26522834099381E-2</c:v>
                </c:pt>
                <c:pt idx="142">
                  <c:v>6.4601440454139292E-2</c:v>
                </c:pt>
                <c:pt idx="143">
                  <c:v>6.6511383017062178E-2</c:v>
                </c:pt>
                <c:pt idx="144">
                  <c:v>6.8382129809672718E-2</c:v>
                </c:pt>
                <c:pt idx="145">
                  <c:v>7.0213714199814051E-2</c:v>
                </c:pt>
                <c:pt idx="146">
                  <c:v>7.200618372685276E-2</c:v>
                </c:pt>
                <c:pt idx="147">
                  <c:v>7.3759599618638441E-2</c:v>
                </c:pt>
                <c:pt idx="148">
                  <c:v>7.5474036306831527E-2</c:v>
                </c:pt>
                <c:pt idx="149">
                  <c:v>7.7120286868749541E-2</c:v>
                </c:pt>
                <c:pt idx="150">
                  <c:v>7.8703536173754959E-2</c:v>
                </c:pt>
                <c:pt idx="151">
                  <c:v>8.0223939608650388E-2</c:v>
                </c:pt>
                <c:pt idx="152">
                  <c:v>8.1681665017218172E-2</c:v>
                </c:pt>
                <c:pt idx="153">
                  <c:v>8.3076891888547486E-2</c:v>
                </c:pt>
                <c:pt idx="154">
                  <c:v>8.4409810545792385E-2</c:v>
                </c:pt>
                <c:pt idx="155">
                  <c:v>8.5658865394697845E-2</c:v>
                </c:pt>
                <c:pt idx="156">
                  <c:v>8.6855040309937293E-2</c:v>
                </c:pt>
                <c:pt idx="157">
                  <c:v>8.7998536332474578E-2</c:v>
                </c:pt>
                <c:pt idx="158">
                  <c:v>8.9089561911062168E-2</c:v>
                </c:pt>
                <c:pt idx="159">
                  <c:v>9.0128332212189924E-2</c:v>
                </c:pt>
                <c:pt idx="160">
                  <c:v>9.1115068431124269E-2</c:v>
                </c:pt>
                <c:pt idx="161">
                  <c:v>9.2049997101945724E-2</c:v>
                </c:pt>
                <c:pt idx="162">
                  <c:v>9.2933349408061347E-2</c:v>
                </c:pt>
                <c:pt idx="163">
                  <c:v>9.3714695699087677E-2</c:v>
                </c:pt>
                <c:pt idx="164">
                  <c:v>9.442339050301464E-2</c:v>
                </c:pt>
                <c:pt idx="165">
                  <c:v>9.5059712951191408E-2</c:v>
                </c:pt>
                <c:pt idx="166">
                  <c:v>9.5623942531788422E-2</c:v>
                </c:pt>
                <c:pt idx="167">
                  <c:v>9.6116358104525859E-2</c:v>
                </c:pt>
                <c:pt idx="168">
                  <c:v>9.6537236918438407E-2</c:v>
                </c:pt>
                <c:pt idx="169">
                  <c:v>9.6836368301940021E-2</c:v>
                </c:pt>
                <c:pt idx="170">
                  <c:v>9.7035664070150976E-2</c:v>
                </c:pt>
                <c:pt idx="171">
                  <c:v>9.7135434260741546E-2</c:v>
                </c:pt>
                <c:pt idx="172">
                  <c:v>9.7135979978636475E-2</c:v>
                </c:pt>
                <c:pt idx="173">
                  <c:v>9.7036599709041924E-2</c:v>
                </c:pt>
                <c:pt idx="174">
                  <c:v>9.6836535900665544E-2</c:v>
                </c:pt>
                <c:pt idx="175">
                  <c:v>9.6535997931752646E-2</c:v>
                </c:pt>
                <c:pt idx="176">
                  <c:v>9.6135194517617692E-2</c:v>
                </c:pt>
                <c:pt idx="177">
                  <c:v>9.5612852017509367E-2</c:v>
                </c:pt>
                <c:pt idx="178">
                  <c:v>9.5019461192670115E-2</c:v>
                </c:pt>
                <c:pt idx="179">
                  <c:v>9.4355181983575273E-2</c:v>
                </c:pt>
                <c:pt idx="180">
                  <c:v>9.3620171817550779E-2</c:v>
                </c:pt>
                <c:pt idx="181">
                  <c:v>9.2814585186990303E-2</c:v>
                </c:pt>
                <c:pt idx="182">
                  <c:v>9.1938573228400863E-2</c:v>
                </c:pt>
                <c:pt idx="183">
                  <c:v>9.0963549751500672E-2</c:v>
                </c:pt>
                <c:pt idx="184">
                  <c:v>8.9939804600141018E-2</c:v>
                </c:pt>
                <c:pt idx="185">
                  <c:v>8.8867445509107398E-2</c:v>
                </c:pt>
                <c:pt idx="186">
                  <c:v>8.7746575976334132E-2</c:v>
                </c:pt>
                <c:pt idx="187">
                  <c:v>8.657729496803479E-2</c:v>
                </c:pt>
                <c:pt idx="188">
                  <c:v>8.5359696624296807E-2</c:v>
                </c:pt>
                <c:pt idx="189">
                  <c:v>8.409386996203283E-2</c:v>
                </c:pt>
                <c:pt idx="190">
                  <c:v>8.2779898581617647E-2</c:v>
                </c:pt>
                <c:pt idx="191">
                  <c:v>8.1387695509121394E-2</c:v>
                </c:pt>
                <c:pt idx="192">
                  <c:v>7.9938701368399007E-2</c:v>
                </c:pt>
                <c:pt idx="193">
                  <c:v>7.8432991392827195E-2</c:v>
                </c:pt>
                <c:pt idx="194">
                  <c:v>7.6870633533569988E-2</c:v>
                </c:pt>
                <c:pt idx="195">
                  <c:v>7.5251688113936219E-2</c:v>
                </c:pt>
                <c:pt idx="196">
                  <c:v>7.3576207480684844E-2</c:v>
                </c:pt>
                <c:pt idx="197">
                  <c:v>7.1839324190134654E-2</c:v>
                </c:pt>
                <c:pt idx="198">
                  <c:v>7.0069632625694045E-2</c:v>
                </c:pt>
                <c:pt idx="199">
                  <c:v>6.8267135858414166E-2</c:v>
                </c:pt>
                <c:pt idx="200">
                  <c:v>6.6431829729176203E-2</c:v>
                </c:pt>
                <c:pt idx="201">
                  <c:v>6.4563702640678858E-2</c:v>
                </c:pt>
                <c:pt idx="202">
                  <c:v>6.2662735349890766E-2</c:v>
                </c:pt>
                <c:pt idx="203">
                  <c:v>6.0728900761898887E-2</c:v>
                </c:pt>
                <c:pt idx="204">
                  <c:v>5.8762068830545765E-2</c:v>
                </c:pt>
                <c:pt idx="205">
                  <c:v>5.6765143942349307E-2</c:v>
                </c:pt>
                <c:pt idx="206">
                  <c:v>5.4768066344322873E-2</c:v>
                </c:pt>
                <c:pt idx="207">
                  <c:v>5.2770737557559226E-2</c:v>
                </c:pt>
                <c:pt idx="208">
                  <c:v>5.0773061416847974E-2</c:v>
                </c:pt>
                <c:pt idx="209">
                  <c:v>4.8774944075704124E-2</c:v>
                </c:pt>
                <c:pt idx="210">
                  <c:v>4.6776294013116941E-2</c:v>
                </c:pt>
                <c:pt idx="211">
                  <c:v>4.4794241837479799E-2</c:v>
                </c:pt>
                <c:pt idx="212">
                  <c:v>4.2833587632345377E-2</c:v>
                </c:pt>
                <c:pt idx="213">
                  <c:v>4.0894238999642063E-2</c:v>
                </c:pt>
                <c:pt idx="214">
                  <c:v>3.8976107395696825E-2</c:v>
                </c:pt>
                <c:pt idx="215">
                  <c:v>3.707910806841902E-2</c:v>
                </c:pt>
                <c:pt idx="216">
                  <c:v>3.5203159994318146E-2</c:v>
                </c:pt>
                <c:pt idx="217">
                  <c:v>3.3348185815652867E-2</c:v>
                </c:pt>
                <c:pt idx="218">
                  <c:v>3.1514111777364698E-2</c:v>
                </c:pt>
                <c:pt idx="219">
                  <c:v>2.9726309981482669E-2</c:v>
                </c:pt>
                <c:pt idx="220">
                  <c:v>2.7981651513397959E-2</c:v>
                </c:pt>
                <c:pt idx="221">
                  <c:v>2.6280070763759895E-2</c:v>
                </c:pt>
                <c:pt idx="222">
                  <c:v>2.4621506656358667E-2</c:v>
                </c:pt>
                <c:pt idx="223">
                  <c:v>2.300590251609454E-2</c:v>
                </c:pt>
                <c:pt idx="224">
                  <c:v>2.1433205936249453E-2</c:v>
                </c:pt>
                <c:pt idx="225">
                  <c:v>1.9935300262550873E-2</c:v>
                </c:pt>
                <c:pt idx="226">
                  <c:v>1.849493836363468E-2</c:v>
                </c:pt>
                <c:pt idx="227">
                  <c:v>1.7112080778314154E-2</c:v>
                </c:pt>
                <c:pt idx="228">
                  <c:v>1.578669237843509E-2</c:v>
                </c:pt>
                <c:pt idx="229">
                  <c:v>1.45187421903561E-2</c:v>
                </c:pt>
                <c:pt idx="230">
                  <c:v>1.3308203216729214E-2</c:v>
                </c:pt>
                <c:pt idx="231">
                  <c:v>1.2155052258285795E-2</c:v>
                </c:pt>
                <c:pt idx="232">
                  <c:v>1.1059269735332699E-2</c:v>
                </c:pt>
                <c:pt idx="233">
                  <c:v>1.0052750354792436E-2</c:v>
                </c:pt>
                <c:pt idx="234">
                  <c:v>9.110042804218392E-3</c:v>
                </c:pt>
                <c:pt idx="235">
                  <c:v>8.2311454555552693E-3</c:v>
                </c:pt>
                <c:pt idx="236">
                  <c:v>7.4160595058889852E-3</c:v>
                </c:pt>
                <c:pt idx="237">
                  <c:v>6.6647816135408586E-3</c:v>
                </c:pt>
                <c:pt idx="238">
                  <c:v>5.9773104909132376E-3</c:v>
                </c:pt>
                <c:pt idx="239">
                  <c:v>5.3754510264057967E-3</c:v>
                </c:pt>
                <c:pt idx="240">
                  <c:v>4.8272598397497389E-3</c:v>
                </c:pt>
                <c:pt idx="241">
                  <c:v>4.3327400256977771E-3</c:v>
                </c:pt>
                <c:pt idx="242">
                  <c:v>3.8918967315191345E-3</c:v>
                </c:pt>
                <c:pt idx="243">
                  <c:v>3.504737251866613E-3</c:v>
                </c:pt>
                <c:pt idx="244">
                  <c:v>3.1712711235998502E-3</c:v>
                </c:pt>
                <c:pt idx="245">
                  <c:v>2.891510220573558E-3</c:v>
                </c:pt>
                <c:pt idx="246">
                  <c:v>2.6654688484356315E-3</c:v>
                </c:pt>
                <c:pt idx="247">
                  <c:v>2.5060636814135556E-3</c:v>
                </c:pt>
                <c:pt idx="248">
                  <c:v>2.3813621108825607E-3</c:v>
                </c:pt>
                <c:pt idx="249">
                  <c:v>2.2913773274966577E-3</c:v>
                </c:pt>
                <c:pt idx="250">
                  <c:v>2.2361243029508124E-3</c:v>
                </c:pt>
                <c:pt idx="251">
                  <c:v>2.2156198512669092E-3</c:v>
                </c:pt>
                <c:pt idx="252">
                  <c:v>2.2298826899794697E-3</c:v>
                </c:pt>
                <c:pt idx="253">
                  <c:v>2.2839619817983129E-3</c:v>
                </c:pt>
                <c:pt idx="254">
                  <c:v>2.3560314325451171E-3</c:v>
                </c:pt>
                <c:pt idx="255">
                  <c:v>2.4461048834826435E-3</c:v>
                </c:pt>
                <c:pt idx="256">
                  <c:v>2.5541973049016831E-3</c:v>
                </c:pt>
                <c:pt idx="257">
                  <c:v>2.6803248277012192E-3</c:v>
                </c:pt>
                <c:pt idx="258">
                  <c:v>2.8245047749894496E-3</c:v>
                </c:pt>
                <c:pt idx="259">
                  <c:v>2.9867556937257836E-3</c:v>
                </c:pt>
                <c:pt idx="260">
                  <c:v>3.1670973862812295E-3</c:v>
                </c:pt>
                <c:pt idx="261">
                  <c:v>3.3809769005842503E-3</c:v>
                </c:pt>
                <c:pt idx="262">
                  <c:v>3.6154874676548212E-3</c:v>
                </c:pt>
                <c:pt idx="263">
                  <c:v>3.8706556501802007E-3</c:v>
                </c:pt>
                <c:pt idx="264">
                  <c:v>4.1465097745449382E-3</c:v>
                </c:pt>
                <c:pt idx="265">
                  <c:v>4.4431036330410531E-3</c:v>
                </c:pt>
                <c:pt idx="266">
                  <c:v>4.7604870012327083E-3</c:v>
                </c:pt>
                <c:pt idx="267">
                  <c:v>5.1018870649591321E-3</c:v>
                </c:pt>
                <c:pt idx="268">
                  <c:v>5.4622933069222125E-3</c:v>
                </c:pt>
                <c:pt idx="269">
                  <c:v>5.8417403601195546E-3</c:v>
                </c:pt>
                <c:pt idx="270">
                  <c:v>6.2402631148524802E-3</c:v>
                </c:pt>
                <c:pt idx="271">
                  <c:v>6.6578965131602608E-3</c:v>
                </c:pt>
                <c:pt idx="272">
                  <c:v>7.0946753434003619E-3</c:v>
                </c:pt>
                <c:pt idx="273">
                  <c:v>7.550634034750388E-3</c:v>
                </c:pt>
                <c:pt idx="274">
                  <c:v>8.0258064517990026E-3</c:v>
                </c:pt>
                <c:pt idx="275">
                  <c:v>8.4935856231157549E-3</c:v>
                </c:pt>
                <c:pt idx="276">
                  <c:v>8.9384456257168496E-3</c:v>
                </c:pt>
                <c:pt idx="277">
                  <c:v>9.3603535269490903E-3</c:v>
                </c:pt>
                <c:pt idx="278">
                  <c:v>9.7592733955151542E-3</c:v>
                </c:pt>
                <c:pt idx="279">
                  <c:v>1.0135166558745119E-2</c:v>
                </c:pt>
                <c:pt idx="280">
                  <c:v>1.0487991859958752E-2</c:v>
                </c:pt>
                <c:pt idx="281">
                  <c:v>1.0802376671447641E-2</c:v>
                </c:pt>
                <c:pt idx="282">
                  <c:v>1.1075036913306385E-2</c:v>
                </c:pt>
                <c:pt idx="283">
                  <c:v>1.130589636367184E-2</c:v>
                </c:pt>
                <c:pt idx="284">
                  <c:v>1.1494877385204045E-2</c:v>
                </c:pt>
                <c:pt idx="285">
                  <c:v>1.1641901385301363E-2</c:v>
                </c:pt>
                <c:pt idx="286">
                  <c:v>1.174688927642562E-2</c:v>
                </c:pt>
                <c:pt idx="287">
                  <c:v>1.1809761936314582E-2</c:v>
                </c:pt>
                <c:pt idx="288">
                  <c:v>1.183044066823693E-2</c:v>
                </c:pt>
                <c:pt idx="289">
                  <c:v>1.180971017254445E-2</c:v>
                </c:pt>
                <c:pt idx="290">
                  <c:v>1.1774340892799823E-2</c:v>
                </c:pt>
                <c:pt idx="291">
                  <c:v>1.1724299057254162E-2</c:v>
                </c:pt>
                <c:pt idx="292">
                  <c:v>1.1659551749199309E-2</c:v>
                </c:pt>
                <c:pt idx="293">
                  <c:v>1.1580067065391069E-2</c:v>
                </c:pt>
                <c:pt idx="294">
                  <c:v>1.1485814274426506E-2</c:v>
                </c:pt>
                <c:pt idx="295">
                  <c:v>1.1374864640164151E-2</c:v>
                </c:pt>
                <c:pt idx="296">
                  <c:v>1.12627678333181E-2</c:v>
                </c:pt>
                <c:pt idx="297">
                  <c:v>1.1149604505436053E-2</c:v>
                </c:pt>
                <c:pt idx="298">
                  <c:v>1.1035360652320433E-2</c:v>
                </c:pt>
                <c:pt idx="299">
                  <c:v>1.092002267228895E-2</c:v>
                </c:pt>
                <c:pt idx="300">
                  <c:v>1.0803577375764076E-2</c:v>
                </c:pt>
                <c:pt idx="301">
                  <c:v>1.0686011994828755E-2</c:v>
                </c:pt>
                <c:pt idx="302">
                  <c:v>1.0567314192806723E-2</c:v>
                </c:pt>
                <c:pt idx="303">
                  <c:v>1.0449492894469498E-2</c:v>
                </c:pt>
                <c:pt idx="304">
                  <c:v>1.0331670912765042E-2</c:v>
                </c:pt>
                <c:pt idx="305">
                  <c:v>1.021383890437981E-2</c:v>
                </c:pt>
                <c:pt idx="306">
                  <c:v>1.0095987977413496E-2</c:v>
                </c:pt>
                <c:pt idx="307">
                  <c:v>9.978109690355454E-3</c:v>
                </c:pt>
                <c:pt idx="308">
                  <c:v>9.8601960509769621E-3</c:v>
                </c:pt>
                <c:pt idx="309">
                  <c:v>9.7501415703650212E-3</c:v>
                </c:pt>
                <c:pt idx="310">
                  <c:v>9.6498638891606096E-3</c:v>
                </c:pt>
                <c:pt idx="311">
                  <c:v>9.5593695116930558E-3</c:v>
                </c:pt>
                <c:pt idx="312">
                  <c:v>9.4786649434651128E-3</c:v>
                </c:pt>
                <c:pt idx="313">
                  <c:v>9.4077566000394658E-3</c:v>
                </c:pt>
                <c:pt idx="314">
                  <c:v>9.3466507158379234E-3</c:v>
                </c:pt>
                <c:pt idx="315">
                  <c:v>9.295353253059262E-3</c:v>
                </c:pt>
                <c:pt idx="316">
                  <c:v>9.2538698104515597E-3</c:v>
                </c:pt>
                <c:pt idx="317">
                  <c:v>9.2215525610007381E-3</c:v>
                </c:pt>
                <c:pt idx="318">
                  <c:v>9.1963710646121976E-3</c:v>
                </c:pt>
                <c:pt idx="319">
                  <c:v>9.1783263404974936E-3</c:v>
                </c:pt>
                <c:pt idx="320">
                  <c:v>9.1674189133641379E-3</c:v>
                </c:pt>
                <c:pt idx="321">
                  <c:v>9.1636487468665876E-3</c:v>
                </c:pt>
                <c:pt idx="322">
                  <c:v>9.1670151770956269E-3</c:v>
                </c:pt>
                <c:pt idx="323">
                  <c:v>9.2004479275553074E-3</c:v>
                </c:pt>
                <c:pt idx="324">
                  <c:v>9.2560166808705376E-3</c:v>
                </c:pt>
                <c:pt idx="325">
                  <c:v>9.3337286968502142E-3</c:v>
                </c:pt>
                <c:pt idx="326">
                  <c:v>9.4335297821915558E-3</c:v>
                </c:pt>
                <c:pt idx="327">
                  <c:v>9.5553993544731184E-3</c:v>
                </c:pt>
                <c:pt idx="328">
                  <c:v>9.69936132654922E-3</c:v>
                </c:pt>
                <c:pt idx="329">
                  <c:v>9.865437080266307E-3</c:v>
                </c:pt>
                <c:pt idx="330">
                  <c:v>1.0053645930504089E-2</c:v>
                </c:pt>
                <c:pt idx="331">
                  <c:v>1.0294954805975953E-2</c:v>
                </c:pt>
                <c:pt idx="332">
                  <c:v>1.0590044805544896E-2</c:v>
                </c:pt>
                <c:pt idx="333">
                  <c:v>1.0938937979989788E-2</c:v>
                </c:pt>
                <c:pt idx="334">
                  <c:v>1.1341653663730392E-2</c:v>
                </c:pt>
                <c:pt idx="335">
                  <c:v>1.1798209596439013E-2</c:v>
                </c:pt>
                <c:pt idx="336">
                  <c:v>1.2308623044511052E-2</c:v>
                </c:pt>
                <c:pt idx="337">
                  <c:v>1.2845785309963005E-2</c:v>
                </c:pt>
                <c:pt idx="338">
                  <c:v>1.3386736340512684E-2</c:v>
                </c:pt>
                <c:pt idx="339">
                  <c:v>1.3931495301725348E-2</c:v>
                </c:pt>
                <c:pt idx="340">
                  <c:v>1.4480085775068985E-2</c:v>
                </c:pt>
                <c:pt idx="341">
                  <c:v>1.5032535837692229E-2</c:v>
                </c:pt>
                <c:pt idx="342">
                  <c:v>1.5588878142202861E-2</c:v>
                </c:pt>
                <c:pt idx="343">
                  <c:v>1.6149149996262099E-2</c:v>
                </c:pt>
                <c:pt idx="344">
                  <c:v>1.6713393442411413E-2</c:v>
                </c:pt>
                <c:pt idx="345">
                  <c:v>1.7281655337739777E-2</c:v>
                </c:pt>
                <c:pt idx="346">
                  <c:v>1.7796033762394265E-2</c:v>
                </c:pt>
                <c:pt idx="347">
                  <c:v>1.8256573894610984E-2</c:v>
                </c:pt>
                <c:pt idx="348">
                  <c:v>1.8663320910994857E-2</c:v>
                </c:pt>
                <c:pt idx="349">
                  <c:v>1.9016318861412255E-2</c:v>
                </c:pt>
                <c:pt idx="350">
                  <c:v>1.9315609544317588E-2</c:v>
                </c:pt>
                <c:pt idx="351">
                  <c:v>1.9534234079827451E-2</c:v>
                </c:pt>
                <c:pt idx="352">
                  <c:v>1.9699365689048186E-2</c:v>
                </c:pt>
                <c:pt idx="353">
                  <c:v>1.9811030730702315E-2</c:v>
                </c:pt>
                <c:pt idx="354">
                  <c:v>1.9869248612564727E-2</c:v>
                </c:pt>
                <c:pt idx="355">
                  <c:v>1.9874030668645608E-2</c:v>
                </c:pt>
                <c:pt idx="356">
                  <c:v>1.9825392737857512E-2</c:v>
                </c:pt>
                <c:pt idx="357">
                  <c:v>1.9723282478976034E-2</c:v>
                </c:pt>
                <c:pt idx="358">
                  <c:v>1.9567590212900245E-2</c:v>
                </c:pt>
                <c:pt idx="359">
                  <c:v>1.935819820949489E-2</c:v>
                </c:pt>
                <c:pt idx="360">
                  <c:v>1.9067767610554641E-2</c:v>
                </c:pt>
                <c:pt idx="361">
                  <c:v>1.8723210153424694E-2</c:v>
                </c:pt>
                <c:pt idx="362">
                  <c:v>1.8324390539112556E-2</c:v>
                </c:pt>
                <c:pt idx="363">
                  <c:v>1.78711712221758E-2</c:v>
                </c:pt>
                <c:pt idx="364">
                  <c:v>1.7363413800087098E-2</c:v>
                </c:pt>
                <c:pt idx="365">
                  <c:v>1.6800980402347638E-2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3.4715680900661836E-2</c:v>
                </c:pt>
                <c:pt idx="1">
                  <c:v>3.4171012836370994E-2</c:v>
                </c:pt>
                <c:pt idx="2">
                  <c:v>3.3547535787732848E-2</c:v>
                </c:pt>
                <c:pt idx="3">
                  <c:v>3.284504205660696E-2</c:v>
                </c:pt>
                <c:pt idx="4">
                  <c:v>3.2063329248231902E-2</c:v>
                </c:pt>
                <c:pt idx="5">
                  <c:v>3.1202202273317298E-2</c:v>
                </c:pt>
                <c:pt idx="6">
                  <c:v>3.0261475350536388E-2</c:v>
                </c:pt>
                <c:pt idx="7">
                  <c:v>2.9240974008299576E-2</c:v>
                </c:pt>
                <c:pt idx="8">
                  <c:v>2.8140537086992101E-2</c:v>
                </c:pt>
                <c:pt idx="9">
                  <c:v>2.7004446567575936E-2</c:v>
                </c:pt>
                <c:pt idx="10">
                  <c:v>2.5886347418873301E-2</c:v>
                </c:pt>
                <c:pt idx="11">
                  <c:v>2.4786250443026736E-2</c:v>
                </c:pt>
                <c:pt idx="12">
                  <c:v>2.3704175864327198E-2</c:v>
                </c:pt>
                <c:pt idx="13">
                  <c:v>2.2640152836458968E-2</c:v>
                </c:pt>
                <c:pt idx="14">
                  <c:v>2.1594218949364325E-2</c:v>
                </c:pt>
                <c:pt idx="15">
                  <c:v>2.0607903265790987E-2</c:v>
                </c:pt>
                <c:pt idx="16">
                  <c:v>1.9706407365429036E-2</c:v>
                </c:pt>
                <c:pt idx="17">
                  <c:v>1.8889839129947551E-2</c:v>
                </c:pt>
                <c:pt idx="18">
                  <c:v>1.8158298653220214E-2</c:v>
                </c:pt>
                <c:pt idx="19">
                  <c:v>1.7511973738976578E-2</c:v>
                </c:pt>
                <c:pt idx="20">
                  <c:v>1.6951070232990546E-2</c:v>
                </c:pt>
                <c:pt idx="21">
                  <c:v>1.6475695962153928E-2</c:v>
                </c:pt>
                <c:pt idx="22">
                  <c:v>1.6085943375523808E-2</c:v>
                </c:pt>
                <c:pt idx="23">
                  <c:v>1.5793913660103145E-2</c:v>
                </c:pt>
                <c:pt idx="24">
                  <c:v>1.5555074824553974E-2</c:v>
                </c:pt>
                <c:pt idx="25">
                  <c:v>1.5369473417750842E-2</c:v>
                </c:pt>
                <c:pt idx="26">
                  <c:v>1.5237148586793115E-2</c:v>
                </c:pt>
                <c:pt idx="27">
                  <c:v>1.5158132746648812E-2</c:v>
                </c:pt>
                <c:pt idx="28">
                  <c:v>1.5132452250129972E-2</c:v>
                </c:pt>
                <c:pt idx="29">
                  <c:v>1.5164011343271703E-2</c:v>
                </c:pt>
                <c:pt idx="30">
                  <c:v>1.5211273520336405E-2</c:v>
                </c:pt>
                <c:pt idx="31">
                  <c:v>1.5274254841012073E-2</c:v>
                </c:pt>
                <c:pt idx="32">
                  <c:v>1.5352970477739245E-2</c:v>
                </c:pt>
                <c:pt idx="33">
                  <c:v>1.5447434914556491E-2</c:v>
                </c:pt>
                <c:pt idx="34">
                  <c:v>1.5557662146015103E-2</c:v>
                </c:pt>
                <c:pt idx="35">
                  <c:v>1.5683665876082397E-2</c:v>
                </c:pt>
                <c:pt idx="36">
                  <c:v>1.5825459717014035E-2</c:v>
                </c:pt>
                <c:pt idx="37">
                  <c:v>1.5981400051414837E-2</c:v>
                </c:pt>
                <c:pt idx="38">
                  <c:v>1.6139482600226445E-2</c:v>
                </c:pt>
                <c:pt idx="39">
                  <c:v>1.6299725525053113E-2</c:v>
                </c:pt>
                <c:pt idx="40">
                  <c:v>1.6462147761358528E-2</c:v>
                </c:pt>
                <c:pt idx="41">
                  <c:v>1.6626769046380344E-2</c:v>
                </c:pt>
                <c:pt idx="42">
                  <c:v>1.6793609946934334E-2</c:v>
                </c:pt>
                <c:pt idx="43">
                  <c:v>1.6961659981954307E-2</c:v>
                </c:pt>
                <c:pt idx="44">
                  <c:v>1.7127062552210106E-2</c:v>
                </c:pt>
                <c:pt idx="45">
                  <c:v>1.7289841972383212E-2</c:v>
                </c:pt>
                <c:pt idx="46">
                  <c:v>1.7450023299680428E-2</c:v>
                </c:pt>
                <c:pt idx="47">
                  <c:v>1.7607632300319441E-2</c:v>
                </c:pt>
                <c:pt idx="48">
                  <c:v>1.7762695415789172E-2</c:v>
                </c:pt>
                <c:pt idx="49">
                  <c:v>1.79152397292669E-2</c:v>
                </c:pt>
                <c:pt idx="50">
                  <c:v>1.8065292931927844E-2</c:v>
                </c:pt>
                <c:pt idx="51">
                  <c:v>1.8195038372132384E-2</c:v>
                </c:pt>
                <c:pt idx="52">
                  <c:v>1.8306060149714112E-2</c:v>
                </c:pt>
                <c:pt idx="53">
                  <c:v>1.8398263612406308E-2</c:v>
                </c:pt>
                <c:pt idx="54">
                  <c:v>1.8471643127922779E-2</c:v>
                </c:pt>
                <c:pt idx="55">
                  <c:v>1.852619261601746E-2</c:v>
                </c:pt>
                <c:pt idx="56">
                  <c:v>1.8561905618312381E-2</c:v>
                </c:pt>
                <c:pt idx="57">
                  <c:v>1.8545325334662962E-2</c:v>
                </c:pt>
                <c:pt idx="58">
                  <c:v>1.8477475688516581E-2</c:v>
                </c:pt>
                <c:pt idx="59">
                  <c:v>1.8358348788546513E-2</c:v>
                </c:pt>
                <c:pt idx="60">
                  <c:v>1.818793656716752E-2</c:v>
                </c:pt>
                <c:pt idx="61">
                  <c:v>1.7966230970313055E-2</c:v>
                </c:pt>
                <c:pt idx="62">
                  <c:v>1.7693224147185348E-2</c:v>
                </c:pt>
                <c:pt idx="63">
                  <c:v>1.7368908640059591E-2</c:v>
                </c:pt>
                <c:pt idx="64">
                  <c:v>1.6993277574016821E-2</c:v>
                </c:pt>
                <c:pt idx="65">
                  <c:v>1.6565140425539252E-2</c:v>
                </c:pt>
                <c:pt idx="66">
                  <c:v>1.6102337729039448E-2</c:v>
                </c:pt>
                <c:pt idx="67">
                  <c:v>1.5604865562866077E-2</c:v>
                </c:pt>
                <c:pt idx="68">
                  <c:v>1.5072721118456785E-2</c:v>
                </c:pt>
                <c:pt idx="69">
                  <c:v>1.4505902828420519E-2</c:v>
                </c:pt>
                <c:pt idx="70">
                  <c:v>1.3904410494695194E-2</c:v>
                </c:pt>
                <c:pt idx="71">
                  <c:v>1.3286657715462247E-2</c:v>
                </c:pt>
                <c:pt idx="72">
                  <c:v>1.2686097294033289E-2</c:v>
                </c:pt>
                <c:pt idx="73">
                  <c:v>1.2102730847144831E-2</c:v>
                </c:pt>
                <c:pt idx="74">
                  <c:v>1.1536560437565633E-2</c:v>
                </c:pt>
                <c:pt idx="75">
                  <c:v>1.0987588510380683E-2</c:v>
                </c:pt>
                <c:pt idx="76">
                  <c:v>1.0455817829237712E-2</c:v>
                </c:pt>
                <c:pt idx="77">
                  <c:v>9.9412514126311479E-3</c:v>
                </c:pt>
                <c:pt idx="78">
                  <c:v>9.443892783696381E-3</c:v>
                </c:pt>
                <c:pt idx="79">
                  <c:v>8.9722245814521859E-3</c:v>
                </c:pt>
                <c:pt idx="80">
                  <c:v>8.5274508054715165E-3</c:v>
                </c:pt>
                <c:pt idx="81">
                  <c:v>8.1095651452688777E-3</c:v>
                </c:pt>
                <c:pt idx="82">
                  <c:v>7.7185617821851444E-3</c:v>
                </c:pt>
                <c:pt idx="83">
                  <c:v>7.3544353033640443E-3</c:v>
                </c:pt>
                <c:pt idx="84">
                  <c:v>7.0171806157539249E-3</c:v>
                </c:pt>
                <c:pt idx="85">
                  <c:v>6.7231918982495692E-3</c:v>
                </c:pt>
                <c:pt idx="86">
                  <c:v>6.4540604060886646E-3</c:v>
                </c:pt>
                <c:pt idx="87">
                  <c:v>6.2097817151302625E-3</c:v>
                </c:pt>
                <c:pt idx="88">
                  <c:v>5.9903513874022679E-3</c:v>
                </c:pt>
                <c:pt idx="89">
                  <c:v>5.7957648915073741E-3</c:v>
                </c:pt>
                <c:pt idx="90">
                  <c:v>5.6260175230167233E-3</c:v>
                </c:pt>
                <c:pt idx="91">
                  <c:v>5.4811043248858401E-3</c:v>
                </c:pt>
                <c:pt idx="92">
                  <c:v>5.3610200078541672E-3</c:v>
                </c:pt>
                <c:pt idx="93">
                  <c:v>5.2927806488843572E-3</c:v>
                </c:pt>
                <c:pt idx="94">
                  <c:v>5.2679368263550816E-3</c:v>
                </c:pt>
                <c:pt idx="95">
                  <c:v>5.2864765703965503E-3</c:v>
                </c:pt>
                <c:pt idx="96">
                  <c:v>5.3483866478162348E-3</c:v>
                </c:pt>
                <c:pt idx="97">
                  <c:v>5.4536524229506396E-3</c:v>
                </c:pt>
                <c:pt idx="98">
                  <c:v>5.602257718470241E-3</c:v>
                </c:pt>
                <c:pt idx="99">
                  <c:v>5.8368911279931025E-3</c:v>
                </c:pt>
                <c:pt idx="100">
                  <c:v>6.1411387804863474E-3</c:v>
                </c:pt>
                <c:pt idx="101">
                  <c:v>6.5149685103672453E-3</c:v>
                </c:pt>
                <c:pt idx="102">
                  <c:v>6.9583448756216594E-3</c:v>
                </c:pt>
                <c:pt idx="103">
                  <c:v>7.4712289341127072E-3</c:v>
                </c:pt>
                <c:pt idx="104">
                  <c:v>8.05357802004566E-3</c:v>
                </c:pt>
                <c:pt idx="105">
                  <c:v>8.7053455202894536E-3</c:v>
                </c:pt>
                <c:pt idx="106">
                  <c:v>9.426480650781938E-3</c:v>
                </c:pt>
                <c:pt idx="107">
                  <c:v>1.0259635527367075E-2</c:v>
                </c:pt>
                <c:pt idx="108">
                  <c:v>1.1177756393015223E-2</c:v>
                </c:pt>
                <c:pt idx="109">
                  <c:v>1.2180768518366291E-2</c:v>
                </c:pt>
                <c:pt idx="110">
                  <c:v>1.3268628928791775E-2</c:v>
                </c:pt>
                <c:pt idx="111">
                  <c:v>1.4441302722886233E-2</c:v>
                </c:pt>
                <c:pt idx="112">
                  <c:v>1.5698720393397727E-2</c:v>
                </c:pt>
                <c:pt idx="113">
                  <c:v>1.7072560418313884E-2</c:v>
                </c:pt>
                <c:pt idx="114">
                  <c:v>1.8520127149550047E-2</c:v>
                </c:pt>
                <c:pt idx="115">
                  <c:v>2.0041347103940458E-2</c:v>
                </c:pt>
                <c:pt idx="116">
                  <c:v>2.1636143206792097E-2</c:v>
                </c:pt>
                <c:pt idx="117">
                  <c:v>2.3304434629329098E-2</c:v>
                </c:pt>
                <c:pt idx="118">
                  <c:v>2.5046136625954517E-2</c:v>
                </c:pt>
                <c:pt idx="119">
                  <c:v>2.6861160371560906E-2</c:v>
                </c:pt>
                <c:pt idx="120">
                  <c:v>2.8749412798794675E-2</c:v>
                </c:pt>
                <c:pt idx="121">
                  <c:v>3.0733625984120504E-2</c:v>
                </c:pt>
                <c:pt idx="122">
                  <c:v>3.2771113586632962E-2</c:v>
                </c:pt>
                <c:pt idx="123">
                  <c:v>3.4861784259811436E-2</c:v>
                </c:pt>
                <c:pt idx="124">
                  <c:v>3.7005542586383416E-2</c:v>
                </c:pt>
                <c:pt idx="125">
                  <c:v>3.9202288959169655E-2</c:v>
                </c:pt>
                <c:pt idx="126">
                  <c:v>4.1451919461457633E-2</c:v>
                </c:pt>
                <c:pt idx="127">
                  <c:v>4.3757321890374283E-2</c:v>
                </c:pt>
                <c:pt idx="128">
                  <c:v>4.6086751330446957E-2</c:v>
                </c:pt>
                <c:pt idx="129">
                  <c:v>4.8440117193745191E-2</c:v>
                </c:pt>
                <c:pt idx="130">
                  <c:v>5.0817325552947851E-2</c:v>
                </c:pt>
                <c:pt idx="131">
                  <c:v>5.3218279084299179E-2</c:v>
                </c:pt>
                <c:pt idx="132">
                  <c:v>5.5642877010951219E-2</c:v>
                </c:pt>
                <c:pt idx="133">
                  <c:v>5.8091015046656862E-2</c:v>
                </c:pt>
                <c:pt idx="134">
                  <c:v>6.0562585339228529E-2</c:v>
                </c:pt>
                <c:pt idx="135">
                  <c:v>6.3049552628368546E-2</c:v>
                </c:pt>
                <c:pt idx="136">
                  <c:v>6.5529089542383664E-2</c:v>
                </c:pt>
                <c:pt idx="137">
                  <c:v>6.8001113244630471E-2</c:v>
                </c:pt>
                <c:pt idx="138">
                  <c:v>7.0465538992251997E-2</c:v>
                </c:pt>
                <c:pt idx="139">
                  <c:v>7.2922280148732102E-2</c:v>
                </c:pt>
                <c:pt idx="140">
                  <c:v>7.5371248192568463E-2</c:v>
                </c:pt>
                <c:pt idx="141">
                  <c:v>7.778673069324761E-2</c:v>
                </c:pt>
                <c:pt idx="142">
                  <c:v>8.0165248713986045E-2</c:v>
                </c:pt>
                <c:pt idx="143">
                  <c:v>8.2506340442787596E-2</c:v>
                </c:pt>
                <c:pt idx="144">
                  <c:v>8.4810015064015434E-2</c:v>
                </c:pt>
                <c:pt idx="145">
                  <c:v>8.7076298481321757E-2</c:v>
                </c:pt>
                <c:pt idx="146">
                  <c:v>8.9305232865914741E-2</c:v>
                </c:pt>
                <c:pt idx="147">
                  <c:v>9.14968762076947E-2</c:v>
                </c:pt>
                <c:pt idx="148">
                  <c:v>9.3651301864366474E-2</c:v>
                </c:pt>
                <c:pt idx="149">
                  <c:v>9.5733099525930662E-2</c:v>
                </c:pt>
                <c:pt idx="150">
                  <c:v>9.7750301577398988E-2</c:v>
                </c:pt>
                <c:pt idx="151">
                  <c:v>9.9703075241608263E-2</c:v>
                </c:pt>
                <c:pt idx="152">
                  <c:v>0.10159160265175698</c:v>
                </c:pt>
                <c:pt idx="153">
                  <c:v>0.10341608002810709</c:v>
                </c:pt>
                <c:pt idx="154">
                  <c:v>0.10517671685522056</c:v>
                </c:pt>
                <c:pt idx="155">
                  <c:v>0.10682568070472938</c:v>
                </c:pt>
                <c:pt idx="156">
                  <c:v>0.10838870365839322</c:v>
                </c:pt>
                <c:pt idx="157">
                  <c:v>0.10986607338869804</c:v>
                </c:pt>
                <c:pt idx="158">
                  <c:v>0.11125808744025149</c:v>
                </c:pt>
                <c:pt idx="159">
                  <c:v>0.11256505209995771</c:v>
                </c:pt>
                <c:pt idx="160">
                  <c:v>0.11378728126855349</c:v>
                </c:pt>
                <c:pt idx="161">
                  <c:v>0.11492509533089361</c:v>
                </c:pt>
                <c:pt idx="162">
                  <c:v>0.1159788200268292</c:v>
                </c:pt>
                <c:pt idx="163">
                  <c:v>0.11689843376624813</c:v>
                </c:pt>
                <c:pt idx="164">
                  <c:v>0.11771953214331139</c:v>
                </c:pt>
                <c:pt idx="165">
                  <c:v>0.11844247655338658</c:v>
                </c:pt>
                <c:pt idx="166">
                  <c:v>0.11906762807395528</c:v>
                </c:pt>
                <c:pt idx="167">
                  <c:v>0.11959534612725516</c:v>
                </c:pt>
                <c:pt idx="168">
                  <c:v>0.12002598714670576</c:v>
                </c:pt>
                <c:pt idx="169">
                  <c:v>0.12030973004328666</c:v>
                </c:pt>
                <c:pt idx="170">
                  <c:v>0.12049462046519661</c:v>
                </c:pt>
                <c:pt idx="171">
                  <c:v>0.12058099939866597</c:v>
                </c:pt>
                <c:pt idx="172">
                  <c:v>0.12056919895246303</c:v>
                </c:pt>
                <c:pt idx="173">
                  <c:v>0.12045830916610811</c:v>
                </c:pt>
                <c:pt idx="174">
                  <c:v>0.12024735186106023</c:v>
                </c:pt>
                <c:pt idx="175">
                  <c:v>0.11993654919414982</c:v>
                </c:pt>
                <c:pt idx="176">
                  <c:v>0.11952612266359332</c:v>
                </c:pt>
                <c:pt idx="177">
                  <c:v>0.11896884522832983</c:v>
                </c:pt>
                <c:pt idx="178">
                  <c:v>0.11831494880390887</c:v>
                </c:pt>
                <c:pt idx="179">
                  <c:v>0.11756464524060055</c:v>
                </c:pt>
                <c:pt idx="180">
                  <c:v>0.11671814332050108</c:v>
                </c:pt>
                <c:pt idx="181">
                  <c:v>0.11577564818501358</c:v>
                </c:pt>
                <c:pt idx="182">
                  <c:v>0.11473736076336043</c:v>
                </c:pt>
                <c:pt idx="183">
                  <c:v>0.11356865785937893</c:v>
                </c:pt>
                <c:pt idx="184">
                  <c:v>0.112319575888933</c:v>
                </c:pt>
                <c:pt idx="185">
                  <c:v>0.11099027784261899</c:v>
                </c:pt>
                <c:pt idx="186">
                  <c:v>0.10958092074022703</c:v>
                </c:pt>
                <c:pt idx="187">
                  <c:v>0.10809165514770995</c:v>
                </c:pt>
                <c:pt idx="188">
                  <c:v>0.10652262469473184</c:v>
                </c:pt>
                <c:pt idx="189">
                  <c:v>0.10487396558891628</c:v>
                </c:pt>
                <c:pt idx="190">
                  <c:v>0.10314580613469547</c:v>
                </c:pt>
                <c:pt idx="191">
                  <c:v>0.1013133284206893</c:v>
                </c:pt>
                <c:pt idx="192">
                  <c:v>9.9423790935260173E-2</c:v>
                </c:pt>
                <c:pt idx="193">
                  <c:v>9.7477267763352859E-2</c:v>
                </c:pt>
                <c:pt idx="194">
                  <c:v>9.5473824629215345E-2</c:v>
                </c:pt>
                <c:pt idx="195">
                  <c:v>9.3413518546246022E-2</c:v>
                </c:pt>
                <c:pt idx="196">
                  <c:v>9.1296397463046255E-2</c:v>
                </c:pt>
                <c:pt idx="197">
                  <c:v>8.9114824189043415E-2</c:v>
                </c:pt>
                <c:pt idx="198">
                  <c:v>8.6903437102070824E-2</c:v>
                </c:pt>
                <c:pt idx="199">
                  <c:v>8.4662228258649205E-2</c:v>
                </c:pt>
                <c:pt idx="200">
                  <c:v>8.239118166899502E-2</c:v>
                </c:pt>
                <c:pt idx="201">
                  <c:v>8.0090273103360976E-2</c:v>
                </c:pt>
                <c:pt idx="202">
                  <c:v>7.7759469898953451E-2</c:v>
                </c:pt>
                <c:pt idx="203">
                  <c:v>7.5398730768581501E-2</c:v>
                </c:pt>
                <c:pt idx="204">
                  <c:v>7.3007887710927866E-2</c:v>
                </c:pt>
                <c:pt idx="205">
                  <c:v>7.0589624636346937E-2</c:v>
                </c:pt>
                <c:pt idx="206">
                  <c:v>6.8168656161612121E-2</c:v>
                </c:pt>
                <c:pt idx="207">
                  <c:v>6.5744864028584163E-2</c:v>
                </c:pt>
                <c:pt idx="208">
                  <c:v>6.3318132576232047E-2</c:v>
                </c:pt>
                <c:pt idx="209">
                  <c:v>6.0888348754598337E-2</c:v>
                </c:pt>
                <c:pt idx="210">
                  <c:v>5.845540214090917E-2</c:v>
                </c:pt>
                <c:pt idx="211">
                  <c:v>5.6041128738874874E-2</c:v>
                </c:pt>
                <c:pt idx="212">
                  <c:v>5.3653062896090009E-2</c:v>
                </c:pt>
                <c:pt idx="213">
                  <c:v>5.1291091566129376E-2</c:v>
                </c:pt>
                <c:pt idx="214">
                  <c:v>4.8955106405875547E-2</c:v>
                </c:pt>
                <c:pt idx="215">
                  <c:v>4.6645003698619548E-2</c:v>
                </c:pt>
                <c:pt idx="216">
                  <c:v>4.4360684276954082E-2</c:v>
                </c:pt>
                <c:pt idx="217">
                  <c:v>4.2102053445832073E-2</c:v>
                </c:pt>
                <c:pt idx="218">
                  <c:v>3.9869020905354817E-2</c:v>
                </c:pt>
                <c:pt idx="219">
                  <c:v>3.7691938608766982E-2</c:v>
                </c:pt>
                <c:pt idx="220">
                  <c:v>3.5567837631591548E-2</c:v>
                </c:pt>
                <c:pt idx="221">
                  <c:v>3.3496637559756633E-2</c:v>
                </c:pt>
                <c:pt idx="222">
                  <c:v>3.147826352255137E-2</c:v>
                </c:pt>
                <c:pt idx="223">
                  <c:v>2.9512646030538298E-2</c:v>
                </c:pt>
                <c:pt idx="224">
                  <c:v>2.7599720812579859E-2</c:v>
                </c:pt>
                <c:pt idx="225">
                  <c:v>2.578031349028026E-2</c:v>
                </c:pt>
                <c:pt idx="226">
                  <c:v>2.4032447535098467E-2</c:v>
                </c:pt>
                <c:pt idx="227">
                  <c:v>2.2356074553893185E-2</c:v>
                </c:pt>
                <c:pt idx="228">
                  <c:v>2.0751151486959708E-2</c:v>
                </c:pt>
                <c:pt idx="229">
                  <c:v>1.9217640386095372E-2</c:v>
                </c:pt>
                <c:pt idx="230">
                  <c:v>1.7755508193054631E-2</c:v>
                </c:pt>
                <c:pt idx="231">
                  <c:v>1.636472651801614E-2</c:v>
                </c:pt>
                <c:pt idx="232">
                  <c:v>1.5045271417663828E-2</c:v>
                </c:pt>
                <c:pt idx="233">
                  <c:v>1.3837967937466828E-2</c:v>
                </c:pt>
                <c:pt idx="234">
                  <c:v>1.2712367458802091E-2</c:v>
                </c:pt>
                <c:pt idx="235">
                  <c:v>1.1668469752608138E-2</c:v>
                </c:pt>
                <c:pt idx="236">
                  <c:v>1.070627876147278E-2</c:v>
                </c:pt>
                <c:pt idx="237">
                  <c:v>9.8257920504695589E-3</c:v>
                </c:pt>
                <c:pt idx="238">
                  <c:v>9.0270098715733455E-3</c:v>
                </c:pt>
                <c:pt idx="239">
                  <c:v>8.3357745020372388E-3</c:v>
                </c:pt>
                <c:pt idx="240">
                  <c:v>7.7111874999160569E-3</c:v>
                </c:pt>
                <c:pt idx="241">
                  <c:v>7.1532542481541452E-3</c:v>
                </c:pt>
                <c:pt idx="242">
                  <c:v>6.6619827171834414E-3</c:v>
                </c:pt>
                <c:pt idx="243">
                  <c:v>6.2373835827121728E-3</c:v>
                </c:pt>
                <c:pt idx="244">
                  <c:v>5.8794703434508549E-3</c:v>
                </c:pt>
                <c:pt idx="245">
                  <c:v>5.5882594387748966E-3</c:v>
                </c:pt>
                <c:pt idx="246">
                  <c:v>5.3637703663939858E-3</c:v>
                </c:pt>
                <c:pt idx="247">
                  <c:v>5.2217137301766997E-3</c:v>
                </c:pt>
                <c:pt idx="248">
                  <c:v>5.1212175965428047E-3</c:v>
                </c:pt>
                <c:pt idx="249">
                  <c:v>5.0622994264116093E-3</c:v>
                </c:pt>
                <c:pt idx="250">
                  <c:v>5.0449788459926027E-3</c:v>
                </c:pt>
                <c:pt idx="251">
                  <c:v>5.069277720181932E-3</c:v>
                </c:pt>
                <c:pt idx="252">
                  <c:v>5.1352202257412818E-3</c:v>
                </c:pt>
                <c:pt idx="253">
                  <c:v>5.2509171097366476E-3</c:v>
                </c:pt>
                <c:pt idx="254">
                  <c:v>5.3905062180251116E-3</c:v>
                </c:pt>
                <c:pt idx="255">
                  <c:v>5.5540075877042322E-3</c:v>
                </c:pt>
                <c:pt idx="256">
                  <c:v>5.7414427835106585E-3</c:v>
                </c:pt>
                <c:pt idx="257">
                  <c:v>5.9528349396717308E-3</c:v>
                </c:pt>
                <c:pt idx="258">
                  <c:v>6.1882088018060432E-3</c:v>
                </c:pt>
                <c:pt idx="259">
                  <c:v>6.447590768912906E-3</c:v>
                </c:pt>
                <c:pt idx="260">
                  <c:v>6.7310089351802398E-3</c:v>
                </c:pt>
                <c:pt idx="261">
                  <c:v>7.0561509389743954E-3</c:v>
                </c:pt>
                <c:pt idx="262">
                  <c:v>7.4073238125635203E-3</c:v>
                </c:pt>
                <c:pt idx="263">
                  <c:v>7.7845633500591331E-3</c:v>
                </c:pt>
                <c:pt idx="264">
                  <c:v>8.1879077468104116E-3</c:v>
                </c:pt>
                <c:pt idx="265">
                  <c:v>8.6174435106052532E-3</c:v>
                </c:pt>
                <c:pt idx="266">
                  <c:v>9.0732452444197125E-3</c:v>
                </c:pt>
                <c:pt idx="267">
                  <c:v>9.5542189761161911E-3</c:v>
                </c:pt>
                <c:pt idx="268">
                  <c:v>1.005228909517388E-2</c:v>
                </c:pt>
                <c:pt idx="269">
                  <c:v>1.0567489866842363E-2</c:v>
                </c:pt>
                <c:pt idx="270">
                  <c:v>1.1099855008802553E-2</c:v>
                </c:pt>
                <c:pt idx="271">
                  <c:v>1.1649417508576261E-2</c:v>
                </c:pt>
                <c:pt idx="272">
                  <c:v>1.2216209441206697E-2</c:v>
                </c:pt>
                <c:pt idx="273">
                  <c:v>1.2800261786799716E-2</c:v>
                </c:pt>
                <c:pt idx="274">
                  <c:v>1.3401604248219998E-2</c:v>
                </c:pt>
                <c:pt idx="275">
                  <c:v>1.3988007677284331E-2</c:v>
                </c:pt>
                <c:pt idx="276">
                  <c:v>1.4541687071634639E-2</c:v>
                </c:pt>
                <c:pt idx="277">
                  <c:v>1.5062591409521908E-2</c:v>
                </c:pt>
                <c:pt idx="278">
                  <c:v>1.5550665752330156E-2</c:v>
                </c:pt>
                <c:pt idx="279">
                  <c:v>1.6005851611205432E-2</c:v>
                </c:pt>
                <c:pt idx="280">
                  <c:v>1.6428087313829786E-2</c:v>
                </c:pt>
                <c:pt idx="281">
                  <c:v>1.6800047398405668E-2</c:v>
                </c:pt>
                <c:pt idx="282">
                  <c:v>1.7122784125667947E-2</c:v>
                </c:pt>
                <c:pt idx="283">
                  <c:v>1.7396203116292818E-2</c:v>
                </c:pt>
                <c:pt idx="284">
                  <c:v>1.7620208325599133E-2</c:v>
                </c:pt>
                <c:pt idx="285">
                  <c:v>1.7794702586557357E-2</c:v>
                </c:pt>
                <c:pt idx="286">
                  <c:v>1.7919588152967011E-2</c:v>
                </c:pt>
                <c:pt idx="287">
                  <c:v>1.7994767242461015E-2</c:v>
                </c:pt>
                <c:pt idx="288">
                  <c:v>1.8020142579575654E-2</c:v>
                </c:pt>
                <c:pt idx="289">
                  <c:v>1.7994616085637554E-2</c:v>
                </c:pt>
                <c:pt idx="290">
                  <c:v>1.7950597909259514E-2</c:v>
                </c:pt>
                <c:pt idx="291">
                  <c:v>1.7888042085331107E-2</c:v>
                </c:pt>
                <c:pt idx="292">
                  <c:v>1.7806903731701827E-2</c:v>
                </c:pt>
                <c:pt idx="293">
                  <c:v>1.7707139249091487E-2</c:v>
                </c:pt>
                <c:pt idx="294">
                  <c:v>1.7588706520930492E-2</c:v>
                </c:pt>
                <c:pt idx="295">
                  <c:v>1.7449954064279977E-2</c:v>
                </c:pt>
                <c:pt idx="296">
                  <c:v>1.730844064331272E-2</c:v>
                </c:pt>
                <c:pt idx="297">
                  <c:v>1.7164288981330905E-2</c:v>
                </c:pt>
                <c:pt idx="298">
                  <c:v>1.7017476700010813E-2</c:v>
                </c:pt>
                <c:pt idx="299">
                  <c:v>1.6867981895617903E-2</c:v>
                </c:pt>
                <c:pt idx="300">
                  <c:v>1.6715783163227232E-2</c:v>
                </c:pt>
                <c:pt idx="301">
                  <c:v>1.6560859620891905E-2</c:v>
                </c:pt>
                <c:pt idx="302">
                  <c:v>1.6403190933849496E-2</c:v>
                </c:pt>
                <c:pt idx="303">
                  <c:v>1.6246548745509206E-2</c:v>
                </c:pt>
                <c:pt idx="304">
                  <c:v>1.6091928271310584E-2</c:v>
                </c:pt>
                <c:pt idx="305">
                  <c:v>1.5939317810732771E-2</c:v>
                </c:pt>
                <c:pt idx="306">
                  <c:v>1.5788706248831979E-2</c:v>
                </c:pt>
                <c:pt idx="307">
                  <c:v>1.5640083036268616E-2</c:v>
                </c:pt>
                <c:pt idx="308">
                  <c:v>1.5493438169202534E-2</c:v>
                </c:pt>
                <c:pt idx="309">
                  <c:v>1.5360536181695444E-2</c:v>
                </c:pt>
                <c:pt idx="310">
                  <c:v>1.5243008466375788E-2</c:v>
                </c:pt>
                <c:pt idx="311">
                  <c:v>1.5140864474158591E-2</c:v>
                </c:pt>
                <c:pt idx="312">
                  <c:v>1.5054113511852256E-2</c:v>
                </c:pt>
                <c:pt idx="313">
                  <c:v>1.4982764599218596E-2</c:v>
                </c:pt>
                <c:pt idx="314">
                  <c:v>1.4926826325894496E-2</c:v>
                </c:pt>
                <c:pt idx="315">
                  <c:v>1.4886306708502328E-2</c:v>
                </c:pt>
                <c:pt idx="316">
                  <c:v>1.4861213047528609E-2</c:v>
                </c:pt>
                <c:pt idx="317">
                  <c:v>1.489237690780488E-2</c:v>
                </c:pt>
                <c:pt idx="318">
                  <c:v>1.497603380767451E-2</c:v>
                </c:pt>
                <c:pt idx="319">
                  <c:v>1.5112227294537782E-2</c:v>
                </c:pt>
                <c:pt idx="320">
                  <c:v>1.5300996293604449E-2</c:v>
                </c:pt>
                <c:pt idx="321">
                  <c:v>1.5542374626308674E-2</c:v>
                </c:pt>
                <c:pt idx="322">
                  <c:v>1.5836390528793143E-2</c:v>
                </c:pt>
                <c:pt idx="323">
                  <c:v>1.6226979704683425E-2</c:v>
                </c:pt>
                <c:pt idx="324">
                  <c:v>1.6702353197153439E-2</c:v>
                </c:pt>
                <c:pt idx="325">
                  <c:v>1.7262541892323471E-2</c:v>
                </c:pt>
                <c:pt idx="326">
                  <c:v>1.790745366781232E-2</c:v>
                </c:pt>
                <c:pt idx="327">
                  <c:v>1.8637043108529105E-2</c:v>
                </c:pt>
                <c:pt idx="328">
                  <c:v>1.9451341333189993E-2</c:v>
                </c:pt>
                <c:pt idx="329">
                  <c:v>2.0350372065784144E-2</c:v>
                </c:pt>
                <c:pt idx="330">
                  <c:v>2.1334153402644652E-2</c:v>
                </c:pt>
                <c:pt idx="331">
                  <c:v>2.2377902093478067E-2</c:v>
                </c:pt>
                <c:pt idx="332">
                  <c:v>2.3440643466226551E-2</c:v>
                </c:pt>
                <c:pt idx="333">
                  <c:v>2.4522374556599291E-2</c:v>
                </c:pt>
                <c:pt idx="334">
                  <c:v>2.5623099386213419E-2</c:v>
                </c:pt>
                <c:pt idx="335">
                  <c:v>2.674282936188678E-2</c:v>
                </c:pt>
                <c:pt idx="336">
                  <c:v>2.7881583674618956E-2</c:v>
                </c:pt>
                <c:pt idx="337">
                  <c:v>2.8986212989353406E-2</c:v>
                </c:pt>
                <c:pt idx="338">
                  <c:v>3.001274644540285E-2</c:v>
                </c:pt>
                <c:pt idx="339">
                  <c:v>3.0961222373869446E-2</c:v>
                </c:pt>
                <c:pt idx="340">
                  <c:v>3.183168926354682E-2</c:v>
                </c:pt>
                <c:pt idx="341">
                  <c:v>3.2624204139524826E-2</c:v>
                </c:pt>
                <c:pt idx="342">
                  <c:v>3.3338830941788251E-2</c:v>
                </c:pt>
                <c:pt idx="343">
                  <c:v>3.3975638903416643E-2</c:v>
                </c:pt>
                <c:pt idx="344">
                  <c:v>3.4534700929291826E-2</c:v>
                </c:pt>
                <c:pt idx="345">
                  <c:v>3.501609197446124E-2</c:v>
                </c:pt>
                <c:pt idx="346">
                  <c:v>3.5433984062052802E-2</c:v>
                </c:pt>
                <c:pt idx="347">
                  <c:v>3.5788454191717563E-2</c:v>
                </c:pt>
                <c:pt idx="348">
                  <c:v>3.6079577778634409E-2</c:v>
                </c:pt>
                <c:pt idx="349">
                  <c:v>3.6307427324728518E-2</c:v>
                </c:pt>
                <c:pt idx="350">
                  <c:v>3.6472071090731736E-2</c:v>
                </c:pt>
                <c:pt idx="351">
                  <c:v>3.6562849075747417E-2</c:v>
                </c:pt>
                <c:pt idx="352">
                  <c:v>3.6633038887100754E-2</c:v>
                </c:pt>
                <c:pt idx="353">
                  <c:v>3.6682710839338502E-2</c:v>
                </c:pt>
                <c:pt idx="354">
                  <c:v>3.6711932486929229E-2</c:v>
                </c:pt>
                <c:pt idx="355">
                  <c:v>3.6720768176864628E-2</c:v>
                </c:pt>
                <c:pt idx="356">
                  <c:v>3.6709303971352074E-2</c:v>
                </c:pt>
                <c:pt idx="357">
                  <c:v>3.6677514669179796E-2</c:v>
                </c:pt>
                <c:pt idx="358">
                  <c:v>3.6625282814091449E-2</c:v>
                </c:pt>
                <c:pt idx="359">
                  <c:v>3.6552487751694056E-2</c:v>
                </c:pt>
                <c:pt idx="360">
                  <c:v>3.6405657257348428E-2</c:v>
                </c:pt>
                <c:pt idx="361">
                  <c:v>3.6195354525476814E-2</c:v>
                </c:pt>
                <c:pt idx="362">
                  <c:v>3.5921395503115371E-2</c:v>
                </c:pt>
                <c:pt idx="363">
                  <c:v>3.5583591530093689E-2</c:v>
                </c:pt>
                <c:pt idx="364">
                  <c:v>3.5181750979995992E-2</c:v>
                </c:pt>
                <c:pt idx="365">
                  <c:v>3.4715680900661836E-2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6.4399420629365725E-2</c:v>
                </c:pt>
                <c:pt idx="1">
                  <c:v>6.4273599255061528E-2</c:v>
                </c:pt>
                <c:pt idx="2">
                  <c:v>6.4069731745978645E-2</c:v>
                </c:pt>
                <c:pt idx="3">
                  <c:v>6.3787539085871134E-2</c:v>
                </c:pt>
                <c:pt idx="4">
                  <c:v>6.3426743429782037E-2</c:v>
                </c:pt>
                <c:pt idx="5">
                  <c:v>6.298707010101913E-2</c:v>
                </c:pt>
                <c:pt idx="6">
                  <c:v>6.2468249588937368E-2</c:v>
                </c:pt>
                <c:pt idx="7">
                  <c:v>6.1870019545294135E-2</c:v>
                </c:pt>
                <c:pt idx="8">
                  <c:v>6.1192126781501044E-2</c:v>
                </c:pt>
                <c:pt idx="9">
                  <c:v>6.0401269161115968E-2</c:v>
                </c:pt>
                <c:pt idx="10">
                  <c:v>5.9537789407732404E-2</c:v>
                </c:pt>
                <c:pt idx="11">
                  <c:v>5.860148486267136E-2</c:v>
                </c:pt>
                <c:pt idx="12">
                  <c:v>5.7592169472596301E-2</c:v>
                </c:pt>
                <c:pt idx="13">
                  <c:v>5.6509675595080806E-2</c:v>
                </c:pt>
                <c:pt idx="14">
                  <c:v>5.5353855803216008E-2</c:v>
                </c:pt>
                <c:pt idx="15">
                  <c:v>5.4093503798668036E-2</c:v>
                </c:pt>
                <c:pt idx="16">
                  <c:v>5.2766533757918212E-2</c:v>
                </c:pt>
                <c:pt idx="17">
                  <c:v>5.137287814901853E-2</c:v>
                </c:pt>
                <c:pt idx="18">
                  <c:v>4.9912495748879161E-2</c:v>
                </c:pt>
                <c:pt idx="19">
                  <c:v>4.8385643161827918E-2</c:v>
                </c:pt>
                <c:pt idx="20">
                  <c:v>4.6792688913398835E-2</c:v>
                </c:pt>
                <c:pt idx="21">
                  <c:v>4.5133781877292244E-2</c:v>
                </c:pt>
                <c:pt idx="22">
                  <c:v>4.3409072292935981E-2</c:v>
                </c:pt>
                <c:pt idx="23">
                  <c:v>4.1693393794366852E-2</c:v>
                </c:pt>
                <c:pt idx="24">
                  <c:v>4.0020101976030988E-2</c:v>
                </c:pt>
                <c:pt idx="25">
                  <c:v>3.8389360199148279E-2</c:v>
                </c:pt>
                <c:pt idx="26">
                  <c:v>3.6801318398829642E-2</c:v>
                </c:pt>
                <c:pt idx="27">
                  <c:v>3.5256113628280961E-2</c:v>
                </c:pt>
                <c:pt idx="28">
                  <c:v>3.375387060382997E-2</c:v>
                </c:pt>
                <c:pt idx="29">
                  <c:v>3.2368786829336832E-2</c:v>
                </c:pt>
                <c:pt idx="30">
                  <c:v>3.1132091341894975E-2</c:v>
                </c:pt>
                <c:pt idx="31">
                  <c:v>3.0043861181073356E-2</c:v>
                </c:pt>
                <c:pt idx="32">
                  <c:v>2.9104156681342419E-2</c:v>
                </c:pt>
                <c:pt idx="33">
                  <c:v>2.8313023331971002E-2</c:v>
                </c:pt>
                <c:pt idx="34">
                  <c:v>2.7670493637056221E-2</c:v>
                </c:pt>
                <c:pt idx="35">
                  <c:v>2.7176588975518872E-2</c:v>
                </c:pt>
                <c:pt idx="36">
                  <c:v>2.6831321461040798E-2</c:v>
                </c:pt>
                <c:pt idx="37">
                  <c:v>2.6635159688541854E-2</c:v>
                </c:pt>
                <c:pt idx="38">
                  <c:v>2.6513446620591945E-2</c:v>
                </c:pt>
                <c:pt idx="39">
                  <c:v>2.6466197372108813E-2</c:v>
                </c:pt>
                <c:pt idx="40">
                  <c:v>2.6493425660296749E-2</c:v>
                </c:pt>
                <c:pt idx="41">
                  <c:v>2.6595144736756792E-2</c:v>
                </c:pt>
                <c:pt idx="42">
                  <c:v>2.6771368319413961E-2</c:v>
                </c:pt>
                <c:pt idx="43">
                  <c:v>2.7019005816672586E-2</c:v>
                </c:pt>
                <c:pt idx="44">
                  <c:v>2.7264069594399309E-2</c:v>
                </c:pt>
                <c:pt idx="45">
                  <c:v>2.7506597720452441E-2</c:v>
                </c:pt>
                <c:pt idx="46">
                  <c:v>2.7746629409591338E-2</c:v>
                </c:pt>
                <c:pt idx="47">
                  <c:v>2.7984204990616351E-2</c:v>
                </c:pt>
                <c:pt idx="48">
                  <c:v>2.8219365873150399E-2</c:v>
                </c:pt>
                <c:pt idx="49">
                  <c:v>2.8452154514669915E-2</c:v>
                </c:pt>
                <c:pt idx="50">
                  <c:v>2.8682614387364858E-2</c:v>
                </c:pt>
                <c:pt idx="51">
                  <c:v>2.8889133493555614E-2</c:v>
                </c:pt>
                <c:pt idx="52">
                  <c:v>2.9071134186401597E-2</c:v>
                </c:pt>
                <c:pt idx="53">
                  <c:v>2.9228466105914563E-2</c:v>
                </c:pt>
                <c:pt idx="54">
                  <c:v>2.9361120319866107E-2</c:v>
                </c:pt>
                <c:pt idx="55">
                  <c:v>2.9469087254538007E-2</c:v>
                </c:pt>
                <c:pt idx="56">
                  <c:v>2.9552356786316319E-2</c:v>
                </c:pt>
                <c:pt idx="57">
                  <c:v>2.9571687381071684E-2</c:v>
                </c:pt>
                <c:pt idx="58">
                  <c:v>2.9530171835567526E-2</c:v>
                </c:pt>
                <c:pt idx="59">
                  <c:v>2.942779812050611E-2</c:v>
                </c:pt>
                <c:pt idx="60">
                  <c:v>2.9264553939682348E-2</c:v>
                </c:pt>
                <c:pt idx="61">
                  <c:v>2.9040426955253006E-2</c:v>
                </c:pt>
                <c:pt idx="62">
                  <c:v>2.8755405012962237E-2</c:v>
                </c:pt>
                <c:pt idx="63">
                  <c:v>2.8409476367454538E-2</c:v>
                </c:pt>
                <c:pt idx="64">
                  <c:v>2.8002629907472109E-2</c:v>
                </c:pt>
                <c:pt idx="65">
                  <c:v>2.7528827515653869E-2</c:v>
                </c:pt>
                <c:pt idx="66">
                  <c:v>2.7009717352246027E-2</c:v>
                </c:pt>
                <c:pt idx="67">
                  <c:v>2.6445291650567398E-2</c:v>
                </c:pt>
                <c:pt idx="68">
                  <c:v>2.5835543971752296E-2</c:v>
                </c:pt>
                <c:pt idx="69">
                  <c:v>2.5180469372103154E-2</c:v>
                </c:pt>
                <c:pt idx="70">
                  <c:v>2.4480064570569334E-2</c:v>
                </c:pt>
                <c:pt idx="71">
                  <c:v>2.3752224106892431E-2</c:v>
                </c:pt>
                <c:pt idx="72">
                  <c:v>2.3036179453748955E-2</c:v>
                </c:pt>
                <c:pt idx="73">
                  <c:v>2.233192997958101E-2</c:v>
                </c:pt>
                <c:pt idx="74">
                  <c:v>2.1639475807167241E-2</c:v>
                </c:pt>
                <c:pt idx="75">
                  <c:v>2.095881776975032E-2</c:v>
                </c:pt>
                <c:pt idx="76">
                  <c:v>2.0289957367095181E-2</c:v>
                </c:pt>
                <c:pt idx="77">
                  <c:v>1.9632896721617586E-2</c:v>
                </c:pt>
                <c:pt idx="78">
                  <c:v>1.8987639164851817E-2</c:v>
                </c:pt>
                <c:pt idx="79">
                  <c:v>1.8361300409265594E-2</c:v>
                </c:pt>
                <c:pt idx="80">
                  <c:v>1.7759950266867754E-2</c:v>
                </c:pt>
                <c:pt idx="81">
                  <c:v>1.7183579816240371E-2</c:v>
                </c:pt>
                <c:pt idx="82">
                  <c:v>1.6632180833414351E-2</c:v>
                </c:pt>
                <c:pt idx="83">
                  <c:v>1.6105745711988331E-2</c:v>
                </c:pt>
                <c:pt idx="84">
                  <c:v>1.5604267383302362E-2</c:v>
                </c:pt>
                <c:pt idx="85">
                  <c:v>1.5145846513407885E-2</c:v>
                </c:pt>
                <c:pt idx="86">
                  <c:v>1.4712588560905992E-2</c:v>
                </c:pt>
                <c:pt idx="87">
                  <c:v>1.4304487428898853E-2</c:v>
                </c:pt>
                <c:pt idx="88">
                  <c:v>1.3921537212048673E-2</c:v>
                </c:pt>
                <c:pt idx="89">
                  <c:v>1.3563732116010535E-2</c:v>
                </c:pt>
                <c:pt idx="90">
                  <c:v>1.323106637683664E-2</c:v>
                </c:pt>
                <c:pt idx="91">
                  <c:v>1.2923534180432752E-2</c:v>
                </c:pt>
                <c:pt idx="92">
                  <c:v>1.2641129581976517E-2</c:v>
                </c:pt>
                <c:pt idx="93">
                  <c:v>1.2417826464162082E-2</c:v>
                </c:pt>
                <c:pt idx="94">
                  <c:v>1.2246575895934008E-2</c:v>
                </c:pt>
                <c:pt idx="95">
                  <c:v>1.2127363584050503E-2</c:v>
                </c:pt>
                <c:pt idx="96">
                  <c:v>1.206017390052478E-2</c:v>
                </c:pt>
                <c:pt idx="97">
                  <c:v>1.2044989715734712E-2</c:v>
                </c:pt>
                <c:pt idx="98">
                  <c:v>1.2081792231423848E-2</c:v>
                </c:pt>
                <c:pt idx="99">
                  <c:v>1.2222461466049328E-2</c:v>
                </c:pt>
                <c:pt idx="100">
                  <c:v>1.2448871212023189E-2</c:v>
                </c:pt>
                <c:pt idx="101">
                  <c:v>1.2760983200820248E-2</c:v>
                </c:pt>
                <c:pt idx="102">
                  <c:v>1.3158755318116428E-2</c:v>
                </c:pt>
                <c:pt idx="103">
                  <c:v>1.3642141328233839E-2</c:v>
                </c:pt>
                <c:pt idx="104">
                  <c:v>1.4211090598887513E-2</c:v>
                </c:pt>
                <c:pt idx="105">
                  <c:v>1.4865547825654163E-2</c:v>
                </c:pt>
                <c:pt idx="106">
                  <c:v>1.5605452756599388E-2</c:v>
                </c:pt>
                <c:pt idx="107">
                  <c:v>1.648084615273002E-2</c:v>
                </c:pt>
                <c:pt idx="108">
                  <c:v>1.7457713915530519E-2</c:v>
                </c:pt>
                <c:pt idx="109">
                  <c:v>1.8535968743518465E-2</c:v>
                </c:pt>
                <c:pt idx="110">
                  <c:v>1.9715572431471328E-2</c:v>
                </c:pt>
                <c:pt idx="111">
                  <c:v>2.0996495472040282E-2</c:v>
                </c:pt>
                <c:pt idx="112">
                  <c:v>2.2378655577221185E-2</c:v>
                </c:pt>
                <c:pt idx="113">
                  <c:v>2.389845728733361E-2</c:v>
                </c:pt>
                <c:pt idx="114">
                  <c:v>2.5504016960079024E-2</c:v>
                </c:pt>
                <c:pt idx="115">
                  <c:v>2.7195249419343471E-2</c:v>
                </c:pt>
                <c:pt idx="116">
                  <c:v>2.8972065379455E-2</c:v>
                </c:pt>
                <c:pt idx="117">
                  <c:v>3.0834371256158368E-2</c:v>
                </c:pt>
                <c:pt idx="118">
                  <c:v>3.2782068977336813E-2</c:v>
                </c:pt>
                <c:pt idx="119">
                  <c:v>3.4815055793802153E-2</c:v>
                </c:pt>
                <c:pt idx="120">
                  <c:v>3.6933224090025481E-2</c:v>
                </c:pt>
                <c:pt idx="121">
                  <c:v>3.9163596498695274E-2</c:v>
                </c:pt>
                <c:pt idx="122">
                  <c:v>4.1456092894944362E-2</c:v>
                </c:pt>
                <c:pt idx="123">
                  <c:v>4.381060773538125E-2</c:v>
                </c:pt>
                <c:pt idx="124">
                  <c:v>4.6227030802869801E-2</c:v>
                </c:pt>
                <c:pt idx="125">
                  <c:v>4.8705247067652502E-2</c:v>
                </c:pt>
                <c:pt idx="126">
                  <c:v>5.1245136547878878E-2</c:v>
                </c:pt>
                <c:pt idx="127">
                  <c:v>5.3849973153588006E-2</c:v>
                </c:pt>
                <c:pt idx="128">
                  <c:v>5.6483273019897549E-2</c:v>
                </c:pt>
                <c:pt idx="129">
                  <c:v>5.9144931516596756E-2</c:v>
                </c:pt>
                <c:pt idx="130">
                  <c:v>6.1834840170786311E-2</c:v>
                </c:pt>
                <c:pt idx="131">
                  <c:v>6.4552886599412537E-2</c:v>
                </c:pt>
                <c:pt idx="132">
                  <c:v>6.7298954442280484E-2</c:v>
                </c:pt>
                <c:pt idx="133">
                  <c:v>7.0072923295491016E-2</c:v>
                </c:pt>
                <c:pt idx="134">
                  <c:v>7.2874668644590232E-2</c:v>
                </c:pt>
                <c:pt idx="135">
                  <c:v>7.569519309424079E-2</c:v>
                </c:pt>
                <c:pt idx="136">
                  <c:v>7.8507367238826634E-2</c:v>
                </c:pt>
                <c:pt idx="137">
                  <c:v>8.131109602485094E-2</c:v>
                </c:pt>
                <c:pt idx="138">
                  <c:v>8.4106282228255849E-2</c:v>
                </c:pt>
                <c:pt idx="139">
                  <c:v>8.6892826468502382E-2</c:v>
                </c:pt>
                <c:pt idx="140">
                  <c:v>8.9670627218012222E-2</c:v>
                </c:pt>
                <c:pt idx="141">
                  <c:v>9.2410754227224168E-2</c:v>
                </c:pt>
                <c:pt idx="142">
                  <c:v>9.5109236432212238E-2</c:v>
                </c:pt>
                <c:pt idx="143">
                  <c:v>9.7765529823603967E-2</c:v>
                </c:pt>
                <c:pt idx="144">
                  <c:v>0.10037964976242207</c:v>
                </c:pt>
                <c:pt idx="145">
                  <c:v>0.10295163054762009</c:v>
                </c:pt>
                <c:pt idx="146">
                  <c:v>0.10548152490838529</c:v>
                </c:pt>
                <c:pt idx="147">
                  <c:v>0.10796940349983725</c:v>
                </c:pt>
                <c:pt idx="148">
                  <c:v>0.11041535439633075</c:v>
                </c:pt>
                <c:pt idx="149">
                  <c:v>0.11277831899026299</c:v>
                </c:pt>
                <c:pt idx="150">
                  <c:v>0.11506729644651896</c:v>
                </c:pt>
                <c:pt idx="151">
                  <c:v>0.11728248314482155</c:v>
                </c:pt>
                <c:pt idx="152">
                  <c:v>0.11942409243596985</c:v>
                </c:pt>
                <c:pt idx="153">
                  <c:v>0.12149235369902615</c:v>
                </c:pt>
                <c:pt idx="154">
                  <c:v>0.12348751139913301</c:v>
                </c:pt>
                <c:pt idx="155">
                  <c:v>0.1253560468506181</c:v>
                </c:pt>
                <c:pt idx="156">
                  <c:v>0.12712691896424808</c:v>
                </c:pt>
                <c:pt idx="157">
                  <c:v>0.1288004600138539</c:v>
                </c:pt>
                <c:pt idx="158">
                  <c:v>0.13037701347635997</c:v>
                </c:pt>
                <c:pt idx="159">
                  <c:v>0.13185693274798752</c:v>
                </c:pt>
                <c:pt idx="160">
                  <c:v>0.13324057986205298</c:v>
                </c:pt>
                <c:pt idx="161">
                  <c:v>0.13452832420530095</c:v>
                </c:pt>
                <c:pt idx="162">
                  <c:v>0.13572054123493196</c:v>
                </c:pt>
                <c:pt idx="163">
                  <c:v>0.13676024452990873</c:v>
                </c:pt>
                <c:pt idx="164">
                  <c:v>0.13768870582606088</c:v>
                </c:pt>
                <c:pt idx="165">
                  <c:v>0.13850633983329105</c:v>
                </c:pt>
                <c:pt idx="166">
                  <c:v>0.13921356092408868</c:v>
                </c:pt>
                <c:pt idx="167">
                  <c:v>0.13981078162294999</c:v>
                </c:pt>
                <c:pt idx="168">
                  <c:v>0.14029841110022229</c:v>
                </c:pt>
                <c:pt idx="169">
                  <c:v>0.14061969020492479</c:v>
                </c:pt>
                <c:pt idx="170">
                  <c:v>0.14082839838273639</c:v>
                </c:pt>
                <c:pt idx="171">
                  <c:v>0.14092492897116254</c:v>
                </c:pt>
                <c:pt idx="172">
                  <c:v>0.14090966519342396</c:v>
                </c:pt>
                <c:pt idx="173">
                  <c:v>0.14078153894790105</c:v>
                </c:pt>
                <c:pt idx="174">
                  <c:v>0.14053940256403161</c:v>
                </c:pt>
                <c:pt idx="175">
                  <c:v>0.14018351122441217</c:v>
                </c:pt>
                <c:pt idx="176">
                  <c:v>0.13971411936129755</c:v>
                </c:pt>
                <c:pt idx="177">
                  <c:v>0.1390783820505366</c:v>
                </c:pt>
                <c:pt idx="178">
                  <c:v>0.1383335302800599</c:v>
                </c:pt>
                <c:pt idx="179">
                  <c:v>0.1374798060621043</c:v>
                </c:pt>
                <c:pt idx="180">
                  <c:v>0.13651744793426449</c:v>
                </c:pt>
                <c:pt idx="181">
                  <c:v>0.13544669031282366</c:v>
                </c:pt>
                <c:pt idx="182">
                  <c:v>0.13426776284729081</c:v>
                </c:pt>
                <c:pt idx="183">
                  <c:v>0.13294051381970376</c:v>
                </c:pt>
                <c:pt idx="184">
                  <c:v>0.1315219526686873</c:v>
                </c:pt>
                <c:pt idx="185">
                  <c:v>0.13001226693502468</c:v>
                </c:pt>
                <c:pt idx="186">
                  <c:v>0.12841163738117392</c:v>
                </c:pt>
                <c:pt idx="187">
                  <c:v>0.12672023744243585</c:v>
                </c:pt>
                <c:pt idx="188">
                  <c:v>0.12493823267880326</c:v>
                </c:pt>
                <c:pt idx="189">
                  <c:v>0.12306578022294101</c:v>
                </c:pt>
                <c:pt idx="190">
                  <c:v>0.12110302823356045</c:v>
                </c:pt>
                <c:pt idx="191">
                  <c:v>0.11902205853834931</c:v>
                </c:pt>
                <c:pt idx="192">
                  <c:v>0.11687576225850298</c:v>
                </c:pt>
                <c:pt idx="193">
                  <c:v>0.11466422661241758</c:v>
                </c:pt>
                <c:pt idx="194">
                  <c:v>0.11238752928853324</c:v>
                </c:pt>
                <c:pt idx="195">
                  <c:v>0.11004573804442448</c:v>
                </c:pt>
                <c:pt idx="196">
                  <c:v>0.10763891030142825</c:v>
                </c:pt>
                <c:pt idx="197">
                  <c:v>0.10515850168308499</c:v>
                </c:pt>
                <c:pt idx="198">
                  <c:v>0.1026446801731038</c:v>
                </c:pt>
                <c:pt idx="199">
                  <c:v>0.100097438649076</c:v>
                </c:pt>
                <c:pt idx="200">
                  <c:v>9.7516760882582432E-2</c:v>
                </c:pt>
                <c:pt idx="201">
                  <c:v>9.4902621321531419E-2</c:v>
                </c:pt>
                <c:pt idx="202">
                  <c:v>9.2254984873174503E-2</c:v>
                </c:pt>
                <c:pt idx="203">
                  <c:v>8.9573806689176971E-2</c:v>
                </c:pt>
                <c:pt idx="204">
                  <c:v>8.685889168472867E-2</c:v>
                </c:pt>
                <c:pt idx="205">
                  <c:v>8.4113277745737916E-2</c:v>
                </c:pt>
                <c:pt idx="206">
                  <c:v>8.1364768030510556E-2</c:v>
                </c:pt>
                <c:pt idx="207">
                  <c:v>7.8613227006119515E-2</c:v>
                </c:pt>
                <c:pt idx="208">
                  <c:v>7.5858522096874242E-2</c:v>
                </c:pt>
                <c:pt idx="209">
                  <c:v>7.3100523699751688E-2</c:v>
                </c:pt>
                <c:pt idx="210">
                  <c:v>7.03391052023951E-2</c:v>
                </c:pt>
                <c:pt idx="211">
                  <c:v>6.7600225479928389E-2</c:v>
                </c:pt>
                <c:pt idx="212">
                  <c:v>6.4892313796465276E-2</c:v>
                </c:pt>
                <c:pt idx="213">
                  <c:v>6.2215240221949686E-2</c:v>
                </c:pt>
                <c:pt idx="214">
                  <c:v>5.9568880243355327E-2</c:v>
                </c:pt>
                <c:pt idx="215">
                  <c:v>5.6953114673770587E-2</c:v>
                </c:pt>
                <c:pt idx="216">
                  <c:v>5.4367829561233129E-2</c:v>
                </c:pt>
                <c:pt idx="217">
                  <c:v>5.1812916097767871E-2</c:v>
                </c:pt>
                <c:pt idx="218">
                  <c:v>4.9288270528095375E-2</c:v>
                </c:pt>
                <c:pt idx="219">
                  <c:v>4.6828775337859001E-2</c:v>
                </c:pt>
                <c:pt idx="220">
                  <c:v>4.4431061156553701E-2</c:v>
                </c:pt>
                <c:pt idx="221">
                  <c:v>4.2095035573852572E-2</c:v>
                </c:pt>
                <c:pt idx="222">
                  <c:v>3.9820612543807844E-2</c:v>
                </c:pt>
                <c:pt idx="223">
                  <c:v>3.7607712195951576E-2</c:v>
                </c:pt>
                <c:pt idx="224">
                  <c:v>3.5456260645291809E-2</c:v>
                </c:pt>
                <c:pt idx="225">
                  <c:v>3.3414157844650898E-2</c:v>
                </c:pt>
                <c:pt idx="226">
                  <c:v>3.145528448381215E-2</c:v>
                </c:pt>
                <c:pt idx="227">
                  <c:v>2.9579584898298924E-2</c:v>
                </c:pt>
                <c:pt idx="228">
                  <c:v>2.7787009534603158E-2</c:v>
                </c:pt>
                <c:pt idx="229">
                  <c:v>2.6077514692031577E-2</c:v>
                </c:pt>
                <c:pt idx="230">
                  <c:v>2.4451062265060591E-2</c:v>
                </c:pt>
                <c:pt idx="231">
                  <c:v>2.2907619485720305E-2</c:v>
                </c:pt>
                <c:pt idx="232">
                  <c:v>2.1447158665448243E-2</c:v>
                </c:pt>
                <c:pt idx="233">
                  <c:v>2.0119295102152105E-2</c:v>
                </c:pt>
                <c:pt idx="234">
                  <c:v>1.8889035389756274E-2</c:v>
                </c:pt>
                <c:pt idx="235">
                  <c:v>1.7756382964910323E-2</c:v>
                </c:pt>
                <c:pt idx="236">
                  <c:v>1.6721347750475856E-2</c:v>
                </c:pt>
                <c:pt idx="237">
                  <c:v>1.5783929817053097E-2</c:v>
                </c:pt>
                <c:pt idx="238">
                  <c:v>1.4944132524422967E-2</c:v>
                </c:pt>
                <c:pt idx="239">
                  <c:v>1.4234455626728862E-2</c:v>
                </c:pt>
                <c:pt idx="240">
                  <c:v>1.3606919050583024E-2</c:v>
                </c:pt>
                <c:pt idx="241">
                  <c:v>1.3061533285982403E-2</c:v>
                </c:pt>
                <c:pt idx="242">
                  <c:v>1.2598312109545375E-2</c:v>
                </c:pt>
                <c:pt idx="243">
                  <c:v>1.2217272729622959E-2</c:v>
                </c:pt>
                <c:pt idx="244">
                  <c:v>1.19184359313132E-2</c:v>
                </c:pt>
                <c:pt idx="245">
                  <c:v>1.1701826221349616E-2</c:v>
                </c:pt>
                <c:pt idx="246">
                  <c:v>1.1567471972984448E-2</c:v>
                </c:pt>
                <c:pt idx="247">
                  <c:v>1.1532727665922676E-2</c:v>
                </c:pt>
                <c:pt idx="248">
                  <c:v>1.1547926293240545E-2</c:v>
                </c:pt>
                <c:pt idx="249">
                  <c:v>1.1613093314214526E-2</c:v>
                </c:pt>
                <c:pt idx="250">
                  <c:v>1.1728256880707224E-2</c:v>
                </c:pt>
                <c:pt idx="251">
                  <c:v>1.18934479253606E-2</c:v>
                </c:pt>
                <c:pt idx="252">
                  <c:v>1.2108700249295556E-2</c:v>
                </c:pt>
                <c:pt idx="253">
                  <c:v>1.2380790936270697E-2</c:v>
                </c:pt>
                <c:pt idx="254">
                  <c:v>1.2677199330370608E-2</c:v>
                </c:pt>
                <c:pt idx="255">
                  <c:v>1.2997951521514756E-2</c:v>
                </c:pt>
                <c:pt idx="256">
                  <c:v>1.3343075254247093E-2</c:v>
                </c:pt>
                <c:pt idx="257">
                  <c:v>1.3712599970039027E-2</c:v>
                </c:pt>
                <c:pt idx="258">
                  <c:v>1.4106556849709568E-2</c:v>
                </c:pt>
                <c:pt idx="259">
                  <c:v>1.4524978856046837E-2</c:v>
                </c:pt>
                <c:pt idx="260">
                  <c:v>1.4967900776010609E-2</c:v>
                </c:pt>
                <c:pt idx="261">
                  <c:v>1.5452521919194308E-2</c:v>
                </c:pt>
                <c:pt idx="262">
                  <c:v>1.5961516227876133E-2</c:v>
                </c:pt>
                <c:pt idx="263">
                  <c:v>1.6494924606205323E-2</c:v>
                </c:pt>
                <c:pt idx="264">
                  <c:v>1.7052790768344213E-2</c:v>
                </c:pt>
                <c:pt idx="265">
                  <c:v>1.7635255072102722E-2</c:v>
                </c:pt>
                <c:pt idx="266">
                  <c:v>1.8242425099601594E-2</c:v>
                </c:pt>
                <c:pt idx="267">
                  <c:v>1.8868549504288432E-2</c:v>
                </c:pt>
                <c:pt idx="268">
                  <c:v>1.9506892766671672E-2</c:v>
                </c:pt>
                <c:pt idx="269">
                  <c:v>2.0157479886836287E-2</c:v>
                </c:pt>
                <c:pt idx="270">
                  <c:v>2.0820334208445521E-2</c:v>
                </c:pt>
                <c:pt idx="271">
                  <c:v>2.1495477292697403E-2</c:v>
                </c:pt>
                <c:pt idx="272">
                  <c:v>2.2182928792811547E-2</c:v>
                </c:pt>
                <c:pt idx="273">
                  <c:v>2.2882706328254409E-2</c:v>
                </c:pt>
                <c:pt idx="274">
                  <c:v>2.3594825359248988E-2</c:v>
                </c:pt>
                <c:pt idx="275">
                  <c:v>2.4281466866337347E-2</c:v>
                </c:pt>
                <c:pt idx="276">
                  <c:v>2.4925319908071369E-2</c:v>
                </c:pt>
                <c:pt idx="277">
                  <c:v>2.5526309165138206E-2</c:v>
                </c:pt>
                <c:pt idx="278">
                  <c:v>2.6084354562518869E-2</c:v>
                </c:pt>
                <c:pt idx="279">
                  <c:v>2.6599371748560419E-2</c:v>
                </c:pt>
                <c:pt idx="280">
                  <c:v>2.7071272574292007E-2</c:v>
                </c:pt>
                <c:pt idx="281">
                  <c:v>2.7479017791384064E-2</c:v>
                </c:pt>
                <c:pt idx="282">
                  <c:v>2.7828313731131319E-2</c:v>
                </c:pt>
                <c:pt idx="283">
                  <c:v>2.8119039921740658E-2</c:v>
                </c:pt>
                <c:pt idx="284">
                  <c:v>2.8351074079715679E-2</c:v>
                </c:pt>
                <c:pt idx="285">
                  <c:v>2.8524292754387615E-2</c:v>
                </c:pt>
                <c:pt idx="286">
                  <c:v>2.863857197271728E-2</c:v>
                </c:pt>
                <c:pt idx="287">
                  <c:v>2.8693787883817545E-2</c:v>
                </c:pt>
                <c:pt idx="288">
                  <c:v>2.8689817403582285E-2</c:v>
                </c:pt>
                <c:pt idx="289">
                  <c:v>2.8623523598750134E-2</c:v>
                </c:pt>
                <c:pt idx="290">
                  <c:v>2.8532906432703189E-2</c:v>
                </c:pt>
                <c:pt idx="291">
                  <c:v>2.841790088493527E-2</c:v>
                </c:pt>
                <c:pt idx="292">
                  <c:v>2.8278443509687889E-2</c:v>
                </c:pt>
                <c:pt idx="293">
                  <c:v>2.8114472698198067E-2</c:v>
                </c:pt>
                <c:pt idx="294">
                  <c:v>2.7925928940834625E-2</c:v>
                </c:pt>
                <c:pt idx="295">
                  <c:v>2.7713209357712727E-2</c:v>
                </c:pt>
                <c:pt idx="296">
                  <c:v>2.7497697155420595E-2</c:v>
                </c:pt>
                <c:pt idx="297">
                  <c:v>2.7279589508637542E-2</c:v>
                </c:pt>
                <c:pt idx="298">
                  <c:v>2.7058853238906718E-2</c:v>
                </c:pt>
                <c:pt idx="299">
                  <c:v>2.683545593416907E-2</c:v>
                </c:pt>
                <c:pt idx="300">
                  <c:v>2.6609365972585064E-2</c:v>
                </c:pt>
                <c:pt idx="301">
                  <c:v>2.6380552546273878E-2</c:v>
                </c:pt>
                <c:pt idx="302">
                  <c:v>2.6148985685112969E-2</c:v>
                </c:pt>
                <c:pt idx="303">
                  <c:v>2.5986968012504847E-2</c:v>
                </c:pt>
                <c:pt idx="304">
                  <c:v>2.5897611391116068E-2</c:v>
                </c:pt>
                <c:pt idx="305">
                  <c:v>2.5880996002492402E-2</c:v>
                </c:pt>
                <c:pt idx="306">
                  <c:v>2.5937201997463036E-2</c:v>
                </c:pt>
                <c:pt idx="307">
                  <c:v>2.6066308826064939E-2</c:v>
                </c:pt>
                <c:pt idx="308">
                  <c:v>2.6268394567249203E-2</c:v>
                </c:pt>
                <c:pt idx="309">
                  <c:v>2.6616671226727045E-2</c:v>
                </c:pt>
                <c:pt idx="310">
                  <c:v>2.7110857969523356E-2</c:v>
                </c:pt>
                <c:pt idx="311">
                  <c:v>2.7751121884909458E-2</c:v>
                </c:pt>
                <c:pt idx="312">
                  <c:v>2.8537622669367536E-2</c:v>
                </c:pt>
                <c:pt idx="313">
                  <c:v>2.9470511289295554E-2</c:v>
                </c:pt>
                <c:pt idx="314">
                  <c:v>3.0549928643454755E-2</c:v>
                </c:pt>
                <c:pt idx="315">
                  <c:v>3.1776004225784027E-2</c:v>
                </c:pt>
                <c:pt idx="316">
                  <c:v>3.314885478775733E-2</c:v>
                </c:pt>
                <c:pt idx="317">
                  <c:v>3.4637995406976145E-2</c:v>
                </c:pt>
                <c:pt idx="318">
                  <c:v>3.6170664436886074E-2</c:v>
                </c:pt>
                <c:pt idx="319">
                  <c:v>3.7746819377127989E-2</c:v>
                </c:pt>
                <c:pt idx="320">
                  <c:v>3.936640864229856E-2</c:v>
                </c:pt>
                <c:pt idx="321">
                  <c:v>4.1029371170440539E-2</c:v>
                </c:pt>
                <c:pt idx="322">
                  <c:v>4.2735636031738973E-2</c:v>
                </c:pt>
                <c:pt idx="323">
                  <c:v>4.4452444631218023E-2</c:v>
                </c:pt>
                <c:pt idx="324">
                  <c:v>4.6106116400547216E-2</c:v>
                </c:pt>
                <c:pt idx="325">
                  <c:v>4.7696462118888637E-2</c:v>
                </c:pt>
                <c:pt idx="326">
                  <c:v>4.9222987358973978E-2</c:v>
                </c:pt>
                <c:pt idx="327">
                  <c:v>5.0685373130286128E-2</c:v>
                </c:pt>
                <c:pt idx="328">
                  <c:v>5.2083560441115138E-2</c:v>
                </c:pt>
                <c:pt idx="329">
                  <c:v>5.3417512419721175E-2</c:v>
                </c:pt>
                <c:pt idx="330">
                  <c:v>5.468721299449663E-2</c:v>
                </c:pt>
                <c:pt idx="331">
                  <c:v>5.5855099430446697E-2</c:v>
                </c:pt>
                <c:pt idx="332">
                  <c:v>5.6951885557230443E-2</c:v>
                </c:pt>
                <c:pt idx="333">
                  <c:v>5.7977609993027569E-2</c:v>
                </c:pt>
                <c:pt idx="334">
                  <c:v>5.8932327166308689E-2</c:v>
                </c:pt>
                <c:pt idx="335">
                  <c:v>5.9816105854085533E-2</c:v>
                </c:pt>
                <c:pt idx="336">
                  <c:v>6.0629027719409423E-2</c:v>
                </c:pt>
                <c:pt idx="337">
                  <c:v>6.133097904626339E-2</c:v>
                </c:pt>
                <c:pt idx="338">
                  <c:v>6.1954802734615726E-2</c:v>
                </c:pt>
                <c:pt idx="339">
                  <c:v>6.2500610277238078E-2</c:v>
                </c:pt>
                <c:pt idx="340">
                  <c:v>6.2968519963249467E-2</c:v>
                </c:pt>
                <c:pt idx="341">
                  <c:v>6.3358655260932151E-2</c:v>
                </c:pt>
                <c:pt idx="342">
                  <c:v>6.3671143200508012E-2</c:v>
                </c:pt>
                <c:pt idx="343">
                  <c:v>6.3906112756147215E-2</c:v>
                </c:pt>
                <c:pt idx="344">
                  <c:v>6.4063693228969987E-2</c:v>
                </c:pt>
                <c:pt idx="345">
                  <c:v>6.4144012629380145E-2</c:v>
                </c:pt>
                <c:pt idx="346">
                  <c:v>6.4195705752931945E-2</c:v>
                </c:pt>
                <c:pt idx="347">
                  <c:v>6.4218902841920444E-2</c:v>
                </c:pt>
                <c:pt idx="348">
                  <c:v>6.4213732227657971E-2</c:v>
                </c:pt>
                <c:pt idx="349">
                  <c:v>6.4180319720880799E-2</c:v>
                </c:pt>
                <c:pt idx="350">
                  <c:v>6.4118788003658708E-2</c:v>
                </c:pt>
                <c:pt idx="351">
                  <c:v>6.4040180005094149E-2</c:v>
                </c:pt>
                <c:pt idx="352">
                  <c:v>6.3984860353190606E-2</c:v>
                </c:pt>
                <c:pt idx="353">
                  <c:v>6.3952967858076137E-2</c:v>
                </c:pt>
                <c:pt idx="354">
                  <c:v>6.3944644144142207E-2</c:v>
                </c:pt>
                <c:pt idx="355">
                  <c:v>6.3960034100769766E-2</c:v>
                </c:pt>
                <c:pt idx="356">
                  <c:v>6.3999330563503182E-2</c:v>
                </c:pt>
                <c:pt idx="357">
                  <c:v>6.406254369019676E-2</c:v>
                </c:pt>
                <c:pt idx="358">
                  <c:v>6.4149533295196334E-2</c:v>
                </c:pt>
                <c:pt idx="359">
                  <c:v>6.4260162449419608E-2</c:v>
                </c:pt>
                <c:pt idx="360">
                  <c:v>6.4353959908198963E-2</c:v>
                </c:pt>
                <c:pt idx="361">
                  <c:v>6.4419789434467356E-2</c:v>
                </c:pt>
                <c:pt idx="362">
                  <c:v>6.4457453104935405E-2</c:v>
                </c:pt>
                <c:pt idx="363">
                  <c:v>6.4466749420501887E-2</c:v>
                </c:pt>
                <c:pt idx="364">
                  <c:v>6.4447474059369014E-2</c:v>
                </c:pt>
                <c:pt idx="365">
                  <c:v>6.4399420629365725E-2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0.10282395007787799</c:v>
                </c:pt>
                <c:pt idx="1">
                  <c:v>0.10324112619074118</c:v>
                </c:pt>
                <c:pt idx="2">
                  <c:v>0.10358802662396177</c:v>
                </c:pt>
                <c:pt idx="3">
                  <c:v>0.10386428983661078</c:v>
                </c:pt>
                <c:pt idx="4">
                  <c:v>0.10406955013857093</c:v>
                </c:pt>
                <c:pt idx="5">
                  <c:v>0.10420343950786737</c:v>
                </c:pt>
                <c:pt idx="6">
                  <c:v>0.10426558940933134</c:v>
                </c:pt>
                <c:pt idx="7">
                  <c:v>0.10425563261091948</c:v>
                </c:pt>
                <c:pt idx="8">
                  <c:v>0.10417320500148902</c:v>
                </c:pt>
                <c:pt idx="9">
                  <c:v>0.10399357141779413</c:v>
                </c:pt>
                <c:pt idx="10">
                  <c:v>0.10373994868774961</c:v>
                </c:pt>
                <c:pt idx="11">
                  <c:v>0.10341199322671153</c:v>
                </c:pt>
                <c:pt idx="12">
                  <c:v>0.10300937218110995</c:v>
                </c:pt>
                <c:pt idx="13">
                  <c:v>0.10253176526615987</c:v>
                </c:pt>
                <c:pt idx="14">
                  <c:v>0.10197886660182016</c:v>
                </c:pt>
                <c:pt idx="15">
                  <c:v>0.10123985030151424</c:v>
                </c:pt>
                <c:pt idx="16">
                  <c:v>0.10036236163196177</c:v>
                </c:pt>
                <c:pt idx="17">
                  <c:v>9.9346110825966602E-2</c:v>
                </c:pt>
                <c:pt idx="18">
                  <c:v>9.819084398294492E-2</c:v>
                </c:pt>
                <c:pt idx="19">
                  <c:v>9.6896886972274818E-2</c:v>
                </c:pt>
                <c:pt idx="20">
                  <c:v>9.5464816952018972E-2</c:v>
                </c:pt>
                <c:pt idx="21">
                  <c:v>9.389479626624142E-2</c:v>
                </c:pt>
                <c:pt idx="22">
                  <c:v>9.2186999719244975E-2</c:v>
                </c:pt>
                <c:pt idx="23">
                  <c:v>9.0279615874329464E-2</c:v>
                </c:pt>
                <c:pt idx="24">
                  <c:v>8.819729548598243E-2</c:v>
                </c:pt>
                <c:pt idx="25">
                  <c:v>8.5940237900867036E-2</c:v>
                </c:pt>
                <c:pt idx="26">
                  <c:v>8.3508652010333029E-2</c:v>
                </c:pt>
                <c:pt idx="27">
                  <c:v>8.0902754090183826E-2</c:v>
                </c:pt>
                <c:pt idx="28">
                  <c:v>7.8122765642287637E-2</c:v>
                </c:pt>
                <c:pt idx="29">
                  <c:v>7.5293541197385294E-2</c:v>
                </c:pt>
                <c:pt idx="30">
                  <c:v>7.2526017459657588E-2</c:v>
                </c:pt>
                <c:pt idx="31">
                  <c:v>6.9820388990395041E-2</c:v>
                </c:pt>
                <c:pt idx="32">
                  <c:v>6.7176832090558761E-2</c:v>
                </c:pt>
                <c:pt idx="33">
                  <c:v>6.4595505583497873E-2</c:v>
                </c:pt>
                <c:pt idx="34">
                  <c:v>6.2076551597979042E-2</c:v>
                </c:pt>
                <c:pt idx="35">
                  <c:v>5.9620096351128693E-2</c:v>
                </c:pt>
                <c:pt idx="36">
                  <c:v>5.7226250931233826E-2</c:v>
                </c:pt>
                <c:pt idx="37">
                  <c:v>5.5006250188035476E-2</c:v>
                </c:pt>
                <c:pt idx="38">
                  <c:v>5.3022123416503163E-2</c:v>
                </c:pt>
                <c:pt idx="39">
                  <c:v>5.1273894454861357E-2</c:v>
                </c:pt>
                <c:pt idx="40">
                  <c:v>4.9761574706768931E-2</c:v>
                </c:pt>
                <c:pt idx="41">
                  <c:v>4.848516608966872E-2</c:v>
                </c:pt>
                <c:pt idx="42">
                  <c:v>4.7444663982757852E-2</c:v>
                </c:pt>
                <c:pt idx="43">
                  <c:v>4.6657389424375563E-2</c:v>
                </c:pt>
                <c:pt idx="44">
                  <c:v>4.5998831887801551E-2</c:v>
                </c:pt>
                <c:pt idx="45">
                  <c:v>4.5469009295803477E-2</c:v>
                </c:pt>
                <c:pt idx="46">
                  <c:v>4.5067940698280941E-2</c:v>
                </c:pt>
                <c:pt idx="47">
                  <c:v>4.4795647879454503E-2</c:v>
                </c:pt>
                <c:pt idx="48">
                  <c:v>4.4652156964457485E-2</c:v>
                </c:pt>
                <c:pt idx="49">
                  <c:v>4.4637500026339261E-2</c:v>
                </c:pt>
                <c:pt idx="50">
                  <c:v>4.4751716692792931E-2</c:v>
                </c:pt>
                <c:pt idx="51">
                  <c:v>4.4972124411608333E-2</c:v>
                </c:pt>
                <c:pt idx="52">
                  <c:v>4.5187502362325278E-2</c:v>
                </c:pt>
                <c:pt idx="53">
                  <c:v>4.5397614422648759E-2</c:v>
                </c:pt>
                <c:pt idx="54">
                  <c:v>4.5602445854576866E-2</c:v>
                </c:pt>
                <c:pt idx="55">
                  <c:v>4.5801981519588232E-2</c:v>
                </c:pt>
                <c:pt idx="56">
                  <c:v>4.5996205898638266E-2</c:v>
                </c:pt>
                <c:pt idx="57">
                  <c:v>4.6138641727240727E-2</c:v>
                </c:pt>
                <c:pt idx="58">
                  <c:v>4.621195026572178E-2</c:v>
                </c:pt>
                <c:pt idx="59">
                  <c:v>4.6216113621135292E-2</c:v>
                </c:pt>
                <c:pt idx="60">
                  <c:v>4.6151113419017231E-2</c:v>
                </c:pt>
                <c:pt idx="61">
                  <c:v>4.6016931059387166E-2</c:v>
                </c:pt>
                <c:pt idx="62">
                  <c:v>4.5813547972680703E-2</c:v>
                </c:pt>
                <c:pt idx="63">
                  <c:v>4.5540945875820284E-2</c:v>
                </c:pt>
                <c:pt idx="64">
                  <c:v>4.5199107028102432E-2</c:v>
                </c:pt>
                <c:pt idx="65">
                  <c:v>4.4771919028290051E-2</c:v>
                </c:pt>
                <c:pt idx="66">
                  <c:v>4.4282098157846367E-2</c:v>
                </c:pt>
                <c:pt idx="67">
                  <c:v>4.372962995637969E-2</c:v>
                </c:pt>
                <c:pt idx="68">
                  <c:v>4.3114501461913333E-2</c:v>
                </c:pt>
                <c:pt idx="69">
                  <c:v>4.2436701442177059E-2</c:v>
                </c:pt>
                <c:pt idx="70">
                  <c:v>4.1696220626105618E-2</c:v>
                </c:pt>
                <c:pt idx="71">
                  <c:v>4.0907484315377364E-2</c:v>
                </c:pt>
                <c:pt idx="72">
                  <c:v>4.0116949494615479E-2</c:v>
                </c:pt>
                <c:pt idx="73">
                  <c:v>3.932461065933987E-2</c:v>
                </c:pt>
                <c:pt idx="74">
                  <c:v>3.8530463516739867E-2</c:v>
                </c:pt>
                <c:pt idx="75">
                  <c:v>3.7734504991885159E-2</c:v>
                </c:pt>
                <c:pt idx="76">
                  <c:v>3.6936733233814911E-2</c:v>
                </c:pt>
                <c:pt idx="77">
                  <c:v>3.6137147621751901E-2</c:v>
                </c:pt>
                <c:pt idx="78">
                  <c:v>3.5335749944374023E-2</c:v>
                </c:pt>
                <c:pt idx="79">
                  <c:v>3.4537171649208713E-2</c:v>
                </c:pt>
                <c:pt idx="80">
                  <c:v>3.3757588295896139E-2</c:v>
                </c:pt>
                <c:pt idx="81">
                  <c:v>3.2996986772894747E-2</c:v>
                </c:pt>
                <c:pt idx="82">
                  <c:v>3.2255354910892833E-2</c:v>
                </c:pt>
                <c:pt idx="83">
                  <c:v>3.1532681422163832E-2</c:v>
                </c:pt>
                <c:pt idx="84">
                  <c:v>3.0828955840028011E-2</c:v>
                </c:pt>
                <c:pt idx="85">
                  <c:v>3.0161763482169823E-2</c:v>
                </c:pt>
                <c:pt idx="86">
                  <c:v>2.9516668671965438E-2</c:v>
                </c:pt>
                <c:pt idx="87">
                  <c:v>2.8893662384706725E-2</c:v>
                </c:pt>
                <c:pt idx="88">
                  <c:v>2.8292736101843491E-2</c:v>
                </c:pt>
                <c:pt idx="89">
                  <c:v>2.7713881740222213E-2</c:v>
                </c:pt>
                <c:pt idx="90">
                  <c:v>2.7157091581266501E-2</c:v>
                </c:pt>
                <c:pt idx="91">
                  <c:v>2.6622358200264009E-2</c:v>
                </c:pt>
                <c:pt idx="92">
                  <c:v>2.6109674395576234E-2</c:v>
                </c:pt>
                <c:pt idx="93">
                  <c:v>2.5658648245052231E-2</c:v>
                </c:pt>
                <c:pt idx="94">
                  <c:v>2.5264773072625247E-2</c:v>
                </c:pt>
                <c:pt idx="95">
                  <c:v>2.4928032248294305E-2</c:v>
                </c:pt>
                <c:pt idx="96">
                  <c:v>2.4648407938624061E-2</c:v>
                </c:pt>
                <c:pt idx="97">
                  <c:v>2.4425880923503712E-2</c:v>
                </c:pt>
                <c:pt idx="98">
                  <c:v>2.4260430412681871E-2</c:v>
                </c:pt>
                <c:pt idx="99">
                  <c:v>2.4212445847820323E-2</c:v>
                </c:pt>
                <c:pt idx="100">
                  <c:v>2.4264307867105078E-2</c:v>
                </c:pt>
                <c:pt idx="101">
                  <c:v>2.4415972923208878E-2</c:v>
                </c:pt>
                <c:pt idx="102">
                  <c:v>2.4667393259919707E-2</c:v>
                </c:pt>
                <c:pt idx="103">
                  <c:v>2.5018516591100787E-2</c:v>
                </c:pt>
                <c:pt idx="104">
                  <c:v>2.5469285780223103E-2</c:v>
                </c:pt>
                <c:pt idx="105">
                  <c:v>2.6019638519369087E-2</c:v>
                </c:pt>
                <c:pt idx="106">
                  <c:v>2.6669507008533332E-2</c:v>
                </c:pt>
                <c:pt idx="107">
                  <c:v>2.7475709666296994E-2</c:v>
                </c:pt>
                <c:pt idx="108">
                  <c:v>2.8398595472215793E-2</c:v>
                </c:pt>
                <c:pt idx="109">
                  <c:v>2.943806682429358E-2</c:v>
                </c:pt>
                <c:pt idx="110">
                  <c:v>3.0594105397019938E-2</c:v>
                </c:pt>
                <c:pt idx="111">
                  <c:v>3.1866701386522728E-2</c:v>
                </c:pt>
                <c:pt idx="112">
                  <c:v>3.325576105731886E-2</c:v>
                </c:pt>
                <c:pt idx="113">
                  <c:v>3.4802568247440553E-2</c:v>
                </c:pt>
                <c:pt idx="114">
                  <c:v>3.6446733979392618E-2</c:v>
                </c:pt>
                <c:pt idx="115">
                  <c:v>3.8188162585735076E-2</c:v>
                </c:pt>
                <c:pt idx="116">
                  <c:v>4.0026753889467401E-2</c:v>
                </c:pt>
                <c:pt idx="117">
                  <c:v>4.1962402989569603E-2</c:v>
                </c:pt>
                <c:pt idx="118">
                  <c:v>4.3995000046180059E-2</c:v>
                </c:pt>
                <c:pt idx="119">
                  <c:v>4.6124430065872433E-2</c:v>
                </c:pt>
                <c:pt idx="120">
                  <c:v>4.8350572686855074E-2</c:v>
                </c:pt>
                <c:pt idx="121">
                  <c:v>5.0705215102813672E-2</c:v>
                </c:pt>
                <c:pt idx="122">
                  <c:v>5.3131496206728558E-2</c:v>
                </c:pt>
                <c:pt idx="123">
                  <c:v>5.5629297550764373E-2</c:v>
                </c:pt>
                <c:pt idx="124">
                  <c:v>5.8198495489815795E-2</c:v>
                </c:pt>
                <c:pt idx="125">
                  <c:v>6.0838961021567273E-2</c:v>
                </c:pt>
                <c:pt idx="126">
                  <c:v>6.3550559625793743E-2</c:v>
                </c:pt>
                <c:pt idx="127">
                  <c:v>6.6338135735423839E-2</c:v>
                </c:pt>
                <c:pt idx="128">
                  <c:v>6.9160315942378411E-2</c:v>
                </c:pt>
                <c:pt idx="129">
                  <c:v>7.201698231967267E-2</c:v>
                </c:pt>
                <c:pt idx="130">
                  <c:v>7.4908012612376881E-2</c:v>
                </c:pt>
                <c:pt idx="131">
                  <c:v>7.78332801560742E-2</c:v>
                </c:pt>
                <c:pt idx="132">
                  <c:v>8.0792653795914979E-2</c:v>
                </c:pt>
                <c:pt idx="133">
                  <c:v>8.3785997806179333E-2</c:v>
                </c:pt>
                <c:pt idx="134">
                  <c:v>8.6813171809487222E-2</c:v>
                </c:pt>
                <c:pt idx="135">
                  <c:v>8.9864757532318221E-2</c:v>
                </c:pt>
                <c:pt idx="136">
                  <c:v>9.2908853875265027E-2</c:v>
                </c:pt>
                <c:pt idx="137">
                  <c:v>9.5945354257537765E-2</c:v>
                </c:pt>
                <c:pt idx="138">
                  <c:v>9.8974149647620135E-2</c:v>
                </c:pt>
                <c:pt idx="139">
                  <c:v>0.10199512857512172</c:v>
                </c:pt>
                <c:pt idx="140">
                  <c:v>0.10500817713716344</c:v>
                </c:pt>
                <c:pt idx="141">
                  <c:v>0.1079822173042914</c:v>
                </c:pt>
                <c:pt idx="142">
                  <c:v>0.110911604078481</c:v>
                </c:pt>
                <c:pt idx="143">
                  <c:v>0.11379570989641745</c:v>
                </c:pt>
                <c:pt idx="144">
                  <c:v>0.11663456051251946</c:v>
                </c:pt>
                <c:pt idx="145">
                  <c:v>0.11942820218162804</c:v>
                </c:pt>
                <c:pt idx="146">
                  <c:v>0.12217670111693923</c:v>
                </c:pt>
                <c:pt idx="147">
                  <c:v>0.12488014295188181</c:v>
                </c:pt>
                <c:pt idx="148">
                  <c:v>0.12753863219921072</c:v>
                </c:pt>
                <c:pt idx="149">
                  <c:v>0.13010771389544784</c:v>
                </c:pt>
                <c:pt idx="150">
                  <c:v>0.13259681403104859</c:v>
                </c:pt>
                <c:pt idx="151">
                  <c:v>0.1350061550878327</c:v>
                </c:pt>
                <c:pt idx="152">
                  <c:v>0.1373359779914031</c:v>
                </c:pt>
                <c:pt idx="153">
                  <c:v>0.13958654109353771</c:v>
                </c:pt>
                <c:pt idx="154">
                  <c:v>0.14175811915530692</c:v>
                </c:pt>
                <c:pt idx="155">
                  <c:v>0.14379250733160431</c:v>
                </c:pt>
                <c:pt idx="156">
                  <c:v>0.14572082342578482</c:v>
                </c:pt>
                <c:pt idx="157">
                  <c:v>0.14754343849953858</c:v>
                </c:pt>
                <c:pt idx="158">
                  <c:v>0.14926073583476809</c:v>
                </c:pt>
                <c:pt idx="159">
                  <c:v>0.15087310953978317</c:v>
                </c:pt>
                <c:pt idx="160">
                  <c:v>0.15238096315732344</c:v>
                </c:pt>
                <c:pt idx="161">
                  <c:v>0.15378470827090249</c:v>
                </c:pt>
                <c:pt idx="162">
                  <c:v>0.15508476311194722</c:v>
                </c:pt>
                <c:pt idx="163">
                  <c:v>0.15621861075679944</c:v>
                </c:pt>
                <c:pt idx="164">
                  <c:v>0.15723095940794066</c:v>
                </c:pt>
                <c:pt idx="165">
                  <c:v>0.15812227147202376</c:v>
                </c:pt>
                <c:pt idx="166">
                  <c:v>0.15889300899845546</c:v>
                </c:pt>
                <c:pt idx="167">
                  <c:v>0.1595436320288168</c:v>
                </c:pt>
                <c:pt idx="168">
                  <c:v>0.16007459695133555</c:v>
                </c:pt>
                <c:pt idx="169">
                  <c:v>0.16042363739313373</c:v>
                </c:pt>
                <c:pt idx="170">
                  <c:v>0.16064926286838482</c:v>
                </c:pt>
                <c:pt idx="171">
                  <c:v>0.16075191331598226</c:v>
                </c:pt>
                <c:pt idx="172">
                  <c:v>0.16073201757784542</c:v>
                </c:pt>
                <c:pt idx="173">
                  <c:v>0.16058834948978065</c:v>
                </c:pt>
                <c:pt idx="174">
                  <c:v>0.16031959239154822</c:v>
                </c:pt>
                <c:pt idx="175">
                  <c:v>0.15992602984965035</c:v>
                </c:pt>
                <c:pt idx="176">
                  <c:v>0.15940794460740018</c:v>
                </c:pt>
                <c:pt idx="177">
                  <c:v>0.15870786180764521</c:v>
                </c:pt>
                <c:pt idx="178">
                  <c:v>0.15788857583754498</c:v>
                </c:pt>
                <c:pt idx="179">
                  <c:v>0.15695035506849911</c:v>
                </c:pt>
                <c:pt idx="180">
                  <c:v>0.15589346407064036</c:v>
                </c:pt>
                <c:pt idx="181">
                  <c:v>0.15471816290624094</c:v>
                </c:pt>
                <c:pt idx="182">
                  <c:v>0.15342470642449646</c:v>
                </c:pt>
                <c:pt idx="183">
                  <c:v>0.15196961870979314</c:v>
                </c:pt>
                <c:pt idx="184">
                  <c:v>0.15041545034355028</c:v>
                </c:pt>
                <c:pt idx="185">
                  <c:v>0.14876240924163986</c:v>
                </c:pt>
                <c:pt idx="186">
                  <c:v>0.14701069593634133</c:v>
                </c:pt>
                <c:pt idx="187">
                  <c:v>0.14516050298053226</c:v>
                </c:pt>
                <c:pt idx="188">
                  <c:v>0.14321201435266129</c:v>
                </c:pt>
                <c:pt idx="189">
                  <c:v>0.14116540485728948</c:v>
                </c:pt>
                <c:pt idx="190">
                  <c:v>0.13902083953181107</c:v>
                </c:pt>
                <c:pt idx="191">
                  <c:v>0.13674833814116749</c:v>
                </c:pt>
                <c:pt idx="192">
                  <c:v>0.13440543516684647</c:v>
                </c:pt>
                <c:pt idx="193">
                  <c:v>0.13199222889872755</c:v>
                </c:pt>
                <c:pt idx="194">
                  <c:v>0.1295088072865859</c:v>
                </c:pt>
                <c:pt idx="195">
                  <c:v>0.12695524750757761</c:v>
                </c:pt>
                <c:pt idx="196">
                  <c:v>0.12433161552859079</c:v>
                </c:pt>
                <c:pt idx="197">
                  <c:v>0.12162898281464669</c:v>
                </c:pt>
                <c:pt idx="198">
                  <c:v>0.11889085241842372</c:v>
                </c:pt>
                <c:pt idx="199">
                  <c:v>0.11611722006982149</c:v>
                </c:pt>
                <c:pt idx="200">
                  <c:v>0.11330807165659519</c:v>
                </c:pt>
                <c:pt idx="201">
                  <c:v>0.11046338299193847</c:v>
                </c:pt>
                <c:pt idx="202">
                  <c:v>0.10758311958284517</c:v>
                </c:pt>
                <c:pt idx="203">
                  <c:v>0.10466723640086706</c:v>
                </c:pt>
                <c:pt idx="204">
                  <c:v>0.10171551339540046</c:v>
                </c:pt>
                <c:pt idx="205">
                  <c:v>9.8732483764483167E-2</c:v>
                </c:pt>
                <c:pt idx="206">
                  <c:v>9.5748004949744545E-2</c:v>
                </c:pt>
                <c:pt idx="207">
                  <c:v>9.2761926516464019E-2</c:v>
                </c:pt>
                <c:pt idx="208">
                  <c:v>8.9774101368749304E-2</c:v>
                </c:pt>
                <c:pt idx="209">
                  <c:v>8.678438576126013E-2</c:v>
                </c:pt>
                <c:pt idx="210">
                  <c:v>8.3792639313968534E-2</c:v>
                </c:pt>
                <c:pt idx="211">
                  <c:v>8.0829399964864421E-2</c:v>
                </c:pt>
                <c:pt idx="212">
                  <c:v>7.7903472439088892E-2</c:v>
                </c:pt>
                <c:pt idx="213">
                  <c:v>7.5014712389585611E-2</c:v>
                </c:pt>
                <c:pt idx="214">
                  <c:v>7.2162981585300115E-2</c:v>
                </c:pt>
                <c:pt idx="215">
                  <c:v>6.9348147801308602E-2</c:v>
                </c:pt>
                <c:pt idx="216">
                  <c:v>6.657008470864785E-2</c:v>
                </c:pt>
                <c:pt idx="217">
                  <c:v>6.3828671764395009E-2</c:v>
                </c:pt>
                <c:pt idx="218">
                  <c:v>6.1123794101347328E-2</c:v>
                </c:pt>
                <c:pt idx="219">
                  <c:v>5.849501252935646E-2</c:v>
                </c:pt>
                <c:pt idx="220">
                  <c:v>5.5937421621439963E-2</c:v>
                </c:pt>
                <c:pt idx="221">
                  <c:v>5.3450919318261257E-2</c:v>
                </c:pt>
                <c:pt idx="222">
                  <c:v>5.1035410637526597E-2</c:v>
                </c:pt>
                <c:pt idx="223">
                  <c:v>4.8690807456459262E-2</c:v>
                </c:pt>
                <c:pt idx="224">
                  <c:v>4.6417028292887318E-2</c:v>
                </c:pt>
                <c:pt idx="225">
                  <c:v>4.426846235271558E-2</c:v>
                </c:pt>
                <c:pt idx="226">
                  <c:v>4.22143960246876E-2</c:v>
                </c:pt>
                <c:pt idx="227">
                  <c:v>4.0254768013753585E-2</c:v>
                </c:pt>
                <c:pt idx="228">
                  <c:v>3.838952374981721E-2</c:v>
                </c:pt>
                <c:pt idx="229">
                  <c:v>3.661861509469614E-2</c:v>
                </c:pt>
                <c:pt idx="230">
                  <c:v>3.4942000049762632E-2</c:v>
                </c:pt>
                <c:pt idx="231">
                  <c:v>3.3359642463646651E-2</c:v>
                </c:pt>
                <c:pt idx="232">
                  <c:v>3.1871511739183643E-2</c:v>
                </c:pt>
                <c:pt idx="233">
                  <c:v>3.0535361007334328E-2</c:v>
                </c:pt>
                <c:pt idx="234">
                  <c:v>2.9311507011572788E-2</c:v>
                </c:pt>
                <c:pt idx="235">
                  <c:v>2.819996060154974E-2</c:v>
                </c:pt>
                <c:pt idx="236">
                  <c:v>2.7200743053394167E-2</c:v>
                </c:pt>
                <c:pt idx="237">
                  <c:v>2.6313859678540941E-2</c:v>
                </c:pt>
                <c:pt idx="238">
                  <c:v>2.553931970528733E-2</c:v>
                </c:pt>
                <c:pt idx="239">
                  <c:v>2.491501788372107E-2</c:v>
                </c:pt>
                <c:pt idx="240">
                  <c:v>2.438648233758996E-2</c:v>
                </c:pt>
                <c:pt idx="241">
                  <c:v>2.395373126242727E-2</c:v>
                </c:pt>
                <c:pt idx="242">
                  <c:v>2.3616786824017671E-2</c:v>
                </c:pt>
                <c:pt idx="243">
                  <c:v>2.3375675327490325E-2</c:v>
                </c:pt>
                <c:pt idx="244">
                  <c:v>2.323042738625546E-2</c:v>
                </c:pt>
                <c:pt idx="245">
                  <c:v>2.3181078090697582E-2</c:v>
                </c:pt>
                <c:pt idx="246">
                  <c:v>2.3227667176839412E-2</c:v>
                </c:pt>
                <c:pt idx="247">
                  <c:v>2.3387071250300474E-2</c:v>
                </c:pt>
                <c:pt idx="248">
                  <c:v>2.3601483732218011E-2</c:v>
                </c:pt>
                <c:pt idx="249">
                  <c:v>2.3870939683866665E-2</c:v>
                </c:pt>
                <c:pt idx="250">
                  <c:v>2.4195477262089423E-2</c:v>
                </c:pt>
                <c:pt idx="251">
                  <c:v>2.4575137816460525E-2</c:v>
                </c:pt>
                <c:pt idx="252">
                  <c:v>2.5009965985437439E-2</c:v>
                </c:pt>
                <c:pt idx="253">
                  <c:v>2.5504312249742769E-2</c:v>
                </c:pt>
                <c:pt idx="254">
                  <c:v>2.6020265744533009E-2</c:v>
                </c:pt>
                <c:pt idx="255">
                  <c:v>2.6557859463118994E-2</c:v>
                </c:pt>
                <c:pt idx="256">
                  <c:v>2.7117128030137782E-2</c:v>
                </c:pt>
                <c:pt idx="257">
                  <c:v>2.7698107738583038E-2</c:v>
                </c:pt>
                <c:pt idx="258">
                  <c:v>2.8300836587078566E-2</c:v>
                </c:pt>
                <c:pt idx="259">
                  <c:v>2.8925354317553293E-2</c:v>
                </c:pt>
                <c:pt idx="260">
                  <c:v>2.9571702452069599E-2</c:v>
                </c:pt>
                <c:pt idx="261">
                  <c:v>3.0253765305897361E-2</c:v>
                </c:pt>
                <c:pt idx="262">
                  <c:v>3.0954712193351608E-2</c:v>
                </c:pt>
                <c:pt idx="263">
                  <c:v>3.1674587883977812E-2</c:v>
                </c:pt>
                <c:pt idx="264">
                  <c:v>3.2413440432192679E-2</c:v>
                </c:pt>
                <c:pt idx="265">
                  <c:v>3.317149754793166E-2</c:v>
                </c:pt>
                <c:pt idx="266">
                  <c:v>3.3948916245034662E-2</c:v>
                </c:pt>
                <c:pt idx="267">
                  <c:v>3.4730257511823029E-2</c:v>
                </c:pt>
                <c:pt idx="268">
                  <c:v>3.5511207899907908E-2</c:v>
                </c:pt>
                <c:pt idx="269">
                  <c:v>3.6291766728916507E-2</c:v>
                </c:pt>
                <c:pt idx="270">
                  <c:v>3.7071929781179715E-2</c:v>
                </c:pt>
                <c:pt idx="271">
                  <c:v>3.7851689318607919E-2</c:v>
                </c:pt>
                <c:pt idx="272">
                  <c:v>3.8631034100537288E-2</c:v>
                </c:pt>
                <c:pt idx="273">
                  <c:v>3.9409949401109909E-2</c:v>
                </c:pt>
                <c:pt idx="274">
                  <c:v>4.0188417027153166E-2</c:v>
                </c:pt>
                <c:pt idx="275">
                  <c:v>4.0921610505261517E-2</c:v>
                </c:pt>
                <c:pt idx="276">
                  <c:v>4.1595514411857472E-2</c:v>
                </c:pt>
                <c:pt idx="277">
                  <c:v>4.2210011093588656E-2</c:v>
                </c:pt>
                <c:pt idx="278">
                  <c:v>4.2764977287904758E-2</c:v>
                </c:pt>
                <c:pt idx="279">
                  <c:v>4.3260284785203516E-2</c:v>
                </c:pt>
                <c:pt idx="280">
                  <c:v>4.369580109137744E-2</c:v>
                </c:pt>
                <c:pt idx="281">
                  <c:v>4.4049402592711374E-2</c:v>
                </c:pt>
                <c:pt idx="282">
                  <c:v>4.4336492062806765E-2</c:v>
                </c:pt>
                <c:pt idx="283">
                  <c:v>4.4556917965726993E-2</c:v>
                </c:pt>
                <c:pt idx="284">
                  <c:v>4.4710527216671465E-2</c:v>
                </c:pt>
                <c:pt idx="285">
                  <c:v>4.4797165914383812E-2</c:v>
                </c:pt>
                <c:pt idx="286">
                  <c:v>4.4816680073987453E-2</c:v>
                </c:pt>
                <c:pt idx="287">
                  <c:v>4.4768916359378887E-2</c:v>
                </c:pt>
                <c:pt idx="288">
                  <c:v>4.465372281579022E-2</c:v>
                </c:pt>
                <c:pt idx="289">
                  <c:v>4.4487774174056437E-2</c:v>
                </c:pt>
                <c:pt idx="290">
                  <c:v>4.4316099198390156E-2</c:v>
                </c:pt>
                <c:pt idx="291">
                  <c:v>4.4138645606663529E-2</c:v>
                </c:pt>
                <c:pt idx="292">
                  <c:v>4.3955362205807098E-2</c:v>
                </c:pt>
                <c:pt idx="293">
                  <c:v>4.3766198949240741E-2</c:v>
                </c:pt>
                <c:pt idx="294">
                  <c:v>4.3571106994131796E-2</c:v>
                </c:pt>
                <c:pt idx="295">
                  <c:v>4.3478197153647036E-2</c:v>
                </c:pt>
                <c:pt idx="296">
                  <c:v>4.3510243818525661E-2</c:v>
                </c:pt>
                <c:pt idx="297">
                  <c:v>4.3667736365380093E-2</c:v>
                </c:pt>
                <c:pt idx="298">
                  <c:v>4.3950808407488516E-2</c:v>
                </c:pt>
                <c:pt idx="299">
                  <c:v>4.4359597203859069E-2</c:v>
                </c:pt>
                <c:pt idx="300">
                  <c:v>4.4894242503891145E-2</c:v>
                </c:pt>
                <c:pt idx="301">
                  <c:v>4.5554885391903839E-2</c:v>
                </c:pt>
                <c:pt idx="302">
                  <c:v>4.6341667131763853E-2</c:v>
                </c:pt>
                <c:pt idx="303">
                  <c:v>4.7376409217724659E-2</c:v>
                </c:pt>
                <c:pt idx="304">
                  <c:v>4.8642479854810072E-2</c:v>
                </c:pt>
                <c:pt idx="305">
                  <c:v>5.0140163271696618E-2</c:v>
                </c:pt>
                <c:pt idx="306">
                  <c:v>5.1869737837862216E-2</c:v>
                </c:pt>
                <c:pt idx="307">
                  <c:v>5.3831473943891317E-2</c:v>
                </c:pt>
                <c:pt idx="308">
                  <c:v>5.6025631881336024E-2</c:v>
                </c:pt>
                <c:pt idx="309">
                  <c:v>5.8391746827141454E-2</c:v>
                </c:pt>
                <c:pt idx="310">
                  <c:v>6.0821053490596189E-2</c:v>
                </c:pt>
                <c:pt idx="311">
                  <c:v>6.3313540473821511E-2</c:v>
                </c:pt>
                <c:pt idx="312">
                  <c:v>6.5869185192807364E-2</c:v>
                </c:pt>
                <c:pt idx="313">
                  <c:v>6.8487953314758723E-2</c:v>
                </c:pt>
                <c:pt idx="314">
                  <c:v>7.1169798194856124E-2</c:v>
                </c:pt>
                <c:pt idx="315">
                  <c:v>7.3914660313865607E-2</c:v>
                </c:pt>
                <c:pt idx="316">
                  <c:v>7.6722466714686813E-2</c:v>
                </c:pt>
                <c:pt idx="317">
                  <c:v>7.9484348562446613E-2</c:v>
                </c:pt>
                <c:pt idx="318">
                  <c:v>8.2077587457804427E-2</c:v>
                </c:pt>
                <c:pt idx="319">
                  <c:v>8.4501815618782006E-2</c:v>
                </c:pt>
                <c:pt idx="320">
                  <c:v>8.6756669868712721E-2</c:v>
                </c:pt>
                <c:pt idx="321">
                  <c:v>8.8841793189143523E-2</c:v>
                </c:pt>
                <c:pt idx="322">
                  <c:v>9.0756836273158156E-2</c:v>
                </c:pt>
                <c:pt idx="323">
                  <c:v>9.2477365258960206E-2</c:v>
                </c:pt>
                <c:pt idx="324">
                  <c:v>9.4064095583239082E-2</c:v>
                </c:pt>
                <c:pt idx="325">
                  <c:v>9.551673589320836E-2</c:v>
                </c:pt>
                <c:pt idx="326">
                  <c:v>9.6834401879173096E-2</c:v>
                </c:pt>
                <c:pt idx="327">
                  <c:v>9.8016597038822414E-2</c:v>
                </c:pt>
                <c:pt idx="328">
                  <c:v>9.9063341019381079E-2</c:v>
                </c:pt>
                <c:pt idx="329">
                  <c:v>9.9974684224189828E-2</c:v>
                </c:pt>
                <c:pt idx="330">
                  <c:v>0.10075070503881833</c:v>
                </c:pt>
                <c:pt idx="331">
                  <c:v>0.10134409520869932</c:v>
                </c:pt>
                <c:pt idx="332">
                  <c:v>0.10186416017150017</c:v>
                </c:pt>
                <c:pt idx="333">
                  <c:v>0.10231106303790986</c:v>
                </c:pt>
                <c:pt idx="334">
                  <c:v>0.10268497801311606</c:v>
                </c:pt>
                <c:pt idx="335">
                  <c:v>0.10298608890946435</c:v>
                </c:pt>
                <c:pt idx="336">
                  <c:v>0.10321458765777625</c:v>
                </c:pt>
                <c:pt idx="337">
                  <c:v>0.10334730885989474</c:v>
                </c:pt>
                <c:pt idx="338">
                  <c:v>0.10340859662902309</c:v>
                </c:pt>
                <c:pt idx="339">
                  <c:v>0.10339865867365682</c:v>
                </c:pt>
                <c:pt idx="340">
                  <c:v>0.10331770466383404</c:v>
                </c:pt>
                <c:pt idx="341">
                  <c:v>0.1031659447595303</c:v>
                </c:pt>
                <c:pt idx="342">
                  <c:v>0.10294358813896982</c:v>
                </c:pt>
                <c:pt idx="343">
                  <c:v>0.10265084152569159</c:v>
                </c:pt>
                <c:pt idx="344">
                  <c:v>0.10228790771723713</c:v>
                </c:pt>
                <c:pt idx="345">
                  <c:v>0.1018549841127508</c:v>
                </c:pt>
                <c:pt idx="346">
                  <c:v>0.10143821322892159</c:v>
                </c:pt>
                <c:pt idx="347">
                  <c:v>0.10103779437805238</c:v>
                </c:pt>
                <c:pt idx="348">
                  <c:v>0.10065392455644319</c:v>
                </c:pt>
                <c:pt idx="349">
                  <c:v>0.10028679875821384</c:v>
                </c:pt>
                <c:pt idx="350">
                  <c:v>9.9936610291485373E-2</c:v>
                </c:pt>
                <c:pt idx="351">
                  <c:v>9.9642078859620939E-2</c:v>
                </c:pt>
                <c:pt idx="352">
                  <c:v>9.9426799848389924E-2</c:v>
                </c:pt>
                <c:pt idx="353">
                  <c:v>9.9291000582772682E-2</c:v>
                </c:pt>
                <c:pt idx="354">
                  <c:v>9.9234918310411105E-2</c:v>
                </c:pt>
                <c:pt idx="355">
                  <c:v>9.9258801797592514E-2</c:v>
                </c:pt>
                <c:pt idx="356">
                  <c:v>9.9362981595785091E-2</c:v>
                </c:pt>
                <c:pt idx="357">
                  <c:v>9.9547512866398111E-2</c:v>
                </c:pt>
                <c:pt idx="358">
                  <c:v>9.9812224995297891E-2</c:v>
                </c:pt>
                <c:pt idx="359">
                  <c:v>0.10015695885594007</c:v>
                </c:pt>
                <c:pt idx="360">
                  <c:v>0.1005581252115199</c:v>
                </c:pt>
                <c:pt idx="361">
                  <c:v>0.10097691569601708</c:v>
                </c:pt>
                <c:pt idx="362">
                  <c:v>0.10141311365877359</c:v>
                </c:pt>
                <c:pt idx="363">
                  <c:v>0.10186650021514343</c:v>
                </c:pt>
                <c:pt idx="364">
                  <c:v>0.10233685385964268</c:v>
                </c:pt>
                <c:pt idx="365">
                  <c:v>0.10282395007787799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0.13471835728104828</c:v>
                </c:pt>
                <c:pt idx="1">
                  <c:v>0.13576140356133229</c:v>
                </c:pt>
                <c:pt idx="2">
                  <c:v>0.13683654304092155</c:v>
                </c:pt>
                <c:pt idx="3">
                  <c:v>0.1379434856478311</c:v>
                </c:pt>
                <c:pt idx="4">
                  <c:v>0.13908193147440395</c:v>
                </c:pt>
                <c:pt idx="5">
                  <c:v>0.14025157000278107</c:v>
                </c:pt>
                <c:pt idx="6">
                  <c:v>0.14145207933216256</c:v>
                </c:pt>
                <c:pt idx="7">
                  <c:v>0.14268312540293324</c:v>
                </c:pt>
                <c:pt idx="8">
                  <c:v>0.14394436122271562</c:v>
                </c:pt>
                <c:pt idx="9">
                  <c:v>0.14519451667348929</c:v>
                </c:pt>
                <c:pt idx="10">
                  <c:v>0.14640644528220612</c:v>
                </c:pt>
                <c:pt idx="11">
                  <c:v>0.14757967443409717</c:v>
                </c:pt>
                <c:pt idx="12">
                  <c:v>0.14871372378944744</c:v>
                </c:pt>
                <c:pt idx="13">
                  <c:v>0.1498081062289521</c:v>
                </c:pt>
                <c:pt idx="14">
                  <c:v>0.15086232879650172</c:v>
                </c:pt>
                <c:pt idx="15">
                  <c:v>0.15170623787822643</c:v>
                </c:pt>
                <c:pt idx="16">
                  <c:v>0.15233543227303251</c:v>
                </c:pt>
                <c:pt idx="17">
                  <c:v>0.1527492882863484</c:v>
                </c:pt>
                <c:pt idx="18">
                  <c:v>0.15294721790857813</c:v>
                </c:pt>
                <c:pt idx="19">
                  <c:v>0.15292952718191657</c:v>
                </c:pt>
                <c:pt idx="20">
                  <c:v>0.15269694805577483</c:v>
                </c:pt>
                <c:pt idx="21">
                  <c:v>0.15224958503066979</c:v>
                </c:pt>
                <c:pt idx="22">
                  <c:v>0.15158757207324966</c:v>
                </c:pt>
                <c:pt idx="23">
                  <c:v>0.15054042325343558</c:v>
                </c:pt>
                <c:pt idx="24">
                  <c:v>0.14914935220233971</c:v>
                </c:pt>
                <c:pt idx="25">
                  <c:v>0.14741455358905037</c:v>
                </c:pt>
                <c:pt idx="26">
                  <c:v>0.1453362544936822</c:v>
                </c:pt>
                <c:pt idx="27">
                  <c:v>0.14291471014769527</c:v>
                </c:pt>
                <c:pt idx="28">
                  <c:v>0.14015019967738396</c:v>
                </c:pt>
                <c:pt idx="29">
                  <c:v>0.13706974134902361</c:v>
                </c:pt>
                <c:pt idx="30">
                  <c:v>0.13384358515809183</c:v>
                </c:pt>
                <c:pt idx="31">
                  <c:v>0.13047203441390215</c:v>
                </c:pt>
                <c:pt idx="32">
                  <c:v>0.12695538649245883</c:v>
                </c:pt>
                <c:pt idx="33">
                  <c:v>0.12329393103654029</c:v>
                </c:pt>
                <c:pt idx="34">
                  <c:v>0.11948794815637225</c:v>
                </c:pt>
                <c:pt idx="35">
                  <c:v>0.11553770663015206</c:v>
                </c:pt>
                <c:pt idx="36">
                  <c:v>0.11144346210430274</c:v>
                </c:pt>
                <c:pt idx="37">
                  <c:v>0.10734383547256643</c:v>
                </c:pt>
                <c:pt idx="38">
                  <c:v>0.10340960059388647</c:v>
                </c:pt>
                <c:pt idx="39">
                  <c:v>9.9640880217207739E-2</c:v>
                </c:pt>
                <c:pt idx="40">
                  <c:v>9.6037775680776913E-2</c:v>
                </c:pt>
                <c:pt idx="41">
                  <c:v>9.2600368977508077E-2</c:v>
                </c:pt>
                <c:pt idx="42">
                  <c:v>8.9328724819603147E-2</c:v>
                </c:pt>
                <c:pt idx="43">
                  <c:v>8.6342550271652774E-2</c:v>
                </c:pt>
                <c:pt idx="44">
                  <c:v>8.361516166080403E-2</c:v>
                </c:pt>
                <c:pt idx="45">
                  <c:v>8.1146565161818687E-2</c:v>
                </c:pt>
                <c:pt idx="46">
                  <c:v>7.8936762180718406E-2</c:v>
                </c:pt>
                <c:pt idx="47">
                  <c:v>7.6985752583449529E-2</c:v>
                </c:pt>
                <c:pt idx="48">
                  <c:v>7.5293537923474194E-2</c:v>
                </c:pt>
                <c:pt idx="49">
                  <c:v>7.3860124670093202E-2</c:v>
                </c:pt>
                <c:pt idx="50">
                  <c:v>7.268552743629246E-2</c:v>
                </c:pt>
                <c:pt idx="51">
                  <c:v>7.1803429909592001E-2</c:v>
                </c:pt>
                <c:pt idx="52">
                  <c:v>7.1075233354259554E-2</c:v>
                </c:pt>
                <c:pt idx="53">
                  <c:v>7.050053959167972E-2</c:v>
                </c:pt>
                <c:pt idx="54">
                  <c:v>7.0079314642624499E-2</c:v>
                </c:pt>
                <c:pt idx="55">
                  <c:v>6.9811527905887003E-2</c:v>
                </c:pt>
                <c:pt idx="56">
                  <c:v>6.9697151591242942E-2</c:v>
                </c:pt>
                <c:pt idx="57">
                  <c:v>6.9683492351074308E-2</c:v>
                </c:pt>
                <c:pt idx="58">
                  <c:v>6.9650919480942805E-2</c:v>
                </c:pt>
                <c:pt idx="59">
                  <c:v>6.9599406792114807E-2</c:v>
                </c:pt>
                <c:pt idx="60">
                  <c:v>6.952892804201663E-2</c:v>
                </c:pt>
                <c:pt idx="61">
                  <c:v>6.9439457004589825E-2</c:v>
                </c:pt>
                <c:pt idx="62">
                  <c:v>6.9330967540542243E-2</c:v>
                </c:pt>
                <c:pt idx="63">
                  <c:v>6.9203433667807623E-2</c:v>
                </c:pt>
                <c:pt idx="64">
                  <c:v>6.9056829631728309E-2</c:v>
                </c:pt>
                <c:pt idx="65">
                  <c:v>6.8851563229480273E-2</c:v>
                </c:pt>
                <c:pt idx="66">
                  <c:v>6.8553949850199067E-2</c:v>
                </c:pt>
                <c:pt idx="67">
                  <c:v>6.8163964812971586E-2</c:v>
                </c:pt>
                <c:pt idx="68">
                  <c:v>6.7681585017889165E-2</c:v>
                </c:pt>
                <c:pt idx="69">
                  <c:v>6.7106789287053173E-2</c:v>
                </c:pt>
                <c:pt idx="70">
                  <c:v>6.6439558705900903E-2</c:v>
                </c:pt>
                <c:pt idx="71">
                  <c:v>6.5693007054824212E-2</c:v>
                </c:pt>
                <c:pt idx="72">
                  <c:v>6.4919789195088631E-2</c:v>
                </c:pt>
                <c:pt idx="73">
                  <c:v>6.4119891292249487E-2</c:v>
                </c:pt>
                <c:pt idx="74">
                  <c:v>6.3293301333534446E-2</c:v>
                </c:pt>
                <c:pt idx="75">
                  <c:v>6.2440009225739855E-2</c:v>
                </c:pt>
                <c:pt idx="76">
                  <c:v>6.1560006892928322E-2</c:v>
                </c:pt>
                <c:pt idx="77">
                  <c:v>6.065328837433176E-2</c:v>
                </c:pt>
                <c:pt idx="78">
                  <c:v>5.9719851904806463E-2</c:v>
                </c:pt>
                <c:pt idx="79">
                  <c:v>5.876553828239587E-2</c:v>
                </c:pt>
                <c:pt idx="80">
                  <c:v>5.7830048340026481E-2</c:v>
                </c:pt>
                <c:pt idx="81">
                  <c:v>5.6913361355377584E-2</c:v>
                </c:pt>
                <c:pt idx="82">
                  <c:v>5.6015457747220748E-2</c:v>
                </c:pt>
                <c:pt idx="83">
                  <c:v>5.5136319015345624E-2</c:v>
                </c:pt>
                <c:pt idx="84">
                  <c:v>5.4275927680671687E-2</c:v>
                </c:pt>
                <c:pt idx="85">
                  <c:v>5.3438849016198296E-2</c:v>
                </c:pt>
                <c:pt idx="86">
                  <c:v>5.2611944361940298E-2</c:v>
                </c:pt>
                <c:pt idx="87">
                  <c:v>5.1795200354024441E-2</c:v>
                </c:pt>
                <c:pt idx="88">
                  <c:v>5.0988604537763105E-2</c:v>
                </c:pt>
                <c:pt idx="89">
                  <c:v>5.0192145335023121E-2</c:v>
                </c:pt>
                <c:pt idx="90">
                  <c:v>4.9405812011489469E-2</c:v>
                </c:pt>
                <c:pt idx="91">
                  <c:v>4.8629594644121255E-2</c:v>
                </c:pt>
                <c:pt idx="92">
                  <c:v>4.7863484088469473E-2</c:v>
                </c:pt>
                <c:pt idx="93">
                  <c:v>4.7148926308166299E-2</c:v>
                </c:pt>
                <c:pt idx="94">
                  <c:v>4.6480296956351141E-2</c:v>
                </c:pt>
                <c:pt idx="95">
                  <c:v>4.5857579141536021E-2</c:v>
                </c:pt>
                <c:pt idx="96">
                  <c:v>4.5280755451878117E-2</c:v>
                </c:pt>
                <c:pt idx="97">
                  <c:v>4.4749807807860587E-2</c:v>
                </c:pt>
                <c:pt idx="98">
                  <c:v>4.4264717314561351E-2</c:v>
                </c:pt>
                <c:pt idx="99">
                  <c:v>4.3896321542368229E-2</c:v>
                </c:pt>
                <c:pt idx="100">
                  <c:v>4.3639998667431672E-2</c:v>
                </c:pt>
                <c:pt idx="101">
                  <c:v>4.3495700702667395E-2</c:v>
                </c:pt>
                <c:pt idx="102">
                  <c:v>4.346337533635608E-2</c:v>
                </c:pt>
                <c:pt idx="103">
                  <c:v>4.3542965571509329E-2</c:v>
                </c:pt>
                <c:pt idx="104">
                  <c:v>4.3734409366251191E-2</c:v>
                </c:pt>
                <c:pt idx="105">
                  <c:v>4.40376392732603E-2</c:v>
                </c:pt>
                <c:pt idx="106">
                  <c:v>4.4452582079735403E-2</c:v>
                </c:pt>
                <c:pt idx="107">
                  <c:v>4.5042685584916191E-2</c:v>
                </c:pt>
                <c:pt idx="108">
                  <c:v>4.57664533467785E-2</c:v>
                </c:pt>
                <c:pt idx="109">
                  <c:v>4.6623778395230991E-2</c:v>
                </c:pt>
                <c:pt idx="110">
                  <c:v>4.7614680793356366E-2</c:v>
                </c:pt>
                <c:pt idx="111">
                  <c:v>4.873918786058512E-2</c:v>
                </c:pt>
                <c:pt idx="112">
                  <c:v>4.999719383316692E-2</c:v>
                </c:pt>
                <c:pt idx="113">
                  <c:v>5.1435762759601371E-2</c:v>
                </c:pt>
                <c:pt idx="114">
                  <c:v>5.2984070071337812E-2</c:v>
                </c:pt>
                <c:pt idx="115">
                  <c:v>5.4642009896357278E-2</c:v>
                </c:pt>
                <c:pt idx="116">
                  <c:v>5.6409471546170271E-2</c:v>
                </c:pt>
                <c:pt idx="117">
                  <c:v>5.8286339274323834E-2</c:v>
                </c:pt>
                <c:pt idx="118">
                  <c:v>6.0272492034377401E-2</c:v>
                </c:pt>
                <c:pt idx="119">
                  <c:v>6.236780323802521E-2</c:v>
                </c:pt>
                <c:pt idx="120">
                  <c:v>6.4572140513115092E-2</c:v>
                </c:pt>
                <c:pt idx="121">
                  <c:v>6.6921372425529813E-2</c:v>
                </c:pt>
                <c:pt idx="122">
                  <c:v>6.9352008518766092E-2</c:v>
                </c:pt>
                <c:pt idx="123">
                  <c:v>7.1863918870051141E-2</c:v>
                </c:pt>
                <c:pt idx="124">
                  <c:v>7.4456967939149951E-2</c:v>
                </c:pt>
                <c:pt idx="125">
                  <c:v>7.7131014386925836E-2</c:v>
                </c:pt>
                <c:pt idx="126">
                  <c:v>7.9885910892915274E-2</c:v>
                </c:pt>
                <c:pt idx="127">
                  <c:v>8.2728974618096959E-2</c:v>
                </c:pt>
                <c:pt idx="128">
                  <c:v>8.5613045769418028E-2</c:v>
                </c:pt>
                <c:pt idx="129">
                  <c:v>8.8537995141412806E-2</c:v>
                </c:pt>
                <c:pt idx="130">
                  <c:v>9.150368881506464E-2</c:v>
                </c:pt>
                <c:pt idx="131">
                  <c:v>9.4509988061669326E-2</c:v>
                </c:pt>
                <c:pt idx="132">
                  <c:v>9.7556749247452015E-2</c:v>
                </c:pt>
                <c:pt idx="133">
                  <c:v>0.10064382373879714</c:v>
                </c:pt>
                <c:pt idx="134">
                  <c:v>0.10377105780704125</c:v>
                </c:pt>
                <c:pt idx="135">
                  <c:v>0.10693135332560189</c:v>
                </c:pt>
                <c:pt idx="136">
                  <c:v>0.11008871785396122</c:v>
                </c:pt>
                <c:pt idx="137">
                  <c:v>0.11324303200852399</c:v>
                </c:pt>
                <c:pt idx="138">
                  <c:v>0.11639417355848374</c:v>
                </c:pt>
                <c:pt idx="139">
                  <c:v>0.11954201742751125</c:v>
                </c:pt>
                <c:pt idx="140">
                  <c:v>0.12268643568900039</c:v>
                </c:pt>
                <c:pt idx="141">
                  <c:v>0.12579535102277384</c:v>
                </c:pt>
                <c:pt idx="142">
                  <c:v>0.12886053385293922</c:v>
                </c:pt>
                <c:pt idx="143">
                  <c:v>0.13188126289647581</c:v>
                </c:pt>
                <c:pt idx="144">
                  <c:v>0.13485757723763589</c:v>
                </c:pt>
                <c:pt idx="145">
                  <c:v>0.13778953708400338</c:v>
                </c:pt>
                <c:pt idx="146">
                  <c:v>0.14067722324216347</c:v>
                </c:pt>
                <c:pt idx="147">
                  <c:v>0.14352073659793374</c:v>
                </c:pt>
                <c:pt idx="148">
                  <c:v>0.14632019759337431</c:v>
                </c:pt>
                <c:pt idx="149">
                  <c:v>0.14902880034403931</c:v>
                </c:pt>
                <c:pt idx="150">
                  <c:v>0.15165367498775439</c:v>
                </c:pt>
                <c:pt idx="151">
                  <c:v>0.15419507051838169</c:v>
                </c:pt>
                <c:pt idx="152">
                  <c:v>0.15665325537031938</c:v>
                </c:pt>
                <c:pt idx="153">
                  <c:v>0.15902851635565751</c:v>
                </c:pt>
                <c:pt idx="154">
                  <c:v>0.16132115760216484</c:v>
                </c:pt>
                <c:pt idx="155">
                  <c:v>0.16346969850488013</c:v>
                </c:pt>
                <c:pt idx="156">
                  <c:v>0.16550627076213531</c:v>
                </c:pt>
                <c:pt idx="157">
                  <c:v>0.1674312816971818</c:v>
                </c:pt>
                <c:pt idx="158">
                  <c:v>0.1692451515777833</c:v>
                </c:pt>
                <c:pt idx="159">
                  <c:v>0.1709483121456222</c:v>
                </c:pt>
                <c:pt idx="160">
                  <c:v>0.17254120514777863</c:v>
                </c:pt>
                <c:pt idx="161">
                  <c:v>0.17402428086630595</c:v>
                </c:pt>
                <c:pt idx="162">
                  <c:v>0.17539799664870856</c:v>
                </c:pt>
                <c:pt idx="163">
                  <c:v>0.17659581255715576</c:v>
                </c:pt>
                <c:pt idx="164">
                  <c:v>0.17766482961819663</c:v>
                </c:pt>
                <c:pt idx="165">
                  <c:v>0.17860555317135854</c:v>
                </c:pt>
                <c:pt idx="166">
                  <c:v>0.17941848818788086</c:v>
                </c:pt>
                <c:pt idx="167">
                  <c:v>0.18010413751979162</c:v>
                </c:pt>
                <c:pt idx="168">
                  <c:v>0.18066300015469083</c:v>
                </c:pt>
                <c:pt idx="169">
                  <c:v>0.18102880392704465</c:v>
                </c:pt>
                <c:pt idx="170">
                  <c:v>0.18126338276128029</c:v>
                </c:pt>
                <c:pt idx="171">
                  <c:v>0.1813672189871772</c:v>
                </c:pt>
                <c:pt idx="172">
                  <c:v>0.18134078312131355</c:v>
                </c:pt>
                <c:pt idx="173">
                  <c:v>0.18118267924719431</c:v>
                </c:pt>
                <c:pt idx="174">
                  <c:v>0.18089140977640028</c:v>
                </c:pt>
                <c:pt idx="175">
                  <c:v>0.18046728257092981</c:v>
                </c:pt>
                <c:pt idx="176">
                  <c:v>0.17991060461655226</c:v>
                </c:pt>
                <c:pt idx="177">
                  <c:v>0.17916066097400485</c:v>
                </c:pt>
                <c:pt idx="178">
                  <c:v>0.17828430437229162</c:v>
                </c:pt>
                <c:pt idx="179">
                  <c:v>0.17728182580788507</c:v>
                </c:pt>
                <c:pt idx="180">
                  <c:v>0.17615351224080875</c:v>
                </c:pt>
                <c:pt idx="181">
                  <c:v>0.17489964584510165</c:v>
                </c:pt>
                <c:pt idx="182">
                  <c:v>0.17352050326083801</c:v>
                </c:pt>
                <c:pt idx="183">
                  <c:v>0.17197030775590041</c:v>
                </c:pt>
                <c:pt idx="184">
                  <c:v>0.17031565188577638</c:v>
                </c:pt>
                <c:pt idx="185">
                  <c:v>0.16855676169297032</c:v>
                </c:pt>
                <c:pt idx="186">
                  <c:v>0.16669385540779225</c:v>
                </c:pt>
                <c:pt idx="187">
                  <c:v>0.16472714281980153</c:v>
                </c:pt>
                <c:pt idx="188">
                  <c:v>0.16265682465014325</c:v>
                </c:pt>
                <c:pt idx="189">
                  <c:v>0.16048309191885479</c:v>
                </c:pt>
                <c:pt idx="190">
                  <c:v>0.15820612531918579</c:v>
                </c:pt>
                <c:pt idx="191">
                  <c:v>0.15579500113924977</c:v>
                </c:pt>
                <c:pt idx="192">
                  <c:v>0.1533105109548854</c:v>
                </c:pt>
                <c:pt idx="193">
                  <c:v>0.15075276404751065</c:v>
                </c:pt>
                <c:pt idx="194">
                  <c:v>0.14812185882303805</c:v>
                </c:pt>
                <c:pt idx="195">
                  <c:v>0.14541788236044662</c:v>
                </c:pt>
                <c:pt idx="196">
                  <c:v>0.14264090995449327</c:v>
                </c:pt>
                <c:pt idx="197">
                  <c:v>0.13978428269370005</c:v>
                </c:pt>
                <c:pt idx="198">
                  <c:v>0.13689381718621987</c:v>
                </c:pt>
                <c:pt idx="199">
                  <c:v>0.13396951229802009</c:v>
                </c:pt>
                <c:pt idx="200">
                  <c:v>0.13101135682194884</c:v>
                </c:pt>
                <c:pt idx="201">
                  <c:v>0.1280193292528734</c:v>
                </c:pt>
                <c:pt idx="202">
                  <c:v>0.12499339756370688</c:v>
                </c:pt>
                <c:pt idx="203">
                  <c:v>0.1219335189842176</c:v>
                </c:pt>
                <c:pt idx="204">
                  <c:v>0.11883944786945526</c:v>
                </c:pt>
                <c:pt idx="205">
                  <c:v>0.11571807849766451</c:v>
                </c:pt>
                <c:pt idx="206">
                  <c:v>0.11260020869769703</c:v>
                </c:pt>
                <c:pt idx="207">
                  <c:v>0.10948567437126333</c:v>
                </c:pt>
                <c:pt idx="208">
                  <c:v>0.10637431529879544</c:v>
                </c:pt>
                <c:pt idx="209">
                  <c:v>0.10326597513652967</c:v>
                </c:pt>
                <c:pt idx="210">
                  <c:v>0.10016050141718406</c:v>
                </c:pt>
                <c:pt idx="211">
                  <c:v>9.7092355476807182E-2</c:v>
                </c:pt>
                <c:pt idx="212">
                  <c:v>9.4068076355603672E-2</c:v>
                </c:pt>
                <c:pt idx="213">
                  <c:v>9.1087508558972255E-2</c:v>
                </c:pt>
                <c:pt idx="214">
                  <c:v>8.8150503272830319E-2</c:v>
                </c:pt>
                <c:pt idx="215">
                  <c:v>8.5256918234145551E-2</c:v>
                </c:pt>
                <c:pt idx="216">
                  <c:v>8.2406617601109636E-2</c:v>
                </c:pt>
                <c:pt idx="217">
                  <c:v>7.959947182362194E-2</c:v>
                </c:pt>
                <c:pt idx="218">
                  <c:v>7.6835357513283978E-2</c:v>
                </c:pt>
                <c:pt idx="219">
                  <c:v>7.4159380390565591E-2</c:v>
                </c:pt>
                <c:pt idx="220">
                  <c:v>7.1564235006643662E-2</c:v>
                </c:pt>
                <c:pt idx="221">
                  <c:v>6.904981185340163E-2</c:v>
                </c:pt>
                <c:pt idx="222">
                  <c:v>6.6616009071550283E-2</c:v>
                </c:pt>
                <c:pt idx="223">
                  <c:v>6.4262732203904202E-2</c:v>
                </c:pt>
                <c:pt idx="224">
                  <c:v>6.1989893946890327E-2</c:v>
                </c:pt>
                <c:pt idx="225">
                  <c:v>5.9858230133599165E-2</c:v>
                </c:pt>
                <c:pt idx="226">
                  <c:v>5.7833091157251992E-2</c:v>
                </c:pt>
                <c:pt idx="227">
                  <c:v>5.5914411442119984E-2</c:v>
                </c:pt>
                <c:pt idx="228">
                  <c:v>5.4102132629000869E-2</c:v>
                </c:pt>
                <c:pt idx="229">
                  <c:v>5.2396203245000113E-2</c:v>
                </c:pt>
                <c:pt idx="230">
                  <c:v>5.0796578374240536E-2</c:v>
                </c:pt>
                <c:pt idx="231">
                  <c:v>4.9303219328689689E-2</c:v>
                </c:pt>
                <c:pt idx="232">
                  <c:v>4.7916093317892317E-2</c:v>
                </c:pt>
                <c:pt idx="233">
                  <c:v>4.6702941684346466E-2</c:v>
                </c:pt>
                <c:pt idx="234">
                  <c:v>4.5618527877079602E-2</c:v>
                </c:pt>
                <c:pt idx="235">
                  <c:v>4.466287551042173E-2</c:v>
                </c:pt>
                <c:pt idx="236">
                  <c:v>4.3836024889640134E-2</c:v>
                </c:pt>
                <c:pt idx="237">
                  <c:v>4.3137990698744473E-2</c:v>
                </c:pt>
                <c:pt idx="238">
                  <c:v>4.2568792332630501E-2</c:v>
                </c:pt>
                <c:pt idx="239">
                  <c:v>4.2168094273614926E-2</c:v>
                </c:pt>
                <c:pt idx="240">
                  <c:v>4.1875080862423426E-2</c:v>
                </c:pt>
                <c:pt idx="241">
                  <c:v>4.1689781721113865E-2</c:v>
                </c:pt>
                <c:pt idx="242">
                  <c:v>4.1612231140726944E-2</c:v>
                </c:pt>
                <c:pt idx="243">
                  <c:v>4.1642468271283629E-2</c:v>
                </c:pt>
                <c:pt idx="244">
                  <c:v>4.1780537311530912E-2</c:v>
                </c:pt>
                <c:pt idx="245">
                  <c:v>4.2026487698251784E-2</c:v>
                </c:pt>
                <c:pt idx="246">
                  <c:v>4.2380374295505042E-2</c:v>
                </c:pt>
                <c:pt idx="247">
                  <c:v>4.2846640697107176E-2</c:v>
                </c:pt>
                <c:pt idx="248">
                  <c:v>4.3357486448664349E-2</c:v>
                </c:pt>
                <c:pt idx="249">
                  <c:v>4.3912952889037231E-2</c:v>
                </c:pt>
                <c:pt idx="250">
                  <c:v>4.4513084083905453E-2</c:v>
                </c:pt>
                <c:pt idx="251">
                  <c:v>4.515792690461623E-2</c:v>
                </c:pt>
                <c:pt idx="252">
                  <c:v>4.584753110517404E-2</c:v>
                </c:pt>
                <c:pt idx="253">
                  <c:v>4.6587321718546605E-2</c:v>
                </c:pt>
                <c:pt idx="254">
                  <c:v>4.7337630173556446E-2</c:v>
                </c:pt>
                <c:pt idx="255">
                  <c:v>4.8098492822294177E-2</c:v>
                </c:pt>
                <c:pt idx="256">
                  <c:v>4.8869947125350484E-2</c:v>
                </c:pt>
                <c:pt idx="257">
                  <c:v>4.9652031668598912E-2</c:v>
                </c:pt>
                <c:pt idx="258">
                  <c:v>5.0444786180424861E-2</c:v>
                </c:pt>
                <c:pt idx="259">
                  <c:v>5.124825154966603E-2</c:v>
                </c:pt>
                <c:pt idx="260">
                  <c:v>5.2062469842034477E-2</c:v>
                </c:pt>
                <c:pt idx="261">
                  <c:v>5.2900076368033976E-2</c:v>
                </c:pt>
                <c:pt idx="262">
                  <c:v>5.3756729006212312E-2</c:v>
                </c:pt>
                <c:pt idx="263">
                  <c:v>5.4632481396886867E-2</c:v>
                </c:pt>
                <c:pt idx="264">
                  <c:v>5.5527391667613529E-2</c:v>
                </c:pt>
                <c:pt idx="265">
                  <c:v>5.6441822417790277E-2</c:v>
                </c:pt>
                <c:pt idx="266">
                  <c:v>5.7376007405354201E-2</c:v>
                </c:pt>
                <c:pt idx="267">
                  <c:v>5.8291936769006188E-2</c:v>
                </c:pt>
                <c:pt idx="268">
                  <c:v>5.9184178234073875E-2</c:v>
                </c:pt>
                <c:pt idx="269">
                  <c:v>6.0052682547691118E-2</c:v>
                </c:pt>
                <c:pt idx="270">
                  <c:v>6.089739412650521E-2</c:v>
                </c:pt>
                <c:pt idx="271">
                  <c:v>6.1718251335330133E-2</c:v>
                </c:pt>
                <c:pt idx="272">
                  <c:v>6.2515186767422973E-2</c:v>
                </c:pt>
                <c:pt idx="273">
                  <c:v>6.3288127523993792E-2</c:v>
                </c:pt>
                <c:pt idx="274">
                  <c:v>6.4036995494527987E-2</c:v>
                </c:pt>
                <c:pt idx="275">
                  <c:v>6.4710917675946653E-2</c:v>
                </c:pt>
                <c:pt idx="276">
                  <c:v>6.5297063622918469E-2</c:v>
                </c:pt>
                <c:pt idx="277">
                  <c:v>6.5795244867347988E-2</c:v>
                </c:pt>
                <c:pt idx="278">
                  <c:v>6.6205266468848514E-2</c:v>
                </c:pt>
                <c:pt idx="279">
                  <c:v>6.6526927990996174E-2</c:v>
                </c:pt>
                <c:pt idx="280">
                  <c:v>6.6760024478205324E-2</c:v>
                </c:pt>
                <c:pt idx="281">
                  <c:v>6.6936903742479584E-2</c:v>
                </c:pt>
                <c:pt idx="282">
                  <c:v>6.7095696100659394E-2</c:v>
                </c:pt>
                <c:pt idx="283">
                  <c:v>6.7236300164067064E-2</c:v>
                </c:pt>
                <c:pt idx="284">
                  <c:v>6.7358613893973823E-2</c:v>
                </c:pt>
                <c:pt idx="285">
                  <c:v>6.7462534802649812E-2</c:v>
                </c:pt>
                <c:pt idx="286">
                  <c:v>6.7547960155057526E-2</c:v>
                </c:pt>
                <c:pt idx="287">
                  <c:v>6.7614787169878662E-2</c:v>
                </c:pt>
                <c:pt idx="288">
                  <c:v>6.7662913220797039E-2</c:v>
                </c:pt>
                <c:pt idx="289">
                  <c:v>6.7808408832589304E-2</c:v>
                </c:pt>
                <c:pt idx="290">
                  <c:v>6.8102528302131538E-2</c:v>
                </c:pt>
                <c:pt idx="291">
                  <c:v>6.8545415253433092E-2</c:v>
                </c:pt>
                <c:pt idx="292">
                  <c:v>6.9137205258626225E-2</c:v>
                </c:pt>
                <c:pt idx="293">
                  <c:v>6.9878024215593873E-2</c:v>
                </c:pt>
                <c:pt idx="294">
                  <c:v>7.076798672533674E-2</c:v>
                </c:pt>
                <c:pt idx="295">
                  <c:v>7.1941866374782767E-2</c:v>
                </c:pt>
                <c:pt idx="296">
                  <c:v>7.3368016591392332E-2</c:v>
                </c:pt>
                <c:pt idx="297">
                  <c:v>7.5047325060485129E-2</c:v>
                </c:pt>
                <c:pt idx="298">
                  <c:v>7.6980098428250862E-2</c:v>
                </c:pt>
                <c:pt idx="299">
                  <c:v>7.9166645607719535E-2</c:v>
                </c:pt>
                <c:pt idx="300">
                  <c:v>8.1607275457742212E-2</c:v>
                </c:pt>
                <c:pt idx="301">
                  <c:v>8.4302294461741187E-2</c:v>
                </c:pt>
                <c:pt idx="302">
                  <c:v>8.7252004406636607E-2</c:v>
                </c:pt>
                <c:pt idx="303">
                  <c:v>9.0482787380314275E-2</c:v>
                </c:pt>
                <c:pt idx="304">
                  <c:v>9.3877969022903615E-2</c:v>
                </c:pt>
                <c:pt idx="305">
                  <c:v>9.7437693308523074E-2</c:v>
                </c:pt>
                <c:pt idx="306">
                  <c:v>0.10116209097452773</c:v>
                </c:pt>
                <c:pt idx="307">
                  <c:v>0.10505127803704943</c:v>
                </c:pt>
                <c:pt idx="308">
                  <c:v>0.10910535430566722</c:v>
                </c:pt>
                <c:pt idx="309">
                  <c:v>0.11315728969647432</c:v>
                </c:pt>
                <c:pt idx="310">
                  <c:v>0.11707130469110816</c:v>
                </c:pt>
                <c:pt idx="311">
                  <c:v>0.12084703451648167</c:v>
                </c:pt>
                <c:pt idx="312">
                  <c:v>0.12448410566343886</c:v>
                </c:pt>
                <c:pt idx="313">
                  <c:v>0.12798213718130658</c:v>
                </c:pt>
                <c:pt idx="314">
                  <c:v>0.13134074197133513</c:v>
                </c:pt>
                <c:pt idx="315">
                  <c:v>0.1345595280817305</c:v>
                </c:pt>
                <c:pt idx="316">
                  <c:v>0.13763810000070467</c:v>
                </c:pt>
                <c:pt idx="317">
                  <c:v>0.14040909686977779</c:v>
                </c:pt>
                <c:pt idx="318">
                  <c:v>0.14284566750663025</c:v>
                </c:pt>
                <c:pt idx="319">
                  <c:v>0.14494720670049854</c:v>
                </c:pt>
                <c:pt idx="320">
                  <c:v>0.1467131280936762</c:v>
                </c:pt>
                <c:pt idx="321">
                  <c:v>0.14814286724375356</c:v>
                </c:pt>
                <c:pt idx="322">
                  <c:v>0.14923588468651983</c:v>
                </c:pt>
                <c:pt idx="323">
                  <c:v>0.14995123313844935</c:v>
                </c:pt>
                <c:pt idx="324">
                  <c:v>0.1504564799449242</c:v>
                </c:pt>
                <c:pt idx="325">
                  <c:v>0.15075127503619348</c:v>
                </c:pt>
                <c:pt idx="326">
                  <c:v>0.1508343524151112</c:v>
                </c:pt>
                <c:pt idx="327">
                  <c:v>0.15070509870444401</c:v>
                </c:pt>
                <c:pt idx="328">
                  <c:v>0.15036370837842417</c:v>
                </c:pt>
                <c:pt idx="329">
                  <c:v>0.14981040747833527</c:v>
                </c:pt>
                <c:pt idx="330">
                  <c:v>0.14904544928306043</c:v>
                </c:pt>
                <c:pt idx="331">
                  <c:v>0.14807281374012063</c:v>
                </c:pt>
                <c:pt idx="332">
                  <c:v>0.14706039129288551</c:v>
                </c:pt>
                <c:pt idx="333">
                  <c:v>0.14600853250202142</c:v>
                </c:pt>
                <c:pt idx="334">
                  <c:v>0.14491758290754883</c:v>
                </c:pt>
                <c:pt idx="335">
                  <c:v>0.14378788226465403</c:v>
                </c:pt>
                <c:pt idx="336">
                  <c:v>0.1426197637775686</c:v>
                </c:pt>
                <c:pt idx="337">
                  <c:v>0.14144000339188947</c:v>
                </c:pt>
                <c:pt idx="338">
                  <c:v>0.14028943870034927</c:v>
                </c:pt>
                <c:pt idx="339">
                  <c:v>0.13916838334369142</c:v>
                </c:pt>
                <c:pt idx="340">
                  <c:v>0.13807714072958513</c:v>
                </c:pt>
                <c:pt idx="341">
                  <c:v>0.13701600466019789</c:v>
                </c:pt>
                <c:pt idx="342">
                  <c:v>0.13598525995963517</c:v>
                </c:pt>
                <c:pt idx="343">
                  <c:v>0.13498518309973248</c:v>
                </c:pt>
                <c:pt idx="344">
                  <c:v>0.134016042828006</c:v>
                </c:pt>
                <c:pt idx="345">
                  <c:v>0.13307810079415808</c:v>
                </c:pt>
                <c:pt idx="346">
                  <c:v>0.13222024511632105</c:v>
                </c:pt>
                <c:pt idx="347">
                  <c:v>0.13144273481992033</c:v>
                </c:pt>
                <c:pt idx="348">
                  <c:v>0.1307458279567916</c:v>
                </c:pt>
                <c:pt idx="349">
                  <c:v>0.13012978324202371</c:v>
                </c:pt>
                <c:pt idx="350">
                  <c:v>0.12959486169386791</c:v>
                </c:pt>
                <c:pt idx="351">
                  <c:v>0.12919369350733145</c:v>
                </c:pt>
                <c:pt idx="352">
                  <c:v>0.12890009927345314</c:v>
                </c:pt>
                <c:pt idx="353">
                  <c:v>0.12871437500724134</c:v>
                </c:pt>
                <c:pt idx="354">
                  <c:v>0.12863683021000091</c:v>
                </c:pt>
                <c:pt idx="355">
                  <c:v>0.12866779003883624</c:v>
                </c:pt>
                <c:pt idx="356">
                  <c:v>0.12880768649617688</c:v>
                </c:pt>
                <c:pt idx="357">
                  <c:v>0.12905659551016777</c:v>
                </c:pt>
                <c:pt idx="358">
                  <c:v>0.12941430118589134</c:v>
                </c:pt>
                <c:pt idx="359">
                  <c:v>0.12988060324195186</c:v>
                </c:pt>
                <c:pt idx="360">
                  <c:v>0.13048185004437193</c:v>
                </c:pt>
                <c:pt idx="361">
                  <c:v>0.13116538183064594</c:v>
                </c:pt>
                <c:pt idx="362">
                  <c:v>0.13193099758329832</c:v>
                </c:pt>
                <c:pt idx="363">
                  <c:v>0.13277849834748345</c:v>
                </c:pt>
                <c:pt idx="364">
                  <c:v>0.13370768521071988</c:v>
                </c:pt>
                <c:pt idx="365">
                  <c:v>0.13471835728104828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0.16093887786559072</c:v>
                </c:pt>
                <c:pt idx="1">
                  <c:v>0.16227666536105659</c:v>
                </c:pt>
                <c:pt idx="2">
                  <c:v>0.16367243553296787</c:v>
                </c:pt>
                <c:pt idx="3">
                  <c:v>0.16512587101792206</c:v>
                </c:pt>
                <c:pt idx="4">
                  <c:v>0.16663664187178467</c:v>
                </c:pt>
                <c:pt idx="5">
                  <c:v>0.16820440414552526</c:v>
                </c:pt>
                <c:pt idx="6">
                  <c:v>0.16982879846320084</c:v>
                </c:pt>
                <c:pt idx="7">
                  <c:v>0.17150944859618256</c:v>
                </c:pt>
                <c:pt idx="8">
                  <c:v>0.1732459600396882</c:v>
                </c:pt>
                <c:pt idx="9">
                  <c:v>0.17508153450261407</c:v>
                </c:pt>
                <c:pt idx="10">
                  <c:v>0.17697419839372572</c:v>
                </c:pt>
                <c:pt idx="11">
                  <c:v>0.17892349416831588</c:v>
                </c:pt>
                <c:pt idx="12">
                  <c:v>0.18092893962952683</c:v>
                </c:pt>
                <c:pt idx="13">
                  <c:v>0.18299002645304949</c:v>
                </c:pt>
                <c:pt idx="14">
                  <c:v>0.18510621870867663</c:v>
                </c:pt>
                <c:pt idx="15">
                  <c:v>0.18721759961367734</c:v>
                </c:pt>
                <c:pt idx="16">
                  <c:v>0.18930906737555531</c:v>
                </c:pt>
                <c:pt idx="17">
                  <c:v>0.19137994255838753</c:v>
                </c:pt>
                <c:pt idx="18">
                  <c:v>0.19342952814984007</c:v>
                </c:pt>
                <c:pt idx="19">
                  <c:v>0.19545820020007917</c:v>
                </c:pt>
                <c:pt idx="20">
                  <c:v>0.19746686031367502</c:v>
                </c:pt>
                <c:pt idx="21">
                  <c:v>0.19945559610844468</c:v>
                </c:pt>
                <c:pt idx="22">
                  <c:v>0.20142450737533868</c:v>
                </c:pt>
                <c:pt idx="23">
                  <c:v>0.20308480060557801</c:v>
                </c:pt>
                <c:pt idx="24">
                  <c:v>0.20439274871480886</c:v>
                </c:pt>
                <c:pt idx="25">
                  <c:v>0.20534844756038262</c:v>
                </c:pt>
                <c:pt idx="26">
                  <c:v>0.20595203979056156</c:v>
                </c:pt>
                <c:pt idx="27">
                  <c:v>0.20620371048685915</c:v>
                </c:pt>
                <c:pt idx="28">
                  <c:v>0.2061036828108089</c:v>
                </c:pt>
                <c:pt idx="29">
                  <c:v>0.20545452556281929</c:v>
                </c:pt>
                <c:pt idx="30">
                  <c:v>0.20431598925131658</c:v>
                </c:pt>
                <c:pt idx="31">
                  <c:v>0.20268840712103398</c:v>
                </c:pt>
                <c:pt idx="32">
                  <c:v>0.20057214117213551</c:v>
                </c:pt>
                <c:pt idx="33">
                  <c:v>0.19796757607611334</c:v>
                </c:pt>
                <c:pt idx="34">
                  <c:v>0.19487511309260805</c:v>
                </c:pt>
                <c:pt idx="35">
                  <c:v>0.19129516398603674</c:v>
                </c:pt>
                <c:pt idx="36">
                  <c:v>0.18722814494179363</c:v>
                </c:pt>
                <c:pt idx="37">
                  <c:v>0.18272322983448139</c:v>
                </c:pt>
                <c:pt idx="38">
                  <c:v>0.17806961463132187</c:v>
                </c:pt>
                <c:pt idx="39">
                  <c:v>0.17326760259518981</c:v>
                </c:pt>
                <c:pt idx="40">
                  <c:v>0.16831747538209899</c:v>
                </c:pt>
                <c:pt idx="41">
                  <c:v>0.16321949118075738</c:v>
                </c:pt>
                <c:pt idx="42">
                  <c:v>0.15797388285084735</c:v>
                </c:pt>
                <c:pt idx="43">
                  <c:v>0.15274307681903224</c:v>
                </c:pt>
                <c:pt idx="44">
                  <c:v>0.14772468845013934</c:v>
                </c:pt>
                <c:pt idx="45">
                  <c:v>0.14291878482330611</c:v>
                </c:pt>
                <c:pt idx="46">
                  <c:v>0.13832541519442482</c:v>
                </c:pt>
                <c:pt idx="47">
                  <c:v>0.13394461363700091</c:v>
                </c:pt>
                <c:pt idx="48">
                  <c:v>0.12977640168111929</c:v>
                </c:pt>
                <c:pt idx="49">
                  <c:v>0.12582079095369628</c:v>
                </c:pt>
                <c:pt idx="50">
                  <c:v>0.12207778581790252</c:v>
                </c:pt>
                <c:pt idx="51">
                  <c:v>0.11870221028469463</c:v>
                </c:pt>
                <c:pt idx="52">
                  <c:v>0.11564471207185283</c:v>
                </c:pt>
                <c:pt idx="53">
                  <c:v>0.11290460304242178</c:v>
                </c:pt>
                <c:pt idx="54">
                  <c:v>0.11048181057402862</c:v>
                </c:pt>
                <c:pt idx="55">
                  <c:v>0.10837627132691319</c:v>
                </c:pt>
                <c:pt idx="56">
                  <c:v>0.10658793007121137</c:v>
                </c:pt>
                <c:pt idx="57">
                  <c:v>0.10512007608378122</c:v>
                </c:pt>
                <c:pt idx="58">
                  <c:v>0.10381051604669189</c:v>
                </c:pt>
                <c:pt idx="59">
                  <c:v>0.10265920902153763</c:v>
                </c:pt>
                <c:pt idx="60">
                  <c:v>0.10166611686218197</c:v>
                </c:pt>
                <c:pt idx="61">
                  <c:v>0.10083120362965992</c:v>
                </c:pt>
                <c:pt idx="62">
                  <c:v>0.10015443500692883</c:v>
                </c:pt>
                <c:pt idx="63">
                  <c:v>9.963577771392268E-2</c:v>
                </c:pt>
                <c:pt idx="64">
                  <c:v>9.9275198922204308E-2</c:v>
                </c:pt>
                <c:pt idx="65">
                  <c:v>9.9008181777767559E-2</c:v>
                </c:pt>
                <c:pt idx="66">
                  <c:v>9.8679861059649362E-2</c:v>
                </c:pt>
                <c:pt idx="67">
                  <c:v>9.8290201378047767E-2</c:v>
                </c:pt>
                <c:pt idx="68">
                  <c:v>9.7839168585485803E-2</c:v>
                </c:pt>
                <c:pt idx="69">
                  <c:v>9.7326730002701756E-2</c:v>
                </c:pt>
                <c:pt idx="70">
                  <c:v>9.6752854645000039E-2</c:v>
                </c:pt>
                <c:pt idx="71">
                  <c:v>9.6129154322434893E-2</c:v>
                </c:pt>
                <c:pt idx="72">
                  <c:v>9.5452263996084197E-2</c:v>
                </c:pt>
                <c:pt idx="73">
                  <c:v>9.4722158523517883E-2</c:v>
                </c:pt>
                <c:pt idx="74">
                  <c:v>9.3938815118866412E-2</c:v>
                </c:pt>
                <c:pt idx="75">
                  <c:v>9.3102213548452037E-2</c:v>
                </c:pt>
                <c:pt idx="76">
                  <c:v>9.2212336326125424E-2</c:v>
                </c:pt>
                <c:pt idx="77">
                  <c:v>9.1269168908908002E-2</c:v>
                </c:pt>
                <c:pt idx="78">
                  <c:v>9.0272702889469536E-2</c:v>
                </c:pt>
                <c:pt idx="79">
                  <c:v>8.924046054723829E-2</c:v>
                </c:pt>
                <c:pt idx="80">
                  <c:v>8.8237126553304943E-2</c:v>
                </c:pt>
                <c:pt idx="81">
                  <c:v>8.7262669052474318E-2</c:v>
                </c:pt>
                <c:pt idx="82">
                  <c:v>8.631705738663574E-2</c:v>
                </c:pt>
                <c:pt idx="83">
                  <c:v>8.5400262002374341E-2</c:v>
                </c:pt>
                <c:pt idx="84">
                  <c:v>8.4512254358869707E-2</c:v>
                </c:pt>
                <c:pt idx="85">
                  <c:v>8.3644882770473952E-2</c:v>
                </c:pt>
                <c:pt idx="86">
                  <c:v>8.2786487794525743E-2</c:v>
                </c:pt>
                <c:pt idx="87">
                  <c:v>8.1937046769802138E-2</c:v>
                </c:pt>
                <c:pt idx="88">
                  <c:v>8.109653799898521E-2</c:v>
                </c:pt>
                <c:pt idx="89">
                  <c:v>8.0264940719701403E-2</c:v>
                </c:pt>
                <c:pt idx="90">
                  <c:v>7.9442235075393067E-2</c:v>
                </c:pt>
                <c:pt idx="91">
                  <c:v>7.8628402086496726E-2</c:v>
                </c:pt>
                <c:pt idx="92">
                  <c:v>7.7823423621402696E-2</c:v>
                </c:pt>
                <c:pt idx="93">
                  <c:v>7.7048856608517111E-2</c:v>
                </c:pt>
                <c:pt idx="94">
                  <c:v>7.6287514549874647E-2</c:v>
                </c:pt>
                <c:pt idx="95">
                  <c:v>7.5539380227561029E-2</c:v>
                </c:pt>
                <c:pt idx="96">
                  <c:v>7.4804436990553114E-2</c:v>
                </c:pt>
                <c:pt idx="97">
                  <c:v>7.4082668712017116E-2</c:v>
                </c:pt>
                <c:pt idx="98">
                  <c:v>7.3374059745929851E-2</c:v>
                </c:pt>
                <c:pt idx="99">
                  <c:v>7.2751456084319224E-2</c:v>
                </c:pt>
                <c:pt idx="100">
                  <c:v>7.2222932000185314E-2</c:v>
                </c:pt>
                <c:pt idx="101">
                  <c:v>7.178844183828445E-2</c:v>
                </c:pt>
                <c:pt idx="102">
                  <c:v>7.1447936703223081E-2</c:v>
                </c:pt>
                <c:pt idx="103">
                  <c:v>7.1201364155847754E-2</c:v>
                </c:pt>
                <c:pt idx="104">
                  <c:v>7.1048667911308303E-2</c:v>
                </c:pt>
                <c:pt idx="105">
                  <c:v>7.0989787535572543E-2</c:v>
                </c:pt>
                <c:pt idx="106">
                  <c:v>7.1024658142799915E-2</c:v>
                </c:pt>
                <c:pt idx="107">
                  <c:v>7.1228482764758169E-2</c:v>
                </c:pt>
                <c:pt idx="108">
                  <c:v>7.1579612559259681E-2</c:v>
                </c:pt>
                <c:pt idx="109">
                  <c:v>7.207793498387001E-2</c:v>
                </c:pt>
                <c:pt idx="110">
                  <c:v>7.2723535731521696E-2</c:v>
                </c:pt>
                <c:pt idx="111">
                  <c:v>7.351650537670168E-2</c:v>
                </c:pt>
                <c:pt idx="112">
                  <c:v>7.4456728747310144E-2</c:v>
                </c:pt>
                <c:pt idx="113">
                  <c:v>7.5597401068022443E-2</c:v>
                </c:pt>
                <c:pt idx="114">
                  <c:v>7.686568549049326E-2</c:v>
                </c:pt>
                <c:pt idx="115">
                  <c:v>7.8261463563178854E-2</c:v>
                </c:pt>
                <c:pt idx="116">
                  <c:v>7.9784611700660243E-2</c:v>
                </c:pt>
                <c:pt idx="117">
                  <c:v>8.1435000903248664E-2</c:v>
                </c:pt>
                <c:pt idx="118">
                  <c:v>8.3212496475817035E-2</c:v>
                </c:pt>
                <c:pt idx="119">
                  <c:v>8.5116957746846689E-2</c:v>
                </c:pt>
                <c:pt idx="120">
                  <c:v>8.7148237787334271E-2</c:v>
                </c:pt>
                <c:pt idx="121">
                  <c:v>8.9346500741173826E-2</c:v>
                </c:pt>
                <c:pt idx="122">
                  <c:v>9.1636530365408794E-2</c:v>
                </c:pt>
                <c:pt idx="123">
                  <c:v>9.4018186391824632E-2</c:v>
                </c:pt>
                <c:pt idx="124">
                  <c:v>9.649132261657821E-2</c:v>
                </c:pt>
                <c:pt idx="125">
                  <c:v>9.9055786696072456E-2</c:v>
                </c:pt>
                <c:pt idx="126">
                  <c:v>0.10171141994153514</c:v>
                </c:pt>
                <c:pt idx="127">
                  <c:v>0.1044700018066157</c:v>
                </c:pt>
                <c:pt idx="128">
                  <c:v>0.10727823915437258</c:v>
                </c:pt>
                <c:pt idx="129">
                  <c:v>0.1101359916252949</c:v>
                </c:pt>
                <c:pt idx="130">
                  <c:v>0.1130431137705636</c:v>
                </c:pt>
                <c:pt idx="131">
                  <c:v>0.11599945493642759</c:v>
                </c:pt>
                <c:pt idx="132">
                  <c:v>0.11900485914954373</c:v>
                </c:pt>
                <c:pt idx="133">
                  <c:v>0.12205916500306364</c:v>
                </c:pt>
                <c:pt idx="134">
                  <c:v>0.12516220554217183</c:v>
                </c:pt>
                <c:pt idx="135">
                  <c:v>0.12830992931505389</c:v>
                </c:pt>
                <c:pt idx="136">
                  <c:v>0.13146203601097148</c:v>
                </c:pt>
                <c:pt idx="137">
                  <c:v>0.13461839289269184</c:v>
                </c:pt>
                <c:pt idx="138">
                  <c:v>0.13777886391841662</c:v>
                </c:pt>
                <c:pt idx="139">
                  <c:v>0.14094330972744509</c:v>
                </c:pt>
                <c:pt idx="140">
                  <c:v>0.14411158761819212</c:v>
                </c:pt>
                <c:pt idx="141">
                  <c:v>0.14725204696752167</c:v>
                </c:pt>
                <c:pt idx="142">
                  <c:v>0.15035187432712668</c:v>
                </c:pt>
                <c:pt idx="143">
                  <c:v>0.15341024062854103</c:v>
                </c:pt>
                <c:pt idx="144">
                  <c:v>0.15642720597680548</c:v>
                </c:pt>
                <c:pt idx="145">
                  <c:v>0.15940285144792113</c:v>
                </c:pt>
                <c:pt idx="146">
                  <c:v>0.1623372786110967</c:v>
                </c:pt>
                <c:pt idx="147">
                  <c:v>0.16523060905628667</c:v>
                </c:pt>
                <c:pt idx="148">
                  <c:v>0.16808298391799084</c:v>
                </c:pt>
                <c:pt idx="149">
                  <c:v>0.17084766789998632</c:v>
                </c:pt>
                <c:pt idx="150">
                  <c:v>0.173528773273915</c:v>
                </c:pt>
                <c:pt idx="151">
                  <c:v>0.17612657531126988</c:v>
                </c:pt>
                <c:pt idx="152">
                  <c:v>0.17864136906663031</c:v>
                </c:pt>
                <c:pt idx="153">
                  <c:v>0.18107346832133767</c:v>
                </c:pt>
                <c:pt idx="154">
                  <c:v>0.18342320452812264</c:v>
                </c:pt>
                <c:pt idx="155">
                  <c:v>0.18562703772288938</c:v>
                </c:pt>
                <c:pt idx="156">
                  <c:v>0.18771669332620144</c:v>
                </c:pt>
                <c:pt idx="157">
                  <c:v>0.18969261190419059</c:v>
                </c:pt>
                <c:pt idx="158">
                  <c:v>0.1915552473561847</c:v>
                </c:pt>
                <c:pt idx="159">
                  <c:v>0.19330506541641515</c:v>
                </c:pt>
                <c:pt idx="160">
                  <c:v>0.19494254215807158</c:v>
                </c:pt>
                <c:pt idx="161">
                  <c:v>0.19646816249520027</c:v>
                </c:pt>
                <c:pt idx="162">
                  <c:v>0.19788241868562584</c:v>
                </c:pt>
                <c:pt idx="163">
                  <c:v>0.1991161322342887</c:v>
                </c:pt>
                <c:pt idx="164">
                  <c:v>0.20021639509279607</c:v>
                </c:pt>
                <c:pt idx="165">
                  <c:v>0.20118375307588929</c:v>
                </c:pt>
                <c:pt idx="166">
                  <c:v>0.20201875162507363</c:v>
                </c:pt>
                <c:pt idx="167">
                  <c:v>0.20272193399271096</c:v>
                </c:pt>
                <c:pt idx="168">
                  <c:v>0.2032938394325404</c:v>
                </c:pt>
                <c:pt idx="169">
                  <c:v>0.20366557159886908</c:v>
                </c:pt>
                <c:pt idx="170">
                  <c:v>0.20390107663803603</c:v>
                </c:pt>
                <c:pt idx="171">
                  <c:v>0.20400087717006779</c:v>
                </c:pt>
                <c:pt idx="172">
                  <c:v>0.20396548353042562</c:v>
                </c:pt>
                <c:pt idx="173">
                  <c:v>0.20379330785826225</c:v>
                </c:pt>
                <c:pt idx="174">
                  <c:v>0.20348264854217957</c:v>
                </c:pt>
                <c:pt idx="175">
                  <c:v>0.20303383473999778</c:v>
                </c:pt>
                <c:pt idx="176">
                  <c:v>0.20244719469848219</c:v>
                </c:pt>
                <c:pt idx="177">
                  <c:v>0.20165997399183286</c:v>
                </c:pt>
                <c:pt idx="178">
                  <c:v>0.20074170152364387</c:v>
                </c:pt>
                <c:pt idx="179">
                  <c:v>0.19969268835643261</c:v>
                </c:pt>
                <c:pt idx="180">
                  <c:v>0.19851324136342838</c:v>
                </c:pt>
                <c:pt idx="181">
                  <c:v>0.19720366245123844</c:v>
                </c:pt>
                <c:pt idx="182">
                  <c:v>0.19576424778426602</c:v>
                </c:pt>
                <c:pt idx="183">
                  <c:v>0.19414928882534757</c:v>
                </c:pt>
                <c:pt idx="184">
                  <c:v>0.192428041287214</c:v>
                </c:pt>
                <c:pt idx="185">
                  <c:v>0.19060074613479094</c:v>
                </c:pt>
                <c:pt idx="186">
                  <c:v>0.1886676363116998</c:v>
                </c:pt>
                <c:pt idx="187">
                  <c:v>0.18662893609999007</c:v>
                </c:pt>
                <c:pt idx="188">
                  <c:v>0.18448486048088833</c:v>
                </c:pt>
                <c:pt idx="189">
                  <c:v>0.18223561448984901</c:v>
                </c:pt>
                <c:pt idx="190">
                  <c:v>0.17988139257955216</c:v>
                </c:pt>
                <c:pt idx="191">
                  <c:v>0.17739171470555645</c:v>
                </c:pt>
                <c:pt idx="192">
                  <c:v>0.17482943143787613</c:v>
                </c:pt>
                <c:pt idx="193">
                  <c:v>0.17219466200270492</c:v>
                </c:pt>
                <c:pt idx="194">
                  <c:v>0.16948751461967071</c:v>
                </c:pt>
                <c:pt idx="195">
                  <c:v>0.16670808605372067</c:v>
                </c:pt>
                <c:pt idx="196">
                  <c:v>0.16385646116031716</c:v>
                </c:pt>
                <c:pt idx="197">
                  <c:v>0.16092895503093962</c:v>
                </c:pt>
                <c:pt idx="198">
                  <c:v>0.15797134197368273</c:v>
                </c:pt>
                <c:pt idx="199">
                  <c:v>0.15498362734445212</c:v>
                </c:pt>
                <c:pt idx="200">
                  <c:v>0.15196580658404699</c:v>
                </c:pt>
                <c:pt idx="201">
                  <c:v>0.14891786501320006</c:v>
                </c:pt>
                <c:pt idx="202">
                  <c:v>0.14583977762862874</c:v>
                </c:pt>
                <c:pt idx="203">
                  <c:v>0.14273150890233344</c:v>
                </c:pt>
                <c:pt idx="204">
                  <c:v>0.13959278715660042</c:v>
                </c:pt>
                <c:pt idx="205">
                  <c:v>0.13643478108984666</c:v>
                </c:pt>
                <c:pt idx="206">
                  <c:v>0.13328784729546739</c:v>
                </c:pt>
                <c:pt idx="207">
                  <c:v>0.13015180949519822</c:v>
                </c:pt>
                <c:pt idx="208">
                  <c:v>0.12702649591217396</c:v>
                </c:pt>
                <c:pt idx="209">
                  <c:v>0.12391173924519912</c:v>
                </c:pt>
                <c:pt idx="210">
                  <c:v>0.1208073766473059</c:v>
                </c:pt>
                <c:pt idx="211">
                  <c:v>0.11775200302839128</c:v>
                </c:pt>
                <c:pt idx="212">
                  <c:v>0.11474919227548495</c:v>
                </c:pt>
                <c:pt idx="213">
                  <c:v>0.11179877980159526</c:v>
                </c:pt>
                <c:pt idx="214">
                  <c:v>0.10890060826446646</c:v>
                </c:pt>
                <c:pt idx="215">
                  <c:v>0.10605452741093625</c:v>
                </c:pt>
                <c:pt idx="216">
                  <c:v>0.1032603939208605</c:v>
                </c:pt>
                <c:pt idx="217">
                  <c:v>0.10051807125142791</c:v>
                </c:pt>
                <c:pt idx="218">
                  <c:v>9.7827429480868477E-2</c:v>
                </c:pt>
                <c:pt idx="219">
                  <c:v>9.523945489203807E-2</c:v>
                </c:pt>
                <c:pt idx="220">
                  <c:v>9.2742531410600293E-2</c:v>
                </c:pt>
                <c:pt idx="221">
                  <c:v>9.0336544168884925E-2</c:v>
                </c:pt>
                <c:pt idx="222">
                  <c:v>8.8021386380693636E-2</c:v>
                </c:pt>
                <c:pt idx="223">
                  <c:v>8.5796959063792352E-2</c:v>
                </c:pt>
                <c:pt idx="224">
                  <c:v>8.3663170760120323E-2</c:v>
                </c:pt>
                <c:pt idx="225">
                  <c:v>8.1691997802741764E-2</c:v>
                </c:pt>
                <c:pt idx="226">
                  <c:v>7.9844647726919696E-2</c:v>
                </c:pt>
                <c:pt idx="227">
                  <c:v>7.8121052085003861E-2</c:v>
                </c:pt>
                <c:pt idx="228">
                  <c:v>7.6521150183962494E-2</c:v>
                </c:pt>
                <c:pt idx="229">
                  <c:v>7.5044888701666479E-2</c:v>
                </c:pt>
                <c:pt idx="230">
                  <c:v>7.3692221304450981E-2</c:v>
                </c:pt>
                <c:pt idx="231">
                  <c:v>7.2463108264879089E-2</c:v>
                </c:pt>
                <c:pt idx="232">
                  <c:v>7.1357516077920347E-2</c:v>
                </c:pt>
                <c:pt idx="233">
                  <c:v>7.0445102065839427E-2</c:v>
                </c:pt>
                <c:pt idx="234">
                  <c:v>6.9674742890455554E-2</c:v>
                </c:pt>
                <c:pt idx="235">
                  <c:v>6.9046481174124236E-2</c:v>
                </c:pt>
                <c:pt idx="236">
                  <c:v>6.8560385353945555E-2</c:v>
                </c:pt>
                <c:pt idx="237">
                  <c:v>6.821648369964832E-2</c:v>
                </c:pt>
                <c:pt idx="238">
                  <c:v>6.801480997332697E-2</c:v>
                </c:pt>
                <c:pt idx="239">
                  <c:v>6.7976033744424041E-2</c:v>
                </c:pt>
                <c:pt idx="240">
                  <c:v>6.8028098631403286E-2</c:v>
                </c:pt>
                <c:pt idx="241">
                  <c:v>6.8171041887993764E-2</c:v>
                </c:pt>
                <c:pt idx="242">
                  <c:v>6.8404904902441235E-2</c:v>
                </c:pt>
                <c:pt idx="243">
                  <c:v>6.8729733357584935E-2</c:v>
                </c:pt>
                <c:pt idx="244">
                  <c:v>6.9145577390538712E-2</c:v>
                </c:pt>
                <c:pt idx="245">
                  <c:v>6.9652491751649268E-2</c:v>
                </c:pt>
                <c:pt idx="246">
                  <c:v>7.0250535963330654E-2</c:v>
                </c:pt>
                <c:pt idx="247">
                  <c:v>7.0932002698546895E-2</c:v>
                </c:pt>
                <c:pt idx="248">
                  <c:v>7.1627169881578204E-2</c:v>
                </c:pt>
                <c:pt idx="249">
                  <c:v>7.2336074151707785E-2</c:v>
                </c:pt>
                <c:pt idx="250">
                  <c:v>7.3058753322933004E-2</c:v>
                </c:pt>
                <c:pt idx="251">
                  <c:v>7.3795246408591905E-2</c:v>
                </c:pt>
                <c:pt idx="252">
                  <c:v>7.4545593642919683E-2</c:v>
                </c:pt>
                <c:pt idx="253">
                  <c:v>7.5326284149104861E-2</c:v>
                </c:pt>
                <c:pt idx="254">
                  <c:v>7.611669540589984E-2</c:v>
                </c:pt>
                <c:pt idx="255">
                  <c:v>7.6916869149933662E-2</c:v>
                </c:pt>
                <c:pt idx="256">
                  <c:v>7.7726848184758168E-2</c:v>
                </c:pt>
                <c:pt idx="257">
                  <c:v>7.8546676395462187E-2</c:v>
                </c:pt>
                <c:pt idx="258">
                  <c:v>7.9376398764008552E-2</c:v>
                </c:pt>
                <c:pt idx="259">
                  <c:v>8.0216061385682394E-2</c:v>
                </c:pt>
                <c:pt idx="260">
                  <c:v>8.1065711483138139E-2</c:v>
                </c:pt>
                <c:pt idx="261">
                  <c:v>8.1936561280384804E-2</c:v>
                </c:pt>
                <c:pt idx="262">
                  <c:v>8.2836467810124756E-2</c:v>
                </c:pt>
                <c:pt idx="263">
                  <c:v>8.3765499526264442E-2</c:v>
                </c:pt>
                <c:pt idx="264">
                  <c:v>8.4723731457767973E-2</c:v>
                </c:pt>
                <c:pt idx="265">
                  <c:v>8.5711700665182591E-2</c:v>
                </c:pt>
                <c:pt idx="266">
                  <c:v>8.6729740685620824E-2</c:v>
                </c:pt>
                <c:pt idx="267">
                  <c:v>8.7715880962017587E-2</c:v>
                </c:pt>
                <c:pt idx="268">
                  <c:v>8.8653520750867576E-2</c:v>
                </c:pt>
                <c:pt idx="269">
                  <c:v>8.9542550426269393E-2</c:v>
                </c:pt>
                <c:pt idx="270">
                  <c:v>9.0382851384615256E-2</c:v>
                </c:pt>
                <c:pt idx="271">
                  <c:v>9.1174296602185692E-2</c:v>
                </c:pt>
                <c:pt idx="272">
                  <c:v>9.1916751195181071E-2</c:v>
                </c:pt>
                <c:pt idx="273">
                  <c:v>9.2610072978614941E-2</c:v>
                </c:pt>
                <c:pt idx="274">
                  <c:v>9.325411302640553E-2</c:v>
                </c:pt>
                <c:pt idx="275">
                  <c:v>9.385193480101435E-2</c:v>
                </c:pt>
                <c:pt idx="276">
                  <c:v>9.4392151340003602E-2</c:v>
                </c:pt>
                <c:pt idx="277">
                  <c:v>9.4874584914094132E-2</c:v>
                </c:pt>
                <c:pt idx="278">
                  <c:v>9.5299052947918003E-2</c:v>
                </c:pt>
                <c:pt idx="279">
                  <c:v>9.5665368667021952E-2</c:v>
                </c:pt>
                <c:pt idx="280">
                  <c:v>9.5973341745766882E-2</c:v>
                </c:pt>
                <c:pt idx="281">
                  <c:v>9.6372536862233682E-2</c:v>
                </c:pt>
                <c:pt idx="282">
                  <c:v>9.6925396727350829E-2</c:v>
                </c:pt>
                <c:pt idx="283">
                  <c:v>9.7632057703156708E-2</c:v>
                </c:pt>
                <c:pt idx="284">
                  <c:v>9.8492654851244185E-2</c:v>
                </c:pt>
                <c:pt idx="285">
                  <c:v>9.9507320257974083E-2</c:v>
                </c:pt>
                <c:pt idx="286">
                  <c:v>0.1006761813606281</c:v>
                </c:pt>
                <c:pt idx="287">
                  <c:v>0.1019993592725945</c:v>
                </c:pt>
                <c:pt idx="288">
                  <c:v>0.10347696710892433</c:v>
                </c:pt>
                <c:pt idx="289">
                  <c:v>0.1052666047331597</c:v>
                </c:pt>
                <c:pt idx="290">
                  <c:v>0.10736535695102423</c:v>
                </c:pt>
                <c:pt idx="291">
                  <c:v>0.1097735271870199</c:v>
                </c:pt>
                <c:pt idx="292">
                  <c:v>0.11249139564178801</c:v>
                </c:pt>
                <c:pt idx="293">
                  <c:v>0.11551921593665189</c:v>
                </c:pt>
                <c:pt idx="294">
                  <c:v>0.11885721175775917</c:v>
                </c:pt>
                <c:pt idx="295">
                  <c:v>0.12255303616655633</c:v>
                </c:pt>
                <c:pt idx="296">
                  <c:v>0.12645756135657779</c:v>
                </c:pt>
                <c:pt idx="297">
                  <c:v>0.13057201654060496</c:v>
                </c:pt>
                <c:pt idx="298">
                  <c:v>0.13489664109122165</c:v>
                </c:pt>
                <c:pt idx="299">
                  <c:v>0.139431666223086</c:v>
                </c:pt>
                <c:pt idx="300">
                  <c:v>0.14417731309501058</c:v>
                </c:pt>
                <c:pt idx="301">
                  <c:v>0.14913379091163975</c:v>
                </c:pt>
                <c:pt idx="302">
                  <c:v>0.15430129502543663</c:v>
                </c:pt>
                <c:pt idx="303">
                  <c:v>0.1594869942734107</c:v>
                </c:pt>
                <c:pt idx="304">
                  <c:v>0.16453216068285983</c:v>
                </c:pt>
                <c:pt idx="305">
                  <c:v>0.16943643497699198</c:v>
                </c:pt>
                <c:pt idx="306">
                  <c:v>0.17419944039700561</c:v>
                </c:pt>
                <c:pt idx="307">
                  <c:v>0.17882078404097534</c:v>
                </c:pt>
                <c:pt idx="308">
                  <c:v>0.18330005820124751</c:v>
                </c:pt>
                <c:pt idx="309">
                  <c:v>0.18735392037852186</c:v>
                </c:pt>
                <c:pt idx="310">
                  <c:v>0.19093376439707654</c:v>
                </c:pt>
                <c:pt idx="311">
                  <c:v>0.19403870326856598</c:v>
                </c:pt>
                <c:pt idx="312">
                  <c:v>0.19666785557222025</c:v>
                </c:pt>
                <c:pt idx="313">
                  <c:v>0.19882034983015995</c:v>
                </c:pt>
                <c:pt idx="314">
                  <c:v>0.20049532888093657</c:v>
                </c:pt>
                <c:pt idx="315">
                  <c:v>0.20169195425556063</c:v>
                </c:pt>
                <c:pt idx="316">
                  <c:v>0.20240941055045339</c:v>
                </c:pt>
                <c:pt idx="317">
                  <c:v>0.20258850002729364</c:v>
                </c:pt>
                <c:pt idx="318">
                  <c:v>0.20242269694320289</c:v>
                </c:pt>
                <c:pt idx="319">
                  <c:v>0.20191143377292783</c:v>
                </c:pt>
                <c:pt idx="320">
                  <c:v>0.20105417208204215</c:v>
                </c:pt>
                <c:pt idx="321">
                  <c:v>0.19985040565939619</c:v>
                </c:pt>
                <c:pt idx="322">
                  <c:v>0.19829966365039295</c:v>
                </c:pt>
                <c:pt idx="323">
                  <c:v>0.19644462470489402</c:v>
                </c:pt>
                <c:pt idx="324">
                  <c:v>0.19456949917374586</c:v>
                </c:pt>
                <c:pt idx="325">
                  <c:v>0.19267419078194672</c:v>
                </c:pt>
                <c:pt idx="326">
                  <c:v>0.19075742609375909</c:v>
                </c:pt>
                <c:pt idx="327">
                  <c:v>0.18881877262331115</c:v>
                </c:pt>
                <c:pt idx="328">
                  <c:v>0.18685878246126575</c:v>
                </c:pt>
                <c:pt idx="329">
                  <c:v>0.18487799366400534</c:v>
                </c:pt>
                <c:pt idx="330">
                  <c:v>0.18287692993085303</c:v>
                </c:pt>
                <c:pt idx="331">
                  <c:v>0.18087037334195713</c:v>
                </c:pt>
                <c:pt idx="332">
                  <c:v>0.17891745280883833</c:v>
                </c:pt>
                <c:pt idx="333">
                  <c:v>0.17701866407975997</c:v>
                </c:pt>
                <c:pt idx="334">
                  <c:v>0.17517448100583569</c:v>
                </c:pt>
                <c:pt idx="335">
                  <c:v>0.17338535673760327</c:v>
                </c:pt>
                <c:pt idx="336">
                  <c:v>0.17165172491924782</c:v>
                </c:pt>
                <c:pt idx="337">
                  <c:v>0.17001517819770476</c:v>
                </c:pt>
                <c:pt idx="338">
                  <c:v>0.16843292035043236</c:v>
                </c:pt>
                <c:pt idx="339">
                  <c:v>0.16690533300809027</c:v>
                </c:pt>
                <c:pt idx="340">
                  <c:v>0.16543278344297596</c:v>
                </c:pt>
                <c:pt idx="341">
                  <c:v>0.16401562572278361</c:v>
                </c:pt>
                <c:pt idx="342">
                  <c:v>0.1626542018641994</c:v>
                </c:pt>
                <c:pt idx="343">
                  <c:v>0.16134884298452573</c:v>
                </c:pt>
                <c:pt idx="344">
                  <c:v>0.16009987045589075</c:v>
                </c:pt>
                <c:pt idx="345">
                  <c:v>0.15890759705772697</c:v>
                </c:pt>
                <c:pt idx="346">
                  <c:v>0.15782152426847726</c:v>
                </c:pt>
                <c:pt idx="347">
                  <c:v>0.15684196094402508</c:v>
                </c:pt>
                <c:pt idx="348">
                  <c:v>0.15596921509928671</c:v>
                </c:pt>
                <c:pt idx="349">
                  <c:v>0.15520359608262077</c:v>
                </c:pt>
                <c:pt idx="350">
                  <c:v>0.15454541675389621</c:v>
                </c:pt>
                <c:pt idx="351">
                  <c:v>0.15405850597853379</c:v>
                </c:pt>
                <c:pt idx="352">
                  <c:v>0.15370200438992224</c:v>
                </c:pt>
                <c:pt idx="353">
                  <c:v>0.15347626553672813</c:v>
                </c:pt>
                <c:pt idx="354">
                  <c:v>0.15338165932419032</c:v>
                </c:pt>
                <c:pt idx="355">
                  <c:v>0.1534185746454976</c:v>
                </c:pt>
                <c:pt idx="356">
                  <c:v>0.15358752815873675</c:v>
                </c:pt>
                <c:pt idx="357">
                  <c:v>0.15388861235530085</c:v>
                </c:pt>
                <c:pt idx="358">
                  <c:v>0.1543215721425521</c:v>
                </c:pt>
                <c:pt idx="359">
                  <c:v>0.15488617136449839</c:v>
                </c:pt>
                <c:pt idx="360">
                  <c:v>0.15562350021543658</c:v>
                </c:pt>
                <c:pt idx="361">
                  <c:v>0.15646970899205204</c:v>
                </c:pt>
                <c:pt idx="362">
                  <c:v>0.15742457275112928</c:v>
                </c:pt>
                <c:pt idx="363">
                  <c:v>0.15848786984809968</c:v>
                </c:pt>
                <c:pt idx="364">
                  <c:v>0.15965937925317306</c:v>
                </c:pt>
                <c:pt idx="365">
                  <c:v>0.16093887786559072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0.18397248513498288</c:v>
                </c:pt>
                <c:pt idx="1">
                  <c:v>0.18556273552766922</c:v>
                </c:pt>
                <c:pt idx="2">
                  <c:v>0.18723399364670607</c:v>
                </c:pt>
                <c:pt idx="3">
                  <c:v>0.18898591850359334</c:v>
                </c:pt>
                <c:pt idx="4">
                  <c:v>0.19081815418513931</c:v>
                </c:pt>
                <c:pt idx="5">
                  <c:v>0.19273032785126307</c:v>
                </c:pt>
                <c:pt idx="6">
                  <c:v>0.19472204773525759</c:v>
                </c:pt>
                <c:pt idx="7">
                  <c:v>0.1967929011397497</c:v>
                </c:pt>
                <c:pt idx="8">
                  <c:v>0.19894245243529912</c:v>
                </c:pt>
                <c:pt idx="9">
                  <c:v>0.2012151184822234</c:v>
                </c:pt>
                <c:pt idx="10">
                  <c:v>0.20355569165284632</c:v>
                </c:pt>
                <c:pt idx="11">
                  <c:v>0.20596364092994834</c:v>
                </c:pt>
                <c:pt idx="12">
                  <c:v>0.20843840505374642</c:v>
                </c:pt>
                <c:pt idx="13">
                  <c:v>0.21097939077166694</c:v>
                </c:pt>
                <c:pt idx="14">
                  <c:v>0.21358597108449093</c:v>
                </c:pt>
                <c:pt idx="15">
                  <c:v>0.21636876529759552</c:v>
                </c:pt>
                <c:pt idx="16">
                  <c:v>0.21930313960397679</c:v>
                </c:pt>
                <c:pt idx="17">
                  <c:v>0.222388412611978</c:v>
                </c:pt>
                <c:pt idx="18">
                  <c:v>0.22562384292563148</c:v>
                </c:pt>
                <c:pt idx="19">
                  <c:v>0.22900990256991222</c:v>
                </c:pt>
                <c:pt idx="20">
                  <c:v>0.23254766047744468</c:v>
                </c:pt>
                <c:pt idx="21">
                  <c:v>0.23623721807791567</c:v>
                </c:pt>
                <c:pt idx="22">
                  <c:v>0.24007867150149786</c:v>
                </c:pt>
                <c:pt idx="23">
                  <c:v>0.24391364002120838</c:v>
                </c:pt>
                <c:pt idx="24">
                  <c:v>0.24769712781711867</c:v>
                </c:pt>
                <c:pt idx="25">
                  <c:v>0.25142920174415784</c:v>
                </c:pt>
                <c:pt idx="26">
                  <c:v>0.25510995293069189</c:v>
                </c:pt>
                <c:pt idx="27">
                  <c:v>0.25873949618798842</c:v>
                </c:pt>
                <c:pt idx="28">
                  <c:v>0.26231796942511909</c:v>
                </c:pt>
                <c:pt idx="29">
                  <c:v>0.26538692593736429</c:v>
                </c:pt>
                <c:pt idx="30">
                  <c:v>0.26783511343346506</c:v>
                </c:pt>
                <c:pt idx="31">
                  <c:v>0.26966281316846535</c:v>
                </c:pt>
                <c:pt idx="32">
                  <c:v>0.27087036232446865</c:v>
                </c:pt>
                <c:pt idx="33">
                  <c:v>0.27145814629543025</c:v>
                </c:pt>
                <c:pt idx="34">
                  <c:v>0.2714265909731835</c:v>
                </c:pt>
                <c:pt idx="35">
                  <c:v>0.27077615503325791</c:v>
                </c:pt>
                <c:pt idx="36">
                  <c:v>0.26950732222012819</c:v>
                </c:pt>
                <c:pt idx="37">
                  <c:v>0.26735526546114807</c:v>
                </c:pt>
                <c:pt idx="38">
                  <c:v>0.26447898070685033</c:v>
                </c:pt>
                <c:pt idx="39">
                  <c:v>0.260879010671418</c:v>
                </c:pt>
                <c:pt idx="40">
                  <c:v>0.25655589156370623</c:v>
                </c:pt>
                <c:pt idx="41">
                  <c:v>0.25151014403721944</c:v>
                </c:pt>
                <c:pt idx="42">
                  <c:v>0.24574226413821815</c:v>
                </c:pt>
                <c:pt idx="43">
                  <c:v>0.23937482599639881</c:v>
                </c:pt>
                <c:pt idx="44">
                  <c:v>0.23286633941813115</c:v>
                </c:pt>
                <c:pt idx="45">
                  <c:v>0.22621704326717326</c:v>
                </c:pt>
                <c:pt idx="46">
                  <c:v>0.21942713901433281</c:v>
                </c:pt>
                <c:pt idx="47">
                  <c:v>0.21249678894875318</c:v>
                </c:pt>
                <c:pt idx="48">
                  <c:v>0.20542611438621047</c:v>
                </c:pt>
                <c:pt idx="49">
                  <c:v>0.19821519387944353</c:v>
                </c:pt>
                <c:pt idx="50">
                  <c:v>0.19086406142717227</c:v>
                </c:pt>
                <c:pt idx="51">
                  <c:v>0.18371103067056421</c:v>
                </c:pt>
                <c:pt idx="52">
                  <c:v>0.17702014018346993</c:v>
                </c:pt>
                <c:pt idx="53">
                  <c:v>0.1707902964124538</c:v>
                </c:pt>
                <c:pt idx="54">
                  <c:v>0.16502137030692021</c:v>
                </c:pt>
                <c:pt idx="55">
                  <c:v>0.15971324962826072</c:v>
                </c:pt>
                <c:pt idx="56">
                  <c:v>0.15486583724656286</c:v>
                </c:pt>
                <c:pt idx="57">
                  <c:v>0.15060176965227109</c:v>
                </c:pt>
                <c:pt idx="58">
                  <c:v>0.14679891765991712</c:v>
                </c:pt>
                <c:pt idx="59">
                  <c:v>0.14345721963552077</c:v>
                </c:pt>
                <c:pt idx="60">
                  <c:v>0.14057662206189406</c:v>
                </c:pt>
                <c:pt idx="61">
                  <c:v>0.13815707783300682</c:v>
                </c:pt>
                <c:pt idx="62">
                  <c:v>0.13619854454814484</c:v>
                </c:pt>
                <c:pt idx="63">
                  <c:v>0.13470098280648474</c:v>
                </c:pt>
                <c:pt idx="64">
                  <c:v>0.13366435450111816</c:v>
                </c:pt>
                <c:pt idx="65">
                  <c:v>0.13300107031017708</c:v>
                </c:pt>
                <c:pt idx="66">
                  <c:v>0.13237274822649334</c:v>
                </c:pt>
                <c:pt idx="67">
                  <c:v>0.13177934278438924</c:v>
                </c:pt>
                <c:pt idx="68">
                  <c:v>0.13122080901402883</c:v>
                </c:pt>
                <c:pt idx="69">
                  <c:v>0.13069710231086459</c:v>
                </c:pt>
                <c:pt idx="70">
                  <c:v>0.13020817830570253</c:v>
                </c:pt>
                <c:pt idx="71">
                  <c:v>0.1297642223769381</c:v>
                </c:pt>
                <c:pt idx="72">
                  <c:v>0.12924246731228059</c:v>
                </c:pt>
                <c:pt idx="73">
                  <c:v>0.12864287468378599</c:v>
                </c:pt>
                <c:pt idx="74">
                  <c:v>0.12796540881835064</c:v>
                </c:pt>
                <c:pt idx="75">
                  <c:v>0.12721003708394873</c:v>
                </c:pt>
                <c:pt idx="76">
                  <c:v>0.12637673017546971</c:v>
                </c:pt>
                <c:pt idx="77">
                  <c:v>0.12546546240097178</c:v>
                </c:pt>
                <c:pt idx="78">
                  <c:v>0.12447621610024878</c:v>
                </c:pt>
                <c:pt idx="79">
                  <c:v>0.12344619882472699</c:v>
                </c:pt>
                <c:pt idx="80">
                  <c:v>0.12246323647018692</c:v>
                </c:pt>
                <c:pt idx="81">
                  <c:v>0.12152728364228799</c:v>
                </c:pt>
                <c:pt idx="82">
                  <c:v>0.12063829606318875</c:v>
                </c:pt>
                <c:pt idx="83">
                  <c:v>0.1197962304209895</c:v>
                </c:pt>
                <c:pt idx="84">
                  <c:v>0.11900104421957645</c:v>
                </c:pt>
                <c:pt idx="85">
                  <c:v>0.11823407258299672</c:v>
                </c:pt>
                <c:pt idx="86">
                  <c:v>0.1174850536418251</c:v>
                </c:pt>
                <c:pt idx="87">
                  <c:v>0.11675395144886253</c:v>
                </c:pt>
                <c:pt idx="88">
                  <c:v>0.11604073074757916</c:v>
                </c:pt>
                <c:pt idx="89">
                  <c:v>0.11534535691415367</c:v>
                </c:pt>
                <c:pt idx="90">
                  <c:v>0.11466779589927156</c:v>
                </c:pt>
                <c:pt idx="91">
                  <c:v>0.11400801417036333</c:v>
                </c:pt>
                <c:pt idx="92">
                  <c:v>0.11336597865353124</c:v>
                </c:pt>
                <c:pt idx="93">
                  <c:v>0.11272597550480801</c:v>
                </c:pt>
                <c:pt idx="94">
                  <c:v>0.11205126839753835</c:v>
                </c:pt>
                <c:pt idx="95">
                  <c:v>0.11134183908056394</c:v>
                </c:pt>
                <c:pt idx="96">
                  <c:v>0.11059767117860618</c:v>
                </c:pt>
                <c:pt idx="97">
                  <c:v>0.10981875030284854</c:v>
                </c:pt>
                <c:pt idx="98">
                  <c:v>0.10900506416052402</c:v>
                </c:pt>
                <c:pt idx="99">
                  <c:v>0.10822258737998205</c:v>
                </c:pt>
                <c:pt idx="100">
                  <c:v>0.10748989006391409</c:v>
                </c:pt>
                <c:pt idx="101">
                  <c:v>0.10680693448982174</c:v>
                </c:pt>
                <c:pt idx="102">
                  <c:v>0.10617368177749609</c:v>
                </c:pt>
                <c:pt idx="103">
                  <c:v>0.1055900917265543</c:v>
                </c:pt>
                <c:pt idx="104">
                  <c:v>0.10505612265646458</c:v>
                </c:pt>
                <c:pt idx="105">
                  <c:v>0.10457173124426768</c:v>
                </c:pt>
                <c:pt idx="106">
                  <c:v>0.10413687236357382</c:v>
                </c:pt>
                <c:pt idx="107">
                  <c:v>0.10384154080455438</c:v>
                </c:pt>
                <c:pt idx="108">
                  <c:v>0.10370129071125804</c:v>
                </c:pt>
                <c:pt idx="109">
                  <c:v>0.10371600831401351</c:v>
                </c:pt>
                <c:pt idx="110">
                  <c:v>0.10388586700467761</c:v>
                </c:pt>
                <c:pt idx="111">
                  <c:v>0.10421104205095501</c:v>
                </c:pt>
                <c:pt idx="112">
                  <c:v>0.10469141283118817</c:v>
                </c:pt>
                <c:pt idx="113">
                  <c:v>0.10538789585661837</c:v>
                </c:pt>
                <c:pt idx="114">
                  <c:v>0.10623450339854339</c:v>
                </c:pt>
                <c:pt idx="115">
                  <c:v>0.10723110237068822</c:v>
                </c:pt>
                <c:pt idx="116">
                  <c:v>0.10837755421459763</c:v>
                </c:pt>
                <c:pt idx="117">
                  <c:v>0.10967371457030957</c:v>
                </c:pt>
                <c:pt idx="118">
                  <c:v>0.11111943294595586</c:v>
                </c:pt>
                <c:pt idx="119">
                  <c:v>0.11271455238766304</c:v>
                </c:pt>
                <c:pt idx="120">
                  <c:v>0.11445890914926923</c:v>
                </c:pt>
                <c:pt idx="121">
                  <c:v>0.11639757889188532</c:v>
                </c:pt>
                <c:pt idx="122">
                  <c:v>0.11844060298938865</c:v>
                </c:pt>
                <c:pt idx="123">
                  <c:v>0.12058783023989585</c:v>
                </c:pt>
                <c:pt idx="124">
                  <c:v>0.12283910318793799</c:v>
                </c:pt>
                <c:pt idx="125">
                  <c:v>0.1251942578928649</c:v>
                </c:pt>
                <c:pt idx="126">
                  <c:v>0.12765312369558021</c:v>
                </c:pt>
                <c:pt idx="127">
                  <c:v>0.13023305950370731</c:v>
                </c:pt>
                <c:pt idx="128">
                  <c:v>0.13287305739597094</c:v>
                </c:pt>
                <c:pt idx="129">
                  <c:v>0.13557296560878149</c:v>
                </c:pt>
                <c:pt idx="130">
                  <c:v>0.13833262690724779</c:v>
                </c:pt>
                <c:pt idx="131">
                  <c:v>0.14115187844621691</c:v>
                </c:pt>
                <c:pt idx="132">
                  <c:v>0.14403055163252818</c:v>
                </c:pt>
                <c:pt idx="133">
                  <c:v>0.14696847198817059</c:v>
                </c:pt>
                <c:pt idx="134">
                  <c:v>0.1499654590127584</c:v>
                </c:pt>
                <c:pt idx="135">
                  <c:v>0.15302220591373325</c:v>
                </c:pt>
                <c:pt idx="136">
                  <c:v>0.15609348686547278</c:v>
                </c:pt>
                <c:pt idx="137">
                  <c:v>0.15917915405431052</c:v>
                </c:pt>
                <c:pt idx="138">
                  <c:v>0.16227905580001831</c:v>
                </c:pt>
                <c:pt idx="139">
                  <c:v>0.16539303651933326</c:v>
                </c:pt>
                <c:pt idx="140">
                  <c:v>0.16852093668045773</c:v>
                </c:pt>
                <c:pt idx="141">
                  <c:v>0.1716316897791787</c:v>
                </c:pt>
                <c:pt idx="142">
                  <c:v>0.17470676864885146</c:v>
                </c:pt>
                <c:pt idx="143">
                  <c:v>0.17774522368928825</c:v>
                </c:pt>
                <c:pt idx="144">
                  <c:v>0.18074714070433859</c:v>
                </c:pt>
                <c:pt idx="145">
                  <c:v>0.18371262579712835</c:v>
                </c:pt>
                <c:pt idx="146">
                  <c:v>0.18664180496373725</c:v>
                </c:pt>
                <c:pt idx="147">
                  <c:v>0.1895348236929893</c:v>
                </c:pt>
                <c:pt idx="148">
                  <c:v>0.19239184656192107</c:v>
                </c:pt>
                <c:pt idx="149">
                  <c:v>0.19516660959701346</c:v>
                </c:pt>
                <c:pt idx="150">
                  <c:v>0.19785852220046676</c:v>
                </c:pt>
                <c:pt idx="151">
                  <c:v>0.20046788977580288</c:v>
                </c:pt>
                <c:pt idx="152">
                  <c:v>0.20299503758090889</c:v>
                </c:pt>
                <c:pt idx="153">
                  <c:v>0.20544030968573956</c:v>
                </c:pt>
                <c:pt idx="154">
                  <c:v>0.20780406793110576</c:v>
                </c:pt>
                <c:pt idx="155">
                  <c:v>0.21002238154520797</c:v>
                </c:pt>
                <c:pt idx="156">
                  <c:v>0.21212641082905323</c:v>
                </c:pt>
                <c:pt idx="157">
                  <c:v>0.21411662905654238</c:v>
                </c:pt>
                <c:pt idx="158">
                  <c:v>0.21599352299569444</c:v>
                </c:pt>
                <c:pt idx="159">
                  <c:v>0.21775759141056417</c:v>
                </c:pt>
                <c:pt idx="160">
                  <c:v>0.21940934356580724</c:v>
                </c:pt>
                <c:pt idx="161">
                  <c:v>0.22094929772881386</c:v>
                </c:pt>
                <c:pt idx="162">
                  <c:v>0.22237797967299566</c:v>
                </c:pt>
                <c:pt idx="163">
                  <c:v>0.22362442581355091</c:v>
                </c:pt>
                <c:pt idx="164">
                  <c:v>0.22473532119368</c:v>
                </c:pt>
                <c:pt idx="165">
                  <c:v>0.22571124971103115</c:v>
                </c:pt>
                <c:pt idx="166">
                  <c:v>0.22655279491211705</c:v>
                </c:pt>
                <c:pt idx="167">
                  <c:v>0.22726053814557143</c:v>
                </c:pt>
                <c:pt idx="168">
                  <c:v>0.22783505672261689</c:v>
                </c:pt>
                <c:pt idx="169">
                  <c:v>0.22820567996023358</c:v>
                </c:pt>
                <c:pt idx="170">
                  <c:v>0.22843681234187282</c:v>
                </c:pt>
                <c:pt idx="171">
                  <c:v>0.2285290163756436</c:v>
                </c:pt>
                <c:pt idx="172">
                  <c:v>0.22848284196447063</c:v>
                </c:pt>
                <c:pt idx="173">
                  <c:v>0.22829648987225443</c:v>
                </c:pt>
                <c:pt idx="174">
                  <c:v>0.22796803413830594</c:v>
                </c:pt>
                <c:pt idx="175">
                  <c:v>0.22749782375114092</c:v>
                </c:pt>
                <c:pt idx="176">
                  <c:v>0.22688620676461285</c:v>
                </c:pt>
                <c:pt idx="177">
                  <c:v>0.22607003252767757</c:v>
                </c:pt>
                <c:pt idx="178">
                  <c:v>0.22512065424500385</c:v>
                </c:pt>
                <c:pt idx="179">
                  <c:v>0.22403840050684304</c:v>
                </c:pt>
                <c:pt idx="180">
                  <c:v>0.22282359563177359</c:v>
                </c:pt>
                <c:pt idx="181">
                  <c:v>0.22147655887619419</c:v>
                </c:pt>
                <c:pt idx="182">
                  <c:v>0.219997603645781</c:v>
                </c:pt>
                <c:pt idx="183">
                  <c:v>0.21834147821053285</c:v>
                </c:pt>
                <c:pt idx="184">
                  <c:v>0.21657925332812503</c:v>
                </c:pt>
                <c:pt idx="185">
                  <c:v>0.21471118364104672</c:v>
                </c:pt>
                <c:pt idx="186">
                  <c:v>0.21273751570198754</c:v>
                </c:pt>
                <c:pt idx="187">
                  <c:v>0.21065848733382292</c:v>
                </c:pt>
                <c:pt idx="188">
                  <c:v>0.20847432699075336</c:v>
                </c:pt>
                <c:pt idx="189">
                  <c:v>0.20618525311301156</c:v>
                </c:pt>
                <c:pt idx="190">
                  <c:v>0.20379147349054197</c:v>
                </c:pt>
                <c:pt idx="191">
                  <c:v>0.20126310686290302</c:v>
                </c:pt>
                <c:pt idx="192">
                  <c:v>0.19866342936357365</c:v>
                </c:pt>
                <c:pt idx="193">
                  <c:v>0.19599257216767713</c:v>
                </c:pt>
                <c:pt idx="194">
                  <c:v>0.19325065544688544</c:v>
                </c:pt>
                <c:pt idx="195">
                  <c:v>0.19043778792788793</c:v>
                </c:pt>
                <c:pt idx="196">
                  <c:v>0.18755406644325323</c:v>
                </c:pt>
                <c:pt idx="197">
                  <c:v>0.18460042780872157</c:v>
                </c:pt>
                <c:pt idx="198">
                  <c:v>0.18162221672537343</c:v>
                </c:pt>
                <c:pt idx="199">
                  <c:v>0.17861944674380692</c:v>
                </c:pt>
                <c:pt idx="200">
                  <c:v>0.17559212192901927</c:v>
                </c:pt>
                <c:pt idx="201">
                  <c:v>0.17254023668598562</c:v>
                </c:pt>
                <c:pt idx="202">
                  <c:v>0.16946377558638651</c:v>
                </c:pt>
                <c:pt idx="203">
                  <c:v>0.16636271319910786</c:v>
                </c:pt>
                <c:pt idx="204">
                  <c:v>0.16323675031456281</c:v>
                </c:pt>
                <c:pt idx="205">
                  <c:v>0.16010240411507962</c:v>
                </c:pt>
                <c:pt idx="206">
                  <c:v>0.1569894350524853</c:v>
                </c:pt>
                <c:pt idx="207">
                  <c:v>0.15389765461394198</c:v>
                </c:pt>
                <c:pt idx="208">
                  <c:v>0.15082687955311422</c:v>
                </c:pt>
                <c:pt idx="209">
                  <c:v>0.14777693183315518</c:v>
                </c:pt>
                <c:pt idx="210">
                  <c:v>0.14474763857477846</c:v>
                </c:pt>
                <c:pt idx="211">
                  <c:v>0.14178232300863869</c:v>
                </c:pt>
                <c:pt idx="212">
                  <c:v>0.13887995482652116</c:v>
                </c:pt>
                <c:pt idx="213">
                  <c:v>0.13604036144513404</c:v>
                </c:pt>
                <c:pt idx="214">
                  <c:v>0.13326337810895988</c:v>
                </c:pt>
                <c:pt idx="215">
                  <c:v>0.13054884770326267</c:v>
                </c:pt>
                <c:pt idx="216">
                  <c:v>0.12789662056657486</c:v>
                </c:pt>
                <c:pt idx="217">
                  <c:v>0.1253065543036691</c:v>
                </c:pt>
                <c:pt idx="218">
                  <c:v>0.1227785135977866</c:v>
                </c:pt>
                <c:pt idx="219">
                  <c:v>0.12037088669956975</c:v>
                </c:pt>
                <c:pt idx="220">
                  <c:v>0.11806667249371888</c:v>
                </c:pt>
                <c:pt idx="221">
                  <c:v>0.11586575183759973</c:v>
                </c:pt>
                <c:pt idx="222">
                  <c:v>0.11376801410223067</c:v>
                </c:pt>
                <c:pt idx="223">
                  <c:v>0.11177335685749455</c:v>
                </c:pt>
                <c:pt idx="224">
                  <c:v>0.10988168555445128</c:v>
                </c:pt>
                <c:pt idx="225">
                  <c:v>0.1081791127142477</c:v>
                </c:pt>
                <c:pt idx="226">
                  <c:v>0.10662211031925184</c:v>
                </c:pt>
                <c:pt idx="227">
                  <c:v>0.10521060813251869</c:v>
                </c:pt>
                <c:pt idx="228">
                  <c:v>0.10394454426550946</c:v>
                </c:pt>
                <c:pt idx="229">
                  <c:v>0.10282386472710171</c:v>
                </c:pt>
                <c:pt idx="230">
                  <c:v>0.10184852297430115</c:v>
                </c:pt>
                <c:pt idx="231">
                  <c:v>0.10101847946326112</c:v>
                </c:pt>
                <c:pt idx="232">
                  <c:v>0.10033370119811487</c:v>
                </c:pt>
                <c:pt idx="233">
                  <c:v>9.9857269548526681E-2</c:v>
                </c:pt>
                <c:pt idx="234">
                  <c:v>9.9530654013094105E-2</c:v>
                </c:pt>
                <c:pt idx="235">
                  <c:v>9.9353920407284496E-2</c:v>
                </c:pt>
                <c:pt idx="236">
                  <c:v>9.9327171504026937E-2</c:v>
                </c:pt>
                <c:pt idx="237">
                  <c:v>9.945045157054877E-2</c:v>
                </c:pt>
                <c:pt idx="238">
                  <c:v>9.9723811000744636E-2</c:v>
                </c:pt>
                <c:pt idx="239">
                  <c:v>0.10013231168231373</c:v>
                </c:pt>
                <c:pt idx="240">
                  <c:v>0.10058975747199439</c:v>
                </c:pt>
                <c:pt idx="241">
                  <c:v>0.1010961889759924</c:v>
                </c:pt>
                <c:pt idx="242">
                  <c:v>0.10165164930233803</c:v>
                </c:pt>
                <c:pt idx="243">
                  <c:v>0.10225618414678656</c:v>
                </c:pt>
                <c:pt idx="244">
                  <c:v>0.10290984187814195</c:v>
                </c:pt>
                <c:pt idx="245">
                  <c:v>0.10361267362250183</c:v>
                </c:pt>
                <c:pt idx="246">
                  <c:v>0.10436473334731677</c:v>
                </c:pt>
                <c:pt idx="247">
                  <c:v>0.10514826245141898</c:v>
                </c:pt>
                <c:pt idx="248">
                  <c:v>0.10590011101904795</c:v>
                </c:pt>
                <c:pt idx="249">
                  <c:v>0.10662030193597784</c:v>
                </c:pt>
                <c:pt idx="250">
                  <c:v>0.10730885683823821</c:v>
                </c:pt>
                <c:pt idx="251">
                  <c:v>0.10796579605707798</c:v>
                </c:pt>
                <c:pt idx="252">
                  <c:v>0.10859113855939263</c:v>
                </c:pt>
                <c:pt idx="253">
                  <c:v>0.10922007624197658</c:v>
                </c:pt>
                <c:pt idx="254">
                  <c:v>0.10986767536245026</c:v>
                </c:pt>
                <c:pt idx="255">
                  <c:v>0.11053398464219731</c:v>
                </c:pt>
                <c:pt idx="256">
                  <c:v>0.11121905428537958</c:v>
                </c:pt>
                <c:pt idx="257">
                  <c:v>0.11192293600853993</c:v>
                </c:pt>
                <c:pt idx="258">
                  <c:v>0.11264568307125475</c:v>
                </c:pt>
                <c:pt idx="259">
                  <c:v>0.11338735030835351</c:v>
                </c:pt>
                <c:pt idx="260">
                  <c:v>0.114147994158718</c:v>
                </c:pt>
                <c:pt idx="261">
                  <c:v>0.11493748315169809</c:v>
                </c:pt>
                <c:pt idx="262">
                  <c:v>0.11577376049492005</c:v>
                </c:pt>
                <c:pt idx="263">
                  <c:v>0.11665691332733345</c:v>
                </c:pt>
                <c:pt idx="264">
                  <c:v>0.11758703808063475</c:v>
                </c:pt>
                <c:pt idx="265">
                  <c:v>0.11856487043025525</c:v>
                </c:pt>
                <c:pt idx="266">
                  <c:v>0.11959085746131154</c:v>
                </c:pt>
                <c:pt idx="267">
                  <c:v>0.12058084560616612</c:v>
                </c:pt>
                <c:pt idx="268">
                  <c:v>0.12149938411075235</c:v>
                </c:pt>
                <c:pt idx="269">
                  <c:v>0.12234629796840601</c:v>
                </c:pt>
                <c:pt idx="270">
                  <c:v>0.12312140102007375</c:v>
                </c:pt>
                <c:pt idx="271">
                  <c:v>0.12382449677036468</c:v>
                </c:pt>
                <c:pt idx="272">
                  <c:v>0.12445537920694644</c:v>
                </c:pt>
                <c:pt idx="273">
                  <c:v>0.12501383361839047</c:v>
                </c:pt>
                <c:pt idx="274">
                  <c:v>0.12549963741364234</c:v>
                </c:pt>
                <c:pt idx="275">
                  <c:v>0.12603090563527883</c:v>
                </c:pt>
                <c:pt idx="276">
                  <c:v>0.1265977076715202</c:v>
                </c:pt>
                <c:pt idx="277">
                  <c:v>0.12719996776518336</c:v>
                </c:pt>
                <c:pt idx="278">
                  <c:v>0.12783760948419429</c:v>
                </c:pt>
                <c:pt idx="279">
                  <c:v>0.12851055534875705</c:v>
                </c:pt>
                <c:pt idx="280">
                  <c:v>0.12921872645972543</c:v>
                </c:pt>
                <c:pt idx="281">
                  <c:v>0.13028929696489014</c:v>
                </c:pt>
                <c:pt idx="282">
                  <c:v>0.1318074228375751</c:v>
                </c:pt>
                <c:pt idx="283">
                  <c:v>0.133773666380433</c:v>
                </c:pt>
                <c:pt idx="284">
                  <c:v>0.13618858617040691</c:v>
                </c:pt>
                <c:pt idx="285">
                  <c:v>0.13905273217715353</c:v>
                </c:pt>
                <c:pt idx="286">
                  <c:v>0.14236664088276332</c:v>
                </c:pt>
                <c:pt idx="287">
                  <c:v>0.14613083040015587</c:v>
                </c:pt>
                <c:pt idx="288">
                  <c:v>0.15034579559198011</c:v>
                </c:pt>
                <c:pt idx="289">
                  <c:v>0.15513055868615705</c:v>
                </c:pt>
                <c:pt idx="290">
                  <c:v>0.1603664733180484</c:v>
                </c:pt>
                <c:pt idx="291">
                  <c:v>0.16605393173799463</c:v>
                </c:pt>
                <c:pt idx="292">
                  <c:v>0.17219328293688793</c:v>
                </c:pt>
                <c:pt idx="293">
                  <c:v>0.17878482777261437</c:v>
                </c:pt>
                <c:pt idx="294">
                  <c:v>0.18582881409591034</c:v>
                </c:pt>
                <c:pt idx="295">
                  <c:v>0.19306724779061477</c:v>
                </c:pt>
                <c:pt idx="296">
                  <c:v>0.20017264408415925</c:v>
                </c:pt>
                <c:pt idx="297">
                  <c:v>0.20714632330521304</c:v>
                </c:pt>
                <c:pt idx="298">
                  <c:v>0.21398803665751134</c:v>
                </c:pt>
                <c:pt idx="299">
                  <c:v>0.22069750529853582</c:v>
                </c:pt>
                <c:pt idx="300">
                  <c:v>0.22727442162728914</c:v>
                </c:pt>
                <c:pt idx="301">
                  <c:v>0.23371845057142979</c:v>
                </c:pt>
                <c:pt idx="302">
                  <c:v>0.240029230874897</c:v>
                </c:pt>
                <c:pt idx="303">
                  <c:v>0.24575861995149853</c:v>
                </c:pt>
                <c:pt idx="304">
                  <c:v>0.25078617106791162</c:v>
                </c:pt>
                <c:pt idx="305">
                  <c:v>0.2551106431117483</c:v>
                </c:pt>
                <c:pt idx="306">
                  <c:v>0.25873078083137396</c:v>
                </c:pt>
                <c:pt idx="307">
                  <c:v>0.26164532134503515</c:v>
                </c:pt>
                <c:pt idx="308">
                  <c:v>0.26385300064779138</c:v>
                </c:pt>
                <c:pt idx="309">
                  <c:v>0.26519736899468255</c:v>
                </c:pt>
                <c:pt idx="310">
                  <c:v>0.26593698882087413</c:v>
                </c:pt>
                <c:pt idx="311">
                  <c:v>0.26607077655283534</c:v>
                </c:pt>
                <c:pt idx="312">
                  <c:v>0.26559766967190523</c:v>
                </c:pt>
                <c:pt idx="313">
                  <c:v>0.26451663226266237</c:v>
                </c:pt>
                <c:pt idx="314">
                  <c:v>0.26282666055887</c:v>
                </c:pt>
                <c:pt idx="315">
                  <c:v>0.26052678849274907</c:v>
                </c:pt>
                <c:pt idx="316">
                  <c:v>0.25761609324016249</c:v>
                </c:pt>
                <c:pt idx="317">
                  <c:v>0.25420321635716969</c:v>
                </c:pt>
                <c:pt idx="318">
                  <c:v>0.25073820459267321</c:v>
                </c:pt>
                <c:pt idx="319">
                  <c:v>0.2472209126471131</c:v>
                </c:pt>
                <c:pt idx="320">
                  <c:v>0.24365121205869059</c:v>
                </c:pt>
                <c:pt idx="321">
                  <c:v>0.24002899162685806</c:v>
                </c:pt>
                <c:pt idx="322">
                  <c:v>0.23635415783674901</c:v>
                </c:pt>
                <c:pt idx="323">
                  <c:v>0.23267099320398324</c:v>
                </c:pt>
                <c:pt idx="324">
                  <c:v>0.22913557121052414</c:v>
                </c:pt>
                <c:pt idx="325">
                  <c:v>0.22574799938576554</c:v>
                </c:pt>
                <c:pt idx="326">
                  <c:v>0.22250699752798644</c:v>
                </c:pt>
                <c:pt idx="327">
                  <c:v>0.21941226731337979</c:v>
                </c:pt>
                <c:pt idx="328">
                  <c:v>0.21646463227795448</c:v>
                </c:pt>
                <c:pt idx="329">
                  <c:v>0.2136648653883027</c:v>
                </c:pt>
                <c:pt idx="330">
                  <c:v>0.21101369225042013</c:v>
                </c:pt>
                <c:pt idx="331">
                  <c:v>0.20853552467309425</c:v>
                </c:pt>
                <c:pt idx="332">
                  <c:v>0.20612108033195534</c:v>
                </c:pt>
                <c:pt idx="333">
                  <c:v>0.20377093984161151</c:v>
                </c:pt>
                <c:pt idx="334">
                  <c:v>0.20148565703199961</c:v>
                </c:pt>
                <c:pt idx="335">
                  <c:v>0.19926576036788463</c:v>
                </c:pt>
                <c:pt idx="336">
                  <c:v>0.19711175436565148</c:v>
                </c:pt>
                <c:pt idx="337">
                  <c:v>0.19507834949719816</c:v>
                </c:pt>
                <c:pt idx="338">
                  <c:v>0.19312156391292173</c:v>
                </c:pt>
                <c:pt idx="339">
                  <c:v>0.1912418388459256</c:v>
                </c:pt>
                <c:pt idx="340">
                  <c:v>0.18943959758015047</c:v>
                </c:pt>
                <c:pt idx="341">
                  <c:v>0.18771524707232348</c:v>
                </c:pt>
                <c:pt idx="342">
                  <c:v>0.18606917957371791</c:v>
                </c:pt>
                <c:pt idx="343">
                  <c:v>0.18450177424965813</c:v>
                </c:pt>
                <c:pt idx="344">
                  <c:v>0.18301339880198336</c:v>
                </c:pt>
                <c:pt idx="345">
                  <c:v>0.18160441108953077</c:v>
                </c:pt>
                <c:pt idx="346">
                  <c:v>0.18032418630962055</c:v>
                </c:pt>
                <c:pt idx="347">
                  <c:v>0.17917307726726411</c:v>
                </c:pt>
                <c:pt idx="348">
                  <c:v>0.17815143606573094</c:v>
                </c:pt>
                <c:pt idx="349">
                  <c:v>0.17725961674531596</c:v>
                </c:pt>
                <c:pt idx="350">
                  <c:v>0.17649797792628674</c:v>
                </c:pt>
                <c:pt idx="351">
                  <c:v>0.17593969340627647</c:v>
                </c:pt>
                <c:pt idx="352">
                  <c:v>0.17553089406258793</c:v>
                </c:pt>
                <c:pt idx="353">
                  <c:v>0.17527198380505213</c:v>
                </c:pt>
                <c:pt idx="354">
                  <c:v>0.17516338529458861</c:v>
                </c:pt>
                <c:pt idx="355">
                  <c:v>0.17520554295983953</c:v>
                </c:pt>
                <c:pt idx="356">
                  <c:v>0.17539904723348912</c:v>
                </c:pt>
                <c:pt idx="357">
                  <c:v>0.17574400425026657</c:v>
                </c:pt>
                <c:pt idx="358">
                  <c:v>0.17624012329782296</c:v>
                </c:pt>
                <c:pt idx="359">
                  <c:v>0.17688713537270989</c:v>
                </c:pt>
                <c:pt idx="360">
                  <c:v>0.17773919355623655</c:v>
                </c:pt>
                <c:pt idx="361">
                  <c:v>0.17872311109584194</c:v>
                </c:pt>
                <c:pt idx="362">
                  <c:v>0.17983864118716661</c:v>
                </c:pt>
                <c:pt idx="363">
                  <c:v>0.18108554142264061</c:v>
                </c:pt>
                <c:pt idx="364">
                  <c:v>0.18246357053438711</c:v>
                </c:pt>
                <c:pt idx="365">
                  <c:v>0.18397248513498288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99336"/>
        <c:axId val="534192464"/>
      </c:lineChart>
      <c:dateAx>
        <c:axId val="242799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92464"/>
        <c:crosses val="autoZero"/>
        <c:auto val="1"/>
        <c:lblOffset val="100"/>
        <c:baseTimeUnit val="days"/>
      </c:dateAx>
      <c:valAx>
        <c:axId val="5341924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2799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189328"/>
        <c:axId val="534189720"/>
      </c:scatterChart>
      <c:valAx>
        <c:axId val="53418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9720"/>
        <c:crosses val="autoZero"/>
        <c:crossBetween val="midCat"/>
      </c:valAx>
      <c:valAx>
        <c:axId val="53418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93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28.543939531003609</c:v>
                </c:pt>
                <c:pt idx="1">
                  <c:v>28.728026118103799</c:v>
                </c:pt>
                <c:pt idx="2">
                  <c:v>28.920113651300298</c:v>
                </c:pt>
                <c:pt idx="3">
                  <c:v>29.119593184492714</c:v>
                </c:pt>
                <c:pt idx="4">
                  <c:v>29.325855766211092</c:v>
                </c:pt>
                <c:pt idx="5">
                  <c:v>29.538292450290815</c:v>
                </c:pt>
                <c:pt idx="6">
                  <c:v>29.756294285403243</c:v>
                </c:pt>
                <c:pt idx="7">
                  <c:v>29.979252324343243</c:v>
                </c:pt>
                <c:pt idx="8">
                  <c:v>30.209199974817004</c:v>
                </c:pt>
                <c:pt idx="9">
                  <c:v>30.448155339468236</c:v>
                </c:pt>
                <c:pt idx="10">
                  <c:v>30.695486514368142</c:v>
                </c:pt>
                <c:pt idx="11">
                  <c:v>30.950561590387665</c:v>
                </c:pt>
                <c:pt idx="12">
                  <c:v>31.212748661785263</c:v>
                </c:pt>
                <c:pt idx="13">
                  <c:v>31.481415823754382</c:v>
                </c:pt>
                <c:pt idx="14">
                  <c:v>31.755931166545807</c:v>
                </c:pt>
                <c:pt idx="15">
                  <c:v>32.035662787679229</c:v>
                </c:pt>
                <c:pt idx="16">
                  <c:v>32.31997877803191</c:v>
                </c:pt>
                <c:pt idx="17">
                  <c:v>32.608247233176229</c:v>
                </c:pt>
                <c:pt idx="18">
                  <c:v>32.899836244470364</c:v>
                </c:pt>
                <c:pt idx="19">
                  <c:v>33.194113907201924</c:v>
                </c:pt>
                <c:pt idx="20">
                  <c:v>33.49044831358195</c:v>
                </c:pt>
                <c:pt idx="21">
                  <c:v>33.78820755886845</c:v>
                </c:pt>
                <c:pt idx="22">
                  <c:v>34.089789911981541</c:v>
                </c:pt>
                <c:pt idx="23">
                  <c:v>34.397625612966451</c:v>
                </c:pt>
                <c:pt idx="24">
                  <c:v>34.711130707591245</c:v>
                </c:pt>
                <c:pt idx="25">
                  <c:v>35.029721243000992</c:v>
                </c:pt>
                <c:pt idx="26">
                  <c:v>35.352813266813087</c:v>
                </c:pt>
                <c:pt idx="27">
                  <c:v>35.67982282405054</c:v>
                </c:pt>
                <c:pt idx="28">
                  <c:v>36.010165962507017</c:v>
                </c:pt>
                <c:pt idx="29">
                  <c:v>36.343258728066992</c:v>
                </c:pt>
                <c:pt idx="30">
                  <c:v>36.678517168460949</c:v>
                </c:pt>
                <c:pt idx="31">
                  <c:v>37.015357329057792</c:v>
                </c:pt>
                <c:pt idx="32">
                  <c:v>37.353195257884053</c:v>
                </c:pt>
                <c:pt idx="33">
                  <c:v>37.691447000065821</c:v>
                </c:pt>
                <c:pt idx="34">
                  <c:v>38.029528603380143</c:v>
                </c:pt>
                <c:pt idx="35">
                  <c:v>38.366856113914402</c:v>
                </c:pt>
                <c:pt idx="36">
                  <c:v>38.705035816628616</c:v>
                </c:pt>
                <c:pt idx="37">
                  <c:v>39.045750814749461</c:v>
                </c:pt>
                <c:pt idx="38">
                  <c:v>39.388532386773399</c:v>
                </c:pt>
                <c:pt idx="39">
                  <c:v>39.73291180926109</c:v>
                </c:pt>
                <c:pt idx="40">
                  <c:v>40.078420359022651</c:v>
                </c:pt>
                <c:pt idx="41">
                  <c:v>40.424589313333854</c:v>
                </c:pt>
                <c:pt idx="42">
                  <c:v>40.770949948951603</c:v>
                </c:pt>
                <c:pt idx="43">
                  <c:v>41.117033543251452</c:v>
                </c:pt>
                <c:pt idx="44">
                  <c:v>41.462371372594504</c:v>
                </c:pt>
                <c:pt idx="45">
                  <c:v>41.806494715018204</c:v>
                </c:pt>
                <c:pt idx="46">
                  <c:v>42.14893484661755</c:v>
                </c:pt>
                <c:pt idx="47">
                  <c:v>42.489223045024225</c:v>
                </c:pt>
                <c:pt idx="48">
                  <c:v>42.826890587101559</c:v>
                </c:pt>
                <c:pt idx="49">
                  <c:v>43.161468749912459</c:v>
                </c:pt>
                <c:pt idx="50">
                  <c:v>43.494453671671053</c:v>
                </c:pt>
                <c:pt idx="51">
                  <c:v>43.827456541598906</c:v>
                </c:pt>
                <c:pt idx="52">
                  <c:v>44.160181213379843</c:v>
                </c:pt>
                <c:pt idx="53">
                  <c:v>44.492331541575766</c:v>
                </c:pt>
                <c:pt idx="54">
                  <c:v>44.823611379321662</c:v>
                </c:pt>
                <c:pt idx="55">
                  <c:v>45.153724580737091</c:v>
                </c:pt>
                <c:pt idx="56">
                  <c:v>45.482374999998136</c:v>
                </c:pt>
                <c:pt idx="57">
                  <c:v>45.809266490356201</c:v>
                </c:pt>
                <c:pt idx="58">
                  <c:v>46.134102906273412</c:v>
                </c:pt>
                <c:pt idx="59">
                  <c:v>46.456588101340458</c:v>
                </c:pt>
                <c:pt idx="60">
                  <c:v>46.776425929184612</c:v>
                </c:pt>
                <c:pt idx="61">
                  <c:v>47.09332024403848</c:v>
                </c:pt>
                <c:pt idx="62">
                  <c:v>47.406974899848656</c:v>
                </c:pt>
                <c:pt idx="63">
                  <c:v>47.717093749856573</c:v>
                </c:pt>
                <c:pt idx="64">
                  <c:v>48.024953363865748</c:v>
                </c:pt>
                <c:pt idx="65">
                  <c:v>48.331839285578042</c:v>
                </c:pt>
                <c:pt idx="66">
                  <c:v>48.637468829654551</c:v>
                </c:pt>
                <c:pt idx="67">
                  <c:v>48.941559311202056</c:v>
                </c:pt>
                <c:pt idx="68">
                  <c:v>49.243828045284111</c:v>
                </c:pt>
                <c:pt idx="69">
                  <c:v>49.543992346751367</c:v>
                </c:pt>
                <c:pt idx="70">
                  <c:v>49.841769531555471</c:v>
                </c:pt>
                <c:pt idx="71">
                  <c:v>50.136876913452788</c:v>
                </c:pt>
                <c:pt idx="72">
                  <c:v>50.429031808049018</c:v>
                </c:pt>
                <c:pt idx="73">
                  <c:v>50.717951530750312</c:v>
                </c:pt>
                <c:pt idx="74">
                  <c:v>51.003353396147887</c:v>
                </c:pt>
                <c:pt idx="75">
                  <c:v>51.284954719218817</c:v>
                </c:pt>
                <c:pt idx="76">
                  <c:v>51.562472816094356</c:v>
                </c:pt>
                <c:pt idx="77">
                  <c:v>51.835624999832362</c:v>
                </c:pt>
                <c:pt idx="78">
                  <c:v>52.105017025742143</c:v>
                </c:pt>
                <c:pt idx="79">
                  <c:v>52.371290542930367</c:v>
                </c:pt>
                <c:pt idx="80">
                  <c:v>52.634216711157933</c:v>
                </c:pt>
                <c:pt idx="81">
                  <c:v>52.893566691170307</c:v>
                </c:pt>
                <c:pt idx="82">
                  <c:v>53.149111641737235</c:v>
                </c:pt>
                <c:pt idx="83">
                  <c:v>53.400622722732706</c:v>
                </c:pt>
                <c:pt idx="84">
                  <c:v>53.647871093777937</c:v>
                </c:pt>
                <c:pt idx="85">
                  <c:v>53.890627915891159</c:v>
                </c:pt>
                <c:pt idx="86">
                  <c:v>54.128664348034981</c:v>
                </c:pt>
                <c:pt idx="87">
                  <c:v>54.361751549158782</c:v>
                </c:pt>
                <c:pt idx="88">
                  <c:v>54.589660680207558</c:v>
                </c:pt>
                <c:pt idx="89">
                  <c:v>54.812162900995467</c:v>
                </c:pt>
                <c:pt idx="90">
                  <c:v>55.029029371383203</c:v>
                </c:pt>
                <c:pt idx="91">
                  <c:v>55.240031250659378</c:v>
                </c:pt>
                <c:pt idx="92">
                  <c:v>55.445478145851354</c:v>
                </c:pt>
                <c:pt idx="93">
                  <c:v>55.645823251083499</c:v>
                </c:pt>
                <c:pt idx="94">
                  <c:v>55.841053104460507</c:v>
                </c:pt>
                <c:pt idx="95">
                  <c:v>56.031154245657049</c:v>
                </c:pt>
                <c:pt idx="96">
                  <c:v>56.216113213230194</c:v>
                </c:pt>
                <c:pt idx="97">
                  <c:v>56.39591654509838</c:v>
                </c:pt>
                <c:pt idx="98">
                  <c:v>56.570550780789929</c:v>
                </c:pt>
                <c:pt idx="99">
                  <c:v>56.740002460085918</c:v>
                </c:pt>
                <c:pt idx="100">
                  <c:v>56.904258120186363</c:v>
                </c:pt>
                <c:pt idx="101">
                  <c:v>57.063304299807967</c:v>
                </c:pt>
                <c:pt idx="102">
                  <c:v>57.217127539829491</c:v>
                </c:pt>
                <c:pt idx="103">
                  <c:v>57.365714376991875</c:v>
                </c:pt>
                <c:pt idx="104">
                  <c:v>57.509051350590639</c:v>
                </c:pt>
                <c:pt idx="105">
                  <c:v>57.647125000506634</c:v>
                </c:pt>
                <c:pt idx="106">
                  <c:v>57.779883724091846</c:v>
                </c:pt>
                <c:pt idx="107">
                  <c:v>57.90737463513922</c:v>
                </c:pt>
                <c:pt idx="108">
                  <c:v>58.029732347652313</c:v>
                </c:pt>
                <c:pt idx="109">
                  <c:v>58.147091472734296</c:v>
                </c:pt>
                <c:pt idx="110">
                  <c:v>58.259586620796469</c:v>
                </c:pt>
                <c:pt idx="111">
                  <c:v>58.367352405017506</c:v>
                </c:pt>
                <c:pt idx="112">
                  <c:v>58.470523437531668</c:v>
                </c:pt>
                <c:pt idx="113">
                  <c:v>58.569234329435432</c:v>
                </c:pt>
                <c:pt idx="114">
                  <c:v>58.663619692916313</c:v>
                </c:pt>
                <c:pt idx="115">
                  <c:v>58.753814139815844</c:v>
                </c:pt>
                <c:pt idx="116">
                  <c:v>58.83995228227495</c:v>
                </c:pt>
                <c:pt idx="117">
                  <c:v>58.922168731822495</c:v>
                </c:pt>
                <c:pt idx="118">
                  <c:v>59.000598100107169</c:v>
                </c:pt>
                <c:pt idx="119">
                  <c:v>59.075375000294301</c:v>
                </c:pt>
                <c:pt idx="120">
                  <c:v>59.146070915912944</c:v>
                </c:pt>
                <c:pt idx="121">
                  <c:v>59.212266308441755</c:v>
                </c:pt>
                <c:pt idx="122">
                  <c:v>59.274109249947863</c:v>
                </c:pt>
                <c:pt idx="123">
                  <c:v>59.331747813456289</c:v>
                </c:pt>
                <c:pt idx="124">
                  <c:v>59.385330072431159</c:v>
                </c:pt>
                <c:pt idx="125">
                  <c:v>59.435004099485063</c:v>
                </c:pt>
                <c:pt idx="126">
                  <c:v>59.480917969392614</c:v>
                </c:pt>
                <c:pt idx="127">
                  <c:v>59.523219752378225</c:v>
                </c:pt>
                <c:pt idx="128">
                  <c:v>59.562057522977035</c:v>
                </c:pt>
                <c:pt idx="129">
                  <c:v>59.597579355338318</c:v>
                </c:pt>
                <c:pt idx="130">
                  <c:v>59.629933320677708</c:v>
                </c:pt>
                <c:pt idx="131">
                  <c:v>59.659267492419374</c:v>
                </c:pt>
                <c:pt idx="132">
                  <c:v>59.68572994468601</c:v>
                </c:pt>
                <c:pt idx="133">
                  <c:v>59.709468750003722</c:v>
                </c:pt>
                <c:pt idx="134">
                  <c:v>59.730029593042232</c:v>
                </c:pt>
                <c:pt idx="135">
                  <c:v>59.746935723189793</c:v>
                </c:pt>
                <c:pt idx="136">
                  <c:v>59.76030156148731</c:v>
                </c:pt>
                <c:pt idx="137">
                  <c:v>59.770241527086398</c:v>
                </c:pt>
                <c:pt idx="138">
                  <c:v>59.776870040236311</c:v>
                </c:pt>
                <c:pt idx="139">
                  <c:v>59.780301521332674</c:v>
                </c:pt>
                <c:pt idx="140">
                  <c:v>59.780650390638044</c:v>
                </c:pt>
                <c:pt idx="141">
                  <c:v>59.778031067802971</c:v>
                </c:pt>
                <c:pt idx="142">
                  <c:v>59.772557973216422</c:v>
                </c:pt>
                <c:pt idx="143">
                  <c:v>59.76434552696135</c:v>
                </c:pt>
                <c:pt idx="144">
                  <c:v>59.753508148595159</c:v>
                </c:pt>
                <c:pt idx="145">
                  <c:v>59.74016025936497</c:v>
                </c:pt>
                <c:pt idx="146">
                  <c:v>59.724416277717268</c:v>
                </c:pt>
                <c:pt idx="147">
                  <c:v>59.706390625145289</c:v>
                </c:pt>
                <c:pt idx="148">
                  <c:v>59.685569532777713</c:v>
                </c:pt>
                <c:pt idx="149">
                  <c:v>59.661439231330789</c:v>
                </c:pt>
                <c:pt idx="150">
                  <c:v>59.634114141083728</c:v>
                </c:pt>
                <c:pt idx="151">
                  <c:v>59.603708682887785</c:v>
                </c:pt>
                <c:pt idx="152">
                  <c:v>59.570337276037648</c:v>
                </c:pt>
                <c:pt idx="153">
                  <c:v>59.534114340586314</c:v>
                </c:pt>
                <c:pt idx="154">
                  <c:v>59.495154297119008</c:v>
                </c:pt>
                <c:pt idx="155">
                  <c:v>59.453571565515759</c:v>
                </c:pt>
                <c:pt idx="156">
                  <c:v>59.409480565912759</c:v>
                </c:pt>
                <c:pt idx="157">
                  <c:v>59.362995717854105</c:v>
                </c:pt>
                <c:pt idx="158">
                  <c:v>59.314231442826404</c:v>
                </c:pt>
                <c:pt idx="159">
                  <c:v>59.26330215928278</c:v>
                </c:pt>
                <c:pt idx="160">
                  <c:v>59.210322288596743</c:v>
                </c:pt>
                <c:pt idx="161">
                  <c:v>59.155406250059606</c:v>
                </c:pt>
                <c:pt idx="162">
                  <c:v>59.098047006043736</c:v>
                </c:pt>
                <c:pt idx="163">
                  <c:v>59.037764440729681</c:v>
                </c:pt>
                <c:pt idx="164">
                  <c:v>58.974713357654409</c:v>
                </c:pt>
                <c:pt idx="165">
                  <c:v>58.909048560860441</c:v>
                </c:pt>
                <c:pt idx="166">
                  <c:v>58.840924853076494</c:v>
                </c:pt>
                <c:pt idx="167">
                  <c:v>58.770497039010351</c:v>
                </c:pt>
                <c:pt idx="168">
                  <c:v>58.697919922089199</c:v>
                </c:pt>
                <c:pt idx="169">
                  <c:v>58.623348305494126</c:v>
                </c:pt>
                <c:pt idx="170">
                  <c:v>58.546936993443943</c:v>
                </c:pt>
                <c:pt idx="171">
                  <c:v>58.468840788970034</c:v>
                </c:pt>
                <c:pt idx="172">
                  <c:v>58.389214496414311</c:v>
                </c:pt>
                <c:pt idx="173">
                  <c:v>58.308212919147422</c:v>
                </c:pt>
                <c:pt idx="174">
                  <c:v>58.225990860722959</c:v>
                </c:pt>
                <c:pt idx="175">
                  <c:v>58.142703125043774</c:v>
                </c:pt>
                <c:pt idx="176">
                  <c:v>58.057906614545828</c:v>
                </c:pt>
                <c:pt idx="177">
                  <c:v>57.971153744438197</c:v>
                </c:pt>
                <c:pt idx="178">
                  <c:v>57.882592588481828</c:v>
                </c:pt>
                <c:pt idx="179">
                  <c:v>57.792371219014086</c:v>
                </c:pt>
                <c:pt idx="180">
                  <c:v>57.700637709458334</c:v>
                </c:pt>
                <c:pt idx="181">
                  <c:v>57.607540133081571</c:v>
                </c:pt>
                <c:pt idx="182">
                  <c:v>57.51322656253469</c:v>
                </c:pt>
                <c:pt idx="183">
                  <c:v>57.417845071123779</c:v>
                </c:pt>
                <c:pt idx="184">
                  <c:v>57.321543731927939</c:v>
                </c:pt>
                <c:pt idx="185">
                  <c:v>57.224470617760176</c:v>
                </c:pt>
                <c:pt idx="186">
                  <c:v>57.126773802039679</c:v>
                </c:pt>
                <c:pt idx="187">
                  <c:v>57.028601357430617</c:v>
                </c:pt>
                <c:pt idx="188">
                  <c:v>56.930101357579204</c:v>
                </c:pt>
                <c:pt idx="189">
                  <c:v>56.831421875010705</c:v>
                </c:pt>
                <c:pt idx="190">
                  <c:v>56.732172201004246</c:v>
                </c:pt>
                <c:pt idx="191">
                  <c:v>56.631920461532928</c:v>
                </c:pt>
                <c:pt idx="192">
                  <c:v>56.53075298225491</c:v>
                </c:pt>
                <c:pt idx="193">
                  <c:v>56.428756088768459</c:v>
                </c:pt>
                <c:pt idx="194">
                  <c:v>56.326016106879763</c:v>
                </c:pt>
                <c:pt idx="195">
                  <c:v>56.222619362170477</c:v>
                </c:pt>
                <c:pt idx="196">
                  <c:v>56.118652180198112</c:v>
                </c:pt>
                <c:pt idx="197">
                  <c:v>56.014200886862817</c:v>
                </c:pt>
                <c:pt idx="198">
                  <c:v>55.909351807554984</c:v>
                </c:pt>
                <c:pt idx="199">
                  <c:v>55.804191268129003</c:v>
                </c:pt>
                <c:pt idx="200">
                  <c:v>55.698805594227238</c:v>
                </c:pt>
                <c:pt idx="201">
                  <c:v>55.593281111523638</c:v>
                </c:pt>
                <c:pt idx="202">
                  <c:v>55.487704145554957</c:v>
                </c:pt>
                <c:pt idx="203">
                  <c:v>55.382161022094081</c:v>
                </c:pt>
                <c:pt idx="204">
                  <c:v>55.276541240889181</c:v>
                </c:pt>
                <c:pt idx="205">
                  <c:v>55.170679702460106</c:v>
                </c:pt>
                <c:pt idx="206">
                  <c:v>55.064580833882793</c:v>
                </c:pt>
                <c:pt idx="207">
                  <c:v>54.958249062171674</c:v>
                </c:pt>
                <c:pt idx="208">
                  <c:v>54.851688814274631</c:v>
                </c:pt>
                <c:pt idx="209">
                  <c:v>54.744904517241025</c:v>
                </c:pt>
                <c:pt idx="210">
                  <c:v>54.637900598102718</c:v>
                </c:pt>
                <c:pt idx="211">
                  <c:v>54.53068148377352</c:v>
                </c:pt>
                <c:pt idx="212">
                  <c:v>54.423251601311918</c:v>
                </c:pt>
                <c:pt idx="213">
                  <c:v>54.315615377681596</c:v>
                </c:pt>
                <c:pt idx="214">
                  <c:v>54.20777723994938</c:v>
                </c:pt>
                <c:pt idx="215">
                  <c:v>54.099741615087261</c:v>
                </c:pt>
                <c:pt idx="216">
                  <c:v>53.991512930118809</c:v>
                </c:pt>
                <c:pt idx="217">
                  <c:v>53.883095612016042</c:v>
                </c:pt>
                <c:pt idx="218">
                  <c:v>53.774838407824944</c:v>
                </c:pt>
                <c:pt idx="219">
                  <c:v>53.667003449042596</c:v>
                </c:pt>
                <c:pt idx="220">
                  <c:v>53.559465238868569</c:v>
                </c:pt>
                <c:pt idx="221">
                  <c:v>53.452098280786799</c:v>
                </c:pt>
                <c:pt idx="222">
                  <c:v>53.344777077996078</c:v>
                </c:pt>
                <c:pt idx="223">
                  <c:v>53.237376134109212</c:v>
                </c:pt>
                <c:pt idx="224">
                  <c:v>53.12976995228091</c:v>
                </c:pt>
                <c:pt idx="225">
                  <c:v>53.021833035993453</c:v>
                </c:pt>
                <c:pt idx="226">
                  <c:v>52.913439888517942</c:v>
                </c:pt>
                <c:pt idx="227">
                  <c:v>52.804465013158705</c:v>
                </c:pt>
                <c:pt idx="228">
                  <c:v>52.694782913508661</c:v>
                </c:pt>
                <c:pt idx="229">
                  <c:v>52.584268092838052</c:v>
                </c:pt>
                <c:pt idx="230">
                  <c:v>52.472795054283267</c:v>
                </c:pt>
                <c:pt idx="231">
                  <c:v>52.360238301532803</c:v>
                </c:pt>
                <c:pt idx="232">
                  <c:v>52.247226453597456</c:v>
                </c:pt>
                <c:pt idx="233">
                  <c:v>52.134305892854798</c:v>
                </c:pt>
                <c:pt idx="234">
                  <c:v>52.021227767642785</c:v>
                </c:pt>
                <c:pt idx="235">
                  <c:v>51.907743225938511</c:v>
                </c:pt>
                <c:pt idx="236">
                  <c:v>51.793603416094896</c:v>
                </c:pt>
                <c:pt idx="237">
                  <c:v>51.678559486597912</c:v>
                </c:pt>
                <c:pt idx="238">
                  <c:v>51.562362585135268</c:v>
                </c:pt>
                <c:pt idx="239">
                  <c:v>51.444763859803786</c:v>
                </c:pt>
                <c:pt idx="240">
                  <c:v>51.325514459535142</c:v>
                </c:pt>
                <c:pt idx="241">
                  <c:v>51.204365532229929</c:v>
                </c:pt>
                <c:pt idx="242">
                  <c:v>51.081068225437775</c:v>
                </c:pt>
                <c:pt idx="243">
                  <c:v>50.955373688444624</c:v>
                </c:pt>
                <c:pt idx="244">
                  <c:v>50.827033068713668</c:v>
                </c:pt>
                <c:pt idx="245">
                  <c:v>50.695797514566223</c:v>
                </c:pt>
                <c:pt idx="246">
                  <c:v>50.562210090466706</c:v>
                </c:pt>
                <c:pt idx="247">
                  <c:v>50.426840582410136</c:v>
                </c:pt>
                <c:pt idx="248">
                  <c:v>50.289480219846254</c:v>
                </c:pt>
                <c:pt idx="249">
                  <c:v>50.14992023331579</c:v>
                </c:pt>
                <c:pt idx="250">
                  <c:v>50.007951852396531</c:v>
                </c:pt>
                <c:pt idx="251">
                  <c:v>49.863366307344819</c:v>
                </c:pt>
                <c:pt idx="252">
                  <c:v>49.715954828250688</c:v>
                </c:pt>
                <c:pt idx="253">
                  <c:v>49.565508644788395</c:v>
                </c:pt>
                <c:pt idx="254">
                  <c:v>49.411818986717009</c:v>
                </c:pt>
                <c:pt idx="255">
                  <c:v>49.254677084919862</c:v>
                </c:pt>
                <c:pt idx="256">
                  <c:v>49.093874169099479</c:v>
                </c:pt>
                <c:pt idx="257">
                  <c:v>48.929201468309785</c:v>
                </c:pt>
                <c:pt idx="258">
                  <c:v>48.760450214031152</c:v>
                </c:pt>
                <c:pt idx="259">
                  <c:v>48.587411635369065</c:v>
                </c:pt>
                <c:pt idx="260">
                  <c:v>48.410440078909915</c:v>
                </c:pt>
                <c:pt idx="261">
                  <c:v>48.230006515700367</c:v>
                </c:pt>
                <c:pt idx="262">
                  <c:v>48.046077113578633</c:v>
                </c:pt>
                <c:pt idx="263">
                  <c:v>47.858618038200902</c:v>
                </c:pt>
                <c:pt idx="264">
                  <c:v>47.667595457219122</c:v>
                </c:pt>
                <c:pt idx="265">
                  <c:v>47.472975536861597</c:v>
                </c:pt>
                <c:pt idx="266">
                  <c:v>47.274724444700404</c:v>
                </c:pt>
                <c:pt idx="267">
                  <c:v>47.072808346910669</c:v>
                </c:pt>
                <c:pt idx="268">
                  <c:v>46.86719341101125</c:v>
                </c:pt>
                <c:pt idx="269">
                  <c:v>46.657845803110732</c:v>
                </c:pt>
                <c:pt idx="270">
                  <c:v>46.444731690634839</c:v>
                </c:pt>
                <c:pt idx="271">
                  <c:v>46.227817239971564</c:v>
                </c:pt>
                <c:pt idx="272">
                  <c:v>46.007068618340412</c:v>
                </c:pt>
                <c:pt idx="273">
                  <c:v>45.782451992481946</c:v>
                </c:pt>
                <c:pt idx="274">
                  <c:v>45.553692852605934</c:v>
                </c:pt>
                <c:pt idx="275">
                  <c:v>45.320640964746204</c:v>
                </c:pt>
                <c:pt idx="276">
                  <c:v>45.083448910387233</c:v>
                </c:pt>
                <c:pt idx="277">
                  <c:v>44.842269270813887</c:v>
                </c:pt>
                <c:pt idx="278">
                  <c:v>44.597254626738973</c:v>
                </c:pt>
                <c:pt idx="279">
                  <c:v>44.348557559666887</c:v>
                </c:pt>
                <c:pt idx="280">
                  <c:v>44.096330650593153</c:v>
                </c:pt>
                <c:pt idx="281">
                  <c:v>43.840726480127444</c:v>
                </c:pt>
                <c:pt idx="282">
                  <c:v>43.581897630176641</c:v>
                </c:pt>
                <c:pt idx="283">
                  <c:v>43.319996681523371</c:v>
                </c:pt>
                <c:pt idx="284">
                  <c:v>43.055176215186449</c:v>
                </c:pt>
                <c:pt idx="285">
                  <c:v>42.787588812384222</c:v>
                </c:pt>
                <c:pt idx="286">
                  <c:v>42.517387054231946</c:v>
                </c:pt>
                <c:pt idx="287">
                  <c:v>42.244723522104323</c:v>
                </c:pt>
                <c:pt idx="288">
                  <c:v>41.968236510981143</c:v>
                </c:pt>
                <c:pt idx="289">
                  <c:v>41.686746815858143</c:v>
                </c:pt>
                <c:pt idx="290">
                  <c:v>41.40068076751195</c:v>
                </c:pt>
                <c:pt idx="291">
                  <c:v>41.110464697677116</c:v>
                </c:pt>
                <c:pt idx="292">
                  <c:v>40.816524936405145</c:v>
                </c:pt>
                <c:pt idx="293">
                  <c:v>40.519287815503773</c:v>
                </c:pt>
                <c:pt idx="294">
                  <c:v>40.219179665413684</c:v>
                </c:pt>
                <c:pt idx="295">
                  <c:v>39.916626817626607</c:v>
                </c:pt>
                <c:pt idx="296">
                  <c:v>39.612055602875941</c:v>
                </c:pt>
                <c:pt idx="297">
                  <c:v>39.30589235238731</c:v>
                </c:pt>
                <c:pt idx="298">
                  <c:v>38.998563396983911</c:v>
                </c:pt>
                <c:pt idx="299">
                  <c:v>38.690495067854812</c:v>
                </c:pt>
                <c:pt idx="300">
                  <c:v>38.38211369598617</c:v>
                </c:pt>
                <c:pt idx="301">
                  <c:v>38.073845612071452</c:v>
                </c:pt>
                <c:pt idx="302">
                  <c:v>37.763405783620797</c:v>
                </c:pt>
                <c:pt idx="303">
                  <c:v>37.448741723716793</c:v>
                </c:pt>
                <c:pt idx="304">
                  <c:v>37.13062858226975</c:v>
                </c:pt>
                <c:pt idx="305">
                  <c:v>36.809841509176678</c:v>
                </c:pt>
                <c:pt idx="306">
                  <c:v>36.487155654507561</c:v>
                </c:pt>
                <c:pt idx="307">
                  <c:v>36.16334616726796</c:v>
                </c:pt>
                <c:pt idx="308">
                  <c:v>35.839188198139894</c:v>
                </c:pt>
                <c:pt idx="309">
                  <c:v>35.515456896514763</c:v>
                </c:pt>
                <c:pt idx="310">
                  <c:v>35.192927412545707</c:v>
                </c:pt>
                <c:pt idx="311">
                  <c:v>34.872374895873612</c:v>
                </c:pt>
                <c:pt idx="312">
                  <c:v>34.554574497047412</c:v>
                </c:pt>
                <c:pt idx="313">
                  <c:v>34.240301364580432</c:v>
                </c:pt>
                <c:pt idx="314">
                  <c:v>33.930330648975044</c:v>
                </c:pt>
                <c:pt idx="315">
                  <c:v>33.625437500188127</c:v>
                </c:pt>
                <c:pt idx="316">
                  <c:v>33.322739469805462</c:v>
                </c:pt>
                <c:pt idx="317">
                  <c:v>33.019475618976031</c:v>
                </c:pt>
                <c:pt idx="318">
                  <c:v>32.716603361605671</c:v>
                </c:pt>
                <c:pt idx="319">
                  <c:v>32.415080110795259</c:v>
                </c:pt>
                <c:pt idx="320">
                  <c:v>32.115863280886387</c:v>
                </c:pt>
                <c:pt idx="321">
                  <c:v>31.819910286114151</c:v>
                </c:pt>
                <c:pt idx="322">
                  <c:v>31.528178538754581</c:v>
                </c:pt>
                <c:pt idx="323">
                  <c:v>31.241625453884311</c:v>
                </c:pt>
                <c:pt idx="324">
                  <c:v>30.961208446067761</c:v>
                </c:pt>
                <c:pt idx="325">
                  <c:v>30.68788492714188</c:v>
                </c:pt>
                <c:pt idx="326">
                  <c:v>30.422612311760894</c:v>
                </c:pt>
                <c:pt idx="327">
                  <c:v>30.166348013102208</c:v>
                </c:pt>
                <c:pt idx="328">
                  <c:v>29.920049444569408</c:v>
                </c:pt>
                <c:pt idx="329">
                  <c:v>29.684674021508545</c:v>
                </c:pt>
                <c:pt idx="330">
                  <c:v>29.458138147149501</c:v>
                </c:pt>
                <c:pt idx="331">
                  <c:v>29.238157292242562</c:v>
                </c:pt>
                <c:pt idx="332">
                  <c:v>29.02538746782313</c:v>
                </c:pt>
                <c:pt idx="333">
                  <c:v>28.820484684434323</c:v>
                </c:pt>
                <c:pt idx="334">
                  <c:v>28.624104952685805</c:v>
                </c:pt>
                <c:pt idx="335">
                  <c:v>28.436904285315954</c:v>
                </c:pt>
                <c:pt idx="336">
                  <c:v>28.259538691211493</c:v>
                </c:pt>
                <c:pt idx="337">
                  <c:v>28.092664182877964</c:v>
                </c:pt>
                <c:pt idx="338">
                  <c:v>27.936936768942648</c:v>
                </c:pt>
                <c:pt idx="339">
                  <c:v>27.793012463115154</c:v>
                </c:pt>
                <c:pt idx="340">
                  <c:v>27.661547274368687</c:v>
                </c:pt>
                <c:pt idx="341">
                  <c:v>27.54319721630641</c:v>
                </c:pt>
                <c:pt idx="342">
                  <c:v>27.438618296644254</c:v>
                </c:pt>
                <c:pt idx="343">
                  <c:v>27.348466528952123</c:v>
                </c:pt>
                <c:pt idx="344">
                  <c:v>27.272294858901809</c:v>
                </c:pt>
                <c:pt idx="345">
                  <c:v>27.209153875536078</c:v>
                </c:pt>
                <c:pt idx="346">
                  <c:v>27.158946047090176</c:v>
                </c:pt>
                <c:pt idx="347">
                  <c:v>27.121573844135469</c:v>
                </c:pt>
                <c:pt idx="348">
                  <c:v>27.096939738225096</c:v>
                </c:pt>
                <c:pt idx="349">
                  <c:v>27.084946199554238</c:v>
                </c:pt>
                <c:pt idx="350">
                  <c:v>27.085495698972252</c:v>
                </c:pt>
                <c:pt idx="351">
                  <c:v>27.09849070772492</c:v>
                </c:pt>
                <c:pt idx="352">
                  <c:v>27.123833693895175</c:v>
                </c:pt>
                <c:pt idx="353">
                  <c:v>27.161427132722928</c:v>
                </c:pt>
                <c:pt idx="354">
                  <c:v>27.211173491888303</c:v>
                </c:pt>
                <c:pt idx="355">
                  <c:v>27.272975240207366</c:v>
                </c:pt>
                <c:pt idx="356">
                  <c:v>27.346734852140102</c:v>
                </c:pt>
                <c:pt idx="357">
                  <c:v>27.432354795110641</c:v>
                </c:pt>
                <c:pt idx="358">
                  <c:v>27.530511647745456</c:v>
                </c:pt>
                <c:pt idx="359">
                  <c:v>27.641541035267814</c:v>
                </c:pt>
                <c:pt idx="360">
                  <c:v>27.764834013915269</c:v>
                </c:pt>
                <c:pt idx="361">
                  <c:v>27.89978163224356</c:v>
                </c:pt>
                <c:pt idx="362">
                  <c:v>28.045774942713567</c:v>
                </c:pt>
                <c:pt idx="363">
                  <c:v>28.202204994035178</c:v>
                </c:pt>
                <c:pt idx="364">
                  <c:v>28.368462840364923</c:v>
                </c:pt>
                <c:pt idx="365">
                  <c:v>28.543939530361314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28.584307508965331</c:v>
                </c:pt>
                <c:pt idx="1">
                  <c:v>28.796819506734607</c:v>
                </c:pt>
                <c:pt idx="2">
                  <c:v>29.015231801072758</c:v>
                </c:pt>
                <c:pt idx="3">
                  <c:v>29.237978740930554</c:v>
                </c:pt>
                <c:pt idx="4">
                  <c:v>29.463494679927827</c:v>
                </c:pt>
                <c:pt idx="5">
                  <c:v>29.690213968406123</c:v>
                </c:pt>
                <c:pt idx="6">
                  <c:v>29.916570957700412</c:v>
                </c:pt>
                <c:pt idx="7">
                  <c:v>30.140999998897314</c:v>
                </c:pt>
                <c:pt idx="8">
                  <c:v>30.36532309709915</c:v>
                </c:pt>
                <c:pt idx="9">
                  <c:v>30.592648296058179</c:v>
                </c:pt>
                <c:pt idx="10">
                  <c:v>30.823339018544981</c:v>
                </c:pt>
                <c:pt idx="11">
                  <c:v>31.057758687330146</c:v>
                </c:pt>
                <c:pt idx="12">
                  <c:v>31.296270721671835</c:v>
                </c:pt>
                <c:pt idx="13">
                  <c:v>31.53923854327628</c:v>
                </c:pt>
                <c:pt idx="14">
                  <c:v>31.787025574222206</c:v>
                </c:pt>
                <c:pt idx="15">
                  <c:v>32.03999523424676</c:v>
                </c:pt>
                <c:pt idx="16">
                  <c:v>32.298510944843294</c:v>
                </c:pt>
                <c:pt idx="17">
                  <c:v>32.562936126760079</c:v>
                </c:pt>
                <c:pt idx="18">
                  <c:v>32.83363420244838</c:v>
                </c:pt>
                <c:pt idx="19">
                  <c:v>33.110968592550073</c:v>
                </c:pt>
                <c:pt idx="20">
                  <c:v>33.395302717547331</c:v>
                </c:pt>
                <c:pt idx="21">
                  <c:v>33.686999999731782</c:v>
                </c:pt>
                <c:pt idx="22">
                  <c:v>33.988081904620472</c:v>
                </c:pt>
                <c:pt idx="23">
                  <c:v>34.299537900050311</c:v>
                </c:pt>
                <c:pt idx="24">
                  <c:v>34.620183399326301</c:v>
                </c:pt>
                <c:pt idx="25">
                  <c:v>34.94883381913283</c:v>
                </c:pt>
                <c:pt idx="26">
                  <c:v>35.28430457232254</c:v>
                </c:pt>
                <c:pt idx="27">
                  <c:v>35.625411078280635</c:v>
                </c:pt>
                <c:pt idx="28">
                  <c:v>35.970968749606982</c:v>
                </c:pt>
                <c:pt idx="29">
                  <c:v>36.319793002360633</c:v>
                </c:pt>
                <c:pt idx="30">
                  <c:v>36.670699252327907</c:v>
                </c:pt>
                <c:pt idx="31">
                  <c:v>37.022502914909275</c:v>
                </c:pt>
                <c:pt idx="32">
                  <c:v>37.374019405738053</c:v>
                </c:pt>
                <c:pt idx="33">
                  <c:v>37.724064139862143</c:v>
                </c:pt>
                <c:pt idx="34">
                  <c:v>38.071452532828388</c:v>
                </c:pt>
                <c:pt idx="35">
                  <c:v>38.415000000037253</c:v>
                </c:pt>
                <c:pt idx="36">
                  <c:v>38.757650054804984</c:v>
                </c:pt>
                <c:pt idx="37">
                  <c:v>39.102776968080022</c:v>
                </c:pt>
                <c:pt idx="38">
                  <c:v>39.449842292476177</c:v>
                </c:pt>
                <c:pt idx="39">
                  <c:v>39.798307580248057</c:v>
                </c:pt>
                <c:pt idx="40">
                  <c:v>40.147634384355378</c:v>
                </c:pt>
                <c:pt idx="41">
                  <c:v>40.497284256826553</c:v>
                </c:pt>
                <c:pt idx="42">
                  <c:v>40.846718750149009</c:v>
                </c:pt>
                <c:pt idx="43">
                  <c:v>41.195399417195993</c:v>
                </c:pt>
                <c:pt idx="44">
                  <c:v>41.542787809889504</c:v>
                </c:pt>
                <c:pt idx="45">
                  <c:v>41.888345481109411</c:v>
                </c:pt>
                <c:pt idx="46">
                  <c:v>42.231533983635849</c:v>
                </c:pt>
                <c:pt idx="47">
                  <c:v>42.571814869118057</c:v>
                </c:pt>
                <c:pt idx="48">
                  <c:v>42.908649690968119</c:v>
                </c:pt>
                <c:pt idx="49">
                  <c:v>43.241500000283125</c:v>
                </c:pt>
                <c:pt idx="50">
                  <c:v>43.570940142430899</c:v>
                </c:pt>
                <c:pt idx="51">
                  <c:v>43.897975219120937</c:v>
                </c:pt>
                <c:pt idx="52">
                  <c:v>44.222712919222452</c:v>
                </c:pt>
                <c:pt idx="53">
                  <c:v>44.545260932935136</c:v>
                </c:pt>
                <c:pt idx="54">
                  <c:v>44.865726949926469</c:v>
                </c:pt>
                <c:pt idx="55">
                  <c:v>45.184218659012444</c:v>
                </c:pt>
                <c:pt idx="56">
                  <c:v>45.500843750219794</c:v>
                </c:pt>
                <c:pt idx="57">
                  <c:v>45.815709912564081</c:v>
                </c:pt>
                <c:pt idx="58">
                  <c:v>46.12892483599218</c:v>
                </c:pt>
                <c:pt idx="59">
                  <c:v>46.440596209998645</c:v>
                </c:pt>
                <c:pt idx="60">
                  <c:v>46.750831723625637</c:v>
                </c:pt>
                <c:pt idx="61">
                  <c:v>47.059739067086149</c:v>
                </c:pt>
                <c:pt idx="62">
                  <c:v>47.367425929462271</c:v>
                </c:pt>
                <c:pt idx="63">
                  <c:v>47.673999999649823</c:v>
                </c:pt>
                <c:pt idx="64">
                  <c:v>47.979999726451936</c:v>
                </c:pt>
                <c:pt idx="65">
                  <c:v>48.285676384610788</c:v>
                </c:pt>
                <c:pt idx="66">
                  <c:v>48.590706905988711</c:v>
                </c:pt>
                <c:pt idx="67">
                  <c:v>48.894768221569919</c:v>
                </c:pt>
                <c:pt idx="68">
                  <c:v>49.197537263030448</c:v>
                </c:pt>
                <c:pt idx="69">
                  <c:v>49.498690962259261</c:v>
                </c:pt>
                <c:pt idx="70">
                  <c:v>49.797906250320374</c:v>
                </c:pt>
                <c:pt idx="71">
                  <c:v>50.094860058410887</c:v>
                </c:pt>
                <c:pt idx="72">
                  <c:v>50.389229318885398</c:v>
                </c:pt>
                <c:pt idx="73">
                  <c:v>50.680690962821245</c:v>
                </c:pt>
                <c:pt idx="74">
                  <c:v>50.96892192055072</c:v>
                </c:pt>
                <c:pt idx="75">
                  <c:v>51.25359912599837</c:v>
                </c:pt>
                <c:pt idx="76">
                  <c:v>51.53439950851191</c:v>
                </c:pt>
                <c:pt idx="77">
                  <c:v>51.811000000312923</c:v>
                </c:pt>
                <c:pt idx="78">
                  <c:v>52.085518495286159</c:v>
                </c:pt>
                <c:pt idx="79">
                  <c:v>52.359785714958399</c:v>
                </c:pt>
                <c:pt idx="80">
                  <c:v>52.633047832202692</c:v>
                </c:pt>
                <c:pt idx="81">
                  <c:v>52.904551021169347</c:v>
                </c:pt>
                <c:pt idx="82">
                  <c:v>53.173541455050668</c:v>
                </c:pt>
                <c:pt idx="83">
                  <c:v>53.439265306613265</c:v>
                </c:pt>
                <c:pt idx="84">
                  <c:v>53.70096875093877</c:v>
                </c:pt>
                <c:pt idx="85">
                  <c:v>53.957897960288186</c:v>
                </c:pt>
                <c:pt idx="86">
                  <c:v>54.209299108279609</c:v>
                </c:pt>
                <c:pt idx="87">
                  <c:v>54.454418368105372</c:v>
                </c:pt>
                <c:pt idx="88">
                  <c:v>54.69250191447459</c:v>
                </c:pt>
                <c:pt idx="89">
                  <c:v>54.922795918690305</c:v>
                </c:pt>
                <c:pt idx="90">
                  <c:v>55.144546557297659</c:v>
                </c:pt>
                <c:pt idx="91">
                  <c:v>55.357000001519921</c:v>
                </c:pt>
                <c:pt idx="92">
                  <c:v>55.560120354007395</c:v>
                </c:pt>
                <c:pt idx="93">
                  <c:v>55.754733236559801</c:v>
                </c:pt>
                <c:pt idx="94">
                  <c:v>55.941377096889276</c:v>
                </c:pt>
                <c:pt idx="95">
                  <c:v>56.12059038057923</c:v>
                </c:pt>
                <c:pt idx="96">
                  <c:v>56.29291153443711</c:v>
                </c:pt>
                <c:pt idx="97">
                  <c:v>56.458879008782766</c:v>
                </c:pt>
                <c:pt idx="98">
                  <c:v>56.619031250476837</c:v>
                </c:pt>
                <c:pt idx="99">
                  <c:v>56.773906706379989</c:v>
                </c:pt>
                <c:pt idx="100">
                  <c:v>56.924043822873912</c:v>
                </c:pt>
                <c:pt idx="101">
                  <c:v>57.069981050065586</c:v>
                </c:pt>
                <c:pt idx="102">
                  <c:v>57.212256833644844</c:v>
                </c:pt>
                <c:pt idx="103">
                  <c:v>57.351409621217421</c:v>
                </c:pt>
                <c:pt idx="104">
                  <c:v>57.487977861453388</c:v>
                </c:pt>
                <c:pt idx="105">
                  <c:v>57.62250000014901</c:v>
                </c:pt>
                <c:pt idx="106">
                  <c:v>57.754401694663933</c:v>
                </c:pt>
                <c:pt idx="107">
                  <c:v>57.882677842357324</c:v>
                </c:pt>
                <c:pt idx="108">
                  <c:v>58.007220754665994</c:v>
                </c:pt>
                <c:pt idx="109">
                  <c:v>58.127922740897965</c:v>
                </c:pt>
                <c:pt idx="110">
                  <c:v>58.244676111425669</c:v>
                </c:pt>
                <c:pt idx="111">
                  <c:v>58.357373178643833</c:v>
                </c:pt>
                <c:pt idx="112">
                  <c:v>58.465906250476834</c:v>
                </c:pt>
                <c:pt idx="113">
                  <c:v>58.570167638574318</c:v>
                </c:pt>
                <c:pt idx="114">
                  <c:v>58.670049653681261</c:v>
                </c:pt>
                <c:pt idx="115">
                  <c:v>58.765444606436155</c:v>
                </c:pt>
                <c:pt idx="116">
                  <c:v>58.856244807637168</c:v>
                </c:pt>
                <c:pt idx="117">
                  <c:v>58.94234256637948</c:v>
                </c:pt>
                <c:pt idx="118">
                  <c:v>59.023630193248394</c:v>
                </c:pt>
                <c:pt idx="119">
                  <c:v>59.1</c:v>
                </c:pt>
                <c:pt idx="120">
                  <c:v>59.170913540039749</c:v>
                </c:pt>
                <c:pt idx="121">
                  <c:v>59.236119534234909</c:v>
                </c:pt>
                <c:pt idx="122">
                  <c:v>59.295941053809862</c:v>
                </c:pt>
                <c:pt idx="123">
                  <c:v>59.350701166476526</c:v>
                </c:pt>
                <c:pt idx="124">
                  <c:v>59.40072294122406</c:v>
                </c:pt>
                <c:pt idx="125">
                  <c:v>59.44632944650948</c:v>
                </c:pt>
                <c:pt idx="126">
                  <c:v>59.487843750603496</c:v>
                </c:pt>
                <c:pt idx="127">
                  <c:v>59.525588921670398</c:v>
                </c:pt>
                <c:pt idx="128">
                  <c:v>59.559888028380058</c:v>
                </c:pt>
                <c:pt idx="129">
                  <c:v>59.591064140626358</c:v>
                </c:pt>
                <c:pt idx="130">
                  <c:v>59.619440324710943</c:v>
                </c:pt>
                <c:pt idx="131">
                  <c:v>59.645339650447887</c:v>
                </c:pt>
                <c:pt idx="132">
                  <c:v>59.669085186054666</c:v>
                </c:pt>
                <c:pt idx="133">
                  <c:v>59.691000000387433</c:v>
                </c:pt>
                <c:pt idx="134">
                  <c:v>59.710366162285212</c:v>
                </c:pt>
                <c:pt idx="135">
                  <c:v>59.726322157840649</c:v>
                </c:pt>
                <c:pt idx="136">
                  <c:v>59.738975674259869</c:v>
                </c:pt>
                <c:pt idx="137">
                  <c:v>59.748434402474331</c:v>
                </c:pt>
                <c:pt idx="138">
                  <c:v>59.754806032005163</c:v>
                </c:pt>
                <c:pt idx="139">
                  <c:v>59.758198250989821</c:v>
                </c:pt>
                <c:pt idx="140">
                  <c:v>59.758718750439584</c:v>
                </c:pt>
                <c:pt idx="141">
                  <c:v>59.75647521891765</c:v>
                </c:pt>
                <c:pt idx="142">
                  <c:v>59.751575346557161</c:v>
                </c:pt>
                <c:pt idx="143">
                  <c:v>59.744126822267262</c:v>
                </c:pt>
                <c:pt idx="144">
                  <c:v>59.734237336553633</c:v>
                </c:pt>
                <c:pt idx="145">
                  <c:v>59.722014577473907</c:v>
                </c:pt>
                <c:pt idx="146">
                  <c:v>59.707566235613612</c:v>
                </c:pt>
                <c:pt idx="147">
                  <c:v>59.691000000387433</c:v>
                </c:pt>
                <c:pt idx="148">
                  <c:v>59.672387664392588</c:v>
                </c:pt>
                <c:pt idx="149">
                  <c:v>59.651657434446477</c:v>
                </c:pt>
                <c:pt idx="150">
                  <c:v>59.628701621852812</c:v>
                </c:pt>
                <c:pt idx="151">
                  <c:v>59.603412536584905</c:v>
                </c:pt>
                <c:pt idx="152">
                  <c:v>59.575682489440908</c:v>
                </c:pt>
                <c:pt idx="153">
                  <c:v>59.5454037906336</c:v>
                </c:pt>
                <c:pt idx="154">
                  <c:v>59.512468750216065</c:v>
                </c:pt>
                <c:pt idx="155">
                  <c:v>59.476769679571895</c:v>
                </c:pt>
                <c:pt idx="156">
                  <c:v>59.438198888434883</c:v>
                </c:pt>
                <c:pt idx="157">
                  <c:v>59.396648688454704</c:v>
                </c:pt>
                <c:pt idx="158">
                  <c:v>59.352011388726531</c:v>
                </c:pt>
                <c:pt idx="159">
                  <c:v>59.304179300527494</c:v>
                </c:pt>
                <c:pt idx="160">
                  <c:v>59.253044733804259</c:v>
                </c:pt>
                <c:pt idx="161">
                  <c:v>59.198500000685456</c:v>
                </c:pt>
                <c:pt idx="162">
                  <c:v>59.139773323959012</c:v>
                </c:pt>
                <c:pt idx="163">
                  <c:v>59.076451895306164</c:v>
                </c:pt>
                <c:pt idx="164">
                  <c:v>59.008966472199447</c:v>
                </c:pt>
                <c:pt idx="165">
                  <c:v>58.937747813974099</c:v>
                </c:pt>
                <c:pt idx="166">
                  <c:v>58.863226676373074</c:v>
                </c:pt>
                <c:pt idx="167">
                  <c:v>58.785833819423395</c:v>
                </c:pt>
                <c:pt idx="168">
                  <c:v>58.705999999865888</c:v>
                </c:pt>
                <c:pt idx="169">
                  <c:v>58.62415597651686</c:v>
                </c:pt>
                <c:pt idx="170">
                  <c:v>58.540732507341133</c:v>
                </c:pt>
                <c:pt idx="171">
                  <c:v>58.456160350010862</c:v>
                </c:pt>
                <c:pt idx="172">
                  <c:v>58.370870262371113</c:v>
                </c:pt>
                <c:pt idx="173">
                  <c:v>58.285293002958817</c:v>
                </c:pt>
                <c:pt idx="174">
                  <c:v>58.199859329299741</c:v>
                </c:pt>
                <c:pt idx="175">
                  <c:v>58.114999999850987</c:v>
                </c:pt>
                <c:pt idx="176">
                  <c:v>58.030068877365963</c:v>
                </c:pt>
                <c:pt idx="177">
                  <c:v>57.944132652772325</c:v>
                </c:pt>
                <c:pt idx="178">
                  <c:v>57.857191326655446</c:v>
                </c:pt>
                <c:pt idx="179">
                  <c:v>57.769244897977579</c:v>
                </c:pt>
                <c:pt idx="180">
                  <c:v>57.680293367310831</c:v>
                </c:pt>
                <c:pt idx="181">
                  <c:v>57.590336734615263</c:v>
                </c:pt>
                <c:pt idx="182">
                  <c:v>57.499374999944123</c:v>
                </c:pt>
                <c:pt idx="183">
                  <c:v>57.407408163270773</c:v>
                </c:pt>
                <c:pt idx="184">
                  <c:v>57.314436224661769</c:v>
                </c:pt>
                <c:pt idx="185">
                  <c:v>57.22045918381108</c:v>
                </c:pt>
                <c:pt idx="186">
                  <c:v>57.125477040931585</c:v>
                </c:pt>
                <c:pt idx="187">
                  <c:v>57.029489796023292</c:v>
                </c:pt>
                <c:pt idx="188">
                  <c:v>56.932497449019664</c:v>
                </c:pt>
                <c:pt idx="189">
                  <c:v>56.834500000067052</c:v>
                </c:pt>
                <c:pt idx="190">
                  <c:v>56.735030794793843</c:v>
                </c:pt>
                <c:pt idx="191">
                  <c:v>56.633766764165514</c:v>
                </c:pt>
                <c:pt idx="192">
                  <c:v>56.530923287397151</c:v>
                </c:pt>
                <c:pt idx="193">
                  <c:v>56.42671574351823</c:v>
                </c:pt>
                <c:pt idx="194">
                  <c:v>56.321359511796459</c:v>
                </c:pt>
                <c:pt idx="195">
                  <c:v>56.215069970862011</c:v>
                </c:pt>
                <c:pt idx="196">
                  <c:v>56.108062500063532</c:v>
                </c:pt>
                <c:pt idx="197">
                  <c:v>56.000552478110023</c:v>
                </c:pt>
                <c:pt idx="198">
                  <c:v>55.892755284337227</c:v>
                </c:pt>
                <c:pt idx="199">
                  <c:v>55.78488629744065</c:v>
                </c:pt>
                <c:pt idx="200">
                  <c:v>55.677160896530097</c:v>
                </c:pt>
                <c:pt idx="201">
                  <c:v>55.56979446066002</c:v>
                </c:pt>
                <c:pt idx="202">
                  <c:v>55.46300236880743</c:v>
                </c:pt>
                <c:pt idx="203">
                  <c:v>55.356999999999971</c:v>
                </c:pt>
                <c:pt idx="204">
                  <c:v>55.251697612965131</c:v>
                </c:pt>
                <c:pt idx="205">
                  <c:v>55.146790087456715</c:v>
                </c:pt>
                <c:pt idx="206">
                  <c:v>55.042169733960954</c:v>
                </c:pt>
                <c:pt idx="207">
                  <c:v>54.937728862937263</c:v>
                </c:pt>
                <c:pt idx="208">
                  <c:v>54.83335978495036</c:v>
                </c:pt>
                <c:pt idx="209">
                  <c:v>54.728954810485767</c:v>
                </c:pt>
                <c:pt idx="210">
                  <c:v>54.624406249908859</c:v>
                </c:pt>
                <c:pt idx="211">
                  <c:v>54.519606413932124</c:v>
                </c:pt>
                <c:pt idx="212">
                  <c:v>54.414447612980538</c:v>
                </c:pt>
                <c:pt idx="213">
                  <c:v>54.308822157427073</c:v>
                </c:pt>
                <c:pt idx="214">
                  <c:v>54.202622357736821</c:v>
                </c:pt>
                <c:pt idx="215">
                  <c:v>54.09574052477474</c:v>
                </c:pt>
                <c:pt idx="216">
                  <c:v>53.988068968673801</c:v>
                </c:pt>
                <c:pt idx="217">
                  <c:v>53.879499999899416</c:v>
                </c:pt>
                <c:pt idx="218">
                  <c:v>53.770002457139448</c:v>
                </c:pt>
                <c:pt idx="219">
                  <c:v>53.659676262726336</c:v>
                </c:pt>
                <c:pt idx="220">
                  <c:v>53.548610352980901</c:v>
                </c:pt>
                <c:pt idx="221">
                  <c:v>53.436893664822648</c:v>
                </c:pt>
                <c:pt idx="222">
                  <c:v>53.324615134638897</c:v>
                </c:pt>
                <c:pt idx="223">
                  <c:v>53.21186369874215</c:v>
                </c:pt>
                <c:pt idx="224">
                  <c:v>53.098728294076864</c:v>
                </c:pt>
                <c:pt idx="225">
                  <c:v>52.985297856978811</c:v>
                </c:pt>
                <c:pt idx="226">
                  <c:v>52.871661323973342</c:v>
                </c:pt>
                <c:pt idx="227">
                  <c:v>52.757907631600816</c:v>
                </c:pt>
                <c:pt idx="228">
                  <c:v>52.644125716525437</c:v>
                </c:pt>
                <c:pt idx="229">
                  <c:v>52.530404515175277</c:v>
                </c:pt>
                <c:pt idx="230">
                  <c:v>52.416832964163042</c:v>
                </c:pt>
                <c:pt idx="231">
                  <c:v>52.3035000000149</c:v>
                </c:pt>
                <c:pt idx="232">
                  <c:v>52.191356186327582</c:v>
                </c:pt>
                <c:pt idx="233">
                  <c:v>52.08095926711934</c:v>
                </c:pt>
                <c:pt idx="234">
                  <c:v>51.971808949103739</c:v>
                </c:pt>
                <c:pt idx="235">
                  <c:v>51.863404939280414</c:v>
                </c:pt>
                <c:pt idx="236">
                  <c:v>51.755246944501835</c:v>
                </c:pt>
                <c:pt idx="237">
                  <c:v>51.646834671151417</c:v>
                </c:pt>
                <c:pt idx="238">
                  <c:v>51.537667826819231</c:v>
                </c:pt>
                <c:pt idx="239">
                  <c:v>51.427246117894541</c:v>
                </c:pt>
                <c:pt idx="240">
                  <c:v>51.315069251400246</c:v>
                </c:pt>
                <c:pt idx="241">
                  <c:v>51.200636934229564</c:v>
                </c:pt>
                <c:pt idx="242">
                  <c:v>51.083448872667837</c:v>
                </c:pt>
                <c:pt idx="243">
                  <c:v>50.963004774399039</c:v>
                </c:pt>
                <c:pt idx="244">
                  <c:v>50.838804345684387</c:v>
                </c:pt>
                <c:pt idx="245">
                  <c:v>50.710347294062373</c:v>
                </c:pt>
                <c:pt idx="246">
                  <c:v>50.579088255656622</c:v>
                </c:pt>
                <c:pt idx="247">
                  <c:v>50.446598718953986</c:v>
                </c:pt>
                <c:pt idx="248">
                  <c:v>50.312553671215262</c:v>
                </c:pt>
                <c:pt idx="249">
                  <c:v>50.176628097891808</c:v>
                </c:pt>
                <c:pt idx="250">
                  <c:v>50.038496986031532</c:v>
                </c:pt>
                <c:pt idx="251">
                  <c:v>49.897835320127861</c:v>
                </c:pt>
                <c:pt idx="252">
                  <c:v>49.754318087361753</c:v>
                </c:pt>
                <c:pt idx="253">
                  <c:v>49.607620274541638</c:v>
                </c:pt>
                <c:pt idx="254">
                  <c:v>49.457416866107714</c:v>
                </c:pt>
                <c:pt idx="255">
                  <c:v>49.303382848948239</c:v>
                </c:pt>
                <c:pt idx="256">
                  <c:v>49.145193210457052</c:v>
                </c:pt>
                <c:pt idx="257">
                  <c:v>48.982522934515558</c:v>
                </c:pt>
                <c:pt idx="258">
                  <c:v>48.815047009236046</c:v>
                </c:pt>
                <c:pt idx="259">
                  <c:v>48.642440418154003</c:v>
                </c:pt>
                <c:pt idx="260">
                  <c:v>48.465034404663101</c:v>
                </c:pt>
                <c:pt idx="261">
                  <c:v>48.283424972742793</c:v>
                </c:pt>
                <c:pt idx="262">
                  <c:v>48.097684248643262</c:v>
                </c:pt>
                <c:pt idx="263">
                  <c:v>47.907884363404342</c:v>
                </c:pt>
                <c:pt idx="264">
                  <c:v>47.714097446948287</c:v>
                </c:pt>
                <c:pt idx="265">
                  <c:v>47.516395625046322</c:v>
                </c:pt>
                <c:pt idx="266">
                  <c:v>47.314851029217245</c:v>
                </c:pt>
                <c:pt idx="267">
                  <c:v>47.109535788106065</c:v>
                </c:pt>
                <c:pt idx="268">
                  <c:v>46.900522029399873</c:v>
                </c:pt>
                <c:pt idx="269">
                  <c:v>46.687881883446664</c:v>
                </c:pt>
                <c:pt idx="270">
                  <c:v>46.47168747921075</c:v>
                </c:pt>
                <c:pt idx="271">
                  <c:v>46.252010943740608</c:v>
                </c:pt>
                <c:pt idx="272">
                  <c:v>46.028924407597103</c:v>
                </c:pt>
                <c:pt idx="273">
                  <c:v>45.802500001341102</c:v>
                </c:pt>
                <c:pt idx="274">
                  <c:v>45.572123646762755</c:v>
                </c:pt>
                <c:pt idx="275">
                  <c:v>45.337288841498754</c:v>
                </c:pt>
                <c:pt idx="276">
                  <c:v>45.09822906838464</c:v>
                </c:pt>
                <c:pt idx="277">
                  <c:v>44.855177812384703</c:v>
                </c:pt>
                <c:pt idx="278">
                  <c:v>44.608368555190303</c:v>
                </c:pt>
                <c:pt idx="279">
                  <c:v>44.358034781313371</c:v>
                </c:pt>
                <c:pt idx="280">
                  <c:v>44.104409974068403</c:v>
                </c:pt>
                <c:pt idx="281">
                  <c:v>43.847727616557052</c:v>
                </c:pt>
                <c:pt idx="282">
                  <c:v>43.588221192359924</c:v>
                </c:pt>
                <c:pt idx="283">
                  <c:v>43.326124185962335</c:v>
                </c:pt>
                <c:pt idx="284">
                  <c:v>43.061670080199839</c:v>
                </c:pt>
                <c:pt idx="285">
                  <c:v>42.795092358120854</c:v>
                </c:pt>
                <c:pt idx="286">
                  <c:v>42.52662450357208</c:v>
                </c:pt>
                <c:pt idx="287">
                  <c:v>42.25650000013411</c:v>
                </c:pt>
                <c:pt idx="288">
                  <c:v>41.984601949181936</c:v>
                </c:pt>
                <c:pt idx="289">
                  <c:v>41.710586005236422</c:v>
                </c:pt>
                <c:pt idx="290">
                  <c:v>41.434344478430489</c:v>
                </c:pt>
                <c:pt idx="291">
                  <c:v>41.155769678897094</c:v>
                </c:pt>
                <c:pt idx="292">
                  <c:v>40.87475391700864</c:v>
                </c:pt>
                <c:pt idx="293">
                  <c:v>40.591189503722958</c:v>
                </c:pt>
                <c:pt idx="294">
                  <c:v>40.304968749359247</c:v>
                </c:pt>
                <c:pt idx="295">
                  <c:v>40.01598396466246</c:v>
                </c:pt>
                <c:pt idx="296">
                  <c:v>39.724127459153536</c:v>
                </c:pt>
                <c:pt idx="297">
                  <c:v>39.429291545014294</c:v>
                </c:pt>
                <c:pt idx="298">
                  <c:v>39.131368530807748</c:v>
                </c:pt>
                <c:pt idx="299">
                  <c:v>38.830250728343216</c:v>
                </c:pt>
                <c:pt idx="300">
                  <c:v>38.525830447647188</c:v>
                </c:pt>
                <c:pt idx="301">
                  <c:v>38.217999998852612</c:v>
                </c:pt>
                <c:pt idx="302">
                  <c:v>37.903654335758517</c:v>
                </c:pt>
                <c:pt idx="303">
                  <c:v>37.580765305246629</c:v>
                </c:pt>
                <c:pt idx="304">
                  <c:v>37.250840560160576</c:v>
                </c:pt>
                <c:pt idx="305">
                  <c:v>36.915387754461591</c:v>
                </c:pt>
                <c:pt idx="306">
                  <c:v>36.575914540221646</c:v>
                </c:pt>
                <c:pt idx="307">
                  <c:v>36.233928571002821</c:v>
                </c:pt>
                <c:pt idx="308">
                  <c:v>35.890937499329446</c:v>
                </c:pt>
                <c:pt idx="309">
                  <c:v>35.548448978949871</c:v>
                </c:pt>
                <c:pt idx="310">
                  <c:v>35.207970662920602</c:v>
                </c:pt>
                <c:pt idx="311">
                  <c:v>34.871010203446659</c:v>
                </c:pt>
                <c:pt idx="312">
                  <c:v>34.539075255048061</c:v>
                </c:pt>
                <c:pt idx="313">
                  <c:v>34.213673468945288</c:v>
                </c:pt>
                <c:pt idx="314">
                  <c:v>33.896312499498677</c:v>
                </c:pt>
                <c:pt idx="315">
                  <c:v>33.588499999046327</c:v>
                </c:pt>
                <c:pt idx="316">
                  <c:v>33.287041180474418</c:v>
                </c:pt>
                <c:pt idx="317">
                  <c:v>32.988023323672152</c:v>
                </c:pt>
                <c:pt idx="318">
                  <c:v>32.691877186458029</c:v>
                </c:pt>
                <c:pt idx="319">
                  <c:v>32.399033528034174</c:v>
                </c:pt>
                <c:pt idx="320">
                  <c:v>32.10992310440966</c:v>
                </c:pt>
                <c:pt idx="321">
                  <c:v>31.824976676702498</c:v>
                </c:pt>
                <c:pt idx="322">
                  <c:v>31.544624999910592</c:v>
                </c:pt>
                <c:pt idx="323">
                  <c:v>31.269298834034373</c:v>
                </c:pt>
                <c:pt idx="324">
                  <c:v>30.999428936147261</c:v>
                </c:pt>
                <c:pt idx="325">
                  <c:v>30.735446063429116</c:v>
                </c:pt>
                <c:pt idx="326">
                  <c:v>30.477780976731861</c:v>
                </c:pt>
                <c:pt idx="327">
                  <c:v>30.2268644310534</c:v>
                </c:pt>
                <c:pt idx="328">
                  <c:v>29.983127186553816</c:v>
                </c:pt>
                <c:pt idx="329">
                  <c:v>29.746999999135731</c:v>
                </c:pt>
                <c:pt idx="330">
                  <c:v>29.513870171351094</c:v>
                </c:pt>
                <c:pt idx="331">
                  <c:v>29.280058308584351</c:v>
                </c:pt>
                <c:pt idx="332">
                  <c:v>29.047395136845967</c:v>
                </c:pt>
                <c:pt idx="333">
                  <c:v>28.817711371289828</c:v>
                </c:pt>
                <c:pt idx="334">
                  <c:v>28.592837736808825</c:v>
                </c:pt>
                <c:pt idx="335">
                  <c:v>28.37460495531559</c:v>
                </c:pt>
                <c:pt idx="336">
                  <c:v>28.16484375037253</c:v>
                </c:pt>
                <c:pt idx="337">
                  <c:v>27.965384840433085</c:v>
                </c:pt>
                <c:pt idx="338">
                  <c:v>27.778058945387603</c:v>
                </c:pt>
                <c:pt idx="339">
                  <c:v>27.604696795557224</c:v>
                </c:pt>
                <c:pt idx="340">
                  <c:v>27.447129101998041</c:v>
                </c:pt>
                <c:pt idx="341">
                  <c:v>27.307186588219235</c:v>
                </c:pt>
                <c:pt idx="342">
                  <c:v>27.186699982838974</c:v>
                </c:pt>
                <c:pt idx="343">
                  <c:v>27.087499999999999</c:v>
                </c:pt>
                <c:pt idx="344">
                  <c:v>27.007959994354415</c:v>
                </c:pt>
                <c:pt idx="345">
                  <c:v>26.94488840081862</c:v>
                </c:pt>
                <c:pt idx="346">
                  <c:v>26.897768546960187</c:v>
                </c:pt>
                <c:pt idx="347">
                  <c:v>26.866083776525091</c:v>
                </c:pt>
                <c:pt idx="348">
                  <c:v>26.849317430491958</c:v>
                </c:pt>
                <c:pt idx="349">
                  <c:v>26.84695284132447</c:v>
                </c:pt>
                <c:pt idx="350">
                  <c:v>26.858473347127436</c:v>
                </c:pt>
                <c:pt idx="351">
                  <c:v>26.883362288560182</c:v>
                </c:pt>
                <c:pt idx="352">
                  <c:v>26.92110300596271</c:v>
                </c:pt>
                <c:pt idx="353">
                  <c:v>26.971178831585814</c:v>
                </c:pt>
                <c:pt idx="354">
                  <c:v>27.033073105450189</c:v>
                </c:pt>
                <c:pt idx="355">
                  <c:v>27.106269167150771</c:v>
                </c:pt>
                <c:pt idx="356">
                  <c:v>27.1902503510671</c:v>
                </c:pt>
                <c:pt idx="357">
                  <c:v>27.28449999988079</c:v>
                </c:pt>
                <c:pt idx="358">
                  <c:v>27.393446282595399</c:v>
                </c:pt>
                <c:pt idx="359">
                  <c:v>27.520818050801758</c:v>
                </c:pt>
                <c:pt idx="360">
                  <c:v>27.665049654394391</c:v>
                </c:pt>
                <c:pt idx="361">
                  <c:v>27.824575446049373</c:v>
                </c:pt>
                <c:pt idx="362">
                  <c:v>27.997829774767162</c:v>
                </c:pt>
                <c:pt idx="363">
                  <c:v>28.18324699431658</c:v>
                </c:pt>
                <c:pt idx="364">
                  <c:v>28.379261455933253</c:v>
                </c:pt>
                <c:pt idx="365">
                  <c:v>28.584307509462043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25.967841110496515</c:v>
                </c:pt>
                <c:pt idx="2">
                  <c:v>30.270872638205173</c:v>
                </c:pt>
                <c:pt idx="3">
                  <c:v>27.195397538007867</c:v>
                </c:pt>
                <c:pt idx="4">
                  <c:v>29.868700088933423</c:v>
                </c:pt>
                <c:pt idx="5">
                  <c:v>28.521480989437787</c:v>
                </c:pt>
                <c:pt idx="6">
                  <c:v>18.408769498568571</c:v>
                </c:pt>
                <c:pt idx="7">
                  <c:v>20.926751067686602</c:v>
                </c:pt>
                <c:pt idx="8">
                  <c:v>27.858667670277544</c:v>
                </c:pt>
                <c:pt idx="9">
                  <c:v>26.245078874612297</c:v>
                </c:pt>
                <c:pt idx="10">
                  <c:v>30.384642936610089</c:v>
                </c:pt>
                <c:pt idx="11">
                  <c:v>30.267889314428743</c:v>
                </c:pt>
                <c:pt idx="12">
                  <c:v>17.075177344016367</c:v>
                </c:pt>
                <c:pt idx="13">
                  <c:v>31.541619457007879</c:v>
                </c:pt>
                <c:pt idx="14">
                  <c:v>31.364833627737337</c:v>
                </c:pt>
                <c:pt idx="15">
                  <c:v>32.204114318448951</c:v>
                </c:pt>
                <c:pt idx="16">
                  <c:v>21.487958895001182</c:v>
                </c:pt>
                <c:pt idx="17">
                  <c:v>30.961638796552403</c:v>
                </c:pt>
                <c:pt idx="18">
                  <c:v>32.578902251016416</c:v>
                </c:pt>
                <c:pt idx="19">
                  <c:v>19.774595283033769</c:v>
                </c:pt>
                <c:pt idx="20">
                  <c:v>18.089681774090039</c:v>
                </c:pt>
                <c:pt idx="21">
                  <c:v>32.705445690362119</c:v>
                </c:pt>
                <c:pt idx="22">
                  <c:v>32.772948392052989</c:v>
                </c:pt>
                <c:pt idx="23">
                  <c:v>33.084036887792983</c:v>
                </c:pt>
                <c:pt idx="24">
                  <c:v>32.588227286146612</c:v>
                </c:pt>
                <c:pt idx="25">
                  <c:v>33.431556002273844</c:v>
                </c:pt>
                <c:pt idx="26">
                  <c:v>33.12688956731003</c:v>
                </c:pt>
                <c:pt idx="27">
                  <c:v>17.427879917759782</c:v>
                </c:pt>
                <c:pt idx="28">
                  <c:v>22.511927090396647</c:v>
                </c:pt>
                <c:pt idx="29">
                  <c:v>10.423685229998675</c:v>
                </c:pt>
                <c:pt idx="30">
                  <c:v>26.210661022055326</c:v>
                </c:pt>
                <c:pt idx="31">
                  <c:v>29.47119267155292</c:v>
                </c:pt>
                <c:pt idx="32">
                  <c:v>31.55257955620117</c:v>
                </c:pt>
                <c:pt idx="33">
                  <c:v>28.70079034414249</c:v>
                </c:pt>
                <c:pt idx="34">
                  <c:v>29.923583051666235</c:v>
                </c:pt>
                <c:pt idx="35">
                  <c:v>37.591562892350396</c:v>
                </c:pt>
                <c:pt idx="36">
                  <c:v>39.747861870771352</c:v>
                </c:pt>
                <c:pt idx="37">
                  <c:v>25.290736794333089</c:v>
                </c:pt>
                <c:pt idx="38">
                  <c:v>38.92391427435124</c:v>
                </c:pt>
                <c:pt idx="39">
                  <c:v>39.014114888067162</c:v>
                </c:pt>
                <c:pt idx="40">
                  <c:v>36.249913549485477</c:v>
                </c:pt>
                <c:pt idx="41">
                  <c:v>32.069160070810902</c:v>
                </c:pt>
                <c:pt idx="42">
                  <c:v>40.986650074876621</c:v>
                </c:pt>
                <c:pt idx="43">
                  <c:v>42.930559585857665</c:v>
                </c:pt>
                <c:pt idx="44">
                  <c:v>42.898613753230741</c:v>
                </c:pt>
                <c:pt idx="45">
                  <c:v>43.307632323541206</c:v>
                </c:pt>
                <c:pt idx="46">
                  <c:v>43.625435149292962</c:v>
                </c:pt>
                <c:pt idx="47">
                  <c:v>44.343925318135149</c:v>
                </c:pt>
                <c:pt idx="48">
                  <c:v>43.682090944826165</c:v>
                </c:pt>
                <c:pt idx="49">
                  <c:v>40.826390842051637</c:v>
                </c:pt>
                <c:pt idx="50">
                  <c:v>43.218540620250515</c:v>
                </c:pt>
                <c:pt idx="51">
                  <c:v>42.441850727741603</c:v>
                </c:pt>
                <c:pt idx="52">
                  <c:v>42.464770609772728</c:v>
                </c:pt>
                <c:pt idx="53">
                  <c:v>43.491209699160983</c:v>
                </c:pt>
                <c:pt idx="54">
                  <c:v>44.144707241290959</c:v>
                </c:pt>
                <c:pt idx="55">
                  <c:v>44.223095559004854</c:v>
                </c:pt>
                <c:pt idx="56">
                  <c:v>45.671759028125571</c:v>
                </c:pt>
                <c:pt idx="57">
                  <c:v>44.962572405256154</c:v>
                </c:pt>
                <c:pt idx="58">
                  <c:v>37.080698817786207</c:v>
                </c:pt>
                <c:pt idx="59">
                  <c:v>46.69078585834697</c:v>
                </c:pt>
                <c:pt idx="60">
                  <c:v>32.956677810715547</c:v>
                </c:pt>
                <c:pt idx="61">
                  <c:v>44.153749243212872</c:v>
                </c:pt>
                <c:pt idx="62">
                  <c:v>33.323703114447028</c:v>
                </c:pt>
                <c:pt idx="63">
                  <c:v>47.032781812856342</c:v>
                </c:pt>
                <c:pt idx="64">
                  <c:v>24.181479709212134</c:v>
                </c:pt>
                <c:pt idx="65">
                  <c:v>43.018931785268983</c:v>
                </c:pt>
                <c:pt idx="66">
                  <c:v>34.596892262682907</c:v>
                </c:pt>
                <c:pt idx="67">
                  <c:v>44.616353864796501</c:v>
                </c:pt>
                <c:pt idx="68">
                  <c:v>45.293809105395539</c:v>
                </c:pt>
                <c:pt idx="69">
                  <c:v>36.273412618426136</c:v>
                </c:pt>
                <c:pt idx="70">
                  <c:v>43.935491435363161</c:v>
                </c:pt>
                <c:pt idx="71">
                  <c:v>42.800557177693996</c:v>
                </c:pt>
                <c:pt idx="72">
                  <c:v>36.891466840324576</c:v>
                </c:pt>
                <c:pt idx="73">
                  <c:v>34.951737117929945</c:v>
                </c:pt>
                <c:pt idx="74">
                  <c:v>52.275659986289419</c:v>
                </c:pt>
                <c:pt idx="75">
                  <c:v>27.107916637934526</c:v>
                </c:pt>
                <c:pt idx="76">
                  <c:v>38.270489516966428</c:v>
                </c:pt>
                <c:pt idx="77">
                  <c:v>46.831517578729603</c:v>
                </c:pt>
                <c:pt idx="78">
                  <c:v>53.139538604347429</c:v>
                </c:pt>
                <c:pt idx="79">
                  <c:v>53.219933275475654</c:v>
                </c:pt>
                <c:pt idx="80">
                  <c:v>52.117627843898426</c:v>
                </c:pt>
                <c:pt idx="81">
                  <c:v>53.113094499750893</c:v>
                </c:pt>
                <c:pt idx="82">
                  <c:v>52.635831121779191</c:v>
                </c:pt>
                <c:pt idx="83">
                  <c:v>47.578792902284313</c:v>
                </c:pt>
                <c:pt idx="84">
                  <c:v>56.081839676566283</c:v>
                </c:pt>
                <c:pt idx="85">
                  <c:v>55.275486537639232</c:v>
                </c:pt>
                <c:pt idx="86">
                  <c:v>54.062253279945516</c:v>
                </c:pt>
                <c:pt idx="87">
                  <c:v>54.934926813744624</c:v>
                </c:pt>
                <c:pt idx="88">
                  <c:v>56.1503147173473</c:v>
                </c:pt>
                <c:pt idx="89">
                  <c:v>49.506417533337903</c:v>
                </c:pt>
                <c:pt idx="90">
                  <c:v>49.445909039564896</c:v>
                </c:pt>
                <c:pt idx="91">
                  <c:v>44.480418756560418</c:v>
                </c:pt>
                <c:pt idx="92">
                  <c:v>52.947397962650761</c:v>
                </c:pt>
                <c:pt idx="93">
                  <c:v>55.741875297523443</c:v>
                </c:pt>
                <c:pt idx="94">
                  <c:v>58.256884739736201</c:v>
                </c:pt>
                <c:pt idx="95">
                  <c:v>57.685469912803519</c:v>
                </c:pt>
                <c:pt idx="96">
                  <c:v>56.268394657199678</c:v>
                </c:pt>
                <c:pt idx="97">
                  <c:v>56.211155978326396</c:v>
                </c:pt>
                <c:pt idx="98">
                  <c:v>45.992596170964376</c:v>
                </c:pt>
                <c:pt idx="99">
                  <c:v>58.418678511810597</c:v>
                </c:pt>
                <c:pt idx="100">
                  <c:v>56.926003902955259</c:v>
                </c:pt>
                <c:pt idx="101">
                  <c:v>56.893751444283453</c:v>
                </c:pt>
                <c:pt idx="102">
                  <c:v>58.336070770675065</c:v>
                </c:pt>
                <c:pt idx="103">
                  <c:v>56.615625243922842</c:v>
                </c:pt>
                <c:pt idx="104">
                  <c:v>56.990205602590848</c:v>
                </c:pt>
                <c:pt idx="105">
                  <c:v>53.394011325702145</c:v>
                </c:pt>
                <c:pt idx="106">
                  <c:v>57.9078619929616</c:v>
                </c:pt>
                <c:pt idx="107">
                  <c:v>42.269665111428111</c:v>
                </c:pt>
                <c:pt idx="108">
                  <c:v>56.035337326864806</c:v>
                </c:pt>
                <c:pt idx="109">
                  <c:v>54.638540839726012</c:v>
                </c:pt>
                <c:pt idx="110">
                  <c:v>49.293646269634195</c:v>
                </c:pt>
                <c:pt idx="111">
                  <c:v>60.094501166563738</c:v>
                </c:pt>
                <c:pt idx="112">
                  <c:v>60.511949341362161</c:v>
                </c:pt>
                <c:pt idx="113">
                  <c:v>59.112989516648078</c:v>
                </c:pt>
                <c:pt idx="114">
                  <c:v>55.415664195239167</c:v>
                </c:pt>
                <c:pt idx="115">
                  <c:v>57.131017764078706</c:v>
                </c:pt>
                <c:pt idx="116">
                  <c:v>42.107137345692962</c:v>
                </c:pt>
                <c:pt idx="117">
                  <c:v>44.927139058198264</c:v>
                </c:pt>
                <c:pt idx="118">
                  <c:v>53.012856919854819</c:v>
                </c:pt>
                <c:pt idx="119">
                  <c:v>59.629748537925202</c:v>
                </c:pt>
                <c:pt idx="120">
                  <c:v>57.486763345827086</c:v>
                </c:pt>
                <c:pt idx="121">
                  <c:v>52.039309618554178</c:v>
                </c:pt>
                <c:pt idx="122">
                  <c:v>59.632265422182535</c:v>
                </c:pt>
                <c:pt idx="123">
                  <c:v>56.02715044671482</c:v>
                </c:pt>
                <c:pt idx="124">
                  <c:v>58.496922298592779</c:v>
                </c:pt>
                <c:pt idx="125">
                  <c:v>61.787025291973102</c:v>
                </c:pt>
                <c:pt idx="126">
                  <c:v>57.268675300754929</c:v>
                </c:pt>
                <c:pt idx="127">
                  <c:v>59.229596839292704</c:v>
                </c:pt>
                <c:pt idx="128">
                  <c:v>57.01224461808134</c:v>
                </c:pt>
                <c:pt idx="129">
                  <c:v>54.342369074324978</c:v>
                </c:pt>
                <c:pt idx="130">
                  <c:v>58.316115352484751</c:v>
                </c:pt>
                <c:pt idx="131">
                  <c:v>54.342875304504368</c:v>
                </c:pt>
                <c:pt idx="132">
                  <c:v>61.987907498178245</c:v>
                </c:pt>
                <c:pt idx="133">
                  <c:v>60.924968033525275</c:v>
                </c:pt>
                <c:pt idx="134">
                  <c:v>61.115724809852011</c:v>
                </c:pt>
                <c:pt idx="135">
                  <c:v>53.059049152756259</c:v>
                </c:pt>
                <c:pt idx="136">
                  <c:v>56.50310848003005</c:v>
                </c:pt>
                <c:pt idx="137">
                  <c:v>59.62470514235855</c:v>
                </c:pt>
                <c:pt idx="138">
                  <c:v>59.775748831066402</c:v>
                </c:pt>
                <c:pt idx="139">
                  <c:v>61.745336141235896</c:v>
                </c:pt>
                <c:pt idx="140">
                  <c:v>58.246676654523853</c:v>
                </c:pt>
                <c:pt idx="141">
                  <c:v>58.677512490213942</c:v>
                </c:pt>
                <c:pt idx="142">
                  <c:v>53.955691624579302</c:v>
                </c:pt>
                <c:pt idx="143">
                  <c:v>25.770368698840517</c:v>
                </c:pt>
                <c:pt idx="144">
                  <c:v>55.122596698708996</c:v>
                </c:pt>
                <c:pt idx="145">
                  <c:v>58.823190702914935</c:v>
                </c:pt>
                <c:pt idx="146">
                  <c:v>60.55384086599669</c:v>
                </c:pt>
                <c:pt idx="147">
                  <c:v>57.676626455771242</c:v>
                </c:pt>
                <c:pt idx="148">
                  <c:v>60.258802059722235</c:v>
                </c:pt>
                <c:pt idx="149">
                  <c:v>58.524365554999449</c:v>
                </c:pt>
                <c:pt idx="150">
                  <c:v>59.313017833892296</c:v>
                </c:pt>
                <c:pt idx="151">
                  <c:v>60.331915443766647</c:v>
                </c:pt>
                <c:pt idx="152">
                  <c:v>59.300139796564821</c:v>
                </c:pt>
                <c:pt idx="153">
                  <c:v>56.75691511591517</c:v>
                </c:pt>
                <c:pt idx="154">
                  <c:v>57.111684044434135</c:v>
                </c:pt>
                <c:pt idx="155">
                  <c:v>42.716075181662134</c:v>
                </c:pt>
                <c:pt idx="156">
                  <c:v>56.000265625104696</c:v>
                </c:pt>
                <c:pt idx="157">
                  <c:v>55.156942491889488</c:v>
                </c:pt>
                <c:pt idx="158">
                  <c:v>61.487890344452325</c:v>
                </c:pt>
                <c:pt idx="159">
                  <c:v>58.767455716335284</c:v>
                </c:pt>
                <c:pt idx="160">
                  <c:v>58.957156893344319</c:v>
                </c:pt>
                <c:pt idx="161">
                  <c:v>57.354410945411338</c:v>
                </c:pt>
                <c:pt idx="162">
                  <c:v>53.061432092137871</c:v>
                </c:pt>
                <c:pt idx="163">
                  <c:v>61.924411785677407</c:v>
                </c:pt>
                <c:pt idx="164">
                  <c:v>57.572810186062441</c:v>
                </c:pt>
                <c:pt idx="165">
                  <c:v>55.237213915781524</c:v>
                </c:pt>
                <c:pt idx="166">
                  <c:v>59.636866753529013</c:v>
                </c:pt>
                <c:pt idx="167">
                  <c:v>58.647204437041879</c:v>
                </c:pt>
                <c:pt idx="168">
                  <c:v>56.677985927992459</c:v>
                </c:pt>
                <c:pt idx="169">
                  <c:v>57.381175359136755</c:v>
                </c:pt>
                <c:pt idx="170">
                  <c:v>50.746590499850917</c:v>
                </c:pt>
                <c:pt idx="171">
                  <c:v>50.271199376554243</c:v>
                </c:pt>
                <c:pt idx="172">
                  <c:v>58.651325061036623</c:v>
                </c:pt>
                <c:pt idx="173">
                  <c:v>52.717054573900171</c:v>
                </c:pt>
                <c:pt idx="174">
                  <c:v>57.879746381610467</c:v>
                </c:pt>
                <c:pt idx="175">
                  <c:v>56.287194704165557</c:v>
                </c:pt>
                <c:pt idx="176">
                  <c:v>59.196700093726733</c:v>
                </c:pt>
                <c:pt idx="177">
                  <c:v>57.199547222334189</c:v>
                </c:pt>
                <c:pt idx="178">
                  <c:v>57.363171830027696</c:v>
                </c:pt>
                <c:pt idx="179">
                  <c:v>58.273197772555619</c:v>
                </c:pt>
                <c:pt idx="180">
                  <c:v>51.899795502885659</c:v>
                </c:pt>
                <c:pt idx="181">
                  <c:v>55.368807466601659</c:v>
                </c:pt>
                <c:pt idx="182">
                  <c:v>57.180715851959583</c:v>
                </c:pt>
                <c:pt idx="183">
                  <c:v>49.441031489628365</c:v>
                </c:pt>
                <c:pt idx="184">
                  <c:v>55.745011407918014</c:v>
                </c:pt>
                <c:pt idx="185">
                  <c:v>58.767865102105034</c:v>
                </c:pt>
                <c:pt idx="186">
                  <c:v>56.315415913154332</c:v>
                </c:pt>
                <c:pt idx="187">
                  <c:v>56.989181729783134</c:v>
                </c:pt>
                <c:pt idx="188">
                  <c:v>59.606340921073496</c:v>
                </c:pt>
                <c:pt idx="189">
                  <c:v>57.632712414968985</c:v>
                </c:pt>
                <c:pt idx="190">
                  <c:v>57.259532821685092</c:v>
                </c:pt>
                <c:pt idx="191">
                  <c:v>56.244702289420005</c:v>
                </c:pt>
                <c:pt idx="192">
                  <c:v>57.631675116560842</c:v>
                </c:pt>
                <c:pt idx="193">
                  <c:v>55.706325273109343</c:v>
                </c:pt>
                <c:pt idx="194">
                  <c:v>56.367501147703905</c:v>
                </c:pt>
                <c:pt idx="195">
                  <c:v>57.830639820469678</c:v>
                </c:pt>
                <c:pt idx="196">
                  <c:v>57.203978991704709</c:v>
                </c:pt>
                <c:pt idx="197">
                  <c:v>57.205914857920881</c:v>
                </c:pt>
                <c:pt idx="198">
                  <c:v>55.44122686400182</c:v>
                </c:pt>
                <c:pt idx="199">
                  <c:v>57.76277955645417</c:v>
                </c:pt>
                <c:pt idx="200">
                  <c:v>55.682250887635263</c:v>
                </c:pt>
                <c:pt idx="201">
                  <c:v>53.809875905535357</c:v>
                </c:pt>
                <c:pt idx="202">
                  <c:v>54.507643131176636</c:v>
                </c:pt>
                <c:pt idx="203">
                  <c:v>56.297408043792899</c:v>
                </c:pt>
                <c:pt idx="204">
                  <c:v>54.267402568622785</c:v>
                </c:pt>
                <c:pt idx="205">
                  <c:v>54.530894378058939</c:v>
                </c:pt>
                <c:pt idx="206">
                  <c:v>54.739727703954557</c:v>
                </c:pt>
                <c:pt idx="207">
                  <c:v>57.435524145441832</c:v>
                </c:pt>
                <c:pt idx="208">
                  <c:v>52.534108463708804</c:v>
                </c:pt>
                <c:pt idx="209">
                  <c:v>55.721551124095164</c:v>
                </c:pt>
                <c:pt idx="210">
                  <c:v>53.533900381500366</c:v>
                </c:pt>
                <c:pt idx="211">
                  <c:v>55.075837023601316</c:v>
                </c:pt>
                <c:pt idx="212">
                  <c:v>54.998968794704098</c:v>
                </c:pt>
                <c:pt idx="213">
                  <c:v>55.053769932764382</c:v>
                </c:pt>
                <c:pt idx="214">
                  <c:v>53.74274506897126</c:v>
                </c:pt>
                <c:pt idx="215">
                  <c:v>52.735892100965984</c:v>
                </c:pt>
                <c:pt idx="216">
                  <c:v>53.36011340472448</c:v>
                </c:pt>
                <c:pt idx="217">
                  <c:v>54.203152791652954</c:v>
                </c:pt>
                <c:pt idx="218">
                  <c:v>53.636667435087631</c:v>
                </c:pt>
                <c:pt idx="219">
                  <c:v>54.294471719651781</c:v>
                </c:pt>
                <c:pt idx="220">
                  <c:v>54.505372378920782</c:v>
                </c:pt>
                <c:pt idx="221">
                  <c:v>52.854099421104479</c:v>
                </c:pt>
                <c:pt idx="222">
                  <c:v>52.879735063277003</c:v>
                </c:pt>
                <c:pt idx="223">
                  <c:v>51.227825043986797</c:v>
                </c:pt>
                <c:pt idx="224">
                  <c:v>48.536022746732414</c:v>
                </c:pt>
                <c:pt idx="225">
                  <c:v>53.538915966622881</c:v>
                </c:pt>
                <c:pt idx="226">
                  <c:v>53.803189402990363</c:v>
                </c:pt>
                <c:pt idx="227">
                  <c:v>53.769916943030935</c:v>
                </c:pt>
                <c:pt idx="228">
                  <c:v>51.890414604753857</c:v>
                </c:pt>
                <c:pt idx="229">
                  <c:v>49.183966953911138</c:v>
                </c:pt>
                <c:pt idx="230">
                  <c:v>49.967163493960541</c:v>
                </c:pt>
                <c:pt idx="231">
                  <c:v>52.544338316202321</c:v>
                </c:pt>
                <c:pt idx="232">
                  <c:v>51.773522913939907</c:v>
                </c:pt>
                <c:pt idx="233">
                  <c:v>53.717329476513434</c:v>
                </c:pt>
                <c:pt idx="234">
                  <c:v>51.339633290441888</c:v>
                </c:pt>
                <c:pt idx="235">
                  <c:v>51.228164501997107</c:v>
                </c:pt>
                <c:pt idx="236">
                  <c:v>50.680972332086561</c:v>
                </c:pt>
                <c:pt idx="237">
                  <c:v>53.637175533284911</c:v>
                </c:pt>
                <c:pt idx="238">
                  <c:v>51.403994258295555</c:v>
                </c:pt>
                <c:pt idx="239">
                  <c:v>53.343274555388398</c:v>
                </c:pt>
                <c:pt idx="240">
                  <c:v>52.809812213553279</c:v>
                </c:pt>
                <c:pt idx="241">
                  <c:v>51.020688029577649</c:v>
                </c:pt>
                <c:pt idx="242">
                  <c:v>51.639133296774915</c:v>
                </c:pt>
                <c:pt idx="243">
                  <c:v>52.083506608695828</c:v>
                </c:pt>
                <c:pt idx="244">
                  <c:v>50.502495754224739</c:v>
                </c:pt>
                <c:pt idx="245">
                  <c:v>52.236523625300045</c:v>
                </c:pt>
                <c:pt idx="246">
                  <c:v>51.364733019215166</c:v>
                </c:pt>
                <c:pt idx="247">
                  <c:v>50.98450100113412</c:v>
                </c:pt>
                <c:pt idx="248">
                  <c:v>50.093779259666192</c:v>
                </c:pt>
                <c:pt idx="249">
                  <c:v>51.37719632099251</c:v>
                </c:pt>
                <c:pt idx="250">
                  <c:v>49.21838095853591</c:v>
                </c:pt>
                <c:pt idx="251">
                  <c:v>48.849649959056784</c:v>
                </c:pt>
                <c:pt idx="252">
                  <c:v>47.574516743281514</c:v>
                </c:pt>
                <c:pt idx="253">
                  <c:v>48.470044256349112</c:v>
                </c:pt>
                <c:pt idx="254">
                  <c:v>49.547587041399964</c:v>
                </c:pt>
                <c:pt idx="255">
                  <c:v>47.552887947991515</c:v>
                </c:pt>
                <c:pt idx="256">
                  <c:v>47.223329847400791</c:v>
                </c:pt>
                <c:pt idx="257">
                  <c:v>48.01660304214726</c:v>
                </c:pt>
                <c:pt idx="258">
                  <c:v>47.259197332077989</c:v>
                </c:pt>
                <c:pt idx="259">
                  <c:v>50.234869420638525</c:v>
                </c:pt>
                <c:pt idx="260">
                  <c:v>48.590162662386255</c:v>
                </c:pt>
                <c:pt idx="261">
                  <c:v>47.993332219109192</c:v>
                </c:pt>
                <c:pt idx="262">
                  <c:v>49.443507967747351</c:v>
                </c:pt>
                <c:pt idx="263">
                  <c:v>48.360373595586253</c:v>
                </c:pt>
                <c:pt idx="264">
                  <c:v>47.032719072917807</c:v>
                </c:pt>
                <c:pt idx="265">
                  <c:v>46.242324699542912</c:v>
                </c:pt>
                <c:pt idx="266">
                  <c:v>42.341790799167022</c:v>
                </c:pt>
                <c:pt idx="267">
                  <c:v>48.914209724554347</c:v>
                </c:pt>
                <c:pt idx="268">
                  <c:v>47.979649608380406</c:v>
                </c:pt>
                <c:pt idx="269">
                  <c:v>46.988763169188566</c:v>
                </c:pt>
                <c:pt idx="270">
                  <c:v>44.138858996476266</c:v>
                </c:pt>
                <c:pt idx="271">
                  <c:v>45.467806820564945</c:v>
                </c:pt>
                <c:pt idx="272">
                  <c:v>41.385817820684117</c:v>
                </c:pt>
                <c:pt idx="273">
                  <c:v>43.981299080889379</c:v>
                </c:pt>
                <c:pt idx="274">
                  <c:v>47.647904130278036</c:v>
                </c:pt>
                <c:pt idx="275">
                  <c:v>43.351504842538631</c:v>
                </c:pt>
                <c:pt idx="276">
                  <c:v>44.844605022343991</c:v>
                </c:pt>
                <c:pt idx="277">
                  <c:v>44.683643039833356</c:v>
                </c:pt>
                <c:pt idx="278">
                  <c:v>42.282942542755286</c:v>
                </c:pt>
                <c:pt idx="279">
                  <c:v>44.5855001708373</c:v>
                </c:pt>
                <c:pt idx="280">
                  <c:v>41.761638375375632</c:v>
                </c:pt>
                <c:pt idx="281">
                  <c:v>41.511067536404447</c:v>
                </c:pt>
                <c:pt idx="282">
                  <c:v>33.871711557012716</c:v>
                </c:pt>
                <c:pt idx="283">
                  <c:v>43.516621662814977</c:v>
                </c:pt>
                <c:pt idx="284">
                  <c:v>42.807452061099632</c:v>
                </c:pt>
                <c:pt idx="285">
                  <c:v>41.038729599738197</c:v>
                </c:pt>
                <c:pt idx="286">
                  <c:v>44.446308487241133</c:v>
                </c:pt>
                <c:pt idx="287">
                  <c:v>40.810683160447986</c:v>
                </c:pt>
                <c:pt idx="288">
                  <c:v>39.359495276629886</c:v>
                </c:pt>
                <c:pt idx="289">
                  <c:v>39.909622414686694</c:v>
                </c:pt>
                <c:pt idx="290">
                  <c:v>40.636688636439388</c:v>
                </c:pt>
                <c:pt idx="291">
                  <c:v>39.555235344496339</c:v>
                </c:pt>
                <c:pt idx="292">
                  <c:v>32.753589060137877</c:v>
                </c:pt>
                <c:pt idx="293">
                  <c:v>25.301063614108177</c:v>
                </c:pt>
                <c:pt idx="294">
                  <c:v>36.5759320707512</c:v>
                </c:pt>
                <c:pt idx="295">
                  <c:v>40.417600881584974</c:v>
                </c:pt>
                <c:pt idx="296">
                  <c:v>41.588960428568228</c:v>
                </c:pt>
                <c:pt idx="297">
                  <c:v>39.380465592356508</c:v>
                </c:pt>
                <c:pt idx="298">
                  <c:v>38.95254653773808</c:v>
                </c:pt>
                <c:pt idx="299">
                  <c:v>33.191570367929572</c:v>
                </c:pt>
                <c:pt idx="300">
                  <c:v>38.41572407667438</c:v>
                </c:pt>
                <c:pt idx="301">
                  <c:v>30.720187323726929</c:v>
                </c:pt>
                <c:pt idx="302">
                  <c:v>35.207799824990232</c:v>
                </c:pt>
                <c:pt idx="303">
                  <c:v>35.869115091380415</c:v>
                </c:pt>
                <c:pt idx="304">
                  <c:v>32.156200585342432</c:v>
                </c:pt>
                <c:pt idx="305">
                  <c:v>32.355042356085981</c:v>
                </c:pt>
                <c:pt idx="306">
                  <c:v>31.18806335046073</c:v>
                </c:pt>
                <c:pt idx="307">
                  <c:v>29.822160701304174</c:v>
                </c:pt>
                <c:pt idx="308">
                  <c:v>34.533091978208354</c:v>
                </c:pt>
                <c:pt idx="309">
                  <c:v>34.134579731767737</c:v>
                </c:pt>
                <c:pt idx="310">
                  <c:v>32.630609215696907</c:v>
                </c:pt>
                <c:pt idx="311">
                  <c:v>27.419796880522092</c:v>
                </c:pt>
                <c:pt idx="312">
                  <c:v>26.175340990445164</c:v>
                </c:pt>
                <c:pt idx="313">
                  <c:v>26.335268053066518</c:v>
                </c:pt>
                <c:pt idx="314">
                  <c:v>32.851303072778975</c:v>
                </c:pt>
                <c:pt idx="315">
                  <c:v>32.840746587016881</c:v>
                </c:pt>
                <c:pt idx="316">
                  <c:v>31.584962137547372</c:v>
                </c:pt>
                <c:pt idx="317">
                  <c:v>20.754830581758107</c:v>
                </c:pt>
                <c:pt idx="318">
                  <c:v>29.501536808911666</c:v>
                </c:pt>
                <c:pt idx="319">
                  <c:v>31.259740180325817</c:v>
                </c:pt>
                <c:pt idx="320">
                  <c:v>31.482813740825435</c:v>
                </c:pt>
                <c:pt idx="321">
                  <c:v>29.94043779612808</c:v>
                </c:pt>
                <c:pt idx="322">
                  <c:v>31.549585507891482</c:v>
                </c:pt>
                <c:pt idx="323">
                  <c:v>31.724603682982458</c:v>
                </c:pt>
                <c:pt idx="324">
                  <c:v>30.885830486283265</c:v>
                </c:pt>
                <c:pt idx="325">
                  <c:v>31.571381737013635</c:v>
                </c:pt>
                <c:pt idx="326">
                  <c:v>31.553325364511156</c:v>
                </c:pt>
                <c:pt idx="327">
                  <c:v>29.21125181785667</c:v>
                </c:pt>
                <c:pt idx="328">
                  <c:v>27.276647569608237</c:v>
                </c:pt>
                <c:pt idx="329">
                  <c:v>27.777098112719983</c:v>
                </c:pt>
                <c:pt idx="330">
                  <c:v>27.662208875171967</c:v>
                </c:pt>
                <c:pt idx="331">
                  <c:v>20.343286490073936</c:v>
                </c:pt>
                <c:pt idx="332">
                  <c:v>29.549892661364552</c:v>
                </c:pt>
                <c:pt idx="333">
                  <c:v>27.333508248606524</c:v>
                </c:pt>
                <c:pt idx="334">
                  <c:v>28.263329653266126</c:v>
                </c:pt>
                <c:pt idx="335">
                  <c:v>11.458603807529059</c:v>
                </c:pt>
                <c:pt idx="336">
                  <c:v>16.674095051480148</c:v>
                </c:pt>
                <c:pt idx="337">
                  <c:v>22.627987820591123</c:v>
                </c:pt>
                <c:pt idx="338">
                  <c:v>28.775249573433712</c:v>
                </c:pt>
                <c:pt idx="339">
                  <c:v>23.022498392650729</c:v>
                </c:pt>
                <c:pt idx="340">
                  <c:v>23.615013833101326</c:v>
                </c:pt>
                <c:pt idx="341">
                  <c:v>18.625313050324355</c:v>
                </c:pt>
                <c:pt idx="342">
                  <c:v>9.4747658981708156</c:v>
                </c:pt>
                <c:pt idx="343">
                  <c:v>22.134135091685113</c:v>
                </c:pt>
                <c:pt idx="344">
                  <c:v>23.016717284204159</c:v>
                </c:pt>
                <c:pt idx="345">
                  <c:v>26.632515874966092</c:v>
                </c:pt>
                <c:pt idx="346">
                  <c:v>27.848923412804474</c:v>
                </c:pt>
                <c:pt idx="347">
                  <c:v>27.918333223458241</c:v>
                </c:pt>
                <c:pt idx="348">
                  <c:v>27.64680505166011</c:v>
                </c:pt>
                <c:pt idx="349">
                  <c:v>27.611155388131891</c:v>
                </c:pt>
                <c:pt idx="350">
                  <c:v>27.969819213232515</c:v>
                </c:pt>
                <c:pt idx="351">
                  <c:v>28.032685021410803</c:v>
                </c:pt>
                <c:pt idx="352">
                  <c:v>27.478360183893841</c:v>
                </c:pt>
                <c:pt idx="353">
                  <c:v>28.081044157306998</c:v>
                </c:pt>
                <c:pt idx="354">
                  <c:v>24.910992289500552</c:v>
                </c:pt>
                <c:pt idx="355">
                  <c:v>27.058641236912877</c:v>
                </c:pt>
                <c:pt idx="356">
                  <c:v>22.375250435644084</c:v>
                </c:pt>
                <c:pt idx="357">
                  <c:v>26.058366760207068</c:v>
                </c:pt>
                <c:pt idx="358">
                  <c:v>18.791308820692279</c:v>
                </c:pt>
                <c:pt idx="359">
                  <c:v>26.329619230701343</c:v>
                </c:pt>
                <c:pt idx="360">
                  <c:v>27.615988001355355</c:v>
                </c:pt>
                <c:pt idx="361">
                  <c:v>26.692887258732487</c:v>
                </c:pt>
                <c:pt idx="362">
                  <c:v>27.222037432287717</c:v>
                </c:pt>
                <c:pt idx="363">
                  <c:v>27.784365944966957</c:v>
                </c:pt>
                <c:pt idx="364">
                  <c:v>28.039920073924794</c:v>
                </c:pt>
                <c:pt idx="365">
                  <c:v>15.624559392660943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19.600634406666657</c:v>
                </c:pt>
                <c:pt idx="2">
                  <c:v>20.768023752553823</c:v>
                </c:pt>
                <c:pt idx="3">
                  <c:v>21.718078409964704</c:v>
                </c:pt>
                <c:pt idx="4">
                  <c:v>15.329311575882917</c:v>
                </c:pt>
                <c:pt idx="5">
                  <c:v>28.242153612765918</c:v>
                </c:pt>
                <c:pt idx="6">
                  <c:v>10.24276685593966</c:v>
                </c:pt>
                <c:pt idx="7">
                  <c:v>5.9374468104958833</c:v>
                </c:pt>
                <c:pt idx="8">
                  <c:v>1.7656273901798933</c:v>
                </c:pt>
                <c:pt idx="9">
                  <c:v>1.6340118474852492</c:v>
                </c:pt>
                <c:pt idx="10">
                  <c:v>30.384642936610089</c:v>
                </c:pt>
                <c:pt idx="11">
                  <c:v>24.629895614558883</c:v>
                </c:pt>
                <c:pt idx="12">
                  <c:v>5.7470411076867869</c:v>
                </c:pt>
                <c:pt idx="13">
                  <c:v>31.541619457007879</c:v>
                </c:pt>
                <c:pt idx="14">
                  <c:v>31.364833627737337</c:v>
                </c:pt>
                <c:pt idx="15">
                  <c:v>31.023237480348957</c:v>
                </c:pt>
                <c:pt idx="16">
                  <c:v>21.487958895001182</c:v>
                </c:pt>
                <c:pt idx="17">
                  <c:v>4.5943049168525514</c:v>
                </c:pt>
                <c:pt idx="18">
                  <c:v>11.131964007682249</c:v>
                </c:pt>
                <c:pt idx="19">
                  <c:v>6.1453347300192354</c:v>
                </c:pt>
                <c:pt idx="20">
                  <c:v>18.089681774090039</c:v>
                </c:pt>
                <c:pt idx="21">
                  <c:v>32.705445690362119</c:v>
                </c:pt>
                <c:pt idx="22">
                  <c:v>32.772948392052989</c:v>
                </c:pt>
                <c:pt idx="23">
                  <c:v>33.084036887792983</c:v>
                </c:pt>
                <c:pt idx="24">
                  <c:v>32.588227286146612</c:v>
                </c:pt>
                <c:pt idx="25">
                  <c:v>33.431556002273844</c:v>
                </c:pt>
                <c:pt idx="26">
                  <c:v>33.12688956731003</c:v>
                </c:pt>
                <c:pt idx="27">
                  <c:v>4.4843279298598375</c:v>
                </c:pt>
                <c:pt idx="28">
                  <c:v>6.6672213177513679</c:v>
                </c:pt>
                <c:pt idx="29">
                  <c:v>5.4675138211725614</c:v>
                </c:pt>
                <c:pt idx="30">
                  <c:v>7.5029130728774369</c:v>
                </c:pt>
                <c:pt idx="31">
                  <c:v>15.5263678096159</c:v>
                </c:pt>
                <c:pt idx="32">
                  <c:v>5.8425531155631294</c:v>
                </c:pt>
                <c:pt idx="33">
                  <c:v>12.781041294783041</c:v>
                </c:pt>
                <c:pt idx="34">
                  <c:v>12.258682049594766</c:v>
                </c:pt>
                <c:pt idx="35">
                  <c:v>11.582658325123921</c:v>
                </c:pt>
                <c:pt idx="36">
                  <c:v>25.57385089341799</c:v>
                </c:pt>
                <c:pt idx="37">
                  <c:v>10.068137094292277</c:v>
                </c:pt>
                <c:pt idx="38">
                  <c:v>38.92391427435124</c:v>
                </c:pt>
                <c:pt idx="39">
                  <c:v>39.014114888067162</c:v>
                </c:pt>
                <c:pt idx="40">
                  <c:v>36.249913549485477</c:v>
                </c:pt>
                <c:pt idx="41">
                  <c:v>18.239826142257737</c:v>
                </c:pt>
                <c:pt idx="42">
                  <c:v>30.351055816829202</c:v>
                </c:pt>
                <c:pt idx="43">
                  <c:v>37.101391406785993</c:v>
                </c:pt>
                <c:pt idx="44">
                  <c:v>20.574046071191571</c:v>
                </c:pt>
                <c:pt idx="45">
                  <c:v>20.276808675914122</c:v>
                </c:pt>
                <c:pt idx="46">
                  <c:v>8.8179903062377765</c:v>
                </c:pt>
                <c:pt idx="47">
                  <c:v>10.305874390150896</c:v>
                </c:pt>
                <c:pt idx="48">
                  <c:v>33.800413377722457</c:v>
                </c:pt>
                <c:pt idx="49">
                  <c:v>20.604084908841614</c:v>
                </c:pt>
                <c:pt idx="50">
                  <c:v>24.291225533547507</c:v>
                </c:pt>
                <c:pt idx="51">
                  <c:v>23.919988226784163</c:v>
                </c:pt>
                <c:pt idx="52">
                  <c:v>39.189480553865202</c:v>
                </c:pt>
                <c:pt idx="53">
                  <c:v>40.883954864812502</c:v>
                </c:pt>
                <c:pt idx="54">
                  <c:v>23.247419902424795</c:v>
                </c:pt>
                <c:pt idx="55">
                  <c:v>33.824057109722681</c:v>
                </c:pt>
                <c:pt idx="56">
                  <c:v>45.671759028125571</c:v>
                </c:pt>
                <c:pt idx="57">
                  <c:v>31.511050452765282</c:v>
                </c:pt>
                <c:pt idx="58">
                  <c:v>36.517148615076778</c:v>
                </c:pt>
                <c:pt idx="59">
                  <c:v>46.69078585834697</c:v>
                </c:pt>
                <c:pt idx="60">
                  <c:v>11.766590983130653</c:v>
                </c:pt>
                <c:pt idx="61">
                  <c:v>44.153749243212872</c:v>
                </c:pt>
                <c:pt idx="62">
                  <c:v>4.7178454107628172</c:v>
                </c:pt>
                <c:pt idx="63">
                  <c:v>16.776247300240524</c:v>
                </c:pt>
                <c:pt idx="64">
                  <c:v>23.75842852464725</c:v>
                </c:pt>
                <c:pt idx="65">
                  <c:v>36.062504527875966</c:v>
                </c:pt>
                <c:pt idx="66">
                  <c:v>34.596892262682907</c:v>
                </c:pt>
                <c:pt idx="67">
                  <c:v>36.523077878256487</c:v>
                </c:pt>
                <c:pt idx="68">
                  <c:v>26.430603456020346</c:v>
                </c:pt>
                <c:pt idx="69">
                  <c:v>17.621217408480902</c:v>
                </c:pt>
                <c:pt idx="70">
                  <c:v>14.551765860075193</c:v>
                </c:pt>
                <c:pt idx="71">
                  <c:v>13.699299626003569</c:v>
                </c:pt>
                <c:pt idx="72">
                  <c:v>14.474536179453509</c:v>
                </c:pt>
                <c:pt idx="73">
                  <c:v>16.435069972024603</c:v>
                </c:pt>
                <c:pt idx="74">
                  <c:v>11.282315212717785</c:v>
                </c:pt>
                <c:pt idx="75">
                  <c:v>12.218938594213302</c:v>
                </c:pt>
                <c:pt idx="76">
                  <c:v>14.988395570099666</c:v>
                </c:pt>
                <c:pt idx="77">
                  <c:v>34.356725485485107</c:v>
                </c:pt>
                <c:pt idx="78">
                  <c:v>35.426908695526912</c:v>
                </c:pt>
                <c:pt idx="79">
                  <c:v>51.101428665499604</c:v>
                </c:pt>
                <c:pt idx="80">
                  <c:v>45.095959985927358</c:v>
                </c:pt>
                <c:pt idx="81">
                  <c:v>53.113094499750893</c:v>
                </c:pt>
                <c:pt idx="82">
                  <c:v>49.995870204634308</c:v>
                </c:pt>
                <c:pt idx="83">
                  <c:v>45.517386427446546</c:v>
                </c:pt>
                <c:pt idx="84">
                  <c:v>49.44856062299958</c:v>
                </c:pt>
                <c:pt idx="85">
                  <c:v>50.267713214068543</c:v>
                </c:pt>
                <c:pt idx="86">
                  <c:v>38.5646389604237</c:v>
                </c:pt>
                <c:pt idx="87">
                  <c:v>30.393662894812842</c:v>
                </c:pt>
                <c:pt idx="88">
                  <c:v>7.9337941638293952</c:v>
                </c:pt>
                <c:pt idx="89">
                  <c:v>23.620659930229792</c:v>
                </c:pt>
                <c:pt idx="90">
                  <c:v>35.192422424614797</c:v>
                </c:pt>
                <c:pt idx="91">
                  <c:v>21.587074549157638</c:v>
                </c:pt>
                <c:pt idx="92">
                  <c:v>27.57304379053647</c:v>
                </c:pt>
                <c:pt idx="93">
                  <c:v>48.367938175520429</c:v>
                </c:pt>
                <c:pt idx="94">
                  <c:v>55.749023075501469</c:v>
                </c:pt>
                <c:pt idx="95">
                  <c:v>13.090721966504017</c:v>
                </c:pt>
                <c:pt idx="96">
                  <c:v>43.13332491428627</c:v>
                </c:pt>
                <c:pt idx="97">
                  <c:v>34.999301583499047</c:v>
                </c:pt>
                <c:pt idx="98">
                  <c:v>38.203882589479598</c:v>
                </c:pt>
                <c:pt idx="99">
                  <c:v>58.418678511810597</c:v>
                </c:pt>
                <c:pt idx="100">
                  <c:v>48.209125983533745</c:v>
                </c:pt>
                <c:pt idx="101">
                  <c:v>2.7237186009177003</c:v>
                </c:pt>
                <c:pt idx="102">
                  <c:v>0</c:v>
                </c:pt>
                <c:pt idx="103">
                  <c:v>45.770931309511028</c:v>
                </c:pt>
                <c:pt idx="104">
                  <c:v>50.950975652008921</c:v>
                </c:pt>
                <c:pt idx="105">
                  <c:v>45.846447298212112</c:v>
                </c:pt>
                <c:pt idx="106">
                  <c:v>57.9078619929616</c:v>
                </c:pt>
                <c:pt idx="107">
                  <c:v>41.292467000129157</c:v>
                </c:pt>
                <c:pt idx="108">
                  <c:v>9.8832005614533109</c:v>
                </c:pt>
                <c:pt idx="109">
                  <c:v>11.152057259329048</c:v>
                </c:pt>
                <c:pt idx="110">
                  <c:v>10.072995095751898</c:v>
                </c:pt>
                <c:pt idx="111">
                  <c:v>30.464554543362727</c:v>
                </c:pt>
                <c:pt idx="112">
                  <c:v>10.467484730069309</c:v>
                </c:pt>
                <c:pt idx="113">
                  <c:v>26.913564475915901</c:v>
                </c:pt>
                <c:pt idx="114">
                  <c:v>51.069447879528887</c:v>
                </c:pt>
                <c:pt idx="115">
                  <c:v>57.131017764078706</c:v>
                </c:pt>
                <c:pt idx="116">
                  <c:v>42.107137345692962</c:v>
                </c:pt>
                <c:pt idx="117">
                  <c:v>22.640786867120038</c:v>
                </c:pt>
                <c:pt idx="118">
                  <c:v>45.863100669079884</c:v>
                </c:pt>
                <c:pt idx="119">
                  <c:v>44.727224590598759</c:v>
                </c:pt>
                <c:pt idx="120">
                  <c:v>50.079058898702776</c:v>
                </c:pt>
                <c:pt idx="121">
                  <c:v>29.325136919435284</c:v>
                </c:pt>
                <c:pt idx="122">
                  <c:v>33.502354289076841</c:v>
                </c:pt>
                <c:pt idx="123">
                  <c:v>19.755618304290127</c:v>
                </c:pt>
                <c:pt idx="124">
                  <c:v>41.521452308426952</c:v>
                </c:pt>
                <c:pt idx="125">
                  <c:v>38.779379131971552</c:v>
                </c:pt>
                <c:pt idx="126">
                  <c:v>50.206578659133278</c:v>
                </c:pt>
                <c:pt idx="127">
                  <c:v>52.390486017406488</c:v>
                </c:pt>
                <c:pt idx="128">
                  <c:v>57.01224461808134</c:v>
                </c:pt>
                <c:pt idx="129">
                  <c:v>54.342369074324978</c:v>
                </c:pt>
                <c:pt idx="130">
                  <c:v>58.316115352484751</c:v>
                </c:pt>
                <c:pt idx="131">
                  <c:v>44.875387929119093</c:v>
                </c:pt>
                <c:pt idx="132">
                  <c:v>41.091327459049133</c:v>
                </c:pt>
                <c:pt idx="133">
                  <c:v>53.674387822969464</c:v>
                </c:pt>
                <c:pt idx="134">
                  <c:v>54.774530165071951</c:v>
                </c:pt>
                <c:pt idx="135">
                  <c:v>52.748305132463607</c:v>
                </c:pt>
                <c:pt idx="136">
                  <c:v>56.50310848003005</c:v>
                </c:pt>
                <c:pt idx="137">
                  <c:v>54.745563862297679</c:v>
                </c:pt>
                <c:pt idx="138">
                  <c:v>57.211341075321513</c:v>
                </c:pt>
                <c:pt idx="139">
                  <c:v>51.886530929326867</c:v>
                </c:pt>
                <c:pt idx="140">
                  <c:v>52.535081353113085</c:v>
                </c:pt>
                <c:pt idx="141">
                  <c:v>40.160866911316702</c:v>
                </c:pt>
                <c:pt idx="142">
                  <c:v>18.732237475080556</c:v>
                </c:pt>
                <c:pt idx="143">
                  <c:v>17.807847085495325</c:v>
                </c:pt>
                <c:pt idx="144">
                  <c:v>41.564346583645083</c:v>
                </c:pt>
                <c:pt idx="145">
                  <c:v>28.259604850523992</c:v>
                </c:pt>
                <c:pt idx="146">
                  <c:v>45.107442455456855</c:v>
                </c:pt>
                <c:pt idx="147">
                  <c:v>55.621653281949634</c:v>
                </c:pt>
                <c:pt idx="148">
                  <c:v>60.258802059722221</c:v>
                </c:pt>
                <c:pt idx="149">
                  <c:v>50.460823750152436</c:v>
                </c:pt>
                <c:pt idx="150">
                  <c:v>56.110182394191533</c:v>
                </c:pt>
                <c:pt idx="151">
                  <c:v>57.051741610081294</c:v>
                </c:pt>
                <c:pt idx="152">
                  <c:v>45.118937868940172</c:v>
                </c:pt>
                <c:pt idx="153">
                  <c:v>56.75691511591517</c:v>
                </c:pt>
                <c:pt idx="154">
                  <c:v>23.427663424985845</c:v>
                </c:pt>
                <c:pt idx="155">
                  <c:v>33.093439108548779</c:v>
                </c:pt>
                <c:pt idx="156">
                  <c:v>49.683474403449047</c:v>
                </c:pt>
                <c:pt idx="157">
                  <c:v>29.02440182626454</c:v>
                </c:pt>
                <c:pt idx="158">
                  <c:v>21.564407040574888</c:v>
                </c:pt>
                <c:pt idx="159">
                  <c:v>48.074694246406423</c:v>
                </c:pt>
                <c:pt idx="160">
                  <c:v>58.957156893344319</c:v>
                </c:pt>
                <c:pt idx="161">
                  <c:v>57.354410945411338</c:v>
                </c:pt>
                <c:pt idx="162">
                  <c:v>43.896666756542324</c:v>
                </c:pt>
                <c:pt idx="163">
                  <c:v>54.0082563294404</c:v>
                </c:pt>
                <c:pt idx="164">
                  <c:v>51.414637073623524</c:v>
                </c:pt>
                <c:pt idx="165">
                  <c:v>55.237213915781524</c:v>
                </c:pt>
                <c:pt idx="166">
                  <c:v>53.604157017225454</c:v>
                </c:pt>
                <c:pt idx="167">
                  <c:v>54.320960071271735</c:v>
                </c:pt>
                <c:pt idx="168">
                  <c:v>56.177744166818925</c:v>
                </c:pt>
                <c:pt idx="169">
                  <c:v>57.381175359136755</c:v>
                </c:pt>
                <c:pt idx="170">
                  <c:v>36.089866241883058</c:v>
                </c:pt>
                <c:pt idx="171">
                  <c:v>25.480666114180032</c:v>
                </c:pt>
                <c:pt idx="172">
                  <c:v>45.130509388473875</c:v>
                </c:pt>
                <c:pt idx="173">
                  <c:v>44.742509885938702</c:v>
                </c:pt>
                <c:pt idx="174">
                  <c:v>42.611664458113964</c:v>
                </c:pt>
                <c:pt idx="175">
                  <c:v>36.534091306907904</c:v>
                </c:pt>
                <c:pt idx="176">
                  <c:v>11.805478481139795</c:v>
                </c:pt>
                <c:pt idx="177">
                  <c:v>11.070676372202724</c:v>
                </c:pt>
                <c:pt idx="178">
                  <c:v>57.363171830027696</c:v>
                </c:pt>
                <c:pt idx="179">
                  <c:v>58.273197772555612</c:v>
                </c:pt>
                <c:pt idx="180">
                  <c:v>13.191309701835438</c:v>
                </c:pt>
                <c:pt idx="181">
                  <c:v>49.619813478940237</c:v>
                </c:pt>
                <c:pt idx="182">
                  <c:v>57.180715851959583</c:v>
                </c:pt>
                <c:pt idx="183">
                  <c:v>49.403877526347223</c:v>
                </c:pt>
                <c:pt idx="184">
                  <c:v>47.104816161714062</c:v>
                </c:pt>
                <c:pt idx="185">
                  <c:v>57.452353409792387</c:v>
                </c:pt>
                <c:pt idx="186">
                  <c:v>47.000824432667763</c:v>
                </c:pt>
                <c:pt idx="187">
                  <c:v>55.597690124992759</c:v>
                </c:pt>
                <c:pt idx="188">
                  <c:v>58.288044703587232</c:v>
                </c:pt>
                <c:pt idx="189">
                  <c:v>57.632712414968985</c:v>
                </c:pt>
                <c:pt idx="190">
                  <c:v>57.259532821685085</c:v>
                </c:pt>
                <c:pt idx="191">
                  <c:v>55.895490759112093</c:v>
                </c:pt>
                <c:pt idx="192">
                  <c:v>55.417530605897753</c:v>
                </c:pt>
                <c:pt idx="193">
                  <c:v>55.706325273109343</c:v>
                </c:pt>
                <c:pt idx="194">
                  <c:v>54.83996765445707</c:v>
                </c:pt>
                <c:pt idx="195">
                  <c:v>52.588585616184069</c:v>
                </c:pt>
                <c:pt idx="196">
                  <c:v>54.600903546349734</c:v>
                </c:pt>
                <c:pt idx="197">
                  <c:v>54.576609666387114</c:v>
                </c:pt>
                <c:pt idx="198">
                  <c:v>55.44122686400182</c:v>
                </c:pt>
                <c:pt idx="199">
                  <c:v>37.794822301862148</c:v>
                </c:pt>
                <c:pt idx="200">
                  <c:v>43.056370506633705</c:v>
                </c:pt>
                <c:pt idx="201">
                  <c:v>53.809875905535357</c:v>
                </c:pt>
                <c:pt idx="202">
                  <c:v>41.015008518065237</c:v>
                </c:pt>
                <c:pt idx="203">
                  <c:v>45.788919916095956</c:v>
                </c:pt>
                <c:pt idx="204">
                  <c:v>54.267402568622785</c:v>
                </c:pt>
                <c:pt idx="205">
                  <c:v>27.820745055292797</c:v>
                </c:pt>
                <c:pt idx="206">
                  <c:v>53.031986460965605</c:v>
                </c:pt>
                <c:pt idx="207">
                  <c:v>57.435524145441825</c:v>
                </c:pt>
                <c:pt idx="208">
                  <c:v>45.593993602207576</c:v>
                </c:pt>
                <c:pt idx="209">
                  <c:v>30.330830620624173</c:v>
                </c:pt>
                <c:pt idx="210">
                  <c:v>45.777728164891641</c:v>
                </c:pt>
                <c:pt idx="211">
                  <c:v>55.075837023601295</c:v>
                </c:pt>
                <c:pt idx="212">
                  <c:v>54.998968794704105</c:v>
                </c:pt>
                <c:pt idx="213">
                  <c:v>55.053769932764389</c:v>
                </c:pt>
                <c:pt idx="214">
                  <c:v>53.310933840344738</c:v>
                </c:pt>
                <c:pt idx="215">
                  <c:v>52.735892100965984</c:v>
                </c:pt>
                <c:pt idx="216">
                  <c:v>47.533897630981755</c:v>
                </c:pt>
                <c:pt idx="217">
                  <c:v>50.264550602098893</c:v>
                </c:pt>
                <c:pt idx="218">
                  <c:v>53.636667435087631</c:v>
                </c:pt>
                <c:pt idx="219">
                  <c:v>54.294471719651789</c:v>
                </c:pt>
                <c:pt idx="220">
                  <c:v>52.310745238290878</c:v>
                </c:pt>
                <c:pt idx="221">
                  <c:v>50.808867128674677</c:v>
                </c:pt>
                <c:pt idx="222">
                  <c:v>48.071009793780867</c:v>
                </c:pt>
                <c:pt idx="223">
                  <c:v>49.582244836855871</c:v>
                </c:pt>
                <c:pt idx="224">
                  <c:v>38.901768821560161</c:v>
                </c:pt>
                <c:pt idx="225">
                  <c:v>35.630124088738</c:v>
                </c:pt>
                <c:pt idx="226">
                  <c:v>40.420011583535285</c:v>
                </c:pt>
                <c:pt idx="227">
                  <c:v>37.431941658768388</c:v>
                </c:pt>
                <c:pt idx="228">
                  <c:v>27.315710014214972</c:v>
                </c:pt>
                <c:pt idx="229">
                  <c:v>36.359908191250639</c:v>
                </c:pt>
                <c:pt idx="230">
                  <c:v>37.107278707884944</c:v>
                </c:pt>
                <c:pt idx="231">
                  <c:v>52.371260826132868</c:v>
                </c:pt>
                <c:pt idx="232">
                  <c:v>34.786019878556985</c:v>
                </c:pt>
                <c:pt idx="233">
                  <c:v>24.897947549951979</c:v>
                </c:pt>
                <c:pt idx="234">
                  <c:v>48.348929579154834</c:v>
                </c:pt>
                <c:pt idx="235">
                  <c:v>49.918036446295552</c:v>
                </c:pt>
                <c:pt idx="236">
                  <c:v>32.223357437086264</c:v>
                </c:pt>
                <c:pt idx="237">
                  <c:v>44.269379568408723</c:v>
                </c:pt>
                <c:pt idx="238">
                  <c:v>49.743141317244103</c:v>
                </c:pt>
                <c:pt idx="239">
                  <c:v>49.867305784985831</c:v>
                </c:pt>
                <c:pt idx="240">
                  <c:v>35.033381379890734</c:v>
                </c:pt>
                <c:pt idx="241">
                  <c:v>49.542981545972353</c:v>
                </c:pt>
                <c:pt idx="242">
                  <c:v>22.514104281602922</c:v>
                </c:pt>
                <c:pt idx="243">
                  <c:v>45.788845514855822</c:v>
                </c:pt>
                <c:pt idx="244">
                  <c:v>42.703312227292585</c:v>
                </c:pt>
                <c:pt idx="245">
                  <c:v>40.587553312301019</c:v>
                </c:pt>
                <c:pt idx="246">
                  <c:v>48.517417079296372</c:v>
                </c:pt>
                <c:pt idx="247">
                  <c:v>44.543278951165902</c:v>
                </c:pt>
                <c:pt idx="248">
                  <c:v>47.966896694890501</c:v>
                </c:pt>
                <c:pt idx="249">
                  <c:v>38.37027390087529</c:v>
                </c:pt>
                <c:pt idx="250">
                  <c:v>42.099982566525391</c:v>
                </c:pt>
                <c:pt idx="251">
                  <c:v>21.775675560793683</c:v>
                </c:pt>
                <c:pt idx="252">
                  <c:v>47.574516743281514</c:v>
                </c:pt>
                <c:pt idx="253">
                  <c:v>48.470044256349112</c:v>
                </c:pt>
                <c:pt idx="254">
                  <c:v>34.084918170182945</c:v>
                </c:pt>
                <c:pt idx="255">
                  <c:v>12.309680955728936</c:v>
                </c:pt>
                <c:pt idx="256">
                  <c:v>37.23893330688675</c:v>
                </c:pt>
                <c:pt idx="257">
                  <c:v>42.748495472632328</c:v>
                </c:pt>
                <c:pt idx="258">
                  <c:v>28.460622904679099</c:v>
                </c:pt>
                <c:pt idx="259">
                  <c:v>50.234869420638532</c:v>
                </c:pt>
                <c:pt idx="260">
                  <c:v>48.590162662386255</c:v>
                </c:pt>
                <c:pt idx="261">
                  <c:v>47.993332219109192</c:v>
                </c:pt>
                <c:pt idx="262">
                  <c:v>49.443507967747344</c:v>
                </c:pt>
                <c:pt idx="263">
                  <c:v>48.360373595586246</c:v>
                </c:pt>
                <c:pt idx="264">
                  <c:v>47.032719072917807</c:v>
                </c:pt>
                <c:pt idx="265">
                  <c:v>30.99032006737756</c:v>
                </c:pt>
                <c:pt idx="266">
                  <c:v>22.645483393043399</c:v>
                </c:pt>
                <c:pt idx="267">
                  <c:v>33.416305104043943</c:v>
                </c:pt>
                <c:pt idx="268">
                  <c:v>34.922530696756574</c:v>
                </c:pt>
                <c:pt idx="269">
                  <c:v>16.765320446411724</c:v>
                </c:pt>
                <c:pt idx="270">
                  <c:v>16.395800135356733</c:v>
                </c:pt>
                <c:pt idx="271">
                  <c:v>23.634745334690596</c:v>
                </c:pt>
                <c:pt idx="272">
                  <c:v>34.091593668382508</c:v>
                </c:pt>
                <c:pt idx="273">
                  <c:v>41.289111955920816</c:v>
                </c:pt>
                <c:pt idx="274">
                  <c:v>40.662008107388814</c:v>
                </c:pt>
                <c:pt idx="275">
                  <c:v>38.013140964784078</c:v>
                </c:pt>
                <c:pt idx="276">
                  <c:v>44.540481542596019</c:v>
                </c:pt>
                <c:pt idx="277">
                  <c:v>44.486884113475831</c:v>
                </c:pt>
                <c:pt idx="278">
                  <c:v>16.47022968217917</c:v>
                </c:pt>
                <c:pt idx="279">
                  <c:v>32.875793260264075</c:v>
                </c:pt>
                <c:pt idx="280">
                  <c:v>19.001602719309851</c:v>
                </c:pt>
                <c:pt idx="281">
                  <c:v>41.511067536404447</c:v>
                </c:pt>
                <c:pt idx="282">
                  <c:v>33.871711557012716</c:v>
                </c:pt>
                <c:pt idx="283">
                  <c:v>24.140834946010465</c:v>
                </c:pt>
                <c:pt idx="284">
                  <c:v>33.779260638509015</c:v>
                </c:pt>
                <c:pt idx="285">
                  <c:v>24.433364649799664</c:v>
                </c:pt>
                <c:pt idx="286">
                  <c:v>18.245782653219926</c:v>
                </c:pt>
                <c:pt idx="287">
                  <c:v>40.810683160447986</c:v>
                </c:pt>
                <c:pt idx="288">
                  <c:v>36.839528882544421</c:v>
                </c:pt>
                <c:pt idx="289">
                  <c:v>24.792353447037772</c:v>
                </c:pt>
                <c:pt idx="290">
                  <c:v>37.979392090775448</c:v>
                </c:pt>
                <c:pt idx="291">
                  <c:v>16.146755411065023</c:v>
                </c:pt>
                <c:pt idx="292">
                  <c:v>9.2595003610038447</c:v>
                </c:pt>
                <c:pt idx="293">
                  <c:v>16.930906366961629</c:v>
                </c:pt>
                <c:pt idx="294">
                  <c:v>36.5759320707512</c:v>
                </c:pt>
                <c:pt idx="295">
                  <c:v>20.812566824952107</c:v>
                </c:pt>
                <c:pt idx="296">
                  <c:v>27.780673430660183</c:v>
                </c:pt>
                <c:pt idx="297">
                  <c:v>24.531546136367577</c:v>
                </c:pt>
                <c:pt idx="298">
                  <c:v>13.703918326960869</c:v>
                </c:pt>
                <c:pt idx="299">
                  <c:v>15.017313178557293</c:v>
                </c:pt>
                <c:pt idx="300">
                  <c:v>18.924135885025493</c:v>
                </c:pt>
                <c:pt idx="301">
                  <c:v>28.28323794272027</c:v>
                </c:pt>
                <c:pt idx="302">
                  <c:v>23.154525120430296</c:v>
                </c:pt>
                <c:pt idx="303">
                  <c:v>23.942477051266085</c:v>
                </c:pt>
                <c:pt idx="304">
                  <c:v>25.804127343787695</c:v>
                </c:pt>
                <c:pt idx="305">
                  <c:v>32.355042356085981</c:v>
                </c:pt>
                <c:pt idx="306">
                  <c:v>11.236494358590482</c:v>
                </c:pt>
                <c:pt idx="307">
                  <c:v>13.121229664349208</c:v>
                </c:pt>
                <c:pt idx="308">
                  <c:v>34.533091978208354</c:v>
                </c:pt>
                <c:pt idx="309">
                  <c:v>34.134579731767737</c:v>
                </c:pt>
                <c:pt idx="310">
                  <c:v>32.630609215696907</c:v>
                </c:pt>
                <c:pt idx="311">
                  <c:v>22.30763453514459</c:v>
                </c:pt>
                <c:pt idx="312">
                  <c:v>11.790869002146819</c:v>
                </c:pt>
                <c:pt idx="313">
                  <c:v>26.335268053066518</c:v>
                </c:pt>
                <c:pt idx="314">
                  <c:v>32.851303072778975</c:v>
                </c:pt>
                <c:pt idx="315">
                  <c:v>31.370787266100173</c:v>
                </c:pt>
                <c:pt idx="316">
                  <c:v>31.584962137547372</c:v>
                </c:pt>
                <c:pt idx="317">
                  <c:v>11.782776838486676</c:v>
                </c:pt>
                <c:pt idx="318">
                  <c:v>14.07679795684628</c:v>
                </c:pt>
                <c:pt idx="319">
                  <c:v>31.259740180325817</c:v>
                </c:pt>
                <c:pt idx="320">
                  <c:v>16.67517026484051</c:v>
                </c:pt>
                <c:pt idx="321">
                  <c:v>15.224407966224774</c:v>
                </c:pt>
                <c:pt idx="322">
                  <c:v>6.5613743606960933</c:v>
                </c:pt>
                <c:pt idx="323">
                  <c:v>19.464383034706852</c:v>
                </c:pt>
                <c:pt idx="324">
                  <c:v>3.8790757890526639</c:v>
                </c:pt>
                <c:pt idx="325">
                  <c:v>8.5933244388148431</c:v>
                </c:pt>
                <c:pt idx="326">
                  <c:v>13.344046695200472</c:v>
                </c:pt>
                <c:pt idx="327">
                  <c:v>15.770768884329744</c:v>
                </c:pt>
                <c:pt idx="328">
                  <c:v>4.8447630113364237</c:v>
                </c:pt>
                <c:pt idx="329">
                  <c:v>15.047917423550151</c:v>
                </c:pt>
                <c:pt idx="330">
                  <c:v>16.03326980380217</c:v>
                </c:pt>
                <c:pt idx="331">
                  <c:v>10.338627522302779</c:v>
                </c:pt>
                <c:pt idx="332">
                  <c:v>14.561707370770623</c:v>
                </c:pt>
                <c:pt idx="333">
                  <c:v>4.7302068265978177</c:v>
                </c:pt>
                <c:pt idx="334">
                  <c:v>3.825880878451656</c:v>
                </c:pt>
                <c:pt idx="335">
                  <c:v>7.2260296058864304</c:v>
                </c:pt>
                <c:pt idx="336">
                  <c:v>8.1334452149029541</c:v>
                </c:pt>
                <c:pt idx="337">
                  <c:v>22.627987820591123</c:v>
                </c:pt>
                <c:pt idx="338">
                  <c:v>28.775249573433708</c:v>
                </c:pt>
                <c:pt idx="339">
                  <c:v>12.506668126391771</c:v>
                </c:pt>
                <c:pt idx="340">
                  <c:v>22.531650650924487</c:v>
                </c:pt>
                <c:pt idx="341">
                  <c:v>5.1479748272163803</c:v>
                </c:pt>
                <c:pt idx="342">
                  <c:v>6.2689904368309852</c:v>
                </c:pt>
                <c:pt idx="343">
                  <c:v>15.654295918235368</c:v>
                </c:pt>
                <c:pt idx="344">
                  <c:v>19.105658338969846</c:v>
                </c:pt>
                <c:pt idx="345">
                  <c:v>5.625545568552945</c:v>
                </c:pt>
                <c:pt idx="346">
                  <c:v>6.1685453390252247</c:v>
                </c:pt>
                <c:pt idx="347">
                  <c:v>19.010875696690441</c:v>
                </c:pt>
                <c:pt idx="348">
                  <c:v>7.9395347549875934</c:v>
                </c:pt>
                <c:pt idx="349">
                  <c:v>5.3940043629267276</c:v>
                </c:pt>
                <c:pt idx="350">
                  <c:v>3.017407022769385</c:v>
                </c:pt>
                <c:pt idx="351">
                  <c:v>23.889652985705162</c:v>
                </c:pt>
                <c:pt idx="352">
                  <c:v>20.204371685071131</c:v>
                </c:pt>
                <c:pt idx="353">
                  <c:v>4.9075126177942501</c:v>
                </c:pt>
                <c:pt idx="354">
                  <c:v>24.910992289500552</c:v>
                </c:pt>
                <c:pt idx="355">
                  <c:v>19.237278636823216</c:v>
                </c:pt>
                <c:pt idx="356">
                  <c:v>19.848575035020811</c:v>
                </c:pt>
                <c:pt idx="357">
                  <c:v>26.058366760207068</c:v>
                </c:pt>
                <c:pt idx="358">
                  <c:v>15.224093506794103</c:v>
                </c:pt>
                <c:pt idx="359">
                  <c:v>25.198377551287109</c:v>
                </c:pt>
                <c:pt idx="360">
                  <c:v>6.8154166204639104</c:v>
                </c:pt>
                <c:pt idx="361">
                  <c:v>26.692887258732487</c:v>
                </c:pt>
                <c:pt idx="362">
                  <c:v>11.580679167631097</c:v>
                </c:pt>
                <c:pt idx="363">
                  <c:v>16.654588678460939</c:v>
                </c:pt>
                <c:pt idx="364">
                  <c:v>12.583327480473491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30.140999999999998</c:v>
                </c:pt>
                <c:pt idx="21">
                  <c:v>33.686999999999998</c:v>
                </c:pt>
                <c:pt idx="35">
                  <c:v>38.414999999999999</c:v>
                </c:pt>
                <c:pt idx="49">
                  <c:v>43.241500000000002</c:v>
                </c:pt>
                <c:pt idx="63">
                  <c:v>47.673999999999999</c:v>
                </c:pt>
                <c:pt idx="77">
                  <c:v>51.811</c:v>
                </c:pt>
                <c:pt idx="91">
                  <c:v>55.356999999999992</c:v>
                </c:pt>
                <c:pt idx="105">
                  <c:v>57.622500000000002</c:v>
                </c:pt>
                <c:pt idx="119">
                  <c:v>59.1</c:v>
                </c:pt>
                <c:pt idx="133">
                  <c:v>59.690999999999995</c:v>
                </c:pt>
                <c:pt idx="147">
                  <c:v>59.690999999999995</c:v>
                </c:pt>
                <c:pt idx="161">
                  <c:v>59.198500000000003</c:v>
                </c:pt>
                <c:pt idx="175">
                  <c:v>58.114999999999995</c:v>
                </c:pt>
                <c:pt idx="189">
                  <c:v>56.834500000000006</c:v>
                </c:pt>
                <c:pt idx="203">
                  <c:v>55.356999999999992</c:v>
                </c:pt>
                <c:pt idx="217">
                  <c:v>53.879499999999993</c:v>
                </c:pt>
                <c:pt idx="231">
                  <c:v>52.3035</c:v>
                </c:pt>
                <c:pt idx="245">
                  <c:v>50.710347293908853</c:v>
                </c:pt>
                <c:pt idx="259">
                  <c:v>48.642440417059532</c:v>
                </c:pt>
                <c:pt idx="273">
                  <c:v>45.802499999999995</c:v>
                </c:pt>
                <c:pt idx="287">
                  <c:v>42.256500000000003</c:v>
                </c:pt>
                <c:pt idx="301">
                  <c:v>38.218000000000004</c:v>
                </c:pt>
                <c:pt idx="315">
                  <c:v>33.588499999999996</c:v>
                </c:pt>
                <c:pt idx="329">
                  <c:v>29.746999999999996</c:v>
                </c:pt>
                <c:pt idx="343">
                  <c:v>27.087499999999999</c:v>
                </c:pt>
                <c:pt idx="357">
                  <c:v>27.284499999999998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90112"/>
        <c:axId val="534192856"/>
      </c:lineChart>
      <c:dateAx>
        <c:axId val="534190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92856"/>
        <c:crosses val="autoZero"/>
        <c:auto val="1"/>
        <c:lblOffset val="100"/>
        <c:baseTimeUnit val="days"/>
        <c:majorUnit val="1"/>
        <c:majorTimeUnit val="months"/>
      </c:dateAx>
      <c:valAx>
        <c:axId val="534192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901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24.743357470865682</c:v>
                </c:pt>
                <c:pt idx="1">
                  <c:v>24.92343950399178</c:v>
                </c:pt>
                <c:pt idx="2">
                  <c:v>25.108846179831499</c:v>
                </c:pt>
                <c:pt idx="3">
                  <c:v>25.298214910273259</c:v>
                </c:pt>
                <c:pt idx="4">
                  <c:v>25.490183951760365</c:v>
                </c:pt>
                <c:pt idx="5">
                  <c:v>25.68339238530708</c:v>
                </c:pt>
                <c:pt idx="6">
                  <c:v>25.876480109085445</c:v>
                </c:pt>
                <c:pt idx="7">
                  <c:v>26.068087828187117</c:v>
                </c:pt>
                <c:pt idx="8">
                  <c:v>26.25979977835555</c:v>
                </c:pt>
                <c:pt idx="9">
                  <c:v>26.454388271266829</c:v>
                </c:pt>
                <c:pt idx="10">
                  <c:v>26.65210805491563</c:v>
                </c:pt>
                <c:pt idx="11">
                  <c:v>26.853273659619923</c:v>
                </c:pt>
                <c:pt idx="12">
                  <c:v>27.058199309811862</c:v>
                </c:pt>
                <c:pt idx="13">
                  <c:v>27.267198932136164</c:v>
                </c:pt>
                <c:pt idx="14">
                  <c:v>27.480586157467943</c:v>
                </c:pt>
                <c:pt idx="15">
                  <c:v>27.698657477984845</c:v>
                </c:pt>
                <c:pt idx="16">
                  <c:v>27.921527320282149</c:v>
                </c:pt>
                <c:pt idx="17">
                  <c:v>28.1495085798018</c:v>
                </c:pt>
                <c:pt idx="18">
                  <c:v>28.3829139021232</c:v>
                </c:pt>
                <c:pt idx="19">
                  <c:v>28.622055195709102</c:v>
                </c:pt>
                <c:pt idx="20">
                  <c:v>28.86724399555321</c:v>
                </c:pt>
                <c:pt idx="21">
                  <c:v>29.11879207616996</c:v>
                </c:pt>
                <c:pt idx="22">
                  <c:v>29.378448027054638</c:v>
                </c:pt>
                <c:pt idx="23">
                  <c:v>29.646939163213666</c:v>
                </c:pt>
                <c:pt idx="24">
                  <c:v>29.92316233538229</c:v>
                </c:pt>
                <c:pt idx="25">
                  <c:v>30.206087446438882</c:v>
                </c:pt>
                <c:pt idx="26">
                  <c:v>30.494685122929685</c:v>
                </c:pt>
                <c:pt idx="27">
                  <c:v>30.787926724706573</c:v>
                </c:pt>
                <c:pt idx="28">
                  <c:v>31.084784333649694</c:v>
                </c:pt>
                <c:pt idx="29">
                  <c:v>31.384106445140745</c:v>
                </c:pt>
                <c:pt idx="30">
                  <c:v>31.684883135655195</c:v>
                </c:pt>
                <c:pt idx="31">
                  <c:v>31.986088576549413</c:v>
                </c:pt>
                <c:pt idx="32">
                  <c:v>32.286697646451692</c:v>
                </c:pt>
                <c:pt idx="33">
                  <c:v>32.585685927242793</c:v>
                </c:pt>
                <c:pt idx="34">
                  <c:v>32.882029701284118</c:v>
                </c:pt>
                <c:pt idx="35">
                  <c:v>33.174705946689997</c:v>
                </c:pt>
                <c:pt idx="36">
                  <c:v>33.466261870223057</c:v>
                </c:pt>
                <c:pt idx="37">
                  <c:v>33.759608721855457</c:v>
                </c:pt>
                <c:pt idx="38">
                  <c:v>34.054406344920338</c:v>
                </c:pt>
                <c:pt idx="39">
                  <c:v>34.350189005099885</c:v>
                </c:pt>
                <c:pt idx="40">
                  <c:v>34.646491292272216</c:v>
                </c:pt>
                <c:pt idx="41">
                  <c:v>34.942848112869875</c:v>
                </c:pt>
                <c:pt idx="42">
                  <c:v>35.238794684139862</c:v>
                </c:pt>
                <c:pt idx="43">
                  <c:v>35.533872613853902</c:v>
                </c:pt>
                <c:pt idx="44">
                  <c:v>35.827742289512578</c:v>
                </c:pt>
                <c:pt idx="45">
                  <c:v>36.119939924662127</c:v>
                </c:pt>
                <c:pt idx="46">
                  <c:v>36.41000202507513</c:v>
                </c:pt>
                <c:pt idx="47">
                  <c:v>36.697465378103075</c:v>
                </c:pt>
                <c:pt idx="48">
                  <c:v>36.981867045043856</c:v>
                </c:pt>
                <c:pt idx="49">
                  <c:v>37.262744347219787</c:v>
                </c:pt>
                <c:pt idx="50">
                  <c:v>37.540594903543735</c:v>
                </c:pt>
                <c:pt idx="51">
                  <c:v>37.816312199895833</c:v>
                </c:pt>
                <c:pt idx="52">
                  <c:v>38.089997478761411</c:v>
                </c:pt>
                <c:pt idx="53">
                  <c:v>38.361745173859916</c:v>
                </c:pt>
                <c:pt idx="54">
                  <c:v>38.631649334288397</c:v>
                </c:pt>
                <c:pt idx="55">
                  <c:v>38.899803861698466</c:v>
                </c:pt>
                <c:pt idx="56">
                  <c:v>39.166302504409686</c:v>
                </c:pt>
                <c:pt idx="57">
                  <c:v>39.431297052627315</c:v>
                </c:pt>
                <c:pt idx="58">
                  <c:v>39.694874834177995</c:v>
                </c:pt>
                <c:pt idx="59">
                  <c:v>39.95712910868798</c:v>
                </c:pt>
                <c:pt idx="60">
                  <c:v>40.218152958211036</c:v>
                </c:pt>
                <c:pt idx="61">
                  <c:v>40.478039285287629</c:v>
                </c:pt>
                <c:pt idx="62">
                  <c:v>40.736880808664097</c:v>
                </c:pt>
                <c:pt idx="63">
                  <c:v>40.994770062864895</c:v>
                </c:pt>
                <c:pt idx="64">
                  <c:v>41.252170202813289</c:v>
                </c:pt>
                <c:pt idx="65">
                  <c:v>41.509318750357906</c:v>
                </c:pt>
                <c:pt idx="66">
                  <c:v>41.765912052752675</c:v>
                </c:pt>
                <c:pt idx="67">
                  <c:v>42.021671236480117</c:v>
                </c:pt>
                <c:pt idx="68">
                  <c:v>42.276317487812157</c:v>
                </c:pt>
                <c:pt idx="69">
                  <c:v>42.529572057023771</c:v>
                </c:pt>
                <c:pt idx="70">
                  <c:v>42.781156263224474</c:v>
                </c:pt>
                <c:pt idx="71">
                  <c:v>43.030766393040068</c:v>
                </c:pt>
                <c:pt idx="72">
                  <c:v>43.278065544105587</c:v>
                </c:pt>
                <c:pt idx="73">
                  <c:v>43.522775204980732</c:v>
                </c:pt>
                <c:pt idx="74">
                  <c:v>43.764616944504731</c:v>
                </c:pt>
                <c:pt idx="75">
                  <c:v>44.003312422401123</c:v>
                </c:pt>
                <c:pt idx="76">
                  <c:v>44.238583389744001</c:v>
                </c:pt>
                <c:pt idx="77">
                  <c:v>44.470151703414288</c:v>
                </c:pt>
                <c:pt idx="78">
                  <c:v>44.699835902269633</c:v>
                </c:pt>
                <c:pt idx="79">
                  <c:v>44.929196271582484</c:v>
                </c:pt>
                <c:pt idx="80">
                  <c:v>45.157561010973787</c:v>
                </c:pt>
                <c:pt idx="81">
                  <c:v>45.384280868749698</c:v>
                </c:pt>
                <c:pt idx="82">
                  <c:v>45.608706951032389</c:v>
                </c:pt>
                <c:pt idx="83">
                  <c:v>45.830190731470289</c:v>
                </c:pt>
                <c:pt idx="84">
                  <c:v>46.048084063447362</c:v>
                </c:pt>
                <c:pt idx="85">
                  <c:v>46.261721531903433</c:v>
                </c:pt>
                <c:pt idx="86">
                  <c:v>46.470481006994753</c:v>
                </c:pt>
                <c:pt idx="87">
                  <c:v>46.673715539820435</c:v>
                </c:pt>
                <c:pt idx="88">
                  <c:v>46.870778608516403</c:v>
                </c:pt>
                <c:pt idx="89">
                  <c:v>47.061024126844657</c:v>
                </c:pt>
                <c:pt idx="90">
                  <c:v>47.243806464897943</c:v>
                </c:pt>
                <c:pt idx="91">
                  <c:v>47.418480453790885</c:v>
                </c:pt>
                <c:pt idx="92">
                  <c:v>47.585016628261194</c:v>
                </c:pt>
                <c:pt idx="93">
                  <c:v>47.744079636937904</c:v>
                </c:pt>
                <c:pt idx="94">
                  <c:v>47.896141855059945</c:v>
                </c:pt>
                <c:pt idx="95">
                  <c:v>48.041665002963271</c:v>
                </c:pt>
                <c:pt idx="96">
                  <c:v>48.181110510402185</c:v>
                </c:pt>
                <c:pt idx="97">
                  <c:v>48.314939517982758</c:v>
                </c:pt>
                <c:pt idx="98">
                  <c:v>48.443612870279196</c:v>
                </c:pt>
                <c:pt idx="99">
                  <c:v>48.567505193674322</c:v>
                </c:pt>
                <c:pt idx="100">
                  <c:v>48.687094145900026</c:v>
                </c:pt>
                <c:pt idx="101">
                  <c:v>48.802838923195154</c:v>
                </c:pt>
                <c:pt idx="102">
                  <c:v>48.915198346043042</c:v>
                </c:pt>
                <c:pt idx="103">
                  <c:v>49.024630860522862</c:v>
                </c:pt>
                <c:pt idx="104">
                  <c:v>49.13159453366498</c:v>
                </c:pt>
                <c:pt idx="105">
                  <c:v>49.236547046399799</c:v>
                </c:pt>
                <c:pt idx="106">
                  <c:v>49.338994493465428</c:v>
                </c:pt>
                <c:pt idx="107">
                  <c:v>49.437990270250111</c:v>
                </c:pt>
                <c:pt idx="108">
                  <c:v>49.533485612127315</c:v>
                </c:pt>
                <c:pt idx="109">
                  <c:v>49.625385769237766</c:v>
                </c:pt>
                <c:pt idx="110">
                  <c:v>49.713595919060687</c:v>
                </c:pt>
                <c:pt idx="111">
                  <c:v>49.798021249851409</c:v>
                </c:pt>
                <c:pt idx="112">
                  <c:v>49.878567070874489</c:v>
                </c:pt>
                <c:pt idx="113">
                  <c:v>49.955089392579666</c:v>
                </c:pt>
                <c:pt idx="114">
                  <c:v>50.027584701943802</c:v>
                </c:pt>
                <c:pt idx="115">
                  <c:v>50.095959198175009</c:v>
                </c:pt>
                <c:pt idx="116">
                  <c:v>50.160119212358843</c:v>
                </c:pt>
                <c:pt idx="117">
                  <c:v>50.219971219773335</c:v>
                </c:pt>
                <c:pt idx="118">
                  <c:v>50.27542185720953</c:v>
                </c:pt>
                <c:pt idx="119">
                  <c:v>56.284917064653975</c:v>
                </c:pt>
                <c:pt idx="120">
                  <c:v>56.338779379571427</c:v>
                </c:pt>
                <c:pt idx="121">
                  <c:v>56.386896892430642</c:v>
                </c:pt>
                <c:pt idx="122">
                  <c:v>56.429677200264038</c:v>
                </c:pt>
                <c:pt idx="123">
                  <c:v>56.467426343525283</c:v>
                </c:pt>
                <c:pt idx="124">
                  <c:v>56.50045013914432</c:v>
                </c:pt>
                <c:pt idx="125">
                  <c:v>56.529054192485667</c:v>
                </c:pt>
                <c:pt idx="126">
                  <c:v>56.553543912165793</c:v>
                </c:pt>
                <c:pt idx="127">
                  <c:v>56.574220990059459</c:v>
                </c:pt>
                <c:pt idx="128">
                  <c:v>56.591451354648342</c:v>
                </c:pt>
                <c:pt idx="129">
                  <c:v>56.605541223019408</c:v>
                </c:pt>
                <c:pt idx="130">
                  <c:v>56.616796726057871</c:v>
                </c:pt>
                <c:pt idx="131">
                  <c:v>56.625523930081386</c:v>
                </c:pt>
                <c:pt idx="132">
                  <c:v>56.632028846994295</c:v>
                </c:pt>
                <c:pt idx="133">
                  <c:v>56.636617451498701</c:v>
                </c:pt>
                <c:pt idx="134">
                  <c:v>56.638605636614301</c:v>
                </c:pt>
                <c:pt idx="135">
                  <c:v>56.637190411122923</c:v>
                </c:pt>
                <c:pt idx="136">
                  <c:v>56.632534765444952</c:v>
                </c:pt>
                <c:pt idx="137">
                  <c:v>56.624742989474598</c:v>
                </c:pt>
                <c:pt idx="138">
                  <c:v>56.613919585306462</c:v>
                </c:pt>
                <c:pt idx="139">
                  <c:v>56.600169274341177</c:v>
                </c:pt>
                <c:pt idx="140">
                  <c:v>56.583597007307169</c:v>
                </c:pt>
                <c:pt idx="141">
                  <c:v>56.564291423285866</c:v>
                </c:pt>
                <c:pt idx="142">
                  <c:v>56.542362975188091</c:v>
                </c:pt>
                <c:pt idx="143">
                  <c:v>56.5179183986534</c:v>
                </c:pt>
                <c:pt idx="144">
                  <c:v>56.491063484273944</c:v>
                </c:pt>
                <c:pt idx="145">
                  <c:v>56.461904228939687</c:v>
                </c:pt>
                <c:pt idx="146">
                  <c:v>56.43054683700214</c:v>
                </c:pt>
                <c:pt idx="147">
                  <c:v>56.397097711483319</c:v>
                </c:pt>
                <c:pt idx="148">
                  <c:v>56.361629390325085</c:v>
                </c:pt>
                <c:pt idx="149">
                  <c:v>56.324175128589239</c:v>
                </c:pt>
                <c:pt idx="150">
                  <c:v>56.284620842368859</c:v>
                </c:pt>
                <c:pt idx="151">
                  <c:v>56.242871326533042</c:v>
                </c:pt>
                <c:pt idx="152">
                  <c:v>56.19883163837271</c:v>
                </c:pt>
                <c:pt idx="153">
                  <c:v>56.152407074177511</c:v>
                </c:pt>
                <c:pt idx="154">
                  <c:v>56.103503146034072</c:v>
                </c:pt>
                <c:pt idx="155">
                  <c:v>56.052266647150439</c:v>
                </c:pt>
                <c:pt idx="156">
                  <c:v>55.998624514902779</c:v>
                </c:pt>
                <c:pt idx="157">
                  <c:v>55.942486818973919</c:v>
                </c:pt>
                <c:pt idx="158">
                  <c:v>55.883763561650106</c:v>
                </c:pt>
                <c:pt idx="159">
                  <c:v>55.822364640546098</c:v>
                </c:pt>
                <c:pt idx="160">
                  <c:v>55.758199804412705</c:v>
                </c:pt>
                <c:pt idx="161">
                  <c:v>55.691178616838833</c:v>
                </c:pt>
                <c:pt idx="162">
                  <c:v>55.620581869453595</c:v>
                </c:pt>
                <c:pt idx="163">
                  <c:v>55.546127625337853</c:v>
                </c:pt>
                <c:pt idx="164">
                  <c:v>55.468129755864581</c:v>
                </c:pt>
                <c:pt idx="165">
                  <c:v>55.387006272011192</c:v>
                </c:pt>
                <c:pt idx="166">
                  <c:v>55.303174482055447</c:v>
                </c:pt>
                <c:pt idx="167">
                  <c:v>55.217050974403641</c:v>
                </c:pt>
                <c:pt idx="168">
                  <c:v>55.129051589094885</c:v>
                </c:pt>
                <c:pt idx="169">
                  <c:v>55.039692167218817</c:v>
                </c:pt>
                <c:pt idx="170">
                  <c:v>54.949129437416772</c:v>
                </c:pt>
                <c:pt idx="171">
                  <c:v>54.857775552899724</c:v>
                </c:pt>
                <c:pt idx="172">
                  <c:v>54.766041997472605</c:v>
                </c:pt>
                <c:pt idx="173">
                  <c:v>54.674343548305821</c:v>
                </c:pt>
                <c:pt idx="174">
                  <c:v>54.583094566971674</c:v>
                </c:pt>
                <c:pt idx="175">
                  <c:v>54.492704881985418</c:v>
                </c:pt>
                <c:pt idx="176">
                  <c:v>54.402566787095452</c:v>
                </c:pt>
                <c:pt idx="177">
                  <c:v>54.312066335276434</c:v>
                </c:pt>
                <c:pt idx="178">
                  <c:v>54.221102993481011</c:v>
                </c:pt>
                <c:pt idx="179">
                  <c:v>54.129679300048423</c:v>
                </c:pt>
                <c:pt idx="180">
                  <c:v>54.03779726311781</c:v>
                </c:pt>
                <c:pt idx="181">
                  <c:v>53.945458377601021</c:v>
                </c:pt>
                <c:pt idx="182">
                  <c:v>53.852663647871815</c:v>
                </c:pt>
                <c:pt idx="183">
                  <c:v>53.759528452752626</c:v>
                </c:pt>
                <c:pt idx="184">
                  <c:v>53.665946881360668</c:v>
                </c:pt>
                <c:pt idx="185">
                  <c:v>53.571918504774608</c:v>
                </c:pt>
                <c:pt idx="186">
                  <c:v>53.477442515539167</c:v>
                </c:pt>
                <c:pt idx="187">
                  <c:v>53.382517760151096</c:v>
                </c:pt>
                <c:pt idx="188">
                  <c:v>53.287142773439207</c:v>
                </c:pt>
                <c:pt idx="189">
                  <c:v>53.191315813801459</c:v>
                </c:pt>
                <c:pt idx="190">
                  <c:v>53.09459529545115</c:v>
                </c:pt>
                <c:pt idx="191">
                  <c:v>52.996659448612235</c:v>
                </c:pt>
                <c:pt idx="192">
                  <c:v>52.89743804159238</c:v>
                </c:pt>
                <c:pt idx="193">
                  <c:v>52.797131240579709</c:v>
                </c:pt>
                <c:pt idx="194">
                  <c:v>52.69593910590617</c:v>
                </c:pt>
                <c:pt idx="195">
                  <c:v>52.594061609882267</c:v>
                </c:pt>
                <c:pt idx="196">
                  <c:v>52.491698655477407</c:v>
                </c:pt>
                <c:pt idx="197">
                  <c:v>52.38907277589189</c:v>
                </c:pt>
                <c:pt idx="198">
                  <c:v>52.286266396495101</c:v>
                </c:pt>
                <c:pt idx="199">
                  <c:v>52.183479077512089</c:v>
                </c:pt>
                <c:pt idx="200">
                  <c:v>52.080910402258191</c:v>
                </c:pt>
                <c:pt idx="201">
                  <c:v>51.978759982298321</c:v>
                </c:pt>
                <c:pt idx="202">
                  <c:v>51.87722746160685</c:v>
                </c:pt>
                <c:pt idx="203">
                  <c:v>51.776512519485557</c:v>
                </c:pt>
                <c:pt idx="204">
                  <c:v>51.676528501041275</c:v>
                </c:pt>
                <c:pt idx="205">
                  <c:v>51.576981273659797</c:v>
                </c:pt>
                <c:pt idx="206">
                  <c:v>51.477782259428608</c:v>
                </c:pt>
                <c:pt idx="207">
                  <c:v>51.378828245550032</c:v>
                </c:pt>
                <c:pt idx="208">
                  <c:v>51.28001622250121</c:v>
                </c:pt>
                <c:pt idx="209">
                  <c:v>51.181243378982067</c:v>
                </c:pt>
                <c:pt idx="210">
                  <c:v>51.08240709617084</c:v>
                </c:pt>
                <c:pt idx="211">
                  <c:v>50.983322852829431</c:v>
                </c:pt>
                <c:pt idx="212">
                  <c:v>50.883865546614011</c:v>
                </c:pt>
                <c:pt idx="213">
                  <c:v>50.783933059059358</c:v>
                </c:pt>
                <c:pt idx="214">
                  <c:v>50.683423452933546</c:v>
                </c:pt>
                <c:pt idx="215">
                  <c:v>50.582234963169263</c:v>
                </c:pt>
                <c:pt idx="216">
                  <c:v>50.480265986528018</c:v>
                </c:pt>
                <c:pt idx="217">
                  <c:v>50.377415073487903</c:v>
                </c:pt>
                <c:pt idx="218">
                  <c:v>50.273652688054419</c:v>
                </c:pt>
                <c:pt idx="219">
                  <c:v>50.168983758140492</c:v>
                </c:pt>
                <c:pt idx="220">
                  <c:v>50.063496892682814</c:v>
                </c:pt>
                <c:pt idx="221">
                  <c:v>49.957275289029319</c:v>
                </c:pt>
                <c:pt idx="222">
                  <c:v>49.850402154035052</c:v>
                </c:pt>
                <c:pt idx="223">
                  <c:v>49.742960698169213</c:v>
                </c:pt>
                <c:pt idx="224">
                  <c:v>49.635034130511414</c:v>
                </c:pt>
                <c:pt idx="225">
                  <c:v>49.526551128496926</c:v>
                </c:pt>
                <c:pt idx="226">
                  <c:v>49.417677074711783</c:v>
                </c:pt>
                <c:pt idx="227">
                  <c:v>49.308495214517158</c:v>
                </c:pt>
                <c:pt idx="228">
                  <c:v>49.199088786455889</c:v>
                </c:pt>
                <c:pt idx="229">
                  <c:v>49.089541020035924</c:v>
                </c:pt>
                <c:pt idx="230">
                  <c:v>48.97993513488246</c:v>
                </c:pt>
                <c:pt idx="231">
                  <c:v>48.870354339843445</c:v>
                </c:pt>
                <c:pt idx="232">
                  <c:v>48.761688112837277</c:v>
                </c:pt>
                <c:pt idx="233">
                  <c:v>48.65429343825182</c:v>
                </c:pt>
                <c:pt idx="234">
                  <c:v>48.54779017748649</c:v>
                </c:pt>
                <c:pt idx="235">
                  <c:v>48.441710115115512</c:v>
                </c:pt>
                <c:pt idx="236">
                  <c:v>48.335585373607174</c:v>
                </c:pt>
                <c:pt idx="237">
                  <c:v>48.228948476855003</c:v>
                </c:pt>
                <c:pt idx="238">
                  <c:v>48.121332304785462</c:v>
                </c:pt>
                <c:pt idx="239">
                  <c:v>48.012179064603018</c:v>
                </c:pt>
                <c:pt idx="240">
                  <c:v>47.901176065649352</c:v>
                </c:pt>
                <c:pt idx="241">
                  <c:v>47.787857112823986</c:v>
                </c:pt>
                <c:pt idx="242">
                  <c:v>47.671756359420769</c:v>
                </c:pt>
                <c:pt idx="243">
                  <c:v>47.552408310374048</c:v>
                </c:pt>
                <c:pt idx="244">
                  <c:v>47.429347821232604</c:v>
                </c:pt>
                <c:pt idx="245">
                  <c:v>47.302110102521496</c:v>
                </c:pt>
                <c:pt idx="246">
                  <c:v>47.172056161173238</c:v>
                </c:pt>
                <c:pt idx="247">
                  <c:v>47.040621417639471</c:v>
                </c:pt>
                <c:pt idx="248">
                  <c:v>46.907667026978046</c:v>
                </c:pt>
                <c:pt idx="249">
                  <c:v>46.772891091796986</c:v>
                </c:pt>
                <c:pt idx="250">
                  <c:v>46.635991954412816</c:v>
                </c:pt>
                <c:pt idx="251">
                  <c:v>46.496668194704839</c:v>
                </c:pt>
                <c:pt idx="252">
                  <c:v>46.354618636716879</c:v>
                </c:pt>
                <c:pt idx="253">
                  <c:v>46.209528829988024</c:v>
                </c:pt>
                <c:pt idx="254">
                  <c:v>46.061188025700581</c:v>
                </c:pt>
                <c:pt idx="255">
                  <c:v>45.909295506933873</c:v>
                </c:pt>
                <c:pt idx="256">
                  <c:v>45.753550774665889</c:v>
                </c:pt>
                <c:pt idx="257">
                  <c:v>45.593653543487314</c:v>
                </c:pt>
                <c:pt idx="258">
                  <c:v>45.429303747915355</c:v>
                </c:pt>
                <c:pt idx="259">
                  <c:v>45.260201532872145</c:v>
                </c:pt>
                <c:pt idx="260">
                  <c:v>45.086658774013507</c:v>
                </c:pt>
                <c:pt idx="261">
                  <c:v>44.909193731601391</c:v>
                </c:pt>
                <c:pt idx="262">
                  <c:v>44.72790998808766</c:v>
                </c:pt>
                <c:pt idx="263">
                  <c:v>44.542877699727924</c:v>
                </c:pt>
                <c:pt idx="264">
                  <c:v>44.354167013799554</c:v>
                </c:pt>
                <c:pt idx="265">
                  <c:v>44.16184762268351</c:v>
                </c:pt>
                <c:pt idx="266">
                  <c:v>43.965989398206204</c:v>
                </c:pt>
                <c:pt idx="267">
                  <c:v>43.766710900415433</c:v>
                </c:pt>
                <c:pt idx="268">
                  <c:v>43.564095084236214</c:v>
                </c:pt>
                <c:pt idx="269">
                  <c:v>43.358211658322546</c:v>
                </c:pt>
                <c:pt idx="270">
                  <c:v>43.149130279546675</c:v>
                </c:pt>
                <c:pt idx="271">
                  <c:v>42.93692054561577</c:v>
                </c:pt>
                <c:pt idx="272">
                  <c:v>42.721651992823368</c:v>
                </c:pt>
                <c:pt idx="273">
                  <c:v>42.503394085118522</c:v>
                </c:pt>
                <c:pt idx="274">
                  <c:v>42.281578053934886</c:v>
                </c:pt>
                <c:pt idx="275">
                  <c:v>42.055843127007883</c:v>
                </c:pt>
                <c:pt idx="276">
                  <c:v>41.82644656689056</c:v>
                </c:pt>
                <c:pt idx="277">
                  <c:v>41.593606344375956</c:v>
                </c:pt>
                <c:pt idx="278">
                  <c:v>41.357540118257575</c:v>
                </c:pt>
                <c:pt idx="279">
                  <c:v>41.118465230582828</c:v>
                </c:pt>
                <c:pt idx="280">
                  <c:v>40.876598693415637</c:v>
                </c:pt>
                <c:pt idx="281">
                  <c:v>40.632205307141042</c:v>
                </c:pt>
                <c:pt idx="282">
                  <c:v>40.385454655848498</c:v>
                </c:pt>
                <c:pt idx="283">
                  <c:v>40.136562676151144</c:v>
                </c:pt>
                <c:pt idx="284">
                  <c:v>39.885744946963122</c:v>
                </c:pt>
                <c:pt idx="285">
                  <c:v>39.633216688422394</c:v>
                </c:pt>
                <c:pt idx="286">
                  <c:v>39.379192761305085</c:v>
                </c:pt>
                <c:pt idx="287">
                  <c:v>39.123887666673639</c:v>
                </c:pt>
                <c:pt idx="288">
                  <c:v>38.867190313523935</c:v>
                </c:pt>
                <c:pt idx="289">
                  <c:v>38.608792534019202</c:v>
                </c:pt>
                <c:pt idx="290">
                  <c:v>38.348490263507379</c:v>
                </c:pt>
                <c:pt idx="291">
                  <c:v>38.086181916872746</c:v>
                </c:pt>
                <c:pt idx="292">
                  <c:v>37.821765799893861</c:v>
                </c:pt>
                <c:pt idx="293">
                  <c:v>37.555140115835627</c:v>
                </c:pt>
                <c:pt idx="294">
                  <c:v>37.286202971908125</c:v>
                </c:pt>
                <c:pt idx="295">
                  <c:v>37.014837603212712</c:v>
                </c:pt>
                <c:pt idx="296">
                  <c:v>36.740896544755238</c:v>
                </c:pt>
                <c:pt idx="297">
                  <c:v>36.464278067644941</c:v>
                </c:pt>
                <c:pt idx="298">
                  <c:v>36.184881226231084</c:v>
                </c:pt>
                <c:pt idx="299">
                  <c:v>35.902605065854083</c:v>
                </c:pt>
                <c:pt idx="300">
                  <c:v>35.617348627552722</c:v>
                </c:pt>
                <c:pt idx="301">
                  <c:v>35.329010959731647</c:v>
                </c:pt>
                <c:pt idx="302">
                  <c:v>35.034713747421939</c:v>
                </c:pt>
                <c:pt idx="303">
                  <c:v>34.732249397587601</c:v>
                </c:pt>
                <c:pt idx="304">
                  <c:v>34.423008994351797</c:v>
                </c:pt>
                <c:pt idx="305">
                  <c:v>34.108396177638554</c:v>
                </c:pt>
                <c:pt idx="306">
                  <c:v>33.789813918471111</c:v>
                </c:pt>
                <c:pt idx="307">
                  <c:v>33.468664504378204</c:v>
                </c:pt>
                <c:pt idx="308">
                  <c:v>33.146349517983914</c:v>
                </c:pt>
                <c:pt idx="309">
                  <c:v>32.823969146261433</c:v>
                </c:pt>
                <c:pt idx="310">
                  <c:v>32.502943283352195</c:v>
                </c:pt>
                <c:pt idx="311">
                  <c:v>32.184677338687678</c:v>
                </c:pt>
                <c:pt idx="312">
                  <c:v>31.870575820309927</c:v>
                </c:pt>
                <c:pt idx="313">
                  <c:v>31.562042279035936</c:v>
                </c:pt>
                <c:pt idx="314">
                  <c:v>31.260479265154817</c:v>
                </c:pt>
                <c:pt idx="315">
                  <c:v>30.967288276357504</c:v>
                </c:pt>
                <c:pt idx="316">
                  <c:v>30.679519683530398</c:v>
                </c:pt>
                <c:pt idx="317">
                  <c:v>30.393687648677425</c:v>
                </c:pt>
                <c:pt idx="318">
                  <c:v>30.110490463002137</c:v>
                </c:pt>
                <c:pt idx="319">
                  <c:v>29.830324422526552</c:v>
                </c:pt>
                <c:pt idx="320">
                  <c:v>29.553585429306562</c:v>
                </c:pt>
                <c:pt idx="321">
                  <c:v>29.280669010843472</c:v>
                </c:pt>
                <c:pt idx="322">
                  <c:v>29.011970323132466</c:v>
                </c:pt>
                <c:pt idx="323">
                  <c:v>28.748122628595461</c:v>
                </c:pt>
                <c:pt idx="324">
                  <c:v>28.489787289295094</c:v>
                </c:pt>
                <c:pt idx="325">
                  <c:v>28.237349356806902</c:v>
                </c:pt>
                <c:pt idx="326">
                  <c:v>27.991195192490764</c:v>
                </c:pt>
                <c:pt idx="327">
                  <c:v>27.751710835506383</c:v>
                </c:pt>
                <c:pt idx="328">
                  <c:v>27.519281768482148</c:v>
                </c:pt>
                <c:pt idx="329">
                  <c:v>27.29429376316153</c:v>
                </c:pt>
                <c:pt idx="330">
                  <c:v>27.07247534108933</c:v>
                </c:pt>
                <c:pt idx="331">
                  <c:v>26.850670369186506</c:v>
                </c:pt>
                <c:pt idx="332">
                  <c:v>26.630441636885873</c:v>
                </c:pt>
                <c:pt idx="333">
                  <c:v>26.413469646432983</c:v>
                </c:pt>
                <c:pt idx="334">
                  <c:v>26.201434847772298</c:v>
                </c:pt>
                <c:pt idx="335">
                  <c:v>25.996017623997396</c:v>
                </c:pt>
                <c:pt idx="336">
                  <c:v>25.798898285927635</c:v>
                </c:pt>
                <c:pt idx="337">
                  <c:v>25.6117998009763</c:v>
                </c:pt>
                <c:pt idx="338">
                  <c:v>25.436180867957809</c:v>
                </c:pt>
                <c:pt idx="339">
                  <c:v>25.273723429712607</c:v>
                </c:pt>
                <c:pt idx="340">
                  <c:v>25.126109023823602</c:v>
                </c:pt>
                <c:pt idx="341">
                  <c:v>24.995018782830844</c:v>
                </c:pt>
                <c:pt idx="342">
                  <c:v>24.882133396465282</c:v>
                </c:pt>
                <c:pt idx="343">
                  <c:v>24.789133061157195</c:v>
                </c:pt>
                <c:pt idx="344">
                  <c:v>24.714510291959371</c:v>
                </c:pt>
                <c:pt idx="345">
                  <c:v>24.655316278949048</c:v>
                </c:pt>
                <c:pt idx="346">
                  <c:v>24.610701285505048</c:v>
                </c:pt>
                <c:pt idx="347">
                  <c:v>24.580186524310168</c:v>
                </c:pt>
                <c:pt idx="348">
                  <c:v>24.563293339232601</c:v>
                </c:pt>
                <c:pt idx="349">
                  <c:v>24.559543195008768</c:v>
                </c:pt>
                <c:pt idx="350">
                  <c:v>24.568457686096618</c:v>
                </c:pt>
                <c:pt idx="351">
                  <c:v>24.589429033287733</c:v>
                </c:pt>
                <c:pt idx="352">
                  <c:v>24.621938742775814</c:v>
                </c:pt>
                <c:pt idx="353">
                  <c:v>24.665509386084562</c:v>
                </c:pt>
                <c:pt idx="354">
                  <c:v>24.719663514460755</c:v>
                </c:pt>
                <c:pt idx="355">
                  <c:v>24.783923671170459</c:v>
                </c:pt>
                <c:pt idx="356">
                  <c:v>24.857813111682805</c:v>
                </c:pt>
                <c:pt idx="357">
                  <c:v>24.940853903928804</c:v>
                </c:pt>
                <c:pt idx="358">
                  <c:v>25.037119408081626</c:v>
                </c:pt>
                <c:pt idx="359">
                  <c:v>25.150037213601884</c:v>
                </c:pt>
                <c:pt idx="360">
                  <c:v>25.27820325184636</c:v>
                </c:pt>
                <c:pt idx="361">
                  <c:v>25.420301268010583</c:v>
                </c:pt>
                <c:pt idx="362">
                  <c:v>25.57488737565615</c:v>
                </c:pt>
                <c:pt idx="363">
                  <c:v>25.740518376146813</c:v>
                </c:pt>
                <c:pt idx="364">
                  <c:v>25.915751754400141</c:v>
                </c:pt>
                <c:pt idx="365">
                  <c:v>25.329554612632911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8.2840000000000007</c:v>
                </c:pt>
                <c:pt idx="1">
                  <c:v>2.7949999999999999</c:v>
                </c:pt>
                <c:pt idx="2">
                  <c:v>15.364000000000001</c:v>
                </c:pt>
                <c:pt idx="3">
                  <c:v>23.542000000000002</c:v>
                </c:pt>
                <c:pt idx="4">
                  <c:v>9.8780000000000001</c:v>
                </c:pt>
                <c:pt idx="5">
                  <c:v>5.84</c:v>
                </c:pt>
                <c:pt idx="6">
                  <c:v>15.963000000000001</c:v>
                </c:pt>
                <c:pt idx="7">
                  <c:v>6.5289999999999999</c:v>
                </c:pt>
                <c:pt idx="8">
                  <c:v>6.6070000000000002</c:v>
                </c:pt>
                <c:pt idx="9">
                  <c:v>22.715</c:v>
                </c:pt>
                <c:pt idx="10">
                  <c:v>4.5860000000000003</c:v>
                </c:pt>
                <c:pt idx="11">
                  <c:v>22.058</c:v>
                </c:pt>
                <c:pt idx="12">
                  <c:v>12.193</c:v>
                </c:pt>
                <c:pt idx="13">
                  <c:v>17.448</c:v>
                </c:pt>
                <c:pt idx="14">
                  <c:v>6.2039999999999997</c:v>
                </c:pt>
                <c:pt idx="15">
                  <c:v>3.1339999999999999</c:v>
                </c:pt>
                <c:pt idx="16">
                  <c:v>5.6779999999999999</c:v>
                </c:pt>
                <c:pt idx="17">
                  <c:v>19.797000000000001</c:v>
                </c:pt>
                <c:pt idx="18">
                  <c:v>8.9049999999999994</c:v>
                </c:pt>
                <c:pt idx="19">
                  <c:v>17.123999999999999</c:v>
                </c:pt>
                <c:pt idx="20">
                  <c:v>4.7679999999999998</c:v>
                </c:pt>
                <c:pt idx="21">
                  <c:v>28.271735863602522</c:v>
                </c:pt>
                <c:pt idx="22">
                  <c:v>28.329750398433639</c:v>
                </c:pt>
                <c:pt idx="23">
                  <c:v>28.597883623707276</c:v>
                </c:pt>
                <c:pt idx="24">
                  <c:v>28.169349517047515</c:v>
                </c:pt>
                <c:pt idx="25">
                  <c:v>28.896518465947409</c:v>
                </c:pt>
                <c:pt idx="26">
                  <c:v>28.632573296418222</c:v>
                </c:pt>
                <c:pt idx="27">
                  <c:v>3.8791196288629544</c:v>
                </c:pt>
                <c:pt idx="28">
                  <c:v>5.7669740789203727</c:v>
                </c:pt>
                <c:pt idx="29">
                  <c:v>4.7288799003391642</c:v>
                </c:pt>
                <c:pt idx="30">
                  <c:v>6.4887334886635992</c:v>
                </c:pt>
                <c:pt idx="31">
                  <c:v>13.424275033627797</c:v>
                </c:pt>
                <c:pt idx="32">
                  <c:v>5.0517911635817887</c:v>
                </c:pt>
                <c:pt idx="33">
                  <c:v>11.049399872644297</c:v>
                </c:pt>
                <c:pt idx="34">
                  <c:v>10.596771396361479</c:v>
                </c:pt>
                <c:pt idx="35">
                  <c:v>10.011381968437849</c:v>
                </c:pt>
                <c:pt idx="36">
                  <c:v>22.091734609961186</c:v>
                </c:pt>
                <c:pt idx="37">
                  <c:v>8.6999410690446872</c:v>
                </c:pt>
                <c:pt idx="38">
                  <c:v>33.600961855273056</c:v>
                </c:pt>
                <c:pt idx="39">
                  <c:v>33.674165362698311</c:v>
                </c:pt>
                <c:pt idx="40">
                  <c:v>31.28658565252282</c:v>
                </c:pt>
                <c:pt idx="41">
                  <c:v>15.748764087377065</c:v>
                </c:pt>
                <c:pt idx="42">
                  <c:v>26.192361116119617</c:v>
                </c:pt>
                <c:pt idx="43">
                  <c:v>32.006409018740591</c:v>
                </c:pt>
                <c:pt idx="44">
                  <c:v>17.754654378684911</c:v>
                </c:pt>
                <c:pt idx="45">
                  <c:v>17.495562576039038</c:v>
                </c:pt>
                <c:pt idx="46">
                  <c:v>7.6089701465702726</c:v>
                </c:pt>
                <c:pt idx="47">
                  <c:v>8.8914178355127298</c:v>
                </c:pt>
                <c:pt idx="48">
                  <c:v>29.13927754913394</c:v>
                </c:pt>
                <c:pt idx="49">
                  <c:v>17.766651567464663</c:v>
                </c:pt>
                <c:pt idx="50">
                  <c:v>20.940582094094164</c:v>
                </c:pt>
                <c:pt idx="51">
                  <c:v>20.617563323991643</c:v>
                </c:pt>
                <c:pt idx="52">
                  <c:v>33.759455811323498</c:v>
                </c:pt>
                <c:pt idx="53">
                  <c:v>35.212209179430175</c:v>
                </c:pt>
                <c:pt idx="54">
                  <c:v>20.028939868288894</c:v>
                </c:pt>
                <c:pt idx="55">
                  <c:v>29.128547627728882</c:v>
                </c:pt>
                <c:pt idx="56">
                  <c:v>39.313423281198595</c:v>
                </c:pt>
                <c:pt idx="57">
                  <c:v>27.130179319172445</c:v>
                </c:pt>
                <c:pt idx="58">
                  <c:v>31.4315681300051</c:v>
                </c:pt>
                <c:pt idx="59">
                  <c:v>40.172390343395364</c:v>
                </c:pt>
                <c:pt idx="60">
                  <c:v>10.130700777641552</c:v>
                </c:pt>
                <c:pt idx="61">
                  <c:v>37.981185672157842</c:v>
                </c:pt>
                <c:pt idx="62">
                  <c:v>4.060671316506193</c:v>
                </c:pt>
                <c:pt idx="63">
                  <c:v>14.436322708441399</c:v>
                </c:pt>
                <c:pt idx="64">
                  <c:v>20.438302899873477</c:v>
                </c:pt>
                <c:pt idx="65">
                  <c:v>31.009955996942079</c:v>
                </c:pt>
                <c:pt idx="66">
                  <c:v>29.746566415404146</c:v>
                </c:pt>
                <c:pt idx="67">
                  <c:v>31.39716007177174</c:v>
                </c:pt>
                <c:pt idx="68">
                  <c:v>22.72270187814399</c:v>
                </c:pt>
                <c:pt idx="69">
                  <c:v>15.149616965087166</c:v>
                </c:pt>
                <c:pt idx="70">
                  <c:v>12.509474873547706</c:v>
                </c:pt>
                <c:pt idx="71">
                  <c:v>11.774868279203615</c:v>
                </c:pt>
                <c:pt idx="72">
                  <c:v>12.439320346152249</c:v>
                </c:pt>
                <c:pt idx="73">
                  <c:v>14.121766118653095</c:v>
                </c:pt>
                <c:pt idx="74">
                  <c:v>9.693011477550435</c:v>
                </c:pt>
                <c:pt idx="75">
                  <c:v>10.496104333591688</c:v>
                </c:pt>
                <c:pt idx="76">
                  <c:v>12.873121656003292</c:v>
                </c:pt>
                <c:pt idx="77">
                  <c:v>29.495946928647204</c:v>
                </c:pt>
                <c:pt idx="78">
                  <c:v>30.410041384253145</c:v>
                </c:pt>
                <c:pt idx="79">
                  <c:v>43.850108898785038</c:v>
                </c:pt>
                <c:pt idx="80">
                  <c:v>38.694462190418363</c:v>
                </c:pt>
                <c:pt idx="81">
                  <c:v>45.563180332455644</c:v>
                </c:pt>
                <c:pt idx="82">
                  <c:v>42.884611668597657</c:v>
                </c:pt>
                <c:pt idx="83">
                  <c:v>39.03955117310948</c:v>
                </c:pt>
                <c:pt idx="84">
                  <c:v>42.403512602558372</c:v>
                </c:pt>
                <c:pt idx="85">
                  <c:v>43.099433416221196</c:v>
                </c:pt>
                <c:pt idx="86">
                  <c:v>33.064100392695032</c:v>
                </c:pt>
                <c:pt idx="87">
                  <c:v>26.056582929616415</c:v>
                </c:pt>
                <c:pt idx="88">
                  <c:v>6.8014544797887515</c:v>
                </c:pt>
                <c:pt idx="89">
                  <c:v>20.244952402194016</c:v>
                </c:pt>
                <c:pt idx="90">
                  <c:v>30.155268970884933</c:v>
                </c:pt>
                <c:pt idx="91">
                  <c:v>18.49638644078891</c:v>
                </c:pt>
                <c:pt idx="92">
                  <c:v>23.62038618896144</c:v>
                </c:pt>
                <c:pt idx="93">
                  <c:v>41.420938658998082</c:v>
                </c:pt>
                <c:pt idx="94">
                  <c:v>47.731520341707309</c:v>
                </c:pt>
                <c:pt idx="95">
                  <c:v>11.209487942555636</c:v>
                </c:pt>
                <c:pt idx="96">
                  <c:v>36.921374729388653</c:v>
                </c:pt>
                <c:pt idx="97">
                  <c:v>29.955478317582006</c:v>
                </c:pt>
                <c:pt idx="98">
                  <c:v>32.691846520385546</c:v>
                </c:pt>
                <c:pt idx="99">
                  <c:v>49.974532961127281</c:v>
                </c:pt>
                <c:pt idx="100">
                  <c:v>41.235876352942604</c:v>
                </c:pt>
                <c:pt idx="101">
                  <c:v>2.329860299859007</c:v>
                </c:pt>
                <c:pt idx="102">
                  <c:v>0</c:v>
                </c:pt>
                <c:pt idx="103">
                  <c:v>39.129117239229949</c:v>
                </c:pt>
                <c:pt idx="104">
                  <c:v>43.54715954615844</c:v>
                </c:pt>
                <c:pt idx="105">
                  <c:v>39.178282461433056</c:v>
                </c:pt>
                <c:pt idx="106">
                  <c:v>49.470094056278036</c:v>
                </c:pt>
                <c:pt idx="107">
                  <c:v>35.273785125952422</c:v>
                </c:pt>
                <c:pt idx="108">
                  <c:v>8.4429434857268593</c:v>
                </c:pt>
                <c:pt idx="109">
                  <c:v>9.5250152745295953</c:v>
                </c:pt>
                <c:pt idx="110">
                  <c:v>8.6016688899140767</c:v>
                </c:pt>
                <c:pt idx="111">
                  <c:v>26.005274968830673</c:v>
                </c:pt>
                <c:pt idx="112">
                  <c:v>8.9349101064069885</c:v>
                </c:pt>
                <c:pt idx="113">
                  <c:v>22.96525088868286</c:v>
                </c:pt>
                <c:pt idx="114">
                  <c:v>43.551686930447481</c:v>
                </c:pt>
                <c:pt idx="115">
                  <c:v>48.703968039607936</c:v>
                </c:pt>
                <c:pt idx="116">
                  <c:v>35.896369846338374</c:v>
                </c:pt>
                <c:pt idx="117">
                  <c:v>19.303668675651831</c:v>
                </c:pt>
                <c:pt idx="118">
                  <c:v>39.075934261396377</c:v>
                </c:pt>
                <c:pt idx="119">
                  <c:v>42.61006518674256</c:v>
                </c:pt>
                <c:pt idx="120">
                  <c:v>47.692166276736721</c:v>
                </c:pt>
                <c:pt idx="121">
                  <c:v>27.935354045942464</c:v>
                </c:pt>
                <c:pt idx="122">
                  <c:v>31.904694129518024</c:v>
                </c:pt>
                <c:pt idx="123">
                  <c:v>18.816888671740546</c:v>
                </c:pt>
                <c:pt idx="124">
                  <c:v>39.515322601180699</c:v>
                </c:pt>
                <c:pt idx="125">
                  <c:v>36.900588537441394</c:v>
                </c:pt>
                <c:pt idx="126">
                  <c:v>47.745042626101842</c:v>
                </c:pt>
                <c:pt idx="127">
                  <c:v>49.805589697953138</c:v>
                </c:pt>
                <c:pt idx="128">
                  <c:v>54.1759974536307</c:v>
                </c:pt>
                <c:pt idx="129">
                  <c:v>51.630617901414752</c:v>
                </c:pt>
                <c:pt idx="130">
                  <c:v>55.382147129568587</c:v>
                </c:pt>
                <c:pt idx="131">
                  <c:v>42.631240763778379</c:v>
                </c:pt>
                <c:pt idx="132">
                  <c:v>39.033595024323667</c:v>
                </c:pt>
                <c:pt idx="133">
                  <c:v>50.942852782232592</c:v>
                </c:pt>
                <c:pt idx="134">
                  <c:v>51.969838879408591</c:v>
                </c:pt>
                <c:pt idx="135">
                  <c:v>50.038839026901954</c:v>
                </c:pt>
                <c:pt idx="136">
                  <c:v>53.574674703583348</c:v>
                </c:pt>
                <c:pt idx="137">
                  <c:v>51.898670775906901</c:v>
                </c:pt>
                <c:pt idx="138">
                  <c:v>54.212595712103841</c:v>
                </c:pt>
                <c:pt idx="139">
                  <c:v>49.169217205270428</c:v>
                </c:pt>
                <c:pt idx="140">
                  <c:v>49.767681288102715</c:v>
                </c:pt>
                <c:pt idx="141">
                  <c:v>38.067101901147659</c:v>
                </c:pt>
                <c:pt idx="142">
                  <c:v>17.778608720467744</c:v>
                </c:pt>
                <c:pt idx="143">
                  <c:v>16.899099761351689</c:v>
                </c:pt>
                <c:pt idx="144">
                  <c:v>39.363151415871762</c:v>
                </c:pt>
                <c:pt idx="145">
                  <c:v>26.784756774276218</c:v>
                </c:pt>
                <c:pt idx="146">
                  <c:v>42.683698569554466</c:v>
                </c:pt>
                <c:pt idx="147">
                  <c:v>52.570779619368281</c:v>
                </c:pt>
                <c:pt idx="148">
                  <c:v>56.915508196123945</c:v>
                </c:pt>
                <c:pt idx="149">
                  <c:v>47.686520196273023</c:v>
                </c:pt>
                <c:pt idx="150">
                  <c:v>52.981219658233805</c:v>
                </c:pt>
                <c:pt idx="151">
                  <c:v>53.848604723109126</c:v>
                </c:pt>
                <c:pt idx="152">
                  <c:v>42.624128102869783</c:v>
                </c:pt>
                <c:pt idx="153">
                  <c:v>53.538442381588759</c:v>
                </c:pt>
                <c:pt idx="154">
                  <c:v>22.171952772017249</c:v>
                </c:pt>
                <c:pt idx="155">
                  <c:v>31.279493648142626</c:v>
                </c:pt>
                <c:pt idx="156">
                  <c:v>46.860401104188171</c:v>
                </c:pt>
                <c:pt idx="157">
                  <c:v>27.433689135481082</c:v>
                </c:pt>
                <c:pt idx="158">
                  <c:v>20.396284319118994</c:v>
                </c:pt>
                <c:pt idx="159">
                  <c:v>45.314255027890283</c:v>
                </c:pt>
                <c:pt idx="160">
                  <c:v>55.481808181073099</c:v>
                </c:pt>
                <c:pt idx="161">
                  <c:v>53.96897954925619</c:v>
                </c:pt>
                <c:pt idx="162">
                  <c:v>41.366032938018904</c:v>
                </c:pt>
                <c:pt idx="163">
                  <c:v>50.814642675556932</c:v>
                </c:pt>
                <c:pt idx="164">
                  <c:v>48.378530835141717</c:v>
                </c:pt>
                <c:pt idx="165">
                  <c:v>51.935433576804137</c:v>
                </c:pt>
                <c:pt idx="166">
                  <c:v>50.398538290320928</c:v>
                </c:pt>
                <c:pt idx="167">
                  <c:v>51.054890440273034</c:v>
                </c:pt>
                <c:pt idx="168">
                  <c:v>52.773579290532638</c:v>
                </c:pt>
                <c:pt idx="169">
                  <c:v>53.8822089136888</c:v>
                </c:pt>
                <c:pt idx="170">
                  <c:v>33.984867770476257</c:v>
                </c:pt>
                <c:pt idx="171">
                  <c:v>24.026512359646219</c:v>
                </c:pt>
                <c:pt idx="172">
                  <c:v>42.425093282809435</c:v>
                </c:pt>
                <c:pt idx="173">
                  <c:v>42.054038025980098</c:v>
                </c:pt>
                <c:pt idx="174">
                  <c:v>40.055715488321169</c:v>
                </c:pt>
                <c:pt idx="175">
                  <c:v>34.366977992922322</c:v>
                </c:pt>
                <c:pt idx="176">
                  <c:v>11.135149883755803</c:v>
                </c:pt>
                <c:pt idx="177">
                  <c:v>10.440309752034052</c:v>
                </c:pt>
                <c:pt idx="178">
                  <c:v>53.762117765521211</c:v>
                </c:pt>
                <c:pt idx="179">
                  <c:v>54.60188224352504</c:v>
                </c:pt>
                <c:pt idx="180">
                  <c:v>12.433986893858984</c:v>
                </c:pt>
                <c:pt idx="181">
                  <c:v>46.535128064093598</c:v>
                </c:pt>
                <c:pt idx="182">
                  <c:v>53.556774021318986</c:v>
                </c:pt>
                <c:pt idx="183">
                  <c:v>46.319977228174537</c:v>
                </c:pt>
                <c:pt idx="184">
                  <c:v>44.17332389757393</c:v>
                </c:pt>
                <c:pt idx="185">
                  <c:v>53.789026489456994</c:v>
                </c:pt>
                <c:pt idx="186">
                  <c:v>44.064813169033926</c:v>
                </c:pt>
                <c:pt idx="187">
                  <c:v>52.053119521777809</c:v>
                </c:pt>
                <c:pt idx="188">
                  <c:v>54.555895126257859</c:v>
                </c:pt>
                <c:pt idx="189">
                  <c:v>53.9383615104733</c:v>
                </c:pt>
                <c:pt idx="190">
                  <c:v>53.585442351658088</c:v>
                </c:pt>
                <c:pt idx="191">
                  <c:v>52.311138373847207</c:v>
                </c:pt>
                <c:pt idx="192">
                  <c:v>51.863471535240485</c:v>
                </c:pt>
                <c:pt idx="193">
                  <c:v>52.128110283381687</c:v>
                </c:pt>
                <c:pt idx="194">
                  <c:v>51.319917783108068</c:v>
                </c:pt>
                <c:pt idx="195">
                  <c:v>49.224264794810615</c:v>
                </c:pt>
                <c:pt idx="196">
                  <c:v>51.09145717577119</c:v>
                </c:pt>
                <c:pt idx="197">
                  <c:v>51.066010196051913</c:v>
                </c:pt>
                <c:pt idx="198">
                  <c:v>51.866728489608477</c:v>
                </c:pt>
                <c:pt idx="199">
                  <c:v>35.43092095183092</c:v>
                </c:pt>
                <c:pt idx="200">
                  <c:v>40.334757772848533</c:v>
                </c:pt>
                <c:pt idx="201">
                  <c:v>50.342684611426535</c:v>
                </c:pt>
                <c:pt idx="202">
                  <c:v>38.425215354579429</c:v>
                </c:pt>
                <c:pt idx="203">
                  <c:v>42.871922570213194</c:v>
                </c:pt>
                <c:pt idx="204">
                  <c:v>50.761223618591245</c:v>
                </c:pt>
                <c:pt idx="205">
                  <c:v>26.0934901534525</c:v>
                </c:pt>
                <c:pt idx="206">
                  <c:v>49.607796031383188</c:v>
                </c:pt>
                <c:pt idx="207">
                  <c:v>53.714814779185666</c:v>
                </c:pt>
                <c:pt idx="208">
                  <c:v>42.67676294793975</c:v>
                </c:pt>
                <c:pt idx="209">
                  <c:v>28.428413901633665</c:v>
                </c:pt>
                <c:pt idx="210">
                  <c:v>42.843077464142418</c:v>
                </c:pt>
                <c:pt idx="211">
                  <c:v>51.503474897546752</c:v>
                </c:pt>
                <c:pt idx="212">
                  <c:v>51.430461138863933</c:v>
                </c:pt>
                <c:pt idx="213">
                  <c:v>51.480530342012059</c:v>
                </c:pt>
                <c:pt idx="214">
                  <c:v>49.853059899576742</c:v>
                </c:pt>
                <c:pt idx="215">
                  <c:v>49.315688445299024</c:v>
                </c:pt>
                <c:pt idx="216">
                  <c:v>44.465926264362935</c:v>
                </c:pt>
                <c:pt idx="217">
                  <c:v>47.009068627140067</c:v>
                </c:pt>
                <c:pt idx="218">
                  <c:v>50.149426353095393</c:v>
                </c:pt>
                <c:pt idx="219">
                  <c:v>50.76248422602081</c:v>
                </c:pt>
                <c:pt idx="220">
                  <c:v>48.909829911634901</c:v>
                </c:pt>
                <c:pt idx="221">
                  <c:v>47.507531299276728</c:v>
                </c:pt>
                <c:pt idx="222">
                  <c:v>44.95198570552698</c:v>
                </c:pt>
                <c:pt idx="223">
                  <c:v>46.358714369341818</c:v>
                </c:pt>
                <c:pt idx="224">
                  <c:v>36.389724450863007</c:v>
                </c:pt>
                <c:pt idx="225">
                  <c:v>33.331501569126594</c:v>
                </c:pt>
                <c:pt idx="226">
                  <c:v>37.800515484982789</c:v>
                </c:pt>
                <c:pt idx="227">
                  <c:v>35.007362027780189</c:v>
                </c:pt>
                <c:pt idx="228">
                  <c:v>25.554272018012252</c:v>
                </c:pt>
                <c:pt idx="229">
                  <c:v>33.999294426156332</c:v>
                </c:pt>
                <c:pt idx="230">
                  <c:v>34.693497988891167</c:v>
                </c:pt>
                <c:pt idx="231">
                  <c:v>48.933667417988204</c:v>
                </c:pt>
                <c:pt idx="232">
                  <c:v>32.518621700880274</c:v>
                </c:pt>
                <c:pt idx="233">
                  <c:v>23.279476339862089</c:v>
                </c:pt>
                <c:pt idx="234">
                  <c:v>45.168448829899518</c:v>
                </c:pt>
                <c:pt idx="235">
                  <c:v>46.627260048826955</c:v>
                </c:pt>
                <c:pt idx="236">
                  <c:v>30.110235363131149</c:v>
                </c:pt>
                <c:pt idx="237">
                  <c:v>41.347704704900529</c:v>
                </c:pt>
                <c:pt idx="238">
                  <c:v>46.447871203820647</c:v>
                </c:pt>
                <c:pt idx="239">
                  <c:v>46.557616690348368</c:v>
                </c:pt>
                <c:pt idx="240">
                  <c:v>32.715498630542164</c:v>
                </c:pt>
                <c:pt idx="241">
                  <c:v>46.242503876294492</c:v>
                </c:pt>
                <c:pt idx="242">
                  <c:v>21.02446065467965</c:v>
                </c:pt>
                <c:pt idx="243">
                  <c:v>42.729627501310098</c:v>
                </c:pt>
                <c:pt idx="244">
                  <c:v>39.846920438047398</c:v>
                </c:pt>
                <c:pt idx="245">
                  <c:v>37.868515746376289</c:v>
                </c:pt>
                <c:pt idx="246">
                  <c:v>45.251430055816257</c:v>
                </c:pt>
                <c:pt idx="247">
                  <c:v>41.541656013320065</c:v>
                </c:pt>
                <c:pt idx="248">
                  <c:v>44.723266004926245</c:v>
                </c:pt>
                <c:pt idx="249">
                  <c:v>35.777736904302763</c:v>
                </c:pt>
                <c:pt idx="250">
                  <c:v>39.245047529808105</c:v>
                </c:pt>
                <c:pt idx="251">
                  <c:v>20.305962475129125</c:v>
                </c:pt>
                <c:pt idx="252">
                  <c:v>44.326291664201371</c:v>
                </c:pt>
                <c:pt idx="253">
                  <c:v>45.151258247689427</c:v>
                </c:pt>
                <c:pt idx="254">
                  <c:v>31.75782989425068</c:v>
                </c:pt>
                <c:pt idx="255">
                  <c:v>11.473560307502559</c:v>
                </c:pt>
                <c:pt idx="256">
                  <c:v>34.68109258642351</c:v>
                </c:pt>
                <c:pt idx="257">
                  <c:v>39.798432388766798</c:v>
                </c:pt>
                <c:pt idx="258">
                  <c:v>26.503454604093324</c:v>
                </c:pt>
                <c:pt idx="259">
                  <c:v>46.741904690848187</c:v>
                </c:pt>
                <c:pt idx="260">
                  <c:v>45.203064655660995</c:v>
                </c:pt>
                <c:pt idx="261">
                  <c:v>44.63981779114922</c:v>
                </c:pt>
                <c:pt idx="262">
                  <c:v>45.97944388432964</c:v>
                </c:pt>
                <c:pt idx="263">
                  <c:v>44.963584495641435</c:v>
                </c:pt>
                <c:pt idx="264">
                  <c:v>43.72189954812049</c:v>
                </c:pt>
                <c:pt idx="265">
                  <c:v>28.82116624575524</c:v>
                </c:pt>
                <c:pt idx="266">
                  <c:v>21.063787096574696</c:v>
                </c:pt>
                <c:pt idx="267">
                  <c:v>31.06301721424213</c:v>
                </c:pt>
                <c:pt idx="268">
                  <c:v>32.455106419003286</c:v>
                </c:pt>
                <c:pt idx="269">
                  <c:v>15.590633467957026</c:v>
                </c:pt>
                <c:pt idx="270">
                  <c:v>15.244862510084792</c:v>
                </c:pt>
                <c:pt idx="271">
                  <c:v>21.964574264385714</c:v>
                </c:pt>
                <c:pt idx="272">
                  <c:v>31.66076439415059</c:v>
                </c:pt>
                <c:pt idx="273">
                  <c:v>38.323941575273459</c:v>
                </c:pt>
                <c:pt idx="274">
                  <c:v>37.735766630787801</c:v>
                </c:pt>
                <c:pt idx="275">
                  <c:v>35.275832132685061</c:v>
                </c:pt>
                <c:pt idx="276">
                  <c:v>41.310447816840679</c:v>
                </c:pt>
                <c:pt idx="277">
                  <c:v>41.252961779989064</c:v>
                </c:pt>
                <c:pt idx="278">
                  <c:v>15.295170066850824</c:v>
                </c:pt>
                <c:pt idx="279">
                  <c:v>30.495753556594977</c:v>
                </c:pt>
                <c:pt idx="280">
                  <c:v>17.637985636312933</c:v>
                </c:pt>
                <c:pt idx="281">
                  <c:v>38.47248698597847</c:v>
                </c:pt>
                <c:pt idx="282">
                  <c:v>31.4021556699538</c:v>
                </c:pt>
                <c:pt idx="283">
                  <c:v>22.391158053075554</c:v>
                </c:pt>
                <c:pt idx="284">
                  <c:v>31.306788730300433</c:v>
                </c:pt>
                <c:pt idx="285">
                  <c:v>22.655408693330276</c:v>
                </c:pt>
                <c:pt idx="286">
                  <c:v>16.922598165524448</c:v>
                </c:pt>
                <c:pt idx="287">
                  <c:v>37.788899214111105</c:v>
                </c:pt>
                <c:pt idx="288">
                  <c:v>34.115929565779901</c:v>
                </c:pt>
                <c:pt idx="289">
                  <c:v>22.974889964041203</c:v>
                </c:pt>
                <c:pt idx="290">
                  <c:v>35.159071434184455</c:v>
                </c:pt>
                <c:pt idx="291">
                  <c:v>14.967880747095801</c:v>
                </c:pt>
                <c:pt idx="292">
                  <c:v>8.584639099734698</c:v>
                </c:pt>
                <c:pt idx="293">
                  <c:v>15.689883500146877</c:v>
                </c:pt>
                <c:pt idx="294">
                  <c:v>33.845091779649472</c:v>
                </c:pt>
                <c:pt idx="295">
                  <c:v>19.276985949785772</c:v>
                </c:pt>
                <c:pt idx="296">
                  <c:v>25.715425094704838</c:v>
                </c:pt>
                <c:pt idx="297">
                  <c:v>22.710029389441807</c:v>
                </c:pt>
                <c:pt idx="298">
                  <c:v>12.694227265298128</c:v>
                </c:pt>
                <c:pt idx="299">
                  <c:v>13.907857960044362</c:v>
                </c:pt>
                <c:pt idx="300">
                  <c:v>17.519142050641648</c:v>
                </c:pt>
                <c:pt idx="301">
                  <c:v>26.163191401474023</c:v>
                </c:pt>
                <c:pt idx="302">
                  <c:v>21.423821131377242</c:v>
                </c:pt>
                <c:pt idx="303">
                  <c:v>22.148724129120119</c:v>
                </c:pt>
                <c:pt idx="304">
                  <c:v>23.864425144379467</c:v>
                </c:pt>
                <c:pt idx="305">
                  <c:v>29.904497951280145</c:v>
                </c:pt>
                <c:pt idx="306">
                  <c:v>10.399572811877608</c:v>
                </c:pt>
                <c:pt idx="307">
                  <c:v>12.140452914944387</c:v>
                </c:pt>
                <c:pt idx="308">
                  <c:v>31.895584922483732</c:v>
                </c:pt>
                <c:pt idx="309">
                  <c:v>31.521890427570849</c:v>
                </c:pt>
                <c:pt idx="310">
                  <c:v>30.129766687087361</c:v>
                </c:pt>
                <c:pt idx="311">
                  <c:v>20.61045129496647</c:v>
                </c:pt>
                <c:pt idx="312">
                  <c:v>10.901151906163159</c:v>
                </c:pt>
                <c:pt idx="313">
                  <c:v>24.311379256505425</c:v>
                </c:pt>
                <c:pt idx="314">
                  <c:v>30.299703668594432</c:v>
                </c:pt>
                <c:pt idx="315">
                  <c:v>28.928974645017234</c:v>
                </c:pt>
                <c:pt idx="316">
                  <c:v>29.115926691487758</c:v>
                </c:pt>
                <c:pt idx="317">
                  <c:v>10.881488717934136</c:v>
                </c:pt>
                <c:pt idx="318">
                  <c:v>12.993390842292753</c:v>
                </c:pt>
                <c:pt idx="319">
                  <c:v>28.785389321544372</c:v>
                </c:pt>
                <c:pt idx="320">
                  <c:v>15.378484165836731</c:v>
                </c:pt>
                <c:pt idx="321">
                  <c:v>14.039311164361084</c:v>
                </c:pt>
                <c:pt idx="322">
                  <c:v>6.0540416467253815</c:v>
                </c:pt>
                <c:pt idx="323">
                  <c:v>17.92752426598447</c:v>
                </c:pt>
                <c:pt idx="324">
                  <c:v>3.5776212932120921</c:v>
                </c:pt>
                <c:pt idx="325">
                  <c:v>7.9239405829247991</c:v>
                </c:pt>
                <c:pt idx="326">
                  <c:v>12.292949017236756</c:v>
                </c:pt>
                <c:pt idx="327">
                  <c:v>14.518588792396683</c:v>
                </c:pt>
                <c:pt idx="328">
                  <c:v>4.4649776874711042</c:v>
                </c:pt>
                <c:pt idx="329">
                  <c:v>13.848635636369519</c:v>
                </c:pt>
                <c:pt idx="330">
                  <c:v>14.74915967972251</c:v>
                </c:pt>
                <c:pt idx="331">
                  <c:v>9.5205372282958454</c:v>
                </c:pt>
                <c:pt idx="332">
                  <c:v>13.394308367646243</c:v>
                </c:pt>
                <c:pt idx="333">
                  <c:v>4.3562979833103608</c:v>
                </c:pt>
                <c:pt idx="334">
                  <c:v>3.5230229223005076</c:v>
                </c:pt>
                <c:pt idx="335">
                  <c:v>6.6532361394365607</c:v>
                </c:pt>
                <c:pt idx="336">
                  <c:v>7.4878928695707003</c:v>
                </c:pt>
                <c:pt idx="337">
                  <c:v>20.752388810723438</c:v>
                </c:pt>
                <c:pt idx="338">
                  <c:v>26.349301587612157</c:v>
                </c:pt>
                <c:pt idx="339">
                  <c:v>11.497152304720023</c:v>
                </c:pt>
                <c:pt idx="340">
                  <c:v>20.653841120323605</c:v>
                </c:pt>
                <c:pt idx="341">
                  <c:v>4.7369015532763434</c:v>
                </c:pt>
                <c:pt idx="342">
                  <c:v>5.7678098341856936</c:v>
                </c:pt>
                <c:pt idx="343">
                  <c:v>14.371240723891097</c:v>
                </c:pt>
                <c:pt idx="344">
                  <c:v>17.521265499948505</c:v>
                </c:pt>
                <c:pt idx="345">
                  <c:v>5.1742378304106902</c:v>
                </c:pt>
                <c:pt idx="346">
                  <c:v>5.6730950989755469</c:v>
                </c:pt>
                <c:pt idx="347">
                  <c:v>17.4302311115176</c:v>
                </c:pt>
                <c:pt idx="348">
                  <c:v>7.3003019164468821</c:v>
                </c:pt>
                <c:pt idx="349">
                  <c:v>4.9591807617991357</c:v>
                </c:pt>
                <c:pt idx="350">
                  <c:v>2.7738597864253109</c:v>
                </c:pt>
                <c:pt idx="351">
                  <c:v>21.868203570783276</c:v>
                </c:pt>
                <c:pt idx="352">
                  <c:v>18.510913904004784</c:v>
                </c:pt>
                <c:pt idx="353">
                  <c:v>4.5098230021142376</c:v>
                </c:pt>
                <c:pt idx="354">
                  <c:v>22.791474117903476</c:v>
                </c:pt>
                <c:pt idx="355">
                  <c:v>17.624132326961654</c:v>
                </c:pt>
                <c:pt idx="356">
                  <c:v>18.179439572107761</c:v>
                </c:pt>
                <c:pt idx="357">
                  <c:v>23.827344450905859</c:v>
                </c:pt>
                <c:pt idx="358">
                  <c:v>13.956833470241014</c:v>
                </c:pt>
                <c:pt idx="359">
                  <c:v>23.040934728855365</c:v>
                </c:pt>
                <c:pt idx="360">
                  <c:v>6.2574010667189617</c:v>
                </c:pt>
                <c:pt idx="361">
                  <c:v>24.393186999369583</c:v>
                </c:pt>
                <c:pt idx="362">
                  <c:v>10.621116821112839</c:v>
                </c:pt>
                <c:pt idx="363">
                  <c:v>15.253823263090654</c:v>
                </c:pt>
                <c:pt idx="364">
                  <c:v>11.53500659389135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28.271735863602522</c:v>
                </c:pt>
                <c:pt idx="22">
                  <c:v>28.329750398433639</c:v>
                </c:pt>
                <c:pt idx="23">
                  <c:v>28.597883623707276</c:v>
                </c:pt>
                <c:pt idx="24">
                  <c:v>28.169349517047515</c:v>
                </c:pt>
                <c:pt idx="25">
                  <c:v>28.896518465947409</c:v>
                </c:pt>
                <c:pt idx="26">
                  <c:v>28.632573296418222</c:v>
                </c:pt>
                <c:pt idx="27">
                  <c:v>3.8791196288629544</c:v>
                </c:pt>
                <c:pt idx="28">
                  <c:v>5.7669740789203727</c:v>
                </c:pt>
                <c:pt idx="29">
                  <c:v>4.7288799003391642</c:v>
                </c:pt>
                <c:pt idx="30">
                  <c:v>6.4887334886635992</c:v>
                </c:pt>
                <c:pt idx="31">
                  <c:v>13.424275033627797</c:v>
                </c:pt>
                <c:pt idx="32">
                  <c:v>5.0517911635817887</c:v>
                </c:pt>
                <c:pt idx="33">
                  <c:v>11.049399872644297</c:v>
                </c:pt>
                <c:pt idx="34">
                  <c:v>10.596771396361479</c:v>
                </c:pt>
                <c:pt idx="35">
                  <c:v>10.011381968437849</c:v>
                </c:pt>
                <c:pt idx="36">
                  <c:v>22.091734609961186</c:v>
                </c:pt>
                <c:pt idx="37">
                  <c:v>8.6999410690446872</c:v>
                </c:pt>
                <c:pt idx="38">
                  <c:v>33.600961855273056</c:v>
                </c:pt>
                <c:pt idx="39">
                  <c:v>33.674165362698311</c:v>
                </c:pt>
                <c:pt idx="40">
                  <c:v>31.28658565252282</c:v>
                </c:pt>
                <c:pt idx="41">
                  <c:v>15.748764087377065</c:v>
                </c:pt>
                <c:pt idx="42">
                  <c:v>26.192361116119617</c:v>
                </c:pt>
                <c:pt idx="43">
                  <c:v>32.006409018740591</c:v>
                </c:pt>
                <c:pt idx="44">
                  <c:v>17.754654378684911</c:v>
                </c:pt>
                <c:pt idx="45">
                  <c:v>17.495562576039038</c:v>
                </c:pt>
                <c:pt idx="46">
                  <c:v>7.6089701465702726</c:v>
                </c:pt>
                <c:pt idx="47">
                  <c:v>8.8914178355127298</c:v>
                </c:pt>
                <c:pt idx="48">
                  <c:v>29.13927754913394</c:v>
                </c:pt>
                <c:pt idx="49">
                  <c:v>17.766651567464663</c:v>
                </c:pt>
                <c:pt idx="50">
                  <c:v>20.940582094094164</c:v>
                </c:pt>
                <c:pt idx="51">
                  <c:v>20.617563323991643</c:v>
                </c:pt>
                <c:pt idx="52">
                  <c:v>33.759455811323498</c:v>
                </c:pt>
                <c:pt idx="53">
                  <c:v>35.212209179430175</c:v>
                </c:pt>
                <c:pt idx="54">
                  <c:v>20.028939868288894</c:v>
                </c:pt>
                <c:pt idx="55">
                  <c:v>29.128547627728882</c:v>
                </c:pt>
                <c:pt idx="56">
                  <c:v>39.313423281198595</c:v>
                </c:pt>
                <c:pt idx="57">
                  <c:v>27.130179319172445</c:v>
                </c:pt>
                <c:pt idx="58">
                  <c:v>31.4315681300051</c:v>
                </c:pt>
                <c:pt idx="59">
                  <c:v>40.172390343395364</c:v>
                </c:pt>
                <c:pt idx="60">
                  <c:v>10.130700777641552</c:v>
                </c:pt>
                <c:pt idx="61">
                  <c:v>37.981185672157842</c:v>
                </c:pt>
                <c:pt idx="62">
                  <c:v>4.060671316506193</c:v>
                </c:pt>
                <c:pt idx="63">
                  <c:v>14.436322708441399</c:v>
                </c:pt>
                <c:pt idx="64">
                  <c:v>20.438302899873477</c:v>
                </c:pt>
                <c:pt idx="65">
                  <c:v>31.009955996942079</c:v>
                </c:pt>
                <c:pt idx="66">
                  <c:v>29.746566415404146</c:v>
                </c:pt>
                <c:pt idx="67">
                  <c:v>31.39716007177174</c:v>
                </c:pt>
                <c:pt idx="68">
                  <c:v>22.72270187814399</c:v>
                </c:pt>
                <c:pt idx="69">
                  <c:v>15.149616965087166</c:v>
                </c:pt>
                <c:pt idx="70">
                  <c:v>12.509474873547706</c:v>
                </c:pt>
                <c:pt idx="71">
                  <c:v>11.774868279203615</c:v>
                </c:pt>
                <c:pt idx="72">
                  <c:v>12.439320346152249</c:v>
                </c:pt>
                <c:pt idx="73">
                  <c:v>14.121766118653095</c:v>
                </c:pt>
                <c:pt idx="74">
                  <c:v>9.693011477550435</c:v>
                </c:pt>
                <c:pt idx="75">
                  <c:v>10.496104333591688</c:v>
                </c:pt>
                <c:pt idx="76">
                  <c:v>12.873121656003292</c:v>
                </c:pt>
                <c:pt idx="77">
                  <c:v>29.495946928647204</c:v>
                </c:pt>
                <c:pt idx="78">
                  <c:v>30.410041384253145</c:v>
                </c:pt>
                <c:pt idx="79">
                  <c:v>43.850108898785038</c:v>
                </c:pt>
                <c:pt idx="80">
                  <c:v>38.694462190418363</c:v>
                </c:pt>
                <c:pt idx="81">
                  <c:v>45.563180332455644</c:v>
                </c:pt>
                <c:pt idx="82">
                  <c:v>42.884611668597657</c:v>
                </c:pt>
                <c:pt idx="83">
                  <c:v>39.03955117310948</c:v>
                </c:pt>
                <c:pt idx="84">
                  <c:v>42.403512602558372</c:v>
                </c:pt>
                <c:pt idx="85">
                  <c:v>43.099433416221196</c:v>
                </c:pt>
                <c:pt idx="86">
                  <c:v>33.064100392695032</c:v>
                </c:pt>
                <c:pt idx="87">
                  <c:v>26.056582929616415</c:v>
                </c:pt>
                <c:pt idx="88">
                  <c:v>6.8014544797887515</c:v>
                </c:pt>
                <c:pt idx="89">
                  <c:v>20.244952402194016</c:v>
                </c:pt>
                <c:pt idx="90">
                  <c:v>30.155268970884933</c:v>
                </c:pt>
                <c:pt idx="91">
                  <c:v>18.49638644078891</c:v>
                </c:pt>
                <c:pt idx="92">
                  <c:v>23.62038618896144</c:v>
                </c:pt>
                <c:pt idx="93">
                  <c:v>41.420938658998082</c:v>
                </c:pt>
                <c:pt idx="94">
                  <c:v>47.731520341707309</c:v>
                </c:pt>
                <c:pt idx="95">
                  <c:v>11.209487942555636</c:v>
                </c:pt>
                <c:pt idx="96">
                  <c:v>36.921374729388653</c:v>
                </c:pt>
                <c:pt idx="97">
                  <c:v>29.955478317582006</c:v>
                </c:pt>
                <c:pt idx="98">
                  <c:v>32.691846520385546</c:v>
                </c:pt>
                <c:pt idx="99">
                  <c:v>49.974532961127281</c:v>
                </c:pt>
                <c:pt idx="100">
                  <c:v>41.235876352942604</c:v>
                </c:pt>
                <c:pt idx="101">
                  <c:v>2.329860299859007</c:v>
                </c:pt>
                <c:pt idx="102">
                  <c:v>0</c:v>
                </c:pt>
                <c:pt idx="103">
                  <c:v>39.129117239229949</c:v>
                </c:pt>
                <c:pt idx="104">
                  <c:v>43.54715954615844</c:v>
                </c:pt>
                <c:pt idx="105">
                  <c:v>39.178282461433056</c:v>
                </c:pt>
                <c:pt idx="106">
                  <c:v>49.470094056278036</c:v>
                </c:pt>
                <c:pt idx="107">
                  <c:v>35.273785125952422</c:v>
                </c:pt>
                <c:pt idx="108">
                  <c:v>8.4429434857268593</c:v>
                </c:pt>
                <c:pt idx="109">
                  <c:v>9.5250152745295953</c:v>
                </c:pt>
                <c:pt idx="110">
                  <c:v>8.6016688899140767</c:v>
                </c:pt>
                <c:pt idx="111">
                  <c:v>26.005274968830673</c:v>
                </c:pt>
                <c:pt idx="112">
                  <c:v>8.9349101064069885</c:v>
                </c:pt>
                <c:pt idx="113">
                  <c:v>22.96525088868286</c:v>
                </c:pt>
                <c:pt idx="114">
                  <c:v>43.551686930447481</c:v>
                </c:pt>
                <c:pt idx="115">
                  <c:v>48.703968039607936</c:v>
                </c:pt>
                <c:pt idx="116">
                  <c:v>35.896369846338374</c:v>
                </c:pt>
                <c:pt idx="117">
                  <c:v>19.303668675651831</c:v>
                </c:pt>
                <c:pt idx="118">
                  <c:v>39.075934261396377</c:v>
                </c:pt>
                <c:pt idx="119">
                  <c:v>42.61006518674256</c:v>
                </c:pt>
                <c:pt idx="120">
                  <c:v>47.692166276736721</c:v>
                </c:pt>
                <c:pt idx="121">
                  <c:v>27.935354045942464</c:v>
                </c:pt>
                <c:pt idx="122">
                  <c:v>31.904694129518024</c:v>
                </c:pt>
                <c:pt idx="123">
                  <c:v>18.816888671740546</c:v>
                </c:pt>
                <c:pt idx="124">
                  <c:v>39.515322601180699</c:v>
                </c:pt>
                <c:pt idx="125">
                  <c:v>36.900588537441394</c:v>
                </c:pt>
                <c:pt idx="126">
                  <c:v>47.745042626101842</c:v>
                </c:pt>
                <c:pt idx="127">
                  <c:v>49.805589697953138</c:v>
                </c:pt>
                <c:pt idx="128">
                  <c:v>54.1759974536307</c:v>
                </c:pt>
                <c:pt idx="129">
                  <c:v>51.630617901414752</c:v>
                </c:pt>
                <c:pt idx="130">
                  <c:v>55.382147129568587</c:v>
                </c:pt>
                <c:pt idx="131">
                  <c:v>42.631240763778379</c:v>
                </c:pt>
                <c:pt idx="132">
                  <c:v>39.033595024323667</c:v>
                </c:pt>
                <c:pt idx="133">
                  <c:v>50.942852782232592</c:v>
                </c:pt>
                <c:pt idx="134">
                  <c:v>51.969838879408591</c:v>
                </c:pt>
                <c:pt idx="135">
                  <c:v>50.038839026901954</c:v>
                </c:pt>
                <c:pt idx="136">
                  <c:v>53.574674703583348</c:v>
                </c:pt>
                <c:pt idx="137">
                  <c:v>51.898670775906901</c:v>
                </c:pt>
                <c:pt idx="138">
                  <c:v>54.212595712103841</c:v>
                </c:pt>
                <c:pt idx="139">
                  <c:v>49.169217205270428</c:v>
                </c:pt>
                <c:pt idx="140">
                  <c:v>49.767681288102715</c:v>
                </c:pt>
                <c:pt idx="141">
                  <c:v>38.067101901147659</c:v>
                </c:pt>
                <c:pt idx="142">
                  <c:v>17.778608720467744</c:v>
                </c:pt>
                <c:pt idx="143">
                  <c:v>16.899099761351689</c:v>
                </c:pt>
                <c:pt idx="144">
                  <c:v>39.363151415871762</c:v>
                </c:pt>
                <c:pt idx="145">
                  <c:v>26.784756774276218</c:v>
                </c:pt>
                <c:pt idx="146">
                  <c:v>42.683698569554466</c:v>
                </c:pt>
                <c:pt idx="147">
                  <c:v>52.570779619368281</c:v>
                </c:pt>
                <c:pt idx="148">
                  <c:v>56.915508196123945</c:v>
                </c:pt>
                <c:pt idx="149">
                  <c:v>47.686520196273023</c:v>
                </c:pt>
                <c:pt idx="150">
                  <c:v>52.981219658233805</c:v>
                </c:pt>
                <c:pt idx="151">
                  <c:v>53.848604723109126</c:v>
                </c:pt>
                <c:pt idx="152">
                  <c:v>42.624128102869783</c:v>
                </c:pt>
                <c:pt idx="153">
                  <c:v>53.538442381588759</c:v>
                </c:pt>
                <c:pt idx="154">
                  <c:v>22.171952772017249</c:v>
                </c:pt>
                <c:pt idx="155">
                  <c:v>31.279493648142626</c:v>
                </c:pt>
                <c:pt idx="156">
                  <c:v>46.860401104188171</c:v>
                </c:pt>
                <c:pt idx="157">
                  <c:v>27.433689135481082</c:v>
                </c:pt>
                <c:pt idx="158">
                  <c:v>20.396284319118994</c:v>
                </c:pt>
                <c:pt idx="159">
                  <c:v>45.314255027890283</c:v>
                </c:pt>
                <c:pt idx="160">
                  <c:v>55.481808181073099</c:v>
                </c:pt>
                <c:pt idx="161">
                  <c:v>53.96897954925619</c:v>
                </c:pt>
                <c:pt idx="162">
                  <c:v>41.366032938018904</c:v>
                </c:pt>
                <c:pt idx="163">
                  <c:v>50.814642675556932</c:v>
                </c:pt>
                <c:pt idx="164">
                  <c:v>48.378530835141717</c:v>
                </c:pt>
                <c:pt idx="165">
                  <c:v>51.935433576804137</c:v>
                </c:pt>
                <c:pt idx="166">
                  <c:v>50.398538290320928</c:v>
                </c:pt>
                <c:pt idx="167">
                  <c:v>51.054890440273034</c:v>
                </c:pt>
                <c:pt idx="168">
                  <c:v>52.773579290532638</c:v>
                </c:pt>
                <c:pt idx="169">
                  <c:v>53.8822089136888</c:v>
                </c:pt>
                <c:pt idx="170">
                  <c:v>33.984867770476257</c:v>
                </c:pt>
                <c:pt idx="171">
                  <c:v>24.026512359646219</c:v>
                </c:pt>
                <c:pt idx="172">
                  <c:v>42.425093282809435</c:v>
                </c:pt>
                <c:pt idx="173">
                  <c:v>42.054038025980098</c:v>
                </c:pt>
                <c:pt idx="174">
                  <c:v>40.055715488321169</c:v>
                </c:pt>
                <c:pt idx="175">
                  <c:v>34.366977992922322</c:v>
                </c:pt>
                <c:pt idx="176">
                  <c:v>11.135149883755803</c:v>
                </c:pt>
                <c:pt idx="177">
                  <c:v>10.440309752034052</c:v>
                </c:pt>
                <c:pt idx="178">
                  <c:v>53.762117765521211</c:v>
                </c:pt>
                <c:pt idx="179">
                  <c:v>54.60188224352504</c:v>
                </c:pt>
                <c:pt idx="180">
                  <c:v>12.433986893858984</c:v>
                </c:pt>
                <c:pt idx="181">
                  <c:v>46.535128064093598</c:v>
                </c:pt>
                <c:pt idx="182">
                  <c:v>53.556774021318986</c:v>
                </c:pt>
                <c:pt idx="183">
                  <c:v>46.319977228174537</c:v>
                </c:pt>
                <c:pt idx="184">
                  <c:v>44.17332389757393</c:v>
                </c:pt>
                <c:pt idx="185">
                  <c:v>53.789026489456994</c:v>
                </c:pt>
                <c:pt idx="186">
                  <c:v>44.064813169033926</c:v>
                </c:pt>
                <c:pt idx="187">
                  <c:v>52.053119521777809</c:v>
                </c:pt>
                <c:pt idx="188">
                  <c:v>54.555895126257859</c:v>
                </c:pt>
                <c:pt idx="189">
                  <c:v>53.9383615104733</c:v>
                </c:pt>
                <c:pt idx="190">
                  <c:v>53.585442351658088</c:v>
                </c:pt>
                <c:pt idx="191">
                  <c:v>52.311138373847207</c:v>
                </c:pt>
                <c:pt idx="192">
                  <c:v>51.863471535240485</c:v>
                </c:pt>
                <c:pt idx="193">
                  <c:v>52.128110283381687</c:v>
                </c:pt>
                <c:pt idx="194">
                  <c:v>51.319917783108068</c:v>
                </c:pt>
                <c:pt idx="195">
                  <c:v>49.224264794810615</c:v>
                </c:pt>
                <c:pt idx="196">
                  <c:v>51.09145717577119</c:v>
                </c:pt>
                <c:pt idx="197">
                  <c:v>51.066010196051913</c:v>
                </c:pt>
                <c:pt idx="198">
                  <c:v>51.866728489608477</c:v>
                </c:pt>
                <c:pt idx="199">
                  <c:v>35.43092095183092</c:v>
                </c:pt>
                <c:pt idx="200">
                  <c:v>40.334757772848533</c:v>
                </c:pt>
                <c:pt idx="201">
                  <c:v>50.342684611426535</c:v>
                </c:pt>
                <c:pt idx="202">
                  <c:v>38.425215354579429</c:v>
                </c:pt>
                <c:pt idx="203">
                  <c:v>42.871922570213194</c:v>
                </c:pt>
                <c:pt idx="204">
                  <c:v>50.761223618591245</c:v>
                </c:pt>
                <c:pt idx="205">
                  <c:v>26.0934901534525</c:v>
                </c:pt>
                <c:pt idx="206">
                  <c:v>49.607796031383188</c:v>
                </c:pt>
                <c:pt idx="207">
                  <c:v>53.714814779185666</c:v>
                </c:pt>
                <c:pt idx="208">
                  <c:v>42.67676294793975</c:v>
                </c:pt>
                <c:pt idx="209">
                  <c:v>28.428413901633665</c:v>
                </c:pt>
                <c:pt idx="210">
                  <c:v>42.843077464142418</c:v>
                </c:pt>
                <c:pt idx="211">
                  <c:v>51.503474897546752</c:v>
                </c:pt>
                <c:pt idx="212">
                  <c:v>51.430461138863933</c:v>
                </c:pt>
                <c:pt idx="213">
                  <c:v>51.480530342012059</c:v>
                </c:pt>
                <c:pt idx="214">
                  <c:v>49.853059899576742</c:v>
                </c:pt>
                <c:pt idx="215">
                  <c:v>49.315688445299024</c:v>
                </c:pt>
                <c:pt idx="216">
                  <c:v>44.465926264362935</c:v>
                </c:pt>
                <c:pt idx="217">
                  <c:v>47.009068627140067</c:v>
                </c:pt>
                <c:pt idx="218">
                  <c:v>50.149426353095393</c:v>
                </c:pt>
                <c:pt idx="219">
                  <c:v>50.76248422602081</c:v>
                </c:pt>
                <c:pt idx="220">
                  <c:v>48.909829911634901</c:v>
                </c:pt>
                <c:pt idx="221">
                  <c:v>47.507531299276728</c:v>
                </c:pt>
                <c:pt idx="222">
                  <c:v>44.95198570552698</c:v>
                </c:pt>
                <c:pt idx="223">
                  <c:v>46.358714369341818</c:v>
                </c:pt>
                <c:pt idx="224">
                  <c:v>36.389724450863007</c:v>
                </c:pt>
                <c:pt idx="225">
                  <c:v>33.331501569126594</c:v>
                </c:pt>
                <c:pt idx="226">
                  <c:v>37.800515484982789</c:v>
                </c:pt>
                <c:pt idx="227">
                  <c:v>35.007362027780189</c:v>
                </c:pt>
                <c:pt idx="228">
                  <c:v>25.554272018012252</c:v>
                </c:pt>
                <c:pt idx="229">
                  <c:v>33.999294426156332</c:v>
                </c:pt>
                <c:pt idx="230">
                  <c:v>34.693497988891167</c:v>
                </c:pt>
                <c:pt idx="231">
                  <c:v>48.933667417988204</c:v>
                </c:pt>
                <c:pt idx="232">
                  <c:v>32.518621700880274</c:v>
                </c:pt>
                <c:pt idx="233">
                  <c:v>23.279476339862089</c:v>
                </c:pt>
                <c:pt idx="234">
                  <c:v>45.168448829899518</c:v>
                </c:pt>
                <c:pt idx="235">
                  <c:v>46.627260048826955</c:v>
                </c:pt>
                <c:pt idx="236">
                  <c:v>30.110235363131149</c:v>
                </c:pt>
                <c:pt idx="237">
                  <c:v>41.347704704900529</c:v>
                </c:pt>
                <c:pt idx="238">
                  <c:v>46.447871203820647</c:v>
                </c:pt>
                <c:pt idx="239">
                  <c:v>46.557616690348368</c:v>
                </c:pt>
                <c:pt idx="240">
                  <c:v>32.715498630542164</c:v>
                </c:pt>
                <c:pt idx="241">
                  <c:v>46.242503876294492</c:v>
                </c:pt>
                <c:pt idx="242">
                  <c:v>21.02446065467965</c:v>
                </c:pt>
                <c:pt idx="243">
                  <c:v>42.729627501310098</c:v>
                </c:pt>
                <c:pt idx="244">
                  <c:v>39.846920438047398</c:v>
                </c:pt>
                <c:pt idx="245">
                  <c:v>37.868515746376289</c:v>
                </c:pt>
                <c:pt idx="246">
                  <c:v>45.251430055816257</c:v>
                </c:pt>
                <c:pt idx="247">
                  <c:v>41.541656013320065</c:v>
                </c:pt>
                <c:pt idx="248">
                  <c:v>44.723266004926245</c:v>
                </c:pt>
                <c:pt idx="249">
                  <c:v>35.777736904302763</c:v>
                </c:pt>
                <c:pt idx="250">
                  <c:v>39.245047529808105</c:v>
                </c:pt>
                <c:pt idx="251">
                  <c:v>20.305962475129125</c:v>
                </c:pt>
                <c:pt idx="252">
                  <c:v>44.326291664201371</c:v>
                </c:pt>
                <c:pt idx="253">
                  <c:v>45.151258247689427</c:v>
                </c:pt>
                <c:pt idx="254">
                  <c:v>31.75782989425068</c:v>
                </c:pt>
                <c:pt idx="255">
                  <c:v>11.473560307502559</c:v>
                </c:pt>
                <c:pt idx="256">
                  <c:v>34.68109258642351</c:v>
                </c:pt>
                <c:pt idx="257">
                  <c:v>39.798432388766798</c:v>
                </c:pt>
                <c:pt idx="258">
                  <c:v>26.503454604093324</c:v>
                </c:pt>
                <c:pt idx="259">
                  <c:v>46.741904690848187</c:v>
                </c:pt>
                <c:pt idx="260">
                  <c:v>45.203064655660995</c:v>
                </c:pt>
                <c:pt idx="261">
                  <c:v>44.63981779114922</c:v>
                </c:pt>
                <c:pt idx="262">
                  <c:v>45.97944388432964</c:v>
                </c:pt>
                <c:pt idx="263">
                  <c:v>44.963584495641435</c:v>
                </c:pt>
                <c:pt idx="264">
                  <c:v>43.72189954812049</c:v>
                </c:pt>
                <c:pt idx="265">
                  <c:v>28.82116624575524</c:v>
                </c:pt>
                <c:pt idx="266">
                  <c:v>21.063787096574696</c:v>
                </c:pt>
                <c:pt idx="267">
                  <c:v>31.06301721424213</c:v>
                </c:pt>
                <c:pt idx="268">
                  <c:v>32.455106419003286</c:v>
                </c:pt>
                <c:pt idx="269">
                  <c:v>15.590633467957026</c:v>
                </c:pt>
                <c:pt idx="270">
                  <c:v>15.244862510084792</c:v>
                </c:pt>
                <c:pt idx="271">
                  <c:v>21.964574264385714</c:v>
                </c:pt>
                <c:pt idx="272">
                  <c:v>31.66076439415059</c:v>
                </c:pt>
                <c:pt idx="273">
                  <c:v>38.323941575273459</c:v>
                </c:pt>
                <c:pt idx="274">
                  <c:v>37.735766630787801</c:v>
                </c:pt>
                <c:pt idx="275">
                  <c:v>35.275832132685061</c:v>
                </c:pt>
                <c:pt idx="276">
                  <c:v>41.310447816840679</c:v>
                </c:pt>
                <c:pt idx="277">
                  <c:v>41.252961779989064</c:v>
                </c:pt>
                <c:pt idx="278">
                  <c:v>15.295170066850824</c:v>
                </c:pt>
                <c:pt idx="279">
                  <c:v>30.495753556594977</c:v>
                </c:pt>
                <c:pt idx="280">
                  <c:v>17.637985636312933</c:v>
                </c:pt>
                <c:pt idx="281">
                  <c:v>38.47248698597847</c:v>
                </c:pt>
                <c:pt idx="282">
                  <c:v>31.4021556699538</c:v>
                </c:pt>
                <c:pt idx="283">
                  <c:v>22.391158053075554</c:v>
                </c:pt>
                <c:pt idx="284">
                  <c:v>31.306788730300433</c:v>
                </c:pt>
                <c:pt idx="285">
                  <c:v>22.655408693330276</c:v>
                </c:pt>
                <c:pt idx="286">
                  <c:v>16.922598165524448</c:v>
                </c:pt>
                <c:pt idx="287">
                  <c:v>37.788899214111105</c:v>
                </c:pt>
                <c:pt idx="288">
                  <c:v>34.115929565779901</c:v>
                </c:pt>
                <c:pt idx="289">
                  <c:v>22.974889964041203</c:v>
                </c:pt>
                <c:pt idx="290">
                  <c:v>35.159071434184455</c:v>
                </c:pt>
                <c:pt idx="291">
                  <c:v>14.967880747095801</c:v>
                </c:pt>
                <c:pt idx="292">
                  <c:v>8.584639099734698</c:v>
                </c:pt>
                <c:pt idx="293">
                  <c:v>15.689883500146877</c:v>
                </c:pt>
                <c:pt idx="294">
                  <c:v>33.845091779649472</c:v>
                </c:pt>
                <c:pt idx="295">
                  <c:v>19.276985949785772</c:v>
                </c:pt>
                <c:pt idx="296">
                  <c:v>25.715425094704838</c:v>
                </c:pt>
                <c:pt idx="297">
                  <c:v>22.710029389441807</c:v>
                </c:pt>
                <c:pt idx="298">
                  <c:v>12.694227265298128</c:v>
                </c:pt>
                <c:pt idx="299">
                  <c:v>13.907857960044362</c:v>
                </c:pt>
                <c:pt idx="300">
                  <c:v>17.519142050641648</c:v>
                </c:pt>
                <c:pt idx="301">
                  <c:v>26.163191401474023</c:v>
                </c:pt>
                <c:pt idx="302">
                  <c:v>21.423821131377242</c:v>
                </c:pt>
                <c:pt idx="303">
                  <c:v>22.148724129120119</c:v>
                </c:pt>
                <c:pt idx="304">
                  <c:v>23.864425144379467</c:v>
                </c:pt>
                <c:pt idx="305">
                  <c:v>29.904497951280145</c:v>
                </c:pt>
                <c:pt idx="306">
                  <c:v>10.399572811877608</c:v>
                </c:pt>
                <c:pt idx="307">
                  <c:v>12.140452914944387</c:v>
                </c:pt>
                <c:pt idx="308">
                  <c:v>31.895584922483732</c:v>
                </c:pt>
                <c:pt idx="309">
                  <c:v>31.521890427570849</c:v>
                </c:pt>
                <c:pt idx="310">
                  <c:v>30.129766687087361</c:v>
                </c:pt>
                <c:pt idx="311">
                  <c:v>20.61045129496647</c:v>
                </c:pt>
                <c:pt idx="312">
                  <c:v>10.901151906163159</c:v>
                </c:pt>
                <c:pt idx="313">
                  <c:v>24.311379256505425</c:v>
                </c:pt>
                <c:pt idx="314">
                  <c:v>30.299703668594432</c:v>
                </c:pt>
                <c:pt idx="315">
                  <c:v>28.928974645017234</c:v>
                </c:pt>
                <c:pt idx="316">
                  <c:v>29.115926691487758</c:v>
                </c:pt>
                <c:pt idx="317">
                  <c:v>10.881488717934136</c:v>
                </c:pt>
                <c:pt idx="318">
                  <c:v>12.993390842292753</c:v>
                </c:pt>
                <c:pt idx="319">
                  <c:v>28.785389321544372</c:v>
                </c:pt>
                <c:pt idx="320">
                  <c:v>15.378484165836731</c:v>
                </c:pt>
                <c:pt idx="321">
                  <c:v>14.039311164361084</c:v>
                </c:pt>
                <c:pt idx="322">
                  <c:v>6.0540416467253815</c:v>
                </c:pt>
                <c:pt idx="323">
                  <c:v>17.92752426598447</c:v>
                </c:pt>
                <c:pt idx="324">
                  <c:v>3.5776212932120921</c:v>
                </c:pt>
                <c:pt idx="325">
                  <c:v>7.9239405829247991</c:v>
                </c:pt>
                <c:pt idx="326">
                  <c:v>12.292949017236756</c:v>
                </c:pt>
                <c:pt idx="327">
                  <c:v>14.518588792396683</c:v>
                </c:pt>
                <c:pt idx="328">
                  <c:v>4.4649776874711042</c:v>
                </c:pt>
                <c:pt idx="329">
                  <c:v>13.848635636369519</c:v>
                </c:pt>
                <c:pt idx="330">
                  <c:v>14.74915967972251</c:v>
                </c:pt>
                <c:pt idx="331">
                  <c:v>9.5205372282958454</c:v>
                </c:pt>
                <c:pt idx="332">
                  <c:v>13.394308367646243</c:v>
                </c:pt>
                <c:pt idx="333">
                  <c:v>4.3562979833103608</c:v>
                </c:pt>
                <c:pt idx="334">
                  <c:v>3.5230229223005076</c:v>
                </c:pt>
                <c:pt idx="335">
                  <c:v>6.6532361394365607</c:v>
                </c:pt>
                <c:pt idx="336">
                  <c:v>7.4878928695707003</c:v>
                </c:pt>
                <c:pt idx="337">
                  <c:v>20.752388810723438</c:v>
                </c:pt>
                <c:pt idx="338">
                  <c:v>26.349301587612157</c:v>
                </c:pt>
                <c:pt idx="339">
                  <c:v>11.497152304720023</c:v>
                </c:pt>
                <c:pt idx="340">
                  <c:v>20.653841120323605</c:v>
                </c:pt>
                <c:pt idx="341">
                  <c:v>4.7369015532763434</c:v>
                </c:pt>
                <c:pt idx="342">
                  <c:v>5.7678098341856936</c:v>
                </c:pt>
                <c:pt idx="343">
                  <c:v>14.371240723891097</c:v>
                </c:pt>
                <c:pt idx="344">
                  <c:v>17.521265499948505</c:v>
                </c:pt>
                <c:pt idx="345">
                  <c:v>5.1742378304106902</c:v>
                </c:pt>
                <c:pt idx="346">
                  <c:v>5.6730950989755469</c:v>
                </c:pt>
                <c:pt idx="347">
                  <c:v>17.4302311115176</c:v>
                </c:pt>
                <c:pt idx="348">
                  <c:v>7.3003019164468821</c:v>
                </c:pt>
                <c:pt idx="349">
                  <c:v>4.9591807617991357</c:v>
                </c:pt>
                <c:pt idx="350">
                  <c:v>2.7738597864253109</c:v>
                </c:pt>
                <c:pt idx="351">
                  <c:v>21.868203570783276</c:v>
                </c:pt>
                <c:pt idx="352">
                  <c:v>18.510913904004784</c:v>
                </c:pt>
                <c:pt idx="353">
                  <c:v>4.5098230021142376</c:v>
                </c:pt>
                <c:pt idx="354">
                  <c:v>22.791474117903476</c:v>
                </c:pt>
                <c:pt idx="355">
                  <c:v>17.624132326961654</c:v>
                </c:pt>
                <c:pt idx="356">
                  <c:v>18.179439572107761</c:v>
                </c:pt>
                <c:pt idx="357">
                  <c:v>23.827344450905859</c:v>
                </c:pt>
                <c:pt idx="358">
                  <c:v>13.956833470241014</c:v>
                </c:pt>
                <c:pt idx="359">
                  <c:v>23.040934728855365</c:v>
                </c:pt>
                <c:pt idx="360">
                  <c:v>6.2574010667189617</c:v>
                </c:pt>
                <c:pt idx="361">
                  <c:v>24.393186999369583</c:v>
                </c:pt>
                <c:pt idx="362">
                  <c:v>10.621116821112839</c:v>
                </c:pt>
                <c:pt idx="363">
                  <c:v>15.253823263090654</c:v>
                </c:pt>
                <c:pt idx="364">
                  <c:v>11.53500659389135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590960"/>
        <c:axId val="634585080"/>
      </c:lineChart>
      <c:dateAx>
        <c:axId val="634590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5080"/>
        <c:crosses val="autoZero"/>
        <c:auto val="1"/>
        <c:lblOffset val="100"/>
        <c:baseTimeUnit val="days"/>
        <c:majorUnit val="1"/>
        <c:majorTimeUnit val="months"/>
      </c:dateAx>
      <c:valAx>
        <c:axId val="6345850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909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26.823113608205247</c:v>
                </c:pt>
                <c:pt idx="1">
                  <c:v>27.015877058329782</c:v>
                </c:pt>
                <c:pt idx="2">
                  <c:v>27.21437019456458</c:v>
                </c:pt>
                <c:pt idx="3">
                  <c:v>27.41711695521419</c:v>
                </c:pt>
                <c:pt idx="4">
                  <c:v>27.622642860464843</c:v>
                </c:pt>
                <c:pt idx="5">
                  <c:v>27.829474986204456</c:v>
                </c:pt>
                <c:pt idx="6">
                  <c:v>28.03614195121942</c:v>
                </c:pt>
                <c:pt idx="7">
                  <c:v>28.241173901011965</c:v>
                </c:pt>
                <c:pt idx="8">
                  <c:v>28.446283647427808</c:v>
                </c:pt>
                <c:pt idx="9">
                  <c:v>28.654329569351244</c:v>
                </c:pt>
                <c:pt idx="10">
                  <c:v>28.8655626499086</c:v>
                </c:pt>
                <c:pt idx="11">
                  <c:v>29.080321749807403</c:v>
                </c:pt>
                <c:pt idx="12">
                  <c:v>29.298945315051832</c:v>
                </c:pt>
                <c:pt idx="13">
                  <c:v>29.521771385926854</c:v>
                </c:pt>
                <c:pt idx="14">
                  <c:v>29.749137598631854</c:v>
                </c:pt>
                <c:pt idx="15">
                  <c:v>29.981234202139962</c:v>
                </c:pt>
                <c:pt idx="16">
                  <c:v>30.218206517687477</c:v>
                </c:pt>
                <c:pt idx="17">
                  <c:v>30.460391276008746</c:v>
                </c:pt>
                <c:pt idx="18">
                  <c:v>30.708124858330986</c:v>
                </c:pt>
                <c:pt idx="19">
                  <c:v>30.961743075195585</c:v>
                </c:pt>
                <c:pt idx="20">
                  <c:v>31.221581346245362</c:v>
                </c:pt>
                <c:pt idx="21">
                  <c:v>31.487974974283446</c:v>
                </c:pt>
                <c:pt idx="22">
                  <c:v>31.762810189475179</c:v>
                </c:pt>
                <c:pt idx="23">
                  <c:v>32.04698090290421</c:v>
                </c:pt>
                <c:pt idx="24">
                  <c:v>32.33943167864318</c:v>
                </c:pt>
                <c:pt idx="25">
                  <c:v>32.639048733121669</c:v>
                </c:pt>
                <c:pt idx="26">
                  <c:v>32.944719468354059</c:v>
                </c:pt>
                <c:pt idx="27">
                  <c:v>33.255332477161417</c:v>
                </c:pt>
                <c:pt idx="28">
                  <c:v>33.569777526416964</c:v>
                </c:pt>
                <c:pt idx="29">
                  <c:v>33.886935360188659</c:v>
                </c:pt>
                <c:pt idx="30">
                  <c:v>34.205844137848445</c:v>
                </c:pt>
                <c:pt idx="31">
                  <c:v>34.525396888337582</c:v>
                </c:pt>
                <c:pt idx="32">
                  <c:v>34.844487800174427</c:v>
                </c:pt>
                <c:pt idx="33">
                  <c:v>35.162012216826128</c:v>
                </c:pt>
                <c:pt idx="34">
                  <c:v>35.476866633535629</c:v>
                </c:pt>
                <c:pt idx="35">
                  <c:v>35.787948692178226</c:v>
                </c:pt>
                <c:pt idx="36">
                  <c:v>36.098005348387915</c:v>
                </c:pt>
                <c:pt idx="37">
                  <c:v>36.410178657905888</c:v>
                </c:pt>
                <c:pt idx="38">
                  <c:v>36.72399079595219</c:v>
                </c:pt>
                <c:pt idx="39">
                  <c:v>37.038939179077374</c:v>
                </c:pt>
                <c:pt idx="40">
                  <c:v>37.35452175097565</c:v>
                </c:pt>
                <c:pt idx="41">
                  <c:v>37.670236976615435</c:v>
                </c:pt>
                <c:pt idx="42">
                  <c:v>37.985583838781601</c:v>
                </c:pt>
                <c:pt idx="43">
                  <c:v>38.300064737501977</c:v>
                </c:pt>
                <c:pt idx="44">
                  <c:v>38.613190326749859</c:v>
                </c:pt>
                <c:pt idx="45">
                  <c:v>38.924461238659866</c:v>
                </c:pt>
                <c:pt idx="46">
                  <c:v>39.233378611447279</c:v>
                </c:pt>
                <c:pt idx="47">
                  <c:v>39.539444082593207</c:v>
                </c:pt>
                <c:pt idx="48">
                  <c:v>39.842159785446277</c:v>
                </c:pt>
                <c:pt idx="49">
                  <c:v>40.141028339152065</c:v>
                </c:pt>
                <c:pt idx="50">
                  <c:v>40.436586473073469</c:v>
                </c:pt>
                <c:pt idx="51">
                  <c:v>40.729790204340603</c:v>
                </c:pt>
                <c:pt idx="52">
                  <c:v>41.0207453009604</c:v>
                </c:pt>
                <c:pt idx="53">
                  <c:v>41.309553913253204</c:v>
                </c:pt>
                <c:pt idx="54">
                  <c:v>41.596317879126929</c:v>
                </c:pt>
                <c:pt idx="55">
                  <c:v>41.88113889157345</c:v>
                </c:pt>
                <c:pt idx="56">
                  <c:v>42.164118496788944</c:v>
                </c:pt>
                <c:pt idx="57">
                  <c:v>42.445410536271162</c:v>
                </c:pt>
                <c:pt idx="58">
                  <c:v>42.725113330667853</c:v>
                </c:pt>
                <c:pt idx="59">
                  <c:v>43.003327963483912</c:v>
                </c:pt>
                <c:pt idx="60">
                  <c:v>43.280155358856696</c:v>
                </c:pt>
                <c:pt idx="61">
                  <c:v>43.555696281569865</c:v>
                </c:pt>
                <c:pt idx="62">
                  <c:v>43.830051334021086</c:v>
                </c:pt>
                <c:pt idx="63">
                  <c:v>44.103320956801625</c:v>
                </c:pt>
                <c:pt idx="64">
                  <c:v>44.376004139006454</c:v>
                </c:pt>
                <c:pt idx="65">
                  <c:v>44.648348648244429</c:v>
                </c:pt>
                <c:pt idx="66">
                  <c:v>44.920035665419242</c:v>
                </c:pt>
                <c:pt idx="67">
                  <c:v>45.190766491502139</c:v>
                </c:pt>
                <c:pt idx="68">
                  <c:v>45.460242669943298</c:v>
                </c:pt>
                <c:pt idx="69">
                  <c:v>45.728165988180436</c:v>
                </c:pt>
                <c:pt idx="70">
                  <c:v>45.994238479247358</c:v>
                </c:pt>
                <c:pt idx="71">
                  <c:v>46.258134536001833</c:v>
                </c:pt>
                <c:pt idx="72">
                  <c:v>46.519504143908584</c:v>
                </c:pt>
                <c:pt idx="73">
                  <c:v>46.778050033603243</c:v>
                </c:pt>
                <c:pt idx="74">
                  <c:v>47.033475176088139</c:v>
                </c:pt>
                <c:pt idx="75">
                  <c:v>47.285482788491635</c:v>
                </c:pt>
                <c:pt idx="76">
                  <c:v>47.53377632857061</c:v>
                </c:pt>
                <c:pt idx="77">
                  <c:v>47.778059503914115</c:v>
                </c:pt>
                <c:pt idx="78">
                  <c:v>48.020287793735633</c:v>
                </c:pt>
                <c:pt idx="79">
                  <c:v>48.262136289449138</c:v>
                </c:pt>
                <c:pt idx="80">
                  <c:v>48.502893875129729</c:v>
                </c:pt>
                <c:pt idx="81">
                  <c:v>48.741865335713825</c:v>
                </c:pt>
                <c:pt idx="82">
                  <c:v>48.978356093030214</c:v>
                </c:pt>
                <c:pt idx="83">
                  <c:v>49.211672207608835</c:v>
                </c:pt>
                <c:pt idx="84">
                  <c:v>49.44112038289353</c:v>
                </c:pt>
                <c:pt idx="85">
                  <c:v>49.665992040560376</c:v>
                </c:pt>
                <c:pt idx="86">
                  <c:v>49.885623176570213</c:v>
                </c:pt>
                <c:pt idx="87">
                  <c:v>50.099322442217684</c:v>
                </c:pt>
                <c:pt idx="88">
                  <c:v>50.30639914725959</c:v>
                </c:pt>
                <c:pt idx="89">
                  <c:v>50.506163259398058</c:v>
                </c:pt>
                <c:pt idx="90">
                  <c:v>50.697925416621914</c:v>
                </c:pt>
                <c:pt idx="91">
                  <c:v>50.88099692224246</c:v>
                </c:pt>
                <c:pt idx="92">
                  <c:v>51.055349678135272</c:v>
                </c:pt>
                <c:pt idx="93">
                  <c:v>51.221712486357418</c:v>
                </c:pt>
                <c:pt idx="94">
                  <c:v>51.380597768295743</c:v>
                </c:pt>
                <c:pt idx="95">
                  <c:v>51.532503799984646</c:v>
                </c:pt>
                <c:pt idx="96">
                  <c:v>51.677928335742386</c:v>
                </c:pt>
                <c:pt idx="97">
                  <c:v>51.817368610775247</c:v>
                </c:pt>
                <c:pt idx="98">
                  <c:v>51.951321335124405</c:v>
                </c:pt>
                <c:pt idx="99">
                  <c:v>52.080207289747207</c:v>
                </c:pt>
                <c:pt idx="100">
                  <c:v>52.204537845534411</c:v>
                </c:pt>
                <c:pt idx="101">
                  <c:v>52.324807473443336</c:v>
                </c:pt>
                <c:pt idx="102">
                  <c:v>52.441510053495449</c:v>
                </c:pt>
                <c:pt idx="103">
                  <c:v>52.555138878640918</c:v>
                </c:pt>
                <c:pt idx="104">
                  <c:v>52.666186652208445</c:v>
                </c:pt>
                <c:pt idx="105">
                  <c:v>52.775145482752826</c:v>
                </c:pt>
                <c:pt idx="106">
                  <c:v>52.88148761262628</c:v>
                </c:pt>
                <c:pt idx="107">
                  <c:v>52.984214126809619</c:v>
                </c:pt>
                <c:pt idx="108">
                  <c:v>53.083261610857967</c:v>
                </c:pt>
                <c:pt idx="109">
                  <c:v>53.17853021202901</c:v>
                </c:pt>
                <c:pt idx="110">
                  <c:v>53.269919994625546</c:v>
                </c:pt>
                <c:pt idx="111">
                  <c:v>53.357330994152989</c:v>
                </c:pt>
                <c:pt idx="112">
                  <c:v>53.440663295211863</c:v>
                </c:pt>
                <c:pt idx="113">
                  <c:v>53.519773216182053</c:v>
                </c:pt>
                <c:pt idx="114">
                  <c:v>53.594640849761667</c:v>
                </c:pt>
                <c:pt idx="115">
                  <c:v>53.665166934242734</c:v>
                </c:pt>
                <c:pt idx="116">
                  <c:v>53.731252274535102</c:v>
                </c:pt>
                <c:pt idx="117">
                  <c:v>53.792797750461254</c:v>
                </c:pt>
                <c:pt idx="118">
                  <c:v>53.849704330433411</c:v>
                </c:pt>
                <c:pt idx="119">
                  <c:v>53.901873082674157</c:v>
                </c:pt>
                <c:pt idx="120">
                  <c:v>53.948812066032609</c:v>
                </c:pt>
                <c:pt idx="121">
                  <c:v>53.990248901026625</c:v>
                </c:pt>
                <c:pt idx="122">
                  <c:v>54.026561507277009</c:v>
                </c:pt>
                <c:pt idx="123">
                  <c:v>54.058045190006105</c:v>
                </c:pt>
                <c:pt idx="124">
                  <c:v>54.084995041883197</c:v>
                </c:pt>
                <c:pt idx="125">
                  <c:v>54.107705953056161</c:v>
                </c:pt>
                <c:pt idx="126">
                  <c:v>54.126472623516463</c:v>
                </c:pt>
                <c:pt idx="127">
                  <c:v>54.141587031164384</c:v>
                </c:pt>
                <c:pt idx="128">
                  <c:v>54.153391889807551</c:v>
                </c:pt>
                <c:pt idx="129">
                  <c:v>54.162182463886005</c:v>
                </c:pt>
                <c:pt idx="130">
                  <c:v>54.168253915925732</c:v>
                </c:pt>
                <c:pt idx="131">
                  <c:v>54.171901323750191</c:v>
                </c:pt>
                <c:pt idx="132">
                  <c:v>54.173419686304157</c:v>
                </c:pt>
                <c:pt idx="133">
                  <c:v>54.17310393582224</c:v>
                </c:pt>
                <c:pt idx="134">
                  <c:v>54.170302503734653</c:v>
                </c:pt>
                <c:pt idx="135">
                  <c:v>54.164248464612697</c:v>
                </c:pt>
                <c:pt idx="136">
                  <c:v>54.155091087738398</c:v>
                </c:pt>
                <c:pt idx="137">
                  <c:v>54.142932836232845</c:v>
                </c:pt>
                <c:pt idx="138">
                  <c:v>54.127876398481497</c:v>
                </c:pt>
                <c:pt idx="139">
                  <c:v>54.110024688871768</c:v>
                </c:pt>
                <c:pt idx="140">
                  <c:v>54.089480850882019</c:v>
                </c:pt>
                <c:pt idx="141">
                  <c:v>54.06632511905589</c:v>
                </c:pt>
                <c:pt idx="142">
                  <c:v>54.040664642577212</c:v>
                </c:pt>
                <c:pt idx="143">
                  <c:v>54.012603927325657</c:v>
                </c:pt>
                <c:pt idx="144">
                  <c:v>53.982246759444443</c:v>
                </c:pt>
                <c:pt idx="145">
                  <c:v>53.949697102310211</c:v>
                </c:pt>
                <c:pt idx="146">
                  <c:v>53.915059090058726</c:v>
                </c:pt>
                <c:pt idx="147">
                  <c:v>53.878437011428566</c:v>
                </c:pt>
                <c:pt idx="148">
                  <c:v>53.839902786482909</c:v>
                </c:pt>
                <c:pt idx="149">
                  <c:v>53.799477134685546</c:v>
                </c:pt>
                <c:pt idx="150">
                  <c:v>53.757055844276401</c:v>
                </c:pt>
                <c:pt idx="151">
                  <c:v>53.712550505455127</c:v>
                </c:pt>
                <c:pt idx="152">
                  <c:v>53.665872968852007</c:v>
                </c:pt>
                <c:pt idx="153">
                  <c:v>53.616935314991217</c:v>
                </c:pt>
                <c:pt idx="154">
                  <c:v>53.56564982392122</c:v>
                </c:pt>
                <c:pt idx="155">
                  <c:v>53.512144584111532</c:v>
                </c:pt>
                <c:pt idx="156">
                  <c:v>53.456359984107387</c:v>
                </c:pt>
                <c:pt idx="157">
                  <c:v>53.398212417119822</c:v>
                </c:pt>
                <c:pt idx="158">
                  <c:v>53.337618177585462</c:v>
                </c:pt>
                <c:pt idx="159">
                  <c:v>53.2744934184445</c:v>
                </c:pt>
                <c:pt idx="160">
                  <c:v>53.208754102064532</c:v>
                </c:pt>
                <c:pt idx="161">
                  <c:v>53.140315958982697</c:v>
                </c:pt>
                <c:pt idx="162">
                  <c:v>53.068495316261973</c:v>
                </c:pt>
                <c:pt idx="163">
                  <c:v>52.993007120840488</c:v>
                </c:pt>
                <c:pt idx="164">
                  <c:v>52.914166928430404</c:v>
                </c:pt>
                <c:pt idx="165">
                  <c:v>52.832374772758747</c:v>
                </c:pt>
                <c:pt idx="166">
                  <c:v>52.748029755120051</c:v>
                </c:pt>
                <c:pt idx="167">
                  <c:v>52.661530028959234</c:v>
                </c:pt>
                <c:pt idx="168">
                  <c:v>52.573272774433711</c:v>
                </c:pt>
                <c:pt idx="169">
                  <c:v>52.483731468426562</c:v>
                </c:pt>
                <c:pt idx="170">
                  <c:v>52.393071007823451</c:v>
                </c:pt>
                <c:pt idx="171">
                  <c:v>52.301684313568735</c:v>
                </c:pt>
                <c:pt idx="172">
                  <c:v>52.209963424766308</c:v>
                </c:pt>
                <c:pt idx="173">
                  <c:v>52.118302713533595</c:v>
                </c:pt>
                <c:pt idx="174">
                  <c:v>52.027095887841377</c:v>
                </c:pt>
                <c:pt idx="175">
                  <c:v>51.936732661714508</c:v>
                </c:pt>
                <c:pt idx="176">
                  <c:v>51.846633837130824</c:v>
                </c:pt>
                <c:pt idx="177">
                  <c:v>51.756198887144173</c:v>
                </c:pt>
                <c:pt idx="178">
                  <c:v>51.665350614804169</c:v>
                </c:pt>
                <c:pt idx="179">
                  <c:v>51.574090859105127</c:v>
                </c:pt>
                <c:pt idx="180">
                  <c:v>51.482420871381805</c:v>
                </c:pt>
                <c:pt idx="181">
                  <c:v>51.390341336197444</c:v>
                </c:pt>
                <c:pt idx="182">
                  <c:v>51.297852398021774</c:v>
                </c:pt>
                <c:pt idx="183">
                  <c:v>51.205047535392879</c:v>
                </c:pt>
                <c:pt idx="184">
                  <c:v>51.111844254258742</c:v>
                </c:pt>
                <c:pt idx="185">
                  <c:v>51.018241163835988</c:v>
                </c:pt>
                <c:pt idx="186">
                  <c:v>50.924236460202728</c:v>
                </c:pt>
                <c:pt idx="187">
                  <c:v>50.829827963666361</c:v>
                </c:pt>
                <c:pt idx="188">
                  <c:v>50.735013158065847</c:v>
                </c:pt>
                <c:pt idx="189">
                  <c:v>50.639789230975303</c:v>
                </c:pt>
                <c:pt idx="190">
                  <c:v>50.543735047331431</c:v>
                </c:pt>
                <c:pt idx="191">
                  <c:v>50.446534765213897</c:v>
                </c:pt>
                <c:pt idx="192">
                  <c:v>50.348136254451724</c:v>
                </c:pt>
                <c:pt idx="193">
                  <c:v>50.248728773555591</c:v>
                </c:pt>
                <c:pt idx="194">
                  <c:v>50.148501423368536</c:v>
                </c:pt>
                <c:pt idx="195">
                  <c:v>50.047643172279777</c:v>
                </c:pt>
                <c:pt idx="196">
                  <c:v>49.946342881907846</c:v>
                </c:pt>
                <c:pt idx="197">
                  <c:v>49.844808320002159</c:v>
                </c:pt>
                <c:pt idx="198">
                  <c:v>49.743132142709968</c:v>
                </c:pt>
                <c:pt idx="199">
                  <c:v>49.641502818928423</c:v>
                </c:pt>
                <c:pt idx="200">
                  <c:v>49.540108822682122</c:v>
                </c:pt>
                <c:pt idx="201">
                  <c:v>49.439138644335877</c:v>
                </c:pt>
                <c:pt idx="202">
                  <c:v>49.338780800313174</c:v>
                </c:pt>
                <c:pt idx="203">
                  <c:v>49.239223841074597</c:v>
                </c:pt>
                <c:pt idx="204">
                  <c:v>49.140384193411791</c:v>
                </c:pt>
                <c:pt idx="205">
                  <c:v>49.041982304979463</c:v>
                </c:pt>
                <c:pt idx="206">
                  <c:v>48.943941724647331</c:v>
                </c:pt>
                <c:pt idx="207">
                  <c:v>48.846163443017289</c:v>
                </c:pt>
                <c:pt idx="208">
                  <c:v>48.748548728607545</c:v>
                </c:pt>
                <c:pt idx="209">
                  <c:v>48.650999124180927</c:v>
                </c:pt>
                <c:pt idx="210">
                  <c:v>48.553416441927567</c:v>
                </c:pt>
                <c:pt idx="211">
                  <c:v>48.455636413085493</c:v>
                </c:pt>
                <c:pt idx="212">
                  <c:v>48.357542227878035</c:v>
                </c:pt>
                <c:pt idx="213">
                  <c:v>48.259036429443718</c:v>
                </c:pt>
                <c:pt idx="214">
                  <c:v>48.160021816620713</c:v>
                </c:pt>
                <c:pt idx="215">
                  <c:v>48.060401433879868</c:v>
                </c:pt>
                <c:pt idx="216">
                  <c:v>47.960078559659266</c:v>
                </c:pt>
                <c:pt idx="217">
                  <c:v>47.858956696453269</c:v>
                </c:pt>
                <c:pt idx="218">
                  <c:v>47.757007698222615</c:v>
                </c:pt>
                <c:pt idx="219">
                  <c:v>47.654248914989395</c:v>
                </c:pt>
                <c:pt idx="220">
                  <c:v>47.550763360891011</c:v>
                </c:pt>
                <c:pt idx="221">
                  <c:v>47.446630026749453</c:v>
                </c:pt>
                <c:pt idx="222">
                  <c:v>47.341927938326833</c:v>
                </c:pt>
                <c:pt idx="223">
                  <c:v>47.236736147793088</c:v>
                </c:pt>
                <c:pt idx="224">
                  <c:v>47.13113372599382</c:v>
                </c:pt>
                <c:pt idx="225">
                  <c:v>47.025072868799128</c:v>
                </c:pt>
                <c:pt idx="226">
                  <c:v>46.918699117712279</c:v>
                </c:pt>
                <c:pt idx="227">
                  <c:v>46.812091615301632</c:v>
                </c:pt>
                <c:pt idx="228">
                  <c:v>46.705329505351017</c:v>
                </c:pt>
                <c:pt idx="229">
                  <c:v>46.598491928167597</c:v>
                </c:pt>
                <c:pt idx="230">
                  <c:v>46.491658017398024</c:v>
                </c:pt>
                <c:pt idx="231">
                  <c:v>46.384906897038491</c:v>
                </c:pt>
                <c:pt idx="232">
                  <c:v>46.279082615169962</c:v>
                </c:pt>
                <c:pt idx="233">
                  <c:v>46.174548311925882</c:v>
                </c:pt>
                <c:pt idx="234">
                  <c:v>46.070930750898015</c:v>
                </c:pt>
                <c:pt idx="235">
                  <c:v>45.967785872661914</c:v>
                </c:pt>
                <c:pt idx="236">
                  <c:v>45.864670038425146</c:v>
                </c:pt>
                <c:pt idx="237">
                  <c:v>45.761140071693546</c:v>
                </c:pt>
                <c:pt idx="238">
                  <c:v>45.656753224142427</c:v>
                </c:pt>
                <c:pt idx="239">
                  <c:v>45.550999218184231</c:v>
                </c:pt>
                <c:pt idx="240">
                  <c:v>45.443562341477325</c:v>
                </c:pt>
                <c:pt idx="241">
                  <c:v>45.334000975237593</c:v>
                </c:pt>
                <c:pt idx="242">
                  <c:v>45.221873913834038</c:v>
                </c:pt>
                <c:pt idx="243">
                  <c:v>45.106740365967077</c:v>
                </c:pt>
                <c:pt idx="244">
                  <c:v>44.988159951744358</c:v>
                </c:pt>
                <c:pt idx="245">
                  <c:v>44.865692704762196</c:v>
                </c:pt>
                <c:pt idx="246">
                  <c:v>44.740629763173004</c:v>
                </c:pt>
                <c:pt idx="247">
                  <c:v>44.614337055781107</c:v>
                </c:pt>
                <c:pt idx="248">
                  <c:v>44.486659286692557</c:v>
                </c:pt>
                <c:pt idx="249">
                  <c:v>44.357310776518474</c:v>
                </c:pt>
                <c:pt idx="250">
                  <c:v>44.226006128520758</c:v>
                </c:pt>
                <c:pt idx="251">
                  <c:v>44.092460224618975</c:v>
                </c:pt>
                <c:pt idx="252">
                  <c:v>43.956388229306789</c:v>
                </c:pt>
                <c:pt idx="253">
                  <c:v>43.817489126747667</c:v>
                </c:pt>
                <c:pt idx="254">
                  <c:v>43.675545830322186</c:v>
                </c:pt>
                <c:pt idx="255">
                  <c:v>43.530274163752388</c:v>
                </c:pt>
                <c:pt idx="256">
                  <c:v>43.381390202000318</c:v>
                </c:pt>
                <c:pt idx="257">
                  <c:v>43.228610262939554</c:v>
                </c:pt>
                <c:pt idx="258">
                  <c:v>43.071650908531403</c:v>
                </c:pt>
                <c:pt idx="259">
                  <c:v>42.910228930442699</c:v>
                </c:pt>
                <c:pt idx="260">
                  <c:v>42.744640799888145</c:v>
                </c:pt>
                <c:pt idx="261">
                  <c:v>42.575377157972994</c:v>
                </c:pt>
                <c:pt idx="262">
                  <c:v>42.402532605123916</c:v>
                </c:pt>
                <c:pt idx="263">
                  <c:v>42.226174430887475</c:v>
                </c:pt>
                <c:pt idx="264">
                  <c:v>42.046369879187395</c:v>
                </c:pt>
                <c:pt idx="265">
                  <c:v>41.863185847902159</c:v>
                </c:pt>
                <c:pt idx="266">
                  <c:v>41.676689300412583</c:v>
                </c:pt>
                <c:pt idx="267">
                  <c:v>41.48698091928653</c:v>
                </c:pt>
                <c:pt idx="268">
                  <c:v>41.29414348143127</c:v>
                </c:pt>
                <c:pt idx="269">
                  <c:v>41.098243583469554</c:v>
                </c:pt>
                <c:pt idx="270">
                  <c:v>40.899347706611856</c:v>
                </c:pt>
                <c:pt idx="271">
                  <c:v>40.69752220458868</c:v>
                </c:pt>
                <c:pt idx="272">
                  <c:v>40.492833296516864</c:v>
                </c:pt>
                <c:pt idx="273">
                  <c:v>40.285347051670762</c:v>
                </c:pt>
                <c:pt idx="274">
                  <c:v>40.074524932089986</c:v>
                </c:pt>
                <c:pt idx="275">
                  <c:v>39.860011064219648</c:v>
                </c:pt>
                <c:pt idx="276">
                  <c:v>39.642050594422919</c:v>
                </c:pt>
                <c:pt idx="277">
                  <c:v>39.420850059819443</c:v>
                </c:pt>
                <c:pt idx="278">
                  <c:v>39.196615593938205</c:v>
                </c:pt>
                <c:pt idx="279">
                  <c:v>38.969552921157501</c:v>
                </c:pt>
                <c:pt idx="280">
                  <c:v>38.739867343602867</c:v>
                </c:pt>
                <c:pt idx="281">
                  <c:v>38.507800086945451</c:v>
                </c:pt>
                <c:pt idx="282">
                  <c:v>38.273523104276094</c:v>
                </c:pt>
                <c:pt idx="283">
                  <c:v>38.037240323572348</c:v>
                </c:pt>
                <c:pt idx="284">
                  <c:v>37.799155225592273</c:v>
                </c:pt>
                <c:pt idx="285">
                  <c:v>37.55947084507639</c:v>
                </c:pt>
                <c:pt idx="286">
                  <c:v>37.318389773009066</c:v>
                </c:pt>
                <c:pt idx="287">
                  <c:v>37.076114159685943</c:v>
                </c:pt>
                <c:pt idx="288">
                  <c:v>36.83253772738005</c:v>
                </c:pt>
                <c:pt idx="289">
                  <c:v>36.58736265402375</c:v>
                </c:pt>
                <c:pt idx="290">
                  <c:v>36.340407936862114</c:v>
                </c:pt>
                <c:pt idx="291">
                  <c:v>36.091575917568704</c:v>
                </c:pt>
                <c:pt idx="292">
                  <c:v>35.840768750738185</c:v>
                </c:pt>
                <c:pt idx="293">
                  <c:v>35.587888414660128</c:v>
                </c:pt>
                <c:pt idx="294">
                  <c:v>35.332836722696655</c:v>
                </c:pt>
                <c:pt idx="295">
                  <c:v>35.075506111752951</c:v>
                </c:pt>
                <c:pt idx="296">
                  <c:v>34.815763834561338</c:v>
                </c:pt>
                <c:pt idx="297">
                  <c:v>34.553511603139611</c:v>
                </c:pt>
                <c:pt idx="298">
                  <c:v>34.288651618851517</c:v>
                </c:pt>
                <c:pt idx="299">
                  <c:v>34.0210860308054</c:v>
                </c:pt>
                <c:pt idx="300">
                  <c:v>33.750716950454013</c:v>
                </c:pt>
                <c:pt idx="301">
                  <c:v>33.477446473304497</c:v>
                </c:pt>
                <c:pt idx="302">
                  <c:v>33.198546581624228</c:v>
                </c:pt>
                <c:pt idx="303">
                  <c:v>32.912074127022287</c:v>
                </c:pt>
                <c:pt idx="304">
                  <c:v>32.619345351447095</c:v>
                </c:pt>
                <c:pt idx="305">
                  <c:v>32.32168393051203</c:v>
                </c:pt>
                <c:pt idx="306">
                  <c:v>32.020412971791195</c:v>
                </c:pt>
                <c:pt idx="307">
                  <c:v>31.716855031732987</c:v>
                </c:pt>
                <c:pt idx="308">
                  <c:v>31.412332124181656</c:v>
                </c:pt>
                <c:pt idx="309">
                  <c:v>31.108009100169319</c:v>
                </c:pt>
                <c:pt idx="310">
                  <c:v>30.805218574665631</c:v>
                </c:pt>
                <c:pt idx="311">
                  <c:v>30.505284082004213</c:v>
                </c:pt>
                <c:pt idx="312">
                  <c:v>30.209528569643759</c:v>
                </c:pt>
                <c:pt idx="313">
                  <c:v>29.919274373050001</c:v>
                </c:pt>
                <c:pt idx="314">
                  <c:v>29.635843198767081</c:v>
                </c:pt>
                <c:pt idx="315">
                  <c:v>29.360556095279041</c:v>
                </c:pt>
                <c:pt idx="316">
                  <c:v>29.090613821009985</c:v>
                </c:pt>
                <c:pt idx="317">
                  <c:v>28.822569317173897</c:v>
                </c:pt>
                <c:pt idx="318">
                  <c:v>28.556947026316138</c:v>
                </c:pt>
                <c:pt idx="319">
                  <c:v>28.294123057028219</c:v>
                </c:pt>
                <c:pt idx="320">
                  <c:v>28.034473332584586</c:v>
                </c:pt>
                <c:pt idx="321">
                  <c:v>27.778373596093186</c:v>
                </c:pt>
                <c:pt idx="322">
                  <c:v>27.526199398745575</c:v>
                </c:pt>
                <c:pt idx="323">
                  <c:v>27.278407591556125</c:v>
                </c:pt>
                <c:pt idx="324">
                  <c:v>27.035513241905011</c:v>
                </c:pt>
                <c:pt idx="325">
                  <c:v>26.797887356799116</c:v>
                </c:pt>
                <c:pt idx="326">
                  <c:v>26.565901628069863</c:v>
                </c:pt>
                <c:pt idx="327">
                  <c:v>26.339927439335483</c:v>
                </c:pt>
                <c:pt idx="328">
                  <c:v>26.120335710094658</c:v>
                </c:pt>
                <c:pt idx="329">
                  <c:v>25.907497383678368</c:v>
                </c:pt>
                <c:pt idx="330">
                  <c:v>25.697372799911363</c:v>
                </c:pt>
                <c:pt idx="331">
                  <c:v>25.486955442510485</c:v>
                </c:pt>
                <c:pt idx="332">
                  <c:v>25.277858750004643</c:v>
                </c:pt>
                <c:pt idx="333">
                  <c:v>25.071677237516266</c:v>
                </c:pt>
                <c:pt idx="334">
                  <c:v>24.870005124388154</c:v>
                </c:pt>
                <c:pt idx="335">
                  <c:v>24.674436297618939</c:v>
                </c:pt>
                <c:pt idx="336">
                  <c:v>24.486564286088644</c:v>
                </c:pt>
                <c:pt idx="337">
                  <c:v>24.308045376412927</c:v>
                </c:pt>
                <c:pt idx="338">
                  <c:v>24.140396012016822</c:v>
                </c:pt>
                <c:pt idx="339">
                  <c:v>23.985208600601339</c:v>
                </c:pt>
                <c:pt idx="340">
                  <c:v>23.844075007546419</c:v>
                </c:pt>
                <c:pt idx="341">
                  <c:v>23.718586541262273</c:v>
                </c:pt>
                <c:pt idx="342">
                  <c:v>23.610333903818887</c:v>
                </c:pt>
                <c:pt idx="343">
                  <c:v>23.52090713086444</c:v>
                </c:pt>
                <c:pt idx="344">
                  <c:v>23.448878112984477</c:v>
                </c:pt>
                <c:pt idx="345">
                  <c:v>23.391454274098226</c:v>
                </c:pt>
                <c:pt idx="346">
                  <c:v>23.34788894029063</c:v>
                </c:pt>
                <c:pt idx="347">
                  <c:v>23.317727778773076</c:v>
                </c:pt>
                <c:pt idx="348">
                  <c:v>23.300516652738008</c:v>
                </c:pt>
                <c:pt idx="349">
                  <c:v>23.295801612887555</c:v>
                </c:pt>
                <c:pt idx="350">
                  <c:v>23.303128906678317</c:v>
                </c:pt>
                <c:pt idx="351">
                  <c:v>23.321959022770947</c:v>
                </c:pt>
                <c:pt idx="352">
                  <c:v>23.351778243355849</c:v>
                </c:pt>
                <c:pt idx="353">
                  <c:v>23.392133925173368</c:v>
                </c:pt>
                <c:pt idx="354">
                  <c:v>23.442573500844826</c:v>
                </c:pt>
                <c:pt idx="355">
                  <c:v>23.502644478139882</c:v>
                </c:pt>
                <c:pt idx="356">
                  <c:v>23.571894971381454</c:v>
                </c:pt>
                <c:pt idx="357">
                  <c:v>23.649872282932645</c:v>
                </c:pt>
                <c:pt idx="358">
                  <c:v>23.740430732590124</c:v>
                </c:pt>
                <c:pt idx="359">
                  <c:v>23.84681305127139</c:v>
                </c:pt>
                <c:pt idx="360">
                  <c:v>23.96771092249061</c:v>
                </c:pt>
                <c:pt idx="361">
                  <c:v>24.101841540498295</c:v>
                </c:pt>
                <c:pt idx="362">
                  <c:v>24.247837606014912</c:v>
                </c:pt>
                <c:pt idx="363">
                  <c:v>24.40433262764904</c:v>
                </c:pt>
                <c:pt idx="364">
                  <c:v>24.569960916728842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26.35</c:v>
                </c:pt>
                <c:pt idx="1">
                  <c:v>18.411999999999999</c:v>
                </c:pt>
                <c:pt idx="2">
                  <c:v>19.501000000000001</c:v>
                </c:pt>
                <c:pt idx="3">
                  <c:v>20.385999999999999</c:v>
                </c:pt>
                <c:pt idx="4">
                  <c:v>14.398</c:v>
                </c:pt>
                <c:pt idx="5">
                  <c:v>26.477</c:v>
                </c:pt>
                <c:pt idx="6">
                  <c:v>9.6219999999999999</c:v>
                </c:pt>
                <c:pt idx="7">
                  <c:v>5.577</c:v>
                </c:pt>
                <c:pt idx="8">
                  <c:v>1.6580000000000001</c:v>
                </c:pt>
                <c:pt idx="9">
                  <c:v>1.534</c:v>
                </c:pt>
                <c:pt idx="10">
                  <c:v>28.456</c:v>
                </c:pt>
                <c:pt idx="11">
                  <c:v>23.076000000000001</c:v>
                </c:pt>
                <c:pt idx="12">
                  <c:v>5.391</c:v>
                </c:pt>
                <c:pt idx="13">
                  <c:v>29.524000000000001</c:v>
                </c:pt>
                <c:pt idx="14">
                  <c:v>29.355</c:v>
                </c:pt>
                <c:pt idx="15">
                  <c:v>29.032</c:v>
                </c:pt>
                <c:pt idx="16">
                  <c:v>20.119</c:v>
                </c:pt>
                <c:pt idx="17">
                  <c:v>4.3040000000000003</c:v>
                </c:pt>
                <c:pt idx="18">
                  <c:v>10.425000000000001</c:v>
                </c:pt>
                <c:pt idx="19">
                  <c:v>5.7540000000000004</c:v>
                </c:pt>
                <c:pt idx="20">
                  <c:v>16.926000000000002</c:v>
                </c:pt>
                <c:pt idx="21">
                  <c:v>30.571999999999999</c:v>
                </c:pt>
                <c:pt idx="22">
                  <c:v>30.629000000000001</c:v>
                </c:pt>
                <c:pt idx="23">
                  <c:v>30.913</c:v>
                </c:pt>
                <c:pt idx="24">
                  <c:v>30.443999999999999</c:v>
                </c:pt>
                <c:pt idx="25">
                  <c:v>31.224</c:v>
                </c:pt>
                <c:pt idx="26">
                  <c:v>30.933</c:v>
                </c:pt>
                <c:pt idx="27">
                  <c:v>4.1900000000000004</c:v>
                </c:pt>
                <c:pt idx="28">
                  <c:v>6.2279999999999998</c:v>
                </c:pt>
                <c:pt idx="29">
                  <c:v>5.1059999999999999</c:v>
                </c:pt>
                <c:pt idx="30">
                  <c:v>7.0049999999999999</c:v>
                </c:pt>
                <c:pt idx="31">
                  <c:v>14.49</c:v>
                </c:pt>
                <c:pt idx="32">
                  <c:v>5.452</c:v>
                </c:pt>
                <c:pt idx="33">
                  <c:v>11.923</c:v>
                </c:pt>
                <c:pt idx="34">
                  <c:v>11.433</c:v>
                </c:pt>
                <c:pt idx="35">
                  <c:v>10.8</c:v>
                </c:pt>
                <c:pt idx="36">
                  <c:v>23.829000000000001</c:v>
                </c:pt>
                <c:pt idx="37">
                  <c:v>9.3830000000000009</c:v>
                </c:pt>
                <c:pt idx="38">
                  <c:v>36.234999999999999</c:v>
                </c:pt>
                <c:pt idx="39">
                  <c:v>36.31</c:v>
                </c:pt>
                <c:pt idx="40">
                  <c:v>33.731999999999999</c:v>
                </c:pt>
                <c:pt idx="41">
                  <c:v>16.978000000000002</c:v>
                </c:pt>
                <c:pt idx="42">
                  <c:v>28.234000000000002</c:v>
                </c:pt>
                <c:pt idx="43">
                  <c:v>34.497999999999998</c:v>
                </c:pt>
                <c:pt idx="44">
                  <c:v>19.135000000000002</c:v>
                </c:pt>
                <c:pt idx="45">
                  <c:v>18.853999999999999</c:v>
                </c:pt>
                <c:pt idx="46">
                  <c:v>8.1989999999999998</c:v>
                </c:pt>
                <c:pt idx="47">
                  <c:v>9.58</c:v>
                </c:pt>
                <c:pt idx="48">
                  <c:v>31.393000000000001</c:v>
                </c:pt>
                <c:pt idx="49">
                  <c:v>19.138999999999999</c:v>
                </c:pt>
                <c:pt idx="50">
                  <c:v>22.556000000000001</c:v>
                </c:pt>
                <c:pt idx="51">
                  <c:v>22.206</c:v>
                </c:pt>
                <c:pt idx="52">
                  <c:v>36.356999999999999</c:v>
                </c:pt>
                <c:pt idx="53">
                  <c:v>37.917999999999999</c:v>
                </c:pt>
                <c:pt idx="54">
                  <c:v>21.565999999999999</c:v>
                </c:pt>
                <c:pt idx="55">
                  <c:v>31.361000000000001</c:v>
                </c:pt>
                <c:pt idx="56">
                  <c:v>42.322499999999998</c:v>
                </c:pt>
                <c:pt idx="57">
                  <c:v>29.204000000000001</c:v>
                </c:pt>
                <c:pt idx="58">
                  <c:v>33.831000000000003</c:v>
                </c:pt>
                <c:pt idx="59">
                  <c:v>43.234999999999999</c:v>
                </c:pt>
                <c:pt idx="60">
                  <c:v>10.902000000000001</c:v>
                </c:pt>
                <c:pt idx="61">
                  <c:v>40.869</c:v>
                </c:pt>
                <c:pt idx="62">
                  <c:v>4.3689999999999998</c:v>
                </c:pt>
                <c:pt idx="63">
                  <c:v>15.531000000000001</c:v>
                </c:pt>
                <c:pt idx="64">
                  <c:v>21.986000000000001</c:v>
                </c:pt>
                <c:pt idx="65">
                  <c:v>33.355000000000004</c:v>
                </c:pt>
                <c:pt idx="66">
                  <c:v>31.993000000000002</c:v>
                </c:pt>
                <c:pt idx="67">
                  <c:v>33.765000000000001</c:v>
                </c:pt>
                <c:pt idx="68">
                  <c:v>24.434000000000001</c:v>
                </c:pt>
                <c:pt idx="69">
                  <c:v>16.289000000000001</c:v>
                </c:pt>
                <c:pt idx="70">
                  <c:v>13.449</c:v>
                </c:pt>
                <c:pt idx="71">
                  <c:v>12.657999999999999</c:v>
                </c:pt>
                <c:pt idx="72">
                  <c:v>13.371</c:v>
                </c:pt>
                <c:pt idx="73">
                  <c:v>15.178000000000001</c:v>
                </c:pt>
                <c:pt idx="74">
                  <c:v>10.417</c:v>
                </c:pt>
                <c:pt idx="75">
                  <c:v>11.279</c:v>
                </c:pt>
                <c:pt idx="76">
                  <c:v>13.832000000000001</c:v>
                </c:pt>
                <c:pt idx="77">
                  <c:v>31.69</c:v>
                </c:pt>
                <c:pt idx="78">
                  <c:v>32.669000000000004</c:v>
                </c:pt>
                <c:pt idx="79">
                  <c:v>47.103000000000002</c:v>
                </c:pt>
                <c:pt idx="80">
                  <c:v>41.561</c:v>
                </c:pt>
                <c:pt idx="81">
                  <c:v>48.933999999999997</c:v>
                </c:pt>
                <c:pt idx="82">
                  <c:v>46.053000000000004</c:v>
                </c:pt>
                <c:pt idx="83">
                  <c:v>41.92</c:v>
                </c:pt>
                <c:pt idx="84">
                  <c:v>45.527999999999999</c:v>
                </c:pt>
                <c:pt idx="85">
                  <c:v>46.271000000000001</c:v>
                </c:pt>
                <c:pt idx="86">
                  <c:v>35.494</c:v>
                </c:pt>
                <c:pt idx="87">
                  <c:v>27.969000000000001</c:v>
                </c:pt>
                <c:pt idx="88">
                  <c:v>7.3</c:v>
                </c:pt>
                <c:pt idx="89">
                  <c:v>21.727</c:v>
                </c:pt>
                <c:pt idx="90">
                  <c:v>32.36</c:v>
                </c:pt>
                <c:pt idx="91">
                  <c:v>19.847000000000001</c:v>
                </c:pt>
                <c:pt idx="92">
                  <c:v>25.343</c:v>
                </c:pt>
                <c:pt idx="93">
                  <c:v>44.438000000000002</c:v>
                </c:pt>
                <c:pt idx="94">
                  <c:v>51.204000000000001</c:v>
                </c:pt>
                <c:pt idx="95">
                  <c:v>12.024000000000001</c:v>
                </c:pt>
                <c:pt idx="96">
                  <c:v>39.600999999999999</c:v>
                </c:pt>
                <c:pt idx="97">
                  <c:v>32.127000000000002</c:v>
                </c:pt>
                <c:pt idx="98">
                  <c:v>35.058999999999997</c:v>
                </c:pt>
                <c:pt idx="99">
                  <c:v>53.588999999999999</c:v>
                </c:pt>
                <c:pt idx="100">
                  <c:v>44.215000000000003</c:v>
                </c:pt>
                <c:pt idx="101">
                  <c:v>2.4980000000000002</c:v>
                </c:pt>
                <c:pt idx="102">
                  <c:v>0</c:v>
                </c:pt>
                <c:pt idx="103">
                  <c:v>41.947000000000003</c:v>
                </c:pt>
                <c:pt idx="104">
                  <c:v>46.68</c:v>
                </c:pt>
                <c:pt idx="105">
                  <c:v>41.994</c:v>
                </c:pt>
                <c:pt idx="106">
                  <c:v>53.021999999999998</c:v>
                </c:pt>
                <c:pt idx="107">
                  <c:v>37.804000000000002</c:v>
                </c:pt>
                <c:pt idx="108">
                  <c:v>9.048</c:v>
                </c:pt>
                <c:pt idx="109">
                  <c:v>10.207000000000001</c:v>
                </c:pt>
                <c:pt idx="110">
                  <c:v>9.2170000000000005</c:v>
                </c:pt>
                <c:pt idx="111">
                  <c:v>27.864000000000001</c:v>
                </c:pt>
                <c:pt idx="112">
                  <c:v>9.5730000000000004</c:v>
                </c:pt>
                <c:pt idx="113">
                  <c:v>24.603999999999999</c:v>
                </c:pt>
                <c:pt idx="114">
                  <c:v>46.657000000000004</c:v>
                </c:pt>
                <c:pt idx="115">
                  <c:v>52.173999999999999</c:v>
                </c:pt>
                <c:pt idx="116">
                  <c:v>38.451999999999998</c:v>
                </c:pt>
                <c:pt idx="117">
                  <c:v>20.677</c:v>
                </c:pt>
                <c:pt idx="118">
                  <c:v>41.853999999999999</c:v>
                </c:pt>
                <c:pt idx="119">
                  <c:v>40.805999999999997</c:v>
                </c:pt>
                <c:pt idx="120">
                  <c:v>45.669000000000004</c:v>
                </c:pt>
                <c:pt idx="121">
                  <c:v>26.748000000000001</c:v>
                </c:pt>
                <c:pt idx="122">
                  <c:v>30.545999999999999</c:v>
                </c:pt>
                <c:pt idx="123">
                  <c:v>18.013999999999999</c:v>
                </c:pt>
                <c:pt idx="124">
                  <c:v>37.826000000000001</c:v>
                </c:pt>
                <c:pt idx="125">
                  <c:v>35.32</c:v>
                </c:pt>
                <c:pt idx="126">
                  <c:v>45.695999999999998</c:v>
                </c:pt>
                <c:pt idx="127">
                  <c:v>47.664000000000001</c:v>
                </c:pt>
                <c:pt idx="128">
                  <c:v>51.841999999999999</c:v>
                </c:pt>
                <c:pt idx="129">
                  <c:v>49.402000000000001</c:v>
                </c:pt>
                <c:pt idx="130">
                  <c:v>52.987000000000002</c:v>
                </c:pt>
                <c:pt idx="131">
                  <c:v>40.783999999999999</c:v>
                </c:pt>
                <c:pt idx="132">
                  <c:v>37.338999999999999</c:v>
                </c:pt>
                <c:pt idx="133">
                  <c:v>48.727000000000004</c:v>
                </c:pt>
                <c:pt idx="134">
                  <c:v>49.704999999999998</c:v>
                </c:pt>
                <c:pt idx="135">
                  <c:v>47.853999999999999</c:v>
                </c:pt>
                <c:pt idx="136">
                  <c:v>51.231000000000002</c:v>
                </c:pt>
                <c:pt idx="137">
                  <c:v>49.624000000000002</c:v>
                </c:pt>
                <c:pt idx="138">
                  <c:v>51.832000000000001</c:v>
                </c:pt>
                <c:pt idx="139">
                  <c:v>47.006</c:v>
                </c:pt>
                <c:pt idx="140">
                  <c:v>47.573999999999998</c:v>
                </c:pt>
                <c:pt idx="141">
                  <c:v>36.386000000000003</c:v>
                </c:pt>
                <c:pt idx="142">
                  <c:v>16.992000000000001</c:v>
                </c:pt>
                <c:pt idx="143">
                  <c:v>16.149999999999999</c:v>
                </c:pt>
                <c:pt idx="144">
                  <c:v>37.615000000000002</c:v>
                </c:pt>
                <c:pt idx="145">
                  <c:v>25.593</c:v>
                </c:pt>
                <c:pt idx="146">
                  <c:v>40.780999999999999</c:v>
                </c:pt>
                <c:pt idx="147">
                  <c:v>50.222999999999999</c:v>
                </c:pt>
                <c:pt idx="148">
                  <c:v>54.369</c:v>
                </c:pt>
                <c:pt idx="149">
                  <c:v>45.548999999999999</c:v>
                </c:pt>
                <c:pt idx="150">
                  <c:v>50.602000000000004</c:v>
                </c:pt>
                <c:pt idx="151">
                  <c:v>51.426000000000002</c:v>
                </c:pt>
                <c:pt idx="152">
                  <c:v>40.703000000000003</c:v>
                </c:pt>
                <c:pt idx="153">
                  <c:v>51.121000000000002</c:v>
                </c:pt>
                <c:pt idx="154">
                  <c:v>21.169</c:v>
                </c:pt>
                <c:pt idx="155">
                  <c:v>29.862000000000002</c:v>
                </c:pt>
                <c:pt idx="156">
                  <c:v>44.733000000000004</c:v>
                </c:pt>
                <c:pt idx="157">
                  <c:v>26.186</c:v>
                </c:pt>
                <c:pt idx="158">
                  <c:v>19.466999999999999</c:v>
                </c:pt>
                <c:pt idx="159">
                  <c:v>43.246000000000002</c:v>
                </c:pt>
                <c:pt idx="160">
                  <c:v>52.945</c:v>
                </c:pt>
                <c:pt idx="161">
                  <c:v>51.497</c:v>
                </c:pt>
                <c:pt idx="162">
                  <c:v>39.468000000000004</c:v>
                </c:pt>
                <c:pt idx="163">
                  <c:v>48.478999999999999</c:v>
                </c:pt>
                <c:pt idx="164">
                  <c:v>46.151000000000003</c:v>
                </c:pt>
                <c:pt idx="165">
                  <c:v>49.54</c:v>
                </c:pt>
                <c:pt idx="166">
                  <c:v>48.07</c:v>
                </c:pt>
                <c:pt idx="167">
                  <c:v>48.692</c:v>
                </c:pt>
                <c:pt idx="168">
                  <c:v>50.326999999999998</c:v>
                </c:pt>
                <c:pt idx="169">
                  <c:v>51.38</c:v>
                </c:pt>
                <c:pt idx="170">
                  <c:v>32.404000000000003</c:v>
                </c:pt>
                <c:pt idx="171">
                  <c:v>22.907</c:v>
                </c:pt>
                <c:pt idx="172">
                  <c:v>40.445</c:v>
                </c:pt>
                <c:pt idx="173">
                  <c:v>40.088000000000001</c:v>
                </c:pt>
                <c:pt idx="174">
                  <c:v>38.18</c:v>
                </c:pt>
                <c:pt idx="175">
                  <c:v>32.755000000000003</c:v>
                </c:pt>
                <c:pt idx="176">
                  <c:v>10.612</c:v>
                </c:pt>
                <c:pt idx="177">
                  <c:v>9.9489999999999998</c:v>
                </c:pt>
                <c:pt idx="178">
                  <c:v>51.228000000000002</c:v>
                </c:pt>
                <c:pt idx="179">
                  <c:v>52.024000000000001</c:v>
                </c:pt>
                <c:pt idx="180">
                  <c:v>11.846</c:v>
                </c:pt>
                <c:pt idx="181">
                  <c:v>44.331000000000003</c:v>
                </c:pt>
                <c:pt idx="182">
                  <c:v>51.015999999999998</c:v>
                </c:pt>
                <c:pt idx="183">
                  <c:v>44.119</c:v>
                </c:pt>
                <c:pt idx="184">
                  <c:v>42.070999999999998</c:v>
                </c:pt>
                <c:pt idx="185">
                  <c:v>51.225000000000001</c:v>
                </c:pt>
                <c:pt idx="186">
                  <c:v>41.960999999999999</c:v>
                </c:pt>
                <c:pt idx="187">
                  <c:v>49.564</c:v>
                </c:pt>
                <c:pt idx="188">
                  <c:v>51.942999999999998</c:v>
                </c:pt>
                <c:pt idx="189">
                  <c:v>51.350999999999999</c:v>
                </c:pt>
                <c:pt idx="190">
                  <c:v>51.011000000000003</c:v>
                </c:pt>
                <c:pt idx="191">
                  <c:v>49.794000000000004</c:v>
                </c:pt>
                <c:pt idx="192">
                  <c:v>49.364000000000004</c:v>
                </c:pt>
                <c:pt idx="193">
                  <c:v>49.612000000000002</c:v>
                </c:pt>
                <c:pt idx="194">
                  <c:v>48.838999999999999</c:v>
                </c:pt>
                <c:pt idx="195">
                  <c:v>46.841000000000001</c:v>
                </c:pt>
                <c:pt idx="196">
                  <c:v>48.614000000000004</c:v>
                </c:pt>
                <c:pt idx="197">
                  <c:v>48.585999999999999</c:v>
                </c:pt>
                <c:pt idx="198">
                  <c:v>49.344000000000001</c:v>
                </c:pt>
                <c:pt idx="199">
                  <c:v>33.704999999999998</c:v>
                </c:pt>
                <c:pt idx="200">
                  <c:v>38.366999999999997</c:v>
                </c:pt>
                <c:pt idx="201">
                  <c:v>47.883000000000003</c:v>
                </c:pt>
                <c:pt idx="202">
                  <c:v>36.545000000000002</c:v>
                </c:pt>
                <c:pt idx="203">
                  <c:v>40.771000000000001</c:v>
                </c:pt>
                <c:pt idx="204">
                  <c:v>48.27</c:v>
                </c:pt>
                <c:pt idx="205">
                  <c:v>24.811</c:v>
                </c:pt>
                <c:pt idx="206">
                  <c:v>47.166000000000004</c:v>
                </c:pt>
                <c:pt idx="207">
                  <c:v>51.067</c:v>
                </c:pt>
                <c:pt idx="208">
                  <c:v>40.57</c:v>
                </c:pt>
                <c:pt idx="209">
                  <c:v>27.023</c:v>
                </c:pt>
                <c:pt idx="210">
                  <c:v>40.722000000000001</c:v>
                </c:pt>
                <c:pt idx="211">
                  <c:v>48.95</c:v>
                </c:pt>
                <c:pt idx="212">
                  <c:v>48.877000000000002</c:v>
                </c:pt>
                <c:pt idx="213">
                  <c:v>48.920999999999999</c:v>
                </c:pt>
                <c:pt idx="214">
                  <c:v>47.371000000000002</c:v>
                </c:pt>
                <c:pt idx="215">
                  <c:v>46.856999999999999</c:v>
                </c:pt>
                <c:pt idx="216">
                  <c:v>42.246000000000002</c:v>
                </c:pt>
                <c:pt idx="217">
                  <c:v>44.658999999999999</c:v>
                </c:pt>
                <c:pt idx="218">
                  <c:v>47.639000000000003</c:v>
                </c:pt>
                <c:pt idx="219">
                  <c:v>48.218000000000004</c:v>
                </c:pt>
                <c:pt idx="220">
                  <c:v>46.454999999999998</c:v>
                </c:pt>
                <c:pt idx="221">
                  <c:v>45.12</c:v>
                </c:pt>
                <c:pt idx="222">
                  <c:v>42.69</c:v>
                </c:pt>
                <c:pt idx="223">
                  <c:v>44.023000000000003</c:v>
                </c:pt>
                <c:pt idx="224">
                  <c:v>34.554000000000002</c:v>
                </c:pt>
                <c:pt idx="225">
                  <c:v>31.648</c:v>
                </c:pt>
                <c:pt idx="226">
                  <c:v>35.889000000000003</c:v>
                </c:pt>
                <c:pt idx="227">
                  <c:v>33.234999999999999</c:v>
                </c:pt>
                <c:pt idx="228">
                  <c:v>24.259</c:v>
                </c:pt>
                <c:pt idx="229">
                  <c:v>32.274000000000001</c:v>
                </c:pt>
                <c:pt idx="230">
                  <c:v>32.930999999999997</c:v>
                </c:pt>
                <c:pt idx="231">
                  <c:v>46.445</c:v>
                </c:pt>
                <c:pt idx="232">
                  <c:v>30.863</c:v>
                </c:pt>
                <c:pt idx="233">
                  <c:v>22.093</c:v>
                </c:pt>
                <c:pt idx="234">
                  <c:v>42.864000000000004</c:v>
                </c:pt>
                <c:pt idx="235">
                  <c:v>44.246000000000002</c:v>
                </c:pt>
                <c:pt idx="236">
                  <c:v>28.571000000000002</c:v>
                </c:pt>
                <c:pt idx="237">
                  <c:v>39.231999999999999</c:v>
                </c:pt>
                <c:pt idx="238">
                  <c:v>44.069000000000003</c:v>
                </c:pt>
                <c:pt idx="239">
                  <c:v>44.170999999999999</c:v>
                </c:pt>
                <c:pt idx="240">
                  <c:v>31.036999999999999</c:v>
                </c:pt>
                <c:pt idx="241">
                  <c:v>43.868000000000002</c:v>
                </c:pt>
                <c:pt idx="242">
                  <c:v>19.943999999999999</c:v>
                </c:pt>
                <c:pt idx="243">
                  <c:v>40.532000000000004</c:v>
                </c:pt>
                <c:pt idx="244">
                  <c:v>37.795999999999999</c:v>
                </c:pt>
                <c:pt idx="245">
                  <c:v>35.917999999999999</c:v>
                </c:pt>
                <c:pt idx="246">
                  <c:v>42.919000000000004</c:v>
                </c:pt>
                <c:pt idx="247">
                  <c:v>39.399000000000001</c:v>
                </c:pt>
                <c:pt idx="248">
                  <c:v>42.414999999999999</c:v>
                </c:pt>
                <c:pt idx="249">
                  <c:v>33.93</c:v>
                </c:pt>
                <c:pt idx="250">
                  <c:v>37.216999999999999</c:v>
                </c:pt>
                <c:pt idx="251">
                  <c:v>19.256</c:v>
                </c:pt>
                <c:pt idx="252">
                  <c:v>42.033000000000001</c:v>
                </c:pt>
                <c:pt idx="253">
                  <c:v>42.814</c:v>
                </c:pt>
                <c:pt idx="254">
                  <c:v>30.113</c:v>
                </c:pt>
                <c:pt idx="255">
                  <c:v>10.879</c:v>
                </c:pt>
                <c:pt idx="256">
                  <c:v>32.883000000000003</c:v>
                </c:pt>
                <c:pt idx="257">
                  <c:v>37.734000000000002</c:v>
                </c:pt>
                <c:pt idx="258">
                  <c:v>25.128</c:v>
                </c:pt>
                <c:pt idx="259">
                  <c:v>44.314999999999998</c:v>
                </c:pt>
                <c:pt idx="260">
                  <c:v>42.855000000000004</c:v>
                </c:pt>
                <c:pt idx="261">
                  <c:v>42.32</c:v>
                </c:pt>
                <c:pt idx="262">
                  <c:v>43.588999999999999</c:v>
                </c:pt>
                <c:pt idx="263">
                  <c:v>42.625</c:v>
                </c:pt>
                <c:pt idx="264">
                  <c:v>41.447000000000003</c:v>
                </c:pt>
                <c:pt idx="265">
                  <c:v>27.321000000000002</c:v>
                </c:pt>
                <c:pt idx="266">
                  <c:v>19.966999999999999</c:v>
                </c:pt>
                <c:pt idx="267">
                  <c:v>29.445</c:v>
                </c:pt>
                <c:pt idx="268">
                  <c:v>30.763999999999999</c:v>
                </c:pt>
                <c:pt idx="269">
                  <c:v>14.778</c:v>
                </c:pt>
                <c:pt idx="270">
                  <c:v>14.450000000000001</c:v>
                </c:pt>
                <c:pt idx="271">
                  <c:v>20.818999999999999</c:v>
                </c:pt>
                <c:pt idx="272">
                  <c:v>30.009</c:v>
                </c:pt>
                <c:pt idx="273">
                  <c:v>36.323999999999998</c:v>
                </c:pt>
                <c:pt idx="274">
                  <c:v>35.765999999999998</c:v>
                </c:pt>
                <c:pt idx="275">
                  <c:v>33.433999999999997</c:v>
                </c:pt>
                <c:pt idx="276">
                  <c:v>39.152999999999999</c:v>
                </c:pt>
                <c:pt idx="277">
                  <c:v>39.097999999999999</c:v>
                </c:pt>
                <c:pt idx="278">
                  <c:v>14.496</c:v>
                </c:pt>
                <c:pt idx="279">
                  <c:v>28.902000000000001</c:v>
                </c:pt>
                <c:pt idx="280">
                  <c:v>16.716000000000001</c:v>
                </c:pt>
                <c:pt idx="281">
                  <c:v>36.460999999999999</c:v>
                </c:pt>
                <c:pt idx="282">
                  <c:v>29.76</c:v>
                </c:pt>
                <c:pt idx="283">
                  <c:v>21.22</c:v>
                </c:pt>
                <c:pt idx="284">
                  <c:v>29.669</c:v>
                </c:pt>
                <c:pt idx="285">
                  <c:v>21.47</c:v>
                </c:pt>
                <c:pt idx="286">
                  <c:v>16.036999999999999</c:v>
                </c:pt>
                <c:pt idx="287">
                  <c:v>35.811</c:v>
                </c:pt>
                <c:pt idx="288">
                  <c:v>32.33</c:v>
                </c:pt>
                <c:pt idx="289">
                  <c:v>21.772000000000002</c:v>
                </c:pt>
                <c:pt idx="290">
                  <c:v>33.317999999999998</c:v>
                </c:pt>
                <c:pt idx="291">
                  <c:v>14.184000000000001</c:v>
                </c:pt>
                <c:pt idx="292">
                  <c:v>8.1349999999999998</c:v>
                </c:pt>
                <c:pt idx="293">
                  <c:v>14.868</c:v>
                </c:pt>
                <c:pt idx="294">
                  <c:v>32.072000000000003</c:v>
                </c:pt>
                <c:pt idx="295">
                  <c:v>18.266999999999999</c:v>
                </c:pt>
                <c:pt idx="296">
                  <c:v>24.368000000000002</c:v>
                </c:pt>
                <c:pt idx="297">
                  <c:v>21.52</c:v>
                </c:pt>
                <c:pt idx="298">
                  <c:v>12.029</c:v>
                </c:pt>
                <c:pt idx="299">
                  <c:v>13.179</c:v>
                </c:pt>
                <c:pt idx="300">
                  <c:v>16.600999999999999</c:v>
                </c:pt>
                <c:pt idx="301">
                  <c:v>24.792000000000002</c:v>
                </c:pt>
                <c:pt idx="302">
                  <c:v>20.301000000000002</c:v>
                </c:pt>
                <c:pt idx="303">
                  <c:v>20.988</c:v>
                </c:pt>
                <c:pt idx="304">
                  <c:v>22.614000000000001</c:v>
                </c:pt>
                <c:pt idx="305">
                  <c:v>28.338000000000001</c:v>
                </c:pt>
                <c:pt idx="306">
                  <c:v>9.8550000000000004</c:v>
                </c:pt>
                <c:pt idx="307">
                  <c:v>11.505000000000001</c:v>
                </c:pt>
                <c:pt idx="308">
                  <c:v>30.227</c:v>
                </c:pt>
                <c:pt idx="309">
                  <c:v>29.874000000000002</c:v>
                </c:pt>
                <c:pt idx="310">
                  <c:v>28.556000000000001</c:v>
                </c:pt>
                <c:pt idx="311">
                  <c:v>19.535</c:v>
                </c:pt>
                <c:pt idx="312">
                  <c:v>10.333</c:v>
                </c:pt>
                <c:pt idx="313">
                  <c:v>23.045999999999999</c:v>
                </c:pt>
                <c:pt idx="314">
                  <c:v>28.725000000000001</c:v>
                </c:pt>
                <c:pt idx="315">
                  <c:v>27.428000000000001</c:v>
                </c:pt>
                <c:pt idx="316">
                  <c:v>27.608000000000001</c:v>
                </c:pt>
                <c:pt idx="317">
                  <c:v>10.319000000000001</c:v>
                </c:pt>
                <c:pt idx="318">
                  <c:v>12.323</c:v>
                </c:pt>
                <c:pt idx="319">
                  <c:v>27.303000000000001</c:v>
                </c:pt>
                <c:pt idx="320">
                  <c:v>14.588000000000001</c:v>
                </c:pt>
                <c:pt idx="321">
                  <c:v>13.319000000000001</c:v>
                </c:pt>
                <c:pt idx="322">
                  <c:v>5.7439999999999998</c:v>
                </c:pt>
                <c:pt idx="323">
                  <c:v>17.010999999999999</c:v>
                </c:pt>
                <c:pt idx="324">
                  <c:v>3.395</c:v>
                </c:pt>
                <c:pt idx="325">
                  <c:v>7.5200000000000005</c:v>
                </c:pt>
                <c:pt idx="326">
                  <c:v>11.667</c:v>
                </c:pt>
                <c:pt idx="327">
                  <c:v>13.780000000000001</c:v>
                </c:pt>
                <c:pt idx="328">
                  <c:v>4.2380000000000004</c:v>
                </c:pt>
                <c:pt idx="329">
                  <c:v>13.145</c:v>
                </c:pt>
                <c:pt idx="330">
                  <c:v>14</c:v>
                </c:pt>
                <c:pt idx="331">
                  <c:v>9.0370000000000008</c:v>
                </c:pt>
                <c:pt idx="332">
                  <c:v>12.714</c:v>
                </c:pt>
                <c:pt idx="333">
                  <c:v>4.1349999999999998</c:v>
                </c:pt>
                <c:pt idx="334">
                  <c:v>3.3439999999999999</c:v>
                </c:pt>
                <c:pt idx="335">
                  <c:v>6.3150000000000004</c:v>
                </c:pt>
                <c:pt idx="336">
                  <c:v>7.1070000000000002</c:v>
                </c:pt>
                <c:pt idx="337">
                  <c:v>19.696000000000002</c:v>
                </c:pt>
                <c:pt idx="338">
                  <c:v>25.007000000000001</c:v>
                </c:pt>
                <c:pt idx="339">
                  <c:v>10.911</c:v>
                </c:pt>
                <c:pt idx="340">
                  <c:v>19.600000000000001</c:v>
                </c:pt>
                <c:pt idx="341">
                  <c:v>4.4950000000000001</c:v>
                </c:pt>
                <c:pt idx="342">
                  <c:v>5.4729999999999999</c:v>
                </c:pt>
                <c:pt idx="343">
                  <c:v>13.636000000000001</c:v>
                </c:pt>
                <c:pt idx="344">
                  <c:v>16.623999999999999</c:v>
                </c:pt>
                <c:pt idx="345">
                  <c:v>4.9089999999999998</c:v>
                </c:pt>
                <c:pt idx="346">
                  <c:v>5.3819999999999997</c:v>
                </c:pt>
                <c:pt idx="347">
                  <c:v>16.535</c:v>
                </c:pt>
                <c:pt idx="348">
                  <c:v>6.9249999999999998</c:v>
                </c:pt>
                <c:pt idx="349">
                  <c:v>4.7039999999999997</c:v>
                </c:pt>
                <c:pt idx="350">
                  <c:v>2.6310000000000002</c:v>
                </c:pt>
                <c:pt idx="351">
                  <c:v>20.741</c:v>
                </c:pt>
                <c:pt idx="352">
                  <c:v>17.556000000000001</c:v>
                </c:pt>
                <c:pt idx="353">
                  <c:v>4.2770000000000001</c:v>
                </c:pt>
                <c:pt idx="354">
                  <c:v>21.614000000000001</c:v>
                </c:pt>
                <c:pt idx="355">
                  <c:v>16.713000000000001</c:v>
                </c:pt>
                <c:pt idx="356">
                  <c:v>17.239000000000001</c:v>
                </c:pt>
                <c:pt idx="357">
                  <c:v>22.594000000000001</c:v>
                </c:pt>
                <c:pt idx="358">
                  <c:v>13.234</c:v>
                </c:pt>
                <c:pt idx="359">
                  <c:v>21.847000000000001</c:v>
                </c:pt>
                <c:pt idx="360">
                  <c:v>5.9329999999999998</c:v>
                </c:pt>
                <c:pt idx="361">
                  <c:v>23.128</c:v>
                </c:pt>
                <c:pt idx="362">
                  <c:v>10.07</c:v>
                </c:pt>
                <c:pt idx="363">
                  <c:v>14.462</c:v>
                </c:pt>
                <c:pt idx="364">
                  <c:v>10.936</c:v>
                </c:pt>
                <c:pt idx="365">
                  <c:v>2.2275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585864"/>
        <c:axId val="634584296"/>
      </c:lineChart>
      <c:dateAx>
        <c:axId val="634585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4296"/>
        <c:crosses val="autoZero"/>
        <c:auto val="1"/>
        <c:lblOffset val="100"/>
        <c:baseTimeUnit val="days"/>
        <c:majorUnit val="1"/>
        <c:majorTimeUnit val="months"/>
      </c:dateAx>
      <c:valAx>
        <c:axId val="6345842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58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382348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38234834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38234835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551282" y="1095374"/>
            <a:ext cx="5328444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5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59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60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38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39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41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41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43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44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12</xdr:row>
      <xdr:rowOff>66675</xdr:rowOff>
    </xdr:from>
    <xdr:to>
      <xdr:col>29</xdr:col>
      <xdr:colOff>638175</xdr:colOff>
      <xdr:row>43</xdr:row>
      <xdr:rowOff>28575</xdr:rowOff>
    </xdr:to>
    <xdr:grpSp>
      <xdr:nvGrpSpPr>
        <xdr:cNvPr id="42868799" name="Groupe 1"/>
        <xdr:cNvGrpSpPr>
          <a:grpSpLocks/>
        </xdr:cNvGrpSpPr>
      </xdr:nvGrpSpPr>
      <xdr:grpSpPr bwMode="auto">
        <a:xfrm>
          <a:off x="9258300" y="2466975"/>
          <a:ext cx="8753475" cy="5019675"/>
          <a:chOff x="12715661" y="8254362"/>
          <a:chExt cx="8021762" cy="4954782"/>
        </a:xfrm>
      </xdr:grpSpPr>
      <xdr:pic>
        <xdr:nvPicPr>
          <xdr:cNvPr id="4286880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8801" name="Graphique 2"/>
          <xdr:cNvGraphicFramePr>
            <a:graphicFrameLocks/>
          </xdr:cNvGraphicFramePr>
        </xdr:nvGraphicFramePr>
        <xdr:xfrm>
          <a:off x="12715661" y="8254362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30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3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4903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30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28575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40300" cy="5040000"/>
          <a:chOff x="0" y="4467225"/>
          <a:chExt cx="17640300" cy="5040000"/>
        </a:xfrm>
      </xdr:grpSpPr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8639175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7861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7865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7866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69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690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4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45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491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3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37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78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38">
          <cell r="B38">
            <v>30000</v>
          </cell>
        </row>
        <row r="39">
          <cell r="B39">
            <v>29000</v>
          </cell>
        </row>
        <row r="40">
          <cell r="B40">
            <v>28000</v>
          </cell>
        </row>
        <row r="41">
          <cell r="B41">
            <v>27000</v>
          </cell>
        </row>
        <row r="42">
          <cell r="B42">
            <v>26000</v>
          </cell>
        </row>
        <row r="43">
          <cell r="B43">
            <v>25000</v>
          </cell>
        </row>
        <row r="44">
          <cell r="B44">
            <v>24000</v>
          </cell>
        </row>
        <row r="45">
          <cell r="B45">
            <v>23000</v>
          </cell>
        </row>
        <row r="46">
          <cell r="B46">
            <v>22000</v>
          </cell>
        </row>
        <row r="47">
          <cell r="B47">
            <v>21000</v>
          </cell>
        </row>
        <row r="48">
          <cell r="B48">
            <v>20000</v>
          </cell>
        </row>
        <row r="49">
          <cell r="B49">
            <v>19000</v>
          </cell>
        </row>
        <row r="50">
          <cell r="B50">
            <v>18000</v>
          </cell>
        </row>
        <row r="51">
          <cell r="B51">
            <v>17000</v>
          </cell>
        </row>
        <row r="52">
          <cell r="B52">
            <v>16000</v>
          </cell>
        </row>
        <row r="53">
          <cell r="B53">
            <v>15000</v>
          </cell>
        </row>
        <row r="54">
          <cell r="B54">
            <v>14000</v>
          </cell>
        </row>
        <row r="55">
          <cell r="B55">
            <v>13000</v>
          </cell>
        </row>
        <row r="56">
          <cell r="B56">
            <v>12000</v>
          </cell>
        </row>
        <row r="57">
          <cell r="B57">
            <v>11000</v>
          </cell>
        </row>
        <row r="58">
          <cell r="B58">
            <v>10000</v>
          </cell>
        </row>
        <row r="59">
          <cell r="B59">
            <v>9000</v>
          </cell>
        </row>
        <row r="60">
          <cell r="B60">
            <v>8000</v>
          </cell>
        </row>
        <row r="61">
          <cell r="B61">
            <v>7000</v>
          </cell>
        </row>
        <row r="62">
          <cell r="B62">
            <v>6000</v>
          </cell>
        </row>
        <row r="63">
          <cell r="B63">
            <v>5000</v>
          </cell>
        </row>
        <row r="64">
          <cell r="B64">
            <v>4000</v>
          </cell>
        </row>
        <row r="65">
          <cell r="B65">
            <v>3000</v>
          </cell>
        </row>
        <row r="66">
          <cell r="B66">
            <v>2000</v>
          </cell>
        </row>
        <row r="67">
          <cell r="B67">
            <v>1000</v>
          </cell>
        </row>
        <row r="68">
          <cell r="B6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37">
          <cell r="B37">
            <v>0</v>
          </cell>
        </row>
        <row r="38">
          <cell r="B38">
            <v>1000</v>
          </cell>
        </row>
        <row r="39">
          <cell r="B39">
            <v>2000</v>
          </cell>
        </row>
        <row r="40">
          <cell r="B40">
            <v>3000</v>
          </cell>
        </row>
        <row r="41">
          <cell r="B41">
            <v>4000</v>
          </cell>
        </row>
        <row r="42">
          <cell r="B42">
            <v>5000</v>
          </cell>
        </row>
        <row r="43">
          <cell r="B43">
            <v>6000</v>
          </cell>
        </row>
        <row r="44">
          <cell r="B44">
            <v>7000</v>
          </cell>
        </row>
        <row r="45">
          <cell r="B45">
            <v>8000</v>
          </cell>
        </row>
        <row r="46">
          <cell r="B46">
            <v>9000</v>
          </cell>
        </row>
        <row r="47">
          <cell r="B47">
            <v>10000</v>
          </cell>
        </row>
        <row r="48">
          <cell r="B48">
            <v>11000</v>
          </cell>
        </row>
        <row r="49">
          <cell r="B49">
            <v>12000</v>
          </cell>
        </row>
        <row r="50">
          <cell r="B50">
            <v>13000</v>
          </cell>
        </row>
        <row r="51">
          <cell r="B51">
            <v>14000</v>
          </cell>
        </row>
        <row r="52">
          <cell r="B52">
            <v>15000</v>
          </cell>
        </row>
        <row r="53">
          <cell r="B53">
            <v>16000</v>
          </cell>
        </row>
        <row r="54">
          <cell r="B54">
            <v>17000</v>
          </cell>
        </row>
        <row r="55">
          <cell r="B55">
            <v>18000</v>
          </cell>
        </row>
        <row r="56">
          <cell r="B56">
            <v>19000</v>
          </cell>
        </row>
        <row r="57">
          <cell r="B57">
            <v>20000</v>
          </cell>
        </row>
        <row r="58">
          <cell r="B58">
            <v>21000</v>
          </cell>
        </row>
        <row r="59">
          <cell r="B59">
            <v>22000</v>
          </cell>
        </row>
        <row r="60">
          <cell r="B60">
            <v>23000</v>
          </cell>
        </row>
        <row r="61">
          <cell r="B61">
            <v>24000</v>
          </cell>
        </row>
        <row r="62">
          <cell r="B62">
            <v>25000</v>
          </cell>
        </row>
        <row r="63">
          <cell r="B63">
            <v>26000</v>
          </cell>
        </row>
        <row r="64">
          <cell r="B64">
            <v>27000</v>
          </cell>
        </row>
        <row r="65">
          <cell r="B65">
            <v>28000</v>
          </cell>
        </row>
        <row r="66">
          <cell r="B66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38">
          <cell r="B38">
            <v>30000</v>
          </cell>
        </row>
        <row r="39">
          <cell r="B39">
            <v>29000</v>
          </cell>
        </row>
        <row r="40">
          <cell r="B40">
            <v>28000</v>
          </cell>
        </row>
        <row r="41">
          <cell r="B41">
            <v>27000</v>
          </cell>
        </row>
        <row r="42">
          <cell r="B42">
            <v>26000</v>
          </cell>
        </row>
        <row r="43">
          <cell r="B43">
            <v>25000</v>
          </cell>
        </row>
        <row r="44">
          <cell r="B44">
            <v>24000</v>
          </cell>
        </row>
        <row r="45">
          <cell r="B45">
            <v>23000</v>
          </cell>
        </row>
        <row r="46">
          <cell r="B46">
            <v>22000</v>
          </cell>
        </row>
        <row r="47">
          <cell r="B47">
            <v>21000</v>
          </cell>
        </row>
        <row r="48">
          <cell r="B48">
            <v>20000</v>
          </cell>
        </row>
        <row r="49">
          <cell r="B49">
            <v>19000</v>
          </cell>
        </row>
        <row r="50">
          <cell r="B50">
            <v>18000</v>
          </cell>
        </row>
        <row r="51">
          <cell r="B51">
            <v>17000</v>
          </cell>
        </row>
        <row r="52">
          <cell r="B52">
            <v>16000</v>
          </cell>
        </row>
        <row r="53">
          <cell r="B53">
            <v>15000</v>
          </cell>
        </row>
        <row r="54">
          <cell r="B54">
            <v>14000</v>
          </cell>
        </row>
        <row r="55">
          <cell r="B55">
            <v>13000</v>
          </cell>
        </row>
        <row r="56">
          <cell r="B56">
            <v>12000</v>
          </cell>
        </row>
        <row r="57">
          <cell r="B57">
            <v>11000</v>
          </cell>
        </row>
        <row r="58">
          <cell r="B58">
            <v>10000</v>
          </cell>
        </row>
        <row r="59">
          <cell r="B59">
            <v>9000</v>
          </cell>
        </row>
        <row r="60">
          <cell r="B60">
            <v>8000</v>
          </cell>
        </row>
        <row r="61">
          <cell r="B61">
            <v>7000</v>
          </cell>
        </row>
        <row r="62">
          <cell r="B62">
            <v>6000</v>
          </cell>
        </row>
        <row r="63">
          <cell r="B63">
            <v>5000</v>
          </cell>
        </row>
        <row r="64">
          <cell r="B64">
            <v>4000</v>
          </cell>
        </row>
        <row r="65">
          <cell r="B65">
            <v>3000</v>
          </cell>
        </row>
        <row r="66">
          <cell r="B66">
            <v>2000</v>
          </cell>
        </row>
        <row r="67">
          <cell r="B67">
            <v>1000</v>
          </cell>
        </row>
        <row r="68">
          <cell r="B6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37">
          <cell r="B37">
            <v>0</v>
          </cell>
        </row>
        <row r="38">
          <cell r="B38">
            <v>1000</v>
          </cell>
        </row>
        <row r="39">
          <cell r="B39">
            <v>2000</v>
          </cell>
        </row>
        <row r="40">
          <cell r="B40">
            <v>3000</v>
          </cell>
        </row>
        <row r="41">
          <cell r="B41">
            <v>4000</v>
          </cell>
        </row>
        <row r="42">
          <cell r="B42">
            <v>5000</v>
          </cell>
        </row>
        <row r="43">
          <cell r="B43">
            <v>6000</v>
          </cell>
        </row>
        <row r="44">
          <cell r="B44">
            <v>7000</v>
          </cell>
        </row>
        <row r="45">
          <cell r="B45">
            <v>8000</v>
          </cell>
        </row>
        <row r="46">
          <cell r="B46">
            <v>9000</v>
          </cell>
        </row>
        <row r="47">
          <cell r="B47">
            <v>10000</v>
          </cell>
        </row>
        <row r="48">
          <cell r="B48">
            <v>11000</v>
          </cell>
        </row>
        <row r="49">
          <cell r="B49">
            <v>12000</v>
          </cell>
        </row>
        <row r="50">
          <cell r="B50">
            <v>13000</v>
          </cell>
        </row>
        <row r="51">
          <cell r="B51">
            <v>14000</v>
          </cell>
        </row>
        <row r="52">
          <cell r="B52">
            <v>15000</v>
          </cell>
        </row>
        <row r="53">
          <cell r="B53">
            <v>16000</v>
          </cell>
        </row>
        <row r="54">
          <cell r="B54">
            <v>17000</v>
          </cell>
        </row>
        <row r="55">
          <cell r="B55">
            <v>18000</v>
          </cell>
        </row>
        <row r="56">
          <cell r="B56">
            <v>19000</v>
          </cell>
        </row>
        <row r="57">
          <cell r="B57">
            <v>20000</v>
          </cell>
        </row>
        <row r="58">
          <cell r="B58">
            <v>21000</v>
          </cell>
        </row>
        <row r="59">
          <cell r="B59">
            <v>22000</v>
          </cell>
        </row>
        <row r="60">
          <cell r="B60">
            <v>23000</v>
          </cell>
        </row>
        <row r="61">
          <cell r="B61">
            <v>24000</v>
          </cell>
        </row>
        <row r="62">
          <cell r="B62">
            <v>25000</v>
          </cell>
        </row>
        <row r="63">
          <cell r="B63">
            <v>26000</v>
          </cell>
        </row>
        <row r="64">
          <cell r="B64">
            <v>27000</v>
          </cell>
        </row>
        <row r="65">
          <cell r="B65">
            <v>28000</v>
          </cell>
        </row>
        <row r="66">
          <cell r="B66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38">
          <cell r="B38">
            <v>30000</v>
          </cell>
        </row>
        <row r="39">
          <cell r="B39">
            <v>29000</v>
          </cell>
        </row>
        <row r="40">
          <cell r="B40">
            <v>28000</v>
          </cell>
        </row>
        <row r="41">
          <cell r="B41">
            <v>27000</v>
          </cell>
        </row>
        <row r="42">
          <cell r="B42">
            <v>26000</v>
          </cell>
        </row>
        <row r="43">
          <cell r="B43">
            <v>25000</v>
          </cell>
        </row>
        <row r="44">
          <cell r="B44">
            <v>24000</v>
          </cell>
        </row>
        <row r="45">
          <cell r="B45">
            <v>23000</v>
          </cell>
        </row>
        <row r="46">
          <cell r="B46">
            <v>22000</v>
          </cell>
        </row>
        <row r="47">
          <cell r="B47">
            <v>21000</v>
          </cell>
        </row>
        <row r="48">
          <cell r="B48">
            <v>20000</v>
          </cell>
        </row>
        <row r="49">
          <cell r="B49">
            <v>19000</v>
          </cell>
        </row>
        <row r="50">
          <cell r="B50">
            <v>18000</v>
          </cell>
        </row>
        <row r="51">
          <cell r="B51">
            <v>17000</v>
          </cell>
        </row>
        <row r="52">
          <cell r="B52">
            <v>16000</v>
          </cell>
        </row>
        <row r="53">
          <cell r="B53">
            <v>15000</v>
          </cell>
        </row>
        <row r="54">
          <cell r="B54">
            <v>14000</v>
          </cell>
        </row>
        <row r="55">
          <cell r="B55">
            <v>13000</v>
          </cell>
        </row>
        <row r="56">
          <cell r="B56">
            <v>12000</v>
          </cell>
        </row>
        <row r="57">
          <cell r="B57">
            <v>11000</v>
          </cell>
        </row>
        <row r="58">
          <cell r="B58">
            <v>10000</v>
          </cell>
        </row>
        <row r="59">
          <cell r="B59">
            <v>9000</v>
          </cell>
        </row>
        <row r="60">
          <cell r="B60">
            <v>8000</v>
          </cell>
        </row>
        <row r="61">
          <cell r="B61">
            <v>7000</v>
          </cell>
        </row>
        <row r="62">
          <cell r="B62">
            <v>6000</v>
          </cell>
        </row>
        <row r="63">
          <cell r="B63">
            <v>5000</v>
          </cell>
        </row>
        <row r="64">
          <cell r="B64">
            <v>4000</v>
          </cell>
        </row>
        <row r="65">
          <cell r="B65">
            <v>3000</v>
          </cell>
        </row>
        <row r="66">
          <cell r="B66">
            <v>2000</v>
          </cell>
        </row>
        <row r="67">
          <cell r="B67">
            <v>1000</v>
          </cell>
        </row>
        <row r="68">
          <cell r="B6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38">
          <cell r="B38">
            <v>8284</v>
          </cell>
        </row>
        <row r="39">
          <cell r="B39">
            <v>2795</v>
          </cell>
        </row>
        <row r="40">
          <cell r="B40">
            <v>15364</v>
          </cell>
        </row>
        <row r="41">
          <cell r="B41">
            <v>23542</v>
          </cell>
        </row>
        <row r="42">
          <cell r="B42">
            <v>9878</v>
          </cell>
        </row>
        <row r="43">
          <cell r="B43">
            <v>5840</v>
          </cell>
        </row>
        <row r="44">
          <cell r="B44">
            <v>15963</v>
          </cell>
        </row>
        <row r="45">
          <cell r="B45">
            <v>6529</v>
          </cell>
        </row>
        <row r="46">
          <cell r="B46">
            <v>6607</v>
          </cell>
        </row>
        <row r="47">
          <cell r="B47">
            <v>22715</v>
          </cell>
        </row>
        <row r="48">
          <cell r="B48">
            <v>4586</v>
          </cell>
        </row>
        <row r="49">
          <cell r="B49">
            <v>22058</v>
          </cell>
        </row>
        <row r="50">
          <cell r="B50">
            <v>12193</v>
          </cell>
        </row>
        <row r="51">
          <cell r="B51">
            <v>17448</v>
          </cell>
        </row>
        <row r="52">
          <cell r="B52">
            <v>6204</v>
          </cell>
        </row>
        <row r="53">
          <cell r="B53">
            <v>3134</v>
          </cell>
        </row>
        <row r="54">
          <cell r="B54">
            <v>5678</v>
          </cell>
        </row>
        <row r="55">
          <cell r="B55">
            <v>19797</v>
          </cell>
        </row>
        <row r="56">
          <cell r="B56">
            <v>8905</v>
          </cell>
        </row>
        <row r="57">
          <cell r="B57">
            <v>17124</v>
          </cell>
        </row>
        <row r="58">
          <cell r="B58">
            <v>4768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35">
          <cell r="B35">
            <v>27000</v>
          </cell>
        </row>
        <row r="36">
          <cell r="B36">
            <v>26000</v>
          </cell>
        </row>
        <row r="37">
          <cell r="B37">
            <v>25000</v>
          </cell>
        </row>
        <row r="38">
          <cell r="B38">
            <v>24000</v>
          </cell>
        </row>
        <row r="39">
          <cell r="B39">
            <v>23000</v>
          </cell>
        </row>
        <row r="40">
          <cell r="B40">
            <v>22000</v>
          </cell>
        </row>
        <row r="41">
          <cell r="B41">
            <v>21000</v>
          </cell>
        </row>
        <row r="42">
          <cell r="B42">
            <v>20000</v>
          </cell>
        </row>
        <row r="43">
          <cell r="B43">
            <v>19000</v>
          </cell>
        </row>
        <row r="44">
          <cell r="B44">
            <v>18000</v>
          </cell>
        </row>
        <row r="45">
          <cell r="B45">
            <v>17000</v>
          </cell>
        </row>
        <row r="46">
          <cell r="B46">
            <v>16000</v>
          </cell>
        </row>
        <row r="47">
          <cell r="B47">
            <v>15000</v>
          </cell>
        </row>
        <row r="48">
          <cell r="B48">
            <v>14000</v>
          </cell>
        </row>
        <row r="49">
          <cell r="B49">
            <v>13000</v>
          </cell>
        </row>
        <row r="50">
          <cell r="B50">
            <v>12000</v>
          </cell>
        </row>
        <row r="51">
          <cell r="B51">
            <v>11000</v>
          </cell>
        </row>
        <row r="52">
          <cell r="B52">
            <v>10000</v>
          </cell>
        </row>
        <row r="53">
          <cell r="B53">
            <v>9000</v>
          </cell>
        </row>
        <row r="54">
          <cell r="B54">
            <v>8000</v>
          </cell>
        </row>
        <row r="55">
          <cell r="B55">
            <v>7000</v>
          </cell>
        </row>
        <row r="56">
          <cell r="B56">
            <v>6000</v>
          </cell>
        </row>
        <row r="57">
          <cell r="B57">
            <v>5000</v>
          </cell>
        </row>
        <row r="58">
          <cell r="B58">
            <v>4000</v>
          </cell>
        </row>
        <row r="59">
          <cell r="B59">
            <v>3000</v>
          </cell>
        </row>
        <row r="60">
          <cell r="B60">
            <v>2000</v>
          </cell>
        </row>
        <row r="61">
          <cell r="B61">
            <v>1000</v>
          </cell>
        </row>
        <row r="62">
          <cell r="B62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38">
          <cell r="B38">
            <v>0</v>
          </cell>
        </row>
        <row r="39">
          <cell r="B39">
            <v>1000</v>
          </cell>
        </row>
        <row r="40">
          <cell r="B40">
            <v>2000</v>
          </cell>
        </row>
        <row r="41">
          <cell r="B41">
            <v>3000</v>
          </cell>
        </row>
        <row r="42">
          <cell r="B42">
            <v>4000</v>
          </cell>
        </row>
        <row r="43">
          <cell r="B43">
            <v>5000</v>
          </cell>
        </row>
        <row r="44">
          <cell r="B44">
            <v>6000</v>
          </cell>
        </row>
        <row r="45">
          <cell r="B45">
            <v>7000</v>
          </cell>
        </row>
        <row r="46">
          <cell r="B46">
            <v>8000</v>
          </cell>
        </row>
        <row r="47">
          <cell r="B47">
            <v>9000</v>
          </cell>
        </row>
        <row r="48">
          <cell r="B48">
            <v>10000</v>
          </cell>
        </row>
        <row r="49">
          <cell r="B49">
            <v>11000</v>
          </cell>
        </row>
        <row r="50">
          <cell r="B50">
            <v>12000</v>
          </cell>
        </row>
        <row r="51">
          <cell r="B51">
            <v>13000</v>
          </cell>
        </row>
        <row r="52">
          <cell r="B52">
            <v>14000</v>
          </cell>
        </row>
        <row r="53">
          <cell r="B53">
            <v>15000</v>
          </cell>
        </row>
        <row r="54">
          <cell r="B54">
            <v>16000</v>
          </cell>
        </row>
        <row r="55">
          <cell r="B55">
            <v>17000</v>
          </cell>
        </row>
        <row r="56">
          <cell r="B56">
            <v>18000</v>
          </cell>
        </row>
        <row r="57">
          <cell r="B57">
            <v>19000</v>
          </cell>
        </row>
        <row r="58">
          <cell r="B58">
            <v>20000</v>
          </cell>
        </row>
        <row r="59">
          <cell r="B59">
            <v>21000</v>
          </cell>
        </row>
        <row r="60">
          <cell r="B60">
            <v>22000</v>
          </cell>
        </row>
        <row r="61">
          <cell r="B61">
            <v>23000</v>
          </cell>
        </row>
        <row r="62">
          <cell r="B62">
            <v>24000</v>
          </cell>
        </row>
        <row r="63">
          <cell r="B63">
            <v>25000</v>
          </cell>
        </row>
        <row r="64">
          <cell r="B64">
            <v>26000</v>
          </cell>
        </row>
        <row r="65">
          <cell r="B65">
            <v>27000</v>
          </cell>
        </row>
        <row r="66">
          <cell r="B66">
            <v>28000</v>
          </cell>
        </row>
        <row r="67">
          <cell r="B67">
            <v>29000</v>
          </cell>
        </row>
        <row r="68">
          <cell r="B68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37">
          <cell r="B37">
            <v>29000</v>
          </cell>
        </row>
        <row r="38">
          <cell r="B38">
            <v>28000</v>
          </cell>
        </row>
        <row r="39">
          <cell r="B39">
            <v>27000</v>
          </cell>
        </row>
        <row r="40">
          <cell r="B40">
            <v>26000</v>
          </cell>
        </row>
        <row r="41">
          <cell r="B41">
            <v>25000</v>
          </cell>
        </row>
        <row r="42">
          <cell r="B42">
            <v>24000</v>
          </cell>
        </row>
        <row r="43">
          <cell r="B43">
            <v>23000</v>
          </cell>
        </row>
        <row r="44">
          <cell r="B44">
            <v>22000</v>
          </cell>
        </row>
        <row r="45">
          <cell r="B45">
            <v>21000</v>
          </cell>
        </row>
        <row r="46">
          <cell r="B46">
            <v>20000</v>
          </cell>
        </row>
        <row r="47">
          <cell r="B47">
            <v>19000</v>
          </cell>
        </row>
        <row r="48">
          <cell r="B48">
            <v>18000</v>
          </cell>
        </row>
        <row r="49">
          <cell r="B49">
            <v>17000</v>
          </cell>
        </row>
        <row r="50">
          <cell r="B50">
            <v>16000</v>
          </cell>
        </row>
        <row r="51">
          <cell r="B51">
            <v>15000</v>
          </cell>
        </row>
        <row r="52">
          <cell r="B52">
            <v>14000</v>
          </cell>
        </row>
        <row r="53">
          <cell r="B53">
            <v>13000</v>
          </cell>
        </row>
        <row r="54">
          <cell r="B54">
            <v>12000</v>
          </cell>
        </row>
        <row r="55">
          <cell r="B55">
            <v>11000</v>
          </cell>
        </row>
        <row r="56">
          <cell r="B56">
            <v>10000</v>
          </cell>
        </row>
        <row r="57">
          <cell r="B57">
            <v>9000</v>
          </cell>
        </row>
        <row r="58">
          <cell r="B58">
            <v>8000</v>
          </cell>
        </row>
        <row r="59">
          <cell r="B59">
            <v>7000</v>
          </cell>
        </row>
        <row r="60">
          <cell r="B60">
            <v>6000</v>
          </cell>
        </row>
        <row r="61">
          <cell r="B61">
            <v>5000</v>
          </cell>
        </row>
        <row r="62">
          <cell r="B62">
            <v>4000</v>
          </cell>
        </row>
        <row r="63">
          <cell r="B63">
            <v>3000</v>
          </cell>
        </row>
        <row r="64">
          <cell r="B64">
            <v>2000</v>
          </cell>
        </row>
        <row r="65">
          <cell r="B65">
            <v>1000</v>
          </cell>
        </row>
        <row r="66">
          <cell r="B66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38">
          <cell r="B38">
            <v>0</v>
          </cell>
        </row>
        <row r="39">
          <cell r="B39">
            <v>1000</v>
          </cell>
        </row>
        <row r="40">
          <cell r="B40">
            <v>2000</v>
          </cell>
        </row>
        <row r="41">
          <cell r="B41">
            <v>3000</v>
          </cell>
        </row>
        <row r="42">
          <cell r="B42">
            <v>4000</v>
          </cell>
        </row>
        <row r="43">
          <cell r="B43">
            <v>5000</v>
          </cell>
        </row>
        <row r="44">
          <cell r="B44">
            <v>6000</v>
          </cell>
        </row>
        <row r="45">
          <cell r="B45">
            <v>7000</v>
          </cell>
        </row>
        <row r="46">
          <cell r="B46">
            <v>8000</v>
          </cell>
        </row>
        <row r="47">
          <cell r="B47">
            <v>9000</v>
          </cell>
        </row>
        <row r="48">
          <cell r="B48">
            <v>10000</v>
          </cell>
        </row>
        <row r="49">
          <cell r="B49">
            <v>11000</v>
          </cell>
        </row>
        <row r="50">
          <cell r="B50">
            <v>12000</v>
          </cell>
        </row>
        <row r="51">
          <cell r="B51">
            <v>13000</v>
          </cell>
        </row>
        <row r="52">
          <cell r="B52">
            <v>14000</v>
          </cell>
        </row>
        <row r="53">
          <cell r="B53">
            <v>15000</v>
          </cell>
        </row>
        <row r="54">
          <cell r="B54">
            <v>16000</v>
          </cell>
        </row>
        <row r="55">
          <cell r="B55">
            <v>17000</v>
          </cell>
        </row>
        <row r="56">
          <cell r="B56">
            <v>18000</v>
          </cell>
        </row>
        <row r="57">
          <cell r="B57">
            <v>19000</v>
          </cell>
        </row>
        <row r="58">
          <cell r="B58">
            <v>20000</v>
          </cell>
        </row>
        <row r="59">
          <cell r="B59">
            <v>21000</v>
          </cell>
        </row>
        <row r="60">
          <cell r="B60">
            <v>22000</v>
          </cell>
        </row>
        <row r="61">
          <cell r="B61">
            <v>23000</v>
          </cell>
        </row>
        <row r="62">
          <cell r="B62">
            <v>24000</v>
          </cell>
        </row>
        <row r="63">
          <cell r="B63">
            <v>25000</v>
          </cell>
        </row>
        <row r="64">
          <cell r="B64">
            <v>26000</v>
          </cell>
        </row>
        <row r="65">
          <cell r="B65">
            <v>27000</v>
          </cell>
        </row>
        <row r="66">
          <cell r="B66">
            <v>28000</v>
          </cell>
        </row>
        <row r="67">
          <cell r="B67">
            <v>29000</v>
          </cell>
        </row>
        <row r="68">
          <cell r="B68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37">
          <cell r="B37">
            <v>29000</v>
          </cell>
        </row>
        <row r="38">
          <cell r="B38">
            <v>28000</v>
          </cell>
        </row>
        <row r="39">
          <cell r="B39">
            <v>27000</v>
          </cell>
        </row>
        <row r="40">
          <cell r="B40">
            <v>26000</v>
          </cell>
        </row>
        <row r="41">
          <cell r="B41">
            <v>25000</v>
          </cell>
        </row>
        <row r="42">
          <cell r="B42">
            <v>24000</v>
          </cell>
        </row>
        <row r="43">
          <cell r="B43">
            <v>23000</v>
          </cell>
        </row>
        <row r="44">
          <cell r="B44">
            <v>22000</v>
          </cell>
        </row>
        <row r="45">
          <cell r="B45">
            <v>21000</v>
          </cell>
        </row>
        <row r="46">
          <cell r="B46">
            <v>20000</v>
          </cell>
        </row>
        <row r="47">
          <cell r="B47">
            <v>19000</v>
          </cell>
        </row>
        <row r="48">
          <cell r="B48">
            <v>18000</v>
          </cell>
        </row>
        <row r="49">
          <cell r="B49">
            <v>17000</v>
          </cell>
        </row>
        <row r="50">
          <cell r="B50">
            <v>16000</v>
          </cell>
        </row>
        <row r="51">
          <cell r="B51">
            <v>15000</v>
          </cell>
        </row>
        <row r="52">
          <cell r="B52">
            <v>14000</v>
          </cell>
        </row>
        <row r="53">
          <cell r="B53">
            <v>13000</v>
          </cell>
        </row>
        <row r="54">
          <cell r="B54">
            <v>12000</v>
          </cell>
        </row>
        <row r="55">
          <cell r="B55">
            <v>11000</v>
          </cell>
        </row>
        <row r="56">
          <cell r="B56">
            <v>10000</v>
          </cell>
        </row>
        <row r="57">
          <cell r="B57">
            <v>9000</v>
          </cell>
        </row>
        <row r="58">
          <cell r="B58">
            <v>8000</v>
          </cell>
        </row>
        <row r="59">
          <cell r="B59">
            <v>7000</v>
          </cell>
        </row>
        <row r="60">
          <cell r="B60">
            <v>6000</v>
          </cell>
        </row>
        <row r="61">
          <cell r="B61">
            <v>5000</v>
          </cell>
        </row>
        <row r="62">
          <cell r="B62">
            <v>4000</v>
          </cell>
        </row>
        <row r="63">
          <cell r="B63">
            <v>3000</v>
          </cell>
        </row>
        <row r="64">
          <cell r="B64">
            <v>2000</v>
          </cell>
        </row>
        <row r="65">
          <cell r="B65">
            <v>1000</v>
          </cell>
        </row>
        <row r="66">
          <cell r="B66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38">
          <cell r="B38">
            <v>0</v>
          </cell>
        </row>
        <row r="39">
          <cell r="B39">
            <v>1000</v>
          </cell>
        </row>
        <row r="40">
          <cell r="B40">
            <v>2000</v>
          </cell>
        </row>
        <row r="41">
          <cell r="B41">
            <v>3000</v>
          </cell>
        </row>
        <row r="42">
          <cell r="B42">
            <v>4000</v>
          </cell>
        </row>
        <row r="43">
          <cell r="B43">
            <v>5000</v>
          </cell>
        </row>
        <row r="44">
          <cell r="B44">
            <v>6000</v>
          </cell>
        </row>
        <row r="45">
          <cell r="B45">
            <v>7000</v>
          </cell>
        </row>
        <row r="46">
          <cell r="B46">
            <v>8000</v>
          </cell>
        </row>
        <row r="47">
          <cell r="B47">
            <v>9000</v>
          </cell>
        </row>
        <row r="48">
          <cell r="B48">
            <v>10000</v>
          </cell>
        </row>
        <row r="49">
          <cell r="B49">
            <v>11000</v>
          </cell>
        </row>
        <row r="50">
          <cell r="B50">
            <v>12000</v>
          </cell>
        </row>
        <row r="51">
          <cell r="B51">
            <v>13000</v>
          </cell>
        </row>
        <row r="52">
          <cell r="B52">
            <v>14000</v>
          </cell>
        </row>
        <row r="53">
          <cell r="B53">
            <v>15000</v>
          </cell>
        </row>
        <row r="54">
          <cell r="B54">
            <v>16000</v>
          </cell>
        </row>
        <row r="55">
          <cell r="B55">
            <v>17000</v>
          </cell>
        </row>
        <row r="56">
          <cell r="B56">
            <v>18000</v>
          </cell>
        </row>
        <row r="57">
          <cell r="B57">
            <v>19000</v>
          </cell>
        </row>
        <row r="58">
          <cell r="B58">
            <v>20000</v>
          </cell>
        </row>
        <row r="59">
          <cell r="B59">
            <v>21000</v>
          </cell>
        </row>
        <row r="60">
          <cell r="B60">
            <v>22000</v>
          </cell>
        </row>
        <row r="61">
          <cell r="B61">
            <v>23000</v>
          </cell>
        </row>
        <row r="62">
          <cell r="B62">
            <v>24000</v>
          </cell>
        </row>
        <row r="63">
          <cell r="B63">
            <v>25000</v>
          </cell>
        </row>
        <row r="64">
          <cell r="B64">
            <v>26000</v>
          </cell>
        </row>
        <row r="65">
          <cell r="B65">
            <v>27000</v>
          </cell>
        </row>
        <row r="66">
          <cell r="B66">
            <v>28000</v>
          </cell>
        </row>
        <row r="67">
          <cell r="B67">
            <v>29000</v>
          </cell>
        </row>
        <row r="68">
          <cell r="B68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J18" sqref="J1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52</v>
      </c>
      <c r="K1" s="21"/>
      <c r="L1" s="238" t="s">
        <v>51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60">
        <f>Tmaj</f>
        <v>44947</v>
      </c>
      <c r="D2" s="1160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136</v>
      </c>
      <c r="C3" s="1161" t="str">
        <f>Station</f>
        <v>Aureville</v>
      </c>
      <c r="D3" s="1162"/>
      <c r="E3" s="1162"/>
      <c r="F3" s="1162"/>
      <c r="G3" s="1162"/>
      <c r="H3" s="1163"/>
      <c r="K3" s="21"/>
      <c r="L3" s="30"/>
      <c r="M3" s="30"/>
      <c r="N3" s="209" t="s">
        <v>172</v>
      </c>
      <c r="O3" s="783">
        <f>Salim_i</f>
        <v>0.14000000000000001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54</v>
      </c>
      <c r="C4" s="1164">
        <f>T0</f>
        <v>43243</v>
      </c>
      <c r="D4" s="1165"/>
      <c r="G4" s="33" t="s">
        <v>15</v>
      </c>
      <c r="H4" s="675">
        <f>Azi_pv</f>
        <v>20</v>
      </c>
      <c r="K4" s="21"/>
      <c r="L4" s="30"/>
      <c r="M4" s="30"/>
      <c r="N4" s="82" t="s">
        <v>23</v>
      </c>
      <c r="O4" s="160">
        <f>Persistant</f>
        <v>0.6</v>
      </c>
      <c r="P4" s="35" t="s">
        <v>55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58">
        <f>Tservice</f>
        <v>43272</v>
      </c>
      <c r="D5" s="1159"/>
      <c r="E5" s="95"/>
      <c r="G5" s="33" t="s">
        <v>16</v>
      </c>
      <c r="H5" s="676">
        <f>Ram_pv</f>
        <v>0.33</v>
      </c>
      <c r="J5" s="95"/>
      <c r="M5" s="30"/>
      <c r="V5" s="8"/>
    </row>
    <row r="6" spans="1:29" ht="16.5" thickBot="1" x14ac:dyDescent="0.3">
      <c r="A6" s="131"/>
      <c r="B6" s="52" t="s">
        <v>125</v>
      </c>
      <c r="C6" s="625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938"/>
      <c r="B7" s="534"/>
      <c r="C7" s="52"/>
      <c r="D7" s="939"/>
      <c r="E7" s="29"/>
      <c r="F7" s="534"/>
      <c r="G7" s="534"/>
      <c r="H7" s="733"/>
      <c r="I7" s="534"/>
      <c r="J7" s="22" t="s">
        <v>332</v>
      </c>
      <c r="K7" s="1166" t="s">
        <v>329</v>
      </c>
      <c r="L7" s="1167"/>
      <c r="M7" s="1148" t="b">
        <f>IF(K7="début",TRUE,FALSE)</f>
        <v>0</v>
      </c>
      <c r="N7" s="908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Aureville (kWh)</v>
      </c>
      <c r="B8" s="132"/>
      <c r="C8" s="133"/>
      <c r="D8" s="563"/>
      <c r="E8" s="560"/>
      <c r="F8" s="132"/>
      <c r="G8" s="132"/>
      <c r="H8" s="62"/>
      <c r="I8" s="132"/>
      <c r="J8" s="22" t="s">
        <v>118</v>
      </c>
      <c r="K8" s="557">
        <f>[1]!Inter_net</f>
        <v>1</v>
      </c>
      <c r="L8" s="558">
        <f>[1]!Inter_tai</f>
        <v>7</v>
      </c>
      <c r="N8" s="15"/>
    </row>
    <row r="9" spans="1:29" ht="15.75" x14ac:dyDescent="0.25">
      <c r="A9" s="29" t="s">
        <v>292</v>
      </c>
      <c r="B9" s="149">
        <f>AVERAGE(B11:B30)</f>
        <v>10298.86273713409</v>
      </c>
      <c r="C9" s="992">
        <f t="shared" ref="C9:J9" si="0">AVERAGE(C11:C30)</f>
        <v>440.32505724303263</v>
      </c>
      <c r="D9" s="993">
        <f t="shared" si="0"/>
        <v>13.391672973499686</v>
      </c>
      <c r="E9" s="149">
        <f t="shared" si="0"/>
        <v>453.71673021653231</v>
      </c>
      <c r="F9" s="149">
        <f t="shared" si="0"/>
        <v>10752.579467350624</v>
      </c>
      <c r="G9" s="149">
        <f t="shared" si="0"/>
        <v>11176.239711960457</v>
      </c>
      <c r="H9" s="999">
        <f t="shared" si="0"/>
        <v>382.37386082045657</v>
      </c>
      <c r="I9" s="1000">
        <f t="shared" si="0"/>
        <v>11.239674438072395</v>
      </c>
      <c r="J9" s="149">
        <f t="shared" si="0"/>
        <v>9903.5886647898242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53</v>
      </c>
      <c r="B10" s="174" t="s">
        <v>110</v>
      </c>
      <c r="C10" s="332" t="s">
        <v>62</v>
      </c>
      <c r="D10" s="333" t="s">
        <v>101</v>
      </c>
      <c r="E10" s="174" t="s">
        <v>100</v>
      </c>
      <c r="F10" s="174" t="s">
        <v>113</v>
      </c>
      <c r="G10" s="174" t="s">
        <v>112</v>
      </c>
      <c r="H10" s="332" t="s">
        <v>63</v>
      </c>
      <c r="I10" s="333" t="s">
        <v>64</v>
      </c>
      <c r="J10" s="174" t="s">
        <v>111</v>
      </c>
      <c r="K10" s="332" t="s">
        <v>56</v>
      </c>
      <c r="L10" s="333" t="s">
        <v>57</v>
      </c>
      <c r="M10" s="332" t="s">
        <v>286</v>
      </c>
      <c r="N10" s="333" t="s">
        <v>287</v>
      </c>
      <c r="O10" s="100" t="s">
        <v>288</v>
      </c>
      <c r="P10" s="100" t="s">
        <v>289</v>
      </c>
      <c r="Q10" s="100" t="s">
        <v>290</v>
      </c>
      <c r="R10" s="100" t="s">
        <v>291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5675.0280000000021</v>
      </c>
      <c r="C11" s="143">
        <f>'2018'!Wh_Psa</f>
        <v>78.689670346560092</v>
      </c>
      <c r="D11" s="329">
        <f>'2018'!Wh_Pvg</f>
        <v>1.6747213134869068</v>
      </c>
      <c r="E11" s="139">
        <f t="shared" ref="E11:E16" si="1">C11+D11</f>
        <v>80.364391660047005</v>
      </c>
      <c r="F11" s="139">
        <f t="shared" ref="F11:F16" si="2">B11+E11</f>
        <v>5755.3923916600488</v>
      </c>
      <c r="G11" s="139">
        <f>'2018'!F$9</f>
        <v>5769.2136590391265</v>
      </c>
      <c r="H11" s="145">
        <f>'2018'!Wh_gain_sa</f>
        <v>0</v>
      </c>
      <c r="I11" s="329">
        <f>'2018'!Wh_gain_vg</f>
        <v>0</v>
      </c>
      <c r="J11" s="139">
        <f>'2018'!Prod_an_s</f>
        <v>5675.0280000000021</v>
      </c>
      <c r="K11" s="970" t="str">
        <f>IF('2018'!Acti_net,'2018'!Tnet,"")</f>
        <v/>
      </c>
      <c r="L11" s="971" t="str">
        <f>IF('2018'!Acti_tai,'2018'!Ttai,"")</f>
        <v/>
      </c>
      <c r="M11" s="982">
        <v>0</v>
      </c>
      <c r="N11" s="983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976"/>
      <c r="T11" s="976"/>
    </row>
    <row r="12" spans="1:29" s="19" customFormat="1" ht="12.75" x14ac:dyDescent="0.2">
      <c r="A12" s="144">
        <f>'2019'!An</f>
        <v>2019</v>
      </c>
      <c r="B12" s="137">
        <f>'2019'!Prod_an</f>
        <v>11221.410999999996</v>
      </c>
      <c r="C12" s="145">
        <f>'2019'!Wh_Psa</f>
        <v>525.94910977796553</v>
      </c>
      <c r="D12" s="330">
        <f>'2019'!Wh_Pvg</f>
        <v>6.4202606135542934</v>
      </c>
      <c r="E12" s="137">
        <f t="shared" si="1"/>
        <v>532.36937039151985</v>
      </c>
      <c r="F12" s="137">
        <f t="shared" si="2"/>
        <v>11753.780370391516</v>
      </c>
      <c r="G12" s="137">
        <f>'2019'!F$9</f>
        <v>11856.245260033535</v>
      </c>
      <c r="H12" s="145">
        <f>'2019'!Wh_gain_sa</f>
        <v>0</v>
      </c>
      <c r="I12" s="330">
        <f>'2019'!Wh_gain_vg</f>
        <v>0</v>
      </c>
      <c r="J12" s="137">
        <f>'2019'!Prod_an_s</f>
        <v>11221.410999999996</v>
      </c>
      <c r="K12" s="972" t="str">
        <f>IF('2019'!Acti_net,'2019'!Tnet,"")</f>
        <v/>
      </c>
      <c r="L12" s="973" t="str">
        <f>IF('2019'!Acti_tai,'2019'!Ttai,"")</f>
        <v/>
      </c>
      <c r="M12" s="984">
        <f>O12+P11+(K11="")*M11</f>
        <v>0</v>
      </c>
      <c r="N12" s="985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976"/>
      <c r="T12" s="976"/>
    </row>
    <row r="13" spans="1:29" s="19" customFormat="1" ht="12.75" x14ac:dyDescent="0.2">
      <c r="A13" s="144">
        <f>'2020'!An</f>
        <v>2020</v>
      </c>
      <c r="B13" s="137">
        <f>'2020'!Prod_an</f>
        <v>10520.859999999999</v>
      </c>
      <c r="C13" s="145">
        <f>'2020'!Wh_Psa</f>
        <v>854.45182686434498</v>
      </c>
      <c r="D13" s="330">
        <f>'2020'!Wh_Pvg</f>
        <v>9.6003169398723021</v>
      </c>
      <c r="E13" s="137">
        <f t="shared" si="1"/>
        <v>864.05214380421728</v>
      </c>
      <c r="F13" s="137">
        <f t="shared" si="2"/>
        <v>11384.912143804217</v>
      </c>
      <c r="G13" s="137">
        <f>'2020'!F$9</f>
        <v>11577.224299172249</v>
      </c>
      <c r="H13" s="145">
        <f>'2020'!Wh_gain_sa</f>
        <v>0</v>
      </c>
      <c r="I13" s="330">
        <f>'2020'!Wh_gain_vg</f>
        <v>0</v>
      </c>
      <c r="J13" s="137">
        <f>'2020'!Prod_an_s</f>
        <v>10520.859999999999</v>
      </c>
      <c r="K13" s="972" t="str">
        <f>IF('2020'!Acti_net,'2020'!Tnet,"")</f>
        <v/>
      </c>
      <c r="L13" s="973" t="str">
        <f>IF('2020'!Acti_tai,'2020'!Ttai,"")</f>
        <v/>
      </c>
      <c r="M13" s="984">
        <f t="shared" ref="M13:M20" si="3">O13+P12+(K12="")*M12</f>
        <v>0</v>
      </c>
      <c r="N13" s="985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976"/>
      <c r="T13" s="976"/>
    </row>
    <row r="14" spans="1:29" s="19" customFormat="1" ht="12.75" x14ac:dyDescent="0.2">
      <c r="A14" s="144">
        <f>'2021'!An</f>
        <v>2021</v>
      </c>
      <c r="B14" s="137">
        <f>'2021'!Prod_an</f>
        <v>10919.392000000005</v>
      </c>
      <c r="C14" s="145">
        <f>'2021'!Wh_Psa</f>
        <v>404.81144990838033</v>
      </c>
      <c r="D14" s="330">
        <f>'2021'!Wh_Pvg</f>
        <v>13.835903972977185</v>
      </c>
      <c r="E14" s="137">
        <f t="shared" si="1"/>
        <v>418.6473538813575</v>
      </c>
      <c r="F14" s="137">
        <f t="shared" si="2"/>
        <v>11338.039353881362</v>
      </c>
      <c r="G14" s="137">
        <f>'2021'!F$9</f>
        <v>11623.386504981814</v>
      </c>
      <c r="H14" s="145">
        <f>'2021'!Wh_gain_sa</f>
        <v>601.44417563785896</v>
      </c>
      <c r="I14" s="330">
        <f>'2021'!Wh_gain_vg</f>
        <v>-0.76147889062777985</v>
      </c>
      <c r="J14" s="137">
        <f>'2021'!Prod_an_s</f>
        <v>10318.427543848127</v>
      </c>
      <c r="K14" s="972">
        <f>IF('2021'!Acti_net,'2021'!Tnet,"")</f>
        <v>44306</v>
      </c>
      <c r="L14" s="973" t="str">
        <f>IF('2021'!Acti_tai,'2021'!Ttai,"")</f>
        <v/>
      </c>
      <c r="M14" s="984">
        <f t="shared" si="3"/>
        <v>0</v>
      </c>
      <c r="N14" s="985">
        <f>Q14+R13+(L13="")*N13</f>
        <v>0</v>
      </c>
      <c r="O14" s="370">
        <f>+'2021'!$AJ$3</f>
        <v>0</v>
      </c>
      <c r="P14" s="370">
        <f>+'2021'!$AJ$4</f>
        <v>600.9123713970771</v>
      </c>
      <c r="Q14" s="370">
        <f>+'2021'!$AK$3</f>
        <v>0</v>
      </c>
      <c r="R14" s="370">
        <f>+'2021'!$AK$4</f>
        <v>-0.76147889062777985</v>
      </c>
      <c r="S14" s="976"/>
      <c r="T14" s="976"/>
    </row>
    <row r="15" spans="1:29" s="19" customFormat="1" ht="12.75" x14ac:dyDescent="0.2">
      <c r="A15" s="144">
        <f>'2022'!An</f>
        <v>2022</v>
      </c>
      <c r="B15" s="137">
        <f>'2022'!Prod_an</f>
        <v>10698.169</v>
      </c>
      <c r="C15" s="145">
        <f>'2022'!Wh_Psa</f>
        <v>795.70679483449362</v>
      </c>
      <c r="D15" s="330">
        <f>'2022'!Wh_Pvg</f>
        <v>20.218995020307105</v>
      </c>
      <c r="E15" s="137">
        <f t="shared" si="1"/>
        <v>815.92578985480077</v>
      </c>
      <c r="F15" s="137">
        <f t="shared" si="2"/>
        <v>11514.0947898548</v>
      </c>
      <c r="G15" s="137">
        <f>'2022'!F$9</f>
        <v>11896.397243331223</v>
      </c>
      <c r="H15" s="145">
        <f>'2022'!Wh_gain_sa</f>
        <v>541.48431288720531</v>
      </c>
      <c r="I15" s="330">
        <f>'2022'!Wh_gain_vg</f>
        <v>-1.028148077575409</v>
      </c>
      <c r="J15" s="137">
        <f>'2022'!Prod_an_s</f>
        <v>10154.160661312562</v>
      </c>
      <c r="K15" s="972" t="str">
        <f>IF('2022'!Acti_net,'2022'!Tnet,"")</f>
        <v/>
      </c>
      <c r="L15" s="973" t="str">
        <f>IF('2022'!Acti_tai,'2022'!Ttai,"")</f>
        <v/>
      </c>
      <c r="M15" s="984">
        <f t="shared" si="3"/>
        <v>600.9123713970771</v>
      </c>
      <c r="N15" s="985">
        <f t="shared" ref="N15:N20" si="4">Q15+R14+(L14="")*N14</f>
        <v>-0.76147889062777985</v>
      </c>
      <c r="O15" s="370">
        <f>+'2022'!$AJ$3</f>
        <v>0</v>
      </c>
      <c r="P15" s="370">
        <f>+'2022'!$AJ$4</f>
        <v>541.64998954509838</v>
      </c>
      <c r="Q15" s="370">
        <f>+'2022'!$AK$3</f>
        <v>0</v>
      </c>
      <c r="R15" s="370">
        <f>+'2022'!$AK$4</f>
        <v>-1.0239382159245274</v>
      </c>
      <c r="S15" s="976"/>
      <c r="T15" s="976"/>
    </row>
    <row r="16" spans="1:29" s="19" customFormat="1" ht="12.75" x14ac:dyDescent="0.2">
      <c r="A16" s="364">
        <f>'2023'!An</f>
        <v>2023</v>
      </c>
      <c r="B16" s="365">
        <f>'2023'!Prod_an</f>
        <v>10804.235631965106</v>
      </c>
      <c r="C16" s="366">
        <f>'2023'!Wh_Psa</f>
        <v>497.26301737182001</v>
      </c>
      <c r="D16" s="367">
        <f>'2023'!Wh_Pvg</f>
        <v>25.837520763331636</v>
      </c>
      <c r="E16" s="365">
        <f t="shared" si="1"/>
        <v>523.10053813515162</v>
      </c>
      <c r="F16" s="365">
        <f t="shared" si="2"/>
        <v>11327.336170100258</v>
      </c>
      <c r="G16" s="365">
        <f>'2023'!F$9</f>
        <v>11800.837535667035</v>
      </c>
      <c r="H16" s="366">
        <f>'2023'!Wh_gain_sa</f>
        <v>898.04591297518277</v>
      </c>
      <c r="I16" s="367">
        <f>'2023'!Wh_gain_vg</f>
        <v>-2.1466251426651226</v>
      </c>
      <c r="J16" s="365">
        <f>'2023'!Prod_an_s</f>
        <v>9906.6013710274456</v>
      </c>
      <c r="K16" s="974">
        <f>IF('2023'!Acti_net,'2023'!Tnet,"")</f>
        <v>45046</v>
      </c>
      <c r="L16" s="975" t="str">
        <f>IF('2023'!Acti_tai,'2023'!Ttai,"")</f>
        <v/>
      </c>
      <c r="M16" s="986">
        <f t="shared" si="3"/>
        <v>1232.7454997517762</v>
      </c>
      <c r="N16" s="987">
        <f t="shared" si="4"/>
        <v>-1.7854171065523072</v>
      </c>
      <c r="O16" s="370">
        <f>+'2023'!$AJ$3</f>
        <v>90.183138809600621</v>
      </c>
      <c r="P16" s="370">
        <f>+'2023'!$AJ$4</f>
        <v>807.37250233055761</v>
      </c>
      <c r="Q16" s="370">
        <f>+'2023'!$AK$3</f>
        <v>0</v>
      </c>
      <c r="R16" s="370">
        <f>+'2023'!$AK$4</f>
        <v>-2.1466251426651226</v>
      </c>
      <c r="S16" s="976"/>
      <c r="T16" s="976"/>
    </row>
    <row r="17" spans="1:30" s="19" customFormat="1" ht="12.75" x14ac:dyDescent="0.2">
      <c r="A17" s="362">
        <f>'2024'!An</f>
        <v>2024</v>
      </c>
      <c r="B17" s="363">
        <f>'2024'!Prod_an</f>
        <v>10903.058442545682</v>
      </c>
      <c r="C17" s="145">
        <f>'2024'!Wh_Psa</f>
        <v>315.74740777644956</v>
      </c>
      <c r="D17" s="330">
        <f>'2024'!Wh_Pvg</f>
        <v>32.999485810719236</v>
      </c>
      <c r="E17" s="363">
        <f>C17+D17</f>
        <v>348.74689358716881</v>
      </c>
      <c r="F17" s="363">
        <f>B17+E17</f>
        <v>11251.805336132851</v>
      </c>
      <c r="G17" s="363">
        <f>'2024'!F$9</f>
        <v>11815.592713984559</v>
      </c>
      <c r="H17" s="145">
        <f>'2024'!Wh_gain_sa</f>
        <v>550.92987324325168</v>
      </c>
      <c r="I17" s="330">
        <f>'2024'!Wh_gain_vg</f>
        <v>-1.6684058828595845</v>
      </c>
      <c r="J17" s="363">
        <f>'2024'!Prod_an_s</f>
        <v>10351.815706490801</v>
      </c>
      <c r="K17" s="972">
        <f>IF('2024'!Acti_net,'2024'!Tnet,"")</f>
        <v>45412</v>
      </c>
      <c r="L17" s="973" t="str">
        <f>IF('2024'!Acti_tai,'2024'!Ttai,"")</f>
        <v/>
      </c>
      <c r="M17" s="984">
        <f t="shared" si="3"/>
        <v>1030.6237543636137</v>
      </c>
      <c r="N17" s="985">
        <f t="shared" si="4"/>
        <v>-3.9320422492174298</v>
      </c>
      <c r="O17" s="370">
        <f>+'2024'!$AJ$3</f>
        <v>223.25125203305615</v>
      </c>
      <c r="P17" s="370">
        <f>+'2024'!$AJ$4</f>
        <v>327.95734032538201</v>
      </c>
      <c r="Q17" s="370">
        <f>+'2024'!$AK$3</f>
        <v>0</v>
      </c>
      <c r="R17" s="370">
        <f>+'2024'!$AK$4</f>
        <v>-1.6684058828595845</v>
      </c>
      <c r="S17" s="976"/>
      <c r="T17" s="976"/>
    </row>
    <row r="18" spans="1:30" s="19" customFormat="1" ht="12.75" x14ac:dyDescent="0.2">
      <c r="A18" s="362">
        <f>'2025'!An</f>
        <v>2025</v>
      </c>
      <c r="B18" s="363">
        <f>'2025'!Prod_an</f>
        <v>10835.682461547529</v>
      </c>
      <c r="C18" s="145">
        <f>'2025'!Wh_Psa</f>
        <v>312.60558634856272</v>
      </c>
      <c r="D18" s="330">
        <f>'2025'!Wh_Pvg</f>
        <v>6.4372352160026365</v>
      </c>
      <c r="E18" s="363">
        <f>C18+D18</f>
        <v>319.04282156456537</v>
      </c>
      <c r="F18" s="363">
        <f>B18+E18</f>
        <v>11154.725283112095</v>
      </c>
      <c r="G18" s="363">
        <f>'2025'!F$9</f>
        <v>11807.089360146148</v>
      </c>
      <c r="H18" s="145">
        <f>'2025'!Wh_gain_sa</f>
        <v>414.67026961866952</v>
      </c>
      <c r="I18" s="330">
        <f>'2025'!Wh_gain_vg</f>
        <v>32.253311422466872</v>
      </c>
      <c r="J18" s="363">
        <f>'2025'!Prod_an_s</f>
        <v>10386.295345844757</v>
      </c>
      <c r="K18" s="972">
        <f>IF('2025'!Acti_net,'2025'!Tnet,"")</f>
        <v>45777</v>
      </c>
      <c r="L18" s="973">
        <f>IF('2025'!Acti_tai,'2025'!Ttai,"")</f>
        <v>45747</v>
      </c>
      <c r="M18" s="984">
        <f t="shared" si="3"/>
        <v>417.63839223114803</v>
      </c>
      <c r="N18" s="985">
        <f t="shared" si="4"/>
        <v>-5.7302143656183544</v>
      </c>
      <c r="O18" s="370">
        <f>+'2025'!$AJ$3</f>
        <v>89.681051905766054</v>
      </c>
      <c r="P18" s="370">
        <f>+'2025'!$AJ$4</f>
        <v>324.92644912308378</v>
      </c>
      <c r="Q18" s="370">
        <f>+'2025'!$AK$3</f>
        <v>-0.12976623354134009</v>
      </c>
      <c r="R18" s="370">
        <f>+'2025'!$AK$4</f>
        <v>32.457843198805286</v>
      </c>
      <c r="S18" s="976"/>
      <c r="T18" s="976"/>
    </row>
    <row r="19" spans="1:30" s="19" customFormat="1" ht="12.75" x14ac:dyDescent="0.2">
      <c r="A19" s="362">
        <f>'2026'!An</f>
        <v>2026</v>
      </c>
      <c r="B19" s="363">
        <f>'2026'!Prod_an</f>
        <v>10751.002017245824</v>
      </c>
      <c r="C19" s="145">
        <f>'2026'!Wh_Psa</f>
        <v>310.31070575420375</v>
      </c>
      <c r="D19" s="330">
        <f>'2026'!Wh_Pvg</f>
        <v>6.3676122874584884</v>
      </c>
      <c r="E19" s="363">
        <f>C19+D19</f>
        <v>316.67831804166224</v>
      </c>
      <c r="F19" s="363">
        <f>B19+E19</f>
        <v>11067.680335287487</v>
      </c>
      <c r="G19" s="363">
        <f>'2026'!F$9</f>
        <v>11808.960697272234</v>
      </c>
      <c r="H19" s="145">
        <f>'2026'!Wh_gain_sa</f>
        <v>410.52312800517728</v>
      </c>
      <c r="I19" s="330">
        <f>'2026'!Wh_gain_vg</f>
        <v>40.537427507226695</v>
      </c>
      <c r="J19" s="363">
        <f>'2026'!Prod_an_s</f>
        <v>10296.894022653347</v>
      </c>
      <c r="K19" s="972">
        <f>IF('2026'!Acti_net,'2026'!Tnet,"")</f>
        <v>46142</v>
      </c>
      <c r="L19" s="973" t="str">
        <f>IF('2026'!Acti_tai,'2026'!Ttai,"")</f>
        <v/>
      </c>
      <c r="M19" s="984">
        <f t="shared" si="3"/>
        <v>413.48821637307014</v>
      </c>
      <c r="N19" s="985">
        <f t="shared" si="4"/>
        <v>32.457843198805286</v>
      </c>
      <c r="O19" s="370">
        <f>+'2026'!$AJ$3</f>
        <v>88.561767249986332</v>
      </c>
      <c r="P19" s="370">
        <f>+'2026'!$AJ$4</f>
        <v>321.89827538814944</v>
      </c>
      <c r="Q19" s="370">
        <f>+'2026'!$AK$3</f>
        <v>0</v>
      </c>
      <c r="R19" s="370">
        <f>+'2026'!$AK$4</f>
        <v>40.537427507226695</v>
      </c>
      <c r="S19" s="976"/>
      <c r="T19" s="976"/>
    </row>
    <row r="20" spans="1:30" s="19" customFormat="1" ht="12.75" x14ac:dyDescent="0.2">
      <c r="A20" s="362">
        <f>'2027'!An</f>
        <v>2027</v>
      </c>
      <c r="B20" s="363">
        <f>'2027'!Prod_an</f>
        <v>10659.788818036763</v>
      </c>
      <c r="C20" s="145">
        <f>'2027'!Wh_Psa</f>
        <v>307.71500344754594</v>
      </c>
      <c r="D20" s="330">
        <f>'2027'!Wh_Pvg</f>
        <v>10.52467779728709</v>
      </c>
      <c r="E20" s="363">
        <f>C20+D20</f>
        <v>318.23968124483304</v>
      </c>
      <c r="F20" s="363">
        <f>B20+E20</f>
        <v>10978.028499281596</v>
      </c>
      <c r="G20" s="363">
        <f>'2027'!F$9</f>
        <v>11807.449845976644</v>
      </c>
      <c r="H20" s="145">
        <f>'2027'!Wh_gain_sa</f>
        <v>406.64093583722052</v>
      </c>
      <c r="I20" s="330">
        <f>'2027'!Wh_gain_vg</f>
        <v>45.210663444758282</v>
      </c>
      <c r="J20" s="363">
        <f>'2027'!Prod_an_s</f>
        <v>10204.392996721199</v>
      </c>
      <c r="K20" s="972">
        <f>IF('2027'!Acti_net,'2027'!Tnet,"")</f>
        <v>46507</v>
      </c>
      <c r="L20" s="973" t="str">
        <f>IF('2027'!Acti_tai,'2027'!Ttai,"")</f>
        <v/>
      </c>
      <c r="M20" s="984">
        <f t="shared" si="3"/>
        <v>409.58470330295302</v>
      </c>
      <c r="N20" s="985">
        <f t="shared" si="4"/>
        <v>72.995270706031988</v>
      </c>
      <c r="O20" s="370">
        <f>+'2027'!$AJ$3</f>
        <v>87.686427914803602</v>
      </c>
      <c r="P20" s="370">
        <f>+'2027'!$AJ$4</f>
        <v>318.89186298867412</v>
      </c>
      <c r="Q20" s="370">
        <f>+'2027'!$AK$3</f>
        <v>0</v>
      </c>
      <c r="R20" s="370">
        <f>+'2027'!$AK$4</f>
        <v>45.210663444758282</v>
      </c>
      <c r="S20" s="976"/>
      <c r="T20" s="976"/>
    </row>
    <row r="21" spans="1:30" s="19" customFormat="1" ht="12.75" x14ac:dyDescent="0.2">
      <c r="A21" s="776"/>
      <c r="B21" s="777"/>
      <c r="C21" s="778"/>
      <c r="D21" s="775"/>
      <c r="E21" s="777"/>
      <c r="F21" s="777"/>
      <c r="G21" s="777"/>
      <c r="H21" s="778"/>
      <c r="I21" s="775"/>
      <c r="J21" s="777"/>
      <c r="K21" s="988"/>
      <c r="L21" s="989"/>
      <c r="M21" s="978"/>
      <c r="N21" s="979"/>
      <c r="O21" s="10"/>
      <c r="P21" s="10"/>
      <c r="Q21" s="10"/>
      <c r="R21" s="10"/>
      <c r="S21" s="976"/>
      <c r="T21" s="976"/>
    </row>
    <row r="22" spans="1:30" s="19" customFormat="1" ht="12.75" x14ac:dyDescent="0.2">
      <c r="A22" s="776"/>
      <c r="B22" s="777"/>
      <c r="C22" s="778"/>
      <c r="D22" s="775"/>
      <c r="E22" s="777"/>
      <c r="F22" s="777"/>
      <c r="G22" s="777"/>
      <c r="H22" s="778"/>
      <c r="I22" s="775"/>
      <c r="J22" s="777"/>
      <c r="K22" s="988"/>
      <c r="L22" s="989"/>
      <c r="M22" s="978"/>
      <c r="N22" s="979"/>
      <c r="O22" s="10"/>
      <c r="P22" s="977"/>
      <c r="Q22" s="10"/>
      <c r="R22" s="977"/>
      <c r="S22" s="976"/>
      <c r="T22" s="976"/>
    </row>
    <row r="23" spans="1:30" s="19" customFormat="1" ht="12.75" x14ac:dyDescent="0.2">
      <c r="A23" s="776"/>
      <c r="B23" s="777"/>
      <c r="C23" s="778"/>
      <c r="D23" s="775"/>
      <c r="E23" s="777"/>
      <c r="F23" s="777"/>
      <c r="G23" s="777"/>
      <c r="H23" s="778"/>
      <c r="I23" s="775"/>
      <c r="J23" s="777"/>
      <c r="K23" s="988"/>
      <c r="L23" s="989"/>
      <c r="M23" s="978"/>
      <c r="N23" s="979"/>
      <c r="O23" s="10"/>
      <c r="P23" s="977"/>
      <c r="Q23" s="10"/>
      <c r="S23" s="976"/>
      <c r="T23" s="976"/>
    </row>
    <row r="24" spans="1:30" s="19" customFormat="1" ht="12.75" x14ac:dyDescent="0.2">
      <c r="A24" s="776"/>
      <c r="B24" s="777"/>
      <c r="C24" s="778"/>
      <c r="D24" s="775"/>
      <c r="E24" s="777"/>
      <c r="F24" s="777"/>
      <c r="G24" s="777"/>
      <c r="H24" s="778"/>
      <c r="I24" s="775"/>
      <c r="J24" s="777"/>
      <c r="K24" s="988"/>
      <c r="L24" s="989"/>
      <c r="M24" s="978"/>
      <c r="N24" s="979"/>
      <c r="O24" s="10"/>
      <c r="P24" s="977"/>
      <c r="Q24" s="10"/>
      <c r="R24" s="977"/>
      <c r="S24" s="976"/>
      <c r="T24" s="976"/>
    </row>
    <row r="25" spans="1:30" s="19" customFormat="1" ht="12.75" x14ac:dyDescent="0.2">
      <c r="A25" s="776"/>
      <c r="B25" s="777"/>
      <c r="C25" s="778"/>
      <c r="D25" s="775"/>
      <c r="E25" s="777"/>
      <c r="F25" s="777"/>
      <c r="G25" s="777"/>
      <c r="H25" s="778"/>
      <c r="I25" s="775"/>
      <c r="J25" s="777"/>
      <c r="K25" s="988"/>
      <c r="L25" s="989"/>
      <c r="M25" s="978"/>
      <c r="N25" s="979"/>
      <c r="O25" s="10"/>
      <c r="P25" s="977"/>
      <c r="Q25" s="10"/>
      <c r="R25" s="977"/>
      <c r="S25" s="976"/>
      <c r="T25" s="976"/>
    </row>
    <row r="26" spans="1:30" s="19" customFormat="1" ht="12.75" x14ac:dyDescent="0.2">
      <c r="A26" s="776"/>
      <c r="B26" s="777"/>
      <c r="C26" s="778"/>
      <c r="D26" s="775"/>
      <c r="E26" s="777"/>
      <c r="F26" s="777"/>
      <c r="G26" s="777"/>
      <c r="H26" s="778"/>
      <c r="I26" s="775"/>
      <c r="J26" s="777"/>
      <c r="K26" s="988"/>
      <c r="L26" s="989"/>
      <c r="M26" s="978"/>
      <c r="N26" s="979"/>
      <c r="O26" s="10"/>
      <c r="P26" s="977"/>
      <c r="Q26" s="10"/>
      <c r="R26" s="977"/>
      <c r="S26" s="976"/>
      <c r="T26" s="976"/>
    </row>
    <row r="27" spans="1:30" s="19" customFormat="1" ht="12.75" x14ac:dyDescent="0.2">
      <c r="A27" s="776"/>
      <c r="B27" s="777"/>
      <c r="C27" s="778"/>
      <c r="D27" s="775"/>
      <c r="E27" s="777"/>
      <c r="F27" s="777"/>
      <c r="G27" s="777"/>
      <c r="H27" s="778"/>
      <c r="I27" s="775"/>
      <c r="J27" s="777"/>
      <c r="K27" s="988"/>
      <c r="L27" s="989"/>
      <c r="M27" s="978"/>
      <c r="N27" s="979"/>
      <c r="O27" s="10"/>
      <c r="P27" s="977"/>
      <c r="Q27" s="10"/>
      <c r="R27" s="977"/>
      <c r="S27" s="976"/>
      <c r="T27" s="976"/>
    </row>
    <row r="28" spans="1:30" s="19" customFormat="1" ht="12.75" x14ac:dyDescent="0.2">
      <c r="A28" s="776"/>
      <c r="B28" s="777"/>
      <c r="C28" s="778"/>
      <c r="D28" s="775"/>
      <c r="E28" s="777"/>
      <c r="F28" s="777"/>
      <c r="G28" s="777"/>
      <c r="H28" s="778"/>
      <c r="I28" s="775"/>
      <c r="J28" s="777"/>
      <c r="K28" s="988"/>
      <c r="L28" s="989"/>
      <c r="M28" s="978"/>
      <c r="N28" s="979"/>
      <c r="O28" s="10"/>
      <c r="P28" s="10"/>
      <c r="Q28" s="10"/>
      <c r="R28" s="10"/>
      <c r="S28" s="976"/>
      <c r="T28" s="976"/>
    </row>
    <row r="29" spans="1:30" s="19" customFormat="1" ht="12.75" x14ac:dyDescent="0.2">
      <c r="A29" s="776"/>
      <c r="B29" s="777"/>
      <c r="C29" s="778"/>
      <c r="D29" s="775"/>
      <c r="E29" s="777"/>
      <c r="F29" s="777"/>
      <c r="G29" s="777"/>
      <c r="H29" s="778"/>
      <c r="I29" s="775"/>
      <c r="J29" s="777"/>
      <c r="K29" s="988"/>
      <c r="L29" s="989"/>
      <c r="M29" s="978"/>
      <c r="N29" s="979"/>
      <c r="O29" s="10"/>
      <c r="P29" s="10"/>
      <c r="Q29" s="10"/>
      <c r="R29" s="10"/>
      <c r="S29" s="976"/>
      <c r="T29" s="976"/>
    </row>
    <row r="30" spans="1:30" s="19" customFormat="1" ht="12.75" x14ac:dyDescent="0.2">
      <c r="A30" s="779"/>
      <c r="B30" s="780"/>
      <c r="C30" s="781"/>
      <c r="D30" s="782"/>
      <c r="E30" s="780"/>
      <c r="F30" s="780"/>
      <c r="G30" s="780"/>
      <c r="H30" s="781"/>
      <c r="I30" s="782"/>
      <c r="J30" s="780"/>
      <c r="K30" s="990"/>
      <c r="L30" s="991"/>
      <c r="M30" s="980"/>
      <c r="N30" s="981"/>
      <c r="O30" s="10"/>
      <c r="P30" s="10"/>
      <c r="Q30" s="10"/>
      <c r="R30" s="10"/>
      <c r="S30" s="976"/>
      <c r="T30" s="976"/>
      <c r="AD30" s="30"/>
    </row>
    <row r="31" spans="1:30" s="4" customFormat="1" x14ac:dyDescent="0.25">
      <c r="A31" s="994" t="s">
        <v>333</v>
      </c>
      <c r="B31" s="995">
        <f>SUM(B11:B16)/1000</f>
        <v>59.839095631965115</v>
      </c>
      <c r="C31" s="996">
        <f t="shared" ref="C31:J31" si="5">SUM(C11:C16)/1000</f>
        <v>3.1568718691035649</v>
      </c>
      <c r="D31" s="997">
        <f t="shared" si="5"/>
        <v>7.7587718623529423E-2</v>
      </c>
      <c r="E31" s="995">
        <f t="shared" si="5"/>
        <v>3.2344595877270939</v>
      </c>
      <c r="F31" s="995">
        <f t="shared" si="5"/>
        <v>63.07355521969221</v>
      </c>
      <c r="G31" s="995">
        <f t="shared" si="5"/>
        <v>64.523304502224988</v>
      </c>
      <c r="H31" s="996">
        <f t="shared" si="5"/>
        <v>2.0409744015002471</v>
      </c>
      <c r="I31" s="997">
        <f t="shared" si="5"/>
        <v>-3.9362521108683114E-3</v>
      </c>
      <c r="J31" s="995">
        <f t="shared" si="5"/>
        <v>57.796488576188132</v>
      </c>
      <c r="K31" s="1144" t="s">
        <v>10</v>
      </c>
      <c r="L31" s="3"/>
      <c r="M31" s="1142" t="s">
        <v>327</v>
      </c>
      <c r="N31" s="1142" t="s">
        <v>330</v>
      </c>
      <c r="O31" s="1142" t="s">
        <v>330</v>
      </c>
      <c r="P31" s="3"/>
      <c r="Q31" s="3"/>
      <c r="R31" s="77"/>
      <c r="S31" s="134"/>
      <c r="T31" s="77"/>
      <c r="U31" s="77"/>
      <c r="V31" s="998"/>
      <c r="W31" s="3"/>
      <c r="X31" s="3"/>
      <c r="Y31" s="3"/>
      <c r="Z31" s="3"/>
    </row>
    <row r="32" spans="1:30" ht="15.75" x14ac:dyDescent="0.25">
      <c r="A32" s="1154" t="s">
        <v>331</v>
      </c>
      <c r="B32" s="1155">
        <f>IF(K17&lt;&gt;"",B16-H17-C17+C16-D17+D16,B17)</f>
        <v>10427.659403269838</v>
      </c>
      <c r="J32" s="356" t="s">
        <v>266</v>
      </c>
      <c r="K32" s="68">
        <f>[1]!Inter_net</f>
        <v>1</v>
      </c>
      <c r="L32" s="68">
        <f>[1]!Inter_tai</f>
        <v>7</v>
      </c>
      <c r="M32" s="1143">
        <f>Inter_net</f>
        <v>1</v>
      </c>
      <c r="N32" s="1143">
        <f>CHOOSE(Inter_net,N33,N34,N35,N36)</f>
        <v>397.98196152094204</v>
      </c>
      <c r="O32" s="1149">
        <f>CHOOSE(Inter_net,O33,O34,O35,O36)</f>
        <v>3.8165991631462899E-2</v>
      </c>
      <c r="P32" s="370"/>
      <c r="Q32" s="370"/>
      <c r="R32" s="370"/>
      <c r="S32" s="976"/>
      <c r="T32" s="976"/>
      <c r="U32" s="24"/>
      <c r="V32" s="3"/>
      <c r="W32" s="3"/>
      <c r="X32" s="3"/>
      <c r="Z32" s="15"/>
      <c r="AA32" s="15"/>
      <c r="AB32" s="15"/>
    </row>
    <row r="33" spans="1:28" ht="15.75" x14ac:dyDescent="0.25">
      <c r="A33" s="29" t="s">
        <v>292</v>
      </c>
      <c r="B33" s="1092">
        <f t="shared" ref="B33:G33" si="6">AVERAGE(B35:B54)</f>
        <v>3.9782725747634293E-2</v>
      </c>
      <c r="C33" s="1093">
        <f t="shared" si="6"/>
        <v>4.9226055271111194E-2</v>
      </c>
      <c r="D33" s="1094">
        <f t="shared" si="6"/>
        <v>2.8290271711951111E-3</v>
      </c>
      <c r="E33" s="1092">
        <f t="shared" si="6"/>
        <v>3.7875781276453281E-2</v>
      </c>
      <c r="F33" s="1093">
        <f t="shared" si="6"/>
        <v>4.0124253106577086E-2</v>
      </c>
      <c r="G33" s="1094">
        <f t="shared" si="6"/>
        <v>1.1530181126188136E-3</v>
      </c>
      <c r="H33" s="1095">
        <f t="shared" ref="H33:J33" si="7">AVERAGE(H35:H54)</f>
        <v>3.5831871709811558E-2</v>
      </c>
      <c r="I33" s="1096">
        <f t="shared" si="7"/>
        <v>9.5640254099686219E-4</v>
      </c>
      <c r="J33" s="1097">
        <f t="shared" si="7"/>
        <v>7.5314777981177333E-2</v>
      </c>
      <c r="K33" s="342"/>
      <c r="L33" s="21"/>
      <c r="M33" s="370">
        <v>1</v>
      </c>
      <c r="N33" s="1150">
        <f>O33*$B$32</f>
        <v>397.98196152094204</v>
      </c>
      <c r="O33" s="1151">
        <f>AVERAGE(H19:H20)/AVERAGE(B19:B20)</f>
        <v>3.8165991631462899E-2</v>
      </c>
      <c r="P33" s="370"/>
      <c r="Q33" s="370"/>
      <c r="R33" s="370"/>
      <c r="S33" s="976"/>
      <c r="T33" s="976"/>
      <c r="V33" s="24"/>
      <c r="W33" s="3"/>
      <c r="X33" s="3"/>
      <c r="AA33" s="15"/>
      <c r="AB33" s="15"/>
    </row>
    <row r="34" spans="1:28" s="240" customFormat="1" ht="41.25" customHeight="1" x14ac:dyDescent="0.2">
      <c r="A34" s="174" t="s">
        <v>53</v>
      </c>
      <c r="B34" s="1098" t="s">
        <v>314</v>
      </c>
      <c r="C34" s="1099" t="s">
        <v>315</v>
      </c>
      <c r="D34" s="1100" t="s">
        <v>316</v>
      </c>
      <c r="E34" s="1098" t="s">
        <v>317</v>
      </c>
      <c r="F34" s="332" t="s">
        <v>318</v>
      </c>
      <c r="G34" s="333" t="s">
        <v>319</v>
      </c>
      <c r="H34" s="332" t="s">
        <v>320</v>
      </c>
      <c r="I34" s="333" t="s">
        <v>321</v>
      </c>
      <c r="J34" s="174" t="s">
        <v>322</v>
      </c>
      <c r="K34" s="332" t="s">
        <v>323</v>
      </c>
      <c r="L34" s="332" t="s">
        <v>324</v>
      </c>
      <c r="M34" s="370">
        <v>2</v>
      </c>
      <c r="N34" s="1152">
        <f>O34*$B$32</f>
        <v>397.98196152094204</v>
      </c>
      <c r="O34" s="1153">
        <f>AVERAGE(H19:H20)/AVERAGE(B19:B20)</f>
        <v>3.8165991631462899E-2</v>
      </c>
      <c r="P34" s="370"/>
      <c r="Q34" s="370"/>
      <c r="R34" s="370"/>
      <c r="S34" s="976"/>
      <c r="T34" s="976"/>
      <c r="U34" s="241"/>
      <c r="V34" s="242"/>
      <c r="W34" s="239"/>
      <c r="X34" s="239"/>
      <c r="Y34" s="239"/>
      <c r="Z34" s="239"/>
    </row>
    <row r="35" spans="1:28" s="19" customFormat="1" ht="12.75" x14ac:dyDescent="0.2">
      <c r="A35" s="142">
        <f>A11</f>
        <v>2018</v>
      </c>
      <c r="B35" s="1101">
        <f>'2018'!L$379</f>
        <v>4.8506205564775584E-3</v>
      </c>
      <c r="C35" s="1102">
        <f>'2018'!O$379</f>
        <v>2.5707093744743881E-2</v>
      </c>
      <c r="D35" s="1103">
        <f>'2018'!P$379</f>
        <v>2.2436861963048049E-4</v>
      </c>
      <c r="E35" s="1101">
        <f>'2018'!Wh_Ppv/Recap!B11</f>
        <v>2.3974021512186898E-3</v>
      </c>
      <c r="F35" s="1102">
        <f>'2018'!Wh_Psa/'2018'!D$9</f>
        <v>1.3832790032349813E-2</v>
      </c>
      <c r="G35" s="1103">
        <f>'2018'!Wh_Pvg/'2018'!E$9</f>
        <v>2.9037155300816318E-4</v>
      </c>
      <c r="H35" s="1104">
        <f>H11/'2018'!Z$9</f>
        <v>0</v>
      </c>
      <c r="I35" s="1105">
        <f>I11/'2018'!AA$9</f>
        <v>0</v>
      </c>
      <c r="J35" s="1106">
        <f>1-B11/G11</f>
        <v>1.6325562651255843E-2</v>
      </c>
      <c r="K35" s="970" t="str">
        <f>K11</f>
        <v/>
      </c>
      <c r="L35" s="1107">
        <f>(K35&lt;&gt;"")*('2018'!O$383-'2018'!O$381)</f>
        <v>0</v>
      </c>
      <c r="M35" s="370">
        <v>3</v>
      </c>
      <c r="N35" s="1152">
        <f>O35*$B$32</f>
        <v>398.3427506116966</v>
      </c>
      <c r="O35" s="1153">
        <f>AVERAGE(H18:H20)/AVERAGE(B18:B20)</f>
        <v>3.8200590871503425E-2</v>
      </c>
      <c r="P35" s="370"/>
      <c r="Q35" s="370"/>
      <c r="R35" s="370"/>
      <c r="S35" s="976"/>
      <c r="T35" s="976"/>
    </row>
    <row r="36" spans="1:28" s="19" customFormat="1" ht="12.75" x14ac:dyDescent="0.2">
      <c r="A36" s="144">
        <f t="shared" ref="A36:A44" si="8">A12</f>
        <v>2019</v>
      </c>
      <c r="B36" s="1092">
        <f>'2019'!L$379</f>
        <v>1.2774649825125772E-2</v>
      </c>
      <c r="C36" s="1093">
        <f>'2019'!O$379</f>
        <v>6.5212515016333322E-2</v>
      </c>
      <c r="D36" s="1094">
        <f>'2019'!P$379</f>
        <v>4.4881053159115674E-4</v>
      </c>
      <c r="E36" s="1092">
        <f>'2019'!Wh_Ppv/Recap!B12</f>
        <v>8.691787015430141E-3</v>
      </c>
      <c r="F36" s="1093">
        <f>'2019'!Wh_Psa/'2019'!D$9</f>
        <v>4.64662655805008E-2</v>
      </c>
      <c r="G36" s="1094">
        <f>'2019'!Wh_Pvg/'2019'!E$9</f>
        <v>5.4181857619343932E-4</v>
      </c>
      <c r="H36" s="1108">
        <f>H12/'2019'!Z$9</f>
        <v>0</v>
      </c>
      <c r="I36" s="1109">
        <f>I12/'2019'!AA$9</f>
        <v>0</v>
      </c>
      <c r="J36" s="1110">
        <f t="shared" ref="J36:J44" si="9">1-B12/G12</f>
        <v>5.3544292152382655E-2</v>
      </c>
      <c r="K36" s="972" t="str">
        <f t="shared" ref="K36:K44" si="10">K12</f>
        <v/>
      </c>
      <c r="L36" s="1111">
        <f>(K36&lt;&gt;"")*('2019'!O$383-'2019'!O$381)</f>
        <v>0</v>
      </c>
      <c r="M36" s="370">
        <v>4</v>
      </c>
      <c r="N36" s="1152">
        <f>O36*$B$32</f>
        <v>430.82872964039507</v>
      </c>
      <c r="O36" s="1153">
        <f>AVERAGE(H17:H20)/AVERAGE(B17:B20)</f>
        <v>4.131595720371329E-2</v>
      </c>
      <c r="P36" s="370"/>
      <c r="Q36" s="370"/>
      <c r="R36" s="370"/>
      <c r="S36" s="976"/>
      <c r="T36" s="976"/>
    </row>
    <row r="37" spans="1:28" s="19" customFormat="1" ht="12.75" x14ac:dyDescent="0.2">
      <c r="A37" s="144">
        <f t="shared" si="8"/>
        <v>2020</v>
      </c>
      <c r="B37" s="1092">
        <f>'2020'!L$379</f>
        <v>2.0635582797733032E-2</v>
      </c>
      <c r="C37" s="1093">
        <f>'2020'!O$379</f>
        <v>8.0786194810826384E-2</v>
      </c>
      <c r="D37" s="1094">
        <f>'2020'!P$379</f>
        <v>1.6452023080135993E-3</v>
      </c>
      <c r="E37" s="1092">
        <f>'2020'!Wh_Ppv/Recap!B13</f>
        <v>1.6822207052419276E-2</v>
      </c>
      <c r="F37" s="1093">
        <f>'2020'!Wh_Psa/'2020'!D$9</f>
        <v>7.9871403999922944E-2</v>
      </c>
      <c r="G37" s="1094">
        <f>'2020'!Wh_Pvg/'2020'!E$9</f>
        <v>8.2999836663269315E-4</v>
      </c>
      <c r="H37" s="1108">
        <f>H13/'2020'!Z$9</f>
        <v>0</v>
      </c>
      <c r="I37" s="1109">
        <f>I13/'2020'!AA$9</f>
        <v>0</v>
      </c>
      <c r="J37" s="1110">
        <f t="shared" si="9"/>
        <v>9.1245040423703183E-2</v>
      </c>
      <c r="K37" s="972" t="str">
        <f t="shared" si="10"/>
        <v/>
      </c>
      <c r="L37" s="1111">
        <f>(K37&lt;&gt;"")*('2020'!O$383-'2020'!O$381)</f>
        <v>0</v>
      </c>
      <c r="M37" s="370"/>
      <c r="N37" s="1156" t="s">
        <v>328</v>
      </c>
      <c r="O37" s="1157"/>
      <c r="P37" s="370"/>
      <c r="S37" s="976"/>
      <c r="T37" s="976"/>
    </row>
    <row r="38" spans="1:28" s="19" customFormat="1" ht="12.75" x14ac:dyDescent="0.2">
      <c r="A38" s="144">
        <f t="shared" si="8"/>
        <v>2021</v>
      </c>
      <c r="B38" s="1092">
        <f>'2021'!L$379</f>
        <v>2.8455201678784348E-2</v>
      </c>
      <c r="C38" s="1093">
        <f>'2021'!O$379</f>
        <v>3.1287084636700706E-2</v>
      </c>
      <c r="D38" s="1094">
        <f>'2021'!P$379</f>
        <v>2.8416518015240947E-3</v>
      </c>
      <c r="E38" s="1092">
        <f>'2021'!Wh_Ppv/Recap!B14</f>
        <v>2.5120862823189982E-2</v>
      </c>
      <c r="F38" s="1093">
        <f>'2021'!Wh_Psa/'2021'!D$9</f>
        <v>3.6164232981732221E-2</v>
      </c>
      <c r="G38" s="1094">
        <f>'2021'!Wh_Pvg/'2021'!E$9</f>
        <v>1.1918587898579105E-3</v>
      </c>
      <c r="H38" s="1108">
        <f>H14/'2021'!Z$9</f>
        <v>5.6862392632222925E-2</v>
      </c>
      <c r="I38" s="1109">
        <f>I14/'2021'!AA$9</f>
        <v>-6.559566406781583E-5</v>
      </c>
      <c r="J38" s="1110">
        <f t="shared" si="9"/>
        <v>6.0567073518554615E-2</v>
      </c>
      <c r="K38" s="972">
        <f t="shared" si="10"/>
        <v>44306</v>
      </c>
      <c r="L38" s="1111">
        <f>(K38&lt;&gt;"")*('2021'!O$383-'2021'!O$381)</f>
        <v>7.6966161784992645E-2</v>
      </c>
      <c r="M38" s="370"/>
      <c r="N38" s="370"/>
      <c r="O38" s="370"/>
      <c r="P38" s="370"/>
      <c r="Q38" s="370"/>
      <c r="R38" s="370"/>
      <c r="S38" s="976"/>
      <c r="T38" s="976"/>
    </row>
    <row r="39" spans="1:28" s="19" customFormat="1" ht="12.75" x14ac:dyDescent="0.2">
      <c r="A39" s="144">
        <f t="shared" si="8"/>
        <v>2022</v>
      </c>
      <c r="B39" s="1092">
        <f>'2022'!L$379</f>
        <v>3.6191275856919614E-2</v>
      </c>
      <c r="C39" s="1093">
        <f>'2022'!O$379</f>
        <v>9.737976641309172E-2</v>
      </c>
      <c r="D39" s="1094">
        <f>'2022'!P$379</f>
        <v>4.8066651509570393E-3</v>
      </c>
      <c r="E39" s="1092">
        <f>'2022'!Wh_Ppv/Recap!B15</f>
        <v>3.3068068815850199E-2</v>
      </c>
      <c r="F39" s="1093">
        <f>'2022'!Wh_Psa/'2022'!D$9</f>
        <v>7.1997045409124799E-2</v>
      </c>
      <c r="G39" s="1094">
        <f>'2022'!Wh_Pvg/'2022'!E$9</f>
        <v>1.7028019052896266E-3</v>
      </c>
      <c r="H39" s="1108">
        <f>H15/'2022'!Z$9</f>
        <v>5.1608059573967899E-2</v>
      </c>
      <c r="I39" s="1109">
        <f>I15/'2022'!AA$9</f>
        <v>-8.6588502725131074E-5</v>
      </c>
      <c r="J39" s="1110">
        <f t="shared" si="9"/>
        <v>0.10072194285567548</v>
      </c>
      <c r="K39" s="972" t="str">
        <f t="shared" si="10"/>
        <v/>
      </c>
      <c r="L39" s="1111">
        <f>(K39&lt;&gt;"")*('2022'!O$383-'2022'!O$381)</f>
        <v>0</v>
      </c>
      <c r="M39" s="370"/>
      <c r="N39" s="370"/>
      <c r="O39" s="370"/>
      <c r="P39" s="370"/>
      <c r="Q39" s="370"/>
      <c r="R39" s="370"/>
      <c r="S39" s="976"/>
      <c r="T39" s="976"/>
    </row>
    <row r="40" spans="1:28" s="19" customFormat="1" ht="12.75" x14ac:dyDescent="0.2">
      <c r="A40" s="364">
        <f t="shared" si="8"/>
        <v>2023</v>
      </c>
      <c r="B40" s="1112">
        <f>'2023'!L$379</f>
        <v>4.3865750360193578E-2</v>
      </c>
      <c r="C40" s="1113">
        <f>'2023'!O$379</f>
        <v>3.8399299823757956E-2</v>
      </c>
      <c r="D40" s="1114">
        <f>'2023'!P$379</f>
        <v>6.7717218008055153E-3</v>
      </c>
      <c r="E40" s="1112">
        <f>'2023'!Wh_Ppv/Recap!B16</f>
        <v>4.1692293058189847E-2</v>
      </c>
      <c r="F40" s="1113">
        <f>'2023'!Wh_Psa/'2023'!D$9</f>
        <v>4.4182741771424353E-2</v>
      </c>
      <c r="G40" s="1114">
        <f>'2023'!Wh_Pvg/'2023'!E$9</f>
        <v>2.1947009423604344E-3</v>
      </c>
      <c r="H40" s="1115">
        <f>H16/'2023'!Z$9</f>
        <v>8.702624007936989E-2</v>
      </c>
      <c r="I40" s="1116">
        <f>I16/'2023'!AA$9</f>
        <v>-1.8233948476155024E-4</v>
      </c>
      <c r="J40" s="1117">
        <f t="shared" si="9"/>
        <v>8.445179426373628E-2</v>
      </c>
      <c r="K40" s="974">
        <f t="shared" si="10"/>
        <v>45046</v>
      </c>
      <c r="L40" s="1118">
        <f>(K40&lt;&gt;"")*('2023'!O$383-'2023'!O$381)</f>
        <v>0.10483995745915944</v>
      </c>
      <c r="M40" s="370"/>
      <c r="N40" s="370"/>
      <c r="O40" s="370"/>
      <c r="P40" s="370"/>
      <c r="Q40" s="370"/>
      <c r="R40" s="370"/>
      <c r="S40" s="976"/>
      <c r="T40" s="976"/>
    </row>
    <row r="41" spans="1:28" s="19" customFormat="1" ht="12.75" x14ac:dyDescent="0.2">
      <c r="A41" s="1119">
        <f t="shared" si="8"/>
        <v>2024</v>
      </c>
      <c r="B41" s="1120">
        <f>'2024'!L$379</f>
        <v>5.1479115685447163E-2</v>
      </c>
      <c r="C41" s="1121">
        <f>'2024'!O$379</f>
        <v>3.8290698794384209E-2</v>
      </c>
      <c r="D41" s="1122">
        <f>'2024'!P$379</f>
        <v>9.3157606720592548E-3</v>
      </c>
      <c r="E41" s="1120">
        <f>'2024'!Wh_Ppv/Recap!B17</f>
        <v>5.0017211695337925E-2</v>
      </c>
      <c r="F41" s="1121">
        <f>'2024'!Wh_Psa/'2024'!D$9</f>
        <v>2.7580049148588706E-2</v>
      </c>
      <c r="G41" s="1122">
        <f>'2024'!Wh_Pvg/'2024'!E$9</f>
        <v>2.8013290345039249E-3</v>
      </c>
      <c r="H41" s="1120">
        <f>H17/'2024'!Z$9</f>
        <v>5.0684044173799174E-2</v>
      </c>
      <c r="I41" s="1123">
        <f>I17/'2024'!AA$9</f>
        <v>-1.4163111109669264E-4</v>
      </c>
      <c r="J41" s="1122">
        <f t="shared" si="9"/>
        <v>7.7231358047644139E-2</v>
      </c>
      <c r="K41" s="972">
        <f t="shared" si="10"/>
        <v>45412</v>
      </c>
      <c r="L41" s="1111">
        <f>(K41&lt;&gt;"")*('2024'!O$383-'2024'!O$381)</f>
        <v>4.3060757739957822E-2</v>
      </c>
      <c r="M41" s="370"/>
      <c r="N41" s="370"/>
      <c r="O41" s="370"/>
      <c r="P41" s="370"/>
      <c r="Q41" s="370"/>
      <c r="R41" s="370"/>
      <c r="S41" s="976"/>
      <c r="T41" s="976"/>
    </row>
    <row r="42" spans="1:28" s="19" customFormat="1" ht="12.75" x14ac:dyDescent="0.2">
      <c r="A42" s="1119">
        <f t="shared" si="8"/>
        <v>2025</v>
      </c>
      <c r="B42" s="1120">
        <f>'2025'!L$379</f>
        <v>5.9052468041096096E-2</v>
      </c>
      <c r="C42" s="1121">
        <f>'2025'!O$379</f>
        <v>3.8399299823757956E-2</v>
      </c>
      <c r="D42" s="1122">
        <f>'2025'!P$379</f>
        <v>2.1315552278195697E-4</v>
      </c>
      <c r="E42" s="1120">
        <f>'2025'!Wh_Ppv/Recap!B18</f>
        <v>5.8465582143660023E-2</v>
      </c>
      <c r="F42" s="1121">
        <f>'2025'!Wh_Psa/'2025'!D$9</f>
        <v>2.725610065455664E-2</v>
      </c>
      <c r="G42" s="1122">
        <f>'2025'!Wh_Pvg/'2025'!E$9</f>
        <v>5.4552474671603658E-4</v>
      </c>
      <c r="H42" s="1120">
        <f>H18/'2025'!Z$9</f>
        <v>3.7719664828999876E-2</v>
      </c>
      <c r="I42" s="1123">
        <f>I18/'2025'!AA$9</f>
        <v>2.7418662616748692E-3</v>
      </c>
      <c r="J42" s="1122">
        <f t="shared" si="9"/>
        <v>8.227318934991068E-2</v>
      </c>
      <c r="K42" s="972">
        <f t="shared" si="10"/>
        <v>45777</v>
      </c>
      <c r="L42" s="1111">
        <f>(K42&lt;&gt;"")*('2025'!O$383-'2025'!O$381)</f>
        <v>4.2942834392330209E-2</v>
      </c>
      <c r="M42" s="370"/>
      <c r="N42" s="370"/>
      <c r="O42" s="370"/>
      <c r="P42" s="370"/>
      <c r="Q42" s="370"/>
      <c r="R42" s="370"/>
      <c r="S42" s="976"/>
      <c r="T42" s="976"/>
    </row>
    <row r="43" spans="1:28" s="19" customFormat="1" ht="12.75" x14ac:dyDescent="0.2">
      <c r="A43" s="1119">
        <f t="shared" si="8"/>
        <v>2026</v>
      </c>
      <c r="B43" s="1120">
        <f>'2026'!L$379</f>
        <v>6.6544906802072923E-2</v>
      </c>
      <c r="C43" s="1121">
        <f>'2026'!O$379</f>
        <v>3.8399299823757956E-2</v>
      </c>
      <c r="D43" s="1122">
        <f>'2026'!P$379</f>
        <v>4.3752414241243764E-4</v>
      </c>
      <c r="E43" s="1120">
        <f>'2026'!Wh_Ppv/Recap!B19</f>
        <v>6.6959312333812082E-2</v>
      </c>
      <c r="F43" s="1121">
        <f>'2026'!Wh_Psa/'2026'!D$9</f>
        <v>2.7052036046563255E-2</v>
      </c>
      <c r="G43" s="1122">
        <f>'2026'!Wh_Pvg/'2026'!E$9</f>
        <v>5.3953805634694187E-4</v>
      </c>
      <c r="H43" s="1120">
        <f>H19/'2026'!Z$9</f>
        <v>3.7366772041621761E-2</v>
      </c>
      <c r="I43" s="1123">
        <f>I19/'2026'!AA$9</f>
        <v>3.4484055890984331E-3</v>
      </c>
      <c r="J43" s="1122">
        <f t="shared" si="9"/>
        <v>8.958948269433975E-2</v>
      </c>
      <c r="K43" s="972">
        <f t="shared" si="10"/>
        <v>46142</v>
      </c>
      <c r="L43" s="1111">
        <f>(K43&lt;&gt;"")*('2026'!O$383-'2026'!O$381)</f>
        <v>4.2942834392330209E-2</v>
      </c>
      <c r="M43" s="370"/>
      <c r="N43" s="370"/>
      <c r="O43" s="370"/>
      <c r="P43" s="370"/>
      <c r="Q43" s="370"/>
      <c r="R43" s="370"/>
      <c r="S43" s="976"/>
      <c r="T43" s="976"/>
    </row>
    <row r="44" spans="1:28" s="19" customFormat="1" ht="12.75" x14ac:dyDescent="0.2">
      <c r="A44" s="1119">
        <f t="shared" si="8"/>
        <v>2027</v>
      </c>
      <c r="B44" s="1120">
        <f>'2027'!L$379</f>
        <v>7.3977685872492871E-2</v>
      </c>
      <c r="C44" s="1121">
        <f>'2027'!O$379</f>
        <v>3.8399299823757956E-2</v>
      </c>
      <c r="D44" s="1122">
        <f>'2027'!P$379</f>
        <v>1.5854111621755771E-3</v>
      </c>
      <c r="E44" s="1120">
        <f>'2027'!Wh_Ppv/Recap!B20</f>
        <v>7.5523085675424623E-2</v>
      </c>
      <c r="F44" s="1121">
        <f>'2027'!Wh_Psa/'2027'!D$9</f>
        <v>2.6839865441007364E-2</v>
      </c>
      <c r="G44" s="1122">
        <f>'2027'!Wh_Pvg/'2027'!E$9</f>
        <v>8.9223915527896695E-4</v>
      </c>
      <c r="H44" s="1120">
        <f>H20/'2027'!Z$9</f>
        <v>3.7051543768134104E-2</v>
      </c>
      <c r="I44" s="1123">
        <f>I20/'2027'!AA$9</f>
        <v>3.8499083218465095E-3</v>
      </c>
      <c r="J44" s="1122">
        <f t="shared" si="9"/>
        <v>9.7198043854570648E-2</v>
      </c>
      <c r="K44" s="972">
        <f t="shared" si="10"/>
        <v>46507</v>
      </c>
      <c r="L44" s="1111">
        <f>(K44&lt;&gt;"")*('2027'!O$383-'2027'!O$381)</f>
        <v>4.2942834392330209E-2</v>
      </c>
      <c r="M44" s="370"/>
      <c r="N44" s="370"/>
      <c r="O44" s="370"/>
      <c r="P44" s="370"/>
      <c r="Q44" s="370"/>
      <c r="R44" s="370"/>
      <c r="S44" s="976"/>
      <c r="T44" s="976"/>
    </row>
    <row r="45" spans="1:28" s="19" customFormat="1" ht="12.75" x14ac:dyDescent="0.2">
      <c r="A45" s="776"/>
      <c r="B45" s="978"/>
      <c r="C45" s="1124"/>
      <c r="D45" s="1125"/>
      <c r="E45" s="978"/>
      <c r="F45" s="1124"/>
      <c r="G45" s="1125"/>
      <c r="H45" s="1126"/>
      <c r="I45" s="777"/>
      <c r="J45" s="1125"/>
      <c r="K45" s="988"/>
      <c r="L45" s="1125"/>
      <c r="M45" s="10"/>
      <c r="N45" s="10"/>
      <c r="O45" s="10"/>
      <c r="P45" s="10"/>
      <c r="Q45" s="10"/>
      <c r="R45" s="10"/>
      <c r="S45" s="976"/>
      <c r="T45" s="976"/>
    </row>
    <row r="46" spans="1:28" s="19" customFormat="1" ht="12.75" x14ac:dyDescent="0.2">
      <c r="A46" s="776"/>
      <c r="B46" s="978"/>
      <c r="C46" s="1124"/>
      <c r="D46" s="1125"/>
      <c r="E46" s="978"/>
      <c r="F46" s="1124"/>
      <c r="G46" s="1125"/>
      <c r="H46" s="1126"/>
      <c r="I46" s="777"/>
      <c r="J46" s="1125"/>
      <c r="K46" s="988"/>
      <c r="L46" s="1125"/>
      <c r="M46" s="10"/>
      <c r="N46" s="10"/>
      <c r="O46" s="10"/>
      <c r="P46" s="977"/>
      <c r="Q46" s="10"/>
      <c r="R46" s="977"/>
      <c r="S46" s="976"/>
      <c r="T46" s="976"/>
    </row>
    <row r="47" spans="1:28" s="19" customFormat="1" ht="12.75" x14ac:dyDescent="0.2">
      <c r="A47" s="776"/>
      <c r="B47" s="978"/>
      <c r="C47" s="1124"/>
      <c r="D47" s="1125"/>
      <c r="E47" s="978"/>
      <c r="F47" s="1124"/>
      <c r="G47" s="1125"/>
      <c r="H47" s="1126"/>
      <c r="I47" s="777"/>
      <c r="J47" s="1125"/>
      <c r="K47" s="988"/>
      <c r="L47" s="1125"/>
      <c r="M47" s="10"/>
      <c r="N47" s="10"/>
      <c r="O47" s="10"/>
      <c r="P47" s="977"/>
      <c r="Q47" s="10"/>
      <c r="S47" s="976"/>
      <c r="T47" s="976"/>
    </row>
    <row r="48" spans="1:28" s="19" customFormat="1" ht="12.75" x14ac:dyDescent="0.2">
      <c r="A48" s="776"/>
      <c r="B48" s="978"/>
      <c r="C48" s="1124"/>
      <c r="D48" s="1125"/>
      <c r="E48" s="978"/>
      <c r="F48" s="1124"/>
      <c r="G48" s="1125"/>
      <c r="H48" s="1126"/>
      <c r="I48" s="777"/>
      <c r="J48" s="1125"/>
      <c r="K48" s="988"/>
      <c r="L48" s="1125"/>
      <c r="M48" s="10"/>
      <c r="N48" s="10"/>
      <c r="O48" s="10"/>
      <c r="P48" s="977"/>
      <c r="Q48" s="10"/>
      <c r="R48" s="977"/>
      <c r="S48" s="976"/>
      <c r="T48" s="976"/>
    </row>
    <row r="49" spans="1:30" s="19" customFormat="1" ht="12.75" x14ac:dyDescent="0.2">
      <c r="A49" s="776"/>
      <c r="B49" s="978"/>
      <c r="C49" s="1124"/>
      <c r="D49" s="1125"/>
      <c r="E49" s="978"/>
      <c r="F49" s="1124"/>
      <c r="G49" s="1125"/>
      <c r="H49" s="1126"/>
      <c r="I49" s="777"/>
      <c r="J49" s="1125"/>
      <c r="K49" s="988"/>
      <c r="L49" s="1125"/>
      <c r="M49" s="10"/>
      <c r="N49" s="10"/>
      <c r="O49" s="10"/>
      <c r="P49" s="977"/>
      <c r="Q49" s="10"/>
      <c r="R49" s="977"/>
      <c r="S49" s="976"/>
      <c r="T49" s="976"/>
    </row>
    <row r="50" spans="1:30" s="19" customFormat="1" ht="12.75" x14ac:dyDescent="0.2">
      <c r="A50" s="776"/>
      <c r="B50" s="978"/>
      <c r="C50" s="1124"/>
      <c r="D50" s="1125"/>
      <c r="E50" s="978"/>
      <c r="F50" s="1124"/>
      <c r="G50" s="1125"/>
      <c r="H50" s="1126"/>
      <c r="I50" s="777"/>
      <c r="J50" s="1125"/>
      <c r="K50" s="988"/>
      <c r="L50" s="1125"/>
      <c r="M50" s="10"/>
      <c r="N50" s="10"/>
      <c r="O50" s="10"/>
      <c r="P50" s="977"/>
      <c r="Q50" s="10"/>
      <c r="R50" s="977"/>
      <c r="S50" s="976"/>
      <c r="T50" s="976"/>
    </row>
    <row r="51" spans="1:30" s="19" customFormat="1" ht="12.75" x14ac:dyDescent="0.2">
      <c r="A51" s="776"/>
      <c r="B51" s="978"/>
      <c r="C51" s="1124"/>
      <c r="D51" s="1125"/>
      <c r="E51" s="978"/>
      <c r="F51" s="1124"/>
      <c r="G51" s="1125"/>
      <c r="H51" s="1126"/>
      <c r="I51" s="777"/>
      <c r="J51" s="1125"/>
      <c r="K51" s="988"/>
      <c r="L51" s="1125"/>
      <c r="M51" s="10"/>
      <c r="N51" s="10"/>
      <c r="O51" s="10"/>
      <c r="P51" s="977"/>
      <c r="Q51" s="10"/>
      <c r="R51" s="977"/>
      <c r="S51" s="976"/>
      <c r="T51" s="976"/>
    </row>
    <row r="52" spans="1:30" s="19" customFormat="1" ht="12.75" x14ac:dyDescent="0.2">
      <c r="A52" s="776"/>
      <c r="B52" s="978"/>
      <c r="C52" s="1124"/>
      <c r="D52" s="1125"/>
      <c r="E52" s="978"/>
      <c r="F52" s="1124"/>
      <c r="G52" s="1125"/>
      <c r="H52" s="1126"/>
      <c r="I52" s="777"/>
      <c r="J52" s="1125"/>
      <c r="K52" s="988"/>
      <c r="L52" s="1125"/>
      <c r="M52" s="10"/>
      <c r="N52" s="10"/>
      <c r="O52" s="10"/>
      <c r="P52" s="10"/>
      <c r="Q52" s="10"/>
      <c r="R52" s="10"/>
      <c r="S52" s="976"/>
      <c r="T52" s="976"/>
    </row>
    <row r="53" spans="1:30" s="19" customFormat="1" ht="12.75" x14ac:dyDescent="0.2">
      <c r="A53" s="776"/>
      <c r="B53" s="978"/>
      <c r="C53" s="1124"/>
      <c r="D53" s="1125"/>
      <c r="E53" s="978"/>
      <c r="F53" s="1124"/>
      <c r="G53" s="1125"/>
      <c r="H53" s="1126"/>
      <c r="I53" s="777"/>
      <c r="J53" s="1125"/>
      <c r="K53" s="988"/>
      <c r="L53" s="1125"/>
      <c r="M53" s="10"/>
      <c r="N53" s="10"/>
      <c r="O53" s="10"/>
      <c r="P53" s="10"/>
      <c r="Q53" s="10"/>
      <c r="R53" s="10"/>
      <c r="S53" s="976"/>
      <c r="T53" s="976"/>
    </row>
    <row r="54" spans="1:30" s="19" customFormat="1" ht="12.75" x14ac:dyDescent="0.2">
      <c r="A54" s="779"/>
      <c r="B54" s="980"/>
      <c r="C54" s="780"/>
      <c r="D54" s="1127"/>
      <c r="E54" s="980"/>
      <c r="F54" s="780"/>
      <c r="G54" s="1127"/>
      <c r="H54" s="1128"/>
      <c r="I54" s="780"/>
      <c r="J54" s="1127"/>
      <c r="K54" s="990"/>
      <c r="L54" s="1127"/>
      <c r="M54" s="10"/>
      <c r="N54" s="10"/>
      <c r="O54" s="10"/>
      <c r="P54" s="10"/>
      <c r="Q54" s="10"/>
      <c r="R54" s="10"/>
      <c r="S54" s="976"/>
      <c r="T54" s="976"/>
      <c r="AD54" s="30"/>
    </row>
    <row r="55" spans="1:30" s="19" customFormat="1" ht="12.75" x14ac:dyDescent="0.2">
      <c r="A55" s="1129"/>
      <c r="B55" s="777"/>
      <c r="C55" s="778"/>
      <c r="D55" s="775"/>
      <c r="E55" s="777"/>
      <c r="F55" s="777"/>
      <c r="G55" s="777"/>
      <c r="H55" s="778"/>
      <c r="I55" s="775"/>
      <c r="J55" s="777"/>
      <c r="K55" s="1130"/>
      <c r="L55" s="1130"/>
      <c r="M55" s="777"/>
      <c r="N55" s="1059"/>
      <c r="O55" s="10"/>
      <c r="P55" s="10"/>
      <c r="Q55" s="10"/>
      <c r="R55" s="10"/>
      <c r="S55" s="976"/>
      <c r="T55" s="976"/>
      <c r="AD55" s="30"/>
    </row>
    <row r="56" spans="1:30" ht="18.75" x14ac:dyDescent="0.3">
      <c r="A56" s="1" t="s">
        <v>114</v>
      </c>
      <c r="AB56" s="15"/>
    </row>
    <row r="57" spans="1:30" s="10" customFormat="1" ht="11.25" x14ac:dyDescent="0.2">
      <c r="A57" s="75" t="s">
        <v>58</v>
      </c>
      <c r="B57" s="369">
        <f>MIN(B$61:B$80)</f>
        <v>3.0988146157156704</v>
      </c>
      <c r="C57" s="369">
        <f t="shared" ref="C57:N57" si="11">MIN(C$61:C$80)</f>
        <v>3.9914286460171899</v>
      </c>
      <c r="D57" s="369">
        <f t="shared" si="11"/>
        <v>4.8524191343726741</v>
      </c>
      <c r="E57" s="369">
        <f t="shared" si="11"/>
        <v>5.4725161667464324</v>
      </c>
      <c r="F57" s="369">
        <f t="shared" si="11"/>
        <v>6.0060505655113188</v>
      </c>
      <c r="G57" s="369">
        <f t="shared" si="11"/>
        <v>5.8573150388877062</v>
      </c>
      <c r="H57" s="369">
        <f t="shared" si="11"/>
        <v>5.5485648157083505</v>
      </c>
      <c r="I57" s="369">
        <f t="shared" si="11"/>
        <v>5.2008461729760533</v>
      </c>
      <c r="J57" s="369">
        <f t="shared" si="11"/>
        <v>4.7798282041670408</v>
      </c>
      <c r="K57" s="369">
        <f t="shared" si="11"/>
        <v>4.0841118083674708</v>
      </c>
      <c r="L57" s="369">
        <f t="shared" si="11"/>
        <v>3.1752480649391739</v>
      </c>
      <c r="M57" s="369">
        <f t="shared" si="11"/>
        <v>2.6439990622971727</v>
      </c>
      <c r="N57" s="369">
        <f t="shared" si="11"/>
        <v>4.6673231949541893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59</v>
      </c>
      <c r="B58" s="369">
        <f>AVERAGE(B$61:B$80)</f>
        <v>3.2658250284373782</v>
      </c>
      <c r="C58" s="369">
        <f t="shared" ref="C58:N58" si="12">AVERAGE(C$61:C$80)</f>
        <v>4.2086912496653257</v>
      </c>
      <c r="D58" s="369">
        <f t="shared" si="12"/>
        <v>5.1210003060111857</v>
      </c>
      <c r="E58" s="369">
        <f t="shared" si="12"/>
        <v>5.7814502862976713</v>
      </c>
      <c r="F58" s="369">
        <f t="shared" si="12"/>
        <v>6.1859902100787343</v>
      </c>
      <c r="G58" s="369">
        <f t="shared" si="12"/>
        <v>6.100852762196082</v>
      </c>
      <c r="H58" s="369">
        <f t="shared" si="12"/>
        <v>5.7925924196630252</v>
      </c>
      <c r="I58" s="369">
        <f t="shared" si="12"/>
        <v>5.4346424368510213</v>
      </c>
      <c r="J58" s="369">
        <f t="shared" si="12"/>
        <v>5.0007226504580213</v>
      </c>
      <c r="K58" s="369">
        <f t="shared" si="12"/>
        <v>4.277127476064928</v>
      </c>
      <c r="L58" s="369">
        <f t="shared" si="12"/>
        <v>3.3273464996732924</v>
      </c>
      <c r="M58" s="369">
        <f t="shared" si="12"/>
        <v>2.7783365632171111</v>
      </c>
      <c r="N58" s="369">
        <f t="shared" si="12"/>
        <v>4.7756220668921321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60</v>
      </c>
      <c r="B59" s="369">
        <f>MAX(B$61:B$80)</f>
        <v>3.4669739204812746</v>
      </c>
      <c r="C59" s="369">
        <f t="shared" ref="C59:N59" si="13">MAX(C$61:C$80)</f>
        <v>4.4613642429034464</v>
      </c>
      <c r="D59" s="369">
        <f t="shared" si="13"/>
        <v>5.4273042980076927</v>
      </c>
      <c r="E59" s="369">
        <f t="shared" si="13"/>
        <v>6.102693092660985</v>
      </c>
      <c r="F59" s="369">
        <f t="shared" si="13"/>
        <v>6.3855563771430424</v>
      </c>
      <c r="G59" s="369">
        <f t="shared" si="13"/>
        <v>6.5052003713810089</v>
      </c>
      <c r="H59" s="369">
        <f t="shared" si="13"/>
        <v>6.175402181910286</v>
      </c>
      <c r="I59" s="369">
        <f t="shared" si="13"/>
        <v>5.7854977042277769</v>
      </c>
      <c r="J59" s="369">
        <f t="shared" si="13"/>
        <v>5.3232828708512647</v>
      </c>
      <c r="K59" s="369">
        <f t="shared" si="13"/>
        <v>4.5550365657122889</v>
      </c>
      <c r="L59" s="369">
        <f t="shared" si="13"/>
        <v>3.544840801026695</v>
      </c>
      <c r="M59" s="369">
        <f t="shared" si="13"/>
        <v>2.9592962148625324</v>
      </c>
      <c r="N59" s="369">
        <f t="shared" si="13"/>
        <v>4.9783652442816928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53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61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A11</f>
        <v>2018</v>
      </c>
      <c r="B61" s="345"/>
      <c r="C61" s="345"/>
      <c r="D61" s="345"/>
      <c r="E61" s="346"/>
      <c r="F61" s="345"/>
      <c r="G61" s="345">
        <f>AVERAGE('2018'!$V$166:$V$195)/Pc</f>
        <v>6.5052003713810089</v>
      </c>
      <c r="H61" s="345">
        <f>AVERAGE('2018'!$V$196:$V$226)/Pc</f>
        <v>6.175402181910286</v>
      </c>
      <c r="I61" s="345">
        <f>AVERAGE('2018'!$V$227:$V$257)/Pc</f>
        <v>5.7854977042277769</v>
      </c>
      <c r="J61" s="347">
        <f>AVERAGE('2018'!$V$258:$V$287)/Pc</f>
        <v>5.3232828708512647</v>
      </c>
      <c r="K61" s="348">
        <f>AVERAGE('2018'!$V$288:$V$318)/Pc</f>
        <v>4.5550365657122889</v>
      </c>
      <c r="L61" s="345">
        <f>AVERAGE('2018'!$V$319:$V$348)/Pc</f>
        <v>3.544840801026695</v>
      </c>
      <c r="M61" s="349">
        <f>AVERAGE('2018'!$V$349:$V$379)/Pc</f>
        <v>2.9592962148625324</v>
      </c>
      <c r="N61" s="353">
        <f t="shared" ref="N61:N66" si="14">AVERAGE(B61:M61)</f>
        <v>4.9783652442816928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 t="shared" ref="A62:A70" si="15">A12</f>
        <v>2019</v>
      </c>
      <c r="B62" s="350">
        <f>AVERAGE('2019'!$V$15:$V$45)/Pc</f>
        <v>3.4669739204812746</v>
      </c>
      <c r="C62" s="350">
        <f>AVERAGE('2019'!$V$46:$V$73)/Pc</f>
        <v>4.4613642429034464</v>
      </c>
      <c r="D62" s="350">
        <f>AVERAGE('2019'!$V$74:$V$104)/Pc</f>
        <v>5.4273042980076927</v>
      </c>
      <c r="E62" s="351">
        <f>AVERAGE('2019'!$V$105:$V$134)/Pc</f>
        <v>6.102693092660985</v>
      </c>
      <c r="F62" s="350">
        <f>AVERAGE('2019'!$V$135:$V$165)/Pc</f>
        <v>6.3050666705295564</v>
      </c>
      <c r="G62" s="350">
        <f>AVERAGE('2019'!$V$166:$V$195)/Pc</f>
        <v>6.183554536679706</v>
      </c>
      <c r="H62" s="350">
        <f>AVERAGE('2019'!$V$196:$V$226)/Pc</f>
        <v>5.8750741236261481</v>
      </c>
      <c r="I62" s="350">
        <f>AVERAGE('2019'!$V$227:$V$257)/Pc</f>
        <v>5.5057766404404944</v>
      </c>
      <c r="J62" s="348">
        <f>AVERAGE('2019'!$V$258:$V$287)/Pc</f>
        <v>5.059798897614602</v>
      </c>
      <c r="K62" s="348">
        <f>AVERAGE('2019'!$V$288:$V$318)/Pc</f>
        <v>4.3275116034599508</v>
      </c>
      <c r="L62" s="350">
        <f>AVERAGE('2019'!$V$319:$V$348)/Pc</f>
        <v>3.3697447331592989</v>
      </c>
      <c r="M62" s="352">
        <f>AVERAGE('2019'!$V$349:$V$379)/Pc</f>
        <v>2.8151377067161403</v>
      </c>
      <c r="N62" s="354">
        <f t="shared" si="14"/>
        <v>4.9083333721899418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 t="shared" si="15"/>
        <v>2020</v>
      </c>
      <c r="B63" s="350">
        <f>AVERAGE('2020'!$V$15:$V$45)/Pc</f>
        <v>3.3021351490003554</v>
      </c>
      <c r="C63" s="350">
        <f>AVERAGE('2020'!$V$46:$V$74)/Pc</f>
        <v>4.2726377084665321</v>
      </c>
      <c r="D63" s="350">
        <f>AVERAGE('2020'!$V$75:$V$105)/Pc</f>
        <v>5.2137018113765699</v>
      </c>
      <c r="E63" s="351">
        <f>AVERAGE('2020'!$V$106:$V$135)/Pc</f>
        <v>5.8515588440549307</v>
      </c>
      <c r="F63" s="350">
        <f>AVERAGE('2020'!$V$136:$V$166)/Pc</f>
        <v>6.0352467971833441</v>
      </c>
      <c r="G63" s="350">
        <f>AVERAGE('2020'!$V$167:$V$196)/Pc</f>
        <v>5.9117819247421473</v>
      </c>
      <c r="H63" s="350">
        <f>AVERAGE('2020'!$V$197:$V$227)/Pc</f>
        <v>5.6215512805585046</v>
      </c>
      <c r="I63" s="350">
        <f>AVERAGE('2020'!$V$228:$V$258)/Pc</f>
        <v>5.285973425124741</v>
      </c>
      <c r="J63" s="348">
        <f>AVERAGE('2020'!$V$259:$V$288)/Pc</f>
        <v>4.8710446713105364</v>
      </c>
      <c r="K63" s="348">
        <f>AVERAGE('2020'!$V$289:$V$319)/Pc</f>
        <v>4.1671129507600959</v>
      </c>
      <c r="L63" s="350">
        <f>AVERAGE('2020'!$V$320:$V$349)/Pc</f>
        <v>3.2466798546615028</v>
      </c>
      <c r="M63" s="352">
        <f>AVERAGE('2020'!$V$350:$V$380)/Pc</f>
        <v>2.7404425363137097</v>
      </c>
      <c r="N63" s="355">
        <f t="shared" si="14"/>
        <v>4.7099889127960797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 t="shared" si="15"/>
        <v>2021</v>
      </c>
      <c r="B64" s="350">
        <f>AVERAGE('2021'!$V$15:$V$45)/Pc</f>
        <v>3.2198358261126452</v>
      </c>
      <c r="C64" s="350">
        <f>AVERAGE('2021'!$V$46:$V$73)/Pc</f>
        <v>4.1532469447777576</v>
      </c>
      <c r="D64" s="350">
        <f>AVERAGE('2021'!$V$74:$V$104)/Pc</f>
        <v>5.0627356661652749</v>
      </c>
      <c r="E64" s="351">
        <f>AVERAGE('2021'!$V$105:$V$134)/Pc</f>
        <v>5.8818525064761209</v>
      </c>
      <c r="F64" s="350">
        <f>AVERAGE('2021'!$V$135:$V$165)/Pc</f>
        <v>6.3855563771430424</v>
      </c>
      <c r="G64" s="350">
        <f>AVERAGE('2021'!$V$166:$V$195)/Pc</f>
        <v>6.2572641534691407</v>
      </c>
      <c r="H64" s="350">
        <f>AVERAGE('2021'!$V$196:$V$226)/Pc</f>
        <v>5.9477936661758415</v>
      </c>
      <c r="I64" s="350">
        <f>AVERAGE('2021'!$V$227:$V$257)/Pc</f>
        <v>5.5887895409541972</v>
      </c>
      <c r="J64" s="348">
        <f>AVERAGE('2021'!$V$258:$V$287)/Pc</f>
        <v>5.1490982792192588</v>
      </c>
      <c r="K64" s="348">
        <f>AVERAGE('2021'!$V$288:$V$318)/Pc</f>
        <v>4.4078379358008233</v>
      </c>
      <c r="L64" s="350">
        <f>AVERAGE('2021'!$V$319:$V$348)/Pc</f>
        <v>3.4326787393322236</v>
      </c>
      <c r="M64" s="352">
        <f>AVERAGE('2021'!$V$349:$V$379)/Pc</f>
        <v>2.8638737456685668</v>
      </c>
      <c r="N64" s="354">
        <f t="shared" si="14"/>
        <v>4.8625469484412411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 t="shared" si="15"/>
        <v>2022</v>
      </c>
      <c r="B65" s="350">
        <f>AVERAGE('2022'!$V$15:$V$45)/Pc</f>
        <v>3.353069534606901</v>
      </c>
      <c r="C65" s="350">
        <f>AVERAGE('2022'!$V$46:$V$73)/Pc</f>
        <v>4.3015105989141054</v>
      </c>
      <c r="D65" s="350">
        <f>AVERAGE('2022'!$V$74:$V$104)/Pc</f>
        <v>5.214690568209396</v>
      </c>
      <c r="E65" s="351">
        <f>AVERAGE('2022'!$V$105:$V$134)/Pc</f>
        <v>5.8426439048655778</v>
      </c>
      <c r="F65" s="350">
        <f>AVERAGE('2022'!$V$135:$V$165)/Pc</f>
        <v>6.0060505655113188</v>
      </c>
      <c r="G65" s="350">
        <f>AVERAGE('2022'!$V$166:$V$195)/Pc</f>
        <v>5.8573150388877062</v>
      </c>
      <c r="H65" s="350">
        <f>AVERAGE('2022'!$V$196:$V$226)/Pc</f>
        <v>5.5485648157083505</v>
      </c>
      <c r="I65" s="350">
        <f>AVERAGE('2022'!$V$227:$V$257)/Pc</f>
        <v>5.2008461729760533</v>
      </c>
      <c r="J65" s="348">
        <f>AVERAGE('2022'!$V$258:$V$287)/Pc</f>
        <v>4.7798282041670408</v>
      </c>
      <c r="K65" s="348">
        <f>AVERAGE('2022'!$V$288:$V$318)/Pc</f>
        <v>4.0841118083674708</v>
      </c>
      <c r="L65" s="350">
        <f>AVERAGE('2022'!$V$319:$V$348)/Pc</f>
        <v>3.1752480649391739</v>
      </c>
      <c r="M65" s="352">
        <f>AVERAGE('2022'!$V$349:$V$379)/Pc</f>
        <v>2.6439990622971727</v>
      </c>
      <c r="N65" s="354">
        <f t="shared" si="14"/>
        <v>4.6673231949541893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f t="shared" si="15"/>
        <v>2023</v>
      </c>
      <c r="B66" s="546">
        <f>AVERAGE('2023'!$V$15:$V$45)/Pc</f>
        <v>3.0988146157156704</v>
      </c>
      <c r="C66" s="546">
        <f>AVERAGE('2023'!$V$46:$V$73)/Pc</f>
        <v>3.9914286460171899</v>
      </c>
      <c r="D66" s="546">
        <f>AVERAGE('2023'!$V$74:$V$104)/Pc</f>
        <v>4.8524191343726741</v>
      </c>
      <c r="E66" s="548">
        <f>AVERAGE('2023'!$V$105:$V$134)/Pc</f>
        <v>5.4725161667464324</v>
      </c>
      <c r="F66" s="546">
        <f>AVERAGE('2023'!$V$135:$V$165)/Pc</f>
        <v>6.2802665902210322</v>
      </c>
      <c r="G66" s="546">
        <f>AVERAGE('2023'!$V$166:$V$195)/Pc</f>
        <v>6.1406800562559383</v>
      </c>
      <c r="H66" s="546">
        <f>AVERAGE('2023'!$V$196:$V$226)/Pc</f>
        <v>5.8312214930842439</v>
      </c>
      <c r="I66" s="546">
        <f>AVERAGE('2023'!$V$227:$V$257)/Pc</f>
        <v>5.4779172150279374</v>
      </c>
      <c r="J66" s="546">
        <f>AVERAGE('2023'!$V$258:$V$287)/Pc</f>
        <v>5.041209138400716</v>
      </c>
      <c r="K66" s="546">
        <f>AVERAGE('2023'!$V$288:$V$318)/Pc</f>
        <v>4.3096212260847366</v>
      </c>
      <c r="L66" s="546">
        <f>AVERAGE('2023'!$V$319:$V$348)/Pc</f>
        <v>3.3480268641886481</v>
      </c>
      <c r="M66" s="547">
        <f>AVERAGE('2023'!$V$349:$V$379)/Pc</f>
        <v>2.787306120906154</v>
      </c>
      <c r="N66" s="553">
        <f t="shared" si="14"/>
        <v>4.7192856055851147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f t="shared" si="15"/>
        <v>2024</v>
      </c>
      <c r="B67" s="546">
        <f>AVERAGE('2024'!$V$15:$V$45)/Pc</f>
        <v>3.2711458375455202</v>
      </c>
      <c r="C67" s="546">
        <f>AVERAGE('2024'!$V$46:$V$73)/Pc</f>
        <v>4.2224126277663245</v>
      </c>
      <c r="D67" s="546">
        <f>AVERAGE('2024'!$V$74:$V$104)/Pc</f>
        <v>5.1384234120776657</v>
      </c>
      <c r="E67" s="548">
        <f>AVERAGE('2024'!$V$105:$V$134)/Pc</f>
        <v>5.7789296419761387</v>
      </c>
      <c r="F67" s="546">
        <f>AVERAGE('2024'!$V$135:$V$165)/Pc</f>
        <v>6.2277974505912903</v>
      </c>
      <c r="G67" s="546">
        <f>AVERAGE('2024'!$V$166:$V$195)/Pc</f>
        <v>6.086750048649388</v>
      </c>
      <c r="H67" s="546">
        <f>AVERAGE('2024'!$V$196:$V$226)/Pc</f>
        <v>5.780241857177276</v>
      </c>
      <c r="I67" s="546">
        <f>AVERAGE('2024'!$V$227:$V$257)/Pc</f>
        <v>5.4314865754158896</v>
      </c>
      <c r="J67" s="546">
        <f>AVERAGE('2024'!$V$258:$V$287)/Pc</f>
        <v>4.9973982119981493</v>
      </c>
      <c r="K67" s="546">
        <f>AVERAGE('2024'!$V$288:$V$318)/Pc</f>
        <v>4.2711731091654759</v>
      </c>
      <c r="L67" s="546">
        <f>AVERAGE('2024'!$V$319:$V$348)/Pc</f>
        <v>3.3125528395069463</v>
      </c>
      <c r="M67" s="547">
        <f>AVERAGE('2024'!$V$349:$V$379)/Pc</f>
        <v>2.7579281422998148</v>
      </c>
      <c r="N67" s="553">
        <f>AVERAGE(B67:M67)</f>
        <v>4.7730199795141566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f t="shared" si="15"/>
        <v>2025</v>
      </c>
      <c r="B68" s="546">
        <f>AVERAGE('2025'!$V$15:$V$45)/Pc</f>
        <v>3.2364515396818172</v>
      </c>
      <c r="C68" s="546">
        <f>AVERAGE('2025'!$V$46:$V$73)/Pc</f>
        <v>4.184429194646091</v>
      </c>
      <c r="D68" s="546">
        <f>AVERAGE('2025'!$V$74:$V$104)/Pc</f>
        <v>5.0945067097285381</v>
      </c>
      <c r="E68" s="548">
        <f>AVERAGE('2025'!$V$105:$V$134)/Pc</f>
        <v>5.7470492379953404</v>
      </c>
      <c r="F68" s="546">
        <f>AVERAGE('2025'!$V$135:$V$165)/Pc</f>
        <v>6.1973064483494271</v>
      </c>
      <c r="G68" s="546">
        <f>AVERAGE('2025'!$V$166:$V$195)/Pc</f>
        <v>6.0779862214321607</v>
      </c>
      <c r="H68" s="546">
        <f>AVERAGE('2025'!$V$196:$V$226)/Pc</f>
        <v>5.76732958636065</v>
      </c>
      <c r="I68" s="546">
        <f>AVERAGE('2025'!$V$227:$V$257)/Pc</f>
        <v>5.4013197111997115</v>
      </c>
      <c r="J68" s="546">
        <f>AVERAGE('2025'!$V$258:$V$287)/Pc</f>
        <v>4.9686143998617709</v>
      </c>
      <c r="K68" s="546">
        <f>AVERAGE('2025'!$V$288:$V$318)/Pc</f>
        <v>4.2511829360411335</v>
      </c>
      <c r="L68" s="546">
        <f>AVERAGE('2025'!$V$319:$V$348)/Pc</f>
        <v>3.308503195637746</v>
      </c>
      <c r="M68" s="547">
        <f>AVERAGE('2025'!$V$349:$V$379)/Pc</f>
        <v>2.7618802709328407</v>
      </c>
      <c r="N68" s="553">
        <f>AVERAGE(B68:M68)</f>
        <v>4.7497132876556032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f t="shared" si="15"/>
        <v>2026</v>
      </c>
      <c r="B69" s="546">
        <f>AVERAGE('2026'!$V$15:$V$45)/Pc</f>
        <v>3.2351950383770971</v>
      </c>
      <c r="C69" s="546">
        <f>AVERAGE('2026'!$V$46:$V$73)/Pc</f>
        <v>4.1624849886274724</v>
      </c>
      <c r="D69" s="546">
        <f>AVERAGE('2026'!$V$74:$V$104)/Pc</f>
        <v>5.0629935012045646</v>
      </c>
      <c r="E69" s="548">
        <f>AVERAGE('2026'!$V$105:$V$134)/Pc</f>
        <v>5.7008324596504618</v>
      </c>
      <c r="F69" s="546">
        <f>AVERAGE('2026'!$V$135:$V$165)/Pc</f>
        <v>6.1444653354613159</v>
      </c>
      <c r="G69" s="546">
        <f>AVERAGE('2026'!$V$166:$V$195)/Pc</f>
        <v>6.021618035305865</v>
      </c>
      <c r="H69" s="546">
        <f>AVERAGE('2026'!$V$196:$V$226)/Pc</f>
        <v>5.7150131245031268</v>
      </c>
      <c r="I69" s="546">
        <f>AVERAGE('2026'!$V$227:$V$257)/Pc</f>
        <v>5.3566460054035074</v>
      </c>
      <c r="J69" s="546">
        <f>AVERAGE('2026'!$V$258:$V$287)/Pc</f>
        <v>4.9286144677495596</v>
      </c>
      <c r="K69" s="546">
        <f>AVERAGE('2026'!$V$288:$V$318)/Pc</f>
        <v>4.2164218141245744</v>
      </c>
      <c r="L69" s="546">
        <f>AVERAGE('2026'!$V$319:$V$348)/Pc</f>
        <v>3.2814373949678002</v>
      </c>
      <c r="M69" s="547">
        <f>AVERAGE('2026'!$V$349:$V$379)/Pc</f>
        <v>2.7392340607322812</v>
      </c>
      <c r="N69" s="553">
        <f>AVERAGE(B69:M69)</f>
        <v>4.7137463521756358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f t="shared" si="15"/>
        <v>2027</v>
      </c>
      <c r="B70" s="546">
        <f>AVERAGE('2027'!$V$15:$V$45)/Pc</f>
        <v>3.2088037944151213</v>
      </c>
      <c r="C70" s="546">
        <f>AVERAGE('2027'!$V$46:$V$73)/Pc</f>
        <v>4.1287062948690156</v>
      </c>
      <c r="D70" s="546">
        <f>AVERAGE('2027'!$V$74:$V$104)/Pc</f>
        <v>5.0222276529582937</v>
      </c>
      <c r="E70" s="548">
        <f>AVERAGE('2027'!$V$105:$V$134)/Pc</f>
        <v>5.654976722253048</v>
      </c>
      <c r="F70" s="546">
        <f>AVERAGE('2027'!$V$135:$V$165)/Pc</f>
        <v>6.0921556557182726</v>
      </c>
      <c r="G70" s="546">
        <f>AVERAGE('2027'!$V$166:$V$195)/Pc</f>
        <v>5.9663772351577649</v>
      </c>
      <c r="H70" s="546">
        <f>AVERAGE('2027'!$V$196:$V$226)/Pc</f>
        <v>5.6637320675258174</v>
      </c>
      <c r="I70" s="546">
        <f>AVERAGE('2027'!$V$227:$V$257)/Pc</f>
        <v>5.3121713777399115</v>
      </c>
      <c r="J70" s="546">
        <f>AVERAGE('2027'!$V$258:$V$287)/Pc</f>
        <v>4.8883373634073202</v>
      </c>
      <c r="K70" s="546">
        <f>AVERAGE('2027'!$V$288:$V$318)/Pc</f>
        <v>4.1812648111327295</v>
      </c>
      <c r="L70" s="546">
        <f>AVERAGE('2027'!$V$319:$V$348)/Pc</f>
        <v>3.253752509312891</v>
      </c>
      <c r="M70" s="547">
        <f>AVERAGE('2027'!$V$349:$V$379)/Pc</f>
        <v>2.7142677714418948</v>
      </c>
      <c r="N70" s="553">
        <f>AVERAGE(B70:M70)</f>
        <v>4.673897771327673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6" priority="5" stopIfTrue="1">
      <formula>K12&lt;&gt;""</formula>
    </cfRule>
  </conditionalFormatting>
  <conditionalFormatting sqref="N12:N30">
    <cfRule type="expression" dxfId="55" priority="4" stopIfTrue="1">
      <formula>$L12&lt;&gt;""</formula>
    </cfRule>
  </conditionalFormatting>
  <conditionalFormatting sqref="M55">
    <cfRule type="expression" dxfId="54" priority="3" stopIfTrue="1">
      <formula>K55&lt;&gt;""</formula>
    </cfRule>
  </conditionalFormatting>
  <conditionalFormatting sqref="N55">
    <cfRule type="expression" dxfId="53" priority="2" stopIfTrue="1">
      <formula>$L55&lt;&gt;""</formula>
    </cfRule>
  </conditionalFormatting>
  <conditionalFormatting sqref="L36:L54">
    <cfRule type="expression" dxfId="52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'2022'!An+1</f>
        <v>2023</v>
      </c>
      <c r="K1" s="1213"/>
      <c r="L1" s="113" t="str">
        <f>"Calcul pertes et enveloppes en "&amp;TEXT(An,0)</f>
        <v>Calcul pertes et enveloppes en 2023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90.183138809600621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807.37250233055761</v>
      </c>
      <c r="AK4" s="946">
        <f>AM12-AK12</f>
        <v>-2.1466251426651226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898.04591297518277</v>
      </c>
      <c r="AA5" s="237">
        <f>Wh_Pvg_s-Wh_Pvg</f>
        <v>-2.1466251426651226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2666.9363316081472</v>
      </c>
      <c r="AK5" s="515">
        <f>SUMIF(AK15:AK380,"VRAI",Wh)</f>
        <v>0</v>
      </c>
      <c r="AL5" s="515">
        <f>SUMIF(AJ15:AJ380,"VRAI",Wh_s)</f>
        <v>2576.749845385983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8137.2993003569718</v>
      </c>
      <c r="AK6" s="515">
        <f>SUMIF(AK15:AK380,"FAUX",Wh)</f>
        <v>10804.235631965106</v>
      </c>
      <c r="AL6" s="515">
        <f>SUMIF(AJ15:AJ380,"FAUX",Wh_s)</f>
        <v>7329.851525641463</v>
      </c>
      <c r="AM6" s="515">
        <f>SUMIF(AK15:AK380,"FAUX",Wh_s)</f>
        <v>9906.6013710274456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2771.2776521818291</v>
      </c>
      <c r="AK7" s="515">
        <f>SUMIF(AK15:AK380,"VRAI",Wh_sa)</f>
        <v>0</v>
      </c>
      <c r="AL7" s="515">
        <f>SUMIF(AJ15:AJ380,"VRAI",Wh_pvt_s)</f>
        <v>2677.5657102527525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AND(YEAR(Tnet)=An,Resal_2023&lt;&gt;"I")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8483.4113380209092</v>
      </c>
      <c r="AK8" s="515">
        <f>SUMIF(AK15:AK380,"FAUX",Wh_sa)</f>
        <v>11772.684043021818</v>
      </c>
      <c r="AL8" s="515">
        <f>SUMIF(AJ15:AJ380,"FAUX",Wh_pvt_s)</f>
        <v>7641.6887141156385</v>
      </c>
      <c r="AM8" s="515">
        <f>SUMIF(AK15:AK380,"FAUX",Wh_sa_s)</f>
        <v>11772.684043021818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11254.688990202732</v>
      </c>
      <c r="E9" s="184">
        <f>SUM(E$15:E$380)</f>
        <v>11772.684043021818</v>
      </c>
      <c r="F9" s="184">
        <f>SUM(F$15:F$380)</f>
        <v>11800.837535667035</v>
      </c>
      <c r="H9" s="1214">
        <f>+SUM(Wh)</f>
        <v>10804.235631965106</v>
      </c>
      <c r="I9" s="1215"/>
      <c r="J9" s="1216"/>
      <c r="K9" s="191"/>
      <c r="L9" s="232"/>
      <c r="M9" s="232"/>
      <c r="N9" s="232"/>
      <c r="O9" s="223">
        <f>Tnet_2023</f>
        <v>45046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9906.6013710274456</v>
      </c>
      <c r="Y9" s="1209"/>
      <c r="Z9" s="515">
        <f>SUM(Z$15:Z$380)</f>
        <v>10319.254424368382</v>
      </c>
      <c r="AA9" s="515">
        <f>SUM(AA$15:AA$380)</f>
        <v>11772.684043021818</v>
      </c>
      <c r="AB9" s="515">
        <f>F9</f>
        <v>11800.837535667035</v>
      </c>
      <c r="AC9" s="325">
        <f>IF(An_Tnet,Tnet,'2022'!Tnet_s)</f>
        <v>45046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3100.5162301498444</v>
      </c>
      <c r="AK9" s="515">
        <f>SUMIF(AK15:AK380,"VRAI",Wh_hp)</f>
        <v>0</v>
      </c>
      <c r="AL9" s="515">
        <f>SUMIF(AJ15:AJ380,"VRAI",Wh_sa_s)</f>
        <v>3100.5162301498444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8.0000000000000002E-3</v>
      </c>
      <c r="P10" s="420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0.11185852100165292</v>
      </c>
      <c r="AD10" s="427"/>
      <c r="AE10" s="427"/>
      <c r="AF10" s="260"/>
      <c r="AG10" s="261"/>
      <c r="AH10" s="262"/>
      <c r="AI10" s="472"/>
      <c r="AJ10" s="515">
        <f>SUMIF(AJ15:AJ380,"FAUX",Wh_sa)</f>
        <v>8672.1678128719741</v>
      </c>
      <c r="AK10" s="515">
        <f>SUMIF(AK15:AK380,"FAUX",Wh_hp)</f>
        <v>11800.837535667035</v>
      </c>
      <c r="AL10" s="515">
        <f>SUMIF(AJ15:AJ380,"FAUX",Wh_sa_s)</f>
        <v>8672.1678128719741</v>
      </c>
      <c r="AM10" s="515">
        <f>SUMIF(AK15:AK380,"FAUX",Wh_hp)</f>
        <v>11800.837535667035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450.45335823762616</v>
      </c>
      <c r="E11" s="51">
        <f>(E$9-D$9)*Prod_an/D$9</f>
        <v>497.26301737182001</v>
      </c>
      <c r="F11" s="186">
        <f>(F$9-E$9)*Prod_an/E$9</f>
        <v>25.837520763331636</v>
      </c>
      <c r="G11" s="185" t="s">
        <v>6</v>
      </c>
      <c r="K11" s="194"/>
      <c r="L11" s="211">
        <f>Tvie_2023</f>
        <v>43243</v>
      </c>
      <c r="M11" s="956"/>
      <c r="N11" s="956"/>
      <c r="O11" s="202">
        <f>IF(An_Tnet,Salim_2023,'2022'!Salim)</f>
        <v>0.13999999999999999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1.0000374682980913</v>
      </c>
      <c r="V11" s="427"/>
      <c r="W11" s="518"/>
      <c r="X11" s="525" t="s">
        <v>44</v>
      </c>
      <c r="Y11" s="50">
        <f>Z$9-Prod_an_s</f>
        <v>412.65305334093682</v>
      </c>
      <c r="Z11" s="51">
        <f>(AA$9-Z$9)*Prod_an_s/Z$9</f>
        <v>1395.3089303470028</v>
      </c>
      <c r="AA11" s="186">
        <f>(AB$9-AA$9)*Prod_an_s/AA$9</f>
        <v>23.690895620666513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316.84242272101665</v>
      </c>
      <c r="AK11" s="946">
        <f>IF($AK7=0,0,($AK9-$AK7)*$AK5/$AK7)</f>
        <v>0</v>
      </c>
      <c r="AL11" s="945">
        <f>IF($AL7=0,0,($AL9-$AL7)*$AL5/$AL7)</f>
        <v>407.02556153061727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4.5465936328315637E-2</v>
      </c>
      <c r="K12" s="191"/>
      <c r="L12" s="212">
        <f>Pspv_2023</f>
        <v>0</v>
      </c>
      <c r="M12" s="212"/>
      <c r="N12" s="212"/>
      <c r="O12" s="205">
        <f>IF(An_Tnet,Tau_2023*365,'2022'!Tau_j)</f>
        <v>936.83333333333337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0.50003746829809126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0.50003746829809126</v>
      </c>
      <c r="AJ12" s="945">
        <f>IF($AJ8=0,0,($AJ10-$AJ8)*$AJ6/$AJ8)</f>
        <v>181.05545865252645</v>
      </c>
      <c r="AK12" s="946">
        <f>IF($AK8=0,0,($AK10-$AK8)*$AK6/$AK8)</f>
        <v>25.837520763331636</v>
      </c>
      <c r="AL12" s="945">
        <f>IF($AL8=0,0,($AL10-$AL8)*$AL6/$AL8)</f>
        <v>988.42796098308406</v>
      </c>
      <c r="AM12" s="946">
        <f>IF($AM8=0,0,($AM10-$AM8)*$AM6/$AM8)</f>
        <v>23.690895620666513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497.8978813735431</v>
      </c>
      <c r="AK13" s="73">
        <f>+AK11+AK12</f>
        <v>25.837520763331636</v>
      </c>
      <c r="AL13" s="73">
        <f>+AL11+AL12</f>
        <v>1395.4535225137013</v>
      </c>
      <c r="AM13" s="73">
        <f>+AM11+AM12</f>
        <v>23.690895620666513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8" t="s">
        <v>335</v>
      </c>
      <c r="C14" s="414"/>
      <c r="D14" s="53" t="s">
        <v>31</v>
      </c>
      <c r="E14" s="162" t="s">
        <v>30</v>
      </c>
      <c r="F14" s="162" t="str">
        <f>"Hors pertes "&amp; TEXT(An,0)</f>
        <v>Hors pertes 2023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2023</v>
      </c>
      <c r="W14" s="950" t="s">
        <v>119</v>
      </c>
      <c r="X14" s="258" t="s">
        <v>2</v>
      </c>
      <c r="Y14" s="107" t="str">
        <f>"Wh / Jour "&amp; TEXT(An,0)</f>
        <v>Wh / Jour 2023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1089">
        <f>IF(t&gt;Tmaj,'2022'!Wh/'2022'!Env_an*'2023'!Env_an,0.001*'[3]mon-tableau (2)'!$B$38)</f>
        <v>8.2840000000000007</v>
      </c>
      <c r="C15" s="953"/>
      <c r="D15" s="393">
        <f t="shared" ref="D15:D78" si="0">Wh/(1-Ppv)</f>
        <v>8.5952546779443981</v>
      </c>
      <c r="E15" s="400">
        <f t="shared" ref="E15:E79" si="1">Wh_pvt/(1-Psa)</f>
        <v>9.5239212328921532</v>
      </c>
      <c r="F15" s="400">
        <f t="shared" ref="F15:F78" si="2">Wh_sa/(1-Pvg*MEDIAN((-Sdif+Wh/Env_an)/Csdif,0,1))</f>
        <v>9.5261982793530642</v>
      </c>
      <c r="G15" s="123">
        <f>+Wh_hp/MaxiM</f>
        <v>0.33326671553492132</v>
      </c>
      <c r="H15" s="412" t="b">
        <f>Wh_hp&gt;='2022'!Maxi_hp</f>
        <v>0</v>
      </c>
      <c r="I15" s="396">
        <f>IF(H15,Wh_hp,'2022'!Maxi_hp)</f>
        <v>28.078120973122783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3.6212385741528186E-2</v>
      </c>
      <c r="M15" s="957"/>
      <c r="N15" s="957"/>
      <c r="O15" s="48">
        <f>IF(t&lt;Tnet,'2022'!Resal+('2022'!Salim-'2022'!Resal)*(1-EXP(('2022'!Tnet-t)/('2022'!Tau_j))),Resal+(Salim-Resal)*(1-EXP((Tnet-t)/(Tau_j))))*Salcycl</f>
        <v>9.75088445440392E-2</v>
      </c>
      <c r="P15" s="302">
        <f>(INDEX(Models!$BJ15:$BT15,,T15)*(1-R15)+INDEX(Models!$BJ15:$BT15,,T15+1)*R15-ERP_i)*Q15*Ramure*Pc/MaxiM</f>
        <v>4.8084980686924584E-3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0.50003866379632067</v>
      </c>
      <c r="S15" s="91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0.50003866379632067</v>
      </c>
      <c r="V15" s="382">
        <f t="shared" ref="V15:V78" si="9">MaxiM*(1-Ppv)*(1-Pvg)*(1-Psa)</f>
        <v>24.743357470865682</v>
      </c>
      <c r="W15" s="402">
        <f t="shared" ref="W15:W78" si="10">Wh*(A15&gt;Tmaj)</f>
        <v>0</v>
      </c>
      <c r="X15" s="156">
        <f t="shared" ref="X15:X78" si="11">t</f>
        <v>44927</v>
      </c>
      <c r="Y15" s="385">
        <f t="shared" ref="Y15:Y78" si="12">Wh_pvt_s*(1-Ppv)</f>
        <v>7.975092375232629</v>
      </c>
      <c r="Z15" s="385">
        <f>Wh_sa_s*(1-Psa_s)</f>
        <v>8.2747404690073569</v>
      </c>
      <c r="AA15" s="386">
        <f t="shared" ref="AA15:AA78" si="13">Wh_hp*(1-Pvg_s*MEDIAN((-Sdif+Wh/Env_an)/Csdif,0,1))</f>
        <v>9.5239212328921532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0.1311624417441192</v>
      </c>
      <c r="AD15" s="231">
        <f>(INDEX(Models!$BJ15:$BT15,,AH15)*(1-AF15)+INDEX(Models!$BJ15:$BT15,,AH15+1)*AF15-ERP_i)*AE15*Ramure*Pc/MaxiM</f>
        <v>4.8084980686924584E-3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0.50003866379632067</v>
      </c>
      <c r="AG15" s="918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0.50003866379632067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1090">
        <f>IF(t&gt;Tmaj,'2022'!Wh/'2022'!Env_an*'2023'!Env_an,0.001*'[3]mon-tableau (2)'!$B$39)</f>
        <v>2.7949999999999999</v>
      </c>
      <c r="C16" s="953"/>
      <c r="D16" s="393">
        <f t="shared" si="0"/>
        <v>2.9000800359574272</v>
      </c>
      <c r="E16" s="385">
        <f t="shared" si="1"/>
        <v>3.213876305504344</v>
      </c>
      <c r="F16" s="385">
        <f t="shared" si="2"/>
        <v>3.213876305504344</v>
      </c>
      <c r="G16" s="110">
        <f t="shared" ref="G16:G79" si="21">+Wh_hp/MaxiM</f>
        <v>0.11160525226588744</v>
      </c>
      <c r="H16" s="412" t="b">
        <f>Wh_hp&gt;='2022'!Maxi_hp</f>
        <v>0</v>
      </c>
      <c r="I16" s="390">
        <f>IF(H16,Wh_hp,'2022'!Maxi_hp)</f>
        <v>25.967841110496515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3.6233495163776164E-2</v>
      </c>
      <c r="M16" s="957"/>
      <c r="N16" s="957"/>
      <c r="O16" s="48">
        <f>IF(t&lt;Tnet,'2022'!Resal+('2022'!Salim-'2022'!Resal)*(1-EXP(('2022'!Tnet-t)/('2022'!Tau_j))),Resal+(Salim-Resal)*(1-EXP((Tnet-t)/(Tau_j))))*Salcycl</f>
        <v>9.7637942384242921E-2</v>
      </c>
      <c r="P16" s="169">
        <f>(INDEX(Models!$BJ16:$BT16,,T16)*(1-R16)+INDEX(Models!$BJ16:$BT16,,T16+1)*R16-ERP_i)*Q16*Ramure*Pc/MaxiM</f>
        <v>4.7990149636541338E-3</v>
      </c>
      <c r="Q16" s="305">
        <f t="shared" si="4"/>
        <v>0.7</v>
      </c>
      <c r="R16" s="177">
        <f t="shared" si="5"/>
        <v>0.50006787841031486</v>
      </c>
      <c r="S16" s="919">
        <f t="shared" si="6"/>
        <v>0</v>
      </c>
      <c r="T16" s="176">
        <f t="shared" si="7"/>
        <v>6</v>
      </c>
      <c r="U16" s="251">
        <f t="shared" si="8"/>
        <v>0.50006787841031486</v>
      </c>
      <c r="V16" s="383">
        <f t="shared" si="9"/>
        <v>24.92343950399178</v>
      </c>
      <c r="W16" s="402">
        <f t="shared" si="10"/>
        <v>0</v>
      </c>
      <c r="X16" s="157">
        <f t="shared" si="11"/>
        <v>44928</v>
      </c>
      <c r="Y16" s="385">
        <f t="shared" si="12"/>
        <v>2.6909324804084829</v>
      </c>
      <c r="Z16" s="385">
        <f t="shared" ref="Z16:Z78" si="22">Wh_sa_s*(1-Psa_s)</f>
        <v>2.7921000230919648</v>
      </c>
      <c r="AA16" s="386">
        <f t="shared" si="13"/>
        <v>3.213876305504344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0.13123600360412482</v>
      </c>
      <c r="AD16" s="231">
        <f>(INDEX(Models!$BJ16:$BT16,,AH16)*(1-AF16)+INDEX(Models!$BJ16:$BT16,,AH16+1)*AF16-ERP_i)*AE16*Ramure*Pc/MaxiM</f>
        <v>4.7990149636541338E-3</v>
      </c>
      <c r="AE16" s="305">
        <f t="shared" si="15"/>
        <v>0.7</v>
      </c>
      <c r="AF16" s="177">
        <f t="shared" ref="AF16:AF78" si="23">(Hp_vg_s-AG16)/(INDEX(Echel_vg,AH16+1)-AG16)</f>
        <v>0.50006787841031486</v>
      </c>
      <c r="AG16" s="919">
        <f t="shared" ref="AG16:AG79" si="24">INDEX(Echel_vg,AH16)</f>
        <v>0</v>
      </c>
      <c r="AH16" s="176">
        <f t="shared" si="16"/>
        <v>6</v>
      </c>
      <c r="AI16" s="225">
        <f t="shared" si="17"/>
        <v>0.50006787841031486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1090">
        <f>IF(t&gt;Tmaj,'2022'!Wh/'2022'!Env_an*'2023'!Env_an,0.001*'[3]mon-tableau (2)'!$B$40)</f>
        <v>15.364000000000001</v>
      </c>
      <c r="C17" s="953"/>
      <c r="D17" s="393">
        <f t="shared" si="0"/>
        <v>15.941969804202937</v>
      </c>
      <c r="E17" s="385">
        <f t="shared" si="1"/>
        <v>17.669460582582179</v>
      </c>
      <c r="F17" s="385">
        <f t="shared" si="2"/>
        <v>17.707162335789217</v>
      </c>
      <c r="G17" s="110">
        <f t="shared" si="21"/>
        <v>0.61027126914541985</v>
      </c>
      <c r="H17" s="412" t="b">
        <f>Wh_hp&gt;='2022'!Maxi_hp</f>
        <v>0</v>
      </c>
      <c r="I17" s="390">
        <f>IF(H17,Wh_hp,'2022'!Maxi_hp)</f>
        <v>30.270872638205173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3.625460412367365E-2</v>
      </c>
      <c r="M17" s="957"/>
      <c r="N17" s="957"/>
      <c r="O17" s="48">
        <f>IF(t&lt;Tnet,'2022'!Resal+('2022'!Salim-'2022'!Resal)*(1-EXP(('2022'!Tnet-t)/('2022'!Tau_j))),Resal+(Salim-Resal)*(1-EXP((Tnet-t)/(Tau_j))))*Salcycl</f>
        <v>9.776703540583076E-2</v>
      </c>
      <c r="P17" s="169">
        <f>(INDEX(Models!$BJ17:$BT17,,T17)*(1-R17)+INDEX(Models!$BJ17:$BT17,,T17+1)*R17-ERP_i)*Q17*Ramure*Pc/MaxiM</f>
        <v>4.7786030211707641E-3</v>
      </c>
      <c r="Q17" s="305">
        <f t="shared" si="4"/>
        <v>0.7</v>
      </c>
      <c r="R17" s="177">
        <f t="shared" si="5"/>
        <v>0.50009831500580448</v>
      </c>
      <c r="S17" s="919">
        <f t="shared" si="6"/>
        <v>0</v>
      </c>
      <c r="T17" s="176">
        <f t="shared" si="7"/>
        <v>6</v>
      </c>
      <c r="U17" s="251">
        <f t="shared" si="8"/>
        <v>0.50009831500580448</v>
      </c>
      <c r="V17" s="383">
        <f t="shared" si="9"/>
        <v>25.108846179831499</v>
      </c>
      <c r="W17" s="402">
        <f t="shared" si="10"/>
        <v>0</v>
      </c>
      <c r="X17" s="157">
        <f t="shared" si="11"/>
        <v>44929</v>
      </c>
      <c r="Y17" s="385">
        <f t="shared" si="12"/>
        <v>14.792806145675296</v>
      </c>
      <c r="Z17" s="385">
        <f t="shared" si="22"/>
        <v>15.349288524719032</v>
      </c>
      <c r="AA17" s="386">
        <f t="shared" si="13"/>
        <v>17.669460582582179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0.13130972770896443</v>
      </c>
      <c r="AD17" s="231">
        <f>(INDEX(Models!$BJ17:$BT17,,AH17)*(1-AF17)+INDEX(Models!$BJ17:$BT17,,AH17+1)*AF17-ERP_i)*AE17*Ramure*Pc/MaxiM</f>
        <v>4.7786030211707641E-3</v>
      </c>
      <c r="AE17" s="305">
        <f t="shared" si="15"/>
        <v>0.7</v>
      </c>
      <c r="AF17" s="177">
        <f>(Hp_vg_s-AG17)/(INDEX(Echel_vg,AH17+1)-AG17)</f>
        <v>0.50009831500580448</v>
      </c>
      <c r="AG17" s="919">
        <f>INDEX(Echel_vg,AH17)</f>
        <v>0</v>
      </c>
      <c r="AH17" s="176">
        <f t="shared" si="16"/>
        <v>6</v>
      </c>
      <c r="AI17" s="225">
        <f t="shared" si="17"/>
        <v>0.50009831500580448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1090">
        <f>IF(t&gt;Tmaj,'2022'!Wh/'2022'!Env_an*'2023'!Env_an,0.001*'[3]mon-tableau (2)'!$B$41)</f>
        <v>23.542000000000002</v>
      </c>
      <c r="C18" s="953"/>
      <c r="D18" s="393">
        <f t="shared" si="0"/>
        <v>24.428148494661073</v>
      </c>
      <c r="E18" s="385">
        <f t="shared" si="1"/>
        <v>27.079085400090783</v>
      </c>
      <c r="F18" s="385">
        <f t="shared" si="2"/>
        <v>27.195397538007867</v>
      </c>
      <c r="G18" s="110">
        <f t="shared" si="21"/>
        <v>0.93013945249015262</v>
      </c>
      <c r="H18" s="412" t="b">
        <f>Wh_hp&gt;='2022'!Maxi_hp</f>
        <v>1</v>
      </c>
      <c r="I18" s="390">
        <f>IF(H18,Wh_hp,'2022'!Maxi_hp)</f>
        <v>27.195397538007867</v>
      </c>
      <c r="J18" s="85">
        <f>IF(H18,An,'2022'!An_max)</f>
        <v>2023</v>
      </c>
      <c r="K18" s="197">
        <f t="shared" si="3"/>
        <v>44930</v>
      </c>
      <c r="L18" s="147">
        <f>IF(t&lt;Tvie,1-EXP((T0-t)*PertePVj)+'2022'!Pspv,1-EXP((T0-t)*PertePVj)+Pspv)</f>
        <v>3.6275712621230638E-2</v>
      </c>
      <c r="M18" s="957"/>
      <c r="N18" s="957"/>
      <c r="O18" s="48">
        <f>IF(t&lt;Tnet,'2022'!Resal+('2022'!Salim-'2022'!Resal)*(1-EXP(('2022'!Tnet-t)/('2022'!Tau_j))),Resal+(Salim-Resal)*(1-EXP((Tnet-t)/(Tau_j))))*Salcycl</f>
        <v>9.7896101964389942E-2</v>
      </c>
      <c r="P18" s="169">
        <f>(INDEX(Models!$BJ18:$BT18,,T18)*(1-R18)+INDEX(Models!$BJ18:$BT18,,T18+1)*R18-ERP_i)*Q18*Ramure*Pc/MaxiM</f>
        <v>4.7477497984184241E-3</v>
      </c>
      <c r="Q18" s="305">
        <f t="shared" si="4"/>
        <v>0.7</v>
      </c>
      <c r="R18" s="177">
        <f t="shared" si="5"/>
        <v>0.50013002453709954</v>
      </c>
      <c r="S18" s="919">
        <f t="shared" si="6"/>
        <v>0</v>
      </c>
      <c r="T18" s="176">
        <f t="shared" si="7"/>
        <v>6</v>
      </c>
      <c r="U18" s="251">
        <f t="shared" si="8"/>
        <v>0.50013002453709954</v>
      </c>
      <c r="V18" s="383">
        <f t="shared" si="9"/>
        <v>25.298214910273259</v>
      </c>
      <c r="W18" s="402">
        <f t="shared" si="10"/>
        <v>0</v>
      </c>
      <c r="X18" s="157">
        <f t="shared" si="11"/>
        <v>44930</v>
      </c>
      <c r="Y18" s="385">
        <f t="shared" si="12"/>
        <v>22.668084805468702</v>
      </c>
      <c r="Z18" s="385">
        <f>Wh_sa_s*(1-Psa_s)</f>
        <v>23.521338107108988</v>
      </c>
      <c r="AA18" s="386">
        <f t="shared" si="13"/>
        <v>27.079085400090783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0.13138358406188505</v>
      </c>
      <c r="AD18" s="231">
        <f>(INDEX(Models!$BJ18:$BT18,,AH18)*(1-AF18)+INDEX(Models!$BJ18:$BT18,,AH18+1)*AF18-ERP_i)*AE18*Ramure*Pc/MaxiM</f>
        <v>4.7477497984184241E-3</v>
      </c>
      <c r="AE18" s="305">
        <f t="shared" si="15"/>
        <v>0.7</v>
      </c>
      <c r="AF18" s="177">
        <f t="shared" si="23"/>
        <v>0.50013002453709954</v>
      </c>
      <c r="AG18" s="919">
        <f t="shared" si="24"/>
        <v>0</v>
      </c>
      <c r="AH18" s="176">
        <f t="shared" si="16"/>
        <v>6</v>
      </c>
      <c r="AI18" s="225">
        <f t="shared" si="17"/>
        <v>0.50013002453709954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1090">
        <f>IF(t&gt;Tmaj,'2022'!Wh/'2022'!Env_an*'2023'!Env_an,0.001*'[3]mon-tableau (2)'!$B$42)</f>
        <v>9.8780000000000001</v>
      </c>
      <c r="C19" s="953"/>
      <c r="D19" s="393">
        <f t="shared" si="0"/>
        <v>10.250044009119819</v>
      </c>
      <c r="E19" s="385">
        <f t="shared" si="1"/>
        <v>11.364001673775013</v>
      </c>
      <c r="F19" s="385">
        <f t="shared" si="2"/>
        <v>11.370693469702456</v>
      </c>
      <c r="G19" s="110">
        <f t="shared" si="21"/>
        <v>0.38592480604307966</v>
      </c>
      <c r="H19" s="412" t="b">
        <f>Wh_hp&gt;='2022'!Maxi_hp</f>
        <v>0</v>
      </c>
      <c r="I19" s="390">
        <f>IF(H19,Wh_hp,'2022'!Maxi_hp)</f>
        <v>29.868700088933423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3.6296820656457451E-2</v>
      </c>
      <c r="M19" s="957"/>
      <c r="N19" s="957"/>
      <c r="O19" s="48">
        <f>IF(t&lt;Tnet,'2022'!Resal+('2022'!Salim-'2022'!Resal)*(1-EXP(('2022'!Tnet-t)/('2022'!Tau_j))),Resal+(Salim-Resal)*(1-EXP((Tnet-t)/(Tau_j))))*Salcycl</f>
        <v>9.8025123247377041E-2</v>
      </c>
      <c r="P19" s="169">
        <f>(INDEX(Models!$BJ19:$BT19,,T19)*(1-R19)+INDEX(Models!$BJ19:$BT19,,T19+1)*R19-ERP_i)*Q19*Ramure*Pc/MaxiM</f>
        <v>4.7069319365253028E-3</v>
      </c>
      <c r="Q19" s="305">
        <f t="shared" si="4"/>
        <v>0.7</v>
      </c>
      <c r="R19" s="177">
        <f t="shared" si="5"/>
        <v>0.50016306006966127</v>
      </c>
      <c r="S19" s="919">
        <f t="shared" si="6"/>
        <v>0</v>
      </c>
      <c r="T19" s="176">
        <f t="shared" si="7"/>
        <v>6</v>
      </c>
      <c r="U19" s="251">
        <f t="shared" si="8"/>
        <v>0.50016306006966127</v>
      </c>
      <c r="V19" s="383">
        <f t="shared" si="9"/>
        <v>25.490183951760365</v>
      </c>
      <c r="W19" s="402">
        <f t="shared" si="10"/>
        <v>0</v>
      </c>
      <c r="X19" s="157">
        <f t="shared" si="11"/>
        <v>44931</v>
      </c>
      <c r="Y19" s="385">
        <f t="shared" si="12"/>
        <v>9.5118639955660207</v>
      </c>
      <c r="Z19" s="385">
        <f t="shared" si="22"/>
        <v>9.8701178946460804</v>
      </c>
      <c r="AA19" s="386">
        <f t="shared" si="13"/>
        <v>11.364001673775013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0.13145754655918479</v>
      </c>
      <c r="AD19" s="231">
        <f>(INDEX(Models!$BJ19:$BT19,,AH19)*(1-AF19)+INDEX(Models!$BJ19:$BT19,,AH19+1)*AF19-ERP_i)*AE19*Ramure*Pc/MaxiM</f>
        <v>4.7069319365253028E-3</v>
      </c>
      <c r="AE19" s="305">
        <f t="shared" si="15"/>
        <v>0.7</v>
      </c>
      <c r="AF19" s="177">
        <f t="shared" si="23"/>
        <v>0.50016306006966127</v>
      </c>
      <c r="AG19" s="919">
        <f t="shared" si="24"/>
        <v>0</v>
      </c>
      <c r="AH19" s="176">
        <f t="shared" si="16"/>
        <v>6</v>
      </c>
      <c r="AI19" s="225">
        <f t="shared" si="17"/>
        <v>0.50016306006966127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1090">
        <f>IF(t&gt;Tmaj,'2022'!Wh/'2022'!Env_an*'2023'!Env_an,0.001*'[3]mon-tableau (2)'!$B$43)</f>
        <v>5.84</v>
      </c>
      <c r="C20" s="953"/>
      <c r="D20" s="393">
        <f t="shared" si="0"/>
        <v>6.0600899104305084</v>
      </c>
      <c r="E20" s="385">
        <f t="shared" si="1"/>
        <v>6.7196511039530211</v>
      </c>
      <c r="F20" s="385">
        <f t="shared" si="2"/>
        <v>6.7196511039530211</v>
      </c>
      <c r="G20" s="110">
        <f t="shared" si="21"/>
        <v>0.2263254522551949</v>
      </c>
      <c r="H20" s="412" t="b">
        <f>Wh_hp&gt;='2022'!Maxi_hp</f>
        <v>0</v>
      </c>
      <c r="I20" s="390">
        <f>IF(H20,Wh_hp,'2022'!Maxi_hp)</f>
        <v>28.521480989437787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3.6317928229364083E-2</v>
      </c>
      <c r="M20" s="957"/>
      <c r="N20" s="957"/>
      <c r="O20" s="48">
        <f>IF(t&lt;Tnet,'2022'!Resal+('2022'!Salim-'2022'!Resal)*(1-EXP(('2022'!Tnet-t)/('2022'!Tau_j))),Resal+(Salim-Resal)*(1-EXP((Tnet-t)/(Tau_j))))*Salcycl</f>
        <v>9.8154083198531986E-2</v>
      </c>
      <c r="P20" s="169">
        <f>(INDEX(Models!$BJ20:$BT20,,T20)*(1-R20)+INDEX(Models!$BJ20:$BT20,,T20+1)*R20-ERP_i)*Q20*Ramure*Pc/MaxiM</f>
        <v>4.6566100937921471E-3</v>
      </c>
      <c r="Q20" s="305">
        <f t="shared" si="4"/>
        <v>0.7</v>
      </c>
      <c r="R20" s="177">
        <f t="shared" si="5"/>
        <v>0.50019747686641192</v>
      </c>
      <c r="S20" s="919">
        <f t="shared" si="6"/>
        <v>0</v>
      </c>
      <c r="T20" s="176">
        <f t="shared" si="7"/>
        <v>6</v>
      </c>
      <c r="U20" s="251">
        <f t="shared" si="8"/>
        <v>0.50019747686641192</v>
      </c>
      <c r="V20" s="383">
        <f t="shared" si="9"/>
        <v>25.68339238530708</v>
      </c>
      <c r="W20" s="402">
        <f t="shared" si="10"/>
        <v>0</v>
      </c>
      <c r="X20" s="157">
        <f t="shared" si="11"/>
        <v>44932</v>
      </c>
      <c r="Y20" s="385">
        <f t="shared" si="12"/>
        <v>5.6238603547777464</v>
      </c>
      <c r="Z20" s="385">
        <f t="shared" si="22"/>
        <v>5.8358046906949932</v>
      </c>
      <c r="AA20" s="386">
        <f t="shared" si="13"/>
        <v>6.7196511039530211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0.13153159287363597</v>
      </c>
      <c r="AD20" s="231">
        <f>(INDEX(Models!$BJ20:$BT20,,AH20)*(1-AF20)+INDEX(Models!$BJ20:$BT20,,AH20+1)*AF20-ERP_i)*AE20*Ramure*Pc/MaxiM</f>
        <v>4.6566100937921471E-3</v>
      </c>
      <c r="AE20" s="305">
        <f t="shared" si="15"/>
        <v>0.7</v>
      </c>
      <c r="AF20" s="177">
        <f t="shared" si="23"/>
        <v>0.50019747686641192</v>
      </c>
      <c r="AG20" s="919">
        <f t="shared" si="24"/>
        <v>0</v>
      </c>
      <c r="AH20" s="176">
        <f t="shared" si="16"/>
        <v>6</v>
      </c>
      <c r="AI20" s="225">
        <f t="shared" si="17"/>
        <v>0.50019747686641192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1090">
        <f>IF(t&gt;Tmaj,'2022'!Wh/'2022'!Env_an*'2023'!Env_an,0.001*'[3]mon-tableau (2)'!$B$44)</f>
        <v>15.963000000000001</v>
      </c>
      <c r="C21" s="953"/>
      <c r="D21" s="393">
        <f t="shared" si="0"/>
        <v>16.564954465735191</v>
      </c>
      <c r="E21" s="385">
        <f t="shared" si="1"/>
        <v>18.370457566611744</v>
      </c>
      <c r="F21" s="385">
        <f t="shared" si="2"/>
        <v>18.408769498568571</v>
      </c>
      <c r="G21" s="110">
        <f t="shared" si="21"/>
        <v>0.61533688217800986</v>
      </c>
      <c r="H21" s="412" t="b">
        <f>Wh_hp&gt;='2022'!Maxi_hp</f>
        <v>1</v>
      </c>
      <c r="I21" s="390">
        <f>IF(H21,Wh_hp,'2022'!Maxi_hp)</f>
        <v>18.408769498568571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3.6339035339960635E-2</v>
      </c>
      <c r="M21" s="957"/>
      <c r="N21" s="957"/>
      <c r="O21" s="48">
        <f>IF(t&lt;Tnet,'2022'!Resal+('2022'!Salim-'2022'!Resal)*(1-EXP(('2022'!Tnet-t)/('2022'!Tau_j))),Resal+(Salim-Resal)*(1-EXP((Tnet-t)/(Tau_j))))*Salcycl</f>
        <v>9.8282968419798708E-2</v>
      </c>
      <c r="P21" s="169">
        <f>(INDEX(Models!$BJ21:$BT21,,T21)*(1-R21)+INDEX(Models!$BJ21:$BT21,,T21+1)*R21-ERP_i)*Q21*Ramure*Pc/MaxiM</f>
        <v>4.5972245445613253E-3</v>
      </c>
      <c r="Q21" s="305">
        <f t="shared" si="4"/>
        <v>0.7</v>
      </c>
      <c r="R21" s="177">
        <f t="shared" si="5"/>
        <v>0.50023333247747515</v>
      </c>
      <c r="S21" s="919">
        <f t="shared" si="6"/>
        <v>0</v>
      </c>
      <c r="T21" s="176">
        <f t="shared" si="7"/>
        <v>6</v>
      </c>
      <c r="U21" s="251">
        <f t="shared" si="8"/>
        <v>0.50023333247747515</v>
      </c>
      <c r="V21" s="383">
        <f t="shared" si="9"/>
        <v>25.876480109085445</v>
      </c>
      <c r="W21" s="402">
        <f t="shared" si="10"/>
        <v>0</v>
      </c>
      <c r="X21" s="157">
        <f t="shared" si="11"/>
        <v>44933</v>
      </c>
      <c r="Y21" s="385">
        <f t="shared" si="12"/>
        <v>15.373091176765055</v>
      </c>
      <c r="Z21" s="385">
        <f t="shared" si="22"/>
        <v>15.952800560089491</v>
      </c>
      <c r="AA21" s="386">
        <f t="shared" si="13"/>
        <v>18.370457566611744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0.13160570430844015</v>
      </c>
      <c r="AD21" s="231">
        <f>(INDEX(Models!$BJ21:$BT21,,AH21)*(1-AF21)+INDEX(Models!$BJ21:$BT21,,AH21+1)*AF21-ERP_i)*AE21*Ramure*Pc/MaxiM</f>
        <v>4.5972245445613253E-3</v>
      </c>
      <c r="AE21" s="305">
        <f t="shared" si="15"/>
        <v>0.7</v>
      </c>
      <c r="AF21" s="177">
        <f t="shared" si="23"/>
        <v>0.50023333247747515</v>
      </c>
      <c r="AG21" s="919">
        <f t="shared" si="24"/>
        <v>0</v>
      </c>
      <c r="AH21" s="176">
        <f t="shared" si="16"/>
        <v>6</v>
      </c>
      <c r="AI21" s="225">
        <f t="shared" si="17"/>
        <v>0.50023333247747515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1090">
        <f>IF(t&gt;Tmaj,'2022'!Wh/'2022'!Env_an*'2023'!Env_an,0.001*'[3]mon-tableau (2)'!$B$45)</f>
        <v>6.5289999999999999</v>
      </c>
      <c r="C22" s="953"/>
      <c r="D22" s="393">
        <f t="shared" si="0"/>
        <v>6.7753527894447467</v>
      </c>
      <c r="E22" s="385">
        <f t="shared" si="1"/>
        <v>7.5149081913025597</v>
      </c>
      <c r="F22" s="385">
        <f t="shared" si="2"/>
        <v>7.5149081913025597</v>
      </c>
      <c r="G22" s="110">
        <f t="shared" si="21"/>
        <v>0.24932511169428642</v>
      </c>
      <c r="H22" s="412" t="b">
        <f>Wh_hp&gt;='2022'!Maxi_hp</f>
        <v>0</v>
      </c>
      <c r="I22" s="390">
        <f>IF(H22,Wh_hp,'2022'!Maxi_hp)</f>
        <v>20.926751067686602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3.6360141988257433E-2</v>
      </c>
      <c r="M22" s="957"/>
      <c r="N22" s="957"/>
      <c r="O22" s="48">
        <f>IF(t&lt;Tnet,'2022'!Resal+('2022'!Salim-'2022'!Resal)*(1-EXP(('2022'!Tnet-t)/('2022'!Tau_j))),Resal+(Salim-Resal)*(1-EXP((Tnet-t)/(Tau_j))))*Salcycl</f>
        <v>9.841176805243522E-2</v>
      </c>
      <c r="P22" s="169">
        <f>(INDEX(Models!$BJ22:$BT22,,T22)*(1-R22)+INDEX(Models!$BJ22:$BT22,,T22+1)*R22-ERP_i)*Q22*Ramure*Pc/MaxiM</f>
        <v>4.529191389305921E-3</v>
      </c>
      <c r="Q22" s="305">
        <f t="shared" si="4"/>
        <v>0.7</v>
      </c>
      <c r="R22" s="177">
        <f t="shared" si="5"/>
        <v>0.50027068683347231</v>
      </c>
      <c r="S22" s="919">
        <f t="shared" si="6"/>
        <v>0</v>
      </c>
      <c r="T22" s="176">
        <f t="shared" si="7"/>
        <v>6</v>
      </c>
      <c r="U22" s="251">
        <f t="shared" si="8"/>
        <v>0.50027068683347231</v>
      </c>
      <c r="V22" s="383">
        <f t="shared" si="9"/>
        <v>26.068087828187117</v>
      </c>
      <c r="W22" s="402">
        <f t="shared" si="10"/>
        <v>0</v>
      </c>
      <c r="X22" s="157">
        <f t="shared" si="11"/>
        <v>44934</v>
      </c>
      <c r="Y22" s="385">
        <f t="shared" si="12"/>
        <v>6.2880835801213966</v>
      </c>
      <c r="Z22" s="385">
        <f t="shared" si="22"/>
        <v>6.5253460904942893</v>
      </c>
      <c r="AA22" s="386">
        <f t="shared" si="13"/>
        <v>7.5149081913025597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0.13167986562411352</v>
      </c>
      <c r="AD22" s="231">
        <f>(INDEX(Models!$BJ22:$BT22,,AH22)*(1-AF22)+INDEX(Models!$BJ22:$BT22,,AH22+1)*AF22-ERP_i)*AE22*Ramure*Pc/MaxiM</f>
        <v>4.529191389305921E-3</v>
      </c>
      <c r="AE22" s="305">
        <f t="shared" si="15"/>
        <v>0.7</v>
      </c>
      <c r="AF22" s="177">
        <f t="shared" si="23"/>
        <v>0.50027068683347231</v>
      </c>
      <c r="AG22" s="919">
        <f t="shared" si="24"/>
        <v>0</v>
      </c>
      <c r="AH22" s="176">
        <f t="shared" si="16"/>
        <v>6</v>
      </c>
      <c r="AI22" s="225">
        <f t="shared" si="17"/>
        <v>0.50027068683347231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1090">
        <f>IF(t&gt;Tmaj,'2022'!Wh/'2022'!Env_an*'2023'!Env_an,0.001*'[3]mon-tableau (2)'!$B$46)</f>
        <v>6.6070000000000002</v>
      </c>
      <c r="C23" s="953"/>
      <c r="D23" s="393">
        <f t="shared" si="0"/>
        <v>6.8564460659176074</v>
      </c>
      <c r="E23" s="385">
        <f t="shared" si="1"/>
        <v>7.6059388862379782</v>
      </c>
      <c r="F23" s="385">
        <f t="shared" si="2"/>
        <v>7.6059388862379782</v>
      </c>
      <c r="G23" s="110">
        <f t="shared" si="21"/>
        <v>0.25048107875936237</v>
      </c>
      <c r="H23" s="412" t="b">
        <f>Wh_hp&gt;='2022'!Maxi_hp</f>
        <v>0</v>
      </c>
      <c r="I23" s="390">
        <f>IF(H23,Wh_hp,'2022'!Maxi_hp)</f>
        <v>27.858667670277544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3.6381248174264358E-2</v>
      </c>
      <c r="M23" s="957"/>
      <c r="N23" s="957"/>
      <c r="O23" s="48">
        <f>IF(t&lt;Tnet,'2022'!Resal+('2022'!Salim-'2022'!Resal)*(1-EXP(('2022'!Tnet-t)/('2022'!Tau_j))),Resal+(Salim-Resal)*(1-EXP((Tnet-t)/(Tau_j))))*Salcycl</f>
        <v>9.8540473639156773E-2</v>
      </c>
      <c r="P23" s="169">
        <f>(INDEX(Models!$BJ23:$BT23,,T23)*(1-R23)+INDEX(Models!$BJ23:$BT23,,T23+1)*R23-ERP_i)*Q23*Ramure*Pc/MaxiM</f>
        <v>4.4524025295349205E-3</v>
      </c>
      <c r="Q23" s="305">
        <f t="shared" si="4"/>
        <v>0.7</v>
      </c>
      <c r="R23" s="177">
        <f t="shared" si="5"/>
        <v>0.50030960234250743</v>
      </c>
      <c r="S23" s="919">
        <f t="shared" si="6"/>
        <v>0</v>
      </c>
      <c r="T23" s="176">
        <f t="shared" si="7"/>
        <v>6</v>
      </c>
      <c r="U23" s="251">
        <f t="shared" si="8"/>
        <v>0.50030960234250743</v>
      </c>
      <c r="V23" s="383">
        <f t="shared" si="9"/>
        <v>26.25979977835555</v>
      </c>
      <c r="W23" s="402">
        <f t="shared" si="10"/>
        <v>0</v>
      </c>
      <c r="X23" s="157">
        <f t="shared" si="11"/>
        <v>44935</v>
      </c>
      <c r="Y23" s="385">
        <f t="shared" si="12"/>
        <v>6.3635701058639746</v>
      </c>
      <c r="Z23" s="385">
        <f t="shared" si="22"/>
        <v>6.6038255210446399</v>
      </c>
      <c r="AA23" s="386">
        <f t="shared" si="13"/>
        <v>7.6059388862379782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0.13175406484090227</v>
      </c>
      <c r="AD23" s="231">
        <f>(INDEX(Models!$BJ23:$BT23,,AH23)*(1-AF23)+INDEX(Models!$BJ23:$BT23,,AH23+1)*AF23-ERP_i)*AE23*Ramure*Pc/MaxiM</f>
        <v>4.4524025295349205E-3</v>
      </c>
      <c r="AE23" s="305">
        <f t="shared" si="15"/>
        <v>0.7</v>
      </c>
      <c r="AF23" s="177">
        <f t="shared" si="23"/>
        <v>0.50030960234250743</v>
      </c>
      <c r="AG23" s="919">
        <f t="shared" si="24"/>
        <v>0</v>
      </c>
      <c r="AH23" s="176">
        <f t="shared" si="16"/>
        <v>6</v>
      </c>
      <c r="AI23" s="225">
        <f t="shared" si="17"/>
        <v>0.50030960234250743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1090">
        <f>IF(t&gt;Tmaj,'2022'!Wh/'2022'!Env_an*'2023'!Env_an,0.001*'[3]mon-tableau (2)'!$B$47)</f>
        <v>22.715</v>
      </c>
      <c r="C24" s="953"/>
      <c r="D24" s="393">
        <f t="shared" si="0"/>
        <v>23.573116945529925</v>
      </c>
      <c r="E24" s="385">
        <f t="shared" si="1"/>
        <v>26.153676075567503</v>
      </c>
      <c r="F24" s="385">
        <f t="shared" si="2"/>
        <v>26.245078874612297</v>
      </c>
      <c r="G24" s="110">
        <f t="shared" si="21"/>
        <v>0.85788842537028542</v>
      </c>
      <c r="H24" s="412" t="b">
        <f>Wh_hp&gt;='2022'!Maxi_hp</f>
        <v>1</v>
      </c>
      <c r="I24" s="390">
        <f>IF(H24,Wh_hp,'2022'!Maxi_hp)</f>
        <v>26.245078874612297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3.6402353897991735E-2</v>
      </c>
      <c r="M24" s="957"/>
      <c r="N24" s="957"/>
      <c r="O24" s="48">
        <f>IF(t&lt;Tnet,'2022'!Resal+('2022'!Salim-'2022'!Resal)*(1-EXP(('2022'!Tnet-t)/('2022'!Tau_j))),Resal+(Salim-Resal)*(1-EXP((Tnet-t)/(Tau_j))))*Salcycl</f>
        <v>9.8669078969296761E-2</v>
      </c>
      <c r="P24" s="169">
        <f>(INDEX(Models!$BJ24:$BT24,,T24)*(1-R24)+INDEX(Models!$BJ24:$BT24,,T24+1)*R24-ERP_i)*Q24*Ramure*Pc/MaxiM</f>
        <v>4.3638682229941274E-3</v>
      </c>
      <c r="Q24" s="305">
        <f t="shared" si="4"/>
        <v>0.7</v>
      </c>
      <c r="R24" s="177">
        <f t="shared" si="5"/>
        <v>0.50035014399097699</v>
      </c>
      <c r="S24" s="919">
        <f t="shared" si="6"/>
        <v>0</v>
      </c>
      <c r="T24" s="176">
        <f t="shared" si="7"/>
        <v>6</v>
      </c>
      <c r="U24" s="251">
        <f t="shared" si="8"/>
        <v>0.50035014399097699</v>
      </c>
      <c r="V24" s="383">
        <f t="shared" si="9"/>
        <v>26.454388271266829</v>
      </c>
      <c r="W24" s="402">
        <f t="shared" si="10"/>
        <v>0</v>
      </c>
      <c r="X24" s="157">
        <f t="shared" si="11"/>
        <v>44936</v>
      </c>
      <c r="Y24" s="385">
        <f t="shared" si="12"/>
        <v>21.879334064686297</v>
      </c>
      <c r="Z24" s="385">
        <f t="shared" si="22"/>
        <v>22.7058816023406</v>
      </c>
      <c r="AA24" s="386">
        <f t="shared" si="13"/>
        <v>26.153676075567503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0.13182829301949633</v>
      </c>
      <c r="AD24" s="231">
        <f>(INDEX(Models!$BJ24:$BT24,,AH24)*(1-AF24)+INDEX(Models!$BJ24:$BT24,,AH24+1)*AF24-ERP_i)*AE24*Ramure*Pc/MaxiM</f>
        <v>4.3638682229941274E-3</v>
      </c>
      <c r="AE24" s="305">
        <f t="shared" si="15"/>
        <v>0.7</v>
      </c>
      <c r="AF24" s="177">
        <f t="shared" si="23"/>
        <v>0.50035014399097699</v>
      </c>
      <c r="AG24" s="919">
        <f t="shared" si="24"/>
        <v>0</v>
      </c>
      <c r="AH24" s="176">
        <f t="shared" si="16"/>
        <v>6</v>
      </c>
      <c r="AI24" s="225">
        <f t="shared" si="17"/>
        <v>0.50035014399097699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1090">
        <f>IF(t&gt;Tmaj,'2022'!Wh/'2022'!Env_an*'2023'!Env_an,0.001*'[3]mon-tableau (2)'!$B$48)</f>
        <v>4.5860000000000003</v>
      </c>
      <c r="C25" s="953"/>
      <c r="D25" s="393">
        <f t="shared" si="0"/>
        <v>4.7593520655863255</v>
      </c>
      <c r="E25" s="385">
        <f t="shared" si="1"/>
        <v>5.281113276533608</v>
      </c>
      <c r="F25" s="385">
        <f t="shared" si="2"/>
        <v>5.281113276533608</v>
      </c>
      <c r="G25" s="110">
        <f t="shared" si="21"/>
        <v>0.17133488598870505</v>
      </c>
      <c r="H25" s="412" t="b">
        <f>Wh_hp&gt;='2022'!Maxi_hp</f>
        <v>0</v>
      </c>
      <c r="I25" s="390">
        <f>IF(H25,Wh_hp,'2022'!Maxi_hp)</f>
        <v>30.384642936610089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3.6423459159449445E-2</v>
      </c>
      <c r="M25" s="957"/>
      <c r="N25" s="957"/>
      <c r="O25" s="48">
        <f>IF(t&lt;Tnet,'2022'!Resal+('2022'!Salim-'2022'!Resal)*(1-EXP(('2022'!Tnet-t)/('2022'!Tau_j))),Resal+(Salim-Resal)*(1-EXP((Tnet-t)/(Tau_j))))*Salcycl</f>
        <v>9.8797579909089411E-2</v>
      </c>
      <c r="P25" s="169">
        <f>(INDEX(Models!$BJ25:$BT25,,T25)*(1-R25)+INDEX(Models!$BJ25:$BT25,,T25+1)*R25-ERP_i)*Q25*Ramure*Pc/MaxiM</f>
        <v>4.2660499460060557E-3</v>
      </c>
      <c r="Q25" s="305">
        <f t="shared" si="4"/>
        <v>0.7</v>
      </c>
      <c r="R25" s="177">
        <f t="shared" si="5"/>
        <v>0.50039237944834303</v>
      </c>
      <c r="S25" s="919">
        <f t="shared" si="6"/>
        <v>0</v>
      </c>
      <c r="T25" s="176">
        <f t="shared" si="7"/>
        <v>6</v>
      </c>
      <c r="U25" s="251">
        <f t="shared" si="8"/>
        <v>0.50039237944834303</v>
      </c>
      <c r="V25" s="383">
        <f t="shared" si="9"/>
        <v>26.65210805491563</v>
      </c>
      <c r="W25" s="402">
        <f t="shared" si="10"/>
        <v>0</v>
      </c>
      <c r="X25" s="157">
        <f t="shared" si="11"/>
        <v>44937</v>
      </c>
      <c r="Y25" s="385">
        <f t="shared" si="12"/>
        <v>4.4175368866731723</v>
      </c>
      <c r="Z25" s="385">
        <f t="shared" si="22"/>
        <v>4.584521000085422</v>
      </c>
      <c r="AA25" s="386">
        <f t="shared" si="13"/>
        <v>5.281113276533608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0.13190254402295498</v>
      </c>
      <c r="AD25" s="231">
        <f>(INDEX(Models!$BJ25:$BT25,,AH25)*(1-AF25)+INDEX(Models!$BJ25:$BT25,,AH25+1)*AF25-ERP_i)*AE25*Ramure*Pc/MaxiM</f>
        <v>4.2660499460060557E-3</v>
      </c>
      <c r="AE25" s="305">
        <f t="shared" si="15"/>
        <v>0.7</v>
      </c>
      <c r="AF25" s="177">
        <f t="shared" si="23"/>
        <v>0.50039237944834303</v>
      </c>
      <c r="AG25" s="919">
        <f t="shared" si="24"/>
        <v>0</v>
      </c>
      <c r="AH25" s="176">
        <f t="shared" si="16"/>
        <v>6</v>
      </c>
      <c r="AI25" s="225">
        <f t="shared" si="17"/>
        <v>0.50039237944834303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1090">
        <f>IF(t&gt;Tmaj,'2022'!Wh/'2022'!Env_an*'2023'!Env_an,0.001*'[3]mon-tableau (2)'!$B$49)</f>
        <v>22.058</v>
      </c>
      <c r="C26" s="953"/>
      <c r="D26" s="393">
        <f t="shared" si="0"/>
        <v>22.892299887407159</v>
      </c>
      <c r="E26" s="385">
        <f t="shared" si="1"/>
        <v>25.405570721642327</v>
      </c>
      <c r="F26" s="385">
        <f t="shared" si="2"/>
        <v>25.484524610496454</v>
      </c>
      <c r="G26" s="110">
        <f t="shared" si="21"/>
        <v>0.82055259901586963</v>
      </c>
      <c r="H26" s="412" t="b">
        <f>Wh_hp&gt;='2022'!Maxi_hp</f>
        <v>0</v>
      </c>
      <c r="I26" s="390">
        <f>IF(H26,Wh_hp,'2022'!Maxi_hp)</f>
        <v>30.267889314428743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3.6444563958647924E-2</v>
      </c>
      <c r="M26" s="957"/>
      <c r="N26" s="957"/>
      <c r="O26" s="48">
        <f>IF(t&lt;Tnet,'2022'!Resal+('2022'!Salim-'2022'!Resal)*(1-EXP(('2022'!Tnet-t)/('2022'!Tau_j))),Resal+(Salim-Resal)*(1-EXP((Tnet-t)/(Tau_j))))*Salcycl</f>
        <v>9.8925974219275473E-2</v>
      </c>
      <c r="P26" s="169">
        <f>(INDEX(Models!$BJ26:$BT26,,T26)*(1-R26)+INDEX(Models!$BJ26:$BT26,,T26+1)*R26-ERP_i)*Q26*Ramure*Pc/MaxiM</f>
        <v>4.1591217959498243E-3</v>
      </c>
      <c r="Q26" s="305">
        <f t="shared" si="4"/>
        <v>0.7</v>
      </c>
      <c r="R26" s="177">
        <f t="shared" si="5"/>
        <v>0.50043637917601413</v>
      </c>
      <c r="S26" s="919">
        <f t="shared" si="6"/>
        <v>0</v>
      </c>
      <c r="T26" s="176">
        <f t="shared" si="7"/>
        <v>6</v>
      </c>
      <c r="U26" s="251">
        <f t="shared" si="8"/>
        <v>0.50043637917601413</v>
      </c>
      <c r="V26" s="383">
        <f t="shared" si="9"/>
        <v>26.853273659619923</v>
      </c>
      <c r="W26" s="402">
        <f t="shared" si="10"/>
        <v>0</v>
      </c>
      <c r="X26" s="157">
        <f t="shared" si="11"/>
        <v>44938</v>
      </c>
      <c r="Y26" s="385">
        <f t="shared" si="12"/>
        <v>21.248926151655677</v>
      </c>
      <c r="Z26" s="385">
        <f t="shared" si="22"/>
        <v>22.052624433270029</v>
      </c>
      <c r="AA26" s="386">
        <f t="shared" si="13"/>
        <v>25.405570721642327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0.13197681426286598</v>
      </c>
      <c r="AD26" s="231">
        <f>(INDEX(Models!$BJ26:$BT26,,AH26)*(1-AF26)+INDEX(Models!$BJ26:$BT26,,AH26+1)*AF26-ERP_i)*AE26*Ramure*Pc/MaxiM</f>
        <v>4.1591217959498243E-3</v>
      </c>
      <c r="AE26" s="305">
        <f t="shared" si="15"/>
        <v>0.7</v>
      </c>
      <c r="AF26" s="177">
        <f t="shared" si="23"/>
        <v>0.50043637917601413</v>
      </c>
      <c r="AG26" s="919">
        <f t="shared" si="24"/>
        <v>0</v>
      </c>
      <c r="AH26" s="176">
        <f t="shared" si="16"/>
        <v>6</v>
      </c>
      <c r="AI26" s="225">
        <f t="shared" si="17"/>
        <v>0.50043637917601413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1090">
        <f>IF(t&gt;Tmaj,'2022'!Wh/'2022'!Env_an*'2023'!Env_an,0.001*'[3]mon-tableau (2)'!$B$50)</f>
        <v>12.193</v>
      </c>
      <c r="C27" s="953"/>
      <c r="D27" s="393">
        <f t="shared" si="0"/>
        <v>12.654453088798313</v>
      </c>
      <c r="E27" s="385">
        <f t="shared" si="1"/>
        <v>14.045743873468929</v>
      </c>
      <c r="F27" s="385">
        <f t="shared" si="2"/>
        <v>14.057974347322656</v>
      </c>
      <c r="G27" s="110">
        <f t="shared" si="21"/>
        <v>0.44919007994099064</v>
      </c>
      <c r="H27" s="412" t="b">
        <f>Wh_hp&gt;='2022'!Maxi_hp</f>
        <v>0</v>
      </c>
      <c r="I27" s="390">
        <f>IF(H27,Wh_hp,'2022'!Maxi_hp)</f>
        <v>17.075177344016367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3.6465668295597053E-2</v>
      </c>
      <c r="M27" s="957"/>
      <c r="N27" s="957"/>
      <c r="O27" s="48">
        <f>IF(t&lt;Tnet,'2022'!Resal+('2022'!Salim-'2022'!Resal)*(1-EXP(('2022'!Tnet-t)/('2022'!Tau_j))),Resal+(Salim-Resal)*(1-EXP((Tnet-t)/(Tau_j))))*Salcycl</f>
        <v>9.9054261362307203E-2</v>
      </c>
      <c r="P27" s="169">
        <f>(INDEX(Models!$BJ27:$BT27,,T27)*(1-R27)+INDEX(Models!$BJ27:$BT27,,T27+1)*R27-ERP_i)*Q27*Ramure*Pc/MaxiM</f>
        <v>4.0432657457750657E-3</v>
      </c>
      <c r="Q27" s="305">
        <f t="shared" si="4"/>
        <v>0.7</v>
      </c>
      <c r="R27" s="177">
        <f t="shared" si="5"/>
        <v>0.50048221654048319</v>
      </c>
      <c r="S27" s="919">
        <f t="shared" si="6"/>
        <v>0</v>
      </c>
      <c r="T27" s="176">
        <f t="shared" si="7"/>
        <v>6</v>
      </c>
      <c r="U27" s="251">
        <f t="shared" si="8"/>
        <v>0.50048221654048319</v>
      </c>
      <c r="V27" s="383">
        <f t="shared" si="9"/>
        <v>27.058199309811862</v>
      </c>
      <c r="W27" s="402">
        <f t="shared" si="10"/>
        <v>0</v>
      </c>
      <c r="X27" s="157">
        <f t="shared" si="11"/>
        <v>44939</v>
      </c>
      <c r="Y27" s="385">
        <f t="shared" si="12"/>
        <v>11.74643538914852</v>
      </c>
      <c r="Z27" s="385">
        <f t="shared" si="22"/>
        <v>12.190987910488008</v>
      </c>
      <c r="AA27" s="386">
        <f t="shared" si="13"/>
        <v>14.045743873468929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0.13205110243284288</v>
      </c>
      <c r="AD27" s="231">
        <f>(INDEX(Models!$BJ27:$BT27,,AH27)*(1-AF27)+INDEX(Models!$BJ27:$BT27,,AH27+1)*AF27-ERP_i)*AE27*Ramure*Pc/MaxiM</f>
        <v>4.0432657457750657E-3</v>
      </c>
      <c r="AE27" s="305">
        <f t="shared" si="15"/>
        <v>0.7</v>
      </c>
      <c r="AF27" s="177">
        <f t="shared" si="23"/>
        <v>0.50048221654048319</v>
      </c>
      <c r="AG27" s="919">
        <f t="shared" si="24"/>
        <v>0</v>
      </c>
      <c r="AH27" s="176">
        <f t="shared" si="16"/>
        <v>6</v>
      </c>
      <c r="AI27" s="225">
        <f t="shared" si="17"/>
        <v>0.50048221654048319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1090">
        <f>IF(t&gt;Tmaj,'2022'!Wh/'2022'!Env_an*'2023'!Env_an,0.001*'[3]mon-tableau (2)'!$B$51)</f>
        <v>17.448</v>
      </c>
      <c r="C28" s="953"/>
      <c r="D28" s="393">
        <f t="shared" si="0"/>
        <v>18.108729071941756</v>
      </c>
      <c r="E28" s="385">
        <f t="shared" si="1"/>
        <v>20.102548975851828</v>
      </c>
      <c r="F28" s="385">
        <f t="shared" si="2"/>
        <v>20.140871771123138</v>
      </c>
      <c r="G28" s="110">
        <f t="shared" si="21"/>
        <v>0.63859727442331948</v>
      </c>
      <c r="H28" s="412" t="b">
        <f>Wh_hp&gt;='2022'!Maxi_hp</f>
        <v>0</v>
      </c>
      <c r="I28" s="390">
        <f>IF(H28,Wh_hp,'2022'!Maxi_hp)</f>
        <v>31.541619457007879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3.6486772170307047E-2</v>
      </c>
      <c r="M28" s="957"/>
      <c r="N28" s="957"/>
      <c r="O28" s="48">
        <f>IF(t&lt;Tnet,'2022'!Resal+('2022'!Salim-'2022'!Resal)*(1-EXP(('2022'!Tnet-t)/('2022'!Tau_j))),Resal+(Salim-Resal)*(1-EXP((Tnet-t)/(Tau_j))))*Salcycl</f>
        <v>9.9182442301478713E-2</v>
      </c>
      <c r="P28" s="169">
        <f>(INDEX(Models!$BJ28:$BT28,,T28)*(1-R28)+INDEX(Models!$BJ28:$BT28,,T28+1)*R28-ERP_i)*Q28*Ramure*Pc/MaxiM</f>
        <v>3.9186722249125484E-3</v>
      </c>
      <c r="Q28" s="305">
        <f t="shared" si="4"/>
        <v>0.7</v>
      </c>
      <c r="R28" s="177">
        <f t="shared" si="5"/>
        <v>0.50052996793087268</v>
      </c>
      <c r="S28" s="919">
        <f t="shared" si="6"/>
        <v>0</v>
      </c>
      <c r="T28" s="176">
        <f t="shared" si="7"/>
        <v>6</v>
      </c>
      <c r="U28" s="251">
        <f t="shared" si="8"/>
        <v>0.50052996793087268</v>
      </c>
      <c r="V28" s="383">
        <f t="shared" si="9"/>
        <v>27.267198932136164</v>
      </c>
      <c r="W28" s="402">
        <f t="shared" si="10"/>
        <v>0</v>
      </c>
      <c r="X28" s="157">
        <f t="shared" si="11"/>
        <v>44940</v>
      </c>
      <c r="Y28" s="385">
        <f t="shared" si="12"/>
        <v>16.809925306516888</v>
      </c>
      <c r="Z28" s="385">
        <f t="shared" si="22"/>
        <v>17.446491465800769</v>
      </c>
      <c r="AA28" s="386">
        <f t="shared" si="13"/>
        <v>20.102548975851828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0.13212540923251317</v>
      </c>
      <c r="AD28" s="231">
        <f>(INDEX(Models!$BJ28:$BT28,,AH28)*(1-AF28)+INDEX(Models!$BJ28:$BT28,,AH28+1)*AF28-ERP_i)*AE28*Ramure*Pc/MaxiM</f>
        <v>3.9186722249125484E-3</v>
      </c>
      <c r="AE28" s="305">
        <f t="shared" si="15"/>
        <v>0.7</v>
      </c>
      <c r="AF28" s="177">
        <f t="shared" si="23"/>
        <v>0.50052996793087268</v>
      </c>
      <c r="AG28" s="919">
        <f t="shared" si="24"/>
        <v>0</v>
      </c>
      <c r="AH28" s="176">
        <f t="shared" si="16"/>
        <v>6</v>
      </c>
      <c r="AI28" s="225">
        <f t="shared" si="17"/>
        <v>0.50052996793087268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1090">
        <f>IF(t&gt;Tmaj,'2022'!Wh/'2022'!Env_an*'2023'!Env_an,0.001*'[3]mon-tableau (2)'!$B$52)</f>
        <v>6.2039999999999997</v>
      </c>
      <c r="C29" s="953"/>
      <c r="D29" s="393">
        <f t="shared" si="0"/>
        <v>6.4390770228169911</v>
      </c>
      <c r="E29" s="385">
        <f t="shared" si="1"/>
        <v>7.1490532095169659</v>
      </c>
      <c r="F29" s="385">
        <f t="shared" si="2"/>
        <v>7.1490532095169659</v>
      </c>
      <c r="G29" s="110">
        <f t="shared" si="21"/>
        <v>0.22490475533245596</v>
      </c>
      <c r="H29" s="412" t="b">
        <f>Wh_hp&gt;='2022'!Maxi_hp</f>
        <v>0</v>
      </c>
      <c r="I29" s="390">
        <f>IF(H29,Wh_hp,'2022'!Maxi_hp)</f>
        <v>31.364833627737337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3.6507875582788007E-2</v>
      </c>
      <c r="M29" s="957"/>
      <c r="N29" s="957"/>
      <c r="O29" s="48">
        <f>IF(t&lt;Tnet,'2022'!Resal+('2022'!Salim-'2022'!Resal)*(1-EXP(('2022'!Tnet-t)/('2022'!Tau_j))),Resal+(Salim-Resal)*(1-EXP((Tnet-t)/(Tau_j))))*Salcycl</f>
        <v>9.9310519294336735E-2</v>
      </c>
      <c r="P29" s="169">
        <f>(INDEX(Models!$BJ29:$BT29,,T29)*(1-R29)+INDEX(Models!$BJ29:$BT29,,T29+1)*R29-ERP_i)*Q29*Ramure*Pc/MaxiM</f>
        <v>3.7855405967432108E-3</v>
      </c>
      <c r="Q29" s="305">
        <f t="shared" si="4"/>
        <v>0.7</v>
      </c>
      <c r="R29" s="177">
        <f t="shared" si="5"/>
        <v>0.50057971288104497</v>
      </c>
      <c r="S29" s="919">
        <f t="shared" si="6"/>
        <v>0</v>
      </c>
      <c r="T29" s="176">
        <f t="shared" si="7"/>
        <v>6</v>
      </c>
      <c r="U29" s="251">
        <f t="shared" si="8"/>
        <v>0.50057971288104497</v>
      </c>
      <c r="V29" s="383">
        <f t="shared" si="9"/>
        <v>27.480586157467943</v>
      </c>
      <c r="W29" s="402">
        <f t="shared" si="10"/>
        <v>0</v>
      </c>
      <c r="X29" s="157">
        <f t="shared" si="11"/>
        <v>44941</v>
      </c>
      <c r="Y29" s="385">
        <f t="shared" si="12"/>
        <v>5.9774572107865058</v>
      </c>
      <c r="Z29" s="385">
        <f t="shared" si="22"/>
        <v>6.20395025481095</v>
      </c>
      <c r="AA29" s="386">
        <f t="shared" si="13"/>
        <v>7.1490532095169659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0.1321997370851675</v>
      </c>
      <c r="AD29" s="231">
        <f>(INDEX(Models!$BJ29:$BT29,,AH29)*(1-AF29)+INDEX(Models!$BJ29:$BT29,,AH29+1)*AF29-ERP_i)*AE29*Ramure*Pc/MaxiM</f>
        <v>3.7855405967432108E-3</v>
      </c>
      <c r="AE29" s="305">
        <f t="shared" si="15"/>
        <v>0.7</v>
      </c>
      <c r="AF29" s="177">
        <f t="shared" si="23"/>
        <v>0.50057971288104497</v>
      </c>
      <c r="AG29" s="919">
        <f t="shared" si="24"/>
        <v>0</v>
      </c>
      <c r="AH29" s="176">
        <f t="shared" si="16"/>
        <v>6</v>
      </c>
      <c r="AI29" s="225">
        <f t="shared" si="17"/>
        <v>0.50057971288104497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1090">
        <f>IF(t&gt;Tmaj,'2022'!Wh/'2022'!Env_an*'2023'!Env_an,0.001*'[3]mon-tableau (2)'!$B$53)</f>
        <v>3.1339999999999999</v>
      </c>
      <c r="C30" s="953"/>
      <c r="D30" s="393">
        <f t="shared" si="0"/>
        <v>3.2528222750573992</v>
      </c>
      <c r="E30" s="385">
        <f t="shared" si="1"/>
        <v>3.6119934723652407</v>
      </c>
      <c r="F30" s="385">
        <f t="shared" si="2"/>
        <v>3.6119934723652407</v>
      </c>
      <c r="G30" s="110">
        <f t="shared" si="21"/>
        <v>0.11273389543155955</v>
      </c>
      <c r="H30" s="412" t="b">
        <f>Wh_hp&gt;='2022'!Maxi_hp</f>
        <v>0</v>
      </c>
      <c r="I30" s="390">
        <f>IF(H30,Wh_hp,'2022'!Maxi_hp)</f>
        <v>32.204114318448951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3.6528978533050149E-2</v>
      </c>
      <c r="M30" s="957"/>
      <c r="N30" s="957"/>
      <c r="O30" s="48">
        <f>IF(t&lt;Tnet,'2022'!Resal+('2022'!Salim-'2022'!Resal)*(1-EXP(('2022'!Tnet-t)/('2022'!Tau_j))),Resal+(Salim-Resal)*(1-EXP((Tnet-t)/(Tau_j))))*Salcycl</f>
        <v>9.9438495682730485E-2</v>
      </c>
      <c r="P30" s="169">
        <f>(INDEX(Models!$BJ30:$BT30,,T30)*(1-R30)+INDEX(Models!$BJ30:$BT30,,T30+1)*R30-ERP_i)*Q30*Ramure*Pc/MaxiM</f>
        <v>3.644685476155467E-3</v>
      </c>
      <c r="Q30" s="305">
        <f t="shared" si="4"/>
        <v>0.7</v>
      </c>
      <c r="R30" s="177">
        <f t="shared" si="5"/>
        <v>0.50063153419643824</v>
      </c>
      <c r="S30" s="919">
        <f t="shared" si="6"/>
        <v>0</v>
      </c>
      <c r="T30" s="176">
        <f t="shared" si="7"/>
        <v>6</v>
      </c>
      <c r="U30" s="251">
        <f t="shared" si="8"/>
        <v>0.50063153419643824</v>
      </c>
      <c r="V30" s="383">
        <f t="shared" si="9"/>
        <v>27.698657477984845</v>
      </c>
      <c r="W30" s="402">
        <f t="shared" si="10"/>
        <v>0</v>
      </c>
      <c r="X30" s="157">
        <f t="shared" si="11"/>
        <v>44942</v>
      </c>
      <c r="Y30" s="385">
        <f t="shared" si="12"/>
        <v>3.0197304563498735</v>
      </c>
      <c r="Z30" s="385">
        <f t="shared" si="22"/>
        <v>3.1342203232559394</v>
      </c>
      <c r="AA30" s="386">
        <f t="shared" si="13"/>
        <v>3.6119934723652407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0.13227408985222805</v>
      </c>
      <c r="AD30" s="231">
        <f>(INDEX(Models!$BJ30:$BT30,,AH30)*(1-AF30)+INDEX(Models!$BJ30:$BT30,,AH30+1)*AF30-ERP_i)*AE30*Ramure*Pc/MaxiM</f>
        <v>3.644685476155467E-3</v>
      </c>
      <c r="AE30" s="305">
        <f t="shared" si="15"/>
        <v>0.7</v>
      </c>
      <c r="AF30" s="177">
        <f t="shared" si="23"/>
        <v>0.50063153419643824</v>
      </c>
      <c r="AG30" s="919">
        <f t="shared" si="24"/>
        <v>0</v>
      </c>
      <c r="AH30" s="176">
        <f t="shared" si="16"/>
        <v>6</v>
      </c>
      <c r="AI30" s="225">
        <f t="shared" si="17"/>
        <v>0.50063153419643824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1090">
        <f>IF(t&gt;Tmaj,'2022'!Wh/'2022'!Env_an*'2023'!Env_an,0.001*'[3]mon-tableau (2)'!$B$54)</f>
        <v>5.6779999999999999</v>
      </c>
      <c r="C31" s="953"/>
      <c r="D31" s="393">
        <f t="shared" si="0"/>
        <v>5.8934044086253863</v>
      </c>
      <c r="E31" s="385">
        <f t="shared" si="1"/>
        <v>6.5450736727963452</v>
      </c>
      <c r="F31" s="385">
        <f t="shared" si="2"/>
        <v>6.5450736727963452</v>
      </c>
      <c r="G31" s="110">
        <f t="shared" si="21"/>
        <v>0.20264320184832907</v>
      </c>
      <c r="H31" s="412" t="b">
        <f>Wh_hp&gt;='2022'!Maxi_hp</f>
        <v>0</v>
      </c>
      <c r="I31" s="390">
        <f>IF(H31,Wh_hp,'2022'!Maxi_hp)</f>
        <v>21.487958895001182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3.6550081021103464E-2</v>
      </c>
      <c r="M31" s="957"/>
      <c r="N31" s="957"/>
      <c r="O31" s="48">
        <f>IF(t&lt;Tnet,'2022'!Resal+('2022'!Salim-'2022'!Resal)*(1-EXP(('2022'!Tnet-t)/('2022'!Tau_j))),Resal+(Salim-Resal)*(1-EXP((Tnet-t)/(Tau_j))))*Salcycl</f>
        <v>9.9566375681839722E-2</v>
      </c>
      <c r="P31" s="169">
        <f>(INDEX(Models!$BJ31:$BT31,,T31)*(1-R31)+INDEX(Models!$BJ31:$BT31,,T31+1)*R31-ERP_i)*Q31*Ramure*Pc/MaxiM</f>
        <v>3.5033996693253967E-3</v>
      </c>
      <c r="Q31" s="305">
        <f t="shared" si="4"/>
        <v>0.7</v>
      </c>
      <c r="R31" s="177">
        <f t="shared" si="5"/>
        <v>0.50068551808579242</v>
      </c>
      <c r="S31" s="919">
        <f t="shared" si="6"/>
        <v>0</v>
      </c>
      <c r="T31" s="176">
        <f t="shared" si="7"/>
        <v>6</v>
      </c>
      <c r="U31" s="251">
        <f t="shared" si="8"/>
        <v>0.50068551808579242</v>
      </c>
      <c r="V31" s="383">
        <f t="shared" si="9"/>
        <v>27.921527320282149</v>
      </c>
      <c r="W31" s="402">
        <f t="shared" si="10"/>
        <v>0</v>
      </c>
      <c r="X31" s="157">
        <f t="shared" si="11"/>
        <v>44943</v>
      </c>
      <c r="Y31" s="385">
        <f t="shared" si="12"/>
        <v>5.4712809915389213</v>
      </c>
      <c r="Z31" s="385">
        <f t="shared" si="22"/>
        <v>5.6788431694899177</v>
      </c>
      <c r="AA31" s="386">
        <f t="shared" si="13"/>
        <v>6.5450736727963452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0.13234847254764906</v>
      </c>
      <c r="AD31" s="231">
        <f>(INDEX(Models!$BJ31:$BT31,,AH31)*(1-AF31)+INDEX(Models!$BJ31:$BT31,,AH31+1)*AF31-ERP_i)*AE31*Ramure*Pc/MaxiM</f>
        <v>3.5033996693253967E-3</v>
      </c>
      <c r="AE31" s="305">
        <f t="shared" si="15"/>
        <v>0.7</v>
      </c>
      <c r="AF31" s="177">
        <f t="shared" si="23"/>
        <v>0.50068551808579242</v>
      </c>
      <c r="AG31" s="919">
        <f t="shared" si="24"/>
        <v>0</v>
      </c>
      <c r="AH31" s="176">
        <f t="shared" si="16"/>
        <v>6</v>
      </c>
      <c r="AI31" s="225">
        <f t="shared" si="17"/>
        <v>0.50068551808579242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1090">
        <f>IF(t&gt;Tmaj,'2022'!Wh/'2022'!Env_an*'2023'!Env_an,0.001*'[3]mon-tableau (2)'!$B$55)</f>
        <v>19.797000000000001</v>
      </c>
      <c r="C32" s="953"/>
      <c r="D32" s="393">
        <f t="shared" si="0"/>
        <v>20.548482307816332</v>
      </c>
      <c r="E32" s="385">
        <f t="shared" si="1"/>
        <v>22.823891049071619</v>
      </c>
      <c r="F32" s="385">
        <f t="shared" si="2"/>
        <v>22.868180747479382</v>
      </c>
      <c r="G32" s="110">
        <f t="shared" si="21"/>
        <v>0.70227637515421748</v>
      </c>
      <c r="H32" s="412" t="b">
        <f>Wh_hp&gt;='2022'!Maxi_hp</f>
        <v>0</v>
      </c>
      <c r="I32" s="390">
        <f>IF(H32,Wh_hp,'2022'!Maxi_hp)</f>
        <v>30.961638796552403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3.6571183046958056E-2</v>
      </c>
      <c r="M32" s="957"/>
      <c r="N32" s="957"/>
      <c r="O32" s="48">
        <f>IF(t&lt;Tnet,'2022'!Resal+('2022'!Salim-'2022'!Resal)*(1-EXP(('2022'!Tnet-t)/('2022'!Tau_j))),Resal+(Salim-Resal)*(1-EXP((Tnet-t)/(Tau_j))))*Salcycl</f>
        <v>9.969416417047966E-2</v>
      </c>
      <c r="P32" s="169">
        <f>(INDEX(Models!$BJ32:$BT32,,T32)*(1-R32)+INDEX(Models!$BJ32:$BT32,,T32+1)*R32-ERP_i)*Q32*Ramure*Pc/MaxiM</f>
        <v>3.3617231266553048E-3</v>
      </c>
      <c r="Q32" s="305">
        <f t="shared" si="4"/>
        <v>0.7</v>
      </c>
      <c r="R32" s="177">
        <f t="shared" si="5"/>
        <v>0.50074175429793411</v>
      </c>
      <c r="S32" s="919">
        <f t="shared" si="6"/>
        <v>0</v>
      </c>
      <c r="T32" s="176">
        <f t="shared" si="7"/>
        <v>6</v>
      </c>
      <c r="U32" s="251">
        <f t="shared" si="8"/>
        <v>0.50074175429793411</v>
      </c>
      <c r="V32" s="383">
        <f t="shared" si="9"/>
        <v>28.1495085798018</v>
      </c>
      <c r="W32" s="402">
        <f t="shared" si="10"/>
        <v>0</v>
      </c>
      <c r="X32" s="157">
        <f t="shared" si="11"/>
        <v>44944</v>
      </c>
      <c r="Y32" s="385">
        <f t="shared" si="12"/>
        <v>19.077321663647108</v>
      </c>
      <c r="Z32" s="385">
        <f t="shared" si="22"/>
        <v>19.8014854112226</v>
      </c>
      <c r="AA32" s="386">
        <f t="shared" si="13"/>
        <v>22.823891049071619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0.13242289105529007</v>
      </c>
      <c r="AD32" s="231">
        <f>(INDEX(Models!$BJ32:$BT32,,AH32)*(1-AF32)+INDEX(Models!$BJ32:$BT32,,AH32+1)*AF32-ERP_i)*AE32*Ramure*Pc/MaxiM</f>
        <v>3.3617231266553048E-3</v>
      </c>
      <c r="AE32" s="305">
        <f t="shared" si="15"/>
        <v>0.7</v>
      </c>
      <c r="AF32" s="177">
        <f t="shared" si="23"/>
        <v>0.50074175429793411</v>
      </c>
      <c r="AG32" s="919">
        <f t="shared" si="24"/>
        <v>0</v>
      </c>
      <c r="AH32" s="176">
        <f t="shared" si="16"/>
        <v>6</v>
      </c>
      <c r="AI32" s="225">
        <f t="shared" si="17"/>
        <v>0.50074175429793411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1090">
        <f>IF(t&gt;Tmaj,'2022'!Wh/'2022'!Env_an*'2023'!Env_an,0.001*'[3]mon-tableau (2)'!$B$56)</f>
        <v>8.9049999999999994</v>
      </c>
      <c r="C33" s="953"/>
      <c r="D33" s="393">
        <f t="shared" si="0"/>
        <v>9.2432309371748271</v>
      </c>
      <c r="E33" s="385">
        <f t="shared" si="1"/>
        <v>10.268224246995604</v>
      </c>
      <c r="F33" s="385">
        <f t="shared" si="2"/>
        <v>10.268873461469417</v>
      </c>
      <c r="G33" s="110">
        <f t="shared" si="21"/>
        <v>0.31275470141845202</v>
      </c>
      <c r="H33" s="412" t="b">
        <f>Wh_hp&gt;='2022'!Maxi_hp</f>
        <v>0</v>
      </c>
      <c r="I33" s="390">
        <f>IF(H33,Wh_hp,'2022'!Maxi_hp)</f>
        <v>32.578902251016416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3.6592284610624248E-2</v>
      </c>
      <c r="M33" s="957"/>
      <c r="N33" s="957"/>
      <c r="O33" s="48">
        <f>IF(t&lt;Tnet,'2022'!Resal+('2022'!Salim-'2022'!Resal)*(1-EXP(('2022'!Tnet-t)/('2022'!Tau_j))),Resal+(Salim-Resal)*(1-EXP((Tnet-t)/(Tau_j))))*Salcycl</f>
        <v>9.9821866484916491E-2</v>
      </c>
      <c r="P33" s="169">
        <f>(INDEX(Models!$BJ33:$BT33,,T33)*(1-R33)+INDEX(Models!$BJ33:$BT33,,T33+1)*R33-ERP_i)*Q33*Ramure*Pc/MaxiM</f>
        <v>3.2197022135380979E-3</v>
      </c>
      <c r="Q33" s="305">
        <f t="shared" si="4"/>
        <v>0.7</v>
      </c>
      <c r="R33" s="177">
        <f t="shared" si="5"/>
        <v>0.50080033626379494</v>
      </c>
      <c r="S33" s="919">
        <f t="shared" si="6"/>
        <v>0</v>
      </c>
      <c r="T33" s="176">
        <f t="shared" si="7"/>
        <v>6</v>
      </c>
      <c r="U33" s="251">
        <f t="shared" si="8"/>
        <v>0.50080033626379494</v>
      </c>
      <c r="V33" s="383">
        <f t="shared" si="9"/>
        <v>28.3829139021232</v>
      </c>
      <c r="W33" s="402">
        <f t="shared" si="10"/>
        <v>0</v>
      </c>
      <c r="X33" s="157">
        <f t="shared" si="11"/>
        <v>44945</v>
      </c>
      <c r="Y33" s="385">
        <f t="shared" si="12"/>
        <v>8.5817582033353279</v>
      </c>
      <c r="Z33" s="385">
        <f t="shared" si="22"/>
        <v>8.9077117260441305</v>
      </c>
      <c r="AA33" s="386">
        <f t="shared" si="13"/>
        <v>10.268224246995604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0.13249735185220057</v>
      </c>
      <c r="AD33" s="231">
        <f>(INDEX(Models!$BJ33:$BT33,,AH33)*(1-AF33)+INDEX(Models!$BJ33:$BT33,,AH33+1)*AF33-ERP_i)*AE33*Ramure*Pc/MaxiM</f>
        <v>3.2197022135380979E-3</v>
      </c>
      <c r="AE33" s="305">
        <f t="shared" si="15"/>
        <v>0.7</v>
      </c>
      <c r="AF33" s="177">
        <f t="shared" si="23"/>
        <v>0.50080033626379494</v>
      </c>
      <c r="AG33" s="919">
        <f t="shared" si="24"/>
        <v>0</v>
      </c>
      <c r="AH33" s="176">
        <f t="shared" si="16"/>
        <v>6</v>
      </c>
      <c r="AI33" s="225">
        <f t="shared" si="17"/>
        <v>0.50080033626379494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1090">
        <f>IF(t&gt;Tmaj,'2022'!Wh/'2022'!Env_an*'2023'!Env_an,0.001*'[3]mon-tableau (2)'!$B$57)</f>
        <v>17.123999999999999</v>
      </c>
      <c r="C34" s="953"/>
      <c r="D34" s="393">
        <f t="shared" si="0"/>
        <v>17.774795441451761</v>
      </c>
      <c r="E34" s="385">
        <f t="shared" si="1"/>
        <v>19.748664334700994</v>
      </c>
      <c r="F34" s="385">
        <f t="shared" si="2"/>
        <v>19.774595283033769</v>
      </c>
      <c r="G34" s="110">
        <f t="shared" si="21"/>
        <v>0.5972218912219629</v>
      </c>
      <c r="H34" s="412" t="b">
        <f>Wh_hp&gt;='2022'!Maxi_hp</f>
        <v>1</v>
      </c>
      <c r="I34" s="390">
        <f>IF(H34,Wh_hp,'2022'!Maxi_hp)</f>
        <v>19.774595283033769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3.6613385712112034E-2</v>
      </c>
      <c r="M34" s="957"/>
      <c r="N34" s="957"/>
      <c r="O34" s="48">
        <f>IF(t&lt;Tnet,'2022'!Resal+('2022'!Salim-'2022'!Resal)*(1-EXP(('2022'!Tnet-t)/('2022'!Tau_j))),Resal+(Salim-Resal)*(1-EXP((Tnet-t)/(Tau_j))))*Salcycl</f>
        <v>9.994948821834429E-2</v>
      </c>
      <c r="P34" s="169">
        <f>(INDEX(Models!$BJ34:$BT34,,T34)*(1-R34)+INDEX(Models!$BJ34:$BT34,,T34+1)*R34-ERP_i)*Q34*Ramure*Pc/MaxiM</f>
        <v>3.077406477409823E-3</v>
      </c>
      <c r="Q34" s="305">
        <f t="shared" si="4"/>
        <v>0.7</v>
      </c>
      <c r="R34" s="177">
        <f t="shared" si="5"/>
        <v>0.50086136124383762</v>
      </c>
      <c r="S34" s="919">
        <f t="shared" si="6"/>
        <v>0</v>
      </c>
      <c r="T34" s="176">
        <f t="shared" si="7"/>
        <v>6</v>
      </c>
      <c r="U34" s="251">
        <f t="shared" si="8"/>
        <v>0.50086136124383762</v>
      </c>
      <c r="V34" s="383">
        <f t="shared" si="9"/>
        <v>28.622055195709102</v>
      </c>
      <c r="W34" s="402">
        <f t="shared" si="10"/>
        <v>0</v>
      </c>
      <c r="X34" s="157">
        <f t="shared" si="11"/>
        <v>44946</v>
      </c>
      <c r="Y34" s="385">
        <f t="shared" si="12"/>
        <v>16.50333980717399</v>
      </c>
      <c r="Z34" s="385">
        <f t="shared" si="22"/>
        <v>17.130547136958985</v>
      </c>
      <c r="AA34" s="386">
        <f t="shared" si="13"/>
        <v>19.748664334700994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0.13257186174062582</v>
      </c>
      <c r="AD34" s="231">
        <f>(INDEX(Models!$BJ34:$BT34,,AH34)*(1-AF34)+INDEX(Models!$BJ34:$BT34,,AH34+1)*AF34-ERP_i)*AE34*Ramure*Pc/MaxiM</f>
        <v>3.077406477409823E-3</v>
      </c>
      <c r="AE34" s="305">
        <f t="shared" si="15"/>
        <v>0.7</v>
      </c>
      <c r="AF34" s="177">
        <f t="shared" si="23"/>
        <v>0.50086136124383762</v>
      </c>
      <c r="AG34" s="919">
        <f t="shared" si="24"/>
        <v>0</v>
      </c>
      <c r="AH34" s="176">
        <f t="shared" si="16"/>
        <v>6</v>
      </c>
      <c r="AI34" s="225">
        <f t="shared" si="17"/>
        <v>0.50086136124383762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1090">
        <f>IF(t&gt;Tmaj,'2022'!Wh/'2022'!Env_an*'2023'!Env_an,0.001*'[3]mon-tableau (2)'!$B$58)</f>
        <v>4.7679999999999998</v>
      </c>
      <c r="C35" s="953"/>
      <c r="D35" s="393">
        <f t="shared" si="0"/>
        <v>4.9493156361203781</v>
      </c>
      <c r="E35" s="385">
        <f t="shared" si="1"/>
        <v>5.499710340512026</v>
      </c>
      <c r="F35" s="385">
        <f t="shared" si="2"/>
        <v>5.499710340512026</v>
      </c>
      <c r="G35" s="110">
        <f t="shared" si="21"/>
        <v>0.16468514710071011</v>
      </c>
      <c r="H35" s="412" t="b">
        <f>Wh_hp&gt;='2022'!Maxi_hp</f>
        <v>0</v>
      </c>
      <c r="I35" s="390">
        <f>IF(H35,Wh_hp,'2022'!Maxi_hp)</f>
        <v>18.089681774090039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3.6634486351431517E-2</v>
      </c>
      <c r="M35" s="957"/>
      <c r="N35" s="957"/>
      <c r="O35" s="48">
        <f>IF(t&lt;Tnet,'2022'!Resal+('2022'!Salim-'2022'!Resal)*(1-EXP(('2022'!Tnet-t)/('2022'!Tau_j))),Resal+(Salim-Resal)*(1-EXP((Tnet-t)/(Tau_j))))*Salcycl</f>
        <v>0.10007703502806767</v>
      </c>
      <c r="P35" s="169">
        <f>(INDEX(Models!$BJ35:$BT35,,T35)*(1-R35)+INDEX(Models!$BJ35:$BT35,,T35+1)*R35-ERP_i)*Q35*Ramure*Pc/MaxiM</f>
        <v>2.9349153104506758E-3</v>
      </c>
      <c r="Q35" s="305">
        <f t="shared" si="4"/>
        <v>0.7</v>
      </c>
      <c r="R35" s="177">
        <f t="shared" si="5"/>
        <v>0.50092493048107378</v>
      </c>
      <c r="S35" s="919">
        <f t="shared" si="6"/>
        <v>0</v>
      </c>
      <c r="T35" s="176">
        <f t="shared" si="7"/>
        <v>6</v>
      </c>
      <c r="U35" s="251">
        <f t="shared" si="8"/>
        <v>0.50092493048107378</v>
      </c>
      <c r="V35" s="383">
        <f t="shared" si="9"/>
        <v>28.86724399555321</v>
      </c>
      <c r="W35" s="402">
        <f t="shared" si="10"/>
        <v>0</v>
      </c>
      <c r="X35" s="157">
        <f t="shared" si="11"/>
        <v>44947</v>
      </c>
      <c r="Y35" s="385">
        <f t="shared" si="12"/>
        <v>4.5954398256446707</v>
      </c>
      <c r="Z35" s="385">
        <f t="shared" si="22"/>
        <v>4.7701934110556783</v>
      </c>
      <c r="AA35" s="386">
        <f t="shared" si="13"/>
        <v>5.499710340512026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0.13264642759139003</v>
      </c>
      <c r="AD35" s="231">
        <f>(INDEX(Models!$BJ35:$BT35,,AH35)*(1-AF35)+INDEX(Models!$BJ35:$BT35,,AH35+1)*AF35-ERP_i)*AE35*Ramure*Pc/MaxiM</f>
        <v>2.9349153104506758E-3</v>
      </c>
      <c r="AE35" s="305">
        <f t="shared" si="15"/>
        <v>0.7</v>
      </c>
      <c r="AF35" s="177">
        <f t="shared" si="23"/>
        <v>0.50092493048107378</v>
      </c>
      <c r="AG35" s="919">
        <f t="shared" si="24"/>
        <v>0</v>
      </c>
      <c r="AH35" s="176">
        <f t="shared" si="16"/>
        <v>6</v>
      </c>
      <c r="AI35" s="225">
        <f t="shared" si="17"/>
        <v>0.50092493048107378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1090">
        <f>IF(t&gt;Tmaj,'2022'!Wh/'2022'!Env_an*'2023'!Env_an,0.001*'[3]mon-tableau (2)'!$B$59)</f>
        <v>28.271735863602522</v>
      </c>
      <c r="C36" s="953"/>
      <c r="D36" s="393">
        <f t="shared" si="0"/>
        <v>29.34748514472145</v>
      </c>
      <c r="E36" s="385">
        <f t="shared" si="1"/>
        <v>32.615728296999428</v>
      </c>
      <c r="F36" s="385">
        <f t="shared" si="2"/>
        <v>32.70325063636438</v>
      </c>
      <c r="G36" s="110">
        <f t="shared" si="21"/>
        <v>0.97079735911849574</v>
      </c>
      <c r="H36" s="412" t="b">
        <f>Wh_hp&gt;='2022'!Maxi_hp</f>
        <v>0</v>
      </c>
      <c r="I36" s="390">
        <f>IF(H36,Wh_hp,'2022'!Maxi_hp)</f>
        <v>32.705445690362119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3.6655586528592798E-2</v>
      </c>
      <c r="M36" s="957"/>
      <c r="N36" s="957"/>
      <c r="O36" s="48">
        <f>IF(t&lt;Tnet,'2022'!Resal+('2022'!Salim-'2022'!Resal)*(1-EXP(('2022'!Tnet-t)/('2022'!Tau_j))),Resal+(Salim-Resal)*(1-EXP((Tnet-t)/(Tau_j))))*Salcycl</f>
        <v>0.10020451245231426</v>
      </c>
      <c r="P36" s="169">
        <f>(INDEX(Models!$BJ36:$BT36,,T36)*(1-R36)+INDEX(Models!$BJ36:$BT36,,T36+1)*R36-ERP_i)*Q36*Ramure*Pc/MaxiM</f>
        <v>2.792296676016531E-3</v>
      </c>
      <c r="Q36" s="305">
        <f t="shared" si="4"/>
        <v>0.7</v>
      </c>
      <c r="R36" s="177">
        <f t="shared" si="5"/>
        <v>0.50099114935985589</v>
      </c>
      <c r="S36" s="919">
        <f t="shared" si="6"/>
        <v>0</v>
      </c>
      <c r="T36" s="176">
        <f t="shared" si="7"/>
        <v>6</v>
      </c>
      <c r="U36" s="251">
        <f t="shared" si="8"/>
        <v>0.50099114935985589</v>
      </c>
      <c r="V36" s="383">
        <f t="shared" si="9"/>
        <v>29.11879207616996</v>
      </c>
      <c r="W36" s="402">
        <f t="shared" si="10"/>
        <v>28.271735863602522</v>
      </c>
      <c r="X36" s="157">
        <f t="shared" si="11"/>
        <v>44948</v>
      </c>
      <c r="Y36" s="385">
        <f t="shared" si="12"/>
        <v>27.250060220682535</v>
      </c>
      <c r="Z36" s="385">
        <f t="shared" si="22"/>
        <v>28.286934391913963</v>
      </c>
      <c r="AA36" s="386">
        <f t="shared" si="13"/>
        <v>32.615728296999428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0.13272105610113583</v>
      </c>
      <c r="AD36" s="231">
        <f>(INDEX(Models!$BJ36:$BT36,,AH36)*(1-AF36)+INDEX(Models!$BJ36:$BT36,,AH36+1)*AF36-ERP_i)*AE36*Ramure*Pc/MaxiM</f>
        <v>2.792296676016531E-3</v>
      </c>
      <c r="AE36" s="305">
        <f t="shared" si="15"/>
        <v>0.7</v>
      </c>
      <c r="AF36" s="177">
        <f t="shared" si="23"/>
        <v>0.50099114935985589</v>
      </c>
      <c r="AG36" s="919">
        <f t="shared" si="24"/>
        <v>0</v>
      </c>
      <c r="AH36" s="176">
        <f t="shared" si="16"/>
        <v>6</v>
      </c>
      <c r="AI36" s="225">
        <f t="shared" si="17"/>
        <v>0.50099114935985589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1090">
        <f>IF(t&gt;Tmaj,'2022'!Wh/'2022'!Env_an*'2023'!Env_an,0.001*'[3]mon-tableau (2)'!$B$60)</f>
        <v>28.329750398433639</v>
      </c>
      <c r="C37" s="953"/>
      <c r="D37" s="393">
        <f t="shared" si="0"/>
        <v>29.408351270939647</v>
      </c>
      <c r="E37" s="385">
        <f t="shared" si="1"/>
        <v>32.688001399936731</v>
      </c>
      <c r="F37" s="385">
        <f t="shared" si="2"/>
        <v>32.770398716041974</v>
      </c>
      <c r="G37" s="110">
        <f t="shared" si="21"/>
        <v>0.96417323013415002</v>
      </c>
      <c r="H37" s="412" t="b">
        <f>Wh_hp&gt;='2022'!Maxi_hp</f>
        <v>0</v>
      </c>
      <c r="I37" s="390">
        <f>IF(H37,Wh_hp,'2022'!Maxi_hp)</f>
        <v>32.772948392052989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3.6676686243606094E-2</v>
      </c>
      <c r="M37" s="957"/>
      <c r="N37" s="957"/>
      <c r="O37" s="48">
        <f>IF(t&lt;Tnet,'2022'!Resal+('2022'!Salim-'2022'!Resal)*(1-EXP(('2022'!Tnet-t)/('2022'!Tau_j))),Resal+(Salim-Resal)*(1-EXP((Tnet-t)/(Tau_j))))*Salcycl</f>
        <v>0.10033192573845866</v>
      </c>
      <c r="P37" s="169">
        <f>(INDEX(Models!$BJ37:$BT37,,T37)*(1-R37)+INDEX(Models!$BJ37:$BT37,,T37+1)*R37-ERP_i)*Q37*Ramure*Pc/MaxiM</f>
        <v>2.6494920096434508E-3</v>
      </c>
      <c r="Q37" s="305">
        <f t="shared" si="4"/>
        <v>0.7</v>
      </c>
      <c r="R37" s="177">
        <f t="shared" si="5"/>
        <v>0.50106012757063323</v>
      </c>
      <c r="S37" s="919">
        <f t="shared" si="6"/>
        <v>0</v>
      </c>
      <c r="T37" s="176">
        <f t="shared" si="7"/>
        <v>6</v>
      </c>
      <c r="U37" s="251">
        <f t="shared" si="8"/>
        <v>0.50106012757063323</v>
      </c>
      <c r="V37" s="383">
        <f t="shared" si="9"/>
        <v>29.378448027054638</v>
      </c>
      <c r="W37" s="402">
        <f t="shared" si="10"/>
        <v>28.329750398433639</v>
      </c>
      <c r="X37" s="157">
        <f t="shared" si="11"/>
        <v>44949</v>
      </c>
      <c r="Y37" s="385">
        <f t="shared" si="12"/>
        <v>27.307493228667596</v>
      </c>
      <c r="Z37" s="385">
        <f t="shared" si="22"/>
        <v>28.347173621475481</v>
      </c>
      <c r="AA37" s="386">
        <f t="shared" si="13"/>
        <v>32.688001399936731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0.13279575356569989</v>
      </c>
      <c r="AD37" s="231">
        <f>(INDEX(Models!$BJ37:$BT37,,AH37)*(1-AF37)+INDEX(Models!$BJ37:$BT37,,AH37+1)*AF37-ERP_i)*AE37*Ramure*Pc/MaxiM</f>
        <v>2.6494920096434508E-3</v>
      </c>
      <c r="AE37" s="305">
        <f t="shared" si="15"/>
        <v>0.7</v>
      </c>
      <c r="AF37" s="177">
        <f t="shared" si="23"/>
        <v>0.50106012757063323</v>
      </c>
      <c r="AG37" s="919">
        <f t="shared" si="24"/>
        <v>0</v>
      </c>
      <c r="AH37" s="176">
        <f t="shared" si="16"/>
        <v>6</v>
      </c>
      <c r="AI37" s="225">
        <f t="shared" si="17"/>
        <v>0.50106012757063323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1090">
        <f>IF(t&gt;Tmaj,'2022'!Wh/'2022'!Env_an*'2023'!Env_an,0.001*'[3]mon-tableau (2)'!$B$61)</f>
        <v>28.597883623707276</v>
      </c>
      <c r="C38" s="953"/>
      <c r="D38" s="393">
        <f t="shared" si="0"/>
        <v>29.687343383142217</v>
      </c>
      <c r="E38" s="385">
        <f t="shared" si="1"/>
        <v>33.002778765504679</v>
      </c>
      <c r="F38" s="385">
        <f t="shared" si="2"/>
        <v>33.081641075753097</v>
      </c>
      <c r="G38" s="110">
        <f t="shared" si="21"/>
        <v>0.96449232558624565</v>
      </c>
      <c r="H38" s="412" t="b">
        <f>Wh_hp&gt;='2022'!Maxi_hp</f>
        <v>0</v>
      </c>
      <c r="I38" s="390">
        <f>IF(H38,Wh_hp,'2022'!Maxi_hp)</f>
        <v>33.084036887792983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3.6697785496481505E-2</v>
      </c>
      <c r="M38" s="957"/>
      <c r="N38" s="957"/>
      <c r="O38" s="48">
        <f>IF(t&lt;Tnet,'2022'!Resal+('2022'!Salim-'2022'!Resal)*(1-EXP(('2022'!Tnet-t)/('2022'!Tau_j))),Resal+(Salim-Resal)*(1-EXP((Tnet-t)/(Tau_j))))*Salcycl</f>
        <v>0.10045927968428643</v>
      </c>
      <c r="P38" s="169">
        <f>(INDEX(Models!$BJ38:$BT38,,T38)*(1-R38)+INDEX(Models!$BJ38:$BT38,,T38+1)*R38-ERP_i)*Q38*Ramure*Pc/MaxiM</f>
        <v>2.5107895955553123E-3</v>
      </c>
      <c r="Q38" s="305">
        <f t="shared" si="4"/>
        <v>0.7</v>
      </c>
      <c r="R38" s="177">
        <f t="shared" si="5"/>
        <v>0.50113197928086273</v>
      </c>
      <c r="S38" s="919">
        <f t="shared" si="6"/>
        <v>0</v>
      </c>
      <c r="T38" s="176">
        <f t="shared" si="7"/>
        <v>6</v>
      </c>
      <c r="U38" s="251">
        <f t="shared" si="8"/>
        <v>0.50113197928086273</v>
      </c>
      <c r="V38" s="383">
        <f t="shared" si="9"/>
        <v>29.646939163213666</v>
      </c>
      <c r="W38" s="402">
        <f t="shared" si="10"/>
        <v>28.597883623707276</v>
      </c>
      <c r="X38" s="157">
        <f t="shared" si="11"/>
        <v>44950</v>
      </c>
      <c r="Y38" s="385">
        <f t="shared" si="12"/>
        <v>27.567476639438905</v>
      </c>
      <c r="Z38" s="385">
        <f t="shared" si="22"/>
        <v>28.617682202305591</v>
      </c>
      <c r="AA38" s="386">
        <f t="shared" si="13"/>
        <v>33.002778765504679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0.13287052567168972</v>
      </c>
      <c r="AD38" s="231">
        <f>(INDEX(Models!$BJ38:$BT38,,AH38)*(1-AF38)+INDEX(Models!$BJ38:$BT38,,AH38+1)*AF38-ERP_i)*AE38*Ramure*Pc/MaxiM</f>
        <v>2.5107895955553123E-3</v>
      </c>
      <c r="AE38" s="305">
        <f t="shared" si="15"/>
        <v>0.7</v>
      </c>
      <c r="AF38" s="177">
        <f t="shared" si="23"/>
        <v>0.50113197928086273</v>
      </c>
      <c r="AG38" s="919">
        <f t="shared" si="24"/>
        <v>0</v>
      </c>
      <c r="AH38" s="176">
        <f t="shared" si="16"/>
        <v>6</v>
      </c>
      <c r="AI38" s="225">
        <f t="shared" si="17"/>
        <v>0.50113197928086273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1090">
        <f>IF(t&gt;Tmaj,'2022'!Wh/'2022'!Env_an*'2023'!Env_an,0.001*'[3]mon-tableau (2)'!$B$62)</f>
        <v>28.169349517047515</v>
      </c>
      <c r="C39" s="953"/>
      <c r="D39" s="393">
        <f t="shared" si="0"/>
        <v>29.243124418777654</v>
      </c>
      <c r="E39" s="385">
        <f t="shared" si="1"/>
        <v>32.513551298583415</v>
      </c>
      <c r="F39" s="385">
        <f t="shared" si="2"/>
        <v>32.584570382487676</v>
      </c>
      <c r="G39" s="110">
        <f t="shared" si="21"/>
        <v>0.94120155305479303</v>
      </c>
      <c r="H39" s="412" t="b">
        <f>Wh_hp&gt;='2022'!Maxi_hp</f>
        <v>0</v>
      </c>
      <c r="I39" s="390">
        <f>IF(H39,Wh_hp,'2022'!Maxi_hp)</f>
        <v>32.588227286146612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3.6718884287229026E-2</v>
      </c>
      <c r="M39" s="957"/>
      <c r="N39" s="957"/>
      <c r="O39" s="48">
        <f>IF(t&lt;Tnet,'2022'!Resal+('2022'!Salim-'2022'!Resal)*(1-EXP(('2022'!Tnet-t)/('2022'!Tau_j))),Resal+(Salim-Resal)*(1-EXP((Tnet-t)/(Tau_j))))*Salcycl</f>
        <v>0.10058657849375713</v>
      </c>
      <c r="P39" s="169">
        <f>(INDEX(Models!$BJ39:$BT39,,T39)*(1-R39)+INDEX(Models!$BJ39:$BT39,,T39+1)*R39-ERP_i)*Q39*Ramure*Pc/MaxiM</f>
        <v>2.378697906500611E-3</v>
      </c>
      <c r="Q39" s="305">
        <f t="shared" si="4"/>
        <v>0.7</v>
      </c>
      <c r="R39" s="177">
        <f t="shared" si="5"/>
        <v>0.50120682331227095</v>
      </c>
      <c r="S39" s="919">
        <f t="shared" si="6"/>
        <v>0</v>
      </c>
      <c r="T39" s="176">
        <f t="shared" si="7"/>
        <v>6</v>
      </c>
      <c r="U39" s="251">
        <f t="shared" si="8"/>
        <v>0.50120682331227095</v>
      </c>
      <c r="V39" s="383">
        <f t="shared" si="9"/>
        <v>29.92316233538229</v>
      </c>
      <c r="W39" s="402">
        <f t="shared" si="10"/>
        <v>28.169349517047515</v>
      </c>
      <c r="X39" s="157">
        <f t="shared" si="11"/>
        <v>44951</v>
      </c>
      <c r="Y39" s="385">
        <f t="shared" si="12"/>
        <v>27.155881970358912</v>
      </c>
      <c r="Z39" s="385">
        <f t="shared" si="22"/>
        <v>28.191024953567336</v>
      </c>
      <c r="AA39" s="386">
        <f t="shared" si="13"/>
        <v>32.513551298583415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0.13294537730808897</v>
      </c>
      <c r="AD39" s="231">
        <f>(INDEX(Models!$BJ39:$BT39,,AH39)*(1-AF39)+INDEX(Models!$BJ39:$BT39,,AH39+1)*AF39-ERP_i)*AE39*Ramure*Pc/MaxiM</f>
        <v>2.378697906500611E-3</v>
      </c>
      <c r="AE39" s="305">
        <f t="shared" si="15"/>
        <v>0.7</v>
      </c>
      <c r="AF39" s="177">
        <f t="shared" si="23"/>
        <v>0.50120682331227095</v>
      </c>
      <c r="AG39" s="919">
        <f t="shared" si="24"/>
        <v>0</v>
      </c>
      <c r="AH39" s="176">
        <f t="shared" si="16"/>
        <v>6</v>
      </c>
      <c r="AI39" s="225">
        <f t="shared" si="17"/>
        <v>0.50120682331227095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1090">
        <f>IF(t&gt;Tmaj,'2022'!Wh/'2022'!Env_an*'2023'!Env_an,0.001*'[3]mon-tableau (2)'!$B$63)</f>
        <v>28.896518465947409</v>
      </c>
      <c r="C40" s="953"/>
      <c r="D40" s="393">
        <f t="shared" si="0"/>
        <v>29.998669045165705</v>
      </c>
      <c r="E40" s="385">
        <f t="shared" si="1"/>
        <v>33.35831229341435</v>
      </c>
      <c r="F40" s="385">
        <f t="shared" si="2"/>
        <v>33.428969926149215</v>
      </c>
      <c r="G40" s="110">
        <f t="shared" si="21"/>
        <v>0.95651174225585855</v>
      </c>
      <c r="H40" s="412" t="b">
        <f>Wh_hp&gt;='2022'!Maxi_hp</f>
        <v>0</v>
      </c>
      <c r="I40" s="390">
        <f>IF(H40,Wh_hp,'2022'!Maxi_hp)</f>
        <v>33.431556002273844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3.6739982615858979E-2</v>
      </c>
      <c r="M40" s="957"/>
      <c r="N40" s="957"/>
      <c r="O40" s="48">
        <f>IF(t&lt;Tnet,'2022'!Resal+('2022'!Salim-'2022'!Resal)*(1-EXP(('2022'!Tnet-t)/('2022'!Tau_j))),Resal+(Salim-Resal)*(1-EXP((Tnet-t)/(Tau_j))))*Salcycl</f>
        <v>0.10071382564854482</v>
      </c>
      <c r="P40" s="169">
        <f>(INDEX(Models!$BJ40:$BT40,,T40)*(1-R40)+INDEX(Models!$BJ40:$BT40,,T40+1)*R40-ERP_i)*Q40*Ramure*Pc/MaxiM</f>
        <v>2.2532176151448154E-3</v>
      </c>
      <c r="Q40" s="305">
        <f t="shared" si="4"/>
        <v>0.7</v>
      </c>
      <c r="R40" s="177">
        <f t="shared" si="5"/>
        <v>0.50128478332466364</v>
      </c>
      <c r="S40" s="919">
        <f t="shared" si="6"/>
        <v>0</v>
      </c>
      <c r="T40" s="176">
        <f t="shared" si="7"/>
        <v>6</v>
      </c>
      <c r="U40" s="251">
        <f t="shared" si="8"/>
        <v>0.50128478332466364</v>
      </c>
      <c r="V40" s="383">
        <f t="shared" si="9"/>
        <v>30.206087446438882</v>
      </c>
      <c r="W40" s="402">
        <f t="shared" si="10"/>
        <v>28.896518465947409</v>
      </c>
      <c r="X40" s="157">
        <f t="shared" si="11"/>
        <v>44952</v>
      </c>
      <c r="Y40" s="385">
        <f t="shared" si="12"/>
        <v>27.858422899048019</v>
      </c>
      <c r="Z40" s="385">
        <f t="shared" si="22"/>
        <v>28.920979171025103</v>
      </c>
      <c r="AA40" s="386">
        <f t="shared" si="13"/>
        <v>33.35831229341435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0.13302031239947579</v>
      </c>
      <c r="AD40" s="231">
        <f>(INDEX(Models!$BJ40:$BT40,,AH40)*(1-AF40)+INDEX(Models!$BJ40:$BT40,,AH40+1)*AF40-ERP_i)*AE40*Ramure*Pc/MaxiM</f>
        <v>2.2532176151448154E-3</v>
      </c>
      <c r="AE40" s="305">
        <f t="shared" si="15"/>
        <v>0.7</v>
      </c>
      <c r="AF40" s="177">
        <f t="shared" si="23"/>
        <v>0.50128478332466364</v>
      </c>
      <c r="AG40" s="919">
        <f t="shared" si="24"/>
        <v>0</v>
      </c>
      <c r="AH40" s="176">
        <f t="shared" si="16"/>
        <v>6</v>
      </c>
      <c r="AI40" s="225">
        <f t="shared" si="17"/>
        <v>0.50128478332466364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1090">
        <f>IF(t&gt;Tmaj,'2022'!Wh/'2022'!Env_an*'2023'!Env_an,0.001*'[3]mon-tableau (2)'!$B$64)</f>
        <v>28.632573296418222</v>
      </c>
      <c r="C41" s="953"/>
      <c r="D41" s="393">
        <f t="shared" si="0"/>
        <v>29.725307726100972</v>
      </c>
      <c r="E41" s="385">
        <f t="shared" si="1"/>
        <v>33.059012380221915</v>
      </c>
      <c r="F41" s="385">
        <f t="shared" si="2"/>
        <v>33.123541597200926</v>
      </c>
      <c r="G41" s="110">
        <f t="shared" si="21"/>
        <v>0.93876135575542718</v>
      </c>
      <c r="H41" s="412" t="b">
        <f>Wh_hp&gt;='2022'!Maxi_hp</f>
        <v>0</v>
      </c>
      <c r="I41" s="390">
        <f>IF(H41,Wh_hp,'2022'!Maxi_hp)</f>
        <v>33.12688956731003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3.6761080482381359E-2</v>
      </c>
      <c r="M41" s="957"/>
      <c r="N41" s="957"/>
      <c r="O41" s="48">
        <f>IF(t&lt;Tnet,'2022'!Resal+('2022'!Salim-'2022'!Resal)*(1-EXP(('2022'!Tnet-t)/('2022'!Tau_j))),Resal+(Salim-Resal)*(1-EXP((Tnet-t)/(Tau_j))))*Salcycl</f>
        <v>0.10084102379644549</v>
      </c>
      <c r="P41" s="169">
        <f>(INDEX(Models!$BJ41:$BT41,,T41)*(1-R41)+INDEX(Models!$BJ41:$BT41,,T41+1)*R41-ERP_i)*Q41*Ramure*Pc/MaxiM</f>
        <v>2.1343221065696712E-3</v>
      </c>
      <c r="Q41" s="305">
        <f t="shared" si="4"/>
        <v>0.7</v>
      </c>
      <c r="R41" s="177">
        <f t="shared" si="5"/>
        <v>0.50136598800648535</v>
      </c>
      <c r="S41" s="919">
        <f t="shared" si="6"/>
        <v>0</v>
      </c>
      <c r="T41" s="176">
        <f t="shared" si="7"/>
        <v>6</v>
      </c>
      <c r="U41" s="251">
        <f t="shared" si="8"/>
        <v>0.50136598800648535</v>
      </c>
      <c r="V41" s="383">
        <f t="shared" si="9"/>
        <v>30.494685122929685</v>
      </c>
      <c r="W41" s="402">
        <f t="shared" si="10"/>
        <v>28.632573296418222</v>
      </c>
      <c r="X41" s="157">
        <f t="shared" si="11"/>
        <v>44953</v>
      </c>
      <c r="Y41" s="385">
        <f t="shared" si="12"/>
        <v>27.605475843508906</v>
      </c>
      <c r="Z41" s="385">
        <f t="shared" si="22"/>
        <v>28.659012093628316</v>
      </c>
      <c r="AA41" s="386">
        <f t="shared" si="13"/>
        <v>33.059012380221915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0.13309533376217761</v>
      </c>
      <c r="AD41" s="231">
        <f>(INDEX(Models!$BJ41:$BT41,,AH41)*(1-AF41)+INDEX(Models!$BJ41:$BT41,,AH41+1)*AF41-ERP_i)*AE41*Ramure*Pc/MaxiM</f>
        <v>2.1343221065696712E-3</v>
      </c>
      <c r="AE41" s="305">
        <f t="shared" si="15"/>
        <v>0.7</v>
      </c>
      <c r="AF41" s="177">
        <f t="shared" si="23"/>
        <v>0.50136598800648535</v>
      </c>
      <c r="AG41" s="919">
        <f t="shared" si="24"/>
        <v>0</v>
      </c>
      <c r="AH41" s="176">
        <f t="shared" si="16"/>
        <v>6</v>
      </c>
      <c r="AI41" s="225">
        <f t="shared" si="17"/>
        <v>0.50136598800648535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1090">
        <f>IF(t&gt;Tmaj,'2022'!Wh/'2022'!Env_an*'2023'!Env_an,0.001*'[3]mon-tableau (2)'!$B$65)</f>
        <v>3.8791196288629544</v>
      </c>
      <c r="C42" s="953"/>
      <c r="D42" s="393">
        <f t="shared" si="0"/>
        <v>4.0272506797606731</v>
      </c>
      <c r="E42" s="385">
        <f t="shared" si="1"/>
        <v>4.4795418429449052</v>
      </c>
      <c r="F42" s="385">
        <f t="shared" si="2"/>
        <v>4.4795418429449052</v>
      </c>
      <c r="G42" s="110">
        <f t="shared" si="21"/>
        <v>0.12574007449631647</v>
      </c>
      <c r="H42" s="412" t="b">
        <f>Wh_hp&gt;='2022'!Maxi_hp</f>
        <v>0</v>
      </c>
      <c r="I42" s="390">
        <f>IF(H42,Wh_hp,'2022'!Maxi_hp)</f>
        <v>17.427879917759782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3.6782177886806267E-2</v>
      </c>
      <c r="M42" s="957"/>
      <c r="N42" s="957"/>
      <c r="O42" s="48">
        <f>IF(t&lt;Tnet,'2022'!Resal+('2022'!Salim-'2022'!Resal)*(1-EXP(('2022'!Tnet-t)/('2022'!Tau_j))),Resal+(Salim-Resal)*(1-EXP((Tnet-t)/(Tau_j))))*Salcycl</f>
        <v>0.10096817465754278</v>
      </c>
      <c r="P42" s="169">
        <f>(INDEX(Models!$BJ42:$BT42,,T42)*(1-R42)+INDEX(Models!$BJ42:$BT42,,T42+1)*R42-ERP_i)*Q42*Ramure*Pc/MaxiM</f>
        <v>2.0219610792245914E-3</v>
      </c>
      <c r="Q42" s="305">
        <f t="shared" si="4"/>
        <v>0.7</v>
      </c>
      <c r="R42" s="177">
        <f t="shared" si="5"/>
        <v>0.50145057127233128</v>
      </c>
      <c r="S42" s="919">
        <f t="shared" si="6"/>
        <v>0</v>
      </c>
      <c r="T42" s="176">
        <f t="shared" si="7"/>
        <v>6</v>
      </c>
      <c r="U42" s="251">
        <f t="shared" si="8"/>
        <v>0.50145057127233128</v>
      </c>
      <c r="V42" s="383">
        <f t="shared" si="9"/>
        <v>30.787926724706573</v>
      </c>
      <c r="W42" s="402">
        <f t="shared" si="10"/>
        <v>3.8791196288629544</v>
      </c>
      <c r="X42" s="157">
        <f t="shared" si="11"/>
        <v>44954</v>
      </c>
      <c r="Y42" s="385">
        <f t="shared" si="12"/>
        <v>3.7401741014194529</v>
      </c>
      <c r="Z42" s="385">
        <f t="shared" si="22"/>
        <v>3.8829992713526864</v>
      </c>
      <c r="AA42" s="386">
        <f t="shared" si="13"/>
        <v>4.4795418429449052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0.13317044298442013</v>
      </c>
      <c r="AD42" s="231">
        <f>(INDEX(Models!$BJ42:$BT42,,AH42)*(1-AF42)+INDEX(Models!$BJ42:$BT42,,AH42+1)*AF42-ERP_i)*AE42*Ramure*Pc/MaxiM</f>
        <v>2.0219610792245914E-3</v>
      </c>
      <c r="AE42" s="305">
        <f t="shared" si="15"/>
        <v>0.7</v>
      </c>
      <c r="AF42" s="177">
        <f t="shared" si="23"/>
        <v>0.50145057127233128</v>
      </c>
      <c r="AG42" s="919">
        <f t="shared" si="24"/>
        <v>0</v>
      </c>
      <c r="AH42" s="176">
        <f t="shared" si="16"/>
        <v>6</v>
      </c>
      <c r="AI42" s="225">
        <f t="shared" si="17"/>
        <v>0.50145057127233128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1090">
        <f>IF(t&gt;Tmaj,'2022'!Wh/'2022'!Env_an*'2023'!Env_an,0.001*'[3]mon-tableau (2)'!$B$66)</f>
        <v>5.7669740789203727</v>
      </c>
      <c r="C43" s="953"/>
      <c r="D43" s="393">
        <f t="shared" si="0"/>
        <v>5.987327332220115</v>
      </c>
      <c r="E43" s="385">
        <f t="shared" si="1"/>
        <v>6.6606918308522536</v>
      </c>
      <c r="F43" s="385">
        <f t="shared" si="2"/>
        <v>6.6606918308522536</v>
      </c>
      <c r="G43" s="110">
        <f t="shared" si="21"/>
        <v>0.18516854180984571</v>
      </c>
      <c r="H43" s="412" t="b">
        <f>Wh_hp&gt;='2022'!Maxi_hp</f>
        <v>0</v>
      </c>
      <c r="I43" s="390">
        <f>IF(H43,Wh_hp,'2022'!Maxi_hp)</f>
        <v>22.511927090396647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3.6803274829143917E-2</v>
      </c>
      <c r="M43" s="957"/>
      <c r="N43" s="957"/>
      <c r="O43" s="48">
        <f>IF(t&lt;Tnet,'2022'!Resal+('2022'!Salim-'2022'!Resal)*(1-EXP(('2022'!Tnet-t)/('2022'!Tau_j))),Resal+(Salim-Resal)*(1-EXP((Tnet-t)/(Tau_j))))*Salcycl</f>
        <v>0.10109527894882053</v>
      </c>
      <c r="P43" s="169">
        <f>(INDEX(Models!$BJ43:$BT43,,T43)*(1-R43)+INDEX(Models!$BJ43:$BT43,,T43+1)*R43-ERP_i)*Q43*Ramure*Pc/MaxiM</f>
        <v>1.9160639936484207E-3</v>
      </c>
      <c r="Q43" s="305">
        <f t="shared" si="4"/>
        <v>0.7</v>
      </c>
      <c r="R43" s="177">
        <f t="shared" si="5"/>
        <v>0.50153867246761652</v>
      </c>
      <c r="S43" s="919">
        <f t="shared" si="6"/>
        <v>0</v>
      </c>
      <c r="T43" s="176">
        <f t="shared" si="7"/>
        <v>6</v>
      </c>
      <c r="U43" s="251">
        <f t="shared" si="8"/>
        <v>0.50153867246761652</v>
      </c>
      <c r="V43" s="383">
        <f t="shared" si="9"/>
        <v>31.084784333649694</v>
      </c>
      <c r="W43" s="402">
        <f t="shared" si="10"/>
        <v>5.7669740789203727</v>
      </c>
      <c r="X43" s="157">
        <f t="shared" si="11"/>
        <v>44955</v>
      </c>
      <c r="Y43" s="385">
        <f t="shared" si="12"/>
        <v>5.5607116170839168</v>
      </c>
      <c r="Z43" s="385">
        <f t="shared" si="22"/>
        <v>5.7731836828011778</v>
      </c>
      <c r="AA43" s="386">
        <f t="shared" si="13"/>
        <v>6.6606918308522536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0.13324564033125616</v>
      </c>
      <c r="AD43" s="231">
        <f>(INDEX(Models!$BJ43:$BT43,,AH43)*(1-AF43)+INDEX(Models!$BJ43:$BT43,,AH43+1)*AF43-ERP_i)*AE43*Ramure*Pc/MaxiM</f>
        <v>1.9160639936484207E-3</v>
      </c>
      <c r="AE43" s="305">
        <f t="shared" si="15"/>
        <v>0.7</v>
      </c>
      <c r="AF43" s="177">
        <f t="shared" si="23"/>
        <v>0.50153867246761652</v>
      </c>
      <c r="AG43" s="919">
        <f t="shared" si="24"/>
        <v>0</v>
      </c>
      <c r="AH43" s="176">
        <f t="shared" si="16"/>
        <v>6</v>
      </c>
      <c r="AI43" s="225">
        <f t="shared" si="17"/>
        <v>0.50153867246761652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1090">
        <f>IF(t&gt;Tmaj,'2022'!Wh/'2022'!Env_an*'2023'!Env_an,0.001*'[3]mon-tableau (2)'!$B$67)</f>
        <v>4.7288799003391642</v>
      </c>
      <c r="C44" s="953"/>
      <c r="D44" s="393">
        <f t="shared" si="0"/>
        <v>4.9096756183167916</v>
      </c>
      <c r="E44" s="385">
        <f t="shared" si="1"/>
        <v>5.4626141889824718</v>
      </c>
      <c r="F44" s="385">
        <f t="shared" si="2"/>
        <v>5.4626141889824718</v>
      </c>
      <c r="G44" s="110">
        <f t="shared" si="21"/>
        <v>0.15040323023392299</v>
      </c>
      <c r="H44" s="412" t="b">
        <f>Wh_hp&gt;='2022'!Maxi_hp</f>
        <v>0</v>
      </c>
      <c r="I44" s="390">
        <f>IF(H44,Wh_hp,'2022'!Maxi_hp)</f>
        <v>10.423685229998675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3.6824371309404413E-2</v>
      </c>
      <c r="M44" s="957"/>
      <c r="N44" s="957"/>
      <c r="O44" s="48">
        <f>IF(t&lt;Tnet,'2022'!Resal+('2022'!Salim-'2022'!Resal)*(1-EXP(('2022'!Tnet-t)/('2022'!Tau_j))),Resal+(Salim-Resal)*(1-EXP((Tnet-t)/(Tau_j))))*Salcycl</f>
        <v>0.10122233632770564</v>
      </c>
      <c r="P44" s="169">
        <f>(INDEX(Models!$BJ44:$BT44,,T44)*(1-R44)+INDEX(Models!$BJ44:$BT44,,T44+1)*R44-ERP_i)*Q44*Ramure*Pc/MaxiM</f>
        <v>1.8204972776104883E-3</v>
      </c>
      <c r="Q44" s="305">
        <f t="shared" si="4"/>
        <v>0.7</v>
      </c>
      <c r="R44" s="177">
        <f t="shared" si="5"/>
        <v>0.50163043658061002</v>
      </c>
      <c r="S44" s="919">
        <f t="shared" si="6"/>
        <v>0</v>
      </c>
      <c r="T44" s="176">
        <f t="shared" si="7"/>
        <v>6</v>
      </c>
      <c r="U44" s="251">
        <f t="shared" si="8"/>
        <v>0.50163043658061002</v>
      </c>
      <c r="V44" s="383">
        <f t="shared" si="9"/>
        <v>31.384106445140745</v>
      </c>
      <c r="W44" s="402">
        <f t="shared" si="10"/>
        <v>4.7288799003391642</v>
      </c>
      <c r="X44" s="157">
        <f t="shared" si="11"/>
        <v>44956</v>
      </c>
      <c r="Y44" s="385">
        <f t="shared" si="12"/>
        <v>4.5599945626199609</v>
      </c>
      <c r="Z44" s="385">
        <f t="shared" si="22"/>
        <v>4.7343334141657198</v>
      </c>
      <c r="AA44" s="386">
        <f t="shared" si="13"/>
        <v>5.4626141889824718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0.13332092467478646</v>
      </c>
      <c r="AD44" s="231">
        <f>(INDEX(Models!$BJ44:$BT44,,AH44)*(1-AF44)+INDEX(Models!$BJ44:$BT44,,AH44+1)*AF44-ERP_i)*AE44*Ramure*Pc/MaxiM</f>
        <v>1.8204972776104883E-3</v>
      </c>
      <c r="AE44" s="305">
        <f t="shared" si="15"/>
        <v>0.7</v>
      </c>
      <c r="AF44" s="177">
        <f t="shared" si="23"/>
        <v>0.50163043658061002</v>
      </c>
      <c r="AG44" s="919">
        <f t="shared" si="24"/>
        <v>0</v>
      </c>
      <c r="AH44" s="176">
        <f t="shared" si="16"/>
        <v>6</v>
      </c>
      <c r="AI44" s="225">
        <f t="shared" si="17"/>
        <v>0.50163043658061002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1090">
        <f>IF(t&gt;Tmaj,'2022'!Wh/'2022'!Env_an*'2023'!Env_an,0.001*'[3]mon-tableau (2)'!$B$68)</f>
        <v>6.4887334886635992</v>
      </c>
      <c r="C45" s="953"/>
      <c r="D45" s="393">
        <f t="shared" si="0"/>
        <v>6.736959925485408</v>
      </c>
      <c r="E45" s="385">
        <f t="shared" si="1"/>
        <v>7.4967507013561052</v>
      </c>
      <c r="F45" s="385">
        <f t="shared" si="2"/>
        <v>7.4967507013561052</v>
      </c>
      <c r="G45" s="110">
        <f t="shared" si="21"/>
        <v>0.2044343536994376</v>
      </c>
      <c r="H45" s="412" t="b">
        <f>Wh_hp&gt;='2022'!Maxi_hp</f>
        <v>0</v>
      </c>
      <c r="I45" s="390">
        <f>IF(H45,Wh_hp,'2022'!Maxi_hp)</f>
        <v>26.210661022055326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3.6845467327597858E-2</v>
      </c>
      <c r="M45" s="957"/>
      <c r="N45" s="957"/>
      <c r="O45" s="48">
        <f>IF(t&lt;Tnet,'2022'!Resal+('2022'!Salim-'2022'!Resal)*(1-EXP(('2022'!Tnet-t)/('2022'!Tau_j))),Resal+(Salim-Resal)*(1-EXP((Tnet-t)/(Tau_j))))*Salcycl</f>
        <v>0.1013493453548158</v>
      </c>
      <c r="P45" s="169">
        <f>(INDEX(Models!$BJ45:$BT45,,T45)*(1-R45)+INDEX(Models!$BJ45:$BT45,,T45+1)*R45-ERP_i)*Q45*Ramure*Pc/MaxiM</f>
        <v>1.7345269001082094E-3</v>
      </c>
      <c r="Q45" s="305">
        <f t="shared" si="4"/>
        <v>0.7</v>
      </c>
      <c r="R45" s="177">
        <f t="shared" si="5"/>
        <v>0.50172601446204013</v>
      </c>
      <c r="S45" s="919">
        <f t="shared" si="6"/>
        <v>0</v>
      </c>
      <c r="T45" s="176">
        <f t="shared" si="7"/>
        <v>6</v>
      </c>
      <c r="U45" s="251">
        <f t="shared" si="8"/>
        <v>0.50172601446204013</v>
      </c>
      <c r="V45" s="383">
        <f t="shared" si="9"/>
        <v>31.684883135655195</v>
      </c>
      <c r="W45" s="402">
        <f t="shared" si="10"/>
        <v>6.4887334886635992</v>
      </c>
      <c r="X45" s="157">
        <f t="shared" si="11"/>
        <v>44957</v>
      </c>
      <c r="Y45" s="385">
        <f t="shared" si="12"/>
        <v>6.257337557175406</v>
      </c>
      <c r="Z45" s="385">
        <f t="shared" si="22"/>
        <v>6.4967119448771937</v>
      </c>
      <c r="AA45" s="386">
        <f t="shared" si="13"/>
        <v>7.4967507013561052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0.13339629344990925</v>
      </c>
      <c r="AD45" s="231">
        <f>(INDEX(Models!$BJ45:$BT45,,AH45)*(1-AF45)+INDEX(Models!$BJ45:$BT45,,AH45+1)*AF45-ERP_i)*AE45*Ramure*Pc/MaxiM</f>
        <v>1.7345269001082094E-3</v>
      </c>
      <c r="AE45" s="305">
        <f t="shared" si="15"/>
        <v>0.7</v>
      </c>
      <c r="AF45" s="177">
        <f t="shared" si="23"/>
        <v>0.50172601446204013</v>
      </c>
      <c r="AG45" s="919">
        <f t="shared" si="24"/>
        <v>0</v>
      </c>
      <c r="AH45" s="176">
        <f t="shared" si="16"/>
        <v>6</v>
      </c>
      <c r="AI45" s="225">
        <f t="shared" si="17"/>
        <v>0.50172601446204013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1090">
        <f>IF(t&gt;Tmaj,'2022'!Wh/'2022'!Env_an*'2023'!Env_an,0.001*'[4]mon-tableau'!$B$35)</f>
        <v>13.424275033627797</v>
      </c>
      <c r="C46" s="953"/>
      <c r="D46" s="393">
        <f t="shared" si="0"/>
        <v>13.938125825868584</v>
      </c>
      <c r="E46" s="385">
        <f t="shared" si="1"/>
        <v>15.512251796796125</v>
      </c>
      <c r="F46" s="385">
        <f t="shared" si="2"/>
        <v>15.516650584791371</v>
      </c>
      <c r="G46" s="110">
        <f t="shared" si="21"/>
        <v>0.41911403506278566</v>
      </c>
      <c r="H46" s="412" t="b">
        <f>Wh_hp&gt;='2022'!Maxi_hp</f>
        <v>0</v>
      </c>
      <c r="I46" s="390">
        <f>IF(H46,Wh_hp,'2022'!Maxi_hp)</f>
        <v>29.47119267155292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3.6866562883734355E-2</v>
      </c>
      <c r="M46" s="957"/>
      <c r="N46" s="957"/>
      <c r="O46" s="48">
        <f>IF(t&lt;Tnet,'2022'!Resal+('2022'!Salim-'2022'!Resal)*(1-EXP(('2022'!Tnet-t)/('2022'!Tau_j))),Resal+(Salim-Resal)*(1-EXP((Tnet-t)/(Tau_j))))*Salcycl</f>
        <v>0.10147630347598274</v>
      </c>
      <c r="P46" s="169">
        <f>(INDEX(Models!$BJ46:$BT46,,T46)*(1-R46)+INDEX(Models!$BJ46:$BT46,,T46+1)*R46-ERP_i)*Q46*Ramure*Pc/MaxiM</f>
        <v>1.65794997044631E-3</v>
      </c>
      <c r="Q46" s="305">
        <f t="shared" si="4"/>
        <v>0.7</v>
      </c>
      <c r="R46" s="177">
        <f t="shared" si="5"/>
        <v>0.50182556305248061</v>
      </c>
      <c r="S46" s="919">
        <f t="shared" si="6"/>
        <v>0</v>
      </c>
      <c r="T46" s="176">
        <f t="shared" si="7"/>
        <v>6</v>
      </c>
      <c r="U46" s="251">
        <f t="shared" si="8"/>
        <v>0.50182556305248061</v>
      </c>
      <c r="V46" s="383">
        <f t="shared" si="9"/>
        <v>31.986088576549413</v>
      </c>
      <c r="W46" s="402">
        <f t="shared" si="10"/>
        <v>13.424275033627797</v>
      </c>
      <c r="X46" s="157">
        <f t="shared" si="11"/>
        <v>44958</v>
      </c>
      <c r="Y46" s="385">
        <f t="shared" si="12"/>
        <v>12.946251385769045</v>
      </c>
      <c r="Z46" s="385">
        <f t="shared" si="22"/>
        <v>13.441804517276069</v>
      </c>
      <c r="AA46" s="386">
        <f t="shared" si="13"/>
        <v>15.512251796796125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0.13347174263556524</v>
      </c>
      <c r="AD46" s="231">
        <f>(INDEX(Models!$BJ46:$BT46,,AH46)*(1-AF46)+INDEX(Models!$BJ46:$BT46,,AH46+1)*AF46-ERP_i)*AE46*Ramure*Pc/MaxiM</f>
        <v>1.65794997044631E-3</v>
      </c>
      <c r="AE46" s="305">
        <f t="shared" si="15"/>
        <v>0.7</v>
      </c>
      <c r="AF46" s="177">
        <f t="shared" si="23"/>
        <v>0.50182556305248061</v>
      </c>
      <c r="AG46" s="919">
        <f t="shared" si="24"/>
        <v>0</v>
      </c>
      <c r="AH46" s="176">
        <f t="shared" si="16"/>
        <v>6</v>
      </c>
      <c r="AI46" s="225">
        <f t="shared" si="17"/>
        <v>0.50182556305248061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1090">
        <f>IF(t&gt;Tmaj,'2022'!Wh/'2022'!Env_an*'2023'!Env_an,0.001*'[4]mon-tableau'!$B$36)</f>
        <v>5.0517911635817887</v>
      </c>
      <c r="C47" s="953"/>
      <c r="D47" s="393">
        <f t="shared" si="0"/>
        <v>5.2452771532082281</v>
      </c>
      <c r="E47" s="385">
        <f t="shared" si="1"/>
        <v>5.8384860611862708</v>
      </c>
      <c r="F47" s="385">
        <f t="shared" si="2"/>
        <v>5.8384860611862708</v>
      </c>
      <c r="G47" s="110">
        <f t="shared" si="21"/>
        <v>0.15621777250669178</v>
      </c>
      <c r="H47" s="412" t="b">
        <f>Wh_hp&gt;='2022'!Maxi_hp</f>
        <v>0</v>
      </c>
      <c r="I47" s="390">
        <f>IF(H47,Wh_hp,'2022'!Maxi_hp)</f>
        <v>31.55257955620117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3.6887657977824007E-2</v>
      </c>
      <c r="M47" s="957"/>
      <c r="N47" s="957"/>
      <c r="O47" s="48">
        <f>IF(t&lt;Tnet,'2022'!Resal+('2022'!Salim-'2022'!Resal)*(1-EXP(('2022'!Tnet-t)/('2022'!Tau_j))),Resal+(Salim-Resal)*(1-EXP((Tnet-t)/(Tau_j))))*Salcycl</f>
        <v>0.10160320702341698</v>
      </c>
      <c r="P47" s="169">
        <f>(INDEX(Models!$BJ47:$BT47,,T47)*(1-R47)+INDEX(Models!$BJ47:$BT47,,T47+1)*R47-ERP_i)*Q47*Ramure*Pc/MaxiM</f>
        <v>1.5905597432415315E-3</v>
      </c>
      <c r="Q47" s="305">
        <f t="shared" si="4"/>
        <v>0.7</v>
      </c>
      <c r="R47" s="177">
        <f t="shared" si="5"/>
        <v>0.50192924561772545</v>
      </c>
      <c r="S47" s="919">
        <f t="shared" si="6"/>
        <v>0</v>
      </c>
      <c r="T47" s="176">
        <f t="shared" si="7"/>
        <v>6</v>
      </c>
      <c r="U47" s="251">
        <f t="shared" si="8"/>
        <v>0.50192924561772545</v>
      </c>
      <c r="V47" s="383">
        <f t="shared" si="9"/>
        <v>32.286697646451692</v>
      </c>
      <c r="W47" s="402">
        <f t="shared" si="10"/>
        <v>5.0517911635817887</v>
      </c>
      <c r="X47" s="157">
        <f t="shared" si="11"/>
        <v>44959</v>
      </c>
      <c r="Y47" s="385">
        <f t="shared" si="12"/>
        <v>4.8721659467803251</v>
      </c>
      <c r="Z47" s="385">
        <f t="shared" si="22"/>
        <v>5.0587722056915991</v>
      </c>
      <c r="AA47" s="386">
        <f t="shared" si="13"/>
        <v>5.8384860611862708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0.13354726676117956</v>
      </c>
      <c r="AD47" s="231">
        <f>(INDEX(Models!$BJ47:$BT47,,AH47)*(1-AF47)+INDEX(Models!$BJ47:$BT47,,AH47+1)*AF47-ERP_i)*AE47*Ramure*Pc/MaxiM</f>
        <v>1.5905597432415315E-3</v>
      </c>
      <c r="AE47" s="305">
        <f t="shared" si="15"/>
        <v>0.7</v>
      </c>
      <c r="AF47" s="177">
        <f t="shared" si="23"/>
        <v>0.50192924561772545</v>
      </c>
      <c r="AG47" s="919">
        <f t="shared" si="24"/>
        <v>0</v>
      </c>
      <c r="AH47" s="176">
        <f t="shared" si="16"/>
        <v>6</v>
      </c>
      <c r="AI47" s="225">
        <f t="shared" si="17"/>
        <v>0.50192924561772545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1090">
        <f>IF(t&gt;Tmaj,'2022'!Wh/'2022'!Env_an*'2023'!Env_an,0.001*'[4]mon-tableau'!$B$37)</f>
        <v>11.049399872644297</v>
      </c>
      <c r="C48" s="953"/>
      <c r="D48" s="393">
        <f t="shared" si="0"/>
        <v>11.472848395816097</v>
      </c>
      <c r="E48" s="385">
        <f t="shared" si="1"/>
        <v>12.772160987460889</v>
      </c>
      <c r="F48" s="385">
        <f t="shared" si="2"/>
        <v>12.773253792598789</v>
      </c>
      <c r="G48" s="110">
        <f t="shared" si="21"/>
        <v>0.33859696943685313</v>
      </c>
      <c r="H48" s="412" t="b">
        <f>Wh_hp&gt;='2022'!Maxi_hp</f>
        <v>0</v>
      </c>
      <c r="I48" s="390">
        <f>IF(H48,Wh_hp,'2022'!Maxi_hp)</f>
        <v>28.70079034414249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3.6908752609876916E-2</v>
      </c>
      <c r="M48" s="957"/>
      <c r="N48" s="957"/>
      <c r="O48" s="48">
        <f>IF(t&lt;Tnet,'2022'!Resal+('2022'!Salim-'2022'!Resal)*(1-EXP(('2022'!Tnet-t)/('2022'!Tau_j))),Resal+(Salim-Resal)*(1-EXP((Tnet-t)/(Tau_j))))*Salcycl</f>
        <v>0.10173005123568338</v>
      </c>
      <c r="P48" s="169">
        <f>(INDEX(Models!$BJ48:$BT48,,T48)*(1-R48)+INDEX(Models!$BJ48:$BT48,,T48+1)*R48-ERP_i)*Q48*Ramure*Pc/MaxiM</f>
        <v>1.532148848244807E-3</v>
      </c>
      <c r="Q48" s="305">
        <f t="shared" si="4"/>
        <v>0.7</v>
      </c>
      <c r="R48" s="177">
        <f t="shared" si="5"/>
        <v>0.50203723199235839</v>
      </c>
      <c r="S48" s="919">
        <f t="shared" si="6"/>
        <v>0</v>
      </c>
      <c r="T48" s="176">
        <f t="shared" si="7"/>
        <v>6</v>
      </c>
      <c r="U48" s="251">
        <f t="shared" si="8"/>
        <v>0.50203723199235839</v>
      </c>
      <c r="V48" s="383">
        <f t="shared" si="9"/>
        <v>32.585685927242793</v>
      </c>
      <c r="W48" s="402">
        <f t="shared" si="10"/>
        <v>11.049399872644297</v>
      </c>
      <c r="X48" s="157">
        <f t="shared" si="11"/>
        <v>44960</v>
      </c>
      <c r="Y48" s="385">
        <f t="shared" si="12"/>
        <v>10.657094212362335</v>
      </c>
      <c r="Z48" s="385">
        <f t="shared" si="22"/>
        <v>11.065508321503232</v>
      </c>
      <c r="AA48" s="386">
        <f t="shared" si="13"/>
        <v>12.772160987460889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0.13362285893774511</v>
      </c>
      <c r="AD48" s="231">
        <f>(INDEX(Models!$BJ48:$BT48,,AH48)*(1-AF48)+INDEX(Models!$BJ48:$BT48,,AH48+1)*AF48-ERP_i)*AE48*Ramure*Pc/MaxiM</f>
        <v>1.532148848244807E-3</v>
      </c>
      <c r="AE48" s="305">
        <f t="shared" si="15"/>
        <v>0.7</v>
      </c>
      <c r="AF48" s="177">
        <f t="shared" si="23"/>
        <v>0.50203723199235839</v>
      </c>
      <c r="AG48" s="919">
        <f t="shared" si="24"/>
        <v>0</v>
      </c>
      <c r="AH48" s="176">
        <f t="shared" si="16"/>
        <v>6</v>
      </c>
      <c r="AI48" s="225">
        <f t="shared" si="17"/>
        <v>0.50203723199235839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1090">
        <f>IF(t&gt;Tmaj,'2022'!Wh/'2022'!Env_an*'2023'!Env_an,0.001*'[4]mon-tableau'!$B$38)</f>
        <v>10.596771396361479</v>
      </c>
      <c r="C49" s="953"/>
      <c r="D49" s="393">
        <f t="shared" si="0"/>
        <v>11.003114737727449</v>
      </c>
      <c r="E49" s="385">
        <f t="shared" si="1"/>
        <v>12.250958543005254</v>
      </c>
      <c r="F49" s="385">
        <f t="shared" si="2"/>
        <v>12.25153629259094</v>
      </c>
      <c r="G49" s="110">
        <f t="shared" si="21"/>
        <v>0.32180375261560196</v>
      </c>
      <c r="H49" s="412" t="b">
        <f>Wh_hp&gt;='2022'!Maxi_hp</f>
        <v>0</v>
      </c>
      <c r="I49" s="390">
        <f>IF(H49,Wh_hp,'2022'!Maxi_hp)</f>
        <v>29.923583051666235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3.6929846779903297E-2</v>
      </c>
      <c r="M49" s="957"/>
      <c r="N49" s="957"/>
      <c r="O49" s="48">
        <f>IF(t&lt;Tnet,'2022'!Resal+('2022'!Salim-'2022'!Resal)*(1-EXP(('2022'!Tnet-t)/('2022'!Tau_j))),Resal+(Salim-Resal)*(1-EXP((Tnet-t)/(Tau_j))))*Salcycl</f>
        <v>0.10185683029596626</v>
      </c>
      <c r="P49" s="169">
        <f>(INDEX(Models!$BJ49:$BT49,,T49)*(1-R49)+INDEX(Models!$BJ49:$BT49,,T49+1)*R49-ERP_i)*Q49*Ramure*Pc/MaxiM</f>
        <v>1.4825122004200723E-3</v>
      </c>
      <c r="Q49" s="305">
        <f t="shared" si="4"/>
        <v>0.7</v>
      </c>
      <c r="R49" s="177">
        <f t="shared" si="5"/>
        <v>0.50214969883172444</v>
      </c>
      <c r="S49" s="919">
        <f t="shared" si="6"/>
        <v>0</v>
      </c>
      <c r="T49" s="176">
        <f t="shared" si="7"/>
        <v>6</v>
      </c>
      <c r="U49" s="251">
        <f t="shared" si="8"/>
        <v>0.50214969883172444</v>
      </c>
      <c r="V49" s="383">
        <f t="shared" si="9"/>
        <v>32.882029701284118</v>
      </c>
      <c r="W49" s="402">
        <f t="shared" si="10"/>
        <v>10.596771396361479</v>
      </c>
      <c r="X49" s="157">
        <f t="shared" si="11"/>
        <v>44961</v>
      </c>
      <c r="Y49" s="385">
        <f t="shared" si="12"/>
        <v>10.221086292077757</v>
      </c>
      <c r="Z49" s="385">
        <f t="shared" si="22"/>
        <v>10.613023628551664</v>
      </c>
      <c r="AA49" s="386">
        <f t="shared" si="13"/>
        <v>12.250958543005254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0.13369851091274623</v>
      </c>
      <c r="AD49" s="231">
        <f>(INDEX(Models!$BJ49:$BT49,,AH49)*(1-AF49)+INDEX(Models!$BJ49:$BT49,,AH49+1)*AF49-ERP_i)*AE49*Ramure*Pc/MaxiM</f>
        <v>1.4825122004200723E-3</v>
      </c>
      <c r="AE49" s="305">
        <f t="shared" si="15"/>
        <v>0.7</v>
      </c>
      <c r="AF49" s="177">
        <f t="shared" si="23"/>
        <v>0.50214969883172444</v>
      </c>
      <c r="AG49" s="919">
        <f t="shared" si="24"/>
        <v>0</v>
      </c>
      <c r="AH49" s="176">
        <f t="shared" si="16"/>
        <v>6</v>
      </c>
      <c r="AI49" s="225">
        <f t="shared" si="17"/>
        <v>0.50214969883172444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1090">
        <f>IF(t&gt;Tmaj,'2022'!Wh/'2022'!Env_an*'2023'!Env_an,0.001*'[4]mon-tableau'!$B$39)</f>
        <v>10.011381968437849</v>
      </c>
      <c r="C50" s="953"/>
      <c r="D50" s="393">
        <f t="shared" si="0"/>
        <v>10.395505680167481</v>
      </c>
      <c r="E50" s="385">
        <f t="shared" si="1"/>
        <v>11.576074730222491</v>
      </c>
      <c r="F50" s="385">
        <f t="shared" si="2"/>
        <v>11.576117103274031</v>
      </c>
      <c r="G50" s="110">
        <f t="shared" si="21"/>
        <v>0.30134367052616962</v>
      </c>
      <c r="H50" s="412" t="b">
        <f>Wh_hp&gt;='2022'!Maxi_hp</f>
        <v>0</v>
      </c>
      <c r="I50" s="390">
        <f>IF(H50,Wh_hp,'2022'!Maxi_hp)</f>
        <v>37.591562892350396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3.6950940487913253E-2</v>
      </c>
      <c r="M50" s="957"/>
      <c r="N50" s="957"/>
      <c r="O50" s="48">
        <f>IF(t&lt;Tnet,'2022'!Resal+('2022'!Salim-'2022'!Resal)*(1-EXP(('2022'!Tnet-t)/('2022'!Tau_j))),Resal+(Salim-Resal)*(1-EXP((Tnet-t)/(Tau_j))))*Salcycl</f>
        <v>0.10198353738792061</v>
      </c>
      <c r="P50" s="169">
        <f>(INDEX(Models!$BJ50:$BT50,,T50)*(1-R50)+INDEX(Models!$BJ50:$BT50,,T50+1)*R50-ERP_i)*Q50*Ramure*Pc/MaxiM</f>
        <v>1.4414496130907401E-3</v>
      </c>
      <c r="Q50" s="305">
        <f t="shared" si="4"/>
        <v>0.7</v>
      </c>
      <c r="R50" s="177">
        <f t="shared" si="5"/>
        <v>0.50226682987250526</v>
      </c>
      <c r="S50" s="919">
        <f t="shared" si="6"/>
        <v>0</v>
      </c>
      <c r="T50" s="176">
        <f t="shared" si="7"/>
        <v>6</v>
      </c>
      <c r="U50" s="251">
        <f t="shared" si="8"/>
        <v>0.50226682987250526</v>
      </c>
      <c r="V50" s="383">
        <f t="shared" si="9"/>
        <v>33.174705946689997</v>
      </c>
      <c r="W50" s="402">
        <f t="shared" si="10"/>
        <v>10.011381968437849</v>
      </c>
      <c r="X50" s="157">
        <f t="shared" si="11"/>
        <v>44962</v>
      </c>
      <c r="Y50" s="385">
        <f t="shared" si="12"/>
        <v>9.6569690914822832</v>
      </c>
      <c r="Z50" s="385">
        <f t="shared" si="22"/>
        <v>10.027494441845809</v>
      </c>
      <c r="AA50" s="386">
        <f t="shared" si="13"/>
        <v>11.576074730222491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0.13377421314788959</v>
      </c>
      <c r="AD50" s="231">
        <f>(INDEX(Models!$BJ50:$BT50,,AH50)*(1-AF50)+INDEX(Models!$BJ50:$BT50,,AH50+1)*AF50-ERP_i)*AE50*Ramure*Pc/MaxiM</f>
        <v>1.4414496130907401E-3</v>
      </c>
      <c r="AE50" s="305">
        <f t="shared" si="15"/>
        <v>0.7</v>
      </c>
      <c r="AF50" s="177">
        <f t="shared" si="23"/>
        <v>0.50226682987250526</v>
      </c>
      <c r="AG50" s="919">
        <f t="shared" si="24"/>
        <v>0</v>
      </c>
      <c r="AH50" s="176">
        <f t="shared" si="16"/>
        <v>6</v>
      </c>
      <c r="AI50" s="225">
        <f t="shared" si="17"/>
        <v>0.50226682987250526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1090">
        <f>IF(t&gt;Tmaj,'2022'!Wh/'2022'!Env_an*'2023'!Env_an,0.001*'[4]mon-tableau'!$B$40)</f>
        <v>22.091734609961186</v>
      </c>
      <c r="C51" s="953"/>
      <c r="D51" s="393">
        <f t="shared" si="0"/>
        <v>22.939868190553952</v>
      </c>
      <c r="E51" s="385">
        <f t="shared" si="1"/>
        <v>25.548644488922967</v>
      </c>
      <c r="F51" s="385">
        <f t="shared" si="2"/>
        <v>25.567172322926925</v>
      </c>
      <c r="G51" s="110">
        <f t="shared" si="21"/>
        <v>0.65966776331314836</v>
      </c>
      <c r="H51" s="412" t="b">
        <f>Wh_hp&gt;='2022'!Maxi_hp</f>
        <v>0</v>
      </c>
      <c r="I51" s="390">
        <f>IF(H51,Wh_hp,'2022'!Maxi_hp)</f>
        <v>39.747861870771352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3.6972033733916776E-2</v>
      </c>
      <c r="M51" s="957"/>
      <c r="N51" s="957"/>
      <c r="O51" s="48">
        <f>IF(t&lt;Tnet,'2022'!Resal+('2022'!Salim-'2022'!Resal)*(1-EXP(('2022'!Tnet-t)/('2022'!Tau_j))),Resal+(Salim-Resal)*(1-EXP((Tnet-t)/(Tau_j))))*Salcycl</f>
        <v>0.10211016476823637</v>
      </c>
      <c r="P51" s="169">
        <f>(INDEX(Models!$BJ51:$BT51,,T51)*(1-R51)+INDEX(Models!$BJ51:$BT51,,T51+1)*R51-ERP_i)*Q51*Ramure*Pc/MaxiM</f>
        <v>1.4086180913285289E-3</v>
      </c>
      <c r="Q51" s="305">
        <f t="shared" si="4"/>
        <v>0.7</v>
      </c>
      <c r="R51" s="177">
        <f t="shared" si="5"/>
        <v>0.50238881620209941</v>
      </c>
      <c r="S51" s="919">
        <f t="shared" si="6"/>
        <v>0</v>
      </c>
      <c r="T51" s="176">
        <f t="shared" si="7"/>
        <v>6</v>
      </c>
      <c r="U51" s="251">
        <f t="shared" si="8"/>
        <v>0.50238881620209941</v>
      </c>
      <c r="V51" s="383">
        <f t="shared" si="9"/>
        <v>33.466261870223057</v>
      </c>
      <c r="W51" s="402">
        <f t="shared" si="10"/>
        <v>22.091734609961186</v>
      </c>
      <c r="X51" s="157">
        <f t="shared" si="11"/>
        <v>44963</v>
      </c>
      <c r="Y51" s="385">
        <f t="shared" si="12"/>
        <v>21.31080693591964</v>
      </c>
      <c r="Z51" s="385">
        <f t="shared" si="22"/>
        <v>22.128959575854619</v>
      </c>
      <c r="AA51" s="386">
        <f t="shared" si="13"/>
        <v>25.548644488922967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0.1338499549183913</v>
      </c>
      <c r="AD51" s="231">
        <f>(INDEX(Models!$BJ51:$BT51,,AH51)*(1-AF51)+INDEX(Models!$BJ51:$BT51,,AH51+1)*AF51-ERP_i)*AE51*Ramure*Pc/MaxiM</f>
        <v>1.4086180913285289E-3</v>
      </c>
      <c r="AE51" s="305">
        <f t="shared" si="15"/>
        <v>0.7</v>
      </c>
      <c r="AF51" s="177">
        <f t="shared" si="23"/>
        <v>0.50238881620209941</v>
      </c>
      <c r="AG51" s="919">
        <f t="shared" si="24"/>
        <v>0</v>
      </c>
      <c r="AH51" s="176">
        <f t="shared" si="16"/>
        <v>6</v>
      </c>
      <c r="AI51" s="225">
        <f t="shared" si="17"/>
        <v>0.50238881620209941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1090">
        <f>IF(t&gt;Tmaj,'2022'!Wh/'2022'!Env_an*'2023'!Env_an,0.001*'[4]mon-tableau'!$B$41)</f>
        <v>8.6999410690446872</v>
      </c>
      <c r="C52" s="953"/>
      <c r="D52" s="393">
        <f t="shared" si="0"/>
        <v>9.0341422357528138</v>
      </c>
      <c r="E52" s="385">
        <f t="shared" si="1"/>
        <v>10.062944513931779</v>
      </c>
      <c r="F52" s="385">
        <f t="shared" si="2"/>
        <v>10.062944513931779</v>
      </c>
      <c r="G52" s="110">
        <f t="shared" si="21"/>
        <v>0.25734603253743993</v>
      </c>
      <c r="H52" s="412" t="b">
        <f>Wh_hp&gt;='2022'!Maxi_hp</f>
        <v>0</v>
      </c>
      <c r="I52" s="390">
        <f>IF(H52,Wh_hp,'2022'!Maxi_hp)</f>
        <v>25.290736794333089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3.6993126517924191E-2</v>
      </c>
      <c r="M52" s="957"/>
      <c r="N52" s="957"/>
      <c r="O52" s="48">
        <f>IF(t&lt;Tnet,'2022'!Resal+('2022'!Salim-'2022'!Resal)*(1-EXP(('2022'!Tnet-t)/('2022'!Tau_j))),Resal+(Salim-Resal)*(1-EXP((Tnet-t)/(Tau_j))))*Salcycl</f>
        <v>0.10223670385488327</v>
      </c>
      <c r="P52" s="169">
        <f>(INDEX(Models!$BJ52:$BT52,,T52)*(1-R52)+INDEX(Models!$BJ52:$BT52,,T52+1)*R52-ERP_i)*Q52*Ramure*Pc/MaxiM</f>
        <v>1.3838834497017954E-3</v>
      </c>
      <c r="Q52" s="305">
        <f t="shared" si="4"/>
        <v>0.7</v>
      </c>
      <c r="R52" s="177">
        <f t="shared" si="5"/>
        <v>0.50251585653700082</v>
      </c>
      <c r="S52" s="919">
        <f t="shared" si="6"/>
        <v>0</v>
      </c>
      <c r="T52" s="176">
        <f t="shared" si="7"/>
        <v>6</v>
      </c>
      <c r="U52" s="251">
        <f t="shared" si="8"/>
        <v>0.50251585653700082</v>
      </c>
      <c r="V52" s="383">
        <f t="shared" si="9"/>
        <v>33.759608721855457</v>
      </c>
      <c r="W52" s="402">
        <f t="shared" si="10"/>
        <v>8.6999410690446872</v>
      </c>
      <c r="X52" s="157">
        <f t="shared" si="11"/>
        <v>44964</v>
      </c>
      <c r="Y52" s="385">
        <f t="shared" si="12"/>
        <v>8.3928527610868144</v>
      </c>
      <c r="Z52" s="385">
        <f t="shared" si="22"/>
        <v>8.7152573799807129</v>
      </c>
      <c r="AA52" s="386">
        <f t="shared" si="13"/>
        <v>10.062944513931779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0.13392572443237083</v>
      </c>
      <c r="AD52" s="231">
        <f>(INDEX(Models!$BJ52:$BT52,,AH52)*(1-AF52)+INDEX(Models!$BJ52:$BT52,,AH52+1)*AF52-ERP_i)*AE52*Ramure*Pc/MaxiM</f>
        <v>1.3838834497017954E-3</v>
      </c>
      <c r="AE52" s="305">
        <f t="shared" si="15"/>
        <v>0.7</v>
      </c>
      <c r="AF52" s="177">
        <f t="shared" si="23"/>
        <v>0.50251585653700082</v>
      </c>
      <c r="AG52" s="919">
        <f t="shared" si="24"/>
        <v>0</v>
      </c>
      <c r="AH52" s="176">
        <f t="shared" si="16"/>
        <v>6</v>
      </c>
      <c r="AI52" s="225">
        <f t="shared" si="17"/>
        <v>0.50251585653700082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1090">
        <f>IF(t&gt;Tmaj,'2022'!Wh/'2022'!Env_an*'2023'!Env_an,0.001*'[4]mon-tableau'!$B$42)</f>
        <v>33.600961855273056</v>
      </c>
      <c r="C53" s="953"/>
      <c r="D53" s="393">
        <f t="shared" si="0"/>
        <v>34.892479736093165</v>
      </c>
      <c r="E53" s="385">
        <f t="shared" si="1"/>
        <v>38.871487455709818</v>
      </c>
      <c r="F53" s="385">
        <f t="shared" si="2"/>
        <v>38.92354516445446</v>
      </c>
      <c r="G53" s="110">
        <f t="shared" si="21"/>
        <v>0.98665908157199167</v>
      </c>
      <c r="H53" s="412" t="b">
        <f>Wh_hp&gt;='2022'!Maxi_hp</f>
        <v>0</v>
      </c>
      <c r="I53" s="390">
        <f>IF(H53,Wh_hp,'2022'!Maxi_hp)</f>
        <v>38.92391427435124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3.7014218839945379E-2</v>
      </c>
      <c r="M53" s="957"/>
      <c r="N53" s="957"/>
      <c r="O53" s="48">
        <f>IF(t&lt;Tnet,'2022'!Resal+('2022'!Salim-'2022'!Resal)*(1-EXP(('2022'!Tnet-t)/('2022'!Tau_j))),Resal+(Salim-Resal)*(1-EXP((Tnet-t)/(Tau_j))))*Salcycl</f>
        <v>0.10236314532985998</v>
      </c>
      <c r="P53" s="169">
        <f>(INDEX(Models!$BJ53:$BT53,,T53)*(1-R53)+INDEX(Models!$BJ53:$BT53,,T53+1)*R53-ERP_i)*Q53*Ramure*Pc/MaxiM</f>
        <v>1.3633687226057521E-3</v>
      </c>
      <c r="Q53" s="305">
        <f t="shared" si="4"/>
        <v>0.7</v>
      </c>
      <c r="R53" s="177">
        <f t="shared" si="5"/>
        <v>0.50264815751036707</v>
      </c>
      <c r="S53" s="919">
        <f t="shared" si="6"/>
        <v>0</v>
      </c>
      <c r="T53" s="176">
        <f t="shared" si="7"/>
        <v>6</v>
      </c>
      <c r="U53" s="251">
        <f t="shared" si="8"/>
        <v>0.50264815751036707</v>
      </c>
      <c r="V53" s="383">
        <f t="shared" si="9"/>
        <v>34.054406344920338</v>
      </c>
      <c r="W53" s="402">
        <f t="shared" si="10"/>
        <v>33.600961855273056</v>
      </c>
      <c r="X53" s="157">
        <f t="shared" si="11"/>
        <v>44965</v>
      </c>
      <c r="Y53" s="385">
        <f t="shared" si="12"/>
        <v>32.416652806171818</v>
      </c>
      <c r="Z53" s="385">
        <f t="shared" si="22"/>
        <v>33.662649480786008</v>
      </c>
      <c r="AA53" s="386">
        <f t="shared" si="13"/>
        <v>38.871487455709818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0.13400150896872048</v>
      </c>
      <c r="AD53" s="231">
        <f>(INDEX(Models!$BJ53:$BT53,,AH53)*(1-AF53)+INDEX(Models!$BJ53:$BT53,,AH53+1)*AF53-ERP_i)*AE53*Ramure*Pc/MaxiM</f>
        <v>1.3633687226057521E-3</v>
      </c>
      <c r="AE53" s="305">
        <f t="shared" si="15"/>
        <v>0.7</v>
      </c>
      <c r="AF53" s="177">
        <f t="shared" si="23"/>
        <v>0.50264815751036707</v>
      </c>
      <c r="AG53" s="919">
        <f t="shared" si="24"/>
        <v>0</v>
      </c>
      <c r="AH53" s="176">
        <f t="shared" si="16"/>
        <v>6</v>
      </c>
      <c r="AI53" s="225">
        <f t="shared" si="17"/>
        <v>0.50264815751036707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1090">
        <f>IF(t&gt;Tmaj,'2022'!Wh/'2022'!Env_an*'2023'!Env_an,0.001*'[4]mon-tableau'!$B$43)</f>
        <v>33.674165362698311</v>
      </c>
      <c r="C54" s="953"/>
      <c r="D54" s="393">
        <f t="shared" si="0"/>
        <v>34.969262878347564</v>
      </c>
      <c r="E54" s="385">
        <f t="shared" si="1"/>
        <v>38.962510265981045</v>
      </c>
      <c r="F54" s="385">
        <f t="shared" si="2"/>
        <v>39.013583625804515</v>
      </c>
      <c r="G54" s="110">
        <f t="shared" si="21"/>
        <v>0.98028247927725942</v>
      </c>
      <c r="H54" s="412" t="b">
        <f>Wh_hp&gt;='2022'!Maxi_hp</f>
        <v>0</v>
      </c>
      <c r="I54" s="390">
        <f>IF(H54,Wh_hp,'2022'!Maxi_hp)</f>
        <v>39.014114888067162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3.7035310699990664E-2</v>
      </c>
      <c r="M54" s="957"/>
      <c r="N54" s="957"/>
      <c r="O54" s="48">
        <f>IF(t&lt;Tnet,'2022'!Resal+('2022'!Salim-'2022'!Resal)*(1-EXP(('2022'!Tnet-t)/('2022'!Tau_j))),Resal+(Salim-Resal)*(1-EXP((Tnet-t)/(Tau_j))))*Salcycl</f>
        <v>0.1024894792551409</v>
      </c>
      <c r="P54" s="169">
        <f>(INDEX(Models!$BJ54:$BT54,,T54)*(1-R54)+INDEX(Models!$BJ54:$BT54,,T54+1)*R54-ERP_i)*Q54*Ramure*Pc/MaxiM</f>
        <v>1.3469876286690088E-3</v>
      </c>
      <c r="Q54" s="305">
        <f t="shared" si="4"/>
        <v>0.7</v>
      </c>
      <c r="R54" s="177">
        <f t="shared" si="5"/>
        <v>0.50278593396895821</v>
      </c>
      <c r="S54" s="919">
        <f t="shared" si="6"/>
        <v>0</v>
      </c>
      <c r="T54" s="176">
        <f t="shared" si="7"/>
        <v>6</v>
      </c>
      <c r="U54" s="251">
        <f t="shared" si="8"/>
        <v>0.50278593396895821</v>
      </c>
      <c r="V54" s="383">
        <f t="shared" si="9"/>
        <v>34.350189005099885</v>
      </c>
      <c r="W54" s="402">
        <f t="shared" si="10"/>
        <v>33.674165362698311</v>
      </c>
      <c r="X54" s="157">
        <f t="shared" si="11"/>
        <v>44966</v>
      </c>
      <c r="Y54" s="385">
        <f t="shared" si="12"/>
        <v>32.489005626607188</v>
      </c>
      <c r="Z54" s="385">
        <f t="shared" si="22"/>
        <v>33.738522281874985</v>
      </c>
      <c r="AA54" s="386">
        <f t="shared" si="13"/>
        <v>38.962510265981045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0.13407729503166096</v>
      </c>
      <c r="AD54" s="231">
        <f>(INDEX(Models!$BJ54:$BT54,,AH54)*(1-AF54)+INDEX(Models!$BJ54:$BT54,,AH54+1)*AF54-ERP_i)*AE54*Ramure*Pc/MaxiM</f>
        <v>1.3469876286690088E-3</v>
      </c>
      <c r="AE54" s="305">
        <f t="shared" si="15"/>
        <v>0.7</v>
      </c>
      <c r="AF54" s="177">
        <f t="shared" si="23"/>
        <v>0.50278593396895821</v>
      </c>
      <c r="AG54" s="919">
        <f t="shared" si="24"/>
        <v>0</v>
      </c>
      <c r="AH54" s="176">
        <f t="shared" si="16"/>
        <v>6</v>
      </c>
      <c r="AI54" s="225">
        <f t="shared" si="17"/>
        <v>0.50278593396895821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1090">
        <f>IF(t&gt;Tmaj,'2022'!Wh/'2022'!Env_an*'2023'!Env_an,0.001*'[4]mon-tableau'!$B$44)</f>
        <v>31.28658565252282</v>
      </c>
      <c r="C55" s="953"/>
      <c r="D55" s="393">
        <f t="shared" si="0"/>
        <v>32.490569251086264</v>
      </c>
      <c r="E55" s="385">
        <f t="shared" si="1"/>
        <v>36.205858601841712</v>
      </c>
      <c r="F55" s="385">
        <f t="shared" si="2"/>
        <v>36.247534368423516</v>
      </c>
      <c r="G55" s="110">
        <f t="shared" si="21"/>
        <v>0.90285604430402899</v>
      </c>
      <c r="H55" s="412" t="b">
        <f>Wh_hp&gt;='2022'!Maxi_hp</f>
        <v>0</v>
      </c>
      <c r="I55" s="390">
        <f>IF(H55,Wh_hp,'2022'!Maxi_hp)</f>
        <v>36.249913549485477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3.705640209807004E-2</v>
      </c>
      <c r="M55" s="957"/>
      <c r="N55" s="957"/>
      <c r="O55" s="48">
        <f>IF(t&lt;Tnet,'2022'!Resal+('2022'!Salim-'2022'!Resal)*(1-EXP(('2022'!Tnet-t)/('2022'!Tau_j))),Resal+(Salim-Resal)*(1-EXP((Tnet-t)/(Tau_j))))*Salcycl</f>
        <v>0.10261569520040215</v>
      </c>
      <c r="P55" s="169">
        <f>(INDEX(Models!$BJ55:$BT55,,T55)*(1-R55)+INDEX(Models!$BJ55:$BT55,,T55+1)*R55-ERP_i)*Q55*Ramure*Pc/MaxiM</f>
        <v>1.3346553791411637E-3</v>
      </c>
      <c r="Q55" s="305">
        <f t="shared" si="4"/>
        <v>0.7</v>
      </c>
      <c r="R55" s="177">
        <f t="shared" si="5"/>
        <v>0.50292940927962071</v>
      </c>
      <c r="S55" s="919">
        <f t="shared" si="6"/>
        <v>0</v>
      </c>
      <c r="T55" s="176">
        <f t="shared" si="7"/>
        <v>6</v>
      </c>
      <c r="U55" s="251">
        <f t="shared" si="8"/>
        <v>0.50292940927962071</v>
      </c>
      <c r="V55" s="383">
        <f t="shared" si="9"/>
        <v>34.646491292272216</v>
      </c>
      <c r="W55" s="402">
        <f t="shared" si="10"/>
        <v>31.28658565252282</v>
      </c>
      <c r="X55" s="157">
        <f t="shared" si="11"/>
        <v>44967</v>
      </c>
      <c r="Y55" s="385">
        <f t="shared" si="12"/>
        <v>30.18706036960489</v>
      </c>
      <c r="Z55" s="385">
        <f t="shared" si="22"/>
        <v>31.348731572001437</v>
      </c>
      <c r="AA55" s="386">
        <f t="shared" si="13"/>
        <v>36.205858601841712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0.13415306852005446</v>
      </c>
      <c r="AD55" s="231">
        <f>(INDEX(Models!$BJ55:$BT55,,AH55)*(1-AF55)+INDEX(Models!$BJ55:$BT55,,AH55+1)*AF55-ERP_i)*AE55*Ramure*Pc/MaxiM</f>
        <v>1.3346553791411637E-3</v>
      </c>
      <c r="AE55" s="305">
        <f t="shared" si="15"/>
        <v>0.7</v>
      </c>
      <c r="AF55" s="177">
        <f t="shared" si="23"/>
        <v>0.50292940927962071</v>
      </c>
      <c r="AG55" s="919">
        <f t="shared" si="24"/>
        <v>0</v>
      </c>
      <c r="AH55" s="176">
        <f t="shared" si="16"/>
        <v>6</v>
      </c>
      <c r="AI55" s="225">
        <f t="shared" si="17"/>
        <v>0.50292940927962071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1090">
        <f>IF(t&gt;Tmaj,'2022'!Wh/'2022'!Env_an*'2023'!Env_an,0.001*'[4]mon-tableau'!$B$45)</f>
        <v>15.748764087377065</v>
      </c>
      <c r="C56" s="953"/>
      <c r="D56" s="393">
        <f t="shared" si="0"/>
        <v>16.355172896520852</v>
      </c>
      <c r="E56" s="385">
        <f t="shared" si="1"/>
        <v>18.227944392553752</v>
      </c>
      <c r="F56" s="385">
        <f t="shared" si="2"/>
        <v>18.233150546656319</v>
      </c>
      <c r="G56" s="110">
        <f t="shared" si="21"/>
        <v>0.45023143850893632</v>
      </c>
      <c r="H56" s="412" t="b">
        <f>Wh_hp&gt;='2022'!Maxi_hp</f>
        <v>0</v>
      </c>
      <c r="I56" s="390">
        <f>IF(H56,Wh_hp,'2022'!Maxi_hp)</f>
        <v>32.069160070810902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3.707749303419372E-2</v>
      </c>
      <c r="M56" s="957"/>
      <c r="N56" s="957"/>
      <c r="O56" s="48">
        <f>IF(t&lt;Tnet,'2022'!Resal+('2022'!Salim-'2022'!Resal)*(1-EXP(('2022'!Tnet-t)/('2022'!Tau_j))),Resal+(Salim-Resal)*(1-EXP((Tnet-t)/(Tau_j))))*Salcycl</f>
        <v>0.10274178238100952</v>
      </c>
      <c r="P56" s="169">
        <f>(INDEX(Models!$BJ56:$BT56,,T56)*(1-R56)+INDEX(Models!$BJ56:$BT56,,T56+1)*R56-ERP_i)*Q56*Ramure*Pc/MaxiM</f>
        <v>1.3262892148400097E-3</v>
      </c>
      <c r="Q56" s="305">
        <f t="shared" si="4"/>
        <v>0.7</v>
      </c>
      <c r="R56" s="177">
        <f t="shared" si="5"/>
        <v>0.50307881564548196</v>
      </c>
      <c r="S56" s="919">
        <f t="shared" si="6"/>
        <v>0</v>
      </c>
      <c r="T56" s="176">
        <f t="shared" si="7"/>
        <v>6</v>
      </c>
      <c r="U56" s="251">
        <f t="shared" si="8"/>
        <v>0.50307881564548196</v>
      </c>
      <c r="V56" s="383">
        <f t="shared" si="9"/>
        <v>34.942848112869875</v>
      </c>
      <c r="W56" s="402">
        <f t="shared" si="10"/>
        <v>15.748764087377065</v>
      </c>
      <c r="X56" s="157">
        <f t="shared" si="11"/>
        <v>44968</v>
      </c>
      <c r="Y56" s="385">
        <f t="shared" si="12"/>
        <v>15.196100609501542</v>
      </c>
      <c r="Z56" s="385">
        <f t="shared" si="22"/>
        <v>15.781229018506222</v>
      </c>
      <c r="AA56" s="386">
        <f t="shared" si="13"/>
        <v>18.227944392553752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0.1342288149094327</v>
      </c>
      <c r="AD56" s="231">
        <f>(INDEX(Models!$BJ56:$BT56,,AH56)*(1-AF56)+INDEX(Models!$BJ56:$BT56,,AH56+1)*AF56-ERP_i)*AE56*Ramure*Pc/MaxiM</f>
        <v>1.3262892148400097E-3</v>
      </c>
      <c r="AE56" s="305">
        <f t="shared" si="15"/>
        <v>0.7</v>
      </c>
      <c r="AF56" s="177">
        <f t="shared" si="23"/>
        <v>0.50307881564548196</v>
      </c>
      <c r="AG56" s="919">
        <f t="shared" si="24"/>
        <v>0</v>
      </c>
      <c r="AH56" s="176">
        <f t="shared" si="16"/>
        <v>6</v>
      </c>
      <c r="AI56" s="225">
        <f t="shared" si="17"/>
        <v>0.50307881564548196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1090">
        <f>IF(t&gt;Tmaj,'2022'!Wh/'2022'!Env_an*'2023'!Env_an,0.001*'[4]mon-tableau'!$B$46)</f>
        <v>26.192361116119617</v>
      </c>
      <c r="C57" s="953"/>
      <c r="D57" s="393">
        <f t="shared" si="0"/>
        <v>27.201498167437101</v>
      </c>
      <c r="E57" s="385">
        <f t="shared" si="1"/>
        <v>30.320499073692627</v>
      </c>
      <c r="F57" s="385">
        <f t="shared" si="2"/>
        <v>30.345900068778057</v>
      </c>
      <c r="G57" s="110">
        <f t="shared" si="21"/>
        <v>0.74292136546873444</v>
      </c>
      <c r="H57" s="412" t="b">
        <f>Wh_hp&gt;='2022'!Maxi_hp</f>
        <v>0</v>
      </c>
      <c r="I57" s="390">
        <f>IF(H57,Wh_hp,'2022'!Maxi_hp)</f>
        <v>40.986650074876621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3.7098583508371696E-2</v>
      </c>
      <c r="M57" s="957"/>
      <c r="N57" s="957"/>
      <c r="O57" s="48">
        <f>IF(t&lt;Tnet,'2022'!Resal+('2022'!Salim-'2022'!Resal)*(1-EXP(('2022'!Tnet-t)/('2022'!Tau_j))),Resal+(Salim-Resal)*(1-EXP((Tnet-t)/(Tau_j))))*Salcycl</f>
        <v>0.10286772980467536</v>
      </c>
      <c r="P57" s="169">
        <f>(INDEX(Models!$BJ57:$BT57,,T57)*(1-R57)+INDEX(Models!$BJ57:$BT57,,T57+1)*R57-ERP_i)*Q57*Ramure*Pc/MaxiM</f>
        <v>1.3218088925691423E-3</v>
      </c>
      <c r="Q57" s="305">
        <f t="shared" si="4"/>
        <v>0.7</v>
      </c>
      <c r="R57" s="177">
        <f t="shared" si="5"/>
        <v>0.50323439443200479</v>
      </c>
      <c r="S57" s="919">
        <f t="shared" si="6"/>
        <v>0</v>
      </c>
      <c r="T57" s="176">
        <f t="shared" si="7"/>
        <v>6</v>
      </c>
      <c r="U57" s="251">
        <f t="shared" si="8"/>
        <v>0.50323439443200479</v>
      </c>
      <c r="V57" s="383">
        <f t="shared" si="9"/>
        <v>35.238794684139862</v>
      </c>
      <c r="W57" s="402">
        <f t="shared" si="10"/>
        <v>26.192361116119617</v>
      </c>
      <c r="X57" s="157">
        <f t="shared" si="11"/>
        <v>44969</v>
      </c>
      <c r="Y57" s="385">
        <f t="shared" si="12"/>
        <v>25.274543561299886</v>
      </c>
      <c r="Z57" s="385">
        <f t="shared" si="22"/>
        <v>26.248319016279719</v>
      </c>
      <c r="AA57" s="386">
        <f t="shared" si="13"/>
        <v>30.320499073692627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0.13430451944460595</v>
      </c>
      <c r="AD57" s="231">
        <f>(INDEX(Models!$BJ57:$BT57,,AH57)*(1-AF57)+INDEX(Models!$BJ57:$BT57,,AH57+1)*AF57-ERP_i)*AE57*Ramure*Pc/MaxiM</f>
        <v>1.3218088925691423E-3</v>
      </c>
      <c r="AE57" s="305">
        <f t="shared" si="15"/>
        <v>0.7</v>
      </c>
      <c r="AF57" s="177">
        <f t="shared" si="23"/>
        <v>0.50323439443200479</v>
      </c>
      <c r="AG57" s="919">
        <f t="shared" si="24"/>
        <v>0</v>
      </c>
      <c r="AH57" s="176">
        <f t="shared" si="16"/>
        <v>6</v>
      </c>
      <c r="AI57" s="225">
        <f t="shared" si="17"/>
        <v>0.50323439443200479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1090">
        <f>IF(t&gt;Tmaj,'2022'!Wh/'2022'!Env_an*'2023'!Env_an,0.001*'[4]mon-tableau'!$B$47)</f>
        <v>32.006409018740591</v>
      </c>
      <c r="C58" s="953"/>
      <c r="D58" s="393">
        <f t="shared" si="0"/>
        <v>33.240277258303514</v>
      </c>
      <c r="E58" s="385">
        <f t="shared" si="1"/>
        <v>37.056897845820316</v>
      </c>
      <c r="F58" s="385">
        <f t="shared" si="2"/>
        <v>37.098954457130269</v>
      </c>
      <c r="G58" s="110">
        <f t="shared" si="21"/>
        <v>0.90056062040860407</v>
      </c>
      <c r="H58" s="412" t="b">
        <f>Wh_hp&gt;='2022'!Maxi_hp</f>
        <v>0</v>
      </c>
      <c r="I58" s="390">
        <f>IF(H58,Wh_hp,'2022'!Maxi_hp)</f>
        <v>42.930559585857665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3.7119673520614183E-2</v>
      </c>
      <c r="M58" s="957"/>
      <c r="N58" s="957"/>
      <c r="O58" s="48">
        <f>IF(t&lt;Tnet,'2022'!Resal+('2022'!Salim-'2022'!Resal)*(1-EXP(('2022'!Tnet-t)/('2022'!Tau_j))),Resal+(Salim-Resal)*(1-EXP((Tnet-t)/(Tau_j))))*Salcycl</f>
        <v>0.10299352642512902</v>
      </c>
      <c r="P58" s="169">
        <f>(INDEX(Models!$BJ58:$BT58,,T58)*(1-R58)+INDEX(Models!$BJ58:$BT58,,T58+1)*R58-ERP_i)*Q58*Ramure*Pc/MaxiM</f>
        <v>1.3209660389962748E-3</v>
      </c>
      <c r="Q58" s="305">
        <f t="shared" si="4"/>
        <v>0.7</v>
      </c>
      <c r="R58" s="177">
        <f t="shared" si="5"/>
        <v>0.50339639650304402</v>
      </c>
      <c r="S58" s="919">
        <f t="shared" si="6"/>
        <v>0</v>
      </c>
      <c r="T58" s="176">
        <f t="shared" si="7"/>
        <v>6</v>
      </c>
      <c r="U58" s="251">
        <f t="shared" si="8"/>
        <v>0.50339639650304402</v>
      </c>
      <c r="V58" s="383">
        <f t="shared" si="9"/>
        <v>35.533872613853902</v>
      </c>
      <c r="W58" s="402">
        <f t="shared" si="10"/>
        <v>32.006409018740591</v>
      </c>
      <c r="X58" s="157">
        <f t="shared" si="11"/>
        <v>44970</v>
      </c>
      <c r="Y58" s="385">
        <f t="shared" si="12"/>
        <v>30.88649105107752</v>
      </c>
      <c r="Z58" s="385">
        <f t="shared" si="22"/>
        <v>32.07718571217351</v>
      </c>
      <c r="AA58" s="386">
        <f t="shared" si="13"/>
        <v>37.056897845820316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0.13438016734065261</v>
      </c>
      <c r="AD58" s="231">
        <f>(INDEX(Models!$BJ58:$BT58,,AH58)*(1-AF58)+INDEX(Models!$BJ58:$BT58,,AH58+1)*AF58-ERP_i)*AE58*Ramure*Pc/MaxiM</f>
        <v>1.3209660389962748E-3</v>
      </c>
      <c r="AE58" s="305">
        <f t="shared" si="15"/>
        <v>0.7</v>
      </c>
      <c r="AF58" s="177">
        <f t="shared" si="23"/>
        <v>0.50339639650304402</v>
      </c>
      <c r="AG58" s="919">
        <f t="shared" si="24"/>
        <v>0</v>
      </c>
      <c r="AH58" s="176">
        <f t="shared" si="16"/>
        <v>6</v>
      </c>
      <c r="AI58" s="225">
        <f t="shared" si="17"/>
        <v>0.50339639650304402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1090">
        <f>IF(t&gt;Tmaj,'2022'!Wh/'2022'!Env_an*'2023'!Env_an,0.001*'[4]mon-tableau'!$B$48)</f>
        <v>17.754654378684911</v>
      </c>
      <c r="C59" s="953"/>
      <c r="D59" s="393">
        <f t="shared" si="0"/>
        <v>18.439511922128293</v>
      </c>
      <c r="E59" s="385">
        <f t="shared" si="1"/>
        <v>20.559600703342578</v>
      </c>
      <c r="F59" s="385">
        <f t="shared" si="2"/>
        <v>20.567186372778377</v>
      </c>
      <c r="G59" s="110">
        <f t="shared" si="21"/>
        <v>0.49508440470820397</v>
      </c>
      <c r="H59" s="412" t="b">
        <f>Wh_hp&gt;='2022'!Maxi_hp</f>
        <v>0</v>
      </c>
      <c r="I59" s="390">
        <f>IF(H59,Wh_hp,'2022'!Maxi_hp)</f>
        <v>42.898613753230741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3.7140763070931393E-2</v>
      </c>
      <c r="M59" s="957"/>
      <c r="N59" s="957"/>
      <c r="O59" s="48">
        <f>IF(t&lt;Tnet,'2022'!Resal+('2022'!Salim-'2022'!Resal)*(1-EXP(('2022'!Tnet-t)/('2022'!Tau_j))),Resal+(Salim-Resal)*(1-EXP((Tnet-t)/(Tau_j))))*Salcycl</f>
        <v>0.1031191613011045</v>
      </c>
      <c r="P59" s="169">
        <f>(INDEX(Models!$BJ59:$BT59,,T59)*(1-R59)+INDEX(Models!$BJ59:$BT59,,T59+1)*R59-ERP_i)*Q59*Ramure*Pc/MaxiM</f>
        <v>1.3202185109906749E-3</v>
      </c>
      <c r="Q59" s="305">
        <f t="shared" si="4"/>
        <v>0.7</v>
      </c>
      <c r="R59" s="177">
        <f t="shared" si="5"/>
        <v>0.5035650825670257</v>
      </c>
      <c r="S59" s="919">
        <f t="shared" si="6"/>
        <v>0</v>
      </c>
      <c r="T59" s="176">
        <f t="shared" si="7"/>
        <v>6</v>
      </c>
      <c r="U59" s="251">
        <f t="shared" si="8"/>
        <v>0.5035650825670257</v>
      </c>
      <c r="V59" s="383">
        <f t="shared" si="9"/>
        <v>35.827742289512578</v>
      </c>
      <c r="W59" s="402">
        <f t="shared" si="10"/>
        <v>17.754654378684911</v>
      </c>
      <c r="X59" s="157">
        <f t="shared" si="11"/>
        <v>44971</v>
      </c>
      <c r="Y59" s="385">
        <f t="shared" si="12"/>
        <v>17.134315342499953</v>
      </c>
      <c r="Z59" s="385">
        <f t="shared" si="22"/>
        <v>17.795244294636387</v>
      </c>
      <c r="AA59" s="386">
        <f t="shared" si="13"/>
        <v>20.559600703342578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0.13445574399004559</v>
      </c>
      <c r="AD59" s="231">
        <f>(INDEX(Models!$BJ59:$BT59,,AH59)*(1-AF59)+INDEX(Models!$BJ59:$BT59,,AH59+1)*AF59-ERP_i)*AE59*Ramure*Pc/MaxiM</f>
        <v>1.3202185109906749E-3</v>
      </c>
      <c r="AE59" s="305">
        <f t="shared" si="15"/>
        <v>0.7</v>
      </c>
      <c r="AF59" s="177">
        <f t="shared" si="23"/>
        <v>0.5035650825670257</v>
      </c>
      <c r="AG59" s="919">
        <f t="shared" si="24"/>
        <v>0</v>
      </c>
      <c r="AH59" s="176">
        <f t="shared" si="16"/>
        <v>6</v>
      </c>
      <c r="AI59" s="225">
        <f t="shared" si="17"/>
        <v>0.5035650825670257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1090">
        <f>IF(t&gt;Tmaj,'2022'!Wh/'2022'!Env_an*'2023'!Env_an,0.001*'[4]mon-tableau'!$B$49)</f>
        <v>17.495562576039038</v>
      </c>
      <c r="C60" s="953"/>
      <c r="D60" s="393">
        <f t="shared" si="0"/>
        <v>18.170824053114121</v>
      </c>
      <c r="E60" s="385">
        <f t="shared" si="1"/>
        <v>20.262854881652014</v>
      </c>
      <c r="F60" s="385">
        <f t="shared" si="2"/>
        <v>20.269900020635458</v>
      </c>
      <c r="G60" s="110">
        <f t="shared" si="21"/>
        <v>0.48390309494980344</v>
      </c>
      <c r="H60" s="412" t="b">
        <f>Wh_hp&gt;='2022'!Maxi_hp</f>
        <v>0</v>
      </c>
      <c r="I60" s="390">
        <f>IF(H60,Wh_hp,'2022'!Maxi_hp)</f>
        <v>43.307632323541206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3.7161852159333209E-2</v>
      </c>
      <c r="M60" s="957"/>
      <c r="N60" s="957"/>
      <c r="O60" s="48">
        <f>IF(t&lt;Tnet,'2022'!Resal+('2022'!Salim-'2022'!Resal)*(1-EXP(('2022'!Tnet-t)/('2022'!Tau_j))),Resal+(Salim-Resal)*(1-EXP((Tnet-t)/(Tau_j))))*Salcycl</f>
        <v>0.10324462375892669</v>
      </c>
      <c r="P60" s="169">
        <f>(INDEX(Models!$BJ60:$BT60,,T60)*(1-R60)+INDEX(Models!$BJ60:$BT60,,T60+1)*R60-ERP_i)*Q60*Ramure*Pc/MaxiM</f>
        <v>1.31958125741745E-3</v>
      </c>
      <c r="Q60" s="305">
        <f t="shared" si="4"/>
        <v>0.7</v>
      </c>
      <c r="R60" s="177">
        <f t="shared" si="5"/>
        <v>0.50374072353335608</v>
      </c>
      <c r="S60" s="919">
        <f t="shared" si="6"/>
        <v>0</v>
      </c>
      <c r="T60" s="176">
        <f t="shared" si="7"/>
        <v>6</v>
      </c>
      <c r="U60" s="251">
        <f t="shared" si="8"/>
        <v>0.50374072353335608</v>
      </c>
      <c r="V60" s="383">
        <f t="shared" si="9"/>
        <v>36.119939924662127</v>
      </c>
      <c r="W60" s="402">
        <f t="shared" si="10"/>
        <v>17.495562576039038</v>
      </c>
      <c r="X60" s="157">
        <f t="shared" si="11"/>
        <v>44972</v>
      </c>
      <c r="Y60" s="385">
        <f t="shared" si="12"/>
        <v>16.885165490834996</v>
      </c>
      <c r="Z60" s="385">
        <f t="shared" si="22"/>
        <v>17.536867986278835</v>
      </c>
      <c r="AA60" s="386">
        <f t="shared" si="13"/>
        <v>20.262854881652014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0.13453123517365537</v>
      </c>
      <c r="AD60" s="231">
        <f>(INDEX(Models!$BJ60:$BT60,,AH60)*(1-AF60)+INDEX(Models!$BJ60:$BT60,,AH60+1)*AF60-ERP_i)*AE60*Ramure*Pc/MaxiM</f>
        <v>1.31958125741745E-3</v>
      </c>
      <c r="AE60" s="305">
        <f t="shared" si="15"/>
        <v>0.7</v>
      </c>
      <c r="AF60" s="177">
        <f t="shared" si="23"/>
        <v>0.50374072353335608</v>
      </c>
      <c r="AG60" s="919">
        <f t="shared" si="24"/>
        <v>0</v>
      </c>
      <c r="AH60" s="176">
        <f t="shared" si="16"/>
        <v>6</v>
      </c>
      <c r="AI60" s="225">
        <f t="shared" si="17"/>
        <v>0.50374072353335608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1090">
        <f>IF(t&gt;Tmaj,'2022'!Wh/'2022'!Env_an*'2023'!Env_an,0.001*'[4]mon-tableau'!$B$50)</f>
        <v>7.6089701465702726</v>
      </c>
      <c r="C61" s="953"/>
      <c r="D61" s="393">
        <f t="shared" si="0"/>
        <v>7.9028202437340944</v>
      </c>
      <c r="E61" s="385">
        <f t="shared" si="1"/>
        <v>8.8139136474282243</v>
      </c>
      <c r="F61" s="385">
        <f t="shared" si="2"/>
        <v>8.8139136474282243</v>
      </c>
      <c r="G61" s="110">
        <f t="shared" si="21"/>
        <v>0.20870455832467505</v>
      </c>
      <c r="H61" s="412" t="b">
        <f>Wh_hp&gt;='2022'!Maxi_hp</f>
        <v>0</v>
      </c>
      <c r="I61" s="390">
        <f>IF(H61,Wh_hp,'2022'!Maxi_hp)</f>
        <v>43.625435149292962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3.7182940785829843E-2</v>
      </c>
      <c r="M61" s="957"/>
      <c r="N61" s="957"/>
      <c r="O61" s="48">
        <f>IF(t&lt;Tnet,'2022'!Resal+('2022'!Salim-'2022'!Resal)*(1-EXP(('2022'!Tnet-t)/('2022'!Tau_j))),Resal+(Salim-Resal)*(1-EXP((Tnet-t)/(Tau_j))))*Salcycl</f>
        <v>0.10336990355697138</v>
      </c>
      <c r="P61" s="169">
        <f>(INDEX(Models!$BJ61:$BT61,,T61)*(1-R61)+INDEX(Models!$BJ61:$BT61,,T61+1)*R61-ERP_i)*Q61*Ramure*Pc/MaxiM</f>
        <v>1.3190688270694471E-3</v>
      </c>
      <c r="Q61" s="305">
        <f t="shared" si="4"/>
        <v>0.7</v>
      </c>
      <c r="R61" s="177">
        <f t="shared" si="5"/>
        <v>0.50392360087914423</v>
      </c>
      <c r="S61" s="919">
        <f t="shared" si="6"/>
        <v>0</v>
      </c>
      <c r="T61" s="176">
        <f t="shared" si="7"/>
        <v>6</v>
      </c>
      <c r="U61" s="251">
        <f t="shared" si="8"/>
        <v>0.50392360087914423</v>
      </c>
      <c r="V61" s="383">
        <f t="shared" si="9"/>
        <v>36.41000202507513</v>
      </c>
      <c r="W61" s="402">
        <f t="shared" si="10"/>
        <v>7.6089701465702726</v>
      </c>
      <c r="X61" s="157">
        <f t="shared" si="11"/>
        <v>44973</v>
      </c>
      <c r="Y61" s="385">
        <f t="shared" si="12"/>
        <v>7.3438894860195516</v>
      </c>
      <c r="Z61" s="385">
        <f t="shared" si="22"/>
        <v>7.6275024582691451</v>
      </c>
      <c r="AA61" s="386">
        <f t="shared" si="13"/>
        <v>8.8139136474282243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0.1346066272733745</v>
      </c>
      <c r="AD61" s="231">
        <f>(INDEX(Models!$BJ61:$BT61,,AH61)*(1-AF61)+INDEX(Models!$BJ61:$BT61,,AH61+1)*AF61-ERP_i)*AE61*Ramure*Pc/MaxiM</f>
        <v>1.3190688270694471E-3</v>
      </c>
      <c r="AE61" s="305">
        <f t="shared" si="15"/>
        <v>0.7</v>
      </c>
      <c r="AF61" s="177">
        <f t="shared" si="23"/>
        <v>0.50392360087914423</v>
      </c>
      <c r="AG61" s="919">
        <f t="shared" si="24"/>
        <v>0</v>
      </c>
      <c r="AH61" s="176">
        <f t="shared" si="16"/>
        <v>6</v>
      </c>
      <c r="AI61" s="225">
        <f t="shared" si="17"/>
        <v>0.50392360087914423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1090">
        <f>IF(t&gt;Tmaj,'2022'!Wh/'2022'!Env_an*'2023'!Env_an,0.001*'[4]mon-tableau'!$B$51)</f>
        <v>8.8914178355127298</v>
      </c>
      <c r="C62" s="953"/>
      <c r="D62" s="393">
        <f t="shared" si="0"/>
        <v>9.2349969286015678</v>
      </c>
      <c r="E62" s="385">
        <f t="shared" si="1"/>
        <v>10.301110240779041</v>
      </c>
      <c r="F62" s="385">
        <f t="shared" si="2"/>
        <v>10.301110240779041</v>
      </c>
      <c r="G62" s="110">
        <f t="shared" si="21"/>
        <v>0.24197019254284952</v>
      </c>
      <c r="H62" s="412" t="b">
        <f>Wh_hp&gt;='2022'!Maxi_hp</f>
        <v>0</v>
      </c>
      <c r="I62" s="390">
        <f>IF(H62,Wh_hp,'2022'!Maxi_hp)</f>
        <v>44.343925318135149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3.7204028950431511E-2</v>
      </c>
      <c r="M62" s="957"/>
      <c r="N62" s="957"/>
      <c r="O62" s="48">
        <f>IF(t&lt;Tnet,'2022'!Resal+('2022'!Salim-'2022'!Resal)*(1-EXP(('2022'!Tnet-t)/('2022'!Tau_j))),Resal+(Salim-Resal)*(1-EXP((Tnet-t)/(Tau_j))))*Salcycl</f>
        <v>0.10349499105028946</v>
      </c>
      <c r="P62" s="169">
        <f>(INDEX(Models!$BJ62:$BT62,,T62)*(1-R62)+INDEX(Models!$BJ62:$BT62,,T62+1)*R62-ERP_i)*Q62*Ramure*Pc/MaxiM</f>
        <v>1.3186954381723172E-3</v>
      </c>
      <c r="Q62" s="305">
        <f t="shared" si="4"/>
        <v>0.7</v>
      </c>
      <c r="R62" s="177">
        <f t="shared" si="5"/>
        <v>0.50411400702630049</v>
      </c>
      <c r="S62" s="919">
        <f t="shared" si="6"/>
        <v>0</v>
      </c>
      <c r="T62" s="176">
        <f t="shared" si="7"/>
        <v>6</v>
      </c>
      <c r="U62" s="251">
        <f t="shared" si="8"/>
        <v>0.50411400702630049</v>
      </c>
      <c r="V62" s="383">
        <f t="shared" si="9"/>
        <v>36.697465378103075</v>
      </c>
      <c r="W62" s="402">
        <f t="shared" si="10"/>
        <v>8.8914178355127298</v>
      </c>
      <c r="X62" s="157">
        <f t="shared" si="11"/>
        <v>44974</v>
      </c>
      <c r="Y62" s="385">
        <f t="shared" si="12"/>
        <v>8.5821101325480491</v>
      </c>
      <c r="Z62" s="385">
        <f t="shared" si="22"/>
        <v>8.913737064346531</v>
      </c>
      <c r="AA62" s="386">
        <f t="shared" si="13"/>
        <v>10.301110240779041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0.13468190748413816</v>
      </c>
      <c r="AD62" s="231">
        <f>(INDEX(Models!$BJ62:$BT62,,AH62)*(1-AF62)+INDEX(Models!$BJ62:$BT62,,AH62+1)*AF62-ERP_i)*AE62*Ramure*Pc/MaxiM</f>
        <v>1.3186954381723172E-3</v>
      </c>
      <c r="AE62" s="305">
        <f t="shared" si="15"/>
        <v>0.7</v>
      </c>
      <c r="AF62" s="177">
        <f t="shared" si="23"/>
        <v>0.50411400702630049</v>
      </c>
      <c r="AG62" s="919">
        <f t="shared" si="24"/>
        <v>0</v>
      </c>
      <c r="AH62" s="176">
        <f t="shared" si="16"/>
        <v>6</v>
      </c>
      <c r="AI62" s="225">
        <f t="shared" si="17"/>
        <v>0.50411400702630049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1090">
        <f>IF(t&gt;Tmaj,'2022'!Wh/'2022'!Env_an*'2023'!Env_an,0.001*'[4]mon-tableau'!$B$52)</f>
        <v>29.13927754913394</v>
      </c>
      <c r="C63" s="953"/>
      <c r="D63" s="393">
        <f t="shared" si="0"/>
        <v>30.265930336527223</v>
      </c>
      <c r="E63" s="385">
        <f t="shared" si="1"/>
        <v>33.764615671280716</v>
      </c>
      <c r="F63" s="385">
        <f t="shared" si="2"/>
        <v>33.795675299797985</v>
      </c>
      <c r="G63" s="110">
        <f t="shared" si="21"/>
        <v>0.78761917569528339</v>
      </c>
      <c r="H63" s="412" t="b">
        <f>Wh_hp&gt;='2022'!Maxi_hp</f>
        <v>0</v>
      </c>
      <c r="I63" s="390">
        <f>IF(H63,Wh_hp,'2022'!Maxi_hp)</f>
        <v>43.682090944826165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3.7225116653148205E-2</v>
      </c>
      <c r="M63" s="957"/>
      <c r="N63" s="957"/>
      <c r="O63" s="48">
        <f>IF(t&lt;Tnet,'2022'!Resal+('2022'!Salim-'2022'!Resal)*(1-EXP(('2022'!Tnet-t)/('2022'!Tau_j))),Resal+(Salim-Resal)*(1-EXP((Tnet-t)/(Tau_j))))*Salcycl</f>
        <v>0.10361987735371685</v>
      </c>
      <c r="P63" s="169">
        <f>(INDEX(Models!$BJ63:$BT63,,T63)*(1-R63)+INDEX(Models!$BJ63:$BT63,,T63+1)*R63-ERP_i)*Q63*Ramure*Pc/MaxiM</f>
        <v>1.3184750485401354E-3</v>
      </c>
      <c r="Q63" s="305">
        <f t="shared" si="4"/>
        <v>0.7</v>
      </c>
      <c r="R63" s="177">
        <f t="shared" si="5"/>
        <v>0.50431224572904887</v>
      </c>
      <c r="S63" s="919">
        <f t="shared" si="6"/>
        <v>0</v>
      </c>
      <c r="T63" s="176">
        <f t="shared" si="7"/>
        <v>6</v>
      </c>
      <c r="U63" s="251">
        <f t="shared" si="8"/>
        <v>0.50431224572904887</v>
      </c>
      <c r="V63" s="383">
        <f t="shared" si="9"/>
        <v>36.981867045043856</v>
      </c>
      <c r="W63" s="402">
        <f t="shared" si="10"/>
        <v>29.13927754913394</v>
      </c>
      <c r="X63" s="157">
        <f t="shared" si="11"/>
        <v>44975</v>
      </c>
      <c r="Y63" s="385">
        <f t="shared" si="12"/>
        <v>28.12707848141946</v>
      </c>
      <c r="Z63" s="385">
        <f t="shared" si="22"/>
        <v>29.214595195548245</v>
      </c>
      <c r="AA63" s="386">
        <f t="shared" si="13"/>
        <v>33.764615671280716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0.134757064023169</v>
      </c>
      <c r="AD63" s="231">
        <f>(INDEX(Models!$BJ63:$BT63,,AH63)*(1-AF63)+INDEX(Models!$BJ63:$BT63,,AH63+1)*AF63-ERP_i)*AE63*Ramure*Pc/MaxiM</f>
        <v>1.3184750485401354E-3</v>
      </c>
      <c r="AE63" s="305">
        <f t="shared" si="15"/>
        <v>0.7</v>
      </c>
      <c r="AF63" s="177">
        <f t="shared" si="23"/>
        <v>0.50431224572904887</v>
      </c>
      <c r="AG63" s="919">
        <f t="shared" si="24"/>
        <v>0</v>
      </c>
      <c r="AH63" s="176">
        <f t="shared" si="16"/>
        <v>6</v>
      </c>
      <c r="AI63" s="225">
        <f t="shared" si="17"/>
        <v>0.50431224572904887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1090">
        <f>IF(t&gt;Tmaj,'2022'!Wh/'2022'!Env_an*'2023'!Env_an,0.001*'[4]mon-tableau'!$B$53)</f>
        <v>17.766651567464663</v>
      </c>
      <c r="C64" s="953"/>
      <c r="D64" s="393">
        <f t="shared" si="0"/>
        <v>18.453992743860713</v>
      </c>
      <c r="E64" s="385">
        <f t="shared" si="1"/>
        <v>20.590103900125854</v>
      </c>
      <c r="F64" s="385">
        <f t="shared" si="2"/>
        <v>20.596962363440685</v>
      </c>
      <c r="G64" s="110">
        <f t="shared" si="21"/>
        <v>0.47632395646094206</v>
      </c>
      <c r="H64" s="412" t="b">
        <f>Wh_hp&gt;='2022'!Maxi_hp</f>
        <v>0</v>
      </c>
      <c r="I64" s="390">
        <f>IF(H64,Wh_hp,'2022'!Maxi_hp)</f>
        <v>40.826390842051637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3.7246203893990137E-2</v>
      </c>
      <c r="M64" s="957"/>
      <c r="N64" s="957"/>
      <c r="O64" s="48">
        <f>IF(t&lt;Tnet,'2022'!Resal+('2022'!Salim-'2022'!Resal)*(1-EXP(('2022'!Tnet-t)/('2022'!Tau_j))),Resal+(Salim-Resal)*(1-EXP((Tnet-t)/(Tau_j))))*Salcycl</f>
        <v>0.10374455450183938</v>
      </c>
      <c r="P64" s="169">
        <f>(INDEX(Models!$BJ64:$BT64,,T64)*(1-R64)+INDEX(Models!$BJ64:$BT64,,T64+1)*R64-ERP_i)*Q64*Ramure*Pc/MaxiM</f>
        <v>1.3184214263940342E-3</v>
      </c>
      <c r="Q64" s="305">
        <f t="shared" si="4"/>
        <v>0.7</v>
      </c>
      <c r="R64" s="177">
        <f t="shared" si="5"/>
        <v>0.5045186324718578</v>
      </c>
      <c r="S64" s="919">
        <f t="shared" si="6"/>
        <v>0</v>
      </c>
      <c r="T64" s="176">
        <f t="shared" si="7"/>
        <v>6</v>
      </c>
      <c r="U64" s="251">
        <f t="shared" si="8"/>
        <v>0.5045186324718578</v>
      </c>
      <c r="V64" s="383">
        <f t="shared" si="9"/>
        <v>37.262744347219787</v>
      </c>
      <c r="W64" s="402">
        <f t="shared" si="10"/>
        <v>17.766651567464663</v>
      </c>
      <c r="X64" s="157">
        <f t="shared" si="11"/>
        <v>44976</v>
      </c>
      <c r="Y64" s="385">
        <f t="shared" si="12"/>
        <v>17.150397184927961</v>
      </c>
      <c r="Z64" s="385">
        <f t="shared" si="22"/>
        <v>17.813897233430914</v>
      </c>
      <c r="AA64" s="386">
        <f t="shared" si="13"/>
        <v>20.590103900125854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0.13483208633434687</v>
      </c>
      <c r="AD64" s="231">
        <f>(INDEX(Models!$BJ64:$BT64,,AH64)*(1-AF64)+INDEX(Models!$BJ64:$BT64,,AH64+1)*AF64-ERP_i)*AE64*Ramure*Pc/MaxiM</f>
        <v>1.3184214263940342E-3</v>
      </c>
      <c r="AE64" s="305">
        <f t="shared" si="15"/>
        <v>0.7</v>
      </c>
      <c r="AF64" s="177">
        <f t="shared" si="23"/>
        <v>0.5045186324718578</v>
      </c>
      <c r="AG64" s="919">
        <f t="shared" si="24"/>
        <v>0</v>
      </c>
      <c r="AH64" s="176">
        <f t="shared" si="16"/>
        <v>6</v>
      </c>
      <c r="AI64" s="225">
        <f t="shared" si="17"/>
        <v>0.5045186324718578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1090">
        <f>IF(t&gt;Tmaj,'2022'!Wh/'2022'!Env_an*'2023'!Env_an,0.001*'[4]mon-tableau'!$B$54)</f>
        <v>20.940582094094164</v>
      </c>
      <c r="C65" s="953"/>
      <c r="D65" s="393">
        <f t="shared" si="0"/>
        <v>21.751190014860931</v>
      </c>
      <c r="E65" s="385">
        <f t="shared" si="1"/>
        <v>24.272333390556113</v>
      </c>
      <c r="F65" s="385">
        <f t="shared" si="2"/>
        <v>24.284126055051765</v>
      </c>
      <c r="G65" s="110">
        <f t="shared" si="21"/>
        <v>0.55734684575701954</v>
      </c>
      <c r="H65" s="412" t="b">
        <f>Wh_hp&gt;='2022'!Maxi_hp</f>
        <v>0</v>
      </c>
      <c r="I65" s="390">
        <f>IF(H65,Wh_hp,'2022'!Maxi_hp)</f>
        <v>43.218540620250515</v>
      </c>
      <c r="J65" s="85">
        <f>IF(H65,An,'2022'!An_max)</f>
        <v>2019</v>
      </c>
      <c r="K65" s="197">
        <f t="shared" si="3"/>
        <v>44977</v>
      </c>
      <c r="L65" s="147">
        <f>IF(t&lt;Tvie,1-EXP((T0-t)*PertePVj)+'2022'!Pspv,1-EXP((T0-t)*PertePVj)+Pspv)</f>
        <v>3.7267290672967301E-2</v>
      </c>
      <c r="M65" s="957"/>
      <c r="N65" s="957"/>
      <c r="O65" s="48">
        <f>IF(t&lt;Tnet,'2022'!Resal+('2022'!Salim-'2022'!Resal)*(1-EXP(('2022'!Tnet-t)/('2022'!Tau_j))),Resal+(Salim-Resal)*(1-EXP((Tnet-t)/(Tau_j))))*Salcycl</f>
        <v>0.10386901560424795</v>
      </c>
      <c r="P65" s="169">
        <f>(INDEX(Models!$BJ65:$BT65,,T65)*(1-R65)+INDEX(Models!$BJ65:$BT65,,T65+1)*R65-ERP_i)*Q65*Ramure*Pc/MaxiM</f>
        <v>1.3185145456304295E-3</v>
      </c>
      <c r="Q65" s="305">
        <f t="shared" si="4"/>
        <v>0.7</v>
      </c>
      <c r="R65" s="177">
        <f t="shared" si="5"/>
        <v>0.50473349487776809</v>
      </c>
      <c r="S65" s="919">
        <f t="shared" si="6"/>
        <v>0</v>
      </c>
      <c r="T65" s="176">
        <f t="shared" si="7"/>
        <v>6</v>
      </c>
      <c r="U65" s="251">
        <f t="shared" si="8"/>
        <v>0.50473349487776809</v>
      </c>
      <c r="V65" s="383">
        <f t="shared" si="9"/>
        <v>37.540594903543735</v>
      </c>
      <c r="W65" s="402">
        <f t="shared" si="10"/>
        <v>20.940582094094164</v>
      </c>
      <c r="X65" s="157">
        <f t="shared" si="11"/>
        <v>44977</v>
      </c>
      <c r="Y65" s="385">
        <f t="shared" si="12"/>
        <v>20.215294446803323</v>
      </c>
      <c r="Z65" s="385">
        <f t="shared" si="22"/>
        <v>20.997826552433409</v>
      </c>
      <c r="AA65" s="386">
        <f t="shared" si="13"/>
        <v>24.272333390556113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0.13490696528570056</v>
      </c>
      <c r="AD65" s="231">
        <f>(INDEX(Models!$BJ65:$BT65,,AH65)*(1-AF65)+INDEX(Models!$BJ65:$BT65,,AH65+1)*AF65-ERP_i)*AE65*Ramure*Pc/MaxiM</f>
        <v>1.3185145456304295E-3</v>
      </c>
      <c r="AE65" s="305">
        <f t="shared" si="15"/>
        <v>0.7</v>
      </c>
      <c r="AF65" s="177">
        <f t="shared" si="23"/>
        <v>0.50473349487776809</v>
      </c>
      <c r="AG65" s="919">
        <f t="shared" si="24"/>
        <v>0</v>
      </c>
      <c r="AH65" s="176">
        <f t="shared" si="16"/>
        <v>6</v>
      </c>
      <c r="AI65" s="225">
        <f t="shared" si="17"/>
        <v>0.50473349487776809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1090">
        <f>IF(t&gt;Tmaj,'2022'!Wh/'2022'!Env_an*'2023'!Env_an,0.001*'[4]mon-tableau'!$B$55)</f>
        <v>20.617563323991643</v>
      </c>
      <c r="C66" s="953"/>
      <c r="D66" s="393">
        <f t="shared" si="0"/>
        <v>21.416136287553066</v>
      </c>
      <c r="E66" s="385">
        <f t="shared" si="1"/>
        <v>23.901757890699749</v>
      </c>
      <c r="F66" s="385">
        <f t="shared" si="2"/>
        <v>23.912798593102206</v>
      </c>
      <c r="G66" s="110">
        <f t="shared" si="21"/>
        <v>0.5447357987182595</v>
      </c>
      <c r="H66" s="412" t="b">
        <f>Wh_hp&gt;='2022'!Maxi_hp</f>
        <v>0</v>
      </c>
      <c r="I66" s="390">
        <f>IF(H66,Wh_hp,'2022'!Maxi_hp)</f>
        <v>42.441850727741603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3.7288376990089911E-2</v>
      </c>
      <c r="M66" s="957"/>
      <c r="N66" s="957"/>
      <c r="O66" s="48">
        <f>IF(t&lt;Tnet,'2022'!Resal+('2022'!Salim-'2022'!Resal)*(1-EXP(('2022'!Tnet-t)/('2022'!Tau_j))),Resal+(Salim-Resal)*(1-EXP((Tnet-t)/(Tau_j))))*Salcycl</f>
        <v>0.10399325499459797</v>
      </c>
      <c r="P66" s="169">
        <f>(INDEX(Models!$BJ66:$BT66,,T66)*(1-R66)+INDEX(Models!$BJ66:$BT66,,T66+1)*R66-ERP_i)*Q66*Ramure*Pc/MaxiM</f>
        <v>1.3180707548804277E-3</v>
      </c>
      <c r="Q66" s="305">
        <f t="shared" si="4"/>
        <v>0.7</v>
      </c>
      <c r="R66" s="177">
        <f t="shared" si="5"/>
        <v>0.50495717312705468</v>
      </c>
      <c r="S66" s="919">
        <f t="shared" si="6"/>
        <v>0</v>
      </c>
      <c r="T66" s="176">
        <f t="shared" si="7"/>
        <v>6</v>
      </c>
      <c r="U66" s="251">
        <f t="shared" si="8"/>
        <v>0.50495717312705468</v>
      </c>
      <c r="V66" s="383">
        <f t="shared" si="9"/>
        <v>37.816312199895833</v>
      </c>
      <c r="W66" s="402">
        <f t="shared" si="10"/>
        <v>20.617563323991643</v>
      </c>
      <c r="X66" s="157">
        <f t="shared" si="11"/>
        <v>44978</v>
      </c>
      <c r="Y66" s="385">
        <f t="shared" si="12"/>
        <v>19.904503858944992</v>
      </c>
      <c r="Z66" s="385">
        <f t="shared" si="22"/>
        <v>20.675458136377042</v>
      </c>
      <c r="AA66" s="386">
        <f t="shared" si="13"/>
        <v>23.901757890699749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0.1349816933581304</v>
      </c>
      <c r="AD66" s="231">
        <f>(INDEX(Models!$BJ66:$BT66,,AH66)*(1-AF66)+INDEX(Models!$BJ66:$BT66,,AH66+1)*AF66-ERP_i)*AE66*Ramure*Pc/MaxiM</f>
        <v>1.3180707548804277E-3</v>
      </c>
      <c r="AE66" s="305">
        <f t="shared" si="15"/>
        <v>0.7</v>
      </c>
      <c r="AF66" s="177">
        <f t="shared" si="23"/>
        <v>0.50495717312705468</v>
      </c>
      <c r="AG66" s="919">
        <f t="shared" si="24"/>
        <v>0</v>
      </c>
      <c r="AH66" s="176">
        <f t="shared" si="16"/>
        <v>6</v>
      </c>
      <c r="AI66" s="225">
        <f t="shared" si="17"/>
        <v>0.50495717312705468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1090">
        <f>IF(t&gt;Tmaj,'2022'!Wh/'2022'!Env_an*'2023'!Env_an,0.001*'[4]mon-tableau'!$B$56)</f>
        <v>33.759455811323498</v>
      </c>
      <c r="C67" s="953"/>
      <c r="D67" s="393">
        <f t="shared" si="0"/>
        <v>35.067817235541078</v>
      </c>
      <c r="E67" s="385">
        <f t="shared" si="1"/>
        <v>39.143311950905606</v>
      </c>
      <c r="F67" s="385">
        <f t="shared" si="2"/>
        <v>39.186535691799392</v>
      </c>
      <c r="G67" s="110">
        <f t="shared" si="21"/>
        <v>0.88611785901461582</v>
      </c>
      <c r="H67" s="412" t="b">
        <f>Wh_hp&gt;='2022'!Maxi_hp</f>
        <v>0</v>
      </c>
      <c r="I67" s="390">
        <f>IF(H67,Wh_hp,'2022'!Maxi_hp)</f>
        <v>42.464770609772728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3.7309462845368069E-2</v>
      </c>
      <c r="M67" s="957"/>
      <c r="N67" s="957"/>
      <c r="O67" s="48">
        <f>IF(t&lt;Tnet,'2022'!Resal+('2022'!Salim-'2022'!Resal)*(1-EXP(('2022'!Tnet-t)/('2022'!Tau_j))),Resal+(Salim-Resal)*(1-EXP((Tnet-t)/(Tau_j))))*Salcycl</f>
        <v>0.10411726837208099</v>
      </c>
      <c r="P67" s="169">
        <f>(INDEX(Models!$BJ67:$BT67,,T67)*(1-R67)+INDEX(Models!$BJ67:$BT67,,T67+1)*R67-ERP_i)*Q67*Ramure*Pc/MaxiM</f>
        <v>1.3169156716211128E-3</v>
      </c>
      <c r="Q67" s="305">
        <f t="shared" si="4"/>
        <v>0.7</v>
      </c>
      <c r="R67" s="177">
        <f t="shared" si="5"/>
        <v>0.50519002038612393</v>
      </c>
      <c r="S67" s="919">
        <f t="shared" si="6"/>
        <v>0</v>
      </c>
      <c r="T67" s="176">
        <f t="shared" si="7"/>
        <v>6</v>
      </c>
      <c r="U67" s="251">
        <f t="shared" si="8"/>
        <v>0.50519002038612393</v>
      </c>
      <c r="V67" s="383">
        <f t="shared" si="9"/>
        <v>38.089997478761411</v>
      </c>
      <c r="W67" s="402">
        <f t="shared" si="10"/>
        <v>33.759455811323498</v>
      </c>
      <c r="X67" s="157">
        <f t="shared" si="11"/>
        <v>44979</v>
      </c>
      <c r="Y67" s="385">
        <f t="shared" si="12"/>
        <v>32.593584825448026</v>
      </c>
      <c r="Z67" s="385">
        <f t="shared" si="22"/>
        <v>33.856762445991187</v>
      </c>
      <c r="AA67" s="386">
        <f t="shared" si="13"/>
        <v>39.143311950905606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0.13505626482360322</v>
      </c>
      <c r="AD67" s="231">
        <f>(INDEX(Models!$BJ67:$BT67,,AH67)*(1-AF67)+INDEX(Models!$BJ67:$BT67,,AH67+1)*AF67-ERP_i)*AE67*Ramure*Pc/MaxiM</f>
        <v>1.3169156716211128E-3</v>
      </c>
      <c r="AE67" s="305">
        <f t="shared" si="15"/>
        <v>0.7</v>
      </c>
      <c r="AF67" s="177">
        <f t="shared" si="23"/>
        <v>0.50519002038612393</v>
      </c>
      <c r="AG67" s="919">
        <f t="shared" si="24"/>
        <v>0</v>
      </c>
      <c r="AH67" s="176">
        <f t="shared" si="16"/>
        <v>6</v>
      </c>
      <c r="AI67" s="225">
        <f t="shared" si="17"/>
        <v>0.50519002038612393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1090">
        <f>IF(t&gt;Tmaj,'2022'!Wh/'2022'!Env_an*'2023'!Env_an,0.001*'[4]mon-tableau'!$B$57)</f>
        <v>35.212209179430175</v>
      </c>
      <c r="C68" s="953"/>
      <c r="D68" s="393">
        <f t="shared" si="0"/>
        <v>36.577673795517256</v>
      </c>
      <c r="E68" s="385">
        <f t="shared" si="1"/>
        <v>40.834282387383361</v>
      </c>
      <c r="F68" s="385">
        <f t="shared" si="2"/>
        <v>40.881738522186261</v>
      </c>
      <c r="G68" s="110">
        <f t="shared" si="21"/>
        <v>0.91775730270691491</v>
      </c>
      <c r="H68" s="412" t="b">
        <f>Wh_hp&gt;='2022'!Maxi_hp</f>
        <v>0</v>
      </c>
      <c r="I68" s="390">
        <f>IF(H68,Wh_hp,'2022'!Maxi_hp)</f>
        <v>43.491209699160983</v>
      </c>
      <c r="J68" s="85">
        <f>IF(H68,An,'2022'!An_max)</f>
        <v>2019</v>
      </c>
      <c r="K68" s="197">
        <f t="shared" si="3"/>
        <v>44980</v>
      </c>
      <c r="L68" s="147">
        <f>IF(t&lt;Tvie,1-EXP((T0-t)*PertePVj)+'2022'!Pspv,1-EXP((T0-t)*PertePVj)+Pspv)</f>
        <v>3.7330548238811878E-2</v>
      </c>
      <c r="M68" s="957"/>
      <c r="N68" s="957"/>
      <c r="O68" s="48">
        <f>IF(t&lt;Tnet,'2022'!Resal+('2022'!Salim-'2022'!Resal)*(1-EXP(('2022'!Tnet-t)/('2022'!Tau_j))),Resal+(Salim-Resal)*(1-EXP((Tnet-t)/(Tau_j))))*Salcycl</f>
        <v>0.10424105293402379</v>
      </c>
      <c r="P68" s="169">
        <f>(INDEX(Models!$BJ68:$BT68,,T68)*(1-R68)+INDEX(Models!$BJ68:$BT68,,T68+1)*R68-ERP_i)*Q68*Ramure*Pc/MaxiM</f>
        <v>1.3150538114072711E-3</v>
      </c>
      <c r="Q68" s="305">
        <f t="shared" si="4"/>
        <v>0.7</v>
      </c>
      <c r="R68" s="177">
        <f t="shared" si="5"/>
        <v>0.50543240324650185</v>
      </c>
      <c r="S68" s="919">
        <f t="shared" si="6"/>
        <v>0</v>
      </c>
      <c r="T68" s="176">
        <f t="shared" si="7"/>
        <v>6</v>
      </c>
      <c r="U68" s="251">
        <f t="shared" si="8"/>
        <v>0.50543240324650185</v>
      </c>
      <c r="V68" s="383">
        <f t="shared" si="9"/>
        <v>38.361745173859916</v>
      </c>
      <c r="W68" s="402">
        <f t="shared" si="10"/>
        <v>35.212209179430175</v>
      </c>
      <c r="X68" s="157">
        <f t="shared" si="11"/>
        <v>44980</v>
      </c>
      <c r="Y68" s="385">
        <f t="shared" si="12"/>
        <v>33.997940687545189</v>
      </c>
      <c r="Z68" s="385">
        <f t="shared" si="22"/>
        <v>35.316318208027177</v>
      </c>
      <c r="AA68" s="386">
        <f t="shared" si="13"/>
        <v>40.834282387383361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0.13513067591120631</v>
      </c>
      <c r="AD68" s="231">
        <f>(INDEX(Models!$BJ68:$BT68,,AH68)*(1-AF68)+INDEX(Models!$BJ68:$BT68,,AH68+1)*AF68-ERP_i)*AE68*Ramure*Pc/MaxiM</f>
        <v>1.3150538114072711E-3</v>
      </c>
      <c r="AE68" s="305">
        <f t="shared" si="15"/>
        <v>0.7</v>
      </c>
      <c r="AF68" s="177">
        <f t="shared" si="23"/>
        <v>0.50543240324650185</v>
      </c>
      <c r="AG68" s="919">
        <f t="shared" si="24"/>
        <v>0</v>
      </c>
      <c r="AH68" s="176">
        <f t="shared" si="16"/>
        <v>6</v>
      </c>
      <c r="AI68" s="225">
        <f t="shared" si="17"/>
        <v>0.50543240324650185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1090">
        <f>IF(t&gt;Tmaj,'2022'!Wh/'2022'!Env_an*'2023'!Env_an,0.001*'[4]mon-tableau'!$B$58)</f>
        <v>20.028939868288894</v>
      </c>
      <c r="C69" s="953"/>
      <c r="D69" s="393">
        <f t="shared" si="0"/>
        <v>20.806080972487546</v>
      </c>
      <c r="E69" s="385">
        <f t="shared" si="1"/>
        <v>23.230525665555863</v>
      </c>
      <c r="F69" s="385">
        <f t="shared" si="2"/>
        <v>23.240045020955979</v>
      </c>
      <c r="G69" s="110">
        <f t="shared" si="21"/>
        <v>0.51799105020394787</v>
      </c>
      <c r="H69" s="412" t="b">
        <f>Wh_hp&gt;='2022'!Maxi_hp</f>
        <v>0</v>
      </c>
      <c r="I69" s="390">
        <f>IF(H69,Wh_hp,'2022'!Maxi_hp)</f>
        <v>44.144707241290959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3.7351633170431553E-2</v>
      </c>
      <c r="M69" s="957"/>
      <c r="N69" s="957"/>
      <c r="O69" s="48">
        <f>IF(t&lt;Tnet,'2022'!Resal+('2022'!Salim-'2022'!Resal)*(1-EXP(('2022'!Tnet-t)/('2022'!Tau_j))),Resal+(Salim-Resal)*(1-EXP((Tnet-t)/(Tau_j))))*Salcycl</f>
        <v>0.10436460749844607</v>
      </c>
      <c r="P69" s="169">
        <f>(INDEX(Models!$BJ69:$BT69,,T69)*(1-R69)+INDEX(Models!$BJ69:$BT69,,T69+1)*R69-ERP_i)*Q69*Ramure*Pc/MaxiM</f>
        <v>1.3124959615198925E-3</v>
      </c>
      <c r="Q69" s="305">
        <f t="shared" si="4"/>
        <v>0.7</v>
      </c>
      <c r="R69" s="177">
        <f t="shared" si="5"/>
        <v>0.50568470217372008</v>
      </c>
      <c r="S69" s="919">
        <f t="shared" si="6"/>
        <v>0</v>
      </c>
      <c r="T69" s="176">
        <f t="shared" si="7"/>
        <v>6</v>
      </c>
      <c r="U69" s="251">
        <f t="shared" si="8"/>
        <v>0.50568470217372008</v>
      </c>
      <c r="V69" s="383">
        <f t="shared" si="9"/>
        <v>38.631649334288397</v>
      </c>
      <c r="W69" s="402">
        <f t="shared" si="10"/>
        <v>20.028939868288894</v>
      </c>
      <c r="X69" s="157">
        <f t="shared" si="11"/>
        <v>44981</v>
      </c>
      <c r="Y69" s="385">
        <f t="shared" si="12"/>
        <v>19.339263166005768</v>
      </c>
      <c r="Z69" s="385">
        <f t="shared" si="22"/>
        <v>20.089644186172162</v>
      </c>
      <c r="AA69" s="386">
        <f t="shared" si="13"/>
        <v>23.230525665555863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0.1352049249596069</v>
      </c>
      <c r="AD69" s="231">
        <f>(INDEX(Models!$BJ69:$BT69,,AH69)*(1-AF69)+INDEX(Models!$BJ69:$BT69,,AH69+1)*AF69-ERP_i)*AE69*Ramure*Pc/MaxiM</f>
        <v>1.3124959615198925E-3</v>
      </c>
      <c r="AE69" s="305">
        <f t="shared" si="15"/>
        <v>0.7</v>
      </c>
      <c r="AF69" s="177">
        <f t="shared" si="23"/>
        <v>0.50568470217372008</v>
      </c>
      <c r="AG69" s="919">
        <f t="shared" si="24"/>
        <v>0</v>
      </c>
      <c r="AH69" s="176">
        <f t="shared" si="16"/>
        <v>6</v>
      </c>
      <c r="AI69" s="225">
        <f t="shared" si="17"/>
        <v>0.50568470217372008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1090">
        <f>IF(t&gt;Tmaj,'2022'!Wh/'2022'!Env_an*'2023'!Env_an,0.001*'[4]mon-tableau'!$B$59)</f>
        <v>29.128547627728882</v>
      </c>
      <c r="C70" s="953"/>
      <c r="D70" s="393">
        <f t="shared" si="0"/>
        <v>30.259424557679075</v>
      </c>
      <c r="E70" s="385">
        <f t="shared" si="1"/>
        <v>33.790080178437201</v>
      </c>
      <c r="F70" s="385">
        <f t="shared" si="2"/>
        <v>33.818468619349417</v>
      </c>
      <c r="G70" s="110">
        <f t="shared" si="21"/>
        <v>0.74845752838096236</v>
      </c>
      <c r="H70" s="412" t="b">
        <f>Wh_hp&gt;='2022'!Maxi_hp</f>
        <v>0</v>
      </c>
      <c r="I70" s="390">
        <f>IF(H70,Wh_hp,'2022'!Maxi_hp)</f>
        <v>44.223095559004854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3.7372717640236974E-2</v>
      </c>
      <c r="M70" s="957"/>
      <c r="N70" s="957"/>
      <c r="O70" s="48">
        <f>IF(t&lt;Tnet,'2022'!Resal+('2022'!Salim-'2022'!Resal)*(1-EXP(('2022'!Tnet-t)/('2022'!Tau_j))),Resal+(Salim-Resal)*(1-EXP((Tnet-t)/(Tau_j))))*Salcycl</f>
        <v>0.10448793261553664</v>
      </c>
      <c r="P70" s="169">
        <f>(INDEX(Models!$BJ70:$BT70,,T70)*(1-R70)+INDEX(Models!$BJ70:$BT70,,T70+1)*R70-ERP_i)*Q70*Ramure*Pc/MaxiM</f>
        <v>1.3092527048837303E-3</v>
      </c>
      <c r="Q70" s="305">
        <f t="shared" si="4"/>
        <v>0.7</v>
      </c>
      <c r="R70" s="177">
        <f t="shared" si="5"/>
        <v>0.50594731196585618</v>
      </c>
      <c r="S70" s="919">
        <f t="shared" si="6"/>
        <v>0</v>
      </c>
      <c r="T70" s="176">
        <f t="shared" si="7"/>
        <v>6</v>
      </c>
      <c r="U70" s="251">
        <f t="shared" si="8"/>
        <v>0.50594731196585618</v>
      </c>
      <c r="V70" s="383">
        <f t="shared" si="9"/>
        <v>38.899803861698466</v>
      </c>
      <c r="W70" s="402">
        <f t="shared" si="10"/>
        <v>29.128547627728882</v>
      </c>
      <c r="X70" s="157">
        <f t="shared" si="11"/>
        <v>44982</v>
      </c>
      <c r="Y70" s="385">
        <f t="shared" si="12"/>
        <v>28.126998378778097</v>
      </c>
      <c r="Z70" s="385">
        <f t="shared" si="22"/>
        <v>29.218991497756225</v>
      </c>
      <c r="AA70" s="386">
        <f t="shared" si="13"/>
        <v>33.790080178437201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0.13527901255463637</v>
      </c>
      <c r="AD70" s="231">
        <f>(INDEX(Models!$BJ70:$BT70,,AH70)*(1-AF70)+INDEX(Models!$BJ70:$BT70,,AH70+1)*AF70-ERP_i)*AE70*Ramure*Pc/MaxiM</f>
        <v>1.3092527048837303E-3</v>
      </c>
      <c r="AE70" s="305">
        <f t="shared" si="15"/>
        <v>0.7</v>
      </c>
      <c r="AF70" s="177">
        <f t="shared" si="23"/>
        <v>0.50594731196585618</v>
      </c>
      <c r="AG70" s="919">
        <f t="shared" si="24"/>
        <v>0</v>
      </c>
      <c r="AH70" s="176">
        <f t="shared" si="16"/>
        <v>6</v>
      </c>
      <c r="AI70" s="225">
        <f t="shared" si="17"/>
        <v>0.50594731196585618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1090">
        <f>IF(t&gt;Tmaj,'2022'!Wh/'2022'!Env_an*'2023'!Env_an,0.001*'[4]mon-tableau'!$B$60)</f>
        <v>39.313423281198595</v>
      </c>
      <c r="C71" s="953"/>
      <c r="D71" s="393">
        <f t="shared" si="0"/>
        <v>40.840608909971344</v>
      </c>
      <c r="E71" s="385">
        <f t="shared" si="1"/>
        <v>45.612142106688147</v>
      </c>
      <c r="F71" s="385">
        <f t="shared" si="2"/>
        <v>45.671759028125571</v>
      </c>
      <c r="G71" s="110">
        <f t="shared" si="21"/>
        <v>1.0037563100773259</v>
      </c>
      <c r="H71" s="412" t="b">
        <f>Wh_hp&gt;='2022'!Maxi_hp</f>
        <v>1</v>
      </c>
      <c r="I71" s="390">
        <f>IF(H71,Wh_hp,'2022'!Maxi_hp)</f>
        <v>45.671759028125571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3.7393801648238467E-2</v>
      </c>
      <c r="M71" s="957"/>
      <c r="N71" s="957"/>
      <c r="O71" s="48">
        <f>IF(t&lt;Tnet,'2022'!Resal+('2022'!Salim-'2022'!Resal)*(1-EXP(('2022'!Tnet-t)/('2022'!Tau_j))),Resal+(Salim-Resal)*(1-EXP((Tnet-t)/(Tau_j))))*Salcycl</f>
        <v>0.10461103066714227</v>
      </c>
      <c r="P71" s="169">
        <f>(INDEX(Models!$BJ71:$BT71,,T71)*(1-R71)+INDEX(Models!$BJ71:$BT71,,T71+1)*R71-ERP_i)*Q71*Ramure*Pc/MaxiM</f>
        <v>1.3053344715869715E-3</v>
      </c>
      <c r="Q71" s="305">
        <f t="shared" si="4"/>
        <v>0.7</v>
      </c>
      <c r="R71" s="177">
        <f t="shared" si="5"/>
        <v>0.50622064222142149</v>
      </c>
      <c r="S71" s="919">
        <f t="shared" si="6"/>
        <v>0</v>
      </c>
      <c r="T71" s="176">
        <f t="shared" si="7"/>
        <v>6</v>
      </c>
      <c r="U71" s="251">
        <f t="shared" si="8"/>
        <v>0.50622064222142149</v>
      </c>
      <c r="V71" s="383">
        <f t="shared" si="9"/>
        <v>39.166302504409686</v>
      </c>
      <c r="W71" s="402">
        <f t="shared" si="10"/>
        <v>39.313423281198595</v>
      </c>
      <c r="X71" s="157">
        <f t="shared" si="11"/>
        <v>44983</v>
      </c>
      <c r="Y71" s="385">
        <f t="shared" si="12"/>
        <v>37.963652622444798</v>
      </c>
      <c r="Z71" s="385">
        <f t="shared" si="22"/>
        <v>39.438404497549143</v>
      </c>
      <c r="AA71" s="386">
        <f t="shared" si="13"/>
        <v>45.612142106688147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0.13535294165089734</v>
      </c>
      <c r="AD71" s="231">
        <f>(INDEX(Models!$BJ71:$BT71,,AH71)*(1-AF71)+INDEX(Models!$BJ71:$BT71,,AH71+1)*AF71-ERP_i)*AE71*Ramure*Pc/MaxiM</f>
        <v>1.3053344715869715E-3</v>
      </c>
      <c r="AE71" s="305">
        <f t="shared" si="15"/>
        <v>0.7</v>
      </c>
      <c r="AF71" s="177">
        <f t="shared" si="23"/>
        <v>0.50622064222142149</v>
      </c>
      <c r="AG71" s="919">
        <f t="shared" si="24"/>
        <v>0</v>
      </c>
      <c r="AH71" s="176">
        <f t="shared" si="16"/>
        <v>6</v>
      </c>
      <c r="AI71" s="225">
        <f t="shared" si="17"/>
        <v>0.50622064222142149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1090">
        <f>IF(t&gt;Tmaj,'2022'!Wh/'2022'!Env_an*'2023'!Env_an,0.001*'[4]mon-tableau'!$B$61)</f>
        <v>27.130179319172445</v>
      </c>
      <c r="C72" s="953"/>
      <c r="D72" s="393">
        <f t="shared" si="0"/>
        <v>28.184706891767021</v>
      </c>
      <c r="E72" s="385">
        <f t="shared" si="1"/>
        <v>31.481932666940995</v>
      </c>
      <c r="F72" s="385">
        <f t="shared" si="2"/>
        <v>31.504623526048839</v>
      </c>
      <c r="G72" s="110">
        <f t="shared" si="21"/>
        <v>0.68763800858205837</v>
      </c>
      <c r="H72" s="412" t="b">
        <f>Wh_hp&gt;='2022'!Maxi_hp</f>
        <v>0</v>
      </c>
      <c r="I72" s="390">
        <f>IF(H72,Wh_hp,'2022'!Maxi_hp)</f>
        <v>44.962572405256154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3.7414885194446024E-2</v>
      </c>
      <c r="M72" s="957"/>
      <c r="N72" s="957"/>
      <c r="O72" s="48">
        <f>IF(t&lt;Tnet,'2022'!Resal+('2022'!Salim-'2022'!Resal)*(1-EXP(('2022'!Tnet-t)/('2022'!Tau_j))),Resal+(Salim-Resal)*(1-EXP((Tnet-t)/(Tau_j))))*Salcycl</f>
        <v>0.10473390595350493</v>
      </c>
      <c r="P72" s="169">
        <f>(INDEX(Models!$BJ72:$BT72,,T72)*(1-R72)+INDEX(Models!$BJ72:$BT72,,T72+1)*R72-ERP_i)*Q72*Ramure*Pc/MaxiM</f>
        <v>1.2992774098892781E-3</v>
      </c>
      <c r="Q72" s="305">
        <f t="shared" si="4"/>
        <v>0.7</v>
      </c>
      <c r="R72" s="177">
        <f t="shared" si="5"/>
        <v>0.50650511781623164</v>
      </c>
      <c r="S72" s="919">
        <f t="shared" si="6"/>
        <v>0</v>
      </c>
      <c r="T72" s="176">
        <f t="shared" si="7"/>
        <v>6</v>
      </c>
      <c r="U72" s="251">
        <f t="shared" si="8"/>
        <v>0.50650511781623164</v>
      </c>
      <c r="V72" s="383">
        <f t="shared" si="9"/>
        <v>39.431297052627315</v>
      </c>
      <c r="W72" s="402">
        <f t="shared" si="10"/>
        <v>27.130179319172445</v>
      </c>
      <c r="X72" s="157">
        <f t="shared" si="11"/>
        <v>44984</v>
      </c>
      <c r="Y72" s="385">
        <f t="shared" si="12"/>
        <v>26.200063132050676</v>
      </c>
      <c r="Z72" s="385">
        <f t="shared" si="22"/>
        <v>27.218437859745208</v>
      </c>
      <c r="AA72" s="386">
        <f t="shared" si="13"/>
        <v>31.481932666940995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0.13542671767648046</v>
      </c>
      <c r="AD72" s="231">
        <f>(INDEX(Models!$BJ72:$BT72,,AH72)*(1-AF72)+INDEX(Models!$BJ72:$BT72,,AH72+1)*AF72-ERP_i)*AE72*Ramure*Pc/MaxiM</f>
        <v>1.2992774098892781E-3</v>
      </c>
      <c r="AE72" s="305">
        <f t="shared" si="15"/>
        <v>0.7</v>
      </c>
      <c r="AF72" s="177">
        <f t="shared" si="23"/>
        <v>0.50650511781623164</v>
      </c>
      <c r="AG72" s="919">
        <f t="shared" si="24"/>
        <v>0</v>
      </c>
      <c r="AH72" s="176">
        <f t="shared" si="16"/>
        <v>6</v>
      </c>
      <c r="AI72" s="225">
        <f t="shared" si="17"/>
        <v>0.50650511781623164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1090">
        <f>IF(t&gt;Tmaj,'2022'!Wh/'2022'!Env_an*'2023'!Env_an,0.001*'[4]mon-tableau'!$B$62)</f>
        <v>31.4315681300051</v>
      </c>
      <c r="C73" s="953"/>
      <c r="D73" s="393">
        <f t="shared" si="0"/>
        <v>32.654002325230572</v>
      </c>
      <c r="E73" s="385">
        <f t="shared" si="1"/>
        <v>36.479072559714886</v>
      </c>
      <c r="F73" s="385">
        <f t="shared" si="2"/>
        <v>36.512198860537175</v>
      </c>
      <c r="G73" s="110">
        <f t="shared" si="21"/>
        <v>0.79152503532986018</v>
      </c>
      <c r="H73" s="412" t="b">
        <f>Wh_hp&gt;='2022'!Maxi_hp</f>
        <v>0</v>
      </c>
      <c r="I73" s="390">
        <f>IF(H73,Wh_hp,'2022'!Maxi_hp)</f>
        <v>37.080698817786207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3.7435968278869858E-2</v>
      </c>
      <c r="M73" s="957"/>
      <c r="N73" s="957"/>
      <c r="O73" s="48">
        <f>IF(t&lt;Tnet,'2022'!Resal+('2022'!Salim-'2022'!Resal)*(1-EXP(('2022'!Tnet-t)/('2022'!Tau_j))),Resal+(Salim-Resal)*(1-EXP((Tnet-t)/(Tau_j))))*Salcycl</f>
        <v>0.10485656476662943</v>
      </c>
      <c r="P73" s="169">
        <f>(INDEX(Models!$BJ73:$BT73,,T73)*(1-R73)+INDEX(Models!$BJ73:$BT73,,T73+1)*R73-ERP_i)*Q73*Ramure*Pc/MaxiM</f>
        <v>1.2912743523671496E-3</v>
      </c>
      <c r="Q73" s="305">
        <f t="shared" si="4"/>
        <v>0.7</v>
      </c>
      <c r="R73" s="177">
        <f t="shared" si="5"/>
        <v>0.5068011793888193</v>
      </c>
      <c r="S73" s="919">
        <f t="shared" si="6"/>
        <v>0</v>
      </c>
      <c r="T73" s="176">
        <f t="shared" si="7"/>
        <v>6</v>
      </c>
      <c r="U73" s="251">
        <f t="shared" si="8"/>
        <v>0.5068011793888193</v>
      </c>
      <c r="V73" s="383">
        <f t="shared" si="9"/>
        <v>39.694874834177995</v>
      </c>
      <c r="W73" s="402">
        <f t="shared" si="10"/>
        <v>31.4315681300051</v>
      </c>
      <c r="X73" s="157">
        <f t="shared" si="11"/>
        <v>44985</v>
      </c>
      <c r="Y73" s="385">
        <f t="shared" si="12"/>
        <v>30.355559367566396</v>
      </c>
      <c r="Z73" s="385">
        <f t="shared" si="22"/>
        <v>31.53614551053667</v>
      </c>
      <c r="AA73" s="386">
        <f t="shared" si="13"/>
        <v>36.479072559714886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0.13550034862007057</v>
      </c>
      <c r="AD73" s="231">
        <f>(INDEX(Models!$BJ73:$BT73,,AH73)*(1-AF73)+INDEX(Models!$BJ73:$BT73,,AH73+1)*AF73-ERP_i)*AE73*Ramure*Pc/MaxiM</f>
        <v>1.2912743523671496E-3</v>
      </c>
      <c r="AE73" s="305">
        <f t="shared" si="15"/>
        <v>0.7</v>
      </c>
      <c r="AF73" s="177">
        <f t="shared" si="23"/>
        <v>0.5068011793888193</v>
      </c>
      <c r="AG73" s="919">
        <f t="shared" si="24"/>
        <v>0</v>
      </c>
      <c r="AH73" s="176">
        <f t="shared" si="16"/>
        <v>6</v>
      </c>
      <c r="AI73" s="225">
        <f t="shared" si="17"/>
        <v>0.5068011793888193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1090">
        <f>IF(t&gt;Tmaj,'2022'!Wh/'2022'!Env_an*'2023'!Env_an,0.001*'[5]mon-tableau'!$B$38)</f>
        <v>40.172390343395364</v>
      </c>
      <c r="C74" s="953"/>
      <c r="D74" s="393">
        <f t="shared" si="0"/>
        <v>41.735686060576228</v>
      </c>
      <c r="E74" s="385">
        <f t="shared" si="1"/>
        <v>46.630958135078124</v>
      </c>
      <c r="F74" s="385">
        <f t="shared" si="2"/>
        <v>46.69078585834697</v>
      </c>
      <c r="G74" s="110">
        <f t="shared" si="21"/>
        <v>1.0053873048316821</v>
      </c>
      <c r="H74" s="412" t="b">
        <f>Wh_hp&gt;='2022'!Maxi_hp</f>
        <v>1</v>
      </c>
      <c r="I74" s="390">
        <f>IF(H74,Wh_hp,'2022'!Maxi_hp)</f>
        <v>46.69078585834697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3.7457050901520073E-2</v>
      </c>
      <c r="M74" s="957"/>
      <c r="N74" s="957"/>
      <c r="O74" s="48">
        <f>IF(t&lt;Tnet,'2022'!Resal+('2022'!Salim-'2022'!Resal)*(1-EXP(('2022'!Tnet-t)/('2022'!Tau_j))),Resal+(Salim-Resal)*(1-EXP((Tnet-t)/(Tau_j))))*Salcycl</f>
        <v>0.10497901544981193</v>
      </c>
      <c r="P74" s="169">
        <f>(INDEX(Models!$BJ74:$BT74,,T74)*(1-R74)+INDEX(Models!$BJ74:$BT74,,T74+1)*R74-ERP_i)*Q74*Ramure*Pc/MaxiM</f>
        <v>1.2813603834032059E-3</v>
      </c>
      <c r="Q74" s="305">
        <f t="shared" si="4"/>
        <v>0.7</v>
      </c>
      <c r="R74" s="177">
        <f t="shared" si="5"/>
        <v>0.5071092838338781</v>
      </c>
      <c r="S74" s="919">
        <f t="shared" si="6"/>
        <v>0</v>
      </c>
      <c r="T74" s="176">
        <f t="shared" si="7"/>
        <v>6</v>
      </c>
      <c r="U74" s="251">
        <f t="shared" si="8"/>
        <v>0.5071092838338781</v>
      </c>
      <c r="V74" s="383">
        <f t="shared" si="9"/>
        <v>39.95712910868798</v>
      </c>
      <c r="W74" s="402">
        <f t="shared" si="10"/>
        <v>40.172390343395364</v>
      </c>
      <c r="X74" s="157">
        <f t="shared" si="11"/>
        <v>44986</v>
      </c>
      <c r="Y74" s="385">
        <f t="shared" si="12"/>
        <v>38.799162832074686</v>
      </c>
      <c r="Z74" s="385">
        <f t="shared" si="22"/>
        <v>40.309019840012411</v>
      </c>
      <c r="AA74" s="386">
        <f t="shared" si="13"/>
        <v>46.630958135078124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0.13557384509991524</v>
      </c>
      <c r="AD74" s="231">
        <f>(INDEX(Models!$BJ74:$BT74,,AH74)*(1-AF74)+INDEX(Models!$BJ74:$BT74,,AH74+1)*AF74-ERP_i)*AE74*Ramure*Pc/MaxiM</f>
        <v>1.2813603834032059E-3</v>
      </c>
      <c r="AE74" s="305">
        <f t="shared" si="15"/>
        <v>0.7</v>
      </c>
      <c r="AF74" s="177">
        <f t="shared" si="23"/>
        <v>0.5071092838338781</v>
      </c>
      <c r="AG74" s="919">
        <f t="shared" si="24"/>
        <v>0</v>
      </c>
      <c r="AH74" s="176">
        <f t="shared" si="16"/>
        <v>6</v>
      </c>
      <c r="AI74" s="225">
        <f t="shared" si="17"/>
        <v>0.5071092838338781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1090">
        <f>IF(t&gt;Tmaj,'2022'!Wh/'2022'!Env_an*'2023'!Env_an,0.001*'[5]mon-tableau'!$B$39)</f>
        <v>10.130700777641552</v>
      </c>
      <c r="C75" s="953"/>
      <c r="D75" s="393">
        <f t="shared" si="0"/>
        <v>10.525164285226978</v>
      </c>
      <c r="E75" s="385">
        <f t="shared" si="1"/>
        <v>11.761290874683404</v>
      </c>
      <c r="F75" s="385">
        <f t="shared" si="2"/>
        <v>11.761290874683404</v>
      </c>
      <c r="G75" s="110">
        <f t="shared" si="21"/>
        <v>0.25157393871005312</v>
      </c>
      <c r="H75" s="412" t="b">
        <f>Wh_hp&gt;='2022'!Maxi_hp</f>
        <v>0</v>
      </c>
      <c r="I75" s="390">
        <f>IF(H75,Wh_hp,'2022'!Maxi_hp)</f>
        <v>32.956677810715547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3.747813306240666E-2</v>
      </c>
      <c r="M75" s="957"/>
      <c r="N75" s="957"/>
      <c r="O75" s="48">
        <f>IF(t&lt;Tnet,'2022'!Resal+('2022'!Salim-'2022'!Resal)*(1-EXP(('2022'!Tnet-t)/('2022'!Tau_j))),Resal+(Salim-Resal)*(1-EXP((Tnet-t)/(Tau_j))))*Salcycl</f>
        <v>0.10510126844301017</v>
      </c>
      <c r="P75" s="169">
        <f>(INDEX(Models!$BJ75:$BT75,,T75)*(1-R75)+INDEX(Models!$BJ75:$BT75,,T75+1)*R75-ERP_i)*Q75*Ramure*Pc/MaxiM</f>
        <v>1.2695696559719323E-3</v>
      </c>
      <c r="Q75" s="305">
        <f t="shared" si="4"/>
        <v>0.7</v>
      </c>
      <c r="R75" s="177">
        <f t="shared" si="5"/>
        <v>0.50742990480313965</v>
      </c>
      <c r="S75" s="919">
        <f t="shared" si="6"/>
        <v>0</v>
      </c>
      <c r="T75" s="176">
        <f t="shared" si="7"/>
        <v>6</v>
      </c>
      <c r="U75" s="251">
        <f t="shared" si="8"/>
        <v>0.50742990480313965</v>
      </c>
      <c r="V75" s="383">
        <f t="shared" si="9"/>
        <v>40.218152958211036</v>
      </c>
      <c r="W75" s="402">
        <f t="shared" si="10"/>
        <v>10.130700777641552</v>
      </c>
      <c r="X75" s="157">
        <f t="shared" si="11"/>
        <v>44987</v>
      </c>
      <c r="Y75" s="385">
        <f t="shared" si="12"/>
        <v>9.7849053390323011</v>
      </c>
      <c r="Z75" s="385">
        <f t="shared" si="22"/>
        <v>10.165904459048223</v>
      </c>
      <c r="AA75" s="386">
        <f t="shared" si="13"/>
        <v>11.761290874683404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0.13564722041432609</v>
      </c>
      <c r="AD75" s="231">
        <f>(INDEX(Models!$BJ75:$BT75,,AH75)*(1-AF75)+INDEX(Models!$BJ75:$BT75,,AH75+1)*AF75-ERP_i)*AE75*Ramure*Pc/MaxiM</f>
        <v>1.2695696559719323E-3</v>
      </c>
      <c r="AE75" s="305">
        <f t="shared" si="15"/>
        <v>0.7</v>
      </c>
      <c r="AF75" s="177">
        <f t="shared" si="23"/>
        <v>0.50742990480313965</v>
      </c>
      <c r="AG75" s="919">
        <f t="shared" si="24"/>
        <v>0</v>
      </c>
      <c r="AH75" s="176">
        <f t="shared" si="16"/>
        <v>6</v>
      </c>
      <c r="AI75" s="225">
        <f t="shared" si="17"/>
        <v>0.50742990480313965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1090">
        <f>IF(t&gt;Tmaj,'2022'!Wh/'2022'!Env_an*'2023'!Env_an,0.001*'[5]mon-tableau'!$B$40)</f>
        <v>37.981185672157842</v>
      </c>
      <c r="C76" s="953"/>
      <c r="D76" s="393">
        <f t="shared" si="0"/>
        <v>39.460939933413123</v>
      </c>
      <c r="E76" s="385">
        <f t="shared" si="1"/>
        <v>44.101440655425819</v>
      </c>
      <c r="F76" s="385">
        <f t="shared" si="2"/>
        <v>44.152006276935218</v>
      </c>
      <c r="G76" s="110">
        <f t="shared" si="21"/>
        <v>0.93821188030801017</v>
      </c>
      <c r="H76" s="412" t="b">
        <f>Wh_hp&gt;='2022'!Maxi_hp</f>
        <v>0</v>
      </c>
      <c r="I76" s="390">
        <f>IF(H76,Wh_hp,'2022'!Maxi_hp)</f>
        <v>44.153749243212872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3.7499214761539834E-2</v>
      </c>
      <c r="M76" s="957"/>
      <c r="N76" s="957"/>
      <c r="O76" s="48">
        <f>IF(t&lt;Tnet,'2022'!Resal+('2022'!Salim-'2022'!Resal)*(1-EXP(('2022'!Tnet-t)/('2022'!Tau_j))),Resal+(Salim-Resal)*(1-EXP((Tnet-t)/(Tau_j))))*Salcycl</f>
        <v>0.10522333631388453</v>
      </c>
      <c r="P76" s="169">
        <f>(INDEX(Models!$BJ76:$BT76,,T76)*(1-R76)+INDEX(Models!$BJ76:$BT76,,T76+1)*R76-ERP_i)*Q76*Ramure*Pc/MaxiM</f>
        <v>1.2559354560214044E-3</v>
      </c>
      <c r="Q76" s="305">
        <f t="shared" si="4"/>
        <v>0.7</v>
      </c>
      <c r="R76" s="177">
        <f t="shared" si="5"/>
        <v>0.5077635332129975</v>
      </c>
      <c r="S76" s="919">
        <f t="shared" si="6"/>
        <v>0</v>
      </c>
      <c r="T76" s="176">
        <f t="shared" si="7"/>
        <v>6</v>
      </c>
      <c r="U76" s="251">
        <f t="shared" si="8"/>
        <v>0.5077635332129975</v>
      </c>
      <c r="V76" s="383">
        <f t="shared" si="9"/>
        <v>40.478039285287629</v>
      </c>
      <c r="W76" s="402">
        <f t="shared" si="10"/>
        <v>37.981185672157842</v>
      </c>
      <c r="X76" s="157">
        <f t="shared" si="11"/>
        <v>44988</v>
      </c>
      <c r="Y76" s="385">
        <f t="shared" si="12"/>
        <v>36.686652493746692</v>
      </c>
      <c r="Z76" s="385">
        <f t="shared" si="22"/>
        <v>38.115971494670056</v>
      </c>
      <c r="AA76" s="386">
        <f t="shared" si="13"/>
        <v>44.101440655425819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0.13572049057357416</v>
      </c>
      <c r="AD76" s="231">
        <f>(INDEX(Models!$BJ76:$BT76,,AH76)*(1-AF76)+INDEX(Models!$BJ76:$BT76,,AH76+1)*AF76-ERP_i)*AE76*Ramure*Pc/MaxiM</f>
        <v>1.2559354560214044E-3</v>
      </c>
      <c r="AE76" s="305">
        <f t="shared" si="15"/>
        <v>0.7</v>
      </c>
      <c r="AF76" s="177">
        <f t="shared" si="23"/>
        <v>0.5077635332129975</v>
      </c>
      <c r="AG76" s="919">
        <f t="shared" si="24"/>
        <v>0</v>
      </c>
      <c r="AH76" s="176">
        <f t="shared" si="16"/>
        <v>6</v>
      </c>
      <c r="AI76" s="225">
        <f t="shared" si="17"/>
        <v>0.5077635332129975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1090">
        <f>IF(t&gt;Tmaj,'2022'!Wh/'2022'!Env_an*'2023'!Env_an,0.001*'[5]mon-tableau'!$B$41)</f>
        <v>4.060671316506193</v>
      </c>
      <c r="C77" s="953"/>
      <c r="D77" s="393">
        <f t="shared" si="0"/>
        <v>4.2189682542144054</v>
      </c>
      <c r="E77" s="385">
        <f t="shared" si="1"/>
        <v>4.7157500451419283</v>
      </c>
      <c r="F77" s="385">
        <f t="shared" si="2"/>
        <v>4.7157500451419283</v>
      </c>
      <c r="G77" s="110">
        <f t="shared" si="21"/>
        <v>9.9556814680291886E-2</v>
      </c>
      <c r="H77" s="412" t="b">
        <f>Wh_hp&gt;='2022'!Maxi_hp</f>
        <v>0</v>
      </c>
      <c r="I77" s="390">
        <f>IF(H77,Wh_hp,'2022'!Maxi_hp)</f>
        <v>33.323703114447028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3.7520295998929698E-2</v>
      </c>
      <c r="M77" s="957"/>
      <c r="N77" s="957"/>
      <c r="O77" s="48">
        <f>IF(t&lt;Tnet,'2022'!Resal+('2022'!Salim-'2022'!Resal)*(1-EXP(('2022'!Tnet-t)/('2022'!Tau_j))),Resal+(Salim-Resal)*(1-EXP((Tnet-t)/(Tau_j))))*Salcycl</f>
        <v>0.10534523377448675</v>
      </c>
      <c r="P77" s="169">
        <f>(INDEX(Models!$BJ77:$BT77,,T77)*(1-R77)+INDEX(Models!$BJ77:$BT77,,T77+1)*R77-ERP_i)*Q77*Ramure*Pc/MaxiM</f>
        <v>1.2404902520443731E-3</v>
      </c>
      <c r="Q77" s="305">
        <f t="shared" si="4"/>
        <v>0.7</v>
      </c>
      <c r="R77" s="177">
        <f t="shared" si="5"/>
        <v>0.50811067775809582</v>
      </c>
      <c r="S77" s="919">
        <f t="shared" si="6"/>
        <v>0</v>
      </c>
      <c r="T77" s="176">
        <f t="shared" si="7"/>
        <v>6</v>
      </c>
      <c r="U77" s="251">
        <f t="shared" si="8"/>
        <v>0.50811067775809582</v>
      </c>
      <c r="V77" s="383">
        <f t="shared" si="9"/>
        <v>40.736880808664097</v>
      </c>
      <c r="W77" s="402">
        <f t="shared" si="10"/>
        <v>4.060671316506193</v>
      </c>
      <c r="X77" s="157">
        <f t="shared" si="11"/>
        <v>44989</v>
      </c>
      <c r="Y77" s="385">
        <f t="shared" si="12"/>
        <v>3.9224715172141629</v>
      </c>
      <c r="Z77" s="385">
        <f t="shared" si="22"/>
        <v>4.0753810193693196</v>
      </c>
      <c r="AA77" s="386">
        <f t="shared" si="13"/>
        <v>4.7157500451419283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0.13579367431323133</v>
      </c>
      <c r="AD77" s="231">
        <f>(INDEX(Models!$BJ77:$BT77,,AH77)*(1-AF77)+INDEX(Models!$BJ77:$BT77,,AH77+1)*AF77-ERP_i)*AE77*Ramure*Pc/MaxiM</f>
        <v>1.2404902520443731E-3</v>
      </c>
      <c r="AE77" s="305">
        <f t="shared" si="15"/>
        <v>0.7</v>
      </c>
      <c r="AF77" s="177">
        <f t="shared" si="23"/>
        <v>0.50811067775809582</v>
      </c>
      <c r="AG77" s="919">
        <f t="shared" si="24"/>
        <v>0</v>
      </c>
      <c r="AH77" s="176">
        <f t="shared" si="16"/>
        <v>6</v>
      </c>
      <c r="AI77" s="225">
        <f t="shared" si="17"/>
        <v>0.50811067775809582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1090">
        <f>IF(t&gt;Tmaj,'2022'!Wh/'2022'!Env_an*'2023'!Env_an,0.001*'[5]mon-tableau'!$B$42)</f>
        <v>14.436322708441399</v>
      </c>
      <c r="C78" s="953"/>
      <c r="D78" s="393">
        <f t="shared" si="0"/>
        <v>14.999421647927118</v>
      </c>
      <c r="E78" s="385">
        <f t="shared" si="1"/>
        <v>16.767879188057165</v>
      </c>
      <c r="F78" s="385">
        <f t="shared" si="2"/>
        <v>16.769407449761236</v>
      </c>
      <c r="G78" s="110">
        <f t="shared" si="21"/>
        <v>0.35175163506071255</v>
      </c>
      <c r="H78" s="412" t="b">
        <f>Wh_hp&gt;='2022'!Maxi_hp</f>
        <v>0</v>
      </c>
      <c r="I78" s="390">
        <f>IF(H78,Wh_hp,'2022'!Maxi_hp)</f>
        <v>47.032781812856342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3.7541376774586355E-2</v>
      </c>
      <c r="M78" s="957"/>
      <c r="N78" s="957"/>
      <c r="O78" s="48">
        <f>IF(t&lt;Tnet,'2022'!Resal+('2022'!Salim-'2022'!Resal)*(1-EXP(('2022'!Tnet-t)/('2022'!Tau_j))),Resal+(Salim-Resal)*(1-EXP((Tnet-t)/(Tau_j))))*Salcycl</f>
        <v>0.10546697768371452</v>
      </c>
      <c r="P78" s="169">
        <f>(INDEX(Models!$BJ78:$BT78,,T78)*(1-R78)+INDEX(Models!$BJ78:$BT78,,T78+1)*R78-ERP_i)*Q78*Ramure*Pc/MaxiM</f>
        <v>1.2232657304588061E-3</v>
      </c>
      <c r="Q78" s="305">
        <f t="shared" si="4"/>
        <v>0.7</v>
      </c>
      <c r="R78" s="177">
        <f t="shared" si="5"/>
        <v>0.50847186542999145</v>
      </c>
      <c r="S78" s="919">
        <f t="shared" si="6"/>
        <v>0</v>
      </c>
      <c r="T78" s="176">
        <f t="shared" si="7"/>
        <v>6</v>
      </c>
      <c r="U78" s="251">
        <f t="shared" si="8"/>
        <v>0.50847186542999145</v>
      </c>
      <c r="V78" s="383">
        <f t="shared" si="9"/>
        <v>40.994770062864895</v>
      </c>
      <c r="W78" s="402">
        <f t="shared" si="10"/>
        <v>14.436322708441399</v>
      </c>
      <c r="X78" s="157">
        <f t="shared" si="11"/>
        <v>44990</v>
      </c>
      <c r="Y78" s="385">
        <f t="shared" si="12"/>
        <v>13.945718634000267</v>
      </c>
      <c r="Z78" s="385">
        <f t="shared" si="22"/>
        <v>14.489681215868845</v>
      </c>
      <c r="AA78" s="386">
        <f t="shared" si="13"/>
        <v>16.767879188057165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0.1358667930891912</v>
      </c>
      <c r="AD78" s="231">
        <f>(INDEX(Models!$BJ78:$BT78,,AH78)*(1-AF78)+INDEX(Models!$BJ78:$BT78,,AH78+1)*AF78-ERP_i)*AE78*Ramure*Pc/MaxiM</f>
        <v>1.2232657304588061E-3</v>
      </c>
      <c r="AE78" s="305">
        <f t="shared" si="15"/>
        <v>0.7</v>
      </c>
      <c r="AF78" s="177">
        <f t="shared" si="23"/>
        <v>0.50847186542999145</v>
      </c>
      <c r="AG78" s="919">
        <f t="shared" si="24"/>
        <v>0</v>
      </c>
      <c r="AH78" s="176">
        <f t="shared" si="16"/>
        <v>6</v>
      </c>
      <c r="AI78" s="225">
        <f t="shared" si="17"/>
        <v>0.50847186542999145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1090">
        <f>IF(t&gt;Tmaj,'2022'!Wh/'2022'!Env_an*'2023'!Env_an,0.001*'[5]mon-tableau'!$B$43)</f>
        <v>20.438302899873477</v>
      </c>
      <c r="C79" s="953"/>
      <c r="D79" s="393">
        <f t="shared" ref="D79:D142" si="25">Wh/(1-Ppv)</f>
        <v>21.235978428319982</v>
      </c>
      <c r="E79" s="385">
        <f t="shared" si="1"/>
        <v>23.742964502142051</v>
      </c>
      <c r="F79" s="385">
        <f t="shared" ref="F79:F142" si="26">Wh_sa/(1-Pvg*MEDIAN((-Sdif+Wh/Env_an)/Csdif,0,1))</f>
        <v>23.750950740383729</v>
      </c>
      <c r="G79" s="110">
        <f t="shared" si="21"/>
        <v>0.49501773396821325</v>
      </c>
      <c r="H79" s="412" t="b">
        <f>Wh_hp&gt;='2022'!Maxi_hp</f>
        <v>0</v>
      </c>
      <c r="I79" s="390">
        <f>IF(H79,Wh_hp,'2022'!Maxi_hp)</f>
        <v>24.181479709212134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3.7562457088519907E-2</v>
      </c>
      <c r="M79" s="957"/>
      <c r="N79" s="957"/>
      <c r="O79" s="48">
        <f>IF(t&lt;Tnet,'2022'!Resal+('2022'!Salim-'2022'!Resal)*(1-EXP(('2022'!Tnet-t)/('2022'!Tau_j))),Resal+(Salim-Resal)*(1-EXP((Tnet-t)/(Tau_j))))*Salcycl</f>
        <v>0.10558858703578874</v>
      </c>
      <c r="P79" s="169">
        <f>(INDEX(Models!$BJ79:$BT79,,T79)*(1-R79)+INDEX(Models!$BJ79:$BT79,,T79+1)*R79-ERP_i)*Q79*Ramure*Pc/MaxiM</f>
        <v>1.2042820057460099E-3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0.50884764203988953</v>
      </c>
      <c r="S79" s="91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0.50884764203988953</v>
      </c>
      <c r="V79" s="383">
        <f t="shared" ref="V79:V142" si="33">MaxiM*(1-Ppv)*(1-Pvg)*(1-Psa)</f>
        <v>41.252170202813289</v>
      </c>
      <c r="W79" s="402">
        <f t="shared" ref="W79:W142" si="34">Wh*(A79&gt;Tmaj)</f>
        <v>20.438302899873477</v>
      </c>
      <c r="X79" s="157">
        <f t="shared" ref="X79:X142" si="35">t</f>
        <v>44991</v>
      </c>
      <c r="Y79" s="385">
        <f t="shared" ref="Y79:Y142" si="36">Wh_pvt_s*(1-Ppv)</f>
        <v>19.744742053948755</v>
      </c>
      <c r="Z79" s="385">
        <f t="shared" ref="Z79:Z142" si="37">Wh_sa_s*(1-Psa_s)</f>
        <v>20.515348969262696</v>
      </c>
      <c r="AA79" s="386">
        <f t="shared" ref="AA79:AA142" si="38">Wh_hp*(1-Pvg_s*MEDIAN((-Sdif+Wh/Env_an)/Csdif,0,1))</f>
        <v>23.742964502142051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0.13593987105477767</v>
      </c>
      <c r="AD79" s="231">
        <f>(INDEX(Models!$BJ79:$BT79,,AH79)*(1-AF79)+INDEX(Models!$BJ79:$BT79,,AH79+1)*AF79-ERP_i)*AE79*Ramure*Pc/MaxiM</f>
        <v>1.2042820057460099E-3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0.50884764203988953</v>
      </c>
      <c r="AG79" s="919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0.50884764203988953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1090">
        <f>IF(t&gt;Tmaj,'2022'!Wh/'2022'!Env_an*'2023'!Env_an,0.001*'[5]mon-tableau'!$B$44)</f>
        <v>31.009955996942079</v>
      </c>
      <c r="C80" s="953"/>
      <c r="D80" s="393">
        <f t="shared" si="25"/>
        <v>32.22093260787527</v>
      </c>
      <c r="E80" s="385">
        <f t="shared" ref="E80:E143" si="47">Wh_pvt/(1-Psa)</f>
        <v>36.029627521270953</v>
      </c>
      <c r="F80" s="385">
        <f t="shared" si="26"/>
        <v>36.056870508504929</v>
      </c>
      <c r="G80" s="110">
        <f t="shared" ref="G80:G143" si="48">+Wh_hp/MaxiM</f>
        <v>0.74674050791585633</v>
      </c>
      <c r="H80" s="412" t="b">
        <f>Wh_hp&gt;='2022'!Maxi_hp</f>
        <v>0</v>
      </c>
      <c r="I80" s="390">
        <f>IF(H80,Wh_hp,'2022'!Maxi_hp)</f>
        <v>43.018931785268983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3.7583536940740569E-2</v>
      </c>
      <c r="M80" s="957"/>
      <c r="N80" s="957"/>
      <c r="O80" s="48">
        <f>IF(t&lt;Tnet,'2022'!Resal+('2022'!Salim-'2022'!Resal)*(1-EXP(('2022'!Tnet-t)/('2022'!Tau_j))),Resal+(Salim-Resal)*(1-EXP((Tnet-t)/(Tau_j))))*Salcycl</f>
        <v>0.10571008293513809</v>
      </c>
      <c r="P80" s="169">
        <f>(INDEX(Models!$BJ80:$BT80,,T80)*(1-R80)+INDEX(Models!$BJ80:$BT80,,T80+1)*R80-ERP_i)*Q80*Ramure*Pc/MaxiM</f>
        <v>1.1830383455493445E-3</v>
      </c>
      <c r="Q80" s="305">
        <f t="shared" si="28"/>
        <v>0.7</v>
      </c>
      <c r="R80" s="177">
        <f t="shared" si="29"/>
        <v>0.50923857274432516</v>
      </c>
      <c r="S80" s="919">
        <f t="shared" si="30"/>
        <v>0</v>
      </c>
      <c r="T80" s="176">
        <f t="shared" si="31"/>
        <v>6</v>
      </c>
      <c r="U80" s="251">
        <f t="shared" si="32"/>
        <v>0.50923857274432516</v>
      </c>
      <c r="V80" s="383">
        <f t="shared" si="33"/>
        <v>41.509318750357906</v>
      </c>
      <c r="W80" s="402">
        <f t="shared" si="34"/>
        <v>31.009955996942079</v>
      </c>
      <c r="X80" s="157">
        <f t="shared" si="35"/>
        <v>44992</v>
      </c>
      <c r="Y80" s="385">
        <f t="shared" si="36"/>
        <v>29.959189246900348</v>
      </c>
      <c r="Z80" s="385">
        <f t="shared" si="37"/>
        <v>31.12913213440703</v>
      </c>
      <c r="AA80" s="386">
        <f t="shared" si="38"/>
        <v>36.029627521270953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0.13601293502051329</v>
      </c>
      <c r="AD80" s="231">
        <f>(INDEX(Models!$BJ80:$BT80,,AH80)*(1-AF80)+INDEX(Models!$BJ80:$BT80,,AH80+1)*AF80-ERP_i)*AE80*Ramure*Pc/MaxiM</f>
        <v>1.1830383455493445E-3</v>
      </c>
      <c r="AE80" s="305">
        <f t="shared" si="40"/>
        <v>0.7</v>
      </c>
      <c r="AF80" s="177">
        <f t="shared" si="41"/>
        <v>0.50923857274432516</v>
      </c>
      <c r="AG80" s="919">
        <f t="shared" ref="AG80:AG143" si="49">INDEX(Echel_vg,AH80)</f>
        <v>0</v>
      </c>
      <c r="AH80" s="176">
        <f t="shared" si="42"/>
        <v>6</v>
      </c>
      <c r="AI80" s="225">
        <f t="shared" si="43"/>
        <v>0.50923857274432516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1090">
        <f>IF(t&gt;Tmaj,'2022'!Wh/'2022'!Env_an*'2023'!Env_an,0.001*'[5]mon-tableau'!$B$45)</f>
        <v>29.746566415404146</v>
      </c>
      <c r="C81" s="953"/>
      <c r="D81" s="393">
        <f t="shared" si="25"/>
        <v>30.908883105826462</v>
      </c>
      <c r="E81" s="385">
        <f t="shared" si="47"/>
        <v>34.567179128224325</v>
      </c>
      <c r="F81" s="385">
        <f t="shared" si="26"/>
        <v>34.59081202932483</v>
      </c>
      <c r="G81" s="110">
        <f t="shared" si="48"/>
        <v>0.71188122651209218</v>
      </c>
      <c r="H81" s="412" t="b">
        <f>Wh_hp&gt;='2022'!Maxi_hp</f>
        <v>0</v>
      </c>
      <c r="I81" s="390">
        <f>IF(H81,Wh_hp,'2022'!Maxi_hp)</f>
        <v>34.596892262682907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3.7604616331258334E-2</v>
      </c>
      <c r="M81" s="957"/>
      <c r="N81" s="957"/>
      <c r="O81" s="48">
        <f>IF(t&lt;Tnet,'2022'!Resal+('2022'!Salim-'2022'!Resal)*(1-EXP(('2022'!Tnet-t)/('2022'!Tau_j))),Resal+(Salim-Resal)*(1-EXP((Tnet-t)/(Tau_j))))*Salcycl</f>
        <v>0.10583148855819828</v>
      </c>
      <c r="P81" s="169">
        <f>(INDEX(Models!$BJ81:$BT81,,T81)*(1-R81)+INDEX(Models!$BJ81:$BT81,,T81+1)*R81-ERP_i)*Q81*Ramure*Pc/MaxiM</f>
        <v>1.1601764269476983E-3</v>
      </c>
      <c r="Q81" s="305">
        <f t="shared" si="28"/>
        <v>0.7</v>
      </c>
      <c r="R81" s="177">
        <f t="shared" si="29"/>
        <v>0.50964524257253518</v>
      </c>
      <c r="S81" s="919">
        <f t="shared" si="30"/>
        <v>0</v>
      </c>
      <c r="T81" s="176">
        <f t="shared" si="31"/>
        <v>6</v>
      </c>
      <c r="U81" s="251">
        <f t="shared" si="32"/>
        <v>0.50964524257253518</v>
      </c>
      <c r="V81" s="383">
        <f t="shared" si="33"/>
        <v>41.765912052752675</v>
      </c>
      <c r="W81" s="402">
        <f t="shared" si="34"/>
        <v>29.746566415404146</v>
      </c>
      <c r="X81" s="157">
        <f t="shared" si="35"/>
        <v>44993</v>
      </c>
      <c r="Y81" s="385">
        <f t="shared" si="36"/>
        <v>28.740080220998326</v>
      </c>
      <c r="Z81" s="385">
        <f t="shared" si="37"/>
        <v>29.863069491707702</v>
      </c>
      <c r="AA81" s="386">
        <f t="shared" si="38"/>
        <v>34.567179128224325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0.13608601439727222</v>
      </c>
      <c r="AD81" s="231">
        <f>(INDEX(Models!$BJ81:$BT81,,AH81)*(1-AF81)+INDEX(Models!$BJ81:$BT81,,AH81+1)*AF81-ERP_i)*AE81*Ramure*Pc/MaxiM</f>
        <v>1.1601764269476983E-3</v>
      </c>
      <c r="AE81" s="305">
        <f t="shared" si="40"/>
        <v>0.7</v>
      </c>
      <c r="AF81" s="177">
        <f t="shared" si="41"/>
        <v>0.50964524257253518</v>
      </c>
      <c r="AG81" s="919">
        <f t="shared" si="49"/>
        <v>0</v>
      </c>
      <c r="AH81" s="176">
        <f t="shared" si="42"/>
        <v>6</v>
      </c>
      <c r="AI81" s="225">
        <f t="shared" si="43"/>
        <v>0.50964524257253518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1090">
        <f>IF(t&gt;Tmaj,'2022'!Wh/'2022'!Env_an*'2023'!Env_an,0.001*'[5]mon-tableau'!$B$46)</f>
        <v>31.39716007177174</v>
      </c>
      <c r="C82" s="953"/>
      <c r="D82" s="393">
        <f t="shared" si="25"/>
        <v>32.624686587259703</v>
      </c>
      <c r="E82" s="385">
        <f t="shared" si="47"/>
        <v>36.491012610126525</v>
      </c>
      <c r="F82" s="385">
        <f t="shared" si="26"/>
        <v>36.51750665763749</v>
      </c>
      <c r="G82" s="110">
        <f t="shared" si="48"/>
        <v>0.74685918321886635</v>
      </c>
      <c r="H82" s="412" t="b">
        <f>Wh_hp&gt;='2022'!Maxi_hp</f>
        <v>0</v>
      </c>
      <c r="I82" s="390">
        <f>IF(H82,Wh_hp,'2022'!Maxi_hp)</f>
        <v>44.616353864796501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3.7625695260083303E-2</v>
      </c>
      <c r="M82" s="957"/>
      <c r="N82" s="957"/>
      <c r="O82" s="48">
        <f>IF(t&lt;Tnet,'2022'!Resal+('2022'!Salim-'2022'!Resal)*(1-EXP(('2022'!Tnet-t)/('2022'!Tau_j))),Resal+(Salim-Resal)*(1-EXP((Tnet-t)/(Tau_j))))*Salcycl</f>
        <v>0.10595282910274433</v>
      </c>
      <c r="P82" s="169">
        <f>(INDEX(Models!$BJ82:$BT82,,T82)*(1-R82)+INDEX(Models!$BJ82:$BT82,,T82+1)*R82-ERP_i)*Q82*Ramure*Pc/MaxiM</f>
        <v>1.1357337977062948E-3</v>
      </c>
      <c r="Q82" s="305">
        <f t="shared" si="28"/>
        <v>0.7</v>
      </c>
      <c r="R82" s="177">
        <f t="shared" si="29"/>
        <v>0.51006825695412217</v>
      </c>
      <c r="S82" s="919">
        <f t="shared" si="30"/>
        <v>0</v>
      </c>
      <c r="T82" s="176">
        <f t="shared" si="31"/>
        <v>6</v>
      </c>
      <c r="U82" s="251">
        <f t="shared" si="32"/>
        <v>0.51006825695412217</v>
      </c>
      <c r="V82" s="383">
        <f t="shared" si="33"/>
        <v>42.021671236480117</v>
      </c>
      <c r="W82" s="402">
        <f t="shared" si="34"/>
        <v>31.39716007177174</v>
      </c>
      <c r="X82" s="157">
        <f t="shared" si="35"/>
        <v>44994</v>
      </c>
      <c r="Y82" s="385">
        <f t="shared" si="36"/>
        <v>30.336374416863354</v>
      </c>
      <c r="Z82" s="385">
        <f t="shared" si="37"/>
        <v>31.52242767439828</v>
      </c>
      <c r="AA82" s="386">
        <f t="shared" si="38"/>
        <v>36.491012610126525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0.13615914112368116</v>
      </c>
      <c r="AD82" s="231">
        <f>(INDEX(Models!$BJ82:$BT82,,AH82)*(1-AF82)+INDEX(Models!$BJ82:$BT82,,AH82+1)*AF82-ERP_i)*AE82*Ramure*Pc/MaxiM</f>
        <v>1.1357337977062948E-3</v>
      </c>
      <c r="AE82" s="305">
        <f t="shared" si="40"/>
        <v>0.7</v>
      </c>
      <c r="AF82" s="177">
        <f t="shared" si="41"/>
        <v>0.51006825695412217</v>
      </c>
      <c r="AG82" s="919">
        <f t="shared" si="49"/>
        <v>0</v>
      </c>
      <c r="AH82" s="176">
        <f t="shared" si="42"/>
        <v>6</v>
      </c>
      <c r="AI82" s="225">
        <f t="shared" si="43"/>
        <v>0.51006825695412217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1090">
        <f>IF(t&gt;Tmaj,'2022'!Wh/'2022'!Env_an*'2023'!Env_an,0.001*'[5]mon-tableau'!$B$47)</f>
        <v>22.72270187814399</v>
      </c>
      <c r="C83" s="953"/>
      <c r="D83" s="393">
        <f t="shared" si="25"/>
        <v>23.611602536159992</v>
      </c>
      <c r="E83" s="385">
        <f t="shared" si="47"/>
        <v>26.413378753358604</v>
      </c>
      <c r="F83" s="385">
        <f t="shared" si="26"/>
        <v>26.423326879634104</v>
      </c>
      <c r="G83" s="110">
        <f t="shared" si="48"/>
        <v>0.53708637361996459</v>
      </c>
      <c r="H83" s="412" t="b">
        <f>Wh_hp&gt;='2022'!Maxi_hp</f>
        <v>0</v>
      </c>
      <c r="I83" s="390">
        <f>IF(H83,Wh_hp,'2022'!Maxi_hp)</f>
        <v>45.293809105395539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3.764677372722558E-2</v>
      </c>
      <c r="M83" s="957"/>
      <c r="N83" s="957"/>
      <c r="O83" s="48">
        <f>IF(t&lt;Tnet,'2022'!Resal+('2022'!Salim-'2022'!Resal)*(1-EXP(('2022'!Tnet-t)/('2022'!Tau_j))),Resal+(Salim-Resal)*(1-EXP((Tnet-t)/(Tau_j))))*Salcycl</f>
        <v>0.1060741317254745</v>
      </c>
      <c r="P83" s="169">
        <f>(INDEX(Models!$BJ83:$BT83,,T83)*(1-R83)+INDEX(Models!$BJ83:$BT83,,T83+1)*R83-ERP_i)*Q83*Ramure*Pc/MaxiM</f>
        <v>1.1097461175600531E-3</v>
      </c>
      <c r="Q83" s="305">
        <f t="shared" si="28"/>
        <v>0.7</v>
      </c>
      <c r="R83" s="177">
        <f t="shared" si="29"/>
        <v>0.51050824224545888</v>
      </c>
      <c r="S83" s="919">
        <f t="shared" si="30"/>
        <v>0</v>
      </c>
      <c r="T83" s="176">
        <f t="shared" si="31"/>
        <v>6</v>
      </c>
      <c r="U83" s="251">
        <f t="shared" si="32"/>
        <v>0.51050824224545888</v>
      </c>
      <c r="V83" s="383">
        <f t="shared" si="33"/>
        <v>42.276317487812157</v>
      </c>
      <c r="W83" s="402">
        <f t="shared" si="34"/>
        <v>22.72270187814399</v>
      </c>
      <c r="X83" s="157">
        <f t="shared" si="35"/>
        <v>44995</v>
      </c>
      <c r="Y83" s="385">
        <f t="shared" si="36"/>
        <v>21.956110130688511</v>
      </c>
      <c r="Z83" s="385">
        <f t="shared" si="37"/>
        <v>22.815022105474977</v>
      </c>
      <c r="AA83" s="386">
        <f t="shared" si="38"/>
        <v>26.413378753358604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0.13623234957875566</v>
      </c>
      <c r="AD83" s="231">
        <f>(INDEX(Models!$BJ83:$BT83,,AH83)*(1-AF83)+INDEX(Models!$BJ83:$BT83,,AH83+1)*AF83-ERP_i)*AE83*Ramure*Pc/MaxiM</f>
        <v>1.1097461175600531E-3</v>
      </c>
      <c r="AE83" s="305">
        <f t="shared" si="40"/>
        <v>0.7</v>
      </c>
      <c r="AF83" s="177">
        <f t="shared" si="41"/>
        <v>0.51050824224545888</v>
      </c>
      <c r="AG83" s="919">
        <f t="shared" si="49"/>
        <v>0</v>
      </c>
      <c r="AH83" s="176">
        <f t="shared" si="42"/>
        <v>6</v>
      </c>
      <c r="AI83" s="225">
        <f t="shared" si="43"/>
        <v>0.51050824224545888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1090">
        <f>IF(t&gt;Tmaj,'2022'!Wh/'2022'!Env_an*'2023'!Env_an,0.001*'[5]mon-tableau'!$B$48)</f>
        <v>15.149616965087166</v>
      </c>
      <c r="C84" s="953"/>
      <c r="D84" s="393">
        <f t="shared" si="25"/>
        <v>15.742607157377325</v>
      </c>
      <c r="E84" s="385">
        <f t="shared" si="47"/>
        <v>17.613030416220163</v>
      </c>
      <c r="F84" s="385">
        <f t="shared" si="26"/>
        <v>17.614561300984317</v>
      </c>
      <c r="G84" s="110">
        <f t="shared" si="48"/>
        <v>0.35585913402062902</v>
      </c>
      <c r="H84" s="412" t="b">
        <f>Wh_hp&gt;='2022'!Maxi_hp</f>
        <v>0</v>
      </c>
      <c r="I84" s="390">
        <f>IF(H84,Wh_hp,'2022'!Maxi_hp)</f>
        <v>36.273412618426136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3.766785173269549E-2</v>
      </c>
      <c r="M84" s="957"/>
      <c r="N84" s="957"/>
      <c r="O84" s="48">
        <f>IF(t&lt;Tnet,'2022'!Resal+('2022'!Salim-'2022'!Resal)*(1-EXP(('2022'!Tnet-t)/('2022'!Tau_j))),Resal+(Salim-Resal)*(1-EXP((Tnet-t)/(Tau_j))))*Salcycl</f>
        <v>0.10619542546865374</v>
      </c>
      <c r="P84" s="169">
        <f>(INDEX(Models!$BJ84:$BT84,,T84)*(1-R84)+INDEX(Models!$BJ84:$BT84,,T84+1)*R84-ERP_i)*Q84*Ramure*Pc/MaxiM</f>
        <v>1.0822470305818566E-3</v>
      </c>
      <c r="Q84" s="305">
        <f t="shared" si="28"/>
        <v>0.7</v>
      </c>
      <c r="R84" s="177">
        <f t="shared" si="29"/>
        <v>0.51096584625312369</v>
      </c>
      <c r="S84" s="919">
        <f t="shared" si="30"/>
        <v>0</v>
      </c>
      <c r="T84" s="176">
        <f t="shared" si="31"/>
        <v>6</v>
      </c>
      <c r="U84" s="251">
        <f t="shared" si="32"/>
        <v>0.51096584625312369</v>
      </c>
      <c r="V84" s="383">
        <f t="shared" si="33"/>
        <v>42.529572057023771</v>
      </c>
      <c r="W84" s="402">
        <f t="shared" si="34"/>
        <v>15.149616965087166</v>
      </c>
      <c r="X84" s="157">
        <f t="shared" si="35"/>
        <v>44996</v>
      </c>
      <c r="Y84" s="385">
        <f t="shared" si="36"/>
        <v>14.63926069420226</v>
      </c>
      <c r="Z84" s="385">
        <f t="shared" si="37"/>
        <v>15.212274390459157</v>
      </c>
      <c r="AA84" s="386">
        <f t="shared" si="38"/>
        <v>17.613030416220163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0.13630567648086866</v>
      </c>
      <c r="AD84" s="231">
        <f>(INDEX(Models!$BJ84:$BT84,,AH84)*(1-AF84)+INDEX(Models!$BJ84:$BT84,,AH84+1)*AF84-ERP_i)*AE84*Ramure*Pc/MaxiM</f>
        <v>1.0822470305818566E-3</v>
      </c>
      <c r="AE84" s="305">
        <f t="shared" si="40"/>
        <v>0.7</v>
      </c>
      <c r="AF84" s="177">
        <f t="shared" si="41"/>
        <v>0.51096584625312369</v>
      </c>
      <c r="AG84" s="919">
        <f t="shared" si="49"/>
        <v>0</v>
      </c>
      <c r="AH84" s="176">
        <f t="shared" si="42"/>
        <v>6</v>
      </c>
      <c r="AI84" s="225">
        <f t="shared" si="43"/>
        <v>0.51096584625312369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1090">
        <f>IF(t&gt;Tmaj,'2022'!Wh/'2022'!Env_an*'2023'!Env_an,0.001*'[5]mon-tableau'!$B$49)</f>
        <v>12.509474873547706</v>
      </c>
      <c r="C85" s="953"/>
      <c r="D85" s="393">
        <f t="shared" si="25"/>
        <v>12.999408667451648</v>
      </c>
      <c r="E85" s="385">
        <f t="shared" si="47"/>
        <v>14.545879134591583</v>
      </c>
      <c r="F85" s="385">
        <f t="shared" si="26"/>
        <v>14.545879134591583</v>
      </c>
      <c r="G85" s="110">
        <f t="shared" si="48"/>
        <v>0.29209820713090728</v>
      </c>
      <c r="H85" s="412" t="b">
        <f>Wh_hp&gt;='2022'!Maxi_hp</f>
        <v>0</v>
      </c>
      <c r="I85" s="390">
        <f>IF(H85,Wh_hp,'2022'!Maxi_hp)</f>
        <v>43.935491435363161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3.7688929276502803E-2</v>
      </c>
      <c r="M85" s="957"/>
      <c r="N85" s="957"/>
      <c r="O85" s="48">
        <f>IF(t&lt;Tnet,'2022'!Resal+('2022'!Salim-'2022'!Resal)*(1-EXP(('2022'!Tnet-t)/('2022'!Tau_j))),Resal+(Salim-Resal)*(1-EXP((Tnet-t)/(Tau_j))))*Salcycl</f>
        <v>0.10631674117670006</v>
      </c>
      <c r="P85" s="169">
        <f>(INDEX(Models!$BJ85:$BT85,,T85)*(1-R85)+INDEX(Models!$BJ85:$BT85,,T85+1)*R85-ERP_i)*Q85*Ramure*Pc/MaxiM</f>
        <v>1.0532680392933134E-3</v>
      </c>
      <c r="Q85" s="305">
        <f t="shared" si="28"/>
        <v>0.7</v>
      </c>
      <c r="R85" s="177">
        <f t="shared" si="29"/>
        <v>0.511441738752479</v>
      </c>
      <c r="S85" s="919">
        <f t="shared" si="30"/>
        <v>0</v>
      </c>
      <c r="T85" s="176">
        <f t="shared" si="31"/>
        <v>6</v>
      </c>
      <c r="U85" s="251">
        <f t="shared" si="32"/>
        <v>0.511441738752479</v>
      </c>
      <c r="V85" s="383">
        <f t="shared" si="33"/>
        <v>42.781156263224474</v>
      </c>
      <c r="W85" s="402">
        <f t="shared" si="34"/>
        <v>12.509474873547706</v>
      </c>
      <c r="X85" s="157">
        <f t="shared" si="35"/>
        <v>44997</v>
      </c>
      <c r="Y85" s="385">
        <f t="shared" si="36"/>
        <v>12.088671329472579</v>
      </c>
      <c r="Z85" s="385">
        <f t="shared" si="37"/>
        <v>12.562124345492478</v>
      </c>
      <c r="AA85" s="386">
        <f t="shared" si="38"/>
        <v>14.545879134591583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0.13637916077423845</v>
      </c>
      <c r="AD85" s="231">
        <f>(INDEX(Models!$BJ85:$BT85,,AH85)*(1-AF85)+INDEX(Models!$BJ85:$BT85,,AH85+1)*AF85-ERP_i)*AE85*Ramure*Pc/MaxiM</f>
        <v>1.0532680392933134E-3</v>
      </c>
      <c r="AE85" s="305">
        <f t="shared" si="40"/>
        <v>0.7</v>
      </c>
      <c r="AF85" s="177">
        <f t="shared" si="41"/>
        <v>0.511441738752479</v>
      </c>
      <c r="AG85" s="919">
        <f t="shared" si="49"/>
        <v>0</v>
      </c>
      <c r="AH85" s="176">
        <f t="shared" si="42"/>
        <v>6</v>
      </c>
      <c r="AI85" s="225">
        <f t="shared" si="43"/>
        <v>0.511441738752479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1090">
        <f>IF(t&gt;Tmaj,'2022'!Wh/'2022'!Env_an*'2023'!Env_an,0.001*'[5]mon-tableau'!$B$50)</f>
        <v>11.774868279203615</v>
      </c>
      <c r="C86" s="953"/>
      <c r="D86" s="393">
        <f t="shared" si="25"/>
        <v>12.236299199835866</v>
      </c>
      <c r="E86" s="385">
        <f t="shared" si="47"/>
        <v>13.693846342369612</v>
      </c>
      <c r="F86" s="385">
        <f t="shared" si="26"/>
        <v>13.693846342369612</v>
      </c>
      <c r="G86" s="110">
        <f t="shared" si="48"/>
        <v>0.27335831114015513</v>
      </c>
      <c r="H86" s="412" t="b">
        <f>Wh_hp&gt;='2022'!Maxi_hp</f>
        <v>0</v>
      </c>
      <c r="I86" s="390">
        <f>IF(H86,Wh_hp,'2022'!Maxi_hp)</f>
        <v>42.800557177693996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3.7710006358657955E-2</v>
      </c>
      <c r="M86" s="957"/>
      <c r="N86" s="957"/>
      <c r="O86" s="48">
        <f>IF(t&lt;Tnet,'2022'!Resal+('2022'!Salim-'2022'!Resal)*(1-EXP(('2022'!Tnet-t)/('2022'!Tau_j))),Resal+(Salim-Resal)*(1-EXP((Tnet-t)/(Tau_j))))*Salcycl</f>
        <v>0.10643811140366051</v>
      </c>
      <c r="P86" s="169">
        <f>(INDEX(Models!$BJ86:$BT86,,T86)*(1-R86)+INDEX(Models!$BJ86:$BT86,,T86+1)*R86-ERP_i)*Q86*Ramure*Pc/MaxiM</f>
        <v>1.0234212943953612E-3</v>
      </c>
      <c r="Q86" s="305">
        <f t="shared" si="28"/>
        <v>0.7</v>
      </c>
      <c r="R86" s="177">
        <f t="shared" si="29"/>
        <v>0.51193661199932472</v>
      </c>
      <c r="S86" s="919">
        <f t="shared" si="30"/>
        <v>0</v>
      </c>
      <c r="T86" s="176">
        <f t="shared" si="31"/>
        <v>6</v>
      </c>
      <c r="U86" s="251">
        <f t="shared" si="32"/>
        <v>0.51193661199932472</v>
      </c>
      <c r="V86" s="383">
        <f t="shared" si="33"/>
        <v>43.030766393040068</v>
      </c>
      <c r="W86" s="402">
        <f t="shared" si="34"/>
        <v>11.774868279203615</v>
      </c>
      <c r="X86" s="157">
        <f t="shared" si="35"/>
        <v>44998</v>
      </c>
      <c r="Y86" s="385">
        <f t="shared" si="36"/>
        <v>11.379350608374363</v>
      </c>
      <c r="Z86" s="385">
        <f t="shared" si="37"/>
        <v>11.82528207044372</v>
      </c>
      <c r="AA86" s="386">
        <f t="shared" si="38"/>
        <v>13.693846342369612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0.13645284350419781</v>
      </c>
      <c r="AD86" s="231">
        <f>(INDEX(Models!$BJ86:$BT86,,AH86)*(1-AF86)+INDEX(Models!$BJ86:$BT86,,AH86+1)*AF86-ERP_i)*AE86*Ramure*Pc/MaxiM</f>
        <v>1.0234212943953612E-3</v>
      </c>
      <c r="AE86" s="305">
        <f t="shared" si="40"/>
        <v>0.7</v>
      </c>
      <c r="AF86" s="177">
        <f t="shared" si="41"/>
        <v>0.51193661199932472</v>
      </c>
      <c r="AG86" s="919">
        <f t="shared" si="49"/>
        <v>0</v>
      </c>
      <c r="AH86" s="176">
        <f t="shared" si="42"/>
        <v>6</v>
      </c>
      <c r="AI86" s="225">
        <f t="shared" si="43"/>
        <v>0.51193661199932472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1090">
        <f>IF(t&gt;Tmaj,'2022'!Wh/'2022'!Env_an*'2023'!Env_an,0.001*'[5]mon-tableau'!$B$51)</f>
        <v>12.439320346152249</v>
      </c>
      <c r="C87" s="953"/>
      <c r="D87" s="393">
        <f t="shared" si="25"/>
        <v>12.927072802750615</v>
      </c>
      <c r="E87" s="385">
        <f t="shared" si="47"/>
        <v>14.468869298060724</v>
      </c>
      <c r="F87" s="385">
        <f t="shared" si="26"/>
        <v>14.468869298060724</v>
      </c>
      <c r="G87" s="110">
        <f t="shared" si="48"/>
        <v>0.28714210345419849</v>
      </c>
      <c r="H87" s="412" t="b">
        <f>Wh_hp&gt;='2022'!Maxi_hp</f>
        <v>0</v>
      </c>
      <c r="I87" s="390">
        <f>IF(H87,Wh_hp,'2022'!Maxi_hp)</f>
        <v>36.891466840324576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3.7731082979170827E-2</v>
      </c>
      <c r="M87" s="957"/>
      <c r="N87" s="957"/>
      <c r="O87" s="48">
        <f>IF(t&lt;Tnet,'2022'!Resal+('2022'!Salim-'2022'!Resal)*(1-EXP(('2022'!Tnet-t)/('2022'!Tau_j))),Resal+(Salim-Resal)*(1-EXP((Tnet-t)/(Tau_j))))*Salcycl</f>
        <v>0.1065595703125716</v>
      </c>
      <c r="P87" s="169">
        <f>(INDEX(Models!$BJ87:$BT87,,T87)*(1-R87)+INDEX(Models!$BJ87:$BT87,,T87+1)*R87-ERP_i)*Q87*Ramure*Pc/MaxiM</f>
        <v>9.9407138372500535E-4</v>
      </c>
      <c r="Q87" s="305">
        <f t="shared" si="28"/>
        <v>0.7</v>
      </c>
      <c r="R87" s="177">
        <f t="shared" si="29"/>
        <v>0.51245118123236244</v>
      </c>
      <c r="S87" s="919">
        <f t="shared" si="30"/>
        <v>0</v>
      </c>
      <c r="T87" s="176">
        <f t="shared" si="31"/>
        <v>6</v>
      </c>
      <c r="U87" s="251">
        <f t="shared" si="32"/>
        <v>0.51245118123236244</v>
      </c>
      <c r="V87" s="383">
        <f t="shared" si="33"/>
        <v>43.278065544105587</v>
      </c>
      <c r="W87" s="402">
        <f t="shared" si="34"/>
        <v>12.439320346152249</v>
      </c>
      <c r="X87" s="157">
        <f t="shared" si="35"/>
        <v>44999</v>
      </c>
      <c r="Y87" s="385">
        <f t="shared" si="36"/>
        <v>12.022088759607513</v>
      </c>
      <c r="Z87" s="385">
        <f t="shared" si="37"/>
        <v>12.493481340775018</v>
      </c>
      <c r="AA87" s="386">
        <f t="shared" si="38"/>
        <v>14.468869298060724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0.13652676768256314</v>
      </c>
      <c r="AD87" s="231">
        <f>(INDEX(Models!$BJ87:$BT87,,AH87)*(1-AF87)+INDEX(Models!$BJ87:$BT87,,AH87+1)*AF87-ERP_i)*AE87*Ramure*Pc/MaxiM</f>
        <v>9.9407138372500535E-4</v>
      </c>
      <c r="AE87" s="305">
        <f t="shared" si="40"/>
        <v>0.7</v>
      </c>
      <c r="AF87" s="177">
        <f t="shared" si="41"/>
        <v>0.51245118123236244</v>
      </c>
      <c r="AG87" s="919">
        <f t="shared" si="49"/>
        <v>0</v>
      </c>
      <c r="AH87" s="176">
        <f t="shared" si="42"/>
        <v>6</v>
      </c>
      <c r="AI87" s="225">
        <f t="shared" si="43"/>
        <v>0.51245118123236244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1090">
        <f>IF(t&gt;Tmaj,'2022'!Wh/'2022'!Env_an*'2023'!Env_an,0.001*'[5]mon-tableau'!$B$52)</f>
        <v>14.121766118653095</v>
      </c>
      <c r="C88" s="953"/>
      <c r="D88" s="393">
        <f t="shared" si="25"/>
        <v>14.675809618864207</v>
      </c>
      <c r="E88" s="385">
        <f t="shared" si="47"/>
        <v>16.428411510040814</v>
      </c>
      <c r="F88" s="385">
        <f t="shared" si="26"/>
        <v>16.428965805130495</v>
      </c>
      <c r="G88" s="110">
        <f t="shared" si="48"/>
        <v>0.32416617636848305</v>
      </c>
      <c r="H88" s="412" t="b">
        <f>Wh_hp&gt;='2022'!Maxi_hp</f>
        <v>0</v>
      </c>
      <c r="I88" s="390">
        <f>IF(H88,Wh_hp,'2022'!Maxi_hp)</f>
        <v>34.951737117929945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3.7752159138051744E-2</v>
      </c>
      <c r="M88" s="957"/>
      <c r="N88" s="957"/>
      <c r="O88" s="48">
        <f>IF(t&lt;Tnet,'2022'!Resal+('2022'!Salim-'2022'!Resal)*(1-EXP(('2022'!Tnet-t)/('2022'!Tau_j))),Resal+(Salim-Resal)*(1-EXP((Tnet-t)/(Tau_j))))*Salcycl</f>
        <v>0.10668115356773482</v>
      </c>
      <c r="P88" s="169">
        <f>(INDEX(Models!$BJ88:$BT88,,T88)*(1-R88)+INDEX(Models!$BJ88:$BT88,,T88+1)*R88-ERP_i)*Q88*Ramure*Pc/MaxiM</f>
        <v>9.6521244632986425E-4</v>
      </c>
      <c r="Q88" s="305">
        <f t="shared" si="28"/>
        <v>0.7</v>
      </c>
      <c r="R88" s="177">
        <f t="shared" si="29"/>
        <v>0.51298618516399397</v>
      </c>
      <c r="S88" s="919">
        <f t="shared" si="30"/>
        <v>0</v>
      </c>
      <c r="T88" s="176">
        <f t="shared" si="31"/>
        <v>6</v>
      </c>
      <c r="U88" s="251">
        <f t="shared" si="32"/>
        <v>0.51298618516399397</v>
      </c>
      <c r="V88" s="383">
        <f t="shared" si="33"/>
        <v>43.522775204980732</v>
      </c>
      <c r="W88" s="402">
        <f t="shared" si="34"/>
        <v>14.121766118653095</v>
      </c>
      <c r="X88" s="157">
        <f t="shared" si="35"/>
        <v>45000</v>
      </c>
      <c r="Y88" s="385">
        <f t="shared" si="36"/>
        <v>13.648787442930445</v>
      </c>
      <c r="Z88" s="385">
        <f t="shared" si="37"/>
        <v>14.184274428409561</v>
      </c>
      <c r="AA88" s="386">
        <f t="shared" si="38"/>
        <v>16.428411510040814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0.13660097814445832</v>
      </c>
      <c r="AD88" s="231">
        <f>(INDEX(Models!$BJ88:$BT88,,AH88)*(1-AF88)+INDEX(Models!$BJ88:$BT88,,AH88+1)*AF88-ERP_i)*AE88*Ramure*Pc/MaxiM</f>
        <v>9.6521244632986425E-4</v>
      </c>
      <c r="AE88" s="305">
        <f t="shared" si="40"/>
        <v>0.7</v>
      </c>
      <c r="AF88" s="177">
        <f t="shared" si="41"/>
        <v>0.51298618516399397</v>
      </c>
      <c r="AG88" s="919">
        <f t="shared" si="49"/>
        <v>0</v>
      </c>
      <c r="AH88" s="176">
        <f t="shared" si="42"/>
        <v>6</v>
      </c>
      <c r="AI88" s="225">
        <f t="shared" si="43"/>
        <v>0.51298618516399397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1090">
        <f>IF(t&gt;Tmaj,'2022'!Wh/'2022'!Env_an*'2023'!Env_an,0.001*'[5]mon-tableau'!$B$53)</f>
        <v>9.693011477550435</v>
      </c>
      <c r="C89" s="953"/>
      <c r="D89" s="393">
        <f t="shared" si="25"/>
        <v>10.073520950013725</v>
      </c>
      <c r="E89" s="385">
        <f t="shared" si="47"/>
        <v>11.278049301715823</v>
      </c>
      <c r="F89" s="385">
        <f t="shared" si="26"/>
        <v>11.278049301715823</v>
      </c>
      <c r="G89" s="110">
        <f t="shared" si="48"/>
        <v>0.22127305967538038</v>
      </c>
      <c r="H89" s="412" t="b">
        <f>Wh_hp&gt;='2022'!Maxi_hp</f>
        <v>0</v>
      </c>
      <c r="I89" s="390">
        <f>IF(H89,Wh_hp,'2022'!Maxi_hp)</f>
        <v>52.275659986289419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3.7773234835310587E-2</v>
      </c>
      <c r="M89" s="957"/>
      <c r="N89" s="957"/>
      <c r="O89" s="48">
        <f>IF(t&lt;Tnet,'2022'!Resal+('2022'!Salim-'2022'!Resal)*(1-EXP(('2022'!Tnet-t)/('2022'!Tau_j))),Resal+(Salim-Resal)*(1-EXP((Tnet-t)/(Tau_j))))*Salcycl</f>
        <v>0.10680289822095772</v>
      </c>
      <c r="P89" s="169">
        <f>(INDEX(Models!$BJ89:$BT89,,T89)*(1-R89)+INDEX(Models!$BJ89:$BT89,,T89+1)*R89-ERP_i)*Q89*Ramure*Pc/MaxiM</f>
        <v>9.368379207956262E-4</v>
      </c>
      <c r="Q89" s="305">
        <f t="shared" si="28"/>
        <v>0.7</v>
      </c>
      <c r="R89" s="177">
        <f t="shared" si="29"/>
        <v>0.51354238645676586</v>
      </c>
      <c r="S89" s="919">
        <f t="shared" si="30"/>
        <v>0</v>
      </c>
      <c r="T89" s="176">
        <f t="shared" si="31"/>
        <v>6</v>
      </c>
      <c r="U89" s="251">
        <f t="shared" si="32"/>
        <v>0.51354238645676586</v>
      </c>
      <c r="V89" s="383">
        <f t="shared" si="33"/>
        <v>43.764616944504731</v>
      </c>
      <c r="W89" s="402">
        <f t="shared" si="34"/>
        <v>9.693011477550435</v>
      </c>
      <c r="X89" s="157">
        <f t="shared" si="35"/>
        <v>45001</v>
      </c>
      <c r="Y89" s="385">
        <f t="shared" si="36"/>
        <v>9.3688325491340816</v>
      </c>
      <c r="Z89" s="385">
        <f t="shared" si="37"/>
        <v>9.7366160330517975</v>
      </c>
      <c r="AA89" s="386">
        <f t="shared" si="38"/>
        <v>11.278049301715823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0.13667552139797035</v>
      </c>
      <c r="AD89" s="231">
        <f>(INDEX(Models!$BJ89:$BT89,,AH89)*(1-AF89)+INDEX(Models!$BJ89:$BT89,,AH89+1)*AF89-ERP_i)*AE89*Ramure*Pc/MaxiM</f>
        <v>9.368379207956262E-4</v>
      </c>
      <c r="AE89" s="305">
        <f t="shared" si="40"/>
        <v>0.7</v>
      </c>
      <c r="AF89" s="177">
        <f t="shared" si="41"/>
        <v>0.51354238645676586</v>
      </c>
      <c r="AG89" s="919">
        <f t="shared" si="49"/>
        <v>0</v>
      </c>
      <c r="AH89" s="176">
        <f t="shared" si="42"/>
        <v>6</v>
      </c>
      <c r="AI89" s="225">
        <f t="shared" si="43"/>
        <v>0.51354238645676586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1090">
        <f>IF(t&gt;Tmaj,'2022'!Wh/'2022'!Env_an*'2023'!Env_an,0.001*'[5]mon-tableau'!$B$54)</f>
        <v>10.496104333591688</v>
      </c>
      <c r="C90" s="953"/>
      <c r="D90" s="393">
        <f t="shared" si="25"/>
        <v>10.908378991570627</v>
      </c>
      <c r="E90" s="385">
        <f t="shared" si="47"/>
        <v>12.214402003119595</v>
      </c>
      <c r="F90" s="385">
        <f t="shared" si="26"/>
        <v>12.214402003119595</v>
      </c>
      <c r="G90" s="110">
        <f t="shared" si="48"/>
        <v>0.23831305920765755</v>
      </c>
      <c r="H90" s="412" t="b">
        <f>Wh_hp&gt;='2022'!Maxi_hp</f>
        <v>0</v>
      </c>
      <c r="I90" s="390">
        <f>IF(H90,Wh_hp,'2022'!Maxi_hp)</f>
        <v>27.107916637934526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3.7794310070957571E-2</v>
      </c>
      <c r="M90" s="957"/>
      <c r="N90" s="957"/>
      <c r="O90" s="48">
        <f>IF(t&lt;Tnet,'2022'!Resal+('2022'!Salim-'2022'!Resal)*(1-EXP(('2022'!Tnet-t)/('2022'!Tau_j))),Resal+(Salim-Resal)*(1-EXP((Tnet-t)/(Tau_j))))*Salcycl</f>
        <v>0.10692484259281834</v>
      </c>
      <c r="P90" s="169">
        <f>(INDEX(Models!$BJ90:$BT90,,T90)*(1-R90)+INDEX(Models!$BJ90:$BT90,,T90+1)*R90-ERP_i)*Q90*Ramure*Pc/MaxiM</f>
        <v>9.0894055887220991E-4</v>
      </c>
      <c r="Q90" s="305">
        <f t="shared" si="28"/>
        <v>0.7</v>
      </c>
      <c r="R90" s="177">
        <f t="shared" si="29"/>
        <v>0.51412057218253016</v>
      </c>
      <c r="S90" s="919">
        <f t="shared" si="30"/>
        <v>0</v>
      </c>
      <c r="T90" s="176">
        <f t="shared" si="31"/>
        <v>6</v>
      </c>
      <c r="U90" s="251">
        <f t="shared" si="32"/>
        <v>0.51412057218253016</v>
      </c>
      <c r="V90" s="383">
        <f t="shared" si="33"/>
        <v>44.003312422401123</v>
      </c>
      <c r="W90" s="402">
        <f t="shared" si="34"/>
        <v>10.496104333591688</v>
      </c>
      <c r="X90" s="157">
        <f t="shared" si="35"/>
        <v>45002</v>
      </c>
      <c r="Y90" s="385">
        <f t="shared" si="36"/>
        <v>10.145570969189102</v>
      </c>
      <c r="Z90" s="385">
        <f t="shared" si="37"/>
        <v>10.544077088067608</v>
      </c>
      <c r="AA90" s="386">
        <f t="shared" si="38"/>
        <v>12.214402003119595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0.13675044546801229</v>
      </c>
      <c r="AD90" s="231">
        <f>(INDEX(Models!$BJ90:$BT90,,AH90)*(1-AF90)+INDEX(Models!$BJ90:$BT90,,AH90+1)*AF90-ERP_i)*AE90*Ramure*Pc/MaxiM</f>
        <v>9.0894055887220991E-4</v>
      </c>
      <c r="AE90" s="305">
        <f t="shared" si="40"/>
        <v>0.7</v>
      </c>
      <c r="AF90" s="177">
        <f t="shared" si="41"/>
        <v>0.51412057218253016</v>
      </c>
      <c r="AG90" s="919">
        <f t="shared" si="49"/>
        <v>0</v>
      </c>
      <c r="AH90" s="176">
        <f t="shared" si="42"/>
        <v>6</v>
      </c>
      <c r="AI90" s="225">
        <f t="shared" si="43"/>
        <v>0.51412057218253016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1090">
        <f>IF(t&gt;Tmaj,'2022'!Wh/'2022'!Env_an*'2023'!Env_an,0.001*'[5]mon-tableau'!$B$55)</f>
        <v>12.873121656003292</v>
      </c>
      <c r="C91" s="953"/>
      <c r="D91" s="393">
        <f t="shared" si="25"/>
        <v>13.37905579994082</v>
      </c>
      <c r="E91" s="385">
        <f t="shared" si="47"/>
        <v>14.982934366920325</v>
      </c>
      <c r="F91" s="385">
        <f t="shared" si="26"/>
        <v>14.982934366920325</v>
      </c>
      <c r="G91" s="110">
        <f t="shared" si="48"/>
        <v>0.29073656644520718</v>
      </c>
      <c r="H91" s="412" t="b">
        <f>Wh_hp&gt;='2022'!Maxi_hp</f>
        <v>0</v>
      </c>
      <c r="I91" s="390">
        <f>IF(H91,Wh_hp,'2022'!Maxi_hp)</f>
        <v>38.270489516966428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3.7815384845002797E-2</v>
      </c>
      <c r="M91" s="957"/>
      <c r="N91" s="957"/>
      <c r="O91" s="48">
        <f>IF(t&lt;Tnet,'2022'!Resal+('2022'!Salim-'2022'!Resal)*(1-EXP(('2022'!Tnet-t)/('2022'!Tau_j))),Resal+(Salim-Resal)*(1-EXP((Tnet-t)/(Tau_j))))*Salcycl</f>
        <v>0.10704702615000344</v>
      </c>
      <c r="P91" s="169">
        <f>(INDEX(Models!$BJ91:$BT91,,T91)*(1-R91)+INDEX(Models!$BJ91:$BT91,,T91+1)*R91-ERP_i)*Q91*Ramure*Pc/MaxiM</f>
        <v>8.8151243904813334E-4</v>
      </c>
      <c r="Q91" s="305">
        <f t="shared" si="28"/>
        <v>0.7</v>
      </c>
      <c r="R91" s="177">
        <f t="shared" si="29"/>
        <v>0.51472155426115562</v>
      </c>
      <c r="S91" s="919">
        <f t="shared" si="30"/>
        <v>0</v>
      </c>
      <c r="T91" s="176">
        <f t="shared" si="31"/>
        <v>6</v>
      </c>
      <c r="U91" s="251">
        <f t="shared" si="32"/>
        <v>0.51472155426115562</v>
      </c>
      <c r="V91" s="383">
        <f t="shared" si="33"/>
        <v>44.238583389744001</v>
      </c>
      <c r="W91" s="402">
        <f t="shared" si="34"/>
        <v>12.873121656003292</v>
      </c>
      <c r="X91" s="157">
        <f t="shared" si="35"/>
        <v>45003</v>
      </c>
      <c r="Y91" s="385">
        <f t="shared" si="36"/>
        <v>12.443820465053484</v>
      </c>
      <c r="Z91" s="385">
        <f t="shared" si="37"/>
        <v>12.932882389778102</v>
      </c>
      <c r="AA91" s="386">
        <f t="shared" si="38"/>
        <v>14.982934366920325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0.13682579973575637</v>
      </c>
      <c r="AD91" s="231">
        <f>(INDEX(Models!$BJ91:$BT91,,AH91)*(1-AF91)+INDEX(Models!$BJ91:$BT91,,AH91+1)*AF91-ERP_i)*AE91*Ramure*Pc/MaxiM</f>
        <v>8.8151243904813334E-4</v>
      </c>
      <c r="AE91" s="305">
        <f t="shared" si="40"/>
        <v>0.7</v>
      </c>
      <c r="AF91" s="177">
        <f t="shared" si="41"/>
        <v>0.51472155426115562</v>
      </c>
      <c r="AG91" s="919">
        <f t="shared" si="49"/>
        <v>0</v>
      </c>
      <c r="AH91" s="176">
        <f t="shared" si="42"/>
        <v>6</v>
      </c>
      <c r="AI91" s="225">
        <f t="shared" si="43"/>
        <v>0.51472155426115562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1090">
        <f>IF(t&gt;Tmaj,'2022'!Wh/'2022'!Env_an*'2023'!Env_an,0.001*'[5]mon-tableau'!$B$56)</f>
        <v>29.495946928647204</v>
      </c>
      <c r="C92" s="953"/>
      <c r="D92" s="393">
        <f t="shared" si="25"/>
        <v>30.655855971032022</v>
      </c>
      <c r="E92" s="385">
        <f t="shared" si="47"/>
        <v>34.335582852937399</v>
      </c>
      <c r="F92" s="385">
        <f t="shared" si="26"/>
        <v>34.350816702243833</v>
      </c>
      <c r="G92" s="110">
        <f t="shared" si="48"/>
        <v>0.66300238756318863</v>
      </c>
      <c r="H92" s="412" t="b">
        <f>Wh_hp&gt;='2022'!Maxi_hp</f>
        <v>0</v>
      </c>
      <c r="I92" s="390">
        <f>IF(H92,Wh_hp,'2022'!Maxi_hp)</f>
        <v>46.831517578729603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3.783645915745637E-2</v>
      </c>
      <c r="M92" s="957"/>
      <c r="N92" s="957"/>
      <c r="O92" s="48">
        <f>IF(t&lt;Tnet,'2022'!Resal+('2022'!Salim-'2022'!Resal)*(1-EXP(('2022'!Tnet-t)/('2022'!Tau_j))),Resal+(Salim-Resal)*(1-EXP((Tnet-t)/(Tau_j))))*Salcycl</f>
        <v>0.10716948937974931</v>
      </c>
      <c r="P92" s="169">
        <f>(INDEX(Models!$BJ92:$BT92,,T92)*(1-R92)+INDEX(Models!$BJ92:$BT92,,T92+1)*R92-ERP_i)*Q92*Ramure*Pc/MaxiM</f>
        <v>8.5454497957252373E-4</v>
      </c>
      <c r="Q92" s="305">
        <f t="shared" si="28"/>
        <v>0.7</v>
      </c>
      <c r="R92" s="177">
        <f t="shared" si="29"/>
        <v>0.51534616987536219</v>
      </c>
      <c r="S92" s="919">
        <f t="shared" si="30"/>
        <v>0</v>
      </c>
      <c r="T92" s="176">
        <f t="shared" si="31"/>
        <v>6</v>
      </c>
      <c r="U92" s="251">
        <f t="shared" si="32"/>
        <v>0.51534616987536219</v>
      </c>
      <c r="V92" s="383">
        <f t="shared" si="33"/>
        <v>44.470151703414288</v>
      </c>
      <c r="W92" s="402">
        <f t="shared" si="34"/>
        <v>29.495946928647204</v>
      </c>
      <c r="X92" s="157">
        <f t="shared" si="35"/>
        <v>45004</v>
      </c>
      <c r="Y92" s="385">
        <f t="shared" si="36"/>
        <v>28.51370251358702</v>
      </c>
      <c r="Z92" s="385">
        <f t="shared" si="37"/>
        <v>29.63498542941905</v>
      </c>
      <c r="AA92" s="386">
        <f t="shared" si="38"/>
        <v>34.335582852937399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0.13690163477496387</v>
      </c>
      <c r="AD92" s="231">
        <f>(INDEX(Models!$BJ92:$BT92,,AH92)*(1-AF92)+INDEX(Models!$BJ92:$BT92,,AH92+1)*AF92-ERP_i)*AE92*Ramure*Pc/MaxiM</f>
        <v>8.5454497957252373E-4</v>
      </c>
      <c r="AE92" s="305">
        <f t="shared" si="40"/>
        <v>0.7</v>
      </c>
      <c r="AF92" s="177">
        <f t="shared" si="41"/>
        <v>0.51534616987536219</v>
      </c>
      <c r="AG92" s="919">
        <f t="shared" si="49"/>
        <v>0</v>
      </c>
      <c r="AH92" s="176">
        <f t="shared" si="42"/>
        <v>6</v>
      </c>
      <c r="AI92" s="225">
        <f t="shared" si="43"/>
        <v>0.51534616987536219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1090">
        <f>IF(t&gt;Tmaj,'2022'!Wh/'2022'!Env_an*'2023'!Env_an,0.001*'[5]mon-tableau'!$B$57)</f>
        <v>30.410041384253145</v>
      </c>
      <c r="C93" s="953"/>
      <c r="D93" s="393">
        <f t="shared" si="25"/>
        <v>31.606588865509853</v>
      </c>
      <c r="E93" s="385">
        <f t="shared" si="47"/>
        <v>35.405304483223873</v>
      </c>
      <c r="F93" s="385">
        <f t="shared" si="26"/>
        <v>35.421238900918951</v>
      </c>
      <c r="G93" s="110">
        <f t="shared" si="48"/>
        <v>0.68005925493714037</v>
      </c>
      <c r="H93" s="412" t="b">
        <f>Wh_hp&gt;='2022'!Maxi_hp</f>
        <v>0</v>
      </c>
      <c r="I93" s="390">
        <f>IF(H93,Wh_hp,'2022'!Maxi_hp)</f>
        <v>53.139538604347429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3.7857533008328503E-2</v>
      </c>
      <c r="M93" s="957"/>
      <c r="N93" s="957"/>
      <c r="O93" s="48">
        <f>IF(t&lt;Tnet,'2022'!Resal+('2022'!Salim-'2022'!Resal)*(1-EXP(('2022'!Tnet-t)/('2022'!Tau_j))),Resal+(Salim-Resal)*(1-EXP((Tnet-t)/(Tau_j))))*Salcycl</f>
        <v>0.10729227366238209</v>
      </c>
      <c r="P93" s="169">
        <f>(INDEX(Models!$BJ93:$BT93,,T93)*(1-R93)+INDEX(Models!$BJ93:$BT93,,T93+1)*R93-ERP_i)*Q93*Ramure*Pc/MaxiM</f>
        <v>8.2799017371530789E-4</v>
      </c>
      <c r="Q93" s="305">
        <f t="shared" si="28"/>
        <v>0.7</v>
      </c>
      <c r="R93" s="177">
        <f t="shared" si="29"/>
        <v>0.5159952818579836</v>
      </c>
      <c r="S93" s="919">
        <f t="shared" si="30"/>
        <v>0</v>
      </c>
      <c r="T93" s="176">
        <f t="shared" si="31"/>
        <v>6</v>
      </c>
      <c r="U93" s="251">
        <f t="shared" si="32"/>
        <v>0.5159952818579836</v>
      </c>
      <c r="V93" s="383">
        <f t="shared" si="33"/>
        <v>44.699835902269633</v>
      </c>
      <c r="W93" s="402">
        <f t="shared" si="34"/>
        <v>30.410041384253145</v>
      </c>
      <c r="X93" s="157">
        <f t="shared" si="35"/>
        <v>45005</v>
      </c>
      <c r="Y93" s="385">
        <f t="shared" si="36"/>
        <v>29.398798615420581</v>
      </c>
      <c r="Z93" s="385">
        <f t="shared" si="37"/>
        <v>30.55555660830743</v>
      </c>
      <c r="AA93" s="386">
        <f t="shared" si="38"/>
        <v>35.405304483223873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0.13697800218649175</v>
      </c>
      <c r="AD93" s="231">
        <f>(INDEX(Models!$BJ93:$BT93,,AH93)*(1-AF93)+INDEX(Models!$BJ93:$BT93,,AH93+1)*AF93-ERP_i)*AE93*Ramure*Pc/MaxiM</f>
        <v>8.2799017371530789E-4</v>
      </c>
      <c r="AE93" s="305">
        <f t="shared" si="40"/>
        <v>0.7</v>
      </c>
      <c r="AF93" s="177">
        <f t="shared" si="41"/>
        <v>0.5159952818579836</v>
      </c>
      <c r="AG93" s="919">
        <f t="shared" si="49"/>
        <v>0</v>
      </c>
      <c r="AH93" s="176">
        <f t="shared" si="42"/>
        <v>6</v>
      </c>
      <c r="AI93" s="225">
        <f t="shared" si="43"/>
        <v>0.5159952818579836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1090">
        <f>IF(t&gt;Tmaj,'2022'!Wh/'2022'!Env_an*'2023'!Env_an,0.001*'[5]mon-tableau'!$B$58)</f>
        <v>43.850108898785038</v>
      </c>
      <c r="C94" s="953"/>
      <c r="D94" s="393">
        <f t="shared" si="25"/>
        <v>45.576482541981157</v>
      </c>
      <c r="E94" s="385">
        <f t="shared" si="47"/>
        <v>51.061247999981639</v>
      </c>
      <c r="F94" s="385">
        <f t="shared" si="26"/>
        <v>51.100826741123441</v>
      </c>
      <c r="G94" s="110">
        <f t="shared" si="48"/>
        <v>0.97595561256326357</v>
      </c>
      <c r="H94" s="412" t="b">
        <f>Wh_hp&gt;='2022'!Maxi_hp</f>
        <v>0</v>
      </c>
      <c r="I94" s="390">
        <f>IF(H94,Wh_hp,'2022'!Maxi_hp)</f>
        <v>53.219933275475654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3.7878606397629189E-2</v>
      </c>
      <c r="M94" s="957"/>
      <c r="N94" s="957"/>
      <c r="O94" s="48">
        <f>IF(t&lt;Tnet,'2022'!Resal+('2022'!Salim-'2022'!Resal)*(1-EXP(('2022'!Tnet-t)/('2022'!Tau_j))),Resal+(Salim-Resal)*(1-EXP((Tnet-t)/(Tau_j))))*Salcycl</f>
        <v>0.1074154211429077</v>
      </c>
      <c r="P94" s="169">
        <f>(INDEX(Models!$BJ94:$BT94,,T94)*(1-R94)+INDEX(Models!$BJ94:$BT94,,T94+1)*R94-ERP_i)*Q94*Ramure*Pc/MaxiM</f>
        <v>8.0204113525861418E-4</v>
      </c>
      <c r="Q94" s="305">
        <f t="shared" si="28"/>
        <v>0.7</v>
      </c>
      <c r="R94" s="177">
        <f t="shared" si="29"/>
        <v>0.51666977904768385</v>
      </c>
      <c r="S94" s="919">
        <f t="shared" si="30"/>
        <v>0</v>
      </c>
      <c r="T94" s="176">
        <f t="shared" si="31"/>
        <v>6</v>
      </c>
      <c r="U94" s="251">
        <f t="shared" si="32"/>
        <v>0.51666977904768385</v>
      </c>
      <c r="V94" s="383">
        <f t="shared" si="33"/>
        <v>44.929196271582484</v>
      </c>
      <c r="W94" s="402">
        <f t="shared" si="34"/>
        <v>43.850108898785038</v>
      </c>
      <c r="X94" s="157">
        <f t="shared" si="35"/>
        <v>45006</v>
      </c>
      <c r="Y94" s="385">
        <f t="shared" si="36"/>
        <v>42.394004017264002</v>
      </c>
      <c r="Z94" s="385">
        <f t="shared" si="37"/>
        <v>44.063050982093387</v>
      </c>
      <c r="AA94" s="386">
        <f t="shared" si="38"/>
        <v>51.061247999981639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0.13705495443219029</v>
      </c>
      <c r="AD94" s="231">
        <f>(INDEX(Models!$BJ94:$BT94,,AH94)*(1-AF94)+INDEX(Models!$BJ94:$BT94,,AH94+1)*AF94-ERP_i)*AE94*Ramure*Pc/MaxiM</f>
        <v>8.0204113525861418E-4</v>
      </c>
      <c r="AE94" s="305">
        <f t="shared" si="40"/>
        <v>0.7</v>
      </c>
      <c r="AF94" s="177">
        <f t="shared" si="41"/>
        <v>0.51666977904768385</v>
      </c>
      <c r="AG94" s="919">
        <f t="shared" si="49"/>
        <v>0</v>
      </c>
      <c r="AH94" s="176">
        <f t="shared" si="42"/>
        <v>6</v>
      </c>
      <c r="AI94" s="225">
        <f t="shared" si="43"/>
        <v>0.51666977904768385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1090">
        <f>IF(t&gt;Tmaj,'2022'!Wh/'2022'!Env_an*'2023'!Env_an,0.001*'[5]mon-tableau'!$B$59)</f>
        <v>38.694462190418363</v>
      </c>
      <c r="C95" s="953"/>
      <c r="D95" s="393">
        <f t="shared" si="25"/>
        <v>40.218739521140101</v>
      </c>
      <c r="E95" s="385">
        <f t="shared" si="47"/>
        <v>45.064981412749965</v>
      </c>
      <c r="F95" s="385">
        <f t="shared" si="26"/>
        <v>45.092861634024608</v>
      </c>
      <c r="G95" s="110">
        <f t="shared" si="48"/>
        <v>0.85674046043815189</v>
      </c>
      <c r="H95" s="412" t="b">
        <f>Wh_hp&gt;='2022'!Maxi_hp</f>
        <v>0</v>
      </c>
      <c r="I95" s="390">
        <f>IF(H95,Wh_hp,'2022'!Maxi_hp)</f>
        <v>52.117627843898426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3.7899679325368529E-2</v>
      </c>
      <c r="M95" s="957"/>
      <c r="N95" s="957"/>
      <c r="O95" s="48">
        <f>IF(t&lt;Tnet,'2022'!Resal+('2022'!Salim-'2022'!Resal)*(1-EXP(('2022'!Tnet-t)/('2022'!Tau_j))),Resal+(Salim-Resal)*(1-EXP((Tnet-t)/(Tau_j))))*Salcycl</f>
        <v>0.10753897460254452</v>
      </c>
      <c r="P95" s="169">
        <f>(INDEX(Models!$BJ95:$BT95,,T95)*(1-R95)+INDEX(Models!$BJ95:$BT95,,T95+1)*R95-ERP_i)*Q95*Ramure*Pc/MaxiM</f>
        <v>7.7719036243980536E-4</v>
      </c>
      <c r="Q95" s="305">
        <f t="shared" si="28"/>
        <v>0.7</v>
      </c>
      <c r="R95" s="177">
        <f t="shared" si="29"/>
        <v>0.51737057660885855</v>
      </c>
      <c r="S95" s="919">
        <f t="shared" si="30"/>
        <v>0</v>
      </c>
      <c r="T95" s="176">
        <f t="shared" si="31"/>
        <v>6</v>
      </c>
      <c r="U95" s="251">
        <f t="shared" si="32"/>
        <v>0.51737057660885855</v>
      </c>
      <c r="V95" s="383">
        <f t="shared" si="33"/>
        <v>45.157561010973787</v>
      </c>
      <c r="W95" s="402">
        <f t="shared" si="34"/>
        <v>38.694462190418363</v>
      </c>
      <c r="X95" s="157">
        <f t="shared" si="35"/>
        <v>45007</v>
      </c>
      <c r="Y95" s="385">
        <f t="shared" si="36"/>
        <v>37.411372794420743</v>
      </c>
      <c r="Z95" s="385">
        <f t="shared" si="37"/>
        <v>38.885105836143602</v>
      </c>
      <c r="AA95" s="386">
        <f t="shared" si="38"/>
        <v>45.064981412749965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0.13713254466932775</v>
      </c>
      <c r="AD95" s="231">
        <f>(INDEX(Models!$BJ95:$BT95,,AH95)*(1-AF95)+INDEX(Models!$BJ95:$BT95,,AH95+1)*AF95-ERP_i)*AE95*Ramure*Pc/MaxiM</f>
        <v>7.7719036243980536E-4</v>
      </c>
      <c r="AE95" s="305">
        <f t="shared" si="40"/>
        <v>0.7</v>
      </c>
      <c r="AF95" s="177">
        <f t="shared" si="41"/>
        <v>0.51737057660885855</v>
      </c>
      <c r="AG95" s="919">
        <f t="shared" si="49"/>
        <v>0</v>
      </c>
      <c r="AH95" s="176">
        <f t="shared" si="42"/>
        <v>6</v>
      </c>
      <c r="AI95" s="225">
        <f t="shared" si="43"/>
        <v>0.51737057660885855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1090">
        <f>IF(t&gt;Tmaj,'2022'!Wh/'2022'!Env_an*'2023'!Env_an,0.001*'[5]mon-tableau'!$B$60)</f>
        <v>45.563180332455644</v>
      </c>
      <c r="C96" s="953"/>
      <c r="D96" s="393">
        <f t="shared" si="25"/>
        <v>47.35907194475103</v>
      </c>
      <c r="E96" s="385">
        <f t="shared" si="47"/>
        <v>53.073077482653765</v>
      </c>
      <c r="F96" s="385">
        <f t="shared" si="26"/>
        <v>53.113094499750893</v>
      </c>
      <c r="G96" s="110">
        <f t="shared" si="48"/>
        <v>1.0039418816445129</v>
      </c>
      <c r="H96" s="412" t="b">
        <f>Wh_hp&gt;='2022'!Maxi_hp</f>
        <v>1</v>
      </c>
      <c r="I96" s="390">
        <f>IF(H96,Wh_hp,'2022'!Maxi_hp)</f>
        <v>53.113094499750893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3.7920751791556739E-2</v>
      </c>
      <c r="M96" s="957"/>
      <c r="N96" s="957"/>
      <c r="O96" s="48">
        <f>IF(t&lt;Tnet,'2022'!Resal+('2022'!Salim-'2022'!Resal)*(1-EXP(('2022'!Tnet-t)/('2022'!Tau_j))),Resal+(Salim-Resal)*(1-EXP((Tnet-t)/(Tau_j))))*Salcycl</f>
        <v>0.10766297733102592</v>
      </c>
      <c r="P96" s="169">
        <f>(INDEX(Models!$BJ96:$BT96,,T96)*(1-R96)+INDEX(Models!$BJ96:$BT96,,T96+1)*R96-ERP_i)*Q96*Ramure*Pc/MaxiM</f>
        <v>7.5343034470182375E-4</v>
      </c>
      <c r="Q96" s="305">
        <f t="shared" si="28"/>
        <v>0.7</v>
      </c>
      <c r="R96" s="177">
        <f t="shared" si="29"/>
        <v>0.51809861631115317</v>
      </c>
      <c r="S96" s="919">
        <f t="shared" si="30"/>
        <v>0</v>
      </c>
      <c r="T96" s="176">
        <f t="shared" si="31"/>
        <v>6</v>
      </c>
      <c r="U96" s="251">
        <f t="shared" si="32"/>
        <v>0.51809861631115317</v>
      </c>
      <c r="V96" s="383">
        <f t="shared" si="33"/>
        <v>45.384280868749698</v>
      </c>
      <c r="W96" s="402">
        <f t="shared" si="34"/>
        <v>45.563180332455644</v>
      </c>
      <c r="X96" s="157">
        <f t="shared" si="35"/>
        <v>45008</v>
      </c>
      <c r="Y96" s="385">
        <f t="shared" si="36"/>
        <v>44.054452183935425</v>
      </c>
      <c r="Z96" s="385">
        <f t="shared" si="37"/>
        <v>45.79087665176479</v>
      </c>
      <c r="AA96" s="386">
        <f t="shared" si="38"/>
        <v>53.073077482653765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0.13721082658658842</v>
      </c>
      <c r="AD96" s="231">
        <f>(INDEX(Models!$BJ96:$BT96,,AH96)*(1-AF96)+INDEX(Models!$BJ96:$BT96,,AH96+1)*AF96-ERP_i)*AE96*Ramure*Pc/MaxiM</f>
        <v>7.5343034470182375E-4</v>
      </c>
      <c r="AE96" s="305">
        <f t="shared" si="40"/>
        <v>0.7</v>
      </c>
      <c r="AF96" s="177">
        <f t="shared" si="41"/>
        <v>0.51809861631115317</v>
      </c>
      <c r="AG96" s="919">
        <f t="shared" si="49"/>
        <v>0</v>
      </c>
      <c r="AH96" s="176">
        <f t="shared" si="42"/>
        <v>6</v>
      </c>
      <c r="AI96" s="225">
        <f t="shared" si="43"/>
        <v>0.51809861631115317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1090">
        <f>IF(t&gt;Tmaj,'2022'!Wh/'2022'!Env_an*'2023'!Env_an,0.001*'[5]mon-tableau'!$B$61)</f>
        <v>42.884611668597657</v>
      </c>
      <c r="C97" s="953"/>
      <c r="D97" s="393">
        <f t="shared" si="25"/>
        <v>44.575902714965608</v>
      </c>
      <c r="E97" s="385">
        <f t="shared" si="47"/>
        <v>49.961081430755023</v>
      </c>
      <c r="F97" s="385">
        <f t="shared" si="26"/>
        <v>49.994497803659037</v>
      </c>
      <c r="G97" s="110">
        <f t="shared" si="48"/>
        <v>0.94021380625777995</v>
      </c>
      <c r="H97" s="412" t="b">
        <f>Wh_hp&gt;='2022'!Maxi_hp</f>
        <v>0</v>
      </c>
      <c r="I97" s="390">
        <f>IF(H97,Wh_hp,'2022'!Maxi_hp)</f>
        <v>52.635831121779191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3.7941823796203811E-2</v>
      </c>
      <c r="M97" s="957"/>
      <c r="N97" s="957"/>
      <c r="O97" s="48">
        <f>IF(t&lt;Tnet,'2022'!Resal+('2022'!Salim-'2022'!Resal)*(1-EXP(('2022'!Tnet-t)/('2022'!Tau_j))),Resal+(Salim-Resal)*(1-EXP((Tnet-t)/(Tau_j))))*Salcycl</f>
        <v>0.10778747300042241</v>
      </c>
      <c r="P97" s="169">
        <f>(INDEX(Models!$BJ97:$BT97,,T97)*(1-R97)+INDEX(Models!$BJ97:$BT97,,T97+1)*R97-ERP_i)*Q97*Ramure*Pc/MaxiM</f>
        <v>7.3075249666726654E-4</v>
      </c>
      <c r="Q97" s="305">
        <f t="shared" si="28"/>
        <v>0.7</v>
      </c>
      <c r="R97" s="177">
        <f t="shared" si="29"/>
        <v>0.51885486676371306</v>
      </c>
      <c r="S97" s="919">
        <f t="shared" si="30"/>
        <v>0</v>
      </c>
      <c r="T97" s="176">
        <f t="shared" si="31"/>
        <v>6</v>
      </c>
      <c r="U97" s="251">
        <f t="shared" si="32"/>
        <v>0.51885486676371306</v>
      </c>
      <c r="V97" s="383">
        <f t="shared" si="33"/>
        <v>45.608706951032389</v>
      </c>
      <c r="W97" s="402">
        <f t="shared" si="34"/>
        <v>42.884611668597657</v>
      </c>
      <c r="X97" s="157">
        <f t="shared" si="35"/>
        <v>45009</v>
      </c>
      <c r="Y97" s="385">
        <f t="shared" si="36"/>
        <v>41.466565940049215</v>
      </c>
      <c r="Z97" s="385">
        <f t="shared" si="37"/>
        <v>43.101931843324621</v>
      </c>
      <c r="AA97" s="386">
        <f t="shared" si="38"/>
        <v>49.961081430755023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0.13728985424258744</v>
      </c>
      <c r="AD97" s="231">
        <f>(INDEX(Models!$BJ97:$BT97,,AH97)*(1-AF97)+INDEX(Models!$BJ97:$BT97,,AH97+1)*AF97-ERP_i)*AE97*Ramure*Pc/MaxiM</f>
        <v>7.3075249666726654E-4</v>
      </c>
      <c r="AE97" s="305">
        <f t="shared" si="40"/>
        <v>0.7</v>
      </c>
      <c r="AF97" s="177">
        <f t="shared" si="41"/>
        <v>0.51885486676371306</v>
      </c>
      <c r="AG97" s="919">
        <f t="shared" si="49"/>
        <v>0</v>
      </c>
      <c r="AH97" s="176">
        <f t="shared" si="42"/>
        <v>6</v>
      </c>
      <c r="AI97" s="225">
        <f t="shared" si="43"/>
        <v>0.51885486676371306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1090">
        <f>IF(t&gt;Tmaj,'2022'!Wh/'2022'!Env_an*'2023'!Env_an,0.001*'[5]mon-tableau'!$B$62)</f>
        <v>39.03955117310948</v>
      </c>
      <c r="C98" s="953"/>
      <c r="D98" s="393">
        <f t="shared" si="25"/>
        <v>40.58008883854756</v>
      </c>
      <c r="E98" s="385">
        <f t="shared" si="47"/>
        <v>45.488911222955664</v>
      </c>
      <c r="F98" s="385">
        <f t="shared" si="26"/>
        <v>45.514355639291971</v>
      </c>
      <c r="G98" s="110">
        <f t="shared" si="48"/>
        <v>0.85170249587356206</v>
      </c>
      <c r="H98" s="412" t="b">
        <f>Wh_hp&gt;='2022'!Maxi_hp</f>
        <v>0</v>
      </c>
      <c r="I98" s="390">
        <f>IF(H98,Wh_hp,'2022'!Maxi_hp)</f>
        <v>47.578792902284313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3.7962895339319846E-2</v>
      </c>
      <c r="M98" s="957"/>
      <c r="N98" s="957"/>
      <c r="O98" s="48">
        <f>IF(t&lt;Tnet,'2022'!Resal+('2022'!Salim-'2022'!Resal)*(1-EXP(('2022'!Tnet-t)/('2022'!Tau_j))),Resal+(Salim-Resal)*(1-EXP((Tnet-t)/(Tau_j))))*Salcycl</f>
        <v>0.10791250554115044</v>
      </c>
      <c r="P98" s="169">
        <f>(INDEX(Models!$BJ98:$BT98,,T98)*(1-R98)+INDEX(Models!$BJ98:$BT98,,T98+1)*R98-ERP_i)*Q98*Ramure*Pc/MaxiM</f>
        <v>7.0914735504603048E-4</v>
      </c>
      <c r="Q98" s="305">
        <f t="shared" si="28"/>
        <v>0.7</v>
      </c>
      <c r="R98" s="177">
        <f t="shared" si="29"/>
        <v>0.51964032359896029</v>
      </c>
      <c r="S98" s="919">
        <f t="shared" si="30"/>
        <v>0</v>
      </c>
      <c r="T98" s="176">
        <f t="shared" si="31"/>
        <v>6</v>
      </c>
      <c r="U98" s="251">
        <f t="shared" si="32"/>
        <v>0.51964032359896029</v>
      </c>
      <c r="V98" s="383">
        <f t="shared" si="33"/>
        <v>45.830190731470289</v>
      </c>
      <c r="W98" s="402">
        <f t="shared" si="34"/>
        <v>39.03955117310948</v>
      </c>
      <c r="X98" s="157">
        <f t="shared" si="35"/>
        <v>45010</v>
      </c>
      <c r="Y98" s="385">
        <f t="shared" si="36"/>
        <v>37.750445618641173</v>
      </c>
      <c r="Z98" s="385">
        <f t="shared" si="37"/>
        <v>39.240113957929019</v>
      </c>
      <c r="AA98" s="386">
        <f t="shared" si="38"/>
        <v>45.488911222955664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0.13736968190773571</v>
      </c>
      <c r="AD98" s="231">
        <f>(INDEX(Models!$BJ98:$BT98,,AH98)*(1-AF98)+INDEX(Models!$BJ98:$BT98,,AH98+1)*AF98-ERP_i)*AE98*Ramure*Pc/MaxiM</f>
        <v>7.0914735504603048E-4</v>
      </c>
      <c r="AE98" s="305">
        <f t="shared" si="40"/>
        <v>0.7</v>
      </c>
      <c r="AF98" s="177">
        <f t="shared" si="41"/>
        <v>0.51964032359896029</v>
      </c>
      <c r="AG98" s="919">
        <f t="shared" si="49"/>
        <v>0</v>
      </c>
      <c r="AH98" s="176">
        <f t="shared" si="42"/>
        <v>6</v>
      </c>
      <c r="AI98" s="225">
        <f t="shared" si="43"/>
        <v>0.51964032359896029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1090">
        <f>IF(t&gt;Tmaj,'2022'!Wh/'2022'!Env_an*'2023'!Env_an,0.001*'[5]mon-tableau'!$B$63)</f>
        <v>42.403512602558372</v>
      </c>
      <c r="C99" s="953"/>
      <c r="D99" s="393">
        <f t="shared" si="25"/>
        <v>44.07776078824832</v>
      </c>
      <c r="E99" s="385">
        <f t="shared" si="47"/>
        <v>49.416641818657936</v>
      </c>
      <c r="F99" s="385">
        <f t="shared" si="26"/>
        <v>49.446841284849235</v>
      </c>
      <c r="G99" s="110">
        <f t="shared" si="48"/>
        <v>0.92078117834670969</v>
      </c>
      <c r="H99" s="412" t="b">
        <f>Wh_hp&gt;='2022'!Maxi_hp</f>
        <v>0</v>
      </c>
      <c r="I99" s="390">
        <f>IF(H99,Wh_hp,'2022'!Maxi_hp)</f>
        <v>56.081839676566283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3.7983966420915061E-2</v>
      </c>
      <c r="M99" s="957"/>
      <c r="N99" s="957"/>
      <c r="O99" s="48">
        <f>IF(t&lt;Tnet,'2022'!Resal+('2022'!Salim-'2022'!Resal)*(1-EXP(('2022'!Tnet-t)/('2022'!Tau_j))),Resal+(Salim-Resal)*(1-EXP((Tnet-t)/(Tau_j))))*Salcycl</f>
        <v>0.10803811902074346</v>
      </c>
      <c r="P99" s="169">
        <f>(INDEX(Models!$BJ99:$BT99,,T99)*(1-R99)+INDEX(Models!$BJ99:$BT99,,T99+1)*R99-ERP_i)*Q99*Ramure*Pc/MaxiM</f>
        <v>6.8860476841149361E-4</v>
      </c>
      <c r="Q99" s="305">
        <f t="shared" si="28"/>
        <v>0.7</v>
      </c>
      <c r="R99" s="177">
        <f t="shared" si="29"/>
        <v>0.52045600960036387</v>
      </c>
      <c r="S99" s="919">
        <f t="shared" si="30"/>
        <v>0</v>
      </c>
      <c r="T99" s="176">
        <f t="shared" si="31"/>
        <v>6</v>
      </c>
      <c r="U99" s="251">
        <f t="shared" si="32"/>
        <v>0.52045600960036387</v>
      </c>
      <c r="V99" s="383">
        <f t="shared" si="33"/>
        <v>46.048084063447362</v>
      </c>
      <c r="W99" s="402">
        <f t="shared" si="34"/>
        <v>42.403512602558372</v>
      </c>
      <c r="X99" s="157">
        <f t="shared" si="35"/>
        <v>45011</v>
      </c>
      <c r="Y99" s="385">
        <f t="shared" si="36"/>
        <v>41.005266193789161</v>
      </c>
      <c r="Z99" s="385">
        <f t="shared" si="37"/>
        <v>42.624306417464943</v>
      </c>
      <c r="AA99" s="386">
        <f t="shared" si="38"/>
        <v>49.416641818657936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0.13745036391016863</v>
      </c>
      <c r="AD99" s="231">
        <f>(INDEX(Models!$BJ99:$BT99,,AH99)*(1-AF99)+INDEX(Models!$BJ99:$BT99,,AH99+1)*AF99-ERP_i)*AE99*Ramure*Pc/MaxiM</f>
        <v>6.8860476841149361E-4</v>
      </c>
      <c r="AE99" s="305">
        <f t="shared" si="40"/>
        <v>0.7</v>
      </c>
      <c r="AF99" s="177">
        <f t="shared" si="41"/>
        <v>0.52045600960036387</v>
      </c>
      <c r="AG99" s="919">
        <f t="shared" si="49"/>
        <v>0</v>
      </c>
      <c r="AH99" s="176">
        <f t="shared" si="42"/>
        <v>6</v>
      </c>
      <c r="AI99" s="225">
        <f t="shared" si="43"/>
        <v>0.52045600960036387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1090">
        <f>IF(t&gt;Tmaj,'2022'!Wh/'2022'!Env_an*'2023'!Env_an,0.001*'[5]mon-tableau'!$B$64)</f>
        <v>43.099433416221196</v>
      </c>
      <c r="C100" s="953"/>
      <c r="D100" s="393">
        <f t="shared" si="25"/>
        <v>44.802140422494148</v>
      </c>
      <c r="E100" s="385">
        <f t="shared" si="47"/>
        <v>50.235871150208652</v>
      </c>
      <c r="F100" s="385">
        <f t="shared" si="26"/>
        <v>50.266237879342185</v>
      </c>
      <c r="G100" s="110">
        <f t="shared" si="48"/>
        <v>0.93158258159606255</v>
      </c>
      <c r="H100" s="412" t="b">
        <f>Wh_hp&gt;='2022'!Maxi_hp</f>
        <v>0</v>
      </c>
      <c r="I100" s="390">
        <f>IF(H100,Wh_hp,'2022'!Maxi_hp)</f>
        <v>55.275486537639232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3.8005037040999556E-2</v>
      </c>
      <c r="M100" s="957"/>
      <c r="N100" s="957"/>
      <c r="O100" s="48">
        <f>IF(t&lt;Tnet,'2022'!Resal+('2022'!Salim-'2022'!Resal)*(1-EXP(('2022'!Tnet-t)/('2022'!Tau_j))),Resal+(Salim-Resal)*(1-EXP((Tnet-t)/(Tau_j))))*Salcycl</f>
        <v>0.10816435752586594</v>
      </c>
      <c r="P100" s="169">
        <f>(INDEX(Models!$BJ100:$BT100,,T100)*(1-R100)+INDEX(Models!$BJ100:$BT100,,T100+1)*R100-ERP_i)*Q100*Ramure*Pc/MaxiM</f>
        <v>6.6949544031331347E-4</v>
      </c>
      <c r="Q100" s="305">
        <f t="shared" si="28"/>
        <v>0.7</v>
      </c>
      <c r="R100" s="177">
        <f t="shared" si="29"/>
        <v>0.52130297476832843</v>
      </c>
      <c r="S100" s="919">
        <f t="shared" si="30"/>
        <v>0</v>
      </c>
      <c r="T100" s="176">
        <f t="shared" si="31"/>
        <v>6</v>
      </c>
      <c r="U100" s="251">
        <f t="shared" si="32"/>
        <v>0.52130297476832843</v>
      </c>
      <c r="V100" s="383">
        <f t="shared" si="33"/>
        <v>46.261721531903433</v>
      </c>
      <c r="W100" s="402">
        <f t="shared" si="34"/>
        <v>43.099433416221196</v>
      </c>
      <c r="X100" s="157">
        <f t="shared" si="35"/>
        <v>45012</v>
      </c>
      <c r="Y100" s="385">
        <f t="shared" si="36"/>
        <v>41.680195689547133</v>
      </c>
      <c r="Z100" s="385">
        <f t="shared" si="37"/>
        <v>43.326833605597074</v>
      </c>
      <c r="AA100" s="386">
        <f t="shared" si="38"/>
        <v>50.235871150208652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0.13753195448632879</v>
      </c>
      <c r="AD100" s="231">
        <f>(INDEX(Models!$BJ100:$BT100,,AH100)*(1-AF100)+INDEX(Models!$BJ100:$BT100,,AH100+1)*AF100-ERP_i)*AE100*Ramure*Pc/MaxiM</f>
        <v>6.6949544031331347E-4</v>
      </c>
      <c r="AE100" s="305">
        <f t="shared" si="40"/>
        <v>0.7</v>
      </c>
      <c r="AF100" s="177">
        <f t="shared" si="41"/>
        <v>0.52130297476832843</v>
      </c>
      <c r="AG100" s="919">
        <f t="shared" si="49"/>
        <v>0</v>
      </c>
      <c r="AH100" s="176">
        <f t="shared" si="42"/>
        <v>6</v>
      </c>
      <c r="AI100" s="225">
        <f t="shared" si="43"/>
        <v>0.52130297476832843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1090">
        <f>IF(t&gt;Tmaj,'2022'!Wh/'2022'!Env_an*'2023'!Env_an,0.001*'[5]mon-tableau'!$B$65)</f>
        <v>33.064100392695032</v>
      </c>
      <c r="C101" s="953"/>
      <c r="D101" s="393">
        <f t="shared" si="25"/>
        <v>34.371099507120334</v>
      </c>
      <c r="E101" s="385">
        <f t="shared" si="47"/>
        <v>38.545208945349927</v>
      </c>
      <c r="F101" s="385">
        <f t="shared" si="26"/>
        <v>38.559971835416761</v>
      </c>
      <c r="G101" s="110">
        <f t="shared" si="48"/>
        <v>0.71131655398081572</v>
      </c>
      <c r="H101" s="412" t="b">
        <f>Wh_hp&gt;='2022'!Maxi_hp</f>
        <v>0</v>
      </c>
      <c r="I101" s="390">
        <f>IF(H101,Wh_hp,'2022'!Maxi_hp)</f>
        <v>54.062253279945516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3.8026107199583326E-2</v>
      </c>
      <c r="M101" s="957"/>
      <c r="N101" s="957"/>
      <c r="O101" s="48">
        <f>IF(t&lt;Tnet,'2022'!Resal+('2022'!Salim-'2022'!Resal)*(1-EXP(('2022'!Tnet-t)/('2022'!Tau_j))),Resal+(Salim-Resal)*(1-EXP((Tnet-t)/(Tau_j))))*Salcycl</f>
        <v>0.10829126504795228</v>
      </c>
      <c r="P101" s="169">
        <f>(INDEX(Models!$BJ101:$BT101,,T101)*(1-R101)+INDEX(Models!$BJ101:$BT101,,T101+1)*R101-ERP_i)*Q101*Ramure*Pc/MaxiM</f>
        <v>6.5126067907051398E-4</v>
      </c>
      <c r="Q101" s="305">
        <f t="shared" si="28"/>
        <v>0.7</v>
      </c>
      <c r="R101" s="177">
        <f t="shared" si="29"/>
        <v>0.52218229631799273</v>
      </c>
      <c r="S101" s="919">
        <f t="shared" si="30"/>
        <v>0</v>
      </c>
      <c r="T101" s="176">
        <f t="shared" si="31"/>
        <v>6</v>
      </c>
      <c r="U101" s="251">
        <f t="shared" si="32"/>
        <v>0.52218229631799273</v>
      </c>
      <c r="V101" s="383">
        <f t="shared" si="33"/>
        <v>46.470481006994753</v>
      </c>
      <c r="W101" s="402">
        <f t="shared" si="34"/>
        <v>33.064100392695032</v>
      </c>
      <c r="X101" s="157">
        <f t="shared" si="35"/>
        <v>45013</v>
      </c>
      <c r="Y101" s="385">
        <f t="shared" si="36"/>
        <v>31.976809667832214</v>
      </c>
      <c r="Z101" s="385">
        <f t="shared" si="37"/>
        <v>33.240828994583254</v>
      </c>
      <c r="AA101" s="386">
        <f t="shared" si="38"/>
        <v>38.545208945349927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0.13761450763666422</v>
      </c>
      <c r="AD101" s="231">
        <f>(INDEX(Models!$BJ101:$BT101,,AH101)*(1-AF101)+INDEX(Models!$BJ101:$BT101,,AH101+1)*AF101-ERP_i)*AE101*Ramure*Pc/MaxiM</f>
        <v>6.5126067907051398E-4</v>
      </c>
      <c r="AE101" s="305">
        <f t="shared" si="40"/>
        <v>0.7</v>
      </c>
      <c r="AF101" s="177">
        <f t="shared" si="41"/>
        <v>0.52218229631799273</v>
      </c>
      <c r="AG101" s="919">
        <f t="shared" si="49"/>
        <v>0</v>
      </c>
      <c r="AH101" s="176">
        <f t="shared" si="42"/>
        <v>6</v>
      </c>
      <c r="AI101" s="225">
        <f t="shared" si="43"/>
        <v>0.52218229631799273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1090">
        <f>IF(t&gt;Tmaj,'2022'!Wh/'2022'!Env_an*'2023'!Env_an,0.001*'[5]mon-tableau'!$B$66)</f>
        <v>26.056582929616415</v>
      </c>
      <c r="C102" s="953"/>
      <c r="D102" s="393">
        <f t="shared" si="25"/>
        <v>27.087173407897652</v>
      </c>
      <c r="E102" s="385">
        <f t="shared" si="47"/>
        <v>30.381053348378988</v>
      </c>
      <c r="F102" s="385">
        <f t="shared" si="26"/>
        <v>30.388160524163972</v>
      </c>
      <c r="G102" s="110">
        <f t="shared" si="48"/>
        <v>0.55804765590816952</v>
      </c>
      <c r="H102" s="412" t="b">
        <f>Wh_hp&gt;='2022'!Maxi_hp</f>
        <v>0</v>
      </c>
      <c r="I102" s="390">
        <f>IF(H102,Wh_hp,'2022'!Maxi_hp)</f>
        <v>54.934926813744624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3.8047176896676582E-2</v>
      </c>
      <c r="M102" s="957"/>
      <c r="N102" s="957"/>
      <c r="O102" s="48">
        <f>IF(t&lt;Tnet,'2022'!Resal+('2022'!Salim-'2022'!Resal)*(1-EXP(('2022'!Tnet-t)/('2022'!Tau_j))),Resal+(Salim-Resal)*(1-EXP((Tnet-t)/(Tau_j))))*Salcycl</f>
        <v>0.10841888537275102</v>
      </c>
      <c r="P102" s="169">
        <f>(INDEX(Models!$BJ102:$BT102,,T102)*(1-R102)+INDEX(Models!$BJ102:$BT102,,T102+1)*R102-ERP_i)*Q102*Ramure*Pc/MaxiM</f>
        <v>6.3389160801889492E-4</v>
      </c>
      <c r="Q102" s="305">
        <f t="shared" si="28"/>
        <v>0.7</v>
      </c>
      <c r="R102" s="177">
        <f t="shared" si="29"/>
        <v>0.52309507860237914</v>
      </c>
      <c r="S102" s="919">
        <f t="shared" si="30"/>
        <v>0</v>
      </c>
      <c r="T102" s="176">
        <f t="shared" si="31"/>
        <v>6</v>
      </c>
      <c r="U102" s="251">
        <f t="shared" si="32"/>
        <v>0.52309507860237914</v>
      </c>
      <c r="V102" s="383">
        <f t="shared" si="33"/>
        <v>46.673715539820435</v>
      </c>
      <c r="W102" s="402">
        <f t="shared" si="34"/>
        <v>26.056582929616415</v>
      </c>
      <c r="X102" s="157">
        <f t="shared" si="35"/>
        <v>45014</v>
      </c>
      <c r="Y102" s="385">
        <f t="shared" si="36"/>
        <v>25.200894454516924</v>
      </c>
      <c r="Z102" s="385">
        <f t="shared" si="37"/>
        <v>26.197640725474635</v>
      </c>
      <c r="AA102" s="386">
        <f t="shared" si="38"/>
        <v>30.381053348378988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0.13769807698677317</v>
      </c>
      <c r="AD102" s="231">
        <f>(INDEX(Models!$BJ102:$BT102,,AH102)*(1-AF102)+INDEX(Models!$BJ102:$BT102,,AH102+1)*AF102-ERP_i)*AE102*Ramure*Pc/MaxiM</f>
        <v>6.3389160801889492E-4</v>
      </c>
      <c r="AE102" s="305">
        <f t="shared" si="40"/>
        <v>0.7</v>
      </c>
      <c r="AF102" s="177">
        <f t="shared" si="41"/>
        <v>0.52309507860237914</v>
      </c>
      <c r="AG102" s="919">
        <f t="shared" si="49"/>
        <v>0</v>
      </c>
      <c r="AH102" s="176">
        <f t="shared" si="42"/>
        <v>6</v>
      </c>
      <c r="AI102" s="225">
        <f t="shared" si="43"/>
        <v>0.52309507860237914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1090">
        <f>IF(t&gt;Tmaj,'2022'!Wh/'2022'!Env_an*'2023'!Env_an,0.001*'[5]mon-tableau'!$B$67)</f>
        <v>6.8014544797887515</v>
      </c>
      <c r="C103" s="953"/>
      <c r="D103" s="393">
        <f t="shared" si="25"/>
        <v>7.0706206052993226</v>
      </c>
      <c r="E103" s="385">
        <f t="shared" si="47"/>
        <v>7.9315709108212218</v>
      </c>
      <c r="F103" s="385">
        <f t="shared" si="26"/>
        <v>7.9315709108212218</v>
      </c>
      <c r="G103" s="110">
        <f t="shared" si="48"/>
        <v>0.14502117535643583</v>
      </c>
      <c r="H103" s="412" t="b">
        <f>Wh_hp&gt;='2022'!Maxi_hp</f>
        <v>0</v>
      </c>
      <c r="I103" s="390">
        <f>IF(H103,Wh_hp,'2022'!Maxi_hp)</f>
        <v>56.1503147173473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3.8068246132289318E-2</v>
      </c>
      <c r="M103" s="957"/>
      <c r="N103" s="957"/>
      <c r="O103" s="48">
        <f>IF(t&lt;Tnet,'2022'!Resal+('2022'!Salim-'2022'!Resal)*(1-EXP(('2022'!Tnet-t)/('2022'!Tau_j))),Resal+(Salim-Resal)*(1-EXP((Tnet-t)/(Tau_j))))*Salcycl</f>
        <v>0.10854726197395335</v>
      </c>
      <c r="P103" s="169">
        <f>(INDEX(Models!$BJ103:$BT103,,T103)*(1-R103)+INDEX(Models!$BJ103:$BT103,,T103+1)*R103-ERP_i)*Q103*Ramure*Pc/MaxiM</f>
        <v>6.1737913896072925E-4</v>
      </c>
      <c r="Q103" s="305">
        <f t="shared" si="28"/>
        <v>0.7</v>
      </c>
      <c r="R103" s="177">
        <f t="shared" si="29"/>
        <v>0.52404245295399743</v>
      </c>
      <c r="S103" s="919">
        <f t="shared" si="30"/>
        <v>0</v>
      </c>
      <c r="T103" s="176">
        <f t="shared" si="31"/>
        <v>6</v>
      </c>
      <c r="U103" s="251">
        <f t="shared" si="32"/>
        <v>0.52404245295399743</v>
      </c>
      <c r="V103" s="383">
        <f t="shared" si="33"/>
        <v>46.870778608516403</v>
      </c>
      <c r="W103" s="402">
        <f t="shared" si="34"/>
        <v>6.8014544797887515</v>
      </c>
      <c r="X103" s="157">
        <f t="shared" si="35"/>
        <v>45015</v>
      </c>
      <c r="Y103" s="385">
        <f t="shared" si="36"/>
        <v>6.5783987877478598</v>
      </c>
      <c r="Z103" s="385">
        <f t="shared" si="37"/>
        <v>6.8387375313244432</v>
      </c>
      <c r="AA103" s="386">
        <f t="shared" si="38"/>
        <v>7.9315709108212218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0.13778271565419675</v>
      </c>
      <c r="AD103" s="231">
        <f>(INDEX(Models!$BJ103:$BT103,,AH103)*(1-AF103)+INDEX(Models!$BJ103:$BT103,,AH103+1)*AF103-ERP_i)*AE103*Ramure*Pc/MaxiM</f>
        <v>6.1737913896072925E-4</v>
      </c>
      <c r="AE103" s="305">
        <f t="shared" si="40"/>
        <v>0.7</v>
      </c>
      <c r="AF103" s="177">
        <f t="shared" si="41"/>
        <v>0.52404245295399743</v>
      </c>
      <c r="AG103" s="919">
        <f t="shared" si="49"/>
        <v>0</v>
      </c>
      <c r="AH103" s="176">
        <f t="shared" si="42"/>
        <v>6</v>
      </c>
      <c r="AI103" s="225">
        <f t="shared" si="43"/>
        <v>0.52404245295399743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1090">
        <f>IF(t&gt;Tmaj,'2022'!Wh/'2022'!Env_an*'2023'!Env_an,0.001*'[5]mon-tableau'!$B$68)</f>
        <v>20.244952402194016</v>
      </c>
      <c r="C104" s="953"/>
      <c r="D104" s="393">
        <f t="shared" si="25"/>
        <v>21.046603095197685</v>
      </c>
      <c r="E104" s="385">
        <f t="shared" si="47"/>
        <v>23.612752978133184</v>
      </c>
      <c r="F104" s="385">
        <f t="shared" si="26"/>
        <v>23.615395683421252</v>
      </c>
      <c r="G104" s="110">
        <f t="shared" si="48"/>
        <v>0.42997439020370226</v>
      </c>
      <c r="H104" s="412" t="b">
        <f>Wh_hp&gt;='2022'!Maxi_hp</f>
        <v>0</v>
      </c>
      <c r="I104" s="390">
        <f>IF(H104,Wh_hp,'2022'!Maxi_hp)</f>
        <v>49.506417533337903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3.8089314906431859E-2</v>
      </c>
      <c r="M104" s="957"/>
      <c r="N104" s="957"/>
      <c r="O104" s="48">
        <f>IF(t&lt;Tnet,'2022'!Resal+('2022'!Salim-'2022'!Resal)*(1-EXP(('2022'!Tnet-t)/('2022'!Tau_j))),Resal+(Salim-Resal)*(1-EXP((Tnet-t)/(Tau_j))))*Salcycl</f>
        <v>0.10867643791098422</v>
      </c>
      <c r="P104" s="169">
        <f>(INDEX(Models!$BJ104:$BT104,,T104)*(1-R104)+INDEX(Models!$BJ104:$BT104,,T104+1)*R104-ERP_i)*Q104*Ramure*Pc/MaxiM</f>
        <v>6.017141060857521E-4</v>
      </c>
      <c r="Q104" s="305">
        <f t="shared" si="28"/>
        <v>0.7</v>
      </c>
      <c r="R104" s="177">
        <f t="shared" si="29"/>
        <v>0.52502557743766165</v>
      </c>
      <c r="S104" s="919">
        <f t="shared" si="30"/>
        <v>0</v>
      </c>
      <c r="T104" s="176">
        <f t="shared" si="31"/>
        <v>6</v>
      </c>
      <c r="U104" s="251">
        <f t="shared" si="32"/>
        <v>0.52502557743766165</v>
      </c>
      <c r="V104" s="383">
        <f t="shared" si="33"/>
        <v>47.061024126844657</v>
      </c>
      <c r="W104" s="402">
        <f t="shared" si="34"/>
        <v>20.244952402194016</v>
      </c>
      <c r="X104" s="157">
        <f t="shared" si="35"/>
        <v>45016</v>
      </c>
      <c r="Y104" s="385">
        <f t="shared" si="36"/>
        <v>19.581903146883967</v>
      </c>
      <c r="Z104" s="385">
        <f t="shared" si="37"/>
        <v>20.357298708017961</v>
      </c>
      <c r="AA104" s="386">
        <f t="shared" si="38"/>
        <v>23.612752978133184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0.13786847612093206</v>
      </c>
      <c r="AD104" s="231">
        <f>(INDEX(Models!$BJ104:$BT104,,AH104)*(1-AF104)+INDEX(Models!$BJ104:$BT104,,AH104+1)*AF104-ERP_i)*AE104*Ramure*Pc/MaxiM</f>
        <v>6.017141060857521E-4</v>
      </c>
      <c r="AE104" s="305">
        <f t="shared" si="40"/>
        <v>0.7</v>
      </c>
      <c r="AF104" s="177">
        <f t="shared" si="41"/>
        <v>0.52502557743766165</v>
      </c>
      <c r="AG104" s="919">
        <f t="shared" si="49"/>
        <v>0</v>
      </c>
      <c r="AH104" s="176">
        <f t="shared" si="42"/>
        <v>6</v>
      </c>
      <c r="AI104" s="225">
        <f t="shared" si="43"/>
        <v>0.52502557743766165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1090">
        <f>IF(t&gt;Tmaj,'2022'!Wh/'2022'!Env_an*'2023'!Env_an,0.001*'[6]mon-tableau'!$B$37)</f>
        <v>30.155268970884933</v>
      </c>
      <c r="C105" s="953"/>
      <c r="D105" s="393">
        <f t="shared" si="25"/>
        <v>31.350030653001806</v>
      </c>
      <c r="E105" s="385">
        <f t="shared" si="47"/>
        <v>35.177578265240221</v>
      </c>
      <c r="F105" s="385">
        <f t="shared" si="26"/>
        <v>35.187558380814288</v>
      </c>
      <c r="G105" s="110">
        <f t="shared" si="48"/>
        <v>0.6380967942904896</v>
      </c>
      <c r="H105" s="412" t="b">
        <f>Wh_hp&gt;='2022'!Maxi_hp</f>
        <v>0</v>
      </c>
      <c r="I105" s="390">
        <f>IF(H105,Wh_hp,'2022'!Maxi_hp)</f>
        <v>49.445909039564896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3.8110383219114086E-2</v>
      </c>
      <c r="M105" s="957"/>
      <c r="N105" s="957"/>
      <c r="O105" s="48">
        <f>IF(t&lt;Tnet,'2022'!Resal+('2022'!Salim-'2022'!Resal)*(1-EXP(('2022'!Tnet-t)/('2022'!Tau_j))),Resal+(Salim-Resal)*(1-EXP((Tnet-t)/(Tau_j))))*Salcycl</f>
        <v>0.10880645573093657</v>
      </c>
      <c r="P105" s="169">
        <f>(INDEX(Models!$BJ105:$BT105,,T105)*(1-R105)+INDEX(Models!$BJ105:$BT105,,T105+1)*R105-ERP_i)*Q105*Ramure*Pc/MaxiM</f>
        <v>5.8688739421799833E-4</v>
      </c>
      <c r="Q105" s="305">
        <f t="shared" si="28"/>
        <v>0.7</v>
      </c>
      <c r="R105" s="177">
        <f t="shared" si="29"/>
        <v>0.52604563650694691</v>
      </c>
      <c r="S105" s="919">
        <f t="shared" si="30"/>
        <v>0</v>
      </c>
      <c r="T105" s="176">
        <f t="shared" si="31"/>
        <v>6</v>
      </c>
      <c r="U105" s="251">
        <f t="shared" si="32"/>
        <v>0.52604563650694691</v>
      </c>
      <c r="V105" s="383">
        <f t="shared" si="33"/>
        <v>47.243806464897943</v>
      </c>
      <c r="W105" s="402">
        <f t="shared" si="34"/>
        <v>30.155268970884933</v>
      </c>
      <c r="X105" s="157">
        <f t="shared" si="35"/>
        <v>45017</v>
      </c>
      <c r="Y105" s="385">
        <f t="shared" si="36"/>
        <v>29.168957338331175</v>
      </c>
      <c r="Z105" s="385">
        <f t="shared" si="37"/>
        <v>30.324641028925601</v>
      </c>
      <c r="AA105" s="386">
        <f t="shared" si="38"/>
        <v>35.177578265240221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0.13795541011161414</v>
      </c>
      <c r="AD105" s="231">
        <f>(INDEX(Models!$BJ105:$BT105,,AH105)*(1-AF105)+INDEX(Models!$BJ105:$BT105,,AH105+1)*AF105-ERP_i)*AE105*Ramure*Pc/MaxiM</f>
        <v>5.8688739421799833E-4</v>
      </c>
      <c r="AE105" s="305">
        <f t="shared" si="40"/>
        <v>0.7</v>
      </c>
      <c r="AF105" s="177">
        <f t="shared" si="41"/>
        <v>0.52604563650694691</v>
      </c>
      <c r="AG105" s="919">
        <f t="shared" si="49"/>
        <v>0</v>
      </c>
      <c r="AH105" s="176">
        <f t="shared" si="42"/>
        <v>6</v>
      </c>
      <c r="AI105" s="225">
        <f t="shared" si="43"/>
        <v>0.52604563650694691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1090">
        <f>IF(t&gt;Tmaj,'2022'!Wh/'2022'!Env_an*'2023'!Env_an,0.001*'[6]mon-tableau'!$B$38)</f>
        <v>18.49638644078891</v>
      </c>
      <c r="C106" s="953"/>
      <c r="D106" s="393">
        <f t="shared" si="25"/>
        <v>19.229640538066541</v>
      </c>
      <c r="E106" s="385">
        <f t="shared" si="47"/>
        <v>21.58057090285762</v>
      </c>
      <c r="F106" s="385">
        <f t="shared" si="26"/>
        <v>21.582161770671398</v>
      </c>
      <c r="G106" s="110">
        <f t="shared" si="48"/>
        <v>0.38987231551707685</v>
      </c>
      <c r="H106" s="412" t="b">
        <f>Wh_hp&gt;='2022'!Maxi_hp</f>
        <v>0</v>
      </c>
      <c r="I106" s="390">
        <f>IF(H106,Wh_hp,'2022'!Maxi_hp)</f>
        <v>44.480418756560418</v>
      </c>
      <c r="J106" s="85">
        <f>IF(H106,An,'2022'!An_max)</f>
        <v>2020</v>
      </c>
      <c r="K106" s="197">
        <f t="shared" si="27"/>
        <v>45018</v>
      </c>
      <c r="L106" s="147">
        <f>IF(t&lt;Tvie,1-EXP((T0-t)*PertePVj)+'2022'!Pspv,1-EXP((T0-t)*PertePVj)+Pspv)</f>
        <v>3.8131451070346212E-2</v>
      </c>
      <c r="M106" s="957"/>
      <c r="N106" s="957"/>
      <c r="O106" s="48">
        <f>IF(t&lt;Tnet,'2022'!Resal+('2022'!Salim-'2022'!Resal)*(1-EXP(('2022'!Tnet-t)/('2022'!Tau_j))),Resal+(Salim-Resal)*(1-EXP((Tnet-t)/(Tau_j))))*Salcycl</f>
        <v>0.10893735737453432</v>
      </c>
      <c r="P106" s="169">
        <f>(INDEX(Models!$BJ106:$BT106,,T106)*(1-R106)+INDEX(Models!$BJ106:$BT106,,T106+1)*R106-ERP_i)*Q106*Ramure*Pc/MaxiM</f>
        <v>5.7289006206546751E-4</v>
      </c>
      <c r="Q106" s="305">
        <f t="shared" si="28"/>
        <v>0.7</v>
      </c>
      <c r="R106" s="177">
        <f t="shared" si="29"/>
        <v>0.52710384055638626</v>
      </c>
      <c r="S106" s="919">
        <f t="shared" si="30"/>
        <v>0</v>
      </c>
      <c r="T106" s="176">
        <f t="shared" si="31"/>
        <v>6</v>
      </c>
      <c r="U106" s="251">
        <f t="shared" si="32"/>
        <v>0.52710384055638626</v>
      </c>
      <c r="V106" s="383">
        <f t="shared" si="33"/>
        <v>47.418480453790885</v>
      </c>
      <c r="W106" s="402">
        <f t="shared" si="34"/>
        <v>18.49638644078891</v>
      </c>
      <c r="X106" s="157">
        <f t="shared" si="35"/>
        <v>45018</v>
      </c>
      <c r="Y106" s="385">
        <f t="shared" si="36"/>
        <v>17.8922092453498</v>
      </c>
      <c r="Z106" s="385">
        <f t="shared" si="37"/>
        <v>18.601511885652002</v>
      </c>
      <c r="AA106" s="386">
        <f t="shared" si="38"/>
        <v>21.58057090285762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0.13804356847719645</v>
      </c>
      <c r="AD106" s="231">
        <f>(INDEX(Models!$BJ106:$BT106,,AH106)*(1-AF106)+INDEX(Models!$BJ106:$BT106,,AH106+1)*AF106-ERP_i)*AE106*Ramure*Pc/MaxiM</f>
        <v>5.7289006206546751E-4</v>
      </c>
      <c r="AE106" s="305">
        <f t="shared" si="40"/>
        <v>0.7</v>
      </c>
      <c r="AF106" s="177">
        <f t="shared" si="41"/>
        <v>0.52710384055638626</v>
      </c>
      <c r="AG106" s="919">
        <f t="shared" si="49"/>
        <v>0</v>
      </c>
      <c r="AH106" s="176">
        <f t="shared" si="42"/>
        <v>6</v>
      </c>
      <c r="AI106" s="225">
        <f t="shared" si="43"/>
        <v>0.52710384055638626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1090">
        <f>IF(t&gt;Tmaj,'2022'!Wh/'2022'!Env_an*'2023'!Env_an,0.001*'[6]mon-tableau'!$B$39)</f>
        <v>23.62038618896144</v>
      </c>
      <c r="C107" s="953"/>
      <c r="D107" s="393">
        <f t="shared" si="25"/>
        <v>24.557309388746937</v>
      </c>
      <c r="E107" s="385">
        <f t="shared" si="47"/>
        <v>27.563654719420157</v>
      </c>
      <c r="F107" s="385">
        <f t="shared" si="26"/>
        <v>27.567983550705225</v>
      </c>
      <c r="G107" s="110">
        <f t="shared" si="48"/>
        <v>0.49618293436106325</v>
      </c>
      <c r="H107" s="412" t="b">
        <f>Wh_hp&gt;='2022'!Maxi_hp</f>
        <v>0</v>
      </c>
      <c r="I107" s="390">
        <f>IF(H107,Wh_hp,'2022'!Maxi_hp)</f>
        <v>52.947397962650761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3.815251846013834E-2</v>
      </c>
      <c r="M107" s="957"/>
      <c r="N107" s="957"/>
      <c r="O107" s="48">
        <f>IF(t&lt;Tnet,'2022'!Resal+('2022'!Salim-'2022'!Resal)*(1-EXP(('2022'!Tnet-t)/('2022'!Tau_j))),Resal+(Salim-Resal)*(1-EXP((Tnet-t)/(Tau_j))))*Salcycl</f>
        <v>0.10906918408592162</v>
      </c>
      <c r="P107" s="169">
        <f>(INDEX(Models!$BJ107:$BT107,,T107)*(1-R107)+INDEX(Models!$BJ107:$BT107,,T107+1)*R107-ERP_i)*Q107*Ramure*Pc/MaxiM</f>
        <v>5.5970622799762012E-4</v>
      </c>
      <c r="Q107" s="305">
        <f t="shared" si="28"/>
        <v>0.7</v>
      </c>
      <c r="R107" s="177">
        <f t="shared" si="29"/>
        <v>0.52820142536119985</v>
      </c>
      <c r="S107" s="919">
        <f t="shared" si="30"/>
        <v>0</v>
      </c>
      <c r="T107" s="176">
        <f t="shared" si="31"/>
        <v>6</v>
      </c>
      <c r="U107" s="251">
        <f t="shared" si="32"/>
        <v>0.52820142536119985</v>
      </c>
      <c r="V107" s="383">
        <f t="shared" si="33"/>
        <v>47.585016628261194</v>
      </c>
      <c r="W107" s="402">
        <f t="shared" si="34"/>
        <v>23.62038618896144</v>
      </c>
      <c r="X107" s="157">
        <f t="shared" si="35"/>
        <v>45019</v>
      </c>
      <c r="Y107" s="385">
        <f t="shared" si="36"/>
        <v>22.849845346334995</v>
      </c>
      <c r="Z107" s="385">
        <f t="shared" si="37"/>
        <v>23.756204372187707</v>
      </c>
      <c r="AA107" s="386">
        <f t="shared" si="38"/>
        <v>27.563654719420157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0.13813300108384705</v>
      </c>
      <c r="AD107" s="231">
        <f>(INDEX(Models!$BJ107:$BT107,,AH107)*(1-AF107)+INDEX(Models!$BJ107:$BT107,,AH107+1)*AF107-ERP_i)*AE107*Ramure*Pc/MaxiM</f>
        <v>5.5970622799762012E-4</v>
      </c>
      <c r="AE107" s="305">
        <f t="shared" si="40"/>
        <v>0.7</v>
      </c>
      <c r="AF107" s="177">
        <f t="shared" si="41"/>
        <v>0.52820142536119985</v>
      </c>
      <c r="AG107" s="919">
        <f t="shared" si="49"/>
        <v>0</v>
      </c>
      <c r="AH107" s="176">
        <f t="shared" si="42"/>
        <v>6</v>
      </c>
      <c r="AI107" s="225">
        <f t="shared" si="43"/>
        <v>0.52820142536119985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1090">
        <f>IF(t&gt;Tmaj,'2022'!Wh/'2022'!Env_an*'2023'!Env_an,0.001*'[6]mon-tableau'!$B$40)</f>
        <v>41.420938658998082</v>
      </c>
      <c r="C108" s="953"/>
      <c r="D108" s="393">
        <f t="shared" si="25"/>
        <v>43.064879514385979</v>
      </c>
      <c r="E108" s="385">
        <f t="shared" si="47"/>
        <v>48.344157002918806</v>
      </c>
      <c r="F108" s="385">
        <f t="shared" si="26"/>
        <v>48.365656073481198</v>
      </c>
      <c r="G108" s="110">
        <f t="shared" si="48"/>
        <v>0.86747175111164554</v>
      </c>
      <c r="H108" s="412" t="b">
        <f>Wh_hp&gt;='2022'!Maxi_hp</f>
        <v>0</v>
      </c>
      <c r="I108" s="390">
        <f>IF(H108,Wh_hp,'2022'!Maxi_hp)</f>
        <v>55.741875297523443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3.8173585388500464E-2</v>
      </c>
      <c r="M108" s="957"/>
      <c r="N108" s="957"/>
      <c r="O108" s="48">
        <f>IF(t&lt;Tnet,'2022'!Resal+('2022'!Salim-'2022'!Resal)*(1-EXP(('2022'!Tnet-t)/('2022'!Tau_j))),Resal+(Salim-Resal)*(1-EXP((Tnet-t)/(Tau_j))))*Salcycl</f>
        <v>0.10920197632599291</v>
      </c>
      <c r="P108" s="169">
        <f>(INDEX(Models!$BJ108:$BT108,,T108)*(1-R108)+INDEX(Models!$BJ108:$BT108,,T108+1)*R108-ERP_i)*Q108*Ramure*Pc/MaxiM</f>
        <v>5.4823593748846121E-4</v>
      </c>
      <c r="Q108" s="305">
        <f t="shared" si="28"/>
        <v>0.7</v>
      </c>
      <c r="R108" s="177">
        <f t="shared" si="29"/>
        <v>0.52933965139605255</v>
      </c>
      <c r="S108" s="919">
        <f t="shared" si="30"/>
        <v>0</v>
      </c>
      <c r="T108" s="176">
        <f t="shared" si="31"/>
        <v>6</v>
      </c>
      <c r="U108" s="251">
        <f t="shared" si="32"/>
        <v>0.52933965139605255</v>
      </c>
      <c r="V108" s="383">
        <f t="shared" si="33"/>
        <v>47.744079636937904</v>
      </c>
      <c r="W108" s="402">
        <f t="shared" si="34"/>
        <v>41.420938658998082</v>
      </c>
      <c r="X108" s="157">
        <f t="shared" si="35"/>
        <v>45020</v>
      </c>
      <c r="Y108" s="385">
        <f t="shared" si="36"/>
        <v>40.071463971161172</v>
      </c>
      <c r="Z108" s="385">
        <f t="shared" si="37"/>
        <v>41.661846007157976</v>
      </c>
      <c r="AA108" s="386">
        <f t="shared" si="38"/>
        <v>48.344157002918806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0.13822375670667661</v>
      </c>
      <c r="AD108" s="231">
        <f>(INDEX(Models!$BJ108:$BT108,,AH108)*(1-AF108)+INDEX(Models!$BJ108:$BT108,,AH108+1)*AF108-ERP_i)*AE108*Ramure*Pc/MaxiM</f>
        <v>5.4823593748846121E-4</v>
      </c>
      <c r="AE108" s="305">
        <f t="shared" si="40"/>
        <v>0.7</v>
      </c>
      <c r="AF108" s="177">
        <f t="shared" si="41"/>
        <v>0.52933965139605255</v>
      </c>
      <c r="AG108" s="919">
        <f t="shared" si="49"/>
        <v>0</v>
      </c>
      <c r="AH108" s="176">
        <f t="shared" si="42"/>
        <v>6</v>
      </c>
      <c r="AI108" s="225">
        <f t="shared" si="43"/>
        <v>0.52933965139605255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1090">
        <f>IF(t&gt;Tmaj,'2022'!Wh/'2022'!Env_an*'2023'!Env_an,0.001*'[6]mon-tableau'!$B$41)</f>
        <v>47.731520341707309</v>
      </c>
      <c r="C109" s="953"/>
      <c r="D109" s="393">
        <f t="shared" si="25"/>
        <v>49.627006580684323</v>
      </c>
      <c r="E109" s="385">
        <f t="shared" si="47"/>
        <v>55.719097180120031</v>
      </c>
      <c r="F109" s="385">
        <f t="shared" si="26"/>
        <v>55.748956281326699</v>
      </c>
      <c r="G109" s="110">
        <f t="shared" si="48"/>
        <v>0.99656031321450478</v>
      </c>
      <c r="H109" s="412" t="b">
        <f>Wh_hp&gt;='2022'!Maxi_hp</f>
        <v>0</v>
      </c>
      <c r="I109" s="390">
        <f>IF(H109,Wh_hp,'2022'!Maxi_hp)</f>
        <v>58.256884739736201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3.8194651855442907E-2</v>
      </c>
      <c r="M109" s="957"/>
      <c r="N109" s="957"/>
      <c r="O109" s="48">
        <f>IF(t&lt;Tnet,'2022'!Resal+('2022'!Salim-'2022'!Resal)*(1-EXP(('2022'!Tnet-t)/('2022'!Tau_j))),Resal+(Salim-Resal)*(1-EXP((Tnet-t)/(Tau_j))))*Salcycl</f>
        <v>0.10933577368890501</v>
      </c>
      <c r="P109" s="169">
        <f>(INDEX(Models!$BJ109:$BT109,,T109)*(1-R109)+INDEX(Models!$BJ109:$BT109,,T109+1)*R109-ERP_i)*Q109*Ramure*Pc/MaxiM</f>
        <v>5.3824209488678991E-4</v>
      </c>
      <c r="Q109" s="305">
        <f t="shared" si="28"/>
        <v>0.7</v>
      </c>
      <c r="R109" s="177">
        <f t="shared" si="29"/>
        <v>0.5305198030240712</v>
      </c>
      <c r="S109" s="919">
        <f t="shared" si="30"/>
        <v>0</v>
      </c>
      <c r="T109" s="176">
        <f t="shared" si="31"/>
        <v>6</v>
      </c>
      <c r="U109" s="251">
        <f t="shared" si="32"/>
        <v>0.5305198030240712</v>
      </c>
      <c r="V109" s="383">
        <f t="shared" si="33"/>
        <v>47.896141855059945</v>
      </c>
      <c r="W109" s="402">
        <f t="shared" si="34"/>
        <v>47.731520341707309</v>
      </c>
      <c r="X109" s="157">
        <f t="shared" si="35"/>
        <v>45021</v>
      </c>
      <c r="Y109" s="385">
        <f t="shared" si="36"/>
        <v>46.178449461818765</v>
      </c>
      <c r="Z109" s="385">
        <f t="shared" si="37"/>
        <v>48.01226105771066</v>
      </c>
      <c r="AA109" s="386">
        <f t="shared" si="38"/>
        <v>55.719097180120031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0.13831588292782118</v>
      </c>
      <c r="AD109" s="231">
        <f>(INDEX(Models!$BJ109:$BT109,,AH109)*(1-AF109)+INDEX(Models!$BJ109:$BT109,,AH109+1)*AF109-ERP_i)*AE109*Ramure*Pc/MaxiM</f>
        <v>5.3824209488678991E-4</v>
      </c>
      <c r="AE109" s="305">
        <f t="shared" si="40"/>
        <v>0.7</v>
      </c>
      <c r="AF109" s="177">
        <f t="shared" si="41"/>
        <v>0.5305198030240712</v>
      </c>
      <c r="AG109" s="919">
        <f t="shared" si="49"/>
        <v>0</v>
      </c>
      <c r="AH109" s="176">
        <f t="shared" si="42"/>
        <v>6</v>
      </c>
      <c r="AI109" s="225">
        <f t="shared" si="43"/>
        <v>0.5305198030240712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1090">
        <f>IF(t&gt;Tmaj,'2022'!Wh/'2022'!Env_an*'2023'!Env_an,0.001*'[6]mon-tableau'!$B$42)</f>
        <v>11.209487942555636</v>
      </c>
      <c r="C110" s="953"/>
      <c r="D110" s="393">
        <f t="shared" si="25"/>
        <v>11.654887848266295</v>
      </c>
      <c r="E110" s="385">
        <f t="shared" si="47"/>
        <v>13.087594909547139</v>
      </c>
      <c r="F110" s="385">
        <f t="shared" si="26"/>
        <v>13.087594909547139</v>
      </c>
      <c r="G110" s="110">
        <f t="shared" si="48"/>
        <v>0.23320486867287407</v>
      </c>
      <c r="H110" s="412" t="b">
        <f>Wh_hp&gt;='2022'!Maxi_hp</f>
        <v>0</v>
      </c>
      <c r="I110" s="390">
        <f>IF(H110,Wh_hp,'2022'!Maxi_hp)</f>
        <v>57.685469912803519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3.8215717860975662E-2</v>
      </c>
      <c r="M110" s="957"/>
      <c r="N110" s="957"/>
      <c r="O110" s="48">
        <f>IF(t&lt;Tnet,'2022'!Resal+('2022'!Salim-'2022'!Resal)*(1-EXP(('2022'!Tnet-t)/('2022'!Tau_j))),Resal+(Salim-Resal)*(1-EXP((Tnet-t)/(Tau_j))))*Salcycl</f>
        <v>0.109470614821346</v>
      </c>
      <c r="P110" s="169">
        <f>(INDEX(Models!$BJ110:$BT110,,T110)*(1-R110)+INDEX(Models!$BJ110:$BT110,,T110+1)*R110-ERP_i)*Q110*Ramure*Pc/MaxiM</f>
        <v>5.2970882736166566E-4</v>
      </c>
      <c r="Q110" s="305">
        <f t="shared" si="28"/>
        <v>0.7</v>
      </c>
      <c r="R110" s="177">
        <f t="shared" si="29"/>
        <v>0.53174318754711147</v>
      </c>
      <c r="S110" s="919">
        <f t="shared" si="30"/>
        <v>0</v>
      </c>
      <c r="T110" s="176">
        <f t="shared" si="31"/>
        <v>6</v>
      </c>
      <c r="U110" s="251">
        <f t="shared" si="32"/>
        <v>0.53174318754711147</v>
      </c>
      <c r="V110" s="383">
        <f t="shared" si="33"/>
        <v>48.041665002963271</v>
      </c>
      <c r="W110" s="402">
        <f t="shared" si="34"/>
        <v>11.209487942555636</v>
      </c>
      <c r="X110" s="157">
        <f t="shared" si="35"/>
        <v>45022</v>
      </c>
      <c r="Y110" s="385">
        <f t="shared" si="36"/>
        <v>10.845222303703617</v>
      </c>
      <c r="Z110" s="385">
        <f t="shared" si="37"/>
        <v>11.27614840989464</v>
      </c>
      <c r="AA110" s="386">
        <f t="shared" si="38"/>
        <v>13.087594909547139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0.13840942603832301</v>
      </c>
      <c r="AD110" s="231">
        <f>(INDEX(Models!$BJ110:$BT110,,AH110)*(1-AF110)+INDEX(Models!$BJ110:$BT110,,AH110+1)*AF110-ERP_i)*AE110*Ramure*Pc/MaxiM</f>
        <v>5.2970882736166566E-4</v>
      </c>
      <c r="AE110" s="305">
        <f t="shared" si="40"/>
        <v>0.7</v>
      </c>
      <c r="AF110" s="177">
        <f t="shared" si="41"/>
        <v>0.53174318754711147</v>
      </c>
      <c r="AG110" s="919">
        <f t="shared" si="49"/>
        <v>0</v>
      </c>
      <c r="AH110" s="176">
        <f t="shared" si="42"/>
        <v>6</v>
      </c>
      <c r="AI110" s="225">
        <f t="shared" si="43"/>
        <v>0.53174318754711147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1090">
        <f>IF(t&gt;Tmaj,'2022'!Wh/'2022'!Env_an*'2023'!Env_an,0.001*'[6]mon-tableau'!$B$43)</f>
        <v>36.921374729388653</v>
      </c>
      <c r="C111" s="953"/>
      <c r="D111" s="393">
        <f t="shared" si="25"/>
        <v>38.389256411893406</v>
      </c>
      <c r="E111" s="385">
        <f t="shared" si="47"/>
        <v>43.114935162915117</v>
      </c>
      <c r="F111" s="385">
        <f t="shared" si="26"/>
        <v>43.12995061729135</v>
      </c>
      <c r="G111" s="110">
        <f t="shared" si="48"/>
        <v>0.76617018806900161</v>
      </c>
      <c r="H111" s="412" t="b">
        <f>Wh_hp&gt;='2022'!Maxi_hp</f>
        <v>0</v>
      </c>
      <c r="I111" s="390">
        <f>IF(H111,Wh_hp,'2022'!Maxi_hp)</f>
        <v>56.268394657199678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3.8236783405108832E-2</v>
      </c>
      <c r="M111" s="957"/>
      <c r="N111" s="957"/>
      <c r="O111" s="48">
        <f>IF(t&lt;Tnet,'2022'!Resal+('2022'!Salim-'2022'!Resal)*(1-EXP(('2022'!Tnet-t)/('2022'!Tau_j))),Resal+(Salim-Resal)*(1-EXP((Tnet-t)/(Tau_j))))*Salcycl</f>
        <v>0.10960653734408152</v>
      </c>
      <c r="P111" s="169">
        <f>(INDEX(Models!$BJ111:$BT111,,T111)*(1-R111)+INDEX(Models!$BJ111:$BT111,,T111+1)*R111-ERP_i)*Q111*Ramure*Pc/MaxiM</f>
        <v>5.226229470201519E-4</v>
      </c>
      <c r="Q111" s="305">
        <f t="shared" si="28"/>
        <v>0.7</v>
      </c>
      <c r="R111" s="177">
        <f t="shared" si="29"/>
        <v>0.53301113410806045</v>
      </c>
      <c r="S111" s="919">
        <f t="shared" si="30"/>
        <v>0</v>
      </c>
      <c r="T111" s="176">
        <f t="shared" si="31"/>
        <v>6</v>
      </c>
      <c r="U111" s="251">
        <f t="shared" si="32"/>
        <v>0.53301113410806045</v>
      </c>
      <c r="V111" s="383">
        <f t="shared" si="33"/>
        <v>48.181110510402185</v>
      </c>
      <c r="W111" s="402">
        <f t="shared" si="34"/>
        <v>36.921374729388653</v>
      </c>
      <c r="X111" s="157">
        <f t="shared" si="35"/>
        <v>45023</v>
      </c>
      <c r="Y111" s="385">
        <f t="shared" si="36"/>
        <v>35.723084306994991</v>
      </c>
      <c r="Z111" s="385">
        <f t="shared" si="37"/>
        <v>37.143325603023222</v>
      </c>
      <c r="AA111" s="386">
        <f t="shared" si="38"/>
        <v>43.114935162915117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0.13850443094318543</v>
      </c>
      <c r="AD111" s="231">
        <f>(INDEX(Models!$BJ111:$BT111,,AH111)*(1-AF111)+INDEX(Models!$BJ111:$BT111,,AH111+1)*AF111-ERP_i)*AE111*Ramure*Pc/MaxiM</f>
        <v>5.226229470201519E-4</v>
      </c>
      <c r="AE111" s="305">
        <f t="shared" si="40"/>
        <v>0.7</v>
      </c>
      <c r="AF111" s="177">
        <f t="shared" si="41"/>
        <v>0.53301113410806045</v>
      </c>
      <c r="AG111" s="919">
        <f t="shared" si="49"/>
        <v>0</v>
      </c>
      <c r="AH111" s="176">
        <f t="shared" si="42"/>
        <v>6</v>
      </c>
      <c r="AI111" s="225">
        <f t="shared" si="43"/>
        <v>0.53301113410806045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1090">
        <f>IF(t&gt;Tmaj,'2022'!Wh/'2022'!Env_an*'2023'!Env_an,0.001*'[6]mon-tableau'!$B$44)</f>
        <v>29.955478317582006</v>
      </c>
      <c r="C112" s="953"/>
      <c r="D112" s="393">
        <f t="shared" si="25"/>
        <v>31.147099324369837</v>
      </c>
      <c r="E112" s="385">
        <f t="shared" si="47"/>
        <v>34.986660637093081</v>
      </c>
      <c r="F112" s="385">
        <f t="shared" si="26"/>
        <v>34.994931135568052</v>
      </c>
      <c r="G112" s="110">
        <f t="shared" si="48"/>
        <v>0.61983042791416787</v>
      </c>
      <c r="H112" s="412" t="b">
        <f>Wh_hp&gt;='2022'!Maxi_hp</f>
        <v>0</v>
      </c>
      <c r="I112" s="390">
        <f>IF(H112,Wh_hp,'2022'!Maxi_hp)</f>
        <v>56.211155978326396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3.8257848487852408E-2</v>
      </c>
      <c r="M112" s="957"/>
      <c r="N112" s="957"/>
      <c r="O112" s="48">
        <f>IF(t&lt;Tnet,'2022'!Resal+('2022'!Salim-'2022'!Resal)*(1-EXP(('2022'!Tnet-t)/('2022'!Tau_j))),Resal+(Salim-Resal)*(1-EXP((Tnet-t)/(Tau_j))))*Salcycl</f>
        <v>0.10974357777525408</v>
      </c>
      <c r="P112" s="169">
        <f>(INDEX(Models!$BJ112:$BT112,,T112)*(1-R112)+INDEX(Models!$BJ112:$BT112,,T112+1)*R112-ERP_i)*Q112*Ramure*Pc/MaxiM</f>
        <v>5.1697380988965794E-4</v>
      </c>
      <c r="Q112" s="305">
        <f t="shared" si="28"/>
        <v>0.7</v>
      </c>
      <c r="R112" s="177">
        <f t="shared" si="29"/>
        <v>0.534324992435804</v>
      </c>
      <c r="S112" s="919">
        <f t="shared" si="30"/>
        <v>0</v>
      </c>
      <c r="T112" s="176">
        <f t="shared" si="31"/>
        <v>6</v>
      </c>
      <c r="U112" s="251">
        <f t="shared" si="32"/>
        <v>0.534324992435804</v>
      </c>
      <c r="V112" s="383">
        <f t="shared" si="33"/>
        <v>48.314939517982758</v>
      </c>
      <c r="W112" s="402">
        <f t="shared" si="34"/>
        <v>29.955478317582006</v>
      </c>
      <c r="X112" s="157">
        <f t="shared" si="35"/>
        <v>45024</v>
      </c>
      <c r="Y112" s="385">
        <f t="shared" si="36"/>
        <v>28.984481536355855</v>
      </c>
      <c r="Z112" s="385">
        <f t="shared" si="37"/>
        <v>30.137476547932877</v>
      </c>
      <c r="AA112" s="386">
        <f t="shared" si="38"/>
        <v>34.986660637093081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0.13860094106892459</v>
      </c>
      <c r="AD112" s="231">
        <f>(INDEX(Models!$BJ112:$BT112,,AH112)*(1-AF112)+INDEX(Models!$BJ112:$BT112,,AH112+1)*AF112-ERP_i)*AE112*Ramure*Pc/MaxiM</f>
        <v>5.1697380988965794E-4</v>
      </c>
      <c r="AE112" s="305">
        <f t="shared" si="40"/>
        <v>0.7</v>
      </c>
      <c r="AF112" s="177">
        <f t="shared" si="41"/>
        <v>0.534324992435804</v>
      </c>
      <c r="AG112" s="919">
        <f t="shared" si="49"/>
        <v>0</v>
      </c>
      <c r="AH112" s="176">
        <f t="shared" si="42"/>
        <v>6</v>
      </c>
      <c r="AI112" s="225">
        <f t="shared" si="43"/>
        <v>0.534324992435804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1090">
        <f>IF(t&gt;Tmaj,'2022'!Wh/'2022'!Env_an*'2023'!Env_an,0.001*'[6]mon-tableau'!$B$45)</f>
        <v>32.691846520385546</v>
      </c>
      <c r="C113" s="953"/>
      <c r="D113" s="393">
        <f t="shared" si="25"/>
        <v>33.993064066087342</v>
      </c>
      <c r="E113" s="385">
        <f t="shared" si="47"/>
        <v>38.189380888927815</v>
      </c>
      <c r="F113" s="385">
        <f t="shared" si="26"/>
        <v>38.199869595417006</v>
      </c>
      <c r="G113" s="110">
        <f t="shared" si="48"/>
        <v>0.67468250077301162</v>
      </c>
      <c r="H113" s="412" t="b">
        <f>Wh_hp&gt;='2022'!Maxi_hp</f>
        <v>0</v>
      </c>
      <c r="I113" s="390">
        <f>IF(H113,Wh_hp,'2022'!Maxi_hp)</f>
        <v>45.992596170964376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3.8278913109216717E-2</v>
      </c>
      <c r="M113" s="957"/>
      <c r="N113" s="957"/>
      <c r="O113" s="48">
        <f>IF(t&lt;Tnet,'2022'!Resal+('2022'!Salim-'2022'!Resal)*(1-EXP(('2022'!Tnet-t)/('2022'!Tau_j))),Resal+(Salim-Resal)*(1-EXP((Tnet-t)/(Tau_j))))*Salcycl</f>
        <v>0.10988177145487851</v>
      </c>
      <c r="P113" s="169">
        <f>(INDEX(Models!$BJ113:$BT113,,T113)*(1-R113)+INDEX(Models!$BJ113:$BT113,,T113+1)*R113-ERP_i)*Q113*Ramure*Pc/MaxiM</f>
        <v>5.1275318268594863E-4</v>
      </c>
      <c r="Q113" s="305">
        <f t="shared" si="28"/>
        <v>0.7</v>
      </c>
      <c r="R113" s="177">
        <f t="shared" si="29"/>
        <v>0.53568613142337007</v>
      </c>
      <c r="S113" s="919">
        <f t="shared" si="30"/>
        <v>0</v>
      </c>
      <c r="T113" s="176">
        <f t="shared" si="31"/>
        <v>6</v>
      </c>
      <c r="U113" s="251">
        <f t="shared" si="32"/>
        <v>0.53568613142337007</v>
      </c>
      <c r="V113" s="383">
        <f t="shared" si="33"/>
        <v>48.443612870279196</v>
      </c>
      <c r="W113" s="402">
        <f t="shared" si="34"/>
        <v>32.691846520385546</v>
      </c>
      <c r="X113" s="157">
        <f t="shared" si="35"/>
        <v>45025</v>
      </c>
      <c r="Y113" s="385">
        <f t="shared" si="36"/>
        <v>31.633460874449693</v>
      </c>
      <c r="Z113" s="385">
        <f t="shared" si="37"/>
        <v>32.892552014971166</v>
      </c>
      <c r="AA113" s="386">
        <f t="shared" si="38"/>
        <v>38.189380888927815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0.1386989982729033</v>
      </c>
      <c r="AD113" s="231">
        <f>(INDEX(Models!$BJ113:$BT113,,AH113)*(1-AF113)+INDEX(Models!$BJ113:$BT113,,AH113+1)*AF113-ERP_i)*AE113*Ramure*Pc/MaxiM</f>
        <v>5.1275318268594863E-4</v>
      </c>
      <c r="AE113" s="305">
        <f t="shared" si="40"/>
        <v>0.7</v>
      </c>
      <c r="AF113" s="177">
        <f t="shared" si="41"/>
        <v>0.53568613142337007</v>
      </c>
      <c r="AG113" s="919">
        <f t="shared" si="49"/>
        <v>0</v>
      </c>
      <c r="AH113" s="176">
        <f t="shared" si="42"/>
        <v>6</v>
      </c>
      <c r="AI113" s="225">
        <f t="shared" si="43"/>
        <v>0.53568613142337007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1090">
        <f>IF(t&gt;Tmaj,'2022'!Wh/'2022'!Env_an*'2023'!Env_an,0.001*'[6]mon-tableau'!$B$46)</f>
        <v>49.974532961127281</v>
      </c>
      <c r="C114" s="953"/>
      <c r="D114" s="393">
        <f t="shared" si="25"/>
        <v>51.964782967585322</v>
      </c>
      <c r="E114" s="385">
        <f t="shared" si="47"/>
        <v>58.388784308529402</v>
      </c>
      <c r="F114" s="385">
        <f t="shared" si="26"/>
        <v>58.418678511810597</v>
      </c>
      <c r="G114" s="110">
        <f t="shared" si="48"/>
        <v>1.0289705588508633</v>
      </c>
      <c r="H114" s="412" t="b">
        <f>Wh_hp&gt;='2022'!Maxi_hp</f>
        <v>1</v>
      </c>
      <c r="I114" s="390">
        <f>IF(H114,Wh_hp,'2022'!Maxi_hp)</f>
        <v>58.418678511810597</v>
      </c>
      <c r="J114" s="85">
        <f>IF(H114,An,'2022'!An_max)</f>
        <v>2023</v>
      </c>
      <c r="K114" s="197">
        <f t="shared" si="27"/>
        <v>45026</v>
      </c>
      <c r="L114" s="147">
        <f>IF(t&lt;Tvie,1-EXP((T0-t)*PertePVj)+'2022'!Pspv,1-EXP((T0-t)*PertePVj)+Pspv)</f>
        <v>3.8299977269211749E-2</v>
      </c>
      <c r="M114" s="957"/>
      <c r="N114" s="957"/>
      <c r="O114" s="48">
        <f>IF(t&lt;Tnet,'2022'!Resal+('2022'!Salim-'2022'!Resal)*(1-EXP(('2022'!Tnet-t)/('2022'!Tau_j))),Resal+(Salim-Resal)*(1-EXP((Tnet-t)/(Tau_j))))*Salcycl</f>
        <v>0.1100211524699559</v>
      </c>
      <c r="P114" s="169">
        <f>(INDEX(Models!$BJ114:$BT114,,T114)*(1-R114)+INDEX(Models!$BJ114:$BT114,,T114+1)*R114-ERP_i)*Q114*Ramure*Pc/MaxiM</f>
        <v>5.1172337414572325E-4</v>
      </c>
      <c r="Q114" s="305">
        <f t="shared" si="28"/>
        <v>0.7</v>
      </c>
      <c r="R114" s="177">
        <f t="shared" si="29"/>
        <v>0.53709593752971263</v>
      </c>
      <c r="S114" s="919">
        <f t="shared" si="30"/>
        <v>0</v>
      </c>
      <c r="T114" s="176">
        <f t="shared" si="31"/>
        <v>6</v>
      </c>
      <c r="U114" s="251">
        <f t="shared" si="32"/>
        <v>0.53709593752971263</v>
      </c>
      <c r="V114" s="383">
        <f t="shared" si="33"/>
        <v>48.567505193674322</v>
      </c>
      <c r="W114" s="402">
        <f t="shared" si="34"/>
        <v>49.974532961127281</v>
      </c>
      <c r="X114" s="157">
        <f t="shared" si="35"/>
        <v>45026</v>
      </c>
      <c r="Y114" s="385">
        <f t="shared" si="36"/>
        <v>48.358605076194742</v>
      </c>
      <c r="Z114" s="385">
        <f t="shared" si="37"/>
        <v>50.284500294466483</v>
      </c>
      <c r="AA114" s="386">
        <f t="shared" si="38"/>
        <v>58.388784308529402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0.13879864275370854</v>
      </c>
      <c r="AD114" s="231">
        <f>(INDEX(Models!$BJ114:$BT114,,AH114)*(1-AF114)+INDEX(Models!$BJ114:$BT114,,AH114+1)*AF114-ERP_i)*AE114*Ramure*Pc/MaxiM</f>
        <v>5.1172337414572325E-4</v>
      </c>
      <c r="AE114" s="305">
        <f t="shared" si="40"/>
        <v>0.7</v>
      </c>
      <c r="AF114" s="177">
        <f t="shared" si="41"/>
        <v>0.53709593752971263</v>
      </c>
      <c r="AG114" s="919">
        <f t="shared" si="49"/>
        <v>0</v>
      </c>
      <c r="AH114" s="176">
        <f t="shared" si="42"/>
        <v>6</v>
      </c>
      <c r="AI114" s="225">
        <f t="shared" si="43"/>
        <v>0.53709593752971263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1090">
        <f>IF(t&gt;Tmaj,'2022'!Wh/'2022'!Env_an*'2023'!Env_an,0.001*'[6]mon-tableau'!$B$47)</f>
        <v>41.235876352942604</v>
      </c>
      <c r="C115" s="953"/>
      <c r="D115" s="393">
        <f t="shared" si="25"/>
        <v>42.879046032620892</v>
      </c>
      <c r="E115" s="385">
        <f t="shared" si="47"/>
        <v>48.187461266262403</v>
      </c>
      <c r="F115" s="385">
        <f t="shared" si="26"/>
        <v>48.206803767908298</v>
      </c>
      <c r="G115" s="110">
        <f t="shared" si="48"/>
        <v>0.84686189754736385</v>
      </c>
      <c r="H115" s="412" t="b">
        <f>Wh_hp&gt;='2022'!Maxi_hp</f>
        <v>0</v>
      </c>
      <c r="I115" s="390">
        <f>IF(H115,Wh_hp,'2022'!Maxi_hp)</f>
        <v>56.926003902955259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3.8321040967847608E-2</v>
      </c>
      <c r="M115" s="957"/>
      <c r="N115" s="957"/>
      <c r="O115" s="48">
        <f>IF(t&lt;Tnet,'2022'!Resal+('2022'!Salim-'2022'!Resal)*(1-EXP(('2022'!Tnet-t)/('2022'!Tau_j))),Resal+(Salim-Resal)*(1-EXP((Tnet-t)/(Tau_j))))*Salcycl</f>
        <v>0.11016175357962056</v>
      </c>
      <c r="P115" s="169">
        <f>(INDEX(Models!$BJ115:$BT115,,T115)*(1-R115)+INDEX(Models!$BJ115:$BT115,,T115+1)*R115-ERP_i)*Q115*Ramure*Pc/MaxiM</f>
        <v>5.1351027879677138E-4</v>
      </c>
      <c r="Q115" s="305">
        <f t="shared" si="28"/>
        <v>0.7</v>
      </c>
      <c r="R115" s="177">
        <f t="shared" si="29"/>
        <v>0.53855581299560973</v>
      </c>
      <c r="S115" s="919">
        <f t="shared" si="30"/>
        <v>0</v>
      </c>
      <c r="T115" s="176">
        <f t="shared" si="31"/>
        <v>6</v>
      </c>
      <c r="U115" s="251">
        <f t="shared" si="32"/>
        <v>0.53855581299560973</v>
      </c>
      <c r="V115" s="383">
        <f t="shared" si="33"/>
        <v>48.687094145900026</v>
      </c>
      <c r="W115" s="402">
        <f t="shared" si="34"/>
        <v>41.235876352942604</v>
      </c>
      <c r="X115" s="157">
        <f t="shared" si="35"/>
        <v>45027</v>
      </c>
      <c r="Y115" s="385">
        <f t="shared" si="36"/>
        <v>39.904125114261845</v>
      </c>
      <c r="Z115" s="385">
        <f t="shared" si="37"/>
        <v>41.494227090527104</v>
      </c>
      <c r="AA115" s="386">
        <f t="shared" si="38"/>
        <v>48.187461266262403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0.13889991296182777</v>
      </c>
      <c r="AD115" s="231">
        <f>(INDEX(Models!$BJ115:$BT115,,AH115)*(1-AF115)+INDEX(Models!$BJ115:$BT115,,AH115+1)*AF115-ERP_i)*AE115*Ramure*Pc/MaxiM</f>
        <v>5.1351027879677138E-4</v>
      </c>
      <c r="AE115" s="305">
        <f t="shared" si="40"/>
        <v>0.7</v>
      </c>
      <c r="AF115" s="177">
        <f t="shared" si="41"/>
        <v>0.53855581299560973</v>
      </c>
      <c r="AG115" s="919">
        <f t="shared" si="49"/>
        <v>0</v>
      </c>
      <c r="AH115" s="176">
        <f t="shared" si="42"/>
        <v>6</v>
      </c>
      <c r="AI115" s="225">
        <f t="shared" si="43"/>
        <v>0.53855581299560973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1090">
        <f>IF(t&gt;Tmaj,'2022'!Wh/'2022'!Env_an*'2023'!Env_an,0.001*'[6]mon-tableau'!$B$48)</f>
        <v>2.329860299859007</v>
      </c>
      <c r="C116" s="953"/>
      <c r="D116" s="393">
        <f t="shared" si="25"/>
        <v>2.4227537776656463</v>
      </c>
      <c r="E116" s="385">
        <f t="shared" si="47"/>
        <v>2.7231241965067179</v>
      </c>
      <c r="F116" s="385">
        <f t="shared" si="26"/>
        <v>2.7231241965067179</v>
      </c>
      <c r="G116" s="110">
        <f t="shared" si="48"/>
        <v>4.7715526558836811E-2</v>
      </c>
      <c r="H116" s="412" t="b">
        <f>Wh_hp&gt;='2022'!Maxi_hp</f>
        <v>0</v>
      </c>
      <c r="I116" s="390">
        <f>IF(H116,Wh_hp,'2022'!Maxi_hp)</f>
        <v>56.893751444283453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3.8342104205134397E-2</v>
      </c>
      <c r="M116" s="957"/>
      <c r="N116" s="957"/>
      <c r="O116" s="48">
        <f>IF(t&lt;Tnet,'2022'!Resal+('2022'!Salim-'2022'!Resal)*(1-EXP(('2022'!Tnet-t)/('2022'!Tau_j))),Resal+(Salim-Resal)*(1-EXP((Tnet-t)/(Tau_j))))*Salcycl</f>
        <v>0.11030360613973961</v>
      </c>
      <c r="P116" s="169">
        <f>(INDEX(Models!$BJ116:$BT116,,T116)*(1-R116)+INDEX(Models!$BJ116:$BT116,,T116+1)*R116-ERP_i)*Q116*Ramure*Pc/MaxiM</f>
        <v>5.1811822053318256E-4</v>
      </c>
      <c r="Q116" s="305">
        <f t="shared" si="28"/>
        <v>0.7</v>
      </c>
      <c r="R116" s="177">
        <f t="shared" si="29"/>
        <v>0.54006717386423808</v>
      </c>
      <c r="S116" s="919">
        <f t="shared" si="30"/>
        <v>0</v>
      </c>
      <c r="T116" s="176">
        <f t="shared" si="31"/>
        <v>6</v>
      </c>
      <c r="U116" s="251">
        <f t="shared" si="32"/>
        <v>0.54006717386423808</v>
      </c>
      <c r="V116" s="383">
        <f t="shared" si="33"/>
        <v>48.802838923195154</v>
      </c>
      <c r="W116" s="402">
        <f t="shared" si="34"/>
        <v>2.329860299859007</v>
      </c>
      <c r="X116" s="157">
        <f t="shared" si="35"/>
        <v>45028</v>
      </c>
      <c r="Y116" s="385">
        <f t="shared" si="36"/>
        <v>2.2547052032371737</v>
      </c>
      <c r="Z116" s="385">
        <f t="shared" si="37"/>
        <v>2.344602184515451</v>
      </c>
      <c r="AA116" s="386">
        <f t="shared" si="38"/>
        <v>2.7231241965067179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0.1390028455098902</v>
      </c>
      <c r="AD116" s="231">
        <f>(INDEX(Models!$BJ116:$BT116,,AH116)*(1-AF116)+INDEX(Models!$BJ116:$BT116,,AH116+1)*AF116-ERP_i)*AE116*Ramure*Pc/MaxiM</f>
        <v>5.1811822053318256E-4</v>
      </c>
      <c r="AE116" s="305">
        <f t="shared" si="40"/>
        <v>0.7</v>
      </c>
      <c r="AF116" s="177">
        <f t="shared" si="41"/>
        <v>0.54006717386423808</v>
      </c>
      <c r="AG116" s="919">
        <f t="shared" si="49"/>
        <v>0</v>
      </c>
      <c r="AH116" s="176">
        <f t="shared" si="42"/>
        <v>6</v>
      </c>
      <c r="AI116" s="225">
        <f t="shared" si="43"/>
        <v>0.54006717386423808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1090">
        <f>IF(t&gt;Tmaj,'2022'!Wh/'2022'!Env_an*'2023'!Env_an,0.001*'[6]mon-tableau'!$B$49)</f>
        <v>0</v>
      </c>
      <c r="C117" s="953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2" t="b">
        <f>Wh_hp&gt;='2022'!Maxi_hp</f>
        <v>0</v>
      </c>
      <c r="I117" s="390">
        <f>IF(H117,Wh_hp,'2022'!Maxi_hp)</f>
        <v>58.336070770675065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3.836316698108222E-2</v>
      </c>
      <c r="M117" s="957"/>
      <c r="N117" s="957"/>
      <c r="O117" s="48">
        <f>IF(t&lt;Tnet,'2022'!Resal+('2022'!Salim-'2022'!Resal)*(1-EXP(('2022'!Tnet-t)/('2022'!Tau_j))),Resal+(Salim-Resal)*(1-EXP((Tnet-t)/(Tau_j))))*Salcycl</f>
        <v>0.11044674002640192</v>
      </c>
      <c r="P117" s="169">
        <f>(INDEX(Models!$BJ117:$BT117,,T117)*(1-R117)+INDEX(Models!$BJ117:$BT117,,T117+1)*R117-ERP_i)*Q117*Ramure*Pc/MaxiM</f>
        <v>5.2555536325618732E-4</v>
      </c>
      <c r="Q117" s="305">
        <f t="shared" si="28"/>
        <v>0.7</v>
      </c>
      <c r="R117" s="177">
        <f t="shared" si="29"/>
        <v>0.54163144779715955</v>
      </c>
      <c r="S117" s="919">
        <f t="shared" si="30"/>
        <v>0</v>
      </c>
      <c r="T117" s="176">
        <f t="shared" si="31"/>
        <v>6</v>
      </c>
      <c r="U117" s="251">
        <f t="shared" si="32"/>
        <v>0.54163144779715955</v>
      </c>
      <c r="V117" s="383">
        <f t="shared" si="33"/>
        <v>48.915198346043042</v>
      </c>
      <c r="W117" s="402">
        <f t="shared" si="34"/>
        <v>0</v>
      </c>
      <c r="X117" s="157">
        <f t="shared" si="35"/>
        <v>45029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0.13910747508176105</v>
      </c>
      <c r="AD117" s="231">
        <f>(INDEX(Models!$BJ117:$BT117,,AH117)*(1-AF117)+INDEX(Models!$BJ117:$BT117,,AH117+1)*AF117-ERP_i)*AE117*Ramure*Pc/MaxiM</f>
        <v>5.2555536325618732E-4</v>
      </c>
      <c r="AE117" s="305">
        <f t="shared" si="40"/>
        <v>0.7</v>
      </c>
      <c r="AF117" s="177">
        <f t="shared" si="41"/>
        <v>0.54163144779715955</v>
      </c>
      <c r="AG117" s="919">
        <f t="shared" si="49"/>
        <v>0</v>
      </c>
      <c r="AH117" s="176">
        <f t="shared" si="42"/>
        <v>6</v>
      </c>
      <c r="AI117" s="225">
        <f t="shared" si="43"/>
        <v>0.54163144779715955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1090">
        <f>IF(t&gt;Tmaj,'2022'!Wh/'2022'!Env_an*'2023'!Env_an,0.001*'[6]mon-tableau'!$B$50)</f>
        <v>39.129117239229949</v>
      </c>
      <c r="C118" s="953"/>
      <c r="D118" s="393">
        <f t="shared" si="25"/>
        <v>40.691010309212501</v>
      </c>
      <c r="E118" s="385">
        <f t="shared" si="47"/>
        <v>45.750626210320704</v>
      </c>
      <c r="F118" s="385">
        <f t="shared" si="26"/>
        <v>45.768078666276168</v>
      </c>
      <c r="G118" s="110">
        <f t="shared" si="48"/>
        <v>0.79802883605748465</v>
      </c>
      <c r="H118" s="412" t="b">
        <f>Wh_hp&gt;='2022'!Maxi_hp</f>
        <v>0</v>
      </c>
      <c r="I118" s="390">
        <f>IF(H118,Wh_hp,'2022'!Maxi_hp)</f>
        <v>56.615625243922842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3.8384229295701178E-2</v>
      </c>
      <c r="M118" s="957"/>
      <c r="N118" s="957"/>
      <c r="O118" s="48">
        <f>IF(t&lt;Tnet,'2022'!Resal+('2022'!Salim-'2022'!Resal)*(1-EXP(('2022'!Tnet-t)/('2022'!Tau_j))),Resal+(Salim-Resal)*(1-EXP((Tnet-t)/(Tau_j))))*Salcycl</f>
        <v>0.11059118355776344</v>
      </c>
      <c r="P118" s="169">
        <f>(INDEX(Models!$BJ118:$BT118,,T118)*(1-R118)+INDEX(Models!$BJ118:$BT118,,T118+1)*R118-ERP_i)*Q118*Ramure*Pc/MaxiM</f>
        <v>5.3583348785193918E-4</v>
      </c>
      <c r="Q118" s="305">
        <f t="shared" si="28"/>
        <v>0.7</v>
      </c>
      <c r="R118" s="177">
        <f t="shared" si="29"/>
        <v>0.54325007167672312</v>
      </c>
      <c r="S118" s="919">
        <f t="shared" si="30"/>
        <v>0</v>
      </c>
      <c r="T118" s="176">
        <f t="shared" si="31"/>
        <v>6</v>
      </c>
      <c r="U118" s="251">
        <f t="shared" si="32"/>
        <v>0.54325007167672312</v>
      </c>
      <c r="V118" s="383">
        <f t="shared" si="33"/>
        <v>49.024630860522862</v>
      </c>
      <c r="W118" s="402">
        <f t="shared" si="34"/>
        <v>39.129117239229949</v>
      </c>
      <c r="X118" s="157">
        <f t="shared" si="35"/>
        <v>45030</v>
      </c>
      <c r="Y118" s="385">
        <f t="shared" si="36"/>
        <v>37.86987735151579</v>
      </c>
      <c r="Z118" s="385">
        <f t="shared" si="37"/>
        <v>39.381506112133998</v>
      </c>
      <c r="AA118" s="386">
        <f t="shared" si="38"/>
        <v>45.750626210320704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0.13921383433982201</v>
      </c>
      <c r="AD118" s="231">
        <f>(INDEX(Models!$BJ118:$BT118,,AH118)*(1-AF118)+INDEX(Models!$BJ118:$BT118,,AH118+1)*AF118-ERP_i)*AE118*Ramure*Pc/MaxiM</f>
        <v>5.3583348785193918E-4</v>
      </c>
      <c r="AE118" s="305">
        <f t="shared" si="40"/>
        <v>0.7</v>
      </c>
      <c r="AF118" s="177">
        <f t="shared" si="41"/>
        <v>0.54325007167672312</v>
      </c>
      <c r="AG118" s="919">
        <f t="shared" si="49"/>
        <v>0</v>
      </c>
      <c r="AH118" s="176">
        <f t="shared" si="42"/>
        <v>6</v>
      </c>
      <c r="AI118" s="225">
        <f t="shared" si="43"/>
        <v>0.54325007167672312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1090">
        <f>IF(t&gt;Tmaj,'2022'!Wh/'2022'!Env_an*'2023'!Env_an,0.001*'[6]mon-tableau'!$B$51)</f>
        <v>43.54715954615844</v>
      </c>
      <c r="C119" s="953"/>
      <c r="D119" s="393">
        <f t="shared" si="25"/>
        <v>45.286396800365694</v>
      </c>
      <c r="E119" s="385">
        <f t="shared" si="47"/>
        <v>50.925760924702345</v>
      </c>
      <c r="F119" s="385">
        <f t="shared" si="26"/>
        <v>50.949188833369604</v>
      </c>
      <c r="G119" s="110">
        <f t="shared" si="48"/>
        <v>0.88625814872385433</v>
      </c>
      <c r="H119" s="412" t="b">
        <f>Wh_hp&gt;='2022'!Maxi_hp</f>
        <v>0</v>
      </c>
      <c r="I119" s="390">
        <f>IF(H119,Wh_hp,'2022'!Maxi_hp)</f>
        <v>56.990205602590848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3.8405291149001486E-2</v>
      </c>
      <c r="M119" s="957"/>
      <c r="N119" s="957"/>
      <c r="O119" s="48">
        <f>IF(t&lt;Tnet,'2022'!Resal+('2022'!Salim-'2022'!Resal)*(1-EXP(('2022'!Tnet-t)/('2022'!Tau_j))),Resal+(Salim-Resal)*(1-EXP((Tnet-t)/(Tau_j))))*Salcycl</f>
        <v>0.11073696341376002</v>
      </c>
      <c r="P119" s="169">
        <f>(INDEX(Models!$BJ119:$BT119,,T119)*(1-R119)+INDEX(Models!$BJ119:$BT119,,T119+1)*R119-ERP_i)*Q119*Ramure*Pc/MaxiM</f>
        <v>5.4896776708368393E-4</v>
      </c>
      <c r="Q119" s="305">
        <f t="shared" si="28"/>
        <v>0.7</v>
      </c>
      <c r="R119" s="177">
        <f t="shared" si="29"/>
        <v>0.54492448898625467</v>
      </c>
      <c r="S119" s="919">
        <f t="shared" si="30"/>
        <v>0</v>
      </c>
      <c r="T119" s="176">
        <f t="shared" si="31"/>
        <v>6</v>
      </c>
      <c r="U119" s="251">
        <f t="shared" si="32"/>
        <v>0.54492448898625467</v>
      </c>
      <c r="V119" s="383">
        <f t="shared" si="33"/>
        <v>49.13159453366498</v>
      </c>
      <c r="W119" s="402">
        <f t="shared" si="34"/>
        <v>43.54715954615844</v>
      </c>
      <c r="X119" s="157">
        <f t="shared" si="35"/>
        <v>45031</v>
      </c>
      <c r="Y119" s="385">
        <f t="shared" si="36"/>
        <v>42.147354216283908</v>
      </c>
      <c r="Z119" s="385">
        <f t="shared" si="37"/>
        <v>43.830684412402213</v>
      </c>
      <c r="AA119" s="386">
        <f t="shared" si="38"/>
        <v>50.925760924702345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0.13932195382982593</v>
      </c>
      <c r="AD119" s="231">
        <f>(INDEX(Models!$BJ119:$BT119,,AH119)*(1-AF119)+INDEX(Models!$BJ119:$BT119,,AH119+1)*AF119-ERP_i)*AE119*Ramure*Pc/MaxiM</f>
        <v>5.4896776708368393E-4</v>
      </c>
      <c r="AE119" s="305">
        <f t="shared" si="40"/>
        <v>0.7</v>
      </c>
      <c r="AF119" s="177">
        <f t="shared" si="41"/>
        <v>0.54492448898625467</v>
      </c>
      <c r="AG119" s="919">
        <f t="shared" si="49"/>
        <v>0</v>
      </c>
      <c r="AH119" s="176">
        <f t="shared" si="42"/>
        <v>6</v>
      </c>
      <c r="AI119" s="225">
        <f t="shared" si="43"/>
        <v>0.54492448898625467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1090">
        <f>IF(t&gt;Tmaj,'2022'!Wh/'2022'!Env_an*'2023'!Env_an,0.001*'[6]mon-tableau'!$B$52)</f>
        <v>39.178282461433056</v>
      </c>
      <c r="C120" s="953"/>
      <c r="D120" s="393">
        <f t="shared" si="25"/>
        <v>40.743922802962707</v>
      </c>
      <c r="E120" s="385">
        <f t="shared" si="47"/>
        <v>45.825210202197958</v>
      </c>
      <c r="F120" s="385">
        <f t="shared" si="26"/>
        <v>45.843552051019373</v>
      </c>
      <c r="G120" s="110">
        <f t="shared" si="48"/>
        <v>0.79558422579549348</v>
      </c>
      <c r="H120" s="412" t="b">
        <f>Wh_hp&gt;='2022'!Maxi_hp</f>
        <v>0</v>
      </c>
      <c r="I120" s="390">
        <f>IF(H120,Wh_hp,'2022'!Maxi_hp)</f>
        <v>53.394011325702145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3.8426352540993025E-2</v>
      </c>
      <c r="M120" s="957"/>
      <c r="N120" s="957"/>
      <c r="O120" s="48">
        <f>IF(t&lt;Tnet,'2022'!Resal+('2022'!Salim-'2022'!Resal)*(1-EXP(('2022'!Tnet-t)/('2022'!Tau_j))),Resal+(Salim-Resal)*(1-EXP((Tnet-t)/(Tau_j))))*Salcycl</f>
        <v>0.11088410455325155</v>
      </c>
      <c r="P120" s="169">
        <f>(INDEX(Models!$BJ120:$BT120,,T120)*(1-R120)+INDEX(Models!$BJ120:$BT120,,T120+1)*R120-ERP_i)*Q120*Ramure*Pc/MaxiM</f>
        <v>5.6497653640181079E-4</v>
      </c>
      <c r="Q120" s="305">
        <f t="shared" si="28"/>
        <v>0.7</v>
      </c>
      <c r="R120" s="177">
        <f t="shared" si="29"/>
        <v>0.54665614695989706</v>
      </c>
      <c r="S120" s="919">
        <f t="shared" si="30"/>
        <v>0</v>
      </c>
      <c r="T120" s="176">
        <f t="shared" si="31"/>
        <v>6</v>
      </c>
      <c r="U120" s="251">
        <f t="shared" si="32"/>
        <v>0.54665614695989706</v>
      </c>
      <c r="V120" s="383">
        <f t="shared" si="33"/>
        <v>49.236547046399799</v>
      </c>
      <c r="W120" s="402">
        <f t="shared" si="34"/>
        <v>39.178282461433056</v>
      </c>
      <c r="X120" s="157">
        <f t="shared" si="35"/>
        <v>45032</v>
      </c>
      <c r="Y120" s="385">
        <f t="shared" si="36"/>
        <v>37.920345103632364</v>
      </c>
      <c r="Z120" s="385">
        <f t="shared" si="37"/>
        <v>39.435715822535528</v>
      </c>
      <c r="AA120" s="386">
        <f t="shared" si="38"/>
        <v>45.825210202197958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0.13943186188278445</v>
      </c>
      <c r="AD120" s="231">
        <f>(INDEX(Models!$BJ120:$BT120,,AH120)*(1-AF120)+INDEX(Models!$BJ120:$BT120,,AH120+1)*AF120-ERP_i)*AE120*Ramure*Pc/MaxiM</f>
        <v>5.6497653640181079E-4</v>
      </c>
      <c r="AE120" s="305">
        <f t="shared" si="40"/>
        <v>0.7</v>
      </c>
      <c r="AF120" s="177">
        <f t="shared" si="41"/>
        <v>0.54665614695989706</v>
      </c>
      <c r="AG120" s="919">
        <f t="shared" si="49"/>
        <v>0</v>
      </c>
      <c r="AH120" s="176">
        <f t="shared" si="42"/>
        <v>6</v>
      </c>
      <c r="AI120" s="225">
        <f t="shared" si="43"/>
        <v>0.54665614695989706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1090">
        <f>IF(t&gt;Tmaj,'2022'!Wh/'2022'!Env_an*'2023'!Env_an,0.001*'[6]mon-tableau'!$B$53)</f>
        <v>49.470094056278036</v>
      </c>
      <c r="C121" s="953"/>
      <c r="D121" s="393">
        <f t="shared" si="25"/>
        <v>51.448142045865467</v>
      </c>
      <c r="E121" s="385">
        <f t="shared" si="47"/>
        <v>57.874050037727088</v>
      </c>
      <c r="F121" s="385">
        <f t="shared" si="26"/>
        <v>57.9078619929616</v>
      </c>
      <c r="G121" s="110">
        <f t="shared" si="48"/>
        <v>1.002657118657535</v>
      </c>
      <c r="H121" s="412" t="b">
        <f>Wh_hp&gt;='2022'!Maxi_hp</f>
        <v>1</v>
      </c>
      <c r="I121" s="390">
        <f>IF(H121,Wh_hp,'2022'!Maxi_hp)</f>
        <v>57.9078619929616</v>
      </c>
      <c r="J121" s="85">
        <f>IF(H121,An,'2022'!An_max)</f>
        <v>2023</v>
      </c>
      <c r="K121" s="197">
        <f t="shared" si="27"/>
        <v>45033</v>
      </c>
      <c r="L121" s="147">
        <f>IF(t&lt;Tvie,1-EXP((T0-t)*PertePVj)+'2022'!Pspv,1-EXP((T0-t)*PertePVj)+Pspv)</f>
        <v>3.844741347168612E-2</v>
      </c>
      <c r="M121" s="957"/>
      <c r="N121" s="957"/>
      <c r="O121" s="48">
        <f>IF(t&lt;Tnet,'2022'!Resal+('2022'!Salim-'2022'!Resal)*(1-EXP(('2022'!Tnet-t)/('2022'!Tau_j))),Resal+(Salim-Resal)*(1-EXP((Tnet-t)/(Tau_j))))*Salcycl</f>
        <v>0.1110326301282298</v>
      </c>
      <c r="P121" s="169">
        <f>(INDEX(Models!$BJ121:$BT121,,T121)*(1-R121)+INDEX(Models!$BJ121:$BT121,,T121+1)*R121-ERP_i)*Q121*Ramure*Pc/MaxiM</f>
        <v>5.8389230876149329E-4</v>
      </c>
      <c r="Q121" s="305">
        <f t="shared" si="28"/>
        <v>0.7</v>
      </c>
      <c r="R121" s="177">
        <f t="shared" si="29"/>
        <v>0.54844649349457386</v>
      </c>
      <c r="S121" s="919">
        <f t="shared" si="30"/>
        <v>0</v>
      </c>
      <c r="T121" s="176">
        <f t="shared" si="31"/>
        <v>6</v>
      </c>
      <c r="U121" s="251">
        <f t="shared" si="32"/>
        <v>0.54844649349457386</v>
      </c>
      <c r="V121" s="383">
        <f t="shared" si="33"/>
        <v>49.338994493465428</v>
      </c>
      <c r="W121" s="402">
        <f t="shared" si="34"/>
        <v>49.470094056278036</v>
      </c>
      <c r="X121" s="157">
        <f t="shared" si="35"/>
        <v>45033</v>
      </c>
      <c r="Y121" s="385">
        <f t="shared" si="36"/>
        <v>47.883489594886157</v>
      </c>
      <c r="Z121" s="385">
        <f t="shared" si="37"/>
        <v>49.798097645152744</v>
      </c>
      <c r="AA121" s="386">
        <f t="shared" si="38"/>
        <v>57.874050037727088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0.13954358451343521</v>
      </c>
      <c r="AD121" s="231">
        <f>(INDEX(Models!$BJ121:$BT121,,AH121)*(1-AF121)+INDEX(Models!$BJ121:$BT121,,AH121+1)*AF121-ERP_i)*AE121*Ramure*Pc/MaxiM</f>
        <v>5.8389230876149329E-4</v>
      </c>
      <c r="AE121" s="305">
        <f t="shared" si="40"/>
        <v>0.7</v>
      </c>
      <c r="AF121" s="177">
        <f t="shared" si="41"/>
        <v>0.54844649349457386</v>
      </c>
      <c r="AG121" s="919">
        <f t="shared" si="49"/>
        <v>0</v>
      </c>
      <c r="AH121" s="176">
        <f t="shared" si="42"/>
        <v>6</v>
      </c>
      <c r="AI121" s="225">
        <f t="shared" si="43"/>
        <v>0.54844649349457386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1090">
        <f>IF(t&gt;Tmaj,'2022'!Wh/'2022'!Env_an*'2023'!Env_an,0.001*'[6]mon-tableau'!$B$54)</f>
        <v>35.273785125952422</v>
      </c>
      <c r="C122" s="953"/>
      <c r="D122" s="393">
        <f t="shared" si="25"/>
        <v>36.685001136188788</v>
      </c>
      <c r="E122" s="385">
        <f t="shared" si="47"/>
        <v>41.273943942591337</v>
      </c>
      <c r="F122" s="385">
        <f t="shared" si="26"/>
        <v>41.288759952886863</v>
      </c>
      <c r="G122" s="110">
        <f t="shared" si="48"/>
        <v>0.71331806840962386</v>
      </c>
      <c r="H122" s="412" t="b">
        <f>Wh_hp&gt;='2022'!Maxi_hp</f>
        <v>0</v>
      </c>
      <c r="I122" s="390">
        <f>IF(H122,Wh_hp,'2022'!Maxi_hp)</f>
        <v>42.269665111428111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3.8468473941090764E-2</v>
      </c>
      <c r="M122" s="957"/>
      <c r="N122" s="957"/>
      <c r="O122" s="48">
        <f>IF(t&lt;Tnet,'2022'!Resal+('2022'!Salim-'2022'!Resal)*(1-EXP(('2022'!Tnet-t)/('2022'!Tau_j))),Resal+(Salim-Resal)*(1-EXP((Tnet-t)/(Tau_j))))*Salcycl</f>
        <v>0.11118256139479656</v>
      </c>
      <c r="P122" s="169">
        <f>(INDEX(Models!$BJ122:$BT122,,T122)*(1-R122)+INDEX(Models!$BJ122:$BT122,,T122+1)*R122-ERP_i)*Q122*Ramure*Pc/MaxiM</f>
        <v>6.074725402846515E-4</v>
      </c>
      <c r="Q122" s="305">
        <f t="shared" si="28"/>
        <v>0.7</v>
      </c>
      <c r="R122" s="177">
        <f t="shared" si="29"/>
        <v>0.5502969738172967</v>
      </c>
      <c r="S122" s="919">
        <f t="shared" si="30"/>
        <v>0</v>
      </c>
      <c r="T122" s="176">
        <f t="shared" si="31"/>
        <v>6</v>
      </c>
      <c r="U122" s="251">
        <f t="shared" si="32"/>
        <v>0.5502969738172967</v>
      </c>
      <c r="V122" s="383">
        <f t="shared" si="33"/>
        <v>49.437990270250111</v>
      </c>
      <c r="W122" s="402">
        <f t="shared" si="34"/>
        <v>35.273785125952422</v>
      </c>
      <c r="X122" s="157">
        <f t="shared" si="35"/>
        <v>45034</v>
      </c>
      <c r="Y122" s="385">
        <f t="shared" si="36"/>
        <v>34.143737141828808</v>
      </c>
      <c r="Z122" s="385">
        <f t="shared" si="37"/>
        <v>35.509742755680541</v>
      </c>
      <c r="AA122" s="386">
        <f t="shared" si="38"/>
        <v>41.273943942591337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0.13965714531493112</v>
      </c>
      <c r="AD122" s="231">
        <f>(INDEX(Models!$BJ122:$BT122,,AH122)*(1-AF122)+INDEX(Models!$BJ122:$BT122,,AH122+1)*AF122-ERP_i)*AE122*Ramure*Pc/MaxiM</f>
        <v>6.074725402846515E-4</v>
      </c>
      <c r="AE122" s="305">
        <f t="shared" si="40"/>
        <v>0.7</v>
      </c>
      <c r="AF122" s="177">
        <f t="shared" si="41"/>
        <v>0.5502969738172967</v>
      </c>
      <c r="AG122" s="919">
        <f t="shared" si="49"/>
        <v>0</v>
      </c>
      <c r="AH122" s="176">
        <f t="shared" si="42"/>
        <v>6</v>
      </c>
      <c r="AI122" s="225">
        <f t="shared" si="43"/>
        <v>0.5502969738172967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1090">
        <f>IF(t&gt;Tmaj,'2022'!Wh/'2022'!Env_an*'2023'!Env_an,0.001*'[6]mon-tableau'!$B$55)</f>
        <v>8.4429434857268593</v>
      </c>
      <c r="C123" s="953"/>
      <c r="D123" s="393">
        <f t="shared" si="25"/>
        <v>8.7809168842483913</v>
      </c>
      <c r="E123" s="385">
        <f t="shared" si="47"/>
        <v>9.8810082418568062</v>
      </c>
      <c r="F123" s="385">
        <f t="shared" si="26"/>
        <v>9.8810082418568062</v>
      </c>
      <c r="G123" s="110">
        <f t="shared" si="48"/>
        <v>0.17034100433198218</v>
      </c>
      <c r="H123" s="412" t="b">
        <f>Wh_hp&gt;='2022'!Maxi_hp</f>
        <v>0</v>
      </c>
      <c r="I123" s="390">
        <f>IF(H123,Wh_hp,'2022'!Maxi_hp)</f>
        <v>56.035337326864806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3.8489533949217059E-2</v>
      </c>
      <c r="M123" s="957"/>
      <c r="N123" s="957"/>
      <c r="O123" s="48">
        <f>IF(t&lt;Tnet,'2022'!Resal+('2022'!Salim-'2022'!Resal)*(1-EXP(('2022'!Tnet-t)/('2022'!Tau_j))),Resal+(Salim-Resal)*(1-EXP((Tnet-t)/(Tau_j))))*Salcycl</f>
        <v>0.1113339176207072</v>
      </c>
      <c r="P123" s="169">
        <f>(INDEX(Models!$BJ123:$BT123,,T123)*(1-R123)+INDEX(Models!$BJ123:$BT123,,T123+1)*R123-ERP_i)*Q123*Ramure*Pc/MaxiM</f>
        <v>6.3482581665565575E-4</v>
      </c>
      <c r="Q123" s="305">
        <f t="shared" si="28"/>
        <v>0.7</v>
      </c>
      <c r="R123" s="177">
        <f t="shared" si="29"/>
        <v>0.55220902690193363</v>
      </c>
      <c r="S123" s="919">
        <f t="shared" si="30"/>
        <v>0</v>
      </c>
      <c r="T123" s="176">
        <f t="shared" si="31"/>
        <v>6</v>
      </c>
      <c r="U123" s="251">
        <f t="shared" si="32"/>
        <v>0.55220902690193363</v>
      </c>
      <c r="V123" s="383">
        <f t="shared" si="33"/>
        <v>49.533485612127315</v>
      </c>
      <c r="W123" s="402">
        <f t="shared" si="34"/>
        <v>8.4429434857268593</v>
      </c>
      <c r="X123" s="157">
        <f t="shared" si="35"/>
        <v>45035</v>
      </c>
      <c r="Y123" s="385">
        <f t="shared" si="36"/>
        <v>8.1727566288797089</v>
      </c>
      <c r="Z123" s="385">
        <f t="shared" si="37"/>
        <v>8.4999143716528813</v>
      </c>
      <c r="AA123" s="386">
        <f t="shared" si="38"/>
        <v>9.8810082418568062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0.13977256534950477</v>
      </c>
      <c r="AD123" s="231">
        <f>(INDEX(Models!$BJ123:$BT123,,AH123)*(1-AF123)+INDEX(Models!$BJ123:$BT123,,AH123+1)*AF123-ERP_i)*AE123*Ramure*Pc/MaxiM</f>
        <v>6.3482581665565575E-4</v>
      </c>
      <c r="AE123" s="305">
        <f t="shared" si="40"/>
        <v>0.7</v>
      </c>
      <c r="AF123" s="177">
        <f t="shared" si="41"/>
        <v>0.55220902690193363</v>
      </c>
      <c r="AG123" s="919">
        <f t="shared" si="49"/>
        <v>0</v>
      </c>
      <c r="AH123" s="176">
        <f t="shared" si="42"/>
        <v>6</v>
      </c>
      <c r="AI123" s="225">
        <f t="shared" si="43"/>
        <v>0.55220902690193363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1090">
        <f>IF(t&gt;Tmaj,'2022'!Wh/'2022'!Env_an*'2023'!Env_an,0.001*'[6]mon-tableau'!$B$56)</f>
        <v>9.5250152745295953</v>
      </c>
      <c r="C124" s="953"/>
      <c r="D124" s="393">
        <f t="shared" si="25"/>
        <v>9.9065212888445</v>
      </c>
      <c r="E124" s="385">
        <f t="shared" si="47"/>
        <v>11.149547752542048</v>
      </c>
      <c r="F124" s="385">
        <f t="shared" si="26"/>
        <v>11.149547752542048</v>
      </c>
      <c r="G124" s="110">
        <f t="shared" si="48"/>
        <v>0.19181053144184332</v>
      </c>
      <c r="H124" s="412" t="b">
        <f>Wh_hp&gt;='2022'!Maxi_hp</f>
        <v>0</v>
      </c>
      <c r="I124" s="390">
        <f>IF(H124,Wh_hp,'2022'!Maxi_hp)</f>
        <v>54.638540839726012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3.8510593496075107E-2</v>
      </c>
      <c r="M124" s="957"/>
      <c r="N124" s="957"/>
      <c r="O124" s="48">
        <f>IF(t&lt;Tnet,'2022'!Resal+('2022'!Salim-'2022'!Resal)*(1-EXP(('2022'!Tnet-t)/('2022'!Tau_j))),Resal+(Salim-Resal)*(1-EXP((Tnet-t)/(Tau_j))))*Salcycl</f>
        <v>0.11148671598936778</v>
      </c>
      <c r="P124" s="169">
        <f>(INDEX(Models!$BJ124:$BT124,,T124)*(1-R124)+INDEX(Models!$BJ124:$BT124,,T124+1)*R124-ERP_i)*Q124*Ramure*Pc/MaxiM</f>
        <v>6.65999680081904E-4</v>
      </c>
      <c r="Q124" s="305">
        <f t="shared" si="28"/>
        <v>0.7</v>
      </c>
      <c r="R124" s="177">
        <f t="shared" si="29"/>
        <v>0.55418408163060284</v>
      </c>
      <c r="S124" s="919">
        <f t="shared" si="30"/>
        <v>0</v>
      </c>
      <c r="T124" s="176">
        <f t="shared" si="31"/>
        <v>6</v>
      </c>
      <c r="U124" s="251">
        <f t="shared" si="32"/>
        <v>0.55418408163060284</v>
      </c>
      <c r="V124" s="383">
        <f t="shared" si="33"/>
        <v>49.625385769237766</v>
      </c>
      <c r="W124" s="402">
        <f t="shared" si="34"/>
        <v>9.5250152745295953</v>
      </c>
      <c r="X124" s="157">
        <f t="shared" si="35"/>
        <v>45036</v>
      </c>
      <c r="Y124" s="385">
        <f t="shared" si="36"/>
        <v>9.220528651400004</v>
      </c>
      <c r="Z124" s="385">
        <f t="shared" si="37"/>
        <v>9.5898390445369568</v>
      </c>
      <c r="AA124" s="386">
        <f t="shared" si="38"/>
        <v>11.149547752542048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0.13988986303498127</v>
      </c>
      <c r="AD124" s="231">
        <f>(INDEX(Models!$BJ124:$BT124,,AH124)*(1-AF124)+INDEX(Models!$BJ124:$BT124,,AH124+1)*AF124-ERP_i)*AE124*Ramure*Pc/MaxiM</f>
        <v>6.65999680081904E-4</v>
      </c>
      <c r="AE124" s="305">
        <f t="shared" si="40"/>
        <v>0.7</v>
      </c>
      <c r="AF124" s="177">
        <f t="shared" si="41"/>
        <v>0.55418408163060284</v>
      </c>
      <c r="AG124" s="919">
        <f t="shared" si="49"/>
        <v>0</v>
      </c>
      <c r="AH124" s="176">
        <f t="shared" si="42"/>
        <v>6</v>
      </c>
      <c r="AI124" s="225">
        <f t="shared" si="43"/>
        <v>0.55418408163060284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1090">
        <f>IF(t&gt;Tmaj,'2022'!Wh/'2022'!Env_an*'2023'!Env_an,0.001*'[6]mon-tableau'!$B$57)</f>
        <v>8.6016688899140767</v>
      </c>
      <c r="C125" s="953"/>
      <c r="D125" s="393">
        <f t="shared" si="25"/>
        <v>8.9463880043588997</v>
      </c>
      <c r="E125" s="385">
        <f t="shared" si="47"/>
        <v>10.070689571836429</v>
      </c>
      <c r="F125" s="385">
        <f t="shared" si="26"/>
        <v>10.070689571836429</v>
      </c>
      <c r="G125" s="110">
        <f t="shared" si="48"/>
        <v>0.17290317749506542</v>
      </c>
      <c r="H125" s="412" t="b">
        <f>Wh_hp&gt;='2022'!Maxi_hp</f>
        <v>0</v>
      </c>
      <c r="I125" s="390">
        <f>IF(H125,Wh_hp,'2022'!Maxi_hp)</f>
        <v>49.293646269634195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3.8531652581675124E-2</v>
      </c>
      <c r="M125" s="957"/>
      <c r="N125" s="957"/>
      <c r="O125" s="48">
        <f>IF(t&lt;Tnet,'2022'!Resal+('2022'!Salim-'2022'!Resal)*(1-EXP(('2022'!Tnet-t)/('2022'!Tau_j))),Resal+(Salim-Resal)*(1-EXP((Tnet-t)/(Tau_j))))*Salcycl</f>
        <v>0.11164097150027713</v>
      </c>
      <c r="P125" s="169">
        <f>(INDEX(Models!$BJ125:$BT125,,T125)*(1-R125)+INDEX(Models!$BJ125:$BT125,,T125+1)*R125-ERP_i)*Q125*Ramure*Pc/MaxiM</f>
        <v>7.0104893363639954E-4</v>
      </c>
      <c r="Q125" s="305">
        <f t="shared" si="28"/>
        <v>0.7</v>
      </c>
      <c r="R125" s="177">
        <f t="shared" si="29"/>
        <v>0.55622355269607593</v>
      </c>
      <c r="S125" s="919">
        <f t="shared" si="30"/>
        <v>0</v>
      </c>
      <c r="T125" s="176">
        <f t="shared" si="31"/>
        <v>6</v>
      </c>
      <c r="U125" s="251">
        <f t="shared" si="32"/>
        <v>0.55622355269607593</v>
      </c>
      <c r="V125" s="383">
        <f t="shared" si="33"/>
        <v>49.713595919060687</v>
      </c>
      <c r="W125" s="402">
        <f t="shared" si="34"/>
        <v>8.6016688899140767</v>
      </c>
      <c r="X125" s="157">
        <f t="shared" si="35"/>
        <v>45037</v>
      </c>
      <c r="Y125" s="385">
        <f t="shared" si="36"/>
        <v>8.3269906966278242</v>
      </c>
      <c r="Z125" s="385">
        <f t="shared" si="37"/>
        <v>8.6607018514826226</v>
      </c>
      <c r="AA125" s="386">
        <f t="shared" si="38"/>
        <v>10.070689571836429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0.14000905402714037</v>
      </c>
      <c r="AD125" s="231">
        <f>(INDEX(Models!$BJ125:$BT125,,AH125)*(1-AF125)+INDEX(Models!$BJ125:$BT125,,AH125+1)*AF125-ERP_i)*AE125*Ramure*Pc/MaxiM</f>
        <v>7.0104893363639954E-4</v>
      </c>
      <c r="AE125" s="305">
        <f t="shared" si="40"/>
        <v>0.7</v>
      </c>
      <c r="AF125" s="177">
        <f t="shared" si="41"/>
        <v>0.55622355269607593</v>
      </c>
      <c r="AG125" s="919">
        <f t="shared" si="49"/>
        <v>0</v>
      </c>
      <c r="AH125" s="176">
        <f t="shared" si="42"/>
        <v>6</v>
      </c>
      <c r="AI125" s="225">
        <f t="shared" si="43"/>
        <v>0.55622355269607593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1090">
        <f>IF(t&gt;Tmaj,'2022'!Wh/'2022'!Env_an*'2023'!Env_an,0.001*'[6]mon-tableau'!$B$58)</f>
        <v>26.005274968830673</v>
      </c>
      <c r="C126" s="953"/>
      <c r="D126" s="393">
        <f t="shared" si="25"/>
        <v>27.048050654395574</v>
      </c>
      <c r="E126" s="385">
        <f t="shared" si="47"/>
        <v>30.452544545778743</v>
      </c>
      <c r="F126" s="385">
        <f t="shared" si="26"/>
        <v>30.45970025693282</v>
      </c>
      <c r="G126" s="110">
        <f t="shared" si="48"/>
        <v>0.52195118796196427</v>
      </c>
      <c r="H126" s="412" t="b">
        <f>Wh_hp&gt;='2022'!Maxi_hp</f>
        <v>0</v>
      </c>
      <c r="I126" s="390">
        <f>IF(H126,Wh_hp,'2022'!Maxi_hp)</f>
        <v>60.094501166563738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3.8552711206026991E-2</v>
      </c>
      <c r="M126" s="957"/>
      <c r="N126" s="957"/>
      <c r="O126" s="48">
        <f>IF(t&lt;Tnet,'2022'!Resal+('2022'!Salim-'2022'!Resal)*(1-EXP(('2022'!Tnet-t)/('2022'!Tau_j))),Resal+(Salim-Resal)*(1-EXP((Tnet-t)/(Tau_j))))*Salcycl</f>
        <v>0.11179669686601246</v>
      </c>
      <c r="P126" s="169">
        <f>(INDEX(Models!$BJ126:$BT126,,T126)*(1-R126)+INDEX(Models!$BJ126:$BT126,,T126+1)*R126-ERP_i)*Q126*Ramure*Pc/MaxiM</f>
        <v>7.4003420529719405E-4</v>
      </c>
      <c r="Q126" s="305">
        <f t="shared" si="28"/>
        <v>0.7</v>
      </c>
      <c r="R126" s="177">
        <f t="shared" si="29"/>
        <v>0.55832883624295837</v>
      </c>
      <c r="S126" s="919">
        <f t="shared" si="30"/>
        <v>0</v>
      </c>
      <c r="T126" s="176">
        <f t="shared" si="31"/>
        <v>6</v>
      </c>
      <c r="U126" s="251">
        <f t="shared" si="32"/>
        <v>0.55832883624295837</v>
      </c>
      <c r="V126" s="383">
        <f t="shared" si="33"/>
        <v>49.798021249851409</v>
      </c>
      <c r="W126" s="402">
        <f t="shared" si="34"/>
        <v>26.005274968830673</v>
      </c>
      <c r="X126" s="157">
        <f t="shared" si="35"/>
        <v>45038</v>
      </c>
      <c r="Y126" s="385">
        <f t="shared" si="36"/>
        <v>25.175713464700397</v>
      </c>
      <c r="Z126" s="385">
        <f t="shared" si="37"/>
        <v>26.185224877258207</v>
      </c>
      <c r="AA126" s="386">
        <f t="shared" si="38"/>
        <v>30.452544545778743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0.14013015109806515</v>
      </c>
      <c r="AD126" s="231">
        <f>(INDEX(Models!$BJ126:$BT126,,AH126)*(1-AF126)+INDEX(Models!$BJ126:$BT126,,AH126+1)*AF126-ERP_i)*AE126*Ramure*Pc/MaxiM</f>
        <v>7.4003420529719405E-4</v>
      </c>
      <c r="AE126" s="305">
        <f t="shared" si="40"/>
        <v>0.7</v>
      </c>
      <c r="AF126" s="177">
        <f t="shared" si="41"/>
        <v>0.55832883624295837</v>
      </c>
      <c r="AG126" s="919">
        <f t="shared" si="49"/>
        <v>0</v>
      </c>
      <c r="AH126" s="176">
        <f t="shared" si="42"/>
        <v>6</v>
      </c>
      <c r="AI126" s="225">
        <f t="shared" si="43"/>
        <v>0.55832883624295837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1090">
        <f>IF(t&gt;Tmaj,'2022'!Wh/'2022'!Env_an*'2023'!Env_an,0.001*'[6]mon-tableau'!$B$59)</f>
        <v>8.9349101064069885</v>
      </c>
      <c r="C127" s="953"/>
      <c r="D127" s="393">
        <f t="shared" si="25"/>
        <v>9.2933912366257871</v>
      </c>
      <c r="E127" s="385">
        <f t="shared" si="47"/>
        <v>10.464987416536415</v>
      </c>
      <c r="F127" s="385">
        <f t="shared" si="26"/>
        <v>10.464987416536415</v>
      </c>
      <c r="G127" s="110">
        <f t="shared" si="48"/>
        <v>0.17899299074751049</v>
      </c>
      <c r="H127" s="412" t="b">
        <f>Wh_hp&gt;='2022'!Maxi_hp</f>
        <v>0</v>
      </c>
      <c r="I127" s="390">
        <f>IF(H127,Wh_hp,'2022'!Maxi_hp)</f>
        <v>60.511949341362161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3.8573769369141031E-2</v>
      </c>
      <c r="M127" s="957"/>
      <c r="N127" s="957"/>
      <c r="O127" s="48">
        <f>IF(t&lt;Tnet,'2022'!Resal+('2022'!Salim-'2022'!Resal)*(1-EXP(('2022'!Tnet-t)/('2022'!Tau_j))),Resal+(Salim-Resal)*(1-EXP((Tnet-t)/(Tau_j))))*Salcycl</f>
        <v>0.11195390240597054</v>
      </c>
      <c r="P127" s="169">
        <f>(INDEX(Models!$BJ127:$BT127,,T127)*(1-R127)+INDEX(Models!$BJ127:$BT127,,T127+1)*R127-ERP_i)*Q127*Ramure*Pc/MaxiM</f>
        <v>7.8301987457643453E-4</v>
      </c>
      <c r="Q127" s="305">
        <f t="shared" si="28"/>
        <v>0.7</v>
      </c>
      <c r="R127" s="177">
        <f t="shared" si="29"/>
        <v>0.56050130524699171</v>
      </c>
      <c r="S127" s="919">
        <f t="shared" si="30"/>
        <v>0</v>
      </c>
      <c r="T127" s="176">
        <f t="shared" si="31"/>
        <v>6</v>
      </c>
      <c r="U127" s="251">
        <f t="shared" si="32"/>
        <v>0.56050130524699171</v>
      </c>
      <c r="V127" s="383">
        <f t="shared" si="33"/>
        <v>49.878567070874489</v>
      </c>
      <c r="W127" s="402">
        <f t="shared" si="34"/>
        <v>8.9349101064069885</v>
      </c>
      <c r="X127" s="157">
        <f t="shared" si="35"/>
        <v>45039</v>
      </c>
      <c r="Y127" s="385">
        <f t="shared" si="36"/>
        <v>8.6501823662576012</v>
      </c>
      <c r="Z127" s="385">
        <f t="shared" si="37"/>
        <v>8.9972398200344621</v>
      </c>
      <c r="AA127" s="386">
        <f t="shared" si="38"/>
        <v>10.464987416536415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0.14025316401075344</v>
      </c>
      <c r="AD127" s="231">
        <f>(INDEX(Models!$BJ127:$BT127,,AH127)*(1-AF127)+INDEX(Models!$BJ127:$BT127,,AH127+1)*AF127-ERP_i)*AE127*Ramure*Pc/MaxiM</f>
        <v>7.8301987457643453E-4</v>
      </c>
      <c r="AE127" s="305">
        <f t="shared" si="40"/>
        <v>0.7</v>
      </c>
      <c r="AF127" s="177">
        <f t="shared" si="41"/>
        <v>0.56050130524699171</v>
      </c>
      <c r="AG127" s="919">
        <f t="shared" si="49"/>
        <v>0</v>
      </c>
      <c r="AH127" s="176">
        <f t="shared" si="42"/>
        <v>6</v>
      </c>
      <c r="AI127" s="225">
        <f t="shared" si="43"/>
        <v>0.56050130524699171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1090">
        <f>IF(t&gt;Tmaj,'2022'!Wh/'2022'!Env_an*'2023'!Env_an,0.001*'[6]mon-tableau'!$B$60)</f>
        <v>22.96525088868286</v>
      </c>
      <c r="C128" s="953"/>
      <c r="D128" s="393">
        <f t="shared" si="25"/>
        <v>23.88717216771154</v>
      </c>
      <c r="E128" s="385">
        <f t="shared" si="47"/>
        <v>26.903379931293369</v>
      </c>
      <c r="F128" s="385">
        <f t="shared" si="26"/>
        <v>26.908482381677</v>
      </c>
      <c r="G128" s="110">
        <f t="shared" si="48"/>
        <v>0.45942300434795191</v>
      </c>
      <c r="H128" s="412" t="b">
        <f>Wh_hp&gt;='2022'!Maxi_hp</f>
        <v>0</v>
      </c>
      <c r="I128" s="390">
        <f>IF(H128,Wh_hp,'2022'!Maxi_hp)</f>
        <v>59.112989516648078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3.8594827071027238E-2</v>
      </c>
      <c r="M128" s="957"/>
      <c r="N128" s="957"/>
      <c r="O128" s="48">
        <f>IF(t&lt;Tnet,'2022'!Resal+('2022'!Salim-'2022'!Resal)*(1-EXP(('2022'!Tnet-t)/('2022'!Tau_j))),Resal+(Salim-Resal)*(1-EXP((Tnet-t)/(Tau_j))))*Salcycl</f>
        <v>0.11211259593719106</v>
      </c>
      <c r="P128" s="169">
        <f>(INDEX(Models!$BJ128:$BT128,,T128)*(1-R128)+INDEX(Models!$BJ128:$BT128,,T128+1)*R128-ERP_i)*Q128*Ramure*Pc/MaxiM</f>
        <v>8.3106294786252548E-4</v>
      </c>
      <c r="Q128" s="305">
        <f t="shared" si="28"/>
        <v>0.7</v>
      </c>
      <c r="R128" s="177">
        <f t="shared" si="29"/>
        <v>0.56274230463357322</v>
      </c>
      <c r="S128" s="919">
        <f t="shared" si="30"/>
        <v>0</v>
      </c>
      <c r="T128" s="176">
        <f t="shared" si="31"/>
        <v>6</v>
      </c>
      <c r="U128" s="251">
        <f t="shared" si="32"/>
        <v>0.56274230463357322</v>
      </c>
      <c r="V128" s="383">
        <f t="shared" si="33"/>
        <v>49.955089392579666</v>
      </c>
      <c r="W128" s="402">
        <f t="shared" si="34"/>
        <v>22.96525088868286</v>
      </c>
      <c r="X128" s="157">
        <f t="shared" si="35"/>
        <v>45040</v>
      </c>
      <c r="Y128" s="385">
        <f t="shared" si="36"/>
        <v>22.234162267166329</v>
      </c>
      <c r="Z128" s="385">
        <f t="shared" si="37"/>
        <v>23.126734589360233</v>
      </c>
      <c r="AA128" s="386">
        <f t="shared" si="38"/>
        <v>26.903379931293369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0.14037809939041276</v>
      </c>
      <c r="AD128" s="231">
        <f>(INDEX(Models!$BJ128:$BT128,,AH128)*(1-AF128)+INDEX(Models!$BJ128:$BT128,,AH128+1)*AF128-ERP_i)*AE128*Ramure*Pc/MaxiM</f>
        <v>8.3106294786252548E-4</v>
      </c>
      <c r="AE128" s="305">
        <f t="shared" si="40"/>
        <v>0.7</v>
      </c>
      <c r="AF128" s="177">
        <f t="shared" si="41"/>
        <v>0.56274230463357322</v>
      </c>
      <c r="AG128" s="919">
        <f t="shared" si="49"/>
        <v>0</v>
      </c>
      <c r="AH128" s="176">
        <f t="shared" si="42"/>
        <v>6</v>
      </c>
      <c r="AI128" s="225">
        <f t="shared" si="43"/>
        <v>0.56274230463357322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1090">
        <f>IF(t&gt;Tmaj,'2022'!Wh/'2022'!Env_an*'2023'!Env_an,0.001*'[6]mon-tableau'!$B$61)</f>
        <v>43.551686930447481</v>
      </c>
      <c r="C129" s="953"/>
      <c r="D129" s="393">
        <f t="shared" si="25"/>
        <v>45.301026114069494</v>
      </c>
      <c r="E129" s="385">
        <f t="shared" si="47"/>
        <v>51.030344940812263</v>
      </c>
      <c r="F129" s="385">
        <f t="shared" si="26"/>
        <v>51.067074231600586</v>
      </c>
      <c r="G129" s="110">
        <f t="shared" si="48"/>
        <v>0.87041130070692507</v>
      </c>
      <c r="H129" s="412" t="b">
        <f>Wh_hp&gt;='2022'!Maxi_hp</f>
        <v>0</v>
      </c>
      <c r="I129" s="390">
        <f>IF(H129,Wh_hp,'2022'!Maxi_hp)</f>
        <v>55.415664195239167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3.8615884311695714E-2</v>
      </c>
      <c r="M129" s="957"/>
      <c r="N129" s="957"/>
      <c r="O129" s="48">
        <f>IF(t&lt;Tnet,'2022'!Resal+('2022'!Salim-'2022'!Resal)*(1-EXP(('2022'!Tnet-t)/('2022'!Tau_j))),Resal+(Salim-Resal)*(1-EXP((Tnet-t)/(Tau_j))))*Salcycl</f>
        <v>0.11227278266270665</v>
      </c>
      <c r="P129" s="169">
        <f>(INDEX(Models!$BJ129:$BT129,,T129)*(1-R129)+INDEX(Models!$BJ129:$BT129,,T129+1)*R129-ERP_i)*Q129*Ramure*Pc/MaxiM</f>
        <v>8.8241577398740748E-4</v>
      </c>
      <c r="Q129" s="305">
        <f t="shared" si="28"/>
        <v>0.7</v>
      </c>
      <c r="R129" s="177">
        <f t="shared" si="29"/>
        <v>0.56505314613853908</v>
      </c>
      <c r="S129" s="919">
        <f t="shared" si="30"/>
        <v>0</v>
      </c>
      <c r="T129" s="176">
        <f t="shared" si="31"/>
        <v>6</v>
      </c>
      <c r="U129" s="251">
        <f t="shared" si="32"/>
        <v>0.56505314613853908</v>
      </c>
      <c r="V129" s="383">
        <f t="shared" si="33"/>
        <v>50.027584701943802</v>
      </c>
      <c r="W129" s="402">
        <f t="shared" si="34"/>
        <v>43.551686930447481</v>
      </c>
      <c r="X129" s="157">
        <f t="shared" si="35"/>
        <v>45041</v>
      </c>
      <c r="Y129" s="385">
        <f t="shared" si="36"/>
        <v>42.166622970965633</v>
      </c>
      <c r="Z129" s="385">
        <f t="shared" si="37"/>
        <v>43.860328335856039</v>
      </c>
      <c r="AA129" s="386">
        <f t="shared" si="38"/>
        <v>51.030344940812263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0.14050496059300385</v>
      </c>
      <c r="AD129" s="231">
        <f>(INDEX(Models!$BJ129:$BT129,,AH129)*(1-AF129)+INDEX(Models!$BJ129:$BT129,,AH129+1)*AF129-ERP_i)*AE129*Ramure*Pc/MaxiM</f>
        <v>8.8241577398740748E-4</v>
      </c>
      <c r="AE129" s="305">
        <f t="shared" si="40"/>
        <v>0.7</v>
      </c>
      <c r="AF129" s="177">
        <f t="shared" si="41"/>
        <v>0.56505314613853908</v>
      </c>
      <c r="AG129" s="919">
        <f t="shared" si="49"/>
        <v>0</v>
      </c>
      <c r="AH129" s="176">
        <f t="shared" si="42"/>
        <v>6</v>
      </c>
      <c r="AI129" s="225">
        <f t="shared" si="43"/>
        <v>0.56505314613853908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1090">
        <f>IF(t&gt;Tmaj,'2022'!Wh/'2022'!Env_an*'2023'!Env_an,0.001*'[6]mon-tableau'!$B$62)</f>
        <v>48.703968039607936</v>
      </c>
      <c r="C130" s="953"/>
      <c r="D130" s="393">
        <f t="shared" si="25"/>
        <v>50.661368343908933</v>
      </c>
      <c r="E130" s="385">
        <f t="shared" si="47"/>
        <v>57.079017097276541</v>
      </c>
      <c r="F130" s="385">
        <f t="shared" si="26"/>
        <v>57.130431575102016</v>
      </c>
      <c r="G130" s="110">
        <f t="shared" si="48"/>
        <v>0.97217730517850842</v>
      </c>
      <c r="H130" s="412" t="b">
        <f>Wh_hp&gt;='2022'!Maxi_hp</f>
        <v>0</v>
      </c>
      <c r="I130" s="390">
        <f>IF(H130,Wh_hp,'2022'!Maxi_hp)</f>
        <v>57.131017764078706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3.8636941091156562E-2</v>
      </c>
      <c r="M130" s="957"/>
      <c r="N130" s="957"/>
      <c r="O130" s="48">
        <f>IF(t&lt;Tnet,'2022'!Resal+('2022'!Salim-'2022'!Resal)*(1-EXP(('2022'!Tnet-t)/('2022'!Tau_j))),Resal+(Salim-Resal)*(1-EXP((Tnet-t)/(Tau_j))))*Salcycl</f>
        <v>0.11243446505798051</v>
      </c>
      <c r="P130" s="169">
        <f>(INDEX(Models!$BJ130:$BT130,,T130)*(1-R130)+INDEX(Models!$BJ130:$BT130,,T130+1)*R130-ERP_i)*Q130*Ramure*Pc/MaxiM</f>
        <v>9.3714918479277285E-4</v>
      </c>
      <c r="Q130" s="305">
        <f t="shared" si="28"/>
        <v>0.7</v>
      </c>
      <c r="R130" s="177">
        <f t="shared" si="29"/>
        <v>0.56743510291639798</v>
      </c>
      <c r="S130" s="919">
        <f t="shared" si="30"/>
        <v>0</v>
      </c>
      <c r="T130" s="176">
        <f t="shared" si="31"/>
        <v>6</v>
      </c>
      <c r="U130" s="251">
        <f t="shared" si="32"/>
        <v>0.56743510291639798</v>
      </c>
      <c r="V130" s="383">
        <f t="shared" si="33"/>
        <v>50.095959198175009</v>
      </c>
      <c r="W130" s="402">
        <f t="shared" si="34"/>
        <v>48.703968039607936</v>
      </c>
      <c r="X130" s="157">
        <f t="shared" si="35"/>
        <v>45042</v>
      </c>
      <c r="Y130" s="385">
        <f t="shared" si="36"/>
        <v>47.156570241675439</v>
      </c>
      <c r="Z130" s="385">
        <f t="shared" si="37"/>
        <v>49.051781015175067</v>
      </c>
      <c r="AA130" s="386">
        <f t="shared" si="38"/>
        <v>57.079017097276541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0.14063374757174102</v>
      </c>
      <c r="AD130" s="231">
        <f>(INDEX(Models!$BJ130:$BT130,,AH130)*(1-AF130)+INDEX(Models!$BJ130:$BT130,,AH130+1)*AF130-ERP_i)*AE130*Ramure*Pc/MaxiM</f>
        <v>9.3714918479277285E-4</v>
      </c>
      <c r="AE130" s="305">
        <f t="shared" si="40"/>
        <v>0.7</v>
      </c>
      <c r="AF130" s="177">
        <f t="shared" si="41"/>
        <v>0.56743510291639798</v>
      </c>
      <c r="AG130" s="919">
        <f t="shared" si="49"/>
        <v>0</v>
      </c>
      <c r="AH130" s="176">
        <f t="shared" si="42"/>
        <v>6</v>
      </c>
      <c r="AI130" s="225">
        <f t="shared" si="43"/>
        <v>0.56743510291639798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1090">
        <f>IF(t&gt;Tmaj,'2022'!Wh/'2022'!Env_an*'2023'!Env_an,0.001*'[6]mon-tableau'!$B$63)</f>
        <v>35.896369846338374</v>
      </c>
      <c r="C131" s="953"/>
      <c r="D131" s="393">
        <f t="shared" si="25"/>
        <v>37.339853818522954</v>
      </c>
      <c r="E131" s="385">
        <f t="shared" si="47"/>
        <v>42.077704114392517</v>
      </c>
      <c r="F131" s="385">
        <f t="shared" si="26"/>
        <v>42.10258663024036</v>
      </c>
      <c r="G131" s="110">
        <f t="shared" si="48"/>
        <v>0.71534612457601343</v>
      </c>
      <c r="H131" s="412" t="b">
        <f>Wh_hp&gt;='2022'!Maxi_hp</f>
        <v>0</v>
      </c>
      <c r="I131" s="390">
        <f>IF(H131,Wh_hp,'2022'!Maxi_hp)</f>
        <v>42.107137345692962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3.8657997409419886E-2</v>
      </c>
      <c r="M131" s="957"/>
      <c r="N131" s="957"/>
      <c r="O131" s="48">
        <f>IF(t&lt;Tnet,'2022'!Resal+('2022'!Salim-'2022'!Resal)*(1-EXP(('2022'!Tnet-t)/('2022'!Tau_j))),Resal+(Salim-Resal)*(1-EXP((Tnet-t)/(Tau_j))))*Salcycl</f>
        <v>0.11259764275610751</v>
      </c>
      <c r="P131" s="169">
        <f>(INDEX(Models!$BJ131:$BT131,,T131)*(1-R131)+INDEX(Models!$BJ131:$BT131,,T131+1)*R131-ERP_i)*Q131*Ramure*Pc/MaxiM</f>
        <v>9.9533838638784611E-4</v>
      </c>
      <c r="Q131" s="305">
        <f t="shared" si="28"/>
        <v>0.7</v>
      </c>
      <c r="R131" s="177">
        <f t="shared" si="29"/>
        <v>0.56988940390353293</v>
      </c>
      <c r="S131" s="919">
        <f t="shared" si="30"/>
        <v>0</v>
      </c>
      <c r="T131" s="176">
        <f t="shared" si="31"/>
        <v>6</v>
      </c>
      <c r="U131" s="251">
        <f t="shared" si="32"/>
        <v>0.56988940390353293</v>
      </c>
      <c r="V131" s="383">
        <f t="shared" si="33"/>
        <v>50.160119212358843</v>
      </c>
      <c r="W131" s="402">
        <f t="shared" si="34"/>
        <v>35.896369846338374</v>
      </c>
      <c r="X131" s="157">
        <f t="shared" si="35"/>
        <v>45043</v>
      </c>
      <c r="Y131" s="385">
        <f t="shared" si="36"/>
        <v>34.756992241589636</v>
      </c>
      <c r="Z131" s="385">
        <f t="shared" si="37"/>
        <v>36.154658953762649</v>
      </c>
      <c r="AA131" s="386">
        <f t="shared" si="38"/>
        <v>42.077704114392517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0.14076445674239893</v>
      </c>
      <c r="AD131" s="231">
        <f>(INDEX(Models!$BJ131:$BT131,,AH131)*(1-AF131)+INDEX(Models!$BJ131:$BT131,,AH131+1)*AF131-ERP_i)*AE131*Ramure*Pc/MaxiM</f>
        <v>9.9533838638784611E-4</v>
      </c>
      <c r="AE131" s="305">
        <f t="shared" si="40"/>
        <v>0.7</v>
      </c>
      <c r="AF131" s="177">
        <f t="shared" si="41"/>
        <v>0.56988940390353293</v>
      </c>
      <c r="AG131" s="919">
        <f t="shared" si="49"/>
        <v>0</v>
      </c>
      <c r="AH131" s="176">
        <f t="shared" si="42"/>
        <v>6</v>
      </c>
      <c r="AI131" s="225">
        <f t="shared" si="43"/>
        <v>0.56988940390353293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1090">
        <f>IF(t&gt;Tmaj,'2022'!Wh/'2022'!Env_an*'2023'!Env_an,0.001*'[6]mon-tableau'!$B$64)</f>
        <v>19.303668675651831</v>
      </c>
      <c r="C132" s="953"/>
      <c r="D132" s="393">
        <f t="shared" si="25"/>
        <v>20.080357908817273</v>
      </c>
      <c r="E132" s="385">
        <f t="shared" si="47"/>
        <v>22.632444710359646</v>
      </c>
      <c r="F132" s="385">
        <f t="shared" si="26"/>
        <v>22.635329014469765</v>
      </c>
      <c r="G132" s="110">
        <f t="shared" si="48"/>
        <v>0.38402493061721105</v>
      </c>
      <c r="H132" s="412" t="b">
        <f>Wh_hp&gt;='2022'!Maxi_hp</f>
        <v>0</v>
      </c>
      <c r="I132" s="390">
        <f>IF(H132,Wh_hp,'2022'!Maxi_hp)</f>
        <v>44.927139058198264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3.8679053266495789E-2</v>
      </c>
      <c r="M132" s="957"/>
      <c r="N132" s="957"/>
      <c r="O132" s="48">
        <f>IF(t&lt;Tnet,'2022'!Resal+('2022'!Salim-'2022'!Resal)*(1-EXP(('2022'!Tnet-t)/('2022'!Tau_j))),Resal+(Salim-Resal)*(1-EXP((Tnet-t)/(Tau_j))))*Salcycl</f>
        <v>0.11276231243256703</v>
      </c>
      <c r="P132" s="169">
        <f>(INDEX(Models!$BJ132:$BT132,,T132)*(1-R132)+INDEX(Models!$BJ132:$BT132,,T132+1)*R132-ERP_i)*Q132*Ramure*Pc/MaxiM</f>
        <v>1.0570629565339802E-3</v>
      </c>
      <c r="Q132" s="305">
        <f t="shared" si="28"/>
        <v>0.7</v>
      </c>
      <c r="R132" s="177">
        <f t="shared" si="29"/>
        <v>0.57241722794641026</v>
      </c>
      <c r="S132" s="919">
        <f t="shared" si="30"/>
        <v>0</v>
      </c>
      <c r="T132" s="176">
        <f t="shared" si="31"/>
        <v>6</v>
      </c>
      <c r="U132" s="251">
        <f t="shared" si="32"/>
        <v>0.57241722794641026</v>
      </c>
      <c r="V132" s="383">
        <f t="shared" si="33"/>
        <v>50.219971219773335</v>
      </c>
      <c r="W132" s="402">
        <f t="shared" si="34"/>
        <v>19.303668675651831</v>
      </c>
      <c r="X132" s="157">
        <f t="shared" si="35"/>
        <v>45044</v>
      </c>
      <c r="Y132" s="385">
        <f t="shared" si="36"/>
        <v>18.691539304485573</v>
      </c>
      <c r="Z132" s="385">
        <f t="shared" si="37"/>
        <v>19.4435993182069</v>
      </c>
      <c r="AA132" s="386">
        <f t="shared" si="38"/>
        <v>22.632444710359646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0.14089708084841152</v>
      </c>
      <c r="AD132" s="231">
        <f>(INDEX(Models!$BJ132:$BT132,,AH132)*(1-AF132)+INDEX(Models!$BJ132:$BT132,,AH132+1)*AF132-ERP_i)*AE132*Ramure*Pc/MaxiM</f>
        <v>1.0570629565339802E-3</v>
      </c>
      <c r="AE132" s="305">
        <f t="shared" si="40"/>
        <v>0.7</v>
      </c>
      <c r="AF132" s="177">
        <f t="shared" si="41"/>
        <v>0.57241722794641026</v>
      </c>
      <c r="AG132" s="919">
        <f t="shared" si="49"/>
        <v>0</v>
      </c>
      <c r="AH132" s="176">
        <f t="shared" si="42"/>
        <v>6</v>
      </c>
      <c r="AI132" s="225">
        <f t="shared" si="43"/>
        <v>0.57241722794641026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1090">
        <f>IF(t&gt;Tmaj,'2022'!Wh/'2022'!Env_an*'2023'!Env_an,0.001*'[6]mon-tableau'!$B$65)</f>
        <v>39.075934261396377</v>
      </c>
      <c r="C133" s="953"/>
      <c r="D133" s="393">
        <f t="shared" si="25"/>
        <v>40.649057191740624</v>
      </c>
      <c r="E133" s="385">
        <f t="shared" si="47"/>
        <v>45.823877456541446</v>
      </c>
      <c r="F133" s="385">
        <f t="shared" si="26"/>
        <v>45.858969685581222</v>
      </c>
      <c r="G133" s="110">
        <f t="shared" si="48"/>
        <v>0.77695949123147878</v>
      </c>
      <c r="H133" s="412" t="b">
        <f>Wh_hp&gt;='2022'!Maxi_hp</f>
        <v>0</v>
      </c>
      <c r="I133" s="390">
        <f>IF(H133,Wh_hp,'2022'!Maxi_hp)</f>
        <v>53.012856919854819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3.8700108662394483E-2</v>
      </c>
      <c r="M133" s="957"/>
      <c r="N133" s="957"/>
      <c r="O133" s="48">
        <f>IF(t&lt;Tnet,'2022'!Resal+('2022'!Salim-'2022'!Resal)*(1-EXP(('2022'!Tnet-t)/('2022'!Tau_j))),Resal+(Salim-Resal)*(1-EXP((Tnet-t)/(Tau_j))))*Salcycl</f>
        <v>0.11292846769042036</v>
      </c>
      <c r="P133" s="169">
        <f>(INDEX(Models!$BJ133:$BT133,,T133)*(1-R133)+INDEX(Models!$BJ133:$BT133,,T133+1)*R133-ERP_i)*Q133*Ramure*Pc/MaxiM</f>
        <v>1.122406832616038E-3</v>
      </c>
      <c r="Q133" s="305">
        <f t="shared" si="28"/>
        <v>0.7</v>
      </c>
      <c r="R133" s="177">
        <f t="shared" si="29"/>
        <v>0.57501969770754235</v>
      </c>
      <c r="S133" s="919">
        <f t="shared" si="30"/>
        <v>0</v>
      </c>
      <c r="T133" s="176">
        <f t="shared" si="31"/>
        <v>6</v>
      </c>
      <c r="U133" s="251">
        <f t="shared" si="32"/>
        <v>0.57501969770754235</v>
      </c>
      <c r="V133" s="383">
        <f t="shared" si="33"/>
        <v>50.27542185720953</v>
      </c>
      <c r="W133" s="402">
        <f t="shared" si="34"/>
        <v>39.075934261396377</v>
      </c>
      <c r="X133" s="157">
        <f t="shared" si="35"/>
        <v>45045</v>
      </c>
      <c r="Y133" s="385">
        <f t="shared" si="36"/>
        <v>37.837977168209385</v>
      </c>
      <c r="Z133" s="385">
        <f t="shared" si="37"/>
        <v>39.361262296159779</v>
      </c>
      <c r="AA133" s="386">
        <f t="shared" si="38"/>
        <v>45.823877456541446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0.14103160882687626</v>
      </c>
      <c r="AD133" s="231">
        <f>(INDEX(Models!$BJ133:$BT133,,AH133)*(1-AF133)+INDEX(Models!$BJ133:$BT133,,AH133+1)*AF133-ERP_i)*AE133*Ramure*Pc/MaxiM</f>
        <v>1.122406832616038E-3</v>
      </c>
      <c r="AE133" s="305">
        <f t="shared" si="40"/>
        <v>0.7</v>
      </c>
      <c r="AF133" s="177">
        <f t="shared" si="41"/>
        <v>0.57501969770754235</v>
      </c>
      <c r="AG133" s="919">
        <f t="shared" si="49"/>
        <v>0</v>
      </c>
      <c r="AH133" s="176">
        <f t="shared" si="42"/>
        <v>6</v>
      </c>
      <c r="AI133" s="225">
        <f t="shared" si="43"/>
        <v>0.57501969770754235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1090">
        <f>IF(t&gt;Tmaj,'2022'!Wh/'2022'!Env_an*'2023'!Env_an,0.001*'[6]mon-tableau'!$B$66)</f>
        <v>42.61006518674256</v>
      </c>
      <c r="C134" s="953"/>
      <c r="D134" s="393">
        <f t="shared" si="25"/>
        <v>44.326436381550153</v>
      </c>
      <c r="E134" s="385">
        <f t="shared" si="47"/>
        <v>44.687894876472008</v>
      </c>
      <c r="F134" s="385">
        <f t="shared" si="26"/>
        <v>44.722685732286941</v>
      </c>
      <c r="G134" s="110">
        <f t="shared" si="48"/>
        <v>0.75672903100316313</v>
      </c>
      <c r="H134" s="412" t="b">
        <f>Wh_hp&gt;='2022'!Maxi_hp</f>
        <v>0</v>
      </c>
      <c r="I134" s="390">
        <f>IF(H134,Wh_hp,'2022'!Maxi_hp)</f>
        <v>59.629748537925202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3.8721163597125852E-2</v>
      </c>
      <c r="M134" s="957"/>
      <c r="N134" s="957"/>
      <c r="O134" s="48">
        <f>IF(t&lt;Tnet,'2022'!Resal+('2022'!Salim-'2022'!Resal)*(1-EXP(('2022'!Tnet-t)/('2022'!Tau_j))),Resal+(Salim-Resal)*(1-EXP((Tnet-t)/(Tau_j))))*Salcycl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1.191458289958596E-3</v>
      </c>
      <c r="Q134" s="305">
        <f t="shared" si="28"/>
        <v>0.7</v>
      </c>
      <c r="R134" s="177">
        <f t="shared" si="29"/>
        <v>0.57769787336482148</v>
      </c>
      <c r="S134" s="919">
        <f t="shared" si="30"/>
        <v>0</v>
      </c>
      <c r="T134" s="176">
        <f t="shared" si="31"/>
        <v>6</v>
      </c>
      <c r="U134" s="251">
        <f t="shared" si="32"/>
        <v>0.57769787336482148</v>
      </c>
      <c r="V134" s="383">
        <f t="shared" si="33"/>
        <v>56.284917064653975</v>
      </c>
      <c r="W134" s="402">
        <f t="shared" si="34"/>
        <v>42.61006518674256</v>
      </c>
      <c r="X134" s="157">
        <f t="shared" si="35"/>
        <v>45046</v>
      </c>
      <c r="Y134" s="385">
        <f t="shared" si="36"/>
        <v>38.099198797523421</v>
      </c>
      <c r="Z134" s="385">
        <f t="shared" si="37"/>
        <v>39.633868295791714</v>
      </c>
      <c r="AA134" s="386">
        <f t="shared" si="38"/>
        <v>44.687894876472008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0.11309609894694805</v>
      </c>
      <c r="AD134" s="231">
        <f>(INDEX(Models!$BJ134:$BT134,,AH134)*(1-AF134)+INDEX(Models!$BJ134:$BT134,,AH134+1)*AF134-ERP_i)*AE134*Ramure*Pc/MaxiM</f>
        <v>1.191458289958596E-3</v>
      </c>
      <c r="AE134" s="305">
        <f t="shared" si="40"/>
        <v>0.7</v>
      </c>
      <c r="AF134" s="177">
        <f t="shared" si="41"/>
        <v>0.57769787336482148</v>
      </c>
      <c r="AG134" s="919">
        <f t="shared" si="49"/>
        <v>0</v>
      </c>
      <c r="AH134" s="176">
        <f t="shared" si="42"/>
        <v>6</v>
      </c>
      <c r="AI134" s="225">
        <f t="shared" si="43"/>
        <v>0.57769787336482148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1090">
        <f>IF(t&gt;Tmaj,'2022'!Wh/'2022'!Env_an*'2023'!Env_an,0.001*[7]mois!$B$38)</f>
        <v>47.692166276736721</v>
      </c>
      <c r="C135" s="953"/>
      <c r="D135" s="393">
        <f t="shared" si="25"/>
        <v>49.614335689450328</v>
      </c>
      <c r="E135" s="385">
        <f t="shared" si="47"/>
        <v>50.026308408583418</v>
      </c>
      <c r="F135" s="385">
        <f t="shared" si="26"/>
        <v>50.075738998864416</v>
      </c>
      <c r="G135" s="110">
        <f t="shared" si="48"/>
        <v>0.84628977318356235</v>
      </c>
      <c r="H135" s="412" t="b">
        <f>Wh_hp&gt;='2022'!Maxi_hp</f>
        <v>0</v>
      </c>
      <c r="I135" s="390">
        <f>IF(H135,Wh_hp,'2022'!Maxi_hp)</f>
        <v>57.486763345827086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3.8742218070700218E-2</v>
      </c>
      <c r="M135" s="957"/>
      <c r="N135" s="957"/>
      <c r="O135" s="48">
        <f>IF(t&lt;Tnet,'2022'!Resal+('2022'!Salim-'2022'!Resal)*(1-EXP(('2022'!Tnet-t)/('2022'!Tau_j))),Resal+(Salim-Resal)*(1-EXP((Tnet-t)/(Tau_j))))*Salcycl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1.2643191141452844E-3</v>
      </c>
      <c r="Q135" s="305">
        <f t="shared" si="28"/>
        <v>0.7</v>
      </c>
      <c r="R135" s="177">
        <f t="shared" si="29"/>
        <v>0.58045274612288145</v>
      </c>
      <c r="S135" s="919">
        <f t="shared" si="30"/>
        <v>0</v>
      </c>
      <c r="T135" s="176">
        <f t="shared" si="31"/>
        <v>6</v>
      </c>
      <c r="U135" s="251">
        <f t="shared" si="32"/>
        <v>0.58045274612288145</v>
      </c>
      <c r="V135" s="383">
        <f t="shared" si="33"/>
        <v>56.338779379571427</v>
      </c>
      <c r="W135" s="402">
        <f t="shared" si="34"/>
        <v>47.692166276736721</v>
      </c>
      <c r="X135" s="157">
        <f t="shared" si="35"/>
        <v>45047</v>
      </c>
      <c r="Y135" s="385">
        <f t="shared" si="36"/>
        <v>42.645338750542763</v>
      </c>
      <c r="Z135" s="385">
        <f t="shared" si="37"/>
        <v>44.36410248346818</v>
      </c>
      <c r="AA135" s="386">
        <f t="shared" si="38"/>
        <v>50.026308408583418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0.11318456438700024</v>
      </c>
      <c r="AD135" s="231">
        <f>(INDEX(Models!$BJ135:$BT135,,AH135)*(1-AF135)+INDEX(Models!$BJ135:$BT135,,AH135+1)*AF135-ERP_i)*AE135*Ramure*Pc/MaxiM</f>
        <v>1.2643191141452844E-3</v>
      </c>
      <c r="AE135" s="305">
        <f t="shared" si="40"/>
        <v>0.7</v>
      </c>
      <c r="AF135" s="177">
        <f t="shared" si="41"/>
        <v>0.58045274612288145</v>
      </c>
      <c r="AG135" s="919">
        <f t="shared" si="49"/>
        <v>0</v>
      </c>
      <c r="AH135" s="176">
        <f t="shared" si="42"/>
        <v>6</v>
      </c>
      <c r="AI135" s="225">
        <f t="shared" si="43"/>
        <v>0.58045274612288145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1090">
        <f>IF(t&gt;Tmaj,'2022'!Wh/'2022'!Env_an*'2023'!Env_an,0.001*[7]mois!$B$39)</f>
        <v>27.935354045942464</v>
      </c>
      <c r="C136" s="953"/>
      <c r="D136" s="393">
        <f t="shared" si="25"/>
        <v>29.061887914418424</v>
      </c>
      <c r="E136" s="385">
        <f t="shared" si="47"/>
        <v>29.307538968071619</v>
      </c>
      <c r="F136" s="385">
        <f t="shared" si="26"/>
        <v>29.318523629621602</v>
      </c>
      <c r="G136" s="110">
        <f t="shared" si="48"/>
        <v>0.49494335314583293</v>
      </c>
      <c r="H136" s="412" t="b">
        <f>Wh_hp&gt;='2022'!Maxi_hp</f>
        <v>0</v>
      </c>
      <c r="I136" s="390">
        <f>IF(H136,Wh_hp,'2022'!Maxi_hp)</f>
        <v>52.039309618554178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3.8763272083127576E-2</v>
      </c>
      <c r="M136" s="957"/>
      <c r="N136" s="957"/>
      <c r="O136" s="48">
        <f>IF(t&lt;Tnet,'2022'!Resal+('2022'!Salim-'2022'!Resal)*(1-EXP(('2022'!Tnet-t)/('2022'!Tau_j))),Resal+(Salim-Resal)*(1-EXP((Tnet-t)/(Tau_j))))*Salcycl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1.3420460044442318E-3</v>
      </c>
      <c r="Q136" s="305">
        <f t="shared" si="28"/>
        <v>0.7</v>
      </c>
      <c r="R136" s="177">
        <f t="shared" si="29"/>
        <v>0.58328523155831657</v>
      </c>
      <c r="S136" s="919">
        <f t="shared" si="30"/>
        <v>0</v>
      </c>
      <c r="T136" s="176">
        <f t="shared" si="31"/>
        <v>6</v>
      </c>
      <c r="U136" s="251">
        <f t="shared" si="32"/>
        <v>0.58328523155831657</v>
      </c>
      <c r="V136" s="383">
        <f t="shared" si="33"/>
        <v>56.386896892430642</v>
      </c>
      <c r="W136" s="402">
        <f t="shared" si="34"/>
        <v>27.935354045942464</v>
      </c>
      <c r="X136" s="157">
        <f t="shared" si="35"/>
        <v>45048</v>
      </c>
      <c r="Y136" s="385">
        <f t="shared" si="36"/>
        <v>24.980371151153768</v>
      </c>
      <c r="Z136" s="385">
        <f t="shared" si="37"/>
        <v>25.987741027425731</v>
      </c>
      <c r="AA136" s="386">
        <f t="shared" si="38"/>
        <v>29.307538968071619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0.113274538140598</v>
      </c>
      <c r="AD136" s="231">
        <f>(INDEX(Models!$BJ136:$BT136,,AH136)*(1-AF136)+INDEX(Models!$BJ136:$BT136,,AH136+1)*AF136-ERP_i)*AE136*Ramure*Pc/MaxiM</f>
        <v>1.3420460044442318E-3</v>
      </c>
      <c r="AE136" s="305">
        <f t="shared" si="40"/>
        <v>0.7</v>
      </c>
      <c r="AF136" s="177">
        <f t="shared" si="41"/>
        <v>0.58328523155831657</v>
      </c>
      <c r="AG136" s="919">
        <f t="shared" si="49"/>
        <v>0</v>
      </c>
      <c r="AH136" s="176">
        <f t="shared" si="42"/>
        <v>6</v>
      </c>
      <c r="AI136" s="225">
        <f t="shared" si="43"/>
        <v>0.58328523155831657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1090">
        <f>IF(t&gt;Tmaj,'2022'!Wh/'2022'!Env_an*'2023'!Env_an,0.001*[7]mois!$B$40)</f>
        <v>31.904694129518024</v>
      </c>
      <c r="C137" s="953"/>
      <c r="D137" s="393">
        <f t="shared" si="25"/>
        <v>33.192024412809999</v>
      </c>
      <c r="E137" s="385">
        <f t="shared" si="47"/>
        <v>33.477543165591804</v>
      </c>
      <c r="F137" s="385">
        <f t="shared" si="26"/>
        <v>33.495612942026085</v>
      </c>
      <c r="G137" s="110">
        <f t="shared" si="48"/>
        <v>0.56488879924562618</v>
      </c>
      <c r="H137" s="412" t="b">
        <f>Wh_hp&gt;='2022'!Maxi_hp</f>
        <v>0</v>
      </c>
      <c r="I137" s="390">
        <f>IF(H137,Wh_hp,'2022'!Maxi_hp)</f>
        <v>59.632265422182535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3.8784325634417915E-2</v>
      </c>
      <c r="M137" s="957"/>
      <c r="N137" s="957"/>
      <c r="O137" s="48">
        <f>IF(t&lt;Tnet,'2022'!Resal+('2022'!Salim-'2022'!Resal)*(1-EXP(('2022'!Tnet-t)/('2022'!Tau_j))),Resal+(Salim-Resal)*(1-EXP((Tnet-t)/(Tau_j))))*Salcycl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1.4229206637713287E-3</v>
      </c>
      <c r="Q137" s="305">
        <f t="shared" si="28"/>
        <v>0.7</v>
      </c>
      <c r="R137" s="177">
        <f t="shared" si="29"/>
        <v>0.58619616282388032</v>
      </c>
      <c r="S137" s="919">
        <f t="shared" si="30"/>
        <v>0</v>
      </c>
      <c r="T137" s="176">
        <f t="shared" si="31"/>
        <v>6</v>
      </c>
      <c r="U137" s="251">
        <f t="shared" si="32"/>
        <v>0.58619616282388032</v>
      </c>
      <c r="V137" s="383">
        <f t="shared" si="33"/>
        <v>56.429677200264038</v>
      </c>
      <c r="W137" s="402">
        <f t="shared" si="34"/>
        <v>31.904694129518024</v>
      </c>
      <c r="X137" s="157">
        <f t="shared" si="35"/>
        <v>45049</v>
      </c>
      <c r="Y137" s="385">
        <f t="shared" si="36"/>
        <v>28.531119021248912</v>
      </c>
      <c r="Z137" s="385">
        <f t="shared" si="37"/>
        <v>29.682328099861575</v>
      </c>
      <c r="AA137" s="386">
        <f t="shared" si="38"/>
        <v>33.477543165591804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0.11336599722858247</v>
      </c>
      <c r="AD137" s="231">
        <f>(INDEX(Models!$BJ137:$BT137,,AH137)*(1-AF137)+INDEX(Models!$BJ137:$BT137,,AH137+1)*AF137-ERP_i)*AE137*Ramure*Pc/MaxiM</f>
        <v>1.4229206637713287E-3</v>
      </c>
      <c r="AE137" s="305">
        <f t="shared" si="40"/>
        <v>0.7</v>
      </c>
      <c r="AF137" s="177">
        <f t="shared" si="41"/>
        <v>0.58619616282388032</v>
      </c>
      <c r="AG137" s="919">
        <f t="shared" si="49"/>
        <v>0</v>
      </c>
      <c r="AH137" s="176">
        <f t="shared" si="42"/>
        <v>6</v>
      </c>
      <c r="AI137" s="225">
        <f t="shared" si="43"/>
        <v>0.58619616282388032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1090">
        <f>IF(t&gt;Tmaj,'2022'!Wh/'2022'!Env_an*'2023'!Env_an,0.001*[7]mois!$B$41)</f>
        <v>18.816888671740546</v>
      </c>
      <c r="C138" s="953"/>
      <c r="D138" s="393">
        <f t="shared" si="25"/>
        <v>19.576564678204541</v>
      </c>
      <c r="E138" s="385">
        <f t="shared" si="47"/>
        <v>19.747889565692418</v>
      </c>
      <c r="F138" s="385">
        <f t="shared" si="26"/>
        <v>19.749302628568568</v>
      </c>
      <c r="G138" s="110">
        <f t="shared" si="48"/>
        <v>0.3327560119832873</v>
      </c>
      <c r="H138" s="412" t="b">
        <f>Wh_hp&gt;='2022'!Maxi_hp</f>
        <v>0</v>
      </c>
      <c r="I138" s="390">
        <f>IF(H138,Wh_hp,'2022'!Maxi_hp)</f>
        <v>56.02715044671482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3.8805378724581563E-2</v>
      </c>
      <c r="M138" s="957"/>
      <c r="N138" s="957"/>
      <c r="O138" s="48">
        <f>IF(t&lt;Tnet,'2022'!Resal+('2022'!Salim-'2022'!Resal)*(1-EXP(('2022'!Tnet-t)/('2022'!Tau_j))),Resal+(Salim-Resal)*(1-EXP((Tnet-t)/(Tau_j))))*Salcycl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1.5070233481488012E-3</v>
      </c>
      <c r="Q138" s="305">
        <f t="shared" si="28"/>
        <v>0.7</v>
      </c>
      <c r="R138" s="177">
        <f t="shared" si="29"/>
        <v>0.58918628374017079</v>
      </c>
      <c r="S138" s="919">
        <f t="shared" si="30"/>
        <v>0</v>
      </c>
      <c r="T138" s="176">
        <f t="shared" si="31"/>
        <v>6</v>
      </c>
      <c r="U138" s="251">
        <f t="shared" si="32"/>
        <v>0.58918628374017079</v>
      </c>
      <c r="V138" s="383">
        <f t="shared" si="33"/>
        <v>56.467426343525283</v>
      </c>
      <c r="W138" s="402">
        <f t="shared" si="34"/>
        <v>18.816888671740546</v>
      </c>
      <c r="X138" s="157">
        <f t="shared" si="35"/>
        <v>45050</v>
      </c>
      <c r="Y138" s="385">
        <f t="shared" si="36"/>
        <v>16.827937432818011</v>
      </c>
      <c r="Z138" s="385">
        <f t="shared" si="37"/>
        <v>17.50731543887424</v>
      </c>
      <c r="AA138" s="386">
        <f t="shared" si="38"/>
        <v>19.747889565692418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0.11345891515975855</v>
      </c>
      <c r="AD138" s="231">
        <f>(INDEX(Models!$BJ138:$BT138,,AH138)*(1-AF138)+INDEX(Models!$BJ138:$BT138,,AH138+1)*AF138-ERP_i)*AE138*Ramure*Pc/MaxiM</f>
        <v>1.5070233481488012E-3</v>
      </c>
      <c r="AE138" s="305">
        <f t="shared" si="40"/>
        <v>0.7</v>
      </c>
      <c r="AF138" s="177">
        <f t="shared" si="41"/>
        <v>0.58918628374017079</v>
      </c>
      <c r="AG138" s="919">
        <f t="shared" si="49"/>
        <v>0</v>
      </c>
      <c r="AH138" s="176">
        <f t="shared" si="42"/>
        <v>6</v>
      </c>
      <c r="AI138" s="225">
        <f t="shared" si="43"/>
        <v>0.58918628374017079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1090">
        <f>IF(t&gt;Tmaj,'2022'!Wh/'2022'!Env_an*'2023'!Env_an,0.001*[7]mois!$B$42)</f>
        <v>39.515322601180699</v>
      </c>
      <c r="C139" s="953"/>
      <c r="D139" s="393">
        <f t="shared" si="25"/>
        <v>41.111536865116307</v>
      </c>
      <c r="E139" s="385">
        <f t="shared" si="47"/>
        <v>41.477478590311044</v>
      </c>
      <c r="F139" s="385">
        <f t="shared" si="26"/>
        <v>41.515244793754654</v>
      </c>
      <c r="G139" s="110">
        <f t="shared" si="48"/>
        <v>0.69890133887483552</v>
      </c>
      <c r="H139" s="412" t="b">
        <f>Wh_hp&gt;='2022'!Maxi_hp</f>
        <v>0</v>
      </c>
      <c r="I139" s="390">
        <f>IF(H139,Wh_hp,'2022'!Maxi_hp)</f>
        <v>58.496922298592779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3.882643135362851E-2</v>
      </c>
      <c r="M139" s="957"/>
      <c r="N139" s="957"/>
      <c r="O139" s="48">
        <f>IF(t&lt;Tnet,'2022'!Resal+('2022'!Salim-'2022'!Resal)*(1-EXP(('2022'!Tnet-t)/('2022'!Tau_j))),Resal+(Salim-Resal)*(1-EXP((Tnet-t)/(Tau_j))))*Salcycl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1.5944346559508837E-3</v>
      </c>
      <c r="Q139" s="305">
        <f t="shared" si="28"/>
        <v>0.7</v>
      </c>
      <c r="R139" s="177">
        <f t="shared" si="29"/>
        <v>0.59225624180674719</v>
      </c>
      <c r="S139" s="919">
        <f t="shared" si="30"/>
        <v>0</v>
      </c>
      <c r="T139" s="176">
        <f t="shared" si="31"/>
        <v>6</v>
      </c>
      <c r="U139" s="251">
        <f t="shared" si="32"/>
        <v>0.59225624180674719</v>
      </c>
      <c r="V139" s="383">
        <f t="shared" si="33"/>
        <v>56.50045013914432</v>
      </c>
      <c r="W139" s="402">
        <f t="shared" si="34"/>
        <v>39.515322601180699</v>
      </c>
      <c r="X139" s="157">
        <f t="shared" si="35"/>
        <v>45051</v>
      </c>
      <c r="Y139" s="385">
        <f t="shared" si="36"/>
        <v>35.340021852689112</v>
      </c>
      <c r="Z139" s="385">
        <f t="shared" si="37"/>
        <v>36.767575602873421</v>
      </c>
      <c r="AA139" s="386">
        <f t="shared" si="38"/>
        <v>41.477478590311044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0.11355326185468365</v>
      </c>
      <c r="AD139" s="231">
        <f>(INDEX(Models!$BJ139:$BT139,,AH139)*(1-AF139)+INDEX(Models!$BJ139:$BT139,,AH139+1)*AF139-ERP_i)*AE139*Ramure*Pc/MaxiM</f>
        <v>1.5944346559508837E-3</v>
      </c>
      <c r="AE139" s="305">
        <f t="shared" si="40"/>
        <v>0.7</v>
      </c>
      <c r="AF139" s="177">
        <f t="shared" si="41"/>
        <v>0.59225624180674719</v>
      </c>
      <c r="AG139" s="919">
        <f t="shared" si="49"/>
        <v>0</v>
      </c>
      <c r="AH139" s="176">
        <f t="shared" si="42"/>
        <v>6</v>
      </c>
      <c r="AI139" s="225">
        <f t="shared" si="43"/>
        <v>0.59225624180674719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1090">
        <f>IF(t&gt;Tmaj,'2022'!Wh/'2022'!Env_an*'2023'!Env_an,0.001*[7]mois!$B$43)</f>
        <v>36.900588537441394</v>
      </c>
      <c r="C140" s="953"/>
      <c r="D140" s="393">
        <f t="shared" si="25"/>
        <v>38.392021978615361</v>
      </c>
      <c r="E140" s="385">
        <f t="shared" si="47"/>
        <v>38.739508995145101</v>
      </c>
      <c r="F140" s="385">
        <f t="shared" si="26"/>
        <v>38.772438090835131</v>
      </c>
      <c r="G140" s="110">
        <f t="shared" si="48"/>
        <v>0.65222593979873955</v>
      </c>
      <c r="H140" s="412" t="b">
        <f>Wh_hp&gt;='2022'!Maxi_hp</f>
        <v>0</v>
      </c>
      <c r="I140" s="390">
        <f>IF(H140,Wh_hp,'2022'!Maxi_hp)</f>
        <v>61.787025291973102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3.8847483521568749E-2</v>
      </c>
      <c r="M140" s="957"/>
      <c r="N140" s="957"/>
      <c r="O140" s="48">
        <f>IF(t&lt;Tnet,'2022'!Resal+('2022'!Salim-'2022'!Resal)*(1-EXP(('2022'!Tnet-t)/('2022'!Tau_j))),Resal+(Salim-Resal)*(1-EXP((Tnet-t)/(Tau_j))))*Salcycl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1.6852351996817624E-3</v>
      </c>
      <c r="Q140" s="305">
        <f t="shared" si="28"/>
        <v>0.7</v>
      </c>
      <c r="R140" s="177">
        <f t="shared" si="29"/>
        <v>0.59540658116808853</v>
      </c>
      <c r="S140" s="919">
        <f t="shared" si="30"/>
        <v>0</v>
      </c>
      <c r="T140" s="176">
        <f t="shared" si="31"/>
        <v>6</v>
      </c>
      <c r="U140" s="251">
        <f t="shared" si="32"/>
        <v>0.59540658116808853</v>
      </c>
      <c r="V140" s="383">
        <f t="shared" si="33"/>
        <v>56.529054192485667</v>
      </c>
      <c r="W140" s="402">
        <f t="shared" si="34"/>
        <v>36.900588537441394</v>
      </c>
      <c r="X140" s="157">
        <f t="shared" si="35"/>
        <v>45052</v>
      </c>
      <c r="Y140" s="385">
        <f t="shared" si="36"/>
        <v>33.002904033355307</v>
      </c>
      <c r="Z140" s="385">
        <f t="shared" si="37"/>
        <v>34.336802398723066</v>
      </c>
      <c r="AA140" s="386">
        <f t="shared" si="38"/>
        <v>38.739508995145101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0.11364900357858931</v>
      </c>
      <c r="AD140" s="231">
        <f>(INDEX(Models!$BJ140:$BT140,,AH140)*(1-AF140)+INDEX(Models!$BJ140:$BT140,,AH140+1)*AF140-ERP_i)*AE140*Ramure*Pc/MaxiM</f>
        <v>1.6852351996817624E-3</v>
      </c>
      <c r="AE140" s="305">
        <f t="shared" si="40"/>
        <v>0.7</v>
      </c>
      <c r="AF140" s="177">
        <f t="shared" si="41"/>
        <v>0.59540658116808853</v>
      </c>
      <c r="AG140" s="919">
        <f t="shared" si="49"/>
        <v>0</v>
      </c>
      <c r="AH140" s="176">
        <f t="shared" si="42"/>
        <v>6</v>
      </c>
      <c r="AI140" s="225">
        <f t="shared" si="43"/>
        <v>0.59540658116808853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1090">
        <f>IF(t&gt;Tmaj,'2022'!Wh/'2022'!Env_an*'2023'!Env_an,0.001*[7]mois!$B$44)</f>
        <v>47.745042626101842</v>
      </c>
      <c r="C141" s="953"/>
      <c r="D141" s="393">
        <f t="shared" si="25"/>
        <v>49.675870966776053</v>
      </c>
      <c r="E141" s="385">
        <f t="shared" si="47"/>
        <v>50.132939517609621</v>
      </c>
      <c r="F141" s="385">
        <f t="shared" si="26"/>
        <v>50.202397166847042</v>
      </c>
      <c r="G141" s="110">
        <f t="shared" si="48"/>
        <v>0.84391018402541684</v>
      </c>
      <c r="H141" s="412" t="b">
        <f>Wh_hp&gt;='2022'!Maxi_hp</f>
        <v>0</v>
      </c>
      <c r="I141" s="390">
        <f>IF(H141,Wh_hp,'2022'!Maxi_hp)</f>
        <v>57.268675300754929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3.8868535228412493E-2</v>
      </c>
      <c r="M141" s="957"/>
      <c r="N141" s="957"/>
      <c r="O141" s="48">
        <f>IF(t&lt;Tnet,'2022'!Resal+('2022'!Salim-'2022'!Resal)*(1-EXP(('2022'!Tnet-t)/('2022'!Tau_j))),Resal+(Salim-Resal)*(1-EXP((Tnet-t)/(Tau_j))))*Salcycl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1.779505255101141E-3</v>
      </c>
      <c r="Q141" s="305">
        <f t="shared" si="28"/>
        <v>0.7</v>
      </c>
      <c r="R141" s="177">
        <f t="shared" si="29"/>
        <v>0.59863773557324085</v>
      </c>
      <c r="S141" s="919">
        <f t="shared" si="30"/>
        <v>0</v>
      </c>
      <c r="T141" s="176">
        <f t="shared" si="31"/>
        <v>6</v>
      </c>
      <c r="U141" s="251">
        <f t="shared" si="32"/>
        <v>0.59863773557324085</v>
      </c>
      <c r="V141" s="383">
        <f t="shared" si="33"/>
        <v>56.553543912165793</v>
      </c>
      <c r="W141" s="402">
        <f t="shared" si="34"/>
        <v>47.745042626101842</v>
      </c>
      <c r="X141" s="157">
        <f t="shared" si="35"/>
        <v>45053</v>
      </c>
      <c r="Y141" s="385">
        <f t="shared" si="36"/>
        <v>42.70356406073801</v>
      </c>
      <c r="Z141" s="385">
        <f t="shared" si="37"/>
        <v>44.430513021323776</v>
      </c>
      <c r="AA141" s="386">
        <f t="shared" si="38"/>
        <v>50.132939517609621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0.11374610288476741</v>
      </c>
      <c r="AD141" s="231">
        <f>(INDEX(Models!$BJ141:$BT141,,AH141)*(1-AF141)+INDEX(Models!$BJ141:$BT141,,AH141+1)*AF141-ERP_i)*AE141*Ramure*Pc/MaxiM</f>
        <v>1.779505255101141E-3</v>
      </c>
      <c r="AE141" s="305">
        <f t="shared" si="40"/>
        <v>0.7</v>
      </c>
      <c r="AF141" s="177">
        <f t="shared" si="41"/>
        <v>0.59863773557324085</v>
      </c>
      <c r="AG141" s="919">
        <f t="shared" si="49"/>
        <v>0</v>
      </c>
      <c r="AH141" s="176">
        <f t="shared" si="42"/>
        <v>6</v>
      </c>
      <c r="AI141" s="225">
        <f t="shared" si="43"/>
        <v>0.59863773557324085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1090">
        <f>IF(t&gt;Tmaj,'2022'!Wh/'2022'!Env_an*'2023'!Env_an,0.001*[7]mois!$B$45)</f>
        <v>49.805589697953138</v>
      </c>
      <c r="C142" s="953"/>
      <c r="D142" s="393">
        <f t="shared" si="25"/>
        <v>51.820882384617512</v>
      </c>
      <c r="E142" s="385">
        <f t="shared" si="47"/>
        <v>52.305468900781129</v>
      </c>
      <c r="F142" s="385">
        <f t="shared" si="26"/>
        <v>52.38700981622241</v>
      </c>
      <c r="G142" s="110">
        <f t="shared" si="48"/>
        <v>0.88007545603888726</v>
      </c>
      <c r="H142" s="412" t="b">
        <f>Wh_hp&gt;='2022'!Maxi_hp</f>
        <v>0</v>
      </c>
      <c r="I142" s="390">
        <f>IF(H142,Wh_hp,'2022'!Maxi_hp)</f>
        <v>59.229596839292704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3.8889586474169957E-2</v>
      </c>
      <c r="M142" s="957"/>
      <c r="N142" s="957"/>
      <c r="O142" s="48">
        <f>IF(t&lt;Tnet,'2022'!Resal+('2022'!Salim-'2022'!Resal)*(1-EXP(('2022'!Tnet-t)/('2022'!Tau_j))),Resal+(Salim-Resal)*(1-EXP((Tnet-t)/(Tau_j))))*Salcycl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1.8773867605463262E-3</v>
      </c>
      <c r="Q142" s="305">
        <f t="shared" si="28"/>
        <v>0.7</v>
      </c>
      <c r="R142" s="177">
        <f t="shared" si="29"/>
        <v>0.60195002137137377</v>
      </c>
      <c r="S142" s="919">
        <f t="shared" si="30"/>
        <v>0</v>
      </c>
      <c r="T142" s="176">
        <f t="shared" si="31"/>
        <v>6</v>
      </c>
      <c r="U142" s="251">
        <f t="shared" si="32"/>
        <v>0.60195002137137377</v>
      </c>
      <c r="V142" s="383">
        <f t="shared" si="33"/>
        <v>56.574220990059459</v>
      </c>
      <c r="W142" s="402">
        <f t="shared" si="34"/>
        <v>49.805589697953138</v>
      </c>
      <c r="X142" s="157">
        <f t="shared" si="35"/>
        <v>45054</v>
      </c>
      <c r="Y142" s="385">
        <f t="shared" si="36"/>
        <v>44.548215386995174</v>
      </c>
      <c r="Z142" s="385">
        <f t="shared" si="37"/>
        <v>46.350777975207038</v>
      </c>
      <c r="AA142" s="386">
        <f t="shared" si="38"/>
        <v>52.305468900781129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0.11384451856974299</v>
      </c>
      <c r="AD142" s="231">
        <f>(INDEX(Models!$BJ142:$BT142,,AH142)*(1-AF142)+INDEX(Models!$BJ142:$BT142,,AH142+1)*AF142-ERP_i)*AE142*Ramure*Pc/MaxiM</f>
        <v>1.8773867605463262E-3</v>
      </c>
      <c r="AE142" s="305">
        <f t="shared" si="40"/>
        <v>0.7</v>
      </c>
      <c r="AF142" s="177">
        <f t="shared" si="41"/>
        <v>0.60195002137137377</v>
      </c>
      <c r="AG142" s="919">
        <f t="shared" si="49"/>
        <v>0</v>
      </c>
      <c r="AH142" s="176">
        <f t="shared" si="42"/>
        <v>6</v>
      </c>
      <c r="AI142" s="225">
        <f t="shared" si="43"/>
        <v>0.60195002137137377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1090">
        <f>IF(t&gt;Tmaj,'2022'!Wh/'2022'!Env_an*'2023'!Env_an,0.001*[7]mois!$B$46)</f>
        <v>54.1759974536307</v>
      </c>
      <c r="C143" s="953"/>
      <c r="D143" s="393">
        <f t="shared" ref="D143:D206" si="50">Wh/(1-Ppv)</f>
        <v>56.369365382542441</v>
      </c>
      <c r="E143" s="385">
        <f t="shared" si="47"/>
        <v>56.904959887424432</v>
      </c>
      <c r="F143" s="385">
        <f t="shared" ref="F143:F206" si="51">Wh_sa/(1-Pvg*MEDIAN((-Sdif+Wh/Env_an)/Csdif,0,1))</f>
        <v>57.010845201376291</v>
      </c>
      <c r="G143" s="110">
        <f t="shared" si="48"/>
        <v>0.95720202116919428</v>
      </c>
      <c r="H143" s="412" t="b">
        <f>Wh_hp&gt;='2022'!Maxi_hp</f>
        <v>0</v>
      </c>
      <c r="I143" s="390">
        <f>IF(H143,Wh_hp,'2022'!Maxi_hp)</f>
        <v>57.01224461808134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3.8910637258851022E-2</v>
      </c>
      <c r="M143" s="957"/>
      <c r="N143" s="957"/>
      <c r="O143" s="48">
        <f>IF(t&lt;Tnet,'2022'!Resal+('2022'!Salim-'2022'!Resal)*(1-EXP(('2022'!Tnet-t)/('2022'!Tau_j))),Resal+(Salim-Resal)*(1-EXP((Tnet-t)/(Tau_j))))*Salcycl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1.9778846913986801E-3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0.60534363058871921</v>
      </c>
      <c r="S143" s="91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0.60534363058871921</v>
      </c>
      <c r="V143" s="383">
        <f t="shared" ref="V143:V206" si="58">MaxiM*(1-Ppv)*(1-Pvg)*(1-Psa)</f>
        <v>56.591451354648342</v>
      </c>
      <c r="W143" s="402">
        <f t="shared" ref="W143:W206" si="59">Wh*(A143&gt;Tmaj)</f>
        <v>54.1759974536307</v>
      </c>
      <c r="X143" s="157">
        <f t="shared" ref="X143:X206" si="60">t</f>
        <v>45055</v>
      </c>
      <c r="Y143" s="385">
        <f t="shared" ref="Y143:Y206" si="61">Wh_pvt_s*(1-Ppv)</f>
        <v>48.45905738402525</v>
      </c>
      <c r="Z143" s="385">
        <f t="shared" ref="Z143:Z206" si="62">Wh_sa_s*(1-Psa_s)</f>
        <v>50.420969435988617</v>
      </c>
      <c r="AA143" s="386">
        <f t="shared" ref="AA143:AA206" si="63">Wh_hp*(1-Pvg_s*MEDIAN((-Sdif+Wh/Env_an)/Csdif,0,1))</f>
        <v>56.904959887424432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0.11394420564153195</v>
      </c>
      <c r="AD143" s="231">
        <f>(INDEX(Models!$BJ143:$BT143,,AH143)*(1-AF143)+INDEX(Models!$BJ143:$BT143,,AH143+1)*AF143-ERP_i)*AE143*Ramure*Pc/MaxiM</f>
        <v>1.9778846913986801E-3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0.60534363058871921</v>
      </c>
      <c r="AG143" s="919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0.60534363058871921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1090">
        <f>IF(t&gt;Tmaj,'2022'!Wh/'2022'!Env_an*'2023'!Env_an,0.001*[7]mois!$B$47)</f>
        <v>51.630617901414752</v>
      </c>
      <c r="C144" s="953"/>
      <c r="D144" s="393">
        <f t="shared" si="50"/>
        <v>53.722110316528607</v>
      </c>
      <c r="E144" s="385">
        <f t="shared" ref="E144:E169" si="72">Wh_pvt/(1-Psa)</f>
        <v>54.240637376749888</v>
      </c>
      <c r="F144" s="385">
        <f t="shared" si="51"/>
        <v>54.339522817186712</v>
      </c>
      <c r="G144" s="110">
        <f t="shared" ref="G144:G169" si="73">+Wh_hp/MaxiM</f>
        <v>0.91187367772042527</v>
      </c>
      <c r="H144" s="412" t="b">
        <f>Wh_hp&gt;='2022'!Maxi_hp</f>
        <v>0</v>
      </c>
      <c r="I144" s="390">
        <f>IF(H144,Wh_hp,'2022'!Maxi_hp)</f>
        <v>54.342369074324978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3.893168758246579E-2</v>
      </c>
      <c r="M144" s="957"/>
      <c r="N144" s="957"/>
      <c r="O144" s="48">
        <f>IF(t&lt;Tnet,'2022'!Resal+('2022'!Salim-'2022'!Resal)*(1-EXP(('2022'!Tnet-t)/('2022'!Tau_j))),Resal+(Salim-Resal)*(1-EXP((Tnet-t)/(Tau_j))))*Salcycl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2.0810541044551192E-3</v>
      </c>
      <c r="Q144" s="305">
        <f t="shared" si="53"/>
        <v>0.7</v>
      </c>
      <c r="R144" s="177">
        <f t="shared" si="54"/>
        <v>0.60881862413543741</v>
      </c>
      <c r="S144" s="919">
        <f t="shared" si="55"/>
        <v>0</v>
      </c>
      <c r="T144" s="176">
        <f t="shared" si="56"/>
        <v>6</v>
      </c>
      <c r="U144" s="251">
        <f t="shared" si="57"/>
        <v>0.60881862413543741</v>
      </c>
      <c r="V144" s="383">
        <f t="shared" si="58"/>
        <v>56.605541223019408</v>
      </c>
      <c r="W144" s="402">
        <f t="shared" si="59"/>
        <v>51.630617901414752</v>
      </c>
      <c r="X144" s="157">
        <f t="shared" si="60"/>
        <v>45056</v>
      </c>
      <c r="Y144" s="385">
        <f t="shared" si="61"/>
        <v>46.183904822030364</v>
      </c>
      <c r="Z144" s="385">
        <f t="shared" si="62"/>
        <v>48.054757633051437</v>
      </c>
      <c r="AA144" s="386">
        <f t="shared" si="63"/>
        <v>54.240637376749888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0.11404511530224042</v>
      </c>
      <c r="AD144" s="231">
        <f>(INDEX(Models!$BJ144:$BT144,,AH144)*(1-AF144)+INDEX(Models!$BJ144:$BT144,,AH144+1)*AF144-ERP_i)*AE144*Ramure*Pc/MaxiM</f>
        <v>2.0810541044551192E-3</v>
      </c>
      <c r="AE144" s="305">
        <f t="shared" si="65"/>
        <v>0.7</v>
      </c>
      <c r="AF144" s="177">
        <f t="shared" si="66"/>
        <v>0.60881862413543741</v>
      </c>
      <c r="AG144" s="919">
        <f t="shared" ref="AG144:AG207" si="74">INDEX(Echel_vg,AH144)</f>
        <v>0</v>
      </c>
      <c r="AH144" s="176">
        <f t="shared" si="67"/>
        <v>6</v>
      </c>
      <c r="AI144" s="225">
        <f t="shared" si="68"/>
        <v>0.60881862413543741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1090">
        <f>IF(t&gt;Tmaj,'2022'!Wh/'2022'!Env_an*'2023'!Env_an,0.001*[7]mois!$B$48)</f>
        <v>55.382147129568587</v>
      </c>
      <c r="C145" s="953"/>
      <c r="D145" s="393">
        <f t="shared" si="50"/>
        <v>57.626871525894934</v>
      </c>
      <c r="E145" s="385">
        <f t="shared" si="72"/>
        <v>58.191770459798789</v>
      </c>
      <c r="F145" s="385">
        <f t="shared" si="51"/>
        <v>58.31532996862537</v>
      </c>
      <c r="G145" s="110">
        <f t="shared" si="73"/>
        <v>0.97812608858817063</v>
      </c>
      <c r="H145" s="412" t="b">
        <f>Wh_hp&gt;='2022'!Maxi_hp</f>
        <v>0</v>
      </c>
      <c r="I145" s="390">
        <f>IF(H145,Wh_hp,'2022'!Maxi_hp)</f>
        <v>58.316115352484751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3.8952737445024588E-2</v>
      </c>
      <c r="M145" s="957"/>
      <c r="N145" s="957"/>
      <c r="O145" s="48">
        <f>IF(t&lt;Tnet,'2022'!Resal+('2022'!Salim-'2022'!Resal)*(1-EXP(('2022'!Tnet-t)/('2022'!Tau_j))),Resal+(Salim-Resal)*(1-EXP((Tnet-t)/(Tau_j))))*Salcycl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2.1869469761232785E-3</v>
      </c>
      <c r="Q145" s="305">
        <f t="shared" si="53"/>
        <v>0.7</v>
      </c>
      <c r="R145" s="177">
        <f t="shared" si="54"/>
        <v>0.61237492519380166</v>
      </c>
      <c r="S145" s="919">
        <f t="shared" si="55"/>
        <v>0</v>
      </c>
      <c r="T145" s="176">
        <f t="shared" si="56"/>
        <v>6</v>
      </c>
      <c r="U145" s="251">
        <f t="shared" si="57"/>
        <v>0.61237492519380166</v>
      </c>
      <c r="V145" s="383">
        <f t="shared" si="58"/>
        <v>56.616796726057871</v>
      </c>
      <c r="W145" s="402">
        <f t="shared" si="59"/>
        <v>55.382147129568587</v>
      </c>
      <c r="X145" s="157">
        <f t="shared" si="60"/>
        <v>45057</v>
      </c>
      <c r="Y145" s="385">
        <f t="shared" si="61"/>
        <v>49.541355065899765</v>
      </c>
      <c r="Z145" s="385">
        <f t="shared" si="62"/>
        <v>51.549343092859409</v>
      </c>
      <c r="AA145" s="386">
        <f t="shared" si="63"/>
        <v>58.191770459798789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0.11414719494620354</v>
      </c>
      <c r="AD145" s="231">
        <f>(INDEX(Models!$BJ145:$BT145,,AH145)*(1-AF145)+INDEX(Models!$BJ145:$BT145,,AH145+1)*AF145-ERP_i)*AE145*Ramure*Pc/MaxiM</f>
        <v>2.1869469761232785E-3</v>
      </c>
      <c r="AE145" s="305">
        <f t="shared" si="65"/>
        <v>0.7</v>
      </c>
      <c r="AF145" s="177">
        <f t="shared" si="66"/>
        <v>0.61237492519380166</v>
      </c>
      <c r="AG145" s="919">
        <f t="shared" si="74"/>
        <v>0</v>
      </c>
      <c r="AH145" s="176">
        <f t="shared" si="67"/>
        <v>6</v>
      </c>
      <c r="AI145" s="225">
        <f t="shared" si="68"/>
        <v>0.61237492519380166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1090">
        <f>IF(t&gt;Tmaj,'2022'!Wh/'2022'!Env_an*'2023'!Env_an,0.001*[7]mois!$B$49)</f>
        <v>42.631240763778379</v>
      </c>
      <c r="C146" s="953"/>
      <c r="D146" s="393">
        <f t="shared" si="50"/>
        <v>44.360122731606232</v>
      </c>
      <c r="E146" s="385">
        <f t="shared" si="72"/>
        <v>44.801663294031542</v>
      </c>
      <c r="F146" s="385">
        <f t="shared" si="51"/>
        <v>44.868298923352889</v>
      </c>
      <c r="G146" s="110">
        <f t="shared" si="73"/>
        <v>0.75225154532280314</v>
      </c>
      <c r="H146" s="412" t="b">
        <f>Wh_hp&gt;='2022'!Maxi_hp</f>
        <v>0</v>
      </c>
      <c r="I146" s="390">
        <f>IF(H146,Wh_hp,'2022'!Maxi_hp)</f>
        <v>54.342875304504368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3.8973786846537295E-2</v>
      </c>
      <c r="M146" s="957"/>
      <c r="N146" s="957"/>
      <c r="O146" s="48">
        <f>IF(t&lt;Tnet,'2022'!Resal+('2022'!Salim-'2022'!Resal)*(1-EXP(('2022'!Tnet-t)/('2022'!Tau_j))),Resal+(Salim-Resal)*(1-EXP((Tnet-t)/(Tau_j))))*Salcycl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2.295611842490186E-3</v>
      </c>
      <c r="Q146" s="305">
        <f t="shared" si="53"/>
        <v>0.7</v>
      </c>
      <c r="R146" s="177">
        <f t="shared" si="54"/>
        <v>0.61601231284163038</v>
      </c>
      <c r="S146" s="919">
        <f t="shared" si="55"/>
        <v>0</v>
      </c>
      <c r="T146" s="176">
        <f t="shared" si="56"/>
        <v>6</v>
      </c>
      <c r="U146" s="251">
        <f t="shared" si="57"/>
        <v>0.61601231284163038</v>
      </c>
      <c r="V146" s="383">
        <f t="shared" si="58"/>
        <v>56.625523930081386</v>
      </c>
      <c r="W146" s="402">
        <f t="shared" si="59"/>
        <v>42.631240763778379</v>
      </c>
      <c r="X146" s="157">
        <f t="shared" si="60"/>
        <v>45058</v>
      </c>
      <c r="Y146" s="385">
        <f t="shared" si="61"/>
        <v>38.13645691084502</v>
      </c>
      <c r="Z146" s="385">
        <f t="shared" si="62"/>
        <v>39.683055871812265</v>
      </c>
      <c r="AA146" s="386">
        <f t="shared" si="63"/>
        <v>44.801663294031542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0.1142503881747885</v>
      </c>
      <c r="AD146" s="231">
        <f>(INDEX(Models!$BJ146:$BT146,,AH146)*(1-AF146)+INDEX(Models!$BJ146:$BT146,,AH146+1)*AF146-ERP_i)*AE146*Ramure*Pc/MaxiM</f>
        <v>2.295611842490186E-3</v>
      </c>
      <c r="AE146" s="305">
        <f t="shared" si="65"/>
        <v>0.7</v>
      </c>
      <c r="AF146" s="177">
        <f t="shared" si="66"/>
        <v>0.61601231284163038</v>
      </c>
      <c r="AG146" s="919">
        <f t="shared" si="74"/>
        <v>0</v>
      </c>
      <c r="AH146" s="176">
        <f t="shared" si="67"/>
        <v>6</v>
      </c>
      <c r="AI146" s="225">
        <f t="shared" si="68"/>
        <v>0.61601231284163038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1090">
        <f>IF(t&gt;Tmaj,'2022'!Wh/'2022'!Env_an*'2023'!Env_an,0.001*[7]mois!$B$50)</f>
        <v>39.033595024323667</v>
      </c>
      <c r="C147" s="953"/>
      <c r="D147" s="393">
        <f t="shared" si="50"/>
        <v>40.61746645897599</v>
      </c>
      <c r="E147" s="385">
        <f t="shared" si="72"/>
        <v>41.02788819786776</v>
      </c>
      <c r="F147" s="385">
        <f t="shared" si="51"/>
        <v>41.082878205815177</v>
      </c>
      <c r="G147" s="110">
        <f t="shared" si="73"/>
        <v>0.6885119501617013</v>
      </c>
      <c r="H147" s="412" t="b">
        <f>Wh_hp&gt;='2022'!Maxi_hp</f>
        <v>0</v>
      </c>
      <c r="I147" s="390">
        <f>IF(H147,Wh_hp,'2022'!Maxi_hp)</f>
        <v>61.987907498178245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3.8994835787014126E-2</v>
      </c>
      <c r="M147" s="957"/>
      <c r="N147" s="957"/>
      <c r="O147" s="48">
        <f>IF(t&lt;Tnet,'2022'!Resal+('2022'!Salim-'2022'!Resal)*(1-EXP(('2022'!Tnet-t)/('2022'!Tau_j))),Resal+(Salim-Resal)*(1-EXP((Tnet-t)/(Tau_j))))*Salcycl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2.4070934280545709E-3</v>
      </c>
      <c r="Q147" s="305">
        <f t="shared" si="53"/>
        <v>0.7</v>
      </c>
      <c r="R147" s="177">
        <f t="shared" si="54"/>
        <v>0.61973041596708256</v>
      </c>
      <c r="S147" s="919">
        <f t="shared" si="55"/>
        <v>0</v>
      </c>
      <c r="T147" s="176">
        <f t="shared" si="56"/>
        <v>6</v>
      </c>
      <c r="U147" s="251">
        <f t="shared" si="57"/>
        <v>0.61973041596708256</v>
      </c>
      <c r="V147" s="383">
        <f t="shared" si="58"/>
        <v>56.632028846994295</v>
      </c>
      <c r="W147" s="402">
        <f t="shared" si="59"/>
        <v>39.033595024323667</v>
      </c>
      <c r="X147" s="157">
        <f t="shared" si="60"/>
        <v>45059</v>
      </c>
      <c r="Y147" s="385">
        <f t="shared" si="61"/>
        <v>34.919236470881373</v>
      </c>
      <c r="Z147" s="385">
        <f t="shared" si="62"/>
        <v>36.336159025199876</v>
      </c>
      <c r="AA147" s="386">
        <f t="shared" si="63"/>
        <v>41.02788819786776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0.1143546348288946</v>
      </c>
      <c r="AD147" s="231">
        <f>(INDEX(Models!$BJ147:$BT147,,AH147)*(1-AF147)+INDEX(Models!$BJ147:$BT147,,AH147+1)*AF147-ERP_i)*AE147*Ramure*Pc/MaxiM</f>
        <v>2.4070934280545709E-3</v>
      </c>
      <c r="AE147" s="305">
        <f t="shared" si="65"/>
        <v>0.7</v>
      </c>
      <c r="AF147" s="177">
        <f t="shared" si="66"/>
        <v>0.61973041596708256</v>
      </c>
      <c r="AG147" s="919">
        <f t="shared" si="74"/>
        <v>0</v>
      </c>
      <c r="AH147" s="176">
        <f t="shared" si="67"/>
        <v>6</v>
      </c>
      <c r="AI147" s="225">
        <f t="shared" si="68"/>
        <v>0.61973041596708256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1090">
        <f>IF(t&gt;Tmaj,'2022'!Wh/'2022'!Env_an*'2023'!Env_an,0.001*[7]mois!$B$51)</f>
        <v>50.942852782232592</v>
      </c>
      <c r="C148" s="953"/>
      <c r="D148" s="393">
        <f t="shared" si="50"/>
        <v>53.011128850290184</v>
      </c>
      <c r="E148" s="385">
        <f t="shared" si="72"/>
        <v>53.554797505516177</v>
      </c>
      <c r="F148" s="385">
        <f t="shared" si="51"/>
        <v>53.670689329774795</v>
      </c>
      <c r="G148" s="110">
        <f t="shared" si="73"/>
        <v>0.89914207048678085</v>
      </c>
      <c r="H148" s="412" t="b">
        <f>Wh_hp&gt;='2022'!Maxi_hp</f>
        <v>0</v>
      </c>
      <c r="I148" s="390">
        <f>IF(H148,Wh_hp,'2022'!Maxi_hp)</f>
        <v>60.924968033525275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3.9015884266465184E-2</v>
      </c>
      <c r="M148" s="957"/>
      <c r="N148" s="957"/>
      <c r="O148" s="48">
        <f>IF(t&lt;Tnet,'2022'!Resal+('2022'!Salim-'2022'!Resal)*(1-EXP(('2022'!Tnet-t)/('2022'!Tau_j))),Resal+(Salim-Resal)*(1-EXP((Tnet-t)/(Tau_j))))*Salcycl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2.5214322641241467E-3</v>
      </c>
      <c r="Q148" s="305">
        <f t="shared" si="53"/>
        <v>0.7</v>
      </c>
      <c r="R148" s="177">
        <f t="shared" si="54"/>
        <v>0.62352870753268497</v>
      </c>
      <c r="S148" s="919">
        <f t="shared" si="55"/>
        <v>0</v>
      </c>
      <c r="T148" s="176">
        <f t="shared" si="56"/>
        <v>6</v>
      </c>
      <c r="U148" s="251">
        <f t="shared" si="57"/>
        <v>0.62352870753268497</v>
      </c>
      <c r="V148" s="383">
        <f t="shared" si="58"/>
        <v>56.636617451498701</v>
      </c>
      <c r="W148" s="402">
        <f t="shared" si="59"/>
        <v>50.942852782232592</v>
      </c>
      <c r="X148" s="157">
        <f t="shared" si="60"/>
        <v>45060</v>
      </c>
      <c r="Y148" s="385">
        <f t="shared" si="61"/>
        <v>45.574597010065695</v>
      </c>
      <c r="Z148" s="385">
        <f t="shared" si="62"/>
        <v>47.424922289457264</v>
      </c>
      <c r="AA148" s="386">
        <f t="shared" si="63"/>
        <v>53.554797505516177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0.11445987104007885</v>
      </c>
      <c r="AD148" s="231">
        <f>(INDEX(Models!$BJ148:$BT148,,AH148)*(1-AF148)+INDEX(Models!$BJ148:$BT148,,AH148+1)*AF148-ERP_i)*AE148*Ramure*Pc/MaxiM</f>
        <v>2.5214322641241467E-3</v>
      </c>
      <c r="AE148" s="305">
        <f t="shared" si="65"/>
        <v>0.7</v>
      </c>
      <c r="AF148" s="177">
        <f t="shared" si="66"/>
        <v>0.62352870753268497</v>
      </c>
      <c r="AG148" s="919">
        <f t="shared" si="74"/>
        <v>0</v>
      </c>
      <c r="AH148" s="176">
        <f t="shared" si="67"/>
        <v>6</v>
      </c>
      <c r="AI148" s="225">
        <f t="shared" si="68"/>
        <v>0.62352870753268497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1090">
        <f>IF(t&gt;Tmaj,'2022'!Wh/'2022'!Env_an*'2023'!Env_an,0.001*[7]mois!$B$52)</f>
        <v>51.969838879408591</v>
      </c>
      <c r="C149" s="953"/>
      <c r="D149" s="393">
        <f t="shared" si="50"/>
        <v>54.080995019900485</v>
      </c>
      <c r="E149" s="385">
        <f t="shared" si="72"/>
        <v>54.643820969831054</v>
      </c>
      <c r="F149" s="385">
        <f t="shared" si="51"/>
        <v>54.771327537045757</v>
      </c>
      <c r="G149" s="110">
        <f t="shared" si="73"/>
        <v>0.91728339746207932</v>
      </c>
      <c r="H149" s="412" t="b">
        <f>Wh_hp&gt;='2022'!Maxi_hp</f>
        <v>0</v>
      </c>
      <c r="I149" s="390">
        <f>IF(H149,Wh_hp,'2022'!Maxi_hp)</f>
        <v>61.115724809852011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3.9036932284900461E-2</v>
      </c>
      <c r="M149" s="957"/>
      <c r="N149" s="957"/>
      <c r="O149" s="48">
        <f>IF(t&lt;Tnet,'2022'!Resal+('2022'!Salim-'2022'!Resal)*(1-EXP(('2022'!Tnet-t)/('2022'!Tau_j))),Resal+(Salim-Resal)*(1-EXP((Tnet-t)/(Tau_j))))*Salcycl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2.6387103019984907E-3</v>
      </c>
      <c r="Q149" s="305">
        <f t="shared" si="53"/>
        <v>0.7</v>
      </c>
      <c r="R149" s="177">
        <f t="shared" si="54"/>
        <v>0.62740649924772451</v>
      </c>
      <c r="S149" s="919">
        <f t="shared" si="55"/>
        <v>0</v>
      </c>
      <c r="T149" s="176">
        <f t="shared" si="56"/>
        <v>6</v>
      </c>
      <c r="U149" s="251">
        <f t="shared" si="57"/>
        <v>0.62740649924772451</v>
      </c>
      <c r="V149" s="383">
        <f t="shared" si="58"/>
        <v>56.638605636614301</v>
      </c>
      <c r="W149" s="402">
        <f t="shared" si="59"/>
        <v>51.969838879408591</v>
      </c>
      <c r="X149" s="157">
        <f t="shared" si="60"/>
        <v>45061</v>
      </c>
      <c r="Y149" s="385">
        <f t="shared" si="61"/>
        <v>46.494752142797331</v>
      </c>
      <c r="Z149" s="385">
        <f t="shared" si="62"/>
        <v>48.383495375476606</v>
      </c>
      <c r="AA149" s="386">
        <f t="shared" si="63"/>
        <v>54.643820969831054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0.11456602930111331</v>
      </c>
      <c r="AD149" s="231">
        <f>(INDEX(Models!$BJ149:$BT149,,AH149)*(1-AF149)+INDEX(Models!$BJ149:$BT149,,AH149+1)*AF149-ERP_i)*AE149*Ramure*Pc/MaxiM</f>
        <v>2.6387103019984907E-3</v>
      </c>
      <c r="AE149" s="305">
        <f t="shared" si="65"/>
        <v>0.7</v>
      </c>
      <c r="AF149" s="177">
        <f t="shared" si="66"/>
        <v>0.62740649924772451</v>
      </c>
      <c r="AG149" s="919">
        <f t="shared" si="74"/>
        <v>0</v>
      </c>
      <c r="AH149" s="176">
        <f t="shared" si="67"/>
        <v>6</v>
      </c>
      <c r="AI149" s="225">
        <f t="shared" si="68"/>
        <v>0.62740649924772451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1090">
        <f>IF(t&gt;Tmaj,'2022'!Wh/'2022'!Env_an*'2023'!Env_an,0.001*[7]mois!$B$53)</f>
        <v>50.038839026901954</v>
      </c>
      <c r="C150" s="953"/>
      <c r="D150" s="393">
        <f t="shared" si="50"/>
        <v>52.072693229391362</v>
      </c>
      <c r="E150" s="385">
        <f t="shared" si="72"/>
        <v>52.622508062122989</v>
      </c>
      <c r="F150" s="385">
        <f t="shared" si="51"/>
        <v>52.743796767989835</v>
      </c>
      <c r="G150" s="110">
        <f t="shared" si="73"/>
        <v>0.88309132158853054</v>
      </c>
      <c r="H150" s="412" t="b">
        <f>Wh_hp&gt;='2022'!Maxi_hp</f>
        <v>0</v>
      </c>
      <c r="I150" s="390">
        <f>IF(H150,Wh_hp,'2022'!Maxi_hp)</f>
        <v>53.059049152756259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3.9057979842330059E-2</v>
      </c>
      <c r="M150" s="957"/>
      <c r="N150" s="957"/>
      <c r="O150" s="48">
        <f>IF(t&lt;Tnet,'2022'!Resal+('2022'!Salim-'2022'!Resal)*(1-EXP(('2022'!Tnet-t)/('2022'!Tau_j))),Resal+(Salim-Resal)*(1-EXP((Tnet-t)/(Tau_j))))*Salcycl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2.7587205654984975E-3</v>
      </c>
      <c r="Q150" s="305">
        <f t="shared" si="53"/>
        <v>0.7</v>
      </c>
      <c r="R150" s="177">
        <f t="shared" si="54"/>
        <v>0.63136293670885069</v>
      </c>
      <c r="S150" s="919">
        <f t="shared" si="55"/>
        <v>0</v>
      </c>
      <c r="T150" s="176">
        <f t="shared" si="56"/>
        <v>6</v>
      </c>
      <c r="U150" s="251">
        <f t="shared" si="57"/>
        <v>0.63136293670885069</v>
      </c>
      <c r="V150" s="383">
        <f t="shared" si="58"/>
        <v>56.637190411122923</v>
      </c>
      <c r="W150" s="402">
        <f t="shared" si="59"/>
        <v>50.038839026901954</v>
      </c>
      <c r="X150" s="157">
        <f t="shared" si="60"/>
        <v>45062</v>
      </c>
      <c r="Y150" s="385">
        <f t="shared" si="61"/>
        <v>44.768487112535531</v>
      </c>
      <c r="Z150" s="385">
        <f t="shared" si="62"/>
        <v>46.588125166167657</v>
      </c>
      <c r="AA150" s="386">
        <f t="shared" si="63"/>
        <v>52.622508062122989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0.11467303855664771</v>
      </c>
      <c r="AD150" s="231">
        <f>(INDEX(Models!$BJ150:$BT150,,AH150)*(1-AF150)+INDEX(Models!$BJ150:$BT150,,AH150+1)*AF150-ERP_i)*AE150*Ramure*Pc/MaxiM</f>
        <v>2.7587205654984975E-3</v>
      </c>
      <c r="AE150" s="305">
        <f t="shared" si="65"/>
        <v>0.7</v>
      </c>
      <c r="AF150" s="177">
        <f t="shared" si="66"/>
        <v>0.63136293670885069</v>
      </c>
      <c r="AG150" s="919">
        <f t="shared" si="74"/>
        <v>0</v>
      </c>
      <c r="AH150" s="176">
        <f t="shared" si="67"/>
        <v>6</v>
      </c>
      <c r="AI150" s="225">
        <f t="shared" si="68"/>
        <v>0.63136293670885069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1090">
        <f>IF(t&gt;Tmaj,'2022'!Wh/'2022'!Env_an*'2023'!Env_an,0.001*[7]mois!$B$54)</f>
        <v>53.574674703583348</v>
      </c>
      <c r="C151" s="953"/>
      <c r="D151" s="393">
        <f t="shared" si="50"/>
        <v>55.753465899395287</v>
      </c>
      <c r="E151" s="385">
        <f t="shared" si="72"/>
        <v>56.35060045432887</v>
      </c>
      <c r="F151" s="385">
        <f t="shared" si="51"/>
        <v>56.500794241827222</v>
      </c>
      <c r="G151" s="110">
        <f t="shared" si="73"/>
        <v>0.94579449352982625</v>
      </c>
      <c r="H151" s="412" t="b">
        <f>Wh_hp&gt;='2022'!Maxi_hp</f>
        <v>0</v>
      </c>
      <c r="I151" s="390">
        <f>IF(H151,Wh_hp,'2022'!Maxi_hp)</f>
        <v>56.50310848003005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3.9079026938764194E-2</v>
      </c>
      <c r="M151" s="957"/>
      <c r="N151" s="957"/>
      <c r="O151" s="48">
        <f>IF(t&lt;Tnet,'2022'!Resal+('2022'!Salim-'2022'!Resal)*(1-EXP(('2022'!Tnet-t)/('2022'!Tau_j))),Resal+(Salim-Resal)*(1-EXP((Tnet-t)/(Tau_j))))*Salcycl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2.8804438581499182E-3</v>
      </c>
      <c r="Q151" s="305">
        <f t="shared" si="53"/>
        <v>0.7</v>
      </c>
      <c r="R151" s="177">
        <f t="shared" si="54"/>
        <v>0.63539699506882452</v>
      </c>
      <c r="S151" s="919">
        <f t="shared" si="55"/>
        <v>0</v>
      </c>
      <c r="T151" s="176">
        <f t="shared" si="56"/>
        <v>6</v>
      </c>
      <c r="U151" s="251">
        <f t="shared" si="57"/>
        <v>0.63539699506882452</v>
      </c>
      <c r="V151" s="383">
        <f t="shared" si="58"/>
        <v>56.632534765444952</v>
      </c>
      <c r="W151" s="402">
        <f t="shared" si="59"/>
        <v>53.574674703583348</v>
      </c>
      <c r="X151" s="157">
        <f t="shared" si="60"/>
        <v>45063</v>
      </c>
      <c r="Y151" s="385">
        <f t="shared" si="61"/>
        <v>47.933267360593781</v>
      </c>
      <c r="Z151" s="385">
        <f t="shared" si="62"/>
        <v>49.882632083563834</v>
      </c>
      <c r="AA151" s="386">
        <f t="shared" si="63"/>
        <v>56.35060045432887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0.11478082431450229</v>
      </c>
      <c r="AD151" s="231">
        <f>(INDEX(Models!$BJ151:$BT151,,AH151)*(1-AF151)+INDEX(Models!$BJ151:$BT151,,AH151+1)*AF151-ERP_i)*AE151*Ramure*Pc/MaxiM</f>
        <v>2.8804438581499182E-3</v>
      </c>
      <c r="AE151" s="305">
        <f t="shared" si="65"/>
        <v>0.7</v>
      </c>
      <c r="AF151" s="177">
        <f t="shared" si="66"/>
        <v>0.63539699506882452</v>
      </c>
      <c r="AG151" s="919">
        <f t="shared" si="74"/>
        <v>0</v>
      </c>
      <c r="AH151" s="176">
        <f t="shared" si="67"/>
        <v>6</v>
      </c>
      <c r="AI151" s="225">
        <f t="shared" si="68"/>
        <v>0.63539699506882452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1090">
        <f>IF(t&gt;Tmaj,'2022'!Wh/'2022'!Env_an*'2023'!Env_an,0.001*[7]mois!$B$55)</f>
        <v>51.898670775906901</v>
      </c>
      <c r="C152" s="953"/>
      <c r="D152" s="393">
        <f t="shared" si="50"/>
        <v>54.01048470151504</v>
      </c>
      <c r="E152" s="385">
        <f t="shared" si="72"/>
        <v>54.597151269099946</v>
      </c>
      <c r="F152" s="385">
        <f t="shared" si="51"/>
        <v>54.741983836606764</v>
      </c>
      <c r="G152" s="110">
        <f t="shared" si="73"/>
        <v>0.91620783680885476</v>
      </c>
      <c r="H152" s="412" t="b">
        <f>Wh_hp&gt;='2022'!Maxi_hp</f>
        <v>0</v>
      </c>
      <c r="I152" s="390">
        <f>IF(H152,Wh_hp,'2022'!Maxi_hp)</f>
        <v>59.62470514235855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3.9100073574212968E-2</v>
      </c>
      <c r="M152" s="957"/>
      <c r="N152" s="957"/>
      <c r="O152" s="48">
        <f>IF(t&lt;Tnet,'2022'!Resal+('2022'!Salim-'2022'!Resal)*(1-EXP(('2022'!Tnet-t)/('2022'!Tau_j))),Resal+(Salim-Resal)*(1-EXP((Tnet-t)/(Tau_j))))*Salcycl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3.0038940369757731E-3</v>
      </c>
      <c r="Q152" s="305">
        <f t="shared" si="53"/>
        <v>0.7</v>
      </c>
      <c r="R152" s="177">
        <f t="shared" si="54"/>
        <v>0.63950747529278162</v>
      </c>
      <c r="S152" s="919">
        <f t="shared" si="55"/>
        <v>0</v>
      </c>
      <c r="T152" s="176">
        <f t="shared" si="56"/>
        <v>6</v>
      </c>
      <c r="U152" s="251">
        <f t="shared" si="57"/>
        <v>0.63950747529278162</v>
      </c>
      <c r="V152" s="383">
        <f t="shared" si="58"/>
        <v>56.624742989474598</v>
      </c>
      <c r="W152" s="402">
        <f t="shared" si="59"/>
        <v>51.898670775906901</v>
      </c>
      <c r="X152" s="157">
        <f t="shared" si="60"/>
        <v>45064</v>
      </c>
      <c r="Y152" s="385">
        <f t="shared" si="61"/>
        <v>46.435029921235497</v>
      </c>
      <c r="Z152" s="385">
        <f t="shared" si="62"/>
        <v>48.324522298547393</v>
      </c>
      <c r="AA152" s="386">
        <f t="shared" si="63"/>
        <v>54.597151269099946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0.11488930877795885</v>
      </c>
      <c r="AD152" s="231">
        <f>(INDEX(Models!$BJ152:$BT152,,AH152)*(1-AF152)+INDEX(Models!$BJ152:$BT152,,AH152+1)*AF152-ERP_i)*AE152*Ramure*Pc/MaxiM</f>
        <v>3.0038940369757731E-3</v>
      </c>
      <c r="AE152" s="305">
        <f t="shared" si="65"/>
        <v>0.7</v>
      </c>
      <c r="AF152" s="177">
        <f t="shared" si="66"/>
        <v>0.63950747529278162</v>
      </c>
      <c r="AG152" s="919">
        <f t="shared" si="74"/>
        <v>0</v>
      </c>
      <c r="AH152" s="176">
        <f t="shared" si="67"/>
        <v>6</v>
      </c>
      <c r="AI152" s="225">
        <f t="shared" si="68"/>
        <v>0.63950747529278162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1090">
        <f>IF(t&gt;Tmaj,'2022'!Wh/'2022'!Env_an*'2023'!Env_an,0.001*[7]mois!$B$56)</f>
        <v>54.212595712103841</v>
      </c>
      <c r="C153" s="953"/>
      <c r="D153" s="393">
        <f t="shared" si="50"/>
        <v>56.419801523710014</v>
      </c>
      <c r="E153" s="385">
        <f t="shared" si="72"/>
        <v>57.041212205383552</v>
      </c>
      <c r="F153" s="385">
        <f t="shared" si="51"/>
        <v>57.209377850580431</v>
      </c>
      <c r="G153" s="110">
        <f t="shared" si="73"/>
        <v>0.95740211791397367</v>
      </c>
      <c r="H153" s="412" t="b">
        <f>Wh_hp&gt;='2022'!Maxi_hp</f>
        <v>0</v>
      </c>
      <c r="I153" s="390">
        <f>IF(H153,Wh_hp,'2022'!Maxi_hp)</f>
        <v>59.775748831066402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3.9121119748686262E-2</v>
      </c>
      <c r="M153" s="957"/>
      <c r="N153" s="957"/>
      <c r="O153" s="48">
        <f>IF(t&lt;Tnet,'2022'!Resal+('2022'!Salim-'2022'!Resal)*(1-EXP(('2022'!Tnet-t)/('2022'!Tau_j))),Resal+(Salim-Resal)*(1-EXP((Tnet-t)/(Tau_j))))*Salcycl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3.1290803390112789E-3</v>
      </c>
      <c r="Q153" s="305">
        <f t="shared" si="53"/>
        <v>0.7</v>
      </c>
      <c r="R153" s="177">
        <f t="shared" si="54"/>
        <v>0.6436930010600781</v>
      </c>
      <c r="S153" s="919">
        <f t="shared" si="55"/>
        <v>0</v>
      </c>
      <c r="T153" s="176">
        <f t="shared" si="56"/>
        <v>6</v>
      </c>
      <c r="U153" s="251">
        <f t="shared" si="57"/>
        <v>0.6436930010600781</v>
      </c>
      <c r="V153" s="383">
        <f t="shared" si="58"/>
        <v>56.613919585306462</v>
      </c>
      <c r="W153" s="402">
        <f t="shared" si="59"/>
        <v>54.212595712103841</v>
      </c>
      <c r="X153" s="157">
        <f t="shared" si="60"/>
        <v>45065</v>
      </c>
      <c r="Y153" s="385">
        <f t="shared" si="61"/>
        <v>48.506668151844885</v>
      </c>
      <c r="Z153" s="385">
        <f t="shared" si="62"/>
        <v>50.481563440293506</v>
      </c>
      <c r="AA153" s="386">
        <f t="shared" si="63"/>
        <v>57.041212205383552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0.11499841099924844</v>
      </c>
      <c r="AD153" s="231">
        <f>(INDEX(Models!$BJ153:$BT153,,AH153)*(1-AF153)+INDEX(Models!$BJ153:$BT153,,AH153+1)*AF153-ERP_i)*AE153*Ramure*Pc/MaxiM</f>
        <v>3.1290803390112789E-3</v>
      </c>
      <c r="AE153" s="305">
        <f t="shared" si="65"/>
        <v>0.7</v>
      </c>
      <c r="AF153" s="177">
        <f t="shared" si="66"/>
        <v>0.6436930010600781</v>
      </c>
      <c r="AG153" s="919">
        <f t="shared" si="74"/>
        <v>0</v>
      </c>
      <c r="AH153" s="176">
        <f t="shared" si="67"/>
        <v>6</v>
      </c>
      <c r="AI153" s="225">
        <f t="shared" si="68"/>
        <v>0.6436930010600781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1090">
        <f>IF(t&gt;Tmaj,'2022'!Wh/'2022'!Env_an*'2023'!Env_an,0.001*[7]mois!$B$57)</f>
        <v>49.169217205270428</v>
      </c>
      <c r="C154" s="953"/>
      <c r="D154" s="393">
        <f t="shared" si="50"/>
        <v>51.172208247562388</v>
      </c>
      <c r="E154" s="385">
        <f t="shared" si="72"/>
        <v>51.743605344022029</v>
      </c>
      <c r="F154" s="385">
        <f t="shared" si="51"/>
        <v>51.880847135714063</v>
      </c>
      <c r="G154" s="110">
        <f t="shared" si="73"/>
        <v>0.86817957458840755</v>
      </c>
      <c r="H154" s="412" t="b">
        <f>Wh_hp&gt;='2022'!Maxi_hp</f>
        <v>0</v>
      </c>
      <c r="I154" s="390">
        <f>IF(H154,Wh_hp,'2022'!Maxi_hp)</f>
        <v>61.745336141235896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3.9142165462194511E-2</v>
      </c>
      <c r="M154" s="957"/>
      <c r="N154" s="957"/>
      <c r="O154" s="48">
        <f>IF(t&lt;Tnet,'2022'!Resal+('2022'!Salim-'2022'!Resal)*(1-EXP(('2022'!Tnet-t)/('2022'!Tau_j))),Resal+(Salim-Resal)*(1-EXP((Tnet-t)/(Tau_j))))*Salcycl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3.2560072263780951E-3</v>
      </c>
      <c r="Q154" s="305">
        <f t="shared" si="53"/>
        <v>0.7</v>
      </c>
      <c r="R154" s="177">
        <f t="shared" si="54"/>
        <v>0.64795201636773869</v>
      </c>
      <c r="S154" s="919">
        <f t="shared" si="55"/>
        <v>0</v>
      </c>
      <c r="T154" s="176">
        <f t="shared" si="56"/>
        <v>6</v>
      </c>
      <c r="U154" s="251">
        <f t="shared" si="57"/>
        <v>0.64795201636773869</v>
      </c>
      <c r="V154" s="383">
        <f t="shared" si="58"/>
        <v>56.600169274341177</v>
      </c>
      <c r="W154" s="402">
        <f t="shared" si="59"/>
        <v>49.169217205270428</v>
      </c>
      <c r="X154" s="157">
        <f t="shared" si="60"/>
        <v>45066</v>
      </c>
      <c r="Y154" s="385">
        <f t="shared" si="61"/>
        <v>43.995278084799516</v>
      </c>
      <c r="Z154" s="385">
        <f t="shared" si="62"/>
        <v>45.787499985325347</v>
      </c>
      <c r="AA154" s="386">
        <f t="shared" si="63"/>
        <v>51.743605344022029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0.11510804705425867</v>
      </c>
      <c r="AD154" s="231">
        <f>(INDEX(Models!$BJ154:$BT154,,AH154)*(1-AF154)+INDEX(Models!$BJ154:$BT154,,AH154+1)*AF154-ERP_i)*AE154*Ramure*Pc/MaxiM</f>
        <v>3.2560072263780951E-3</v>
      </c>
      <c r="AE154" s="305">
        <f t="shared" si="65"/>
        <v>0.7</v>
      </c>
      <c r="AF154" s="177">
        <f t="shared" si="66"/>
        <v>0.64795201636773869</v>
      </c>
      <c r="AG154" s="919">
        <f t="shared" si="74"/>
        <v>0</v>
      </c>
      <c r="AH154" s="176">
        <f t="shared" si="67"/>
        <v>6</v>
      </c>
      <c r="AI154" s="225">
        <f t="shared" si="68"/>
        <v>0.64795201636773869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1090">
        <f>IF(t&gt;Tmaj,'2022'!Wh/'2022'!Env_an*'2023'!Env_an,0.001*[7]mois!$B$58)</f>
        <v>49.767681288102715</v>
      </c>
      <c r="C155" s="953"/>
      <c r="D155" s="393">
        <f t="shared" si="50"/>
        <v>51.796186244204812</v>
      </c>
      <c r="E155" s="385">
        <f t="shared" si="72"/>
        <v>52.382436352218598</v>
      </c>
      <c r="F155" s="385">
        <f t="shared" si="51"/>
        <v>52.52963660689776</v>
      </c>
      <c r="G155" s="110">
        <f t="shared" si="73"/>
        <v>0.87902882968874485</v>
      </c>
      <c r="H155" s="412" t="b">
        <f>Wh_hp&gt;='2022'!Maxi_hp</f>
        <v>0</v>
      </c>
      <c r="I155" s="390">
        <f>IF(H155,Wh_hp,'2022'!Maxi_hp)</f>
        <v>58.246676654523853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3.9163210714747487E-2</v>
      </c>
      <c r="M155" s="957"/>
      <c r="N155" s="957"/>
      <c r="O155" s="48">
        <f>IF(t&lt;Tnet,'2022'!Resal+('2022'!Salim-'2022'!Resal)*(1-EXP(('2022'!Tnet-t)/('2022'!Tau_j))),Resal+(Salim-Resal)*(1-EXP((Tnet-t)/(Tau_j))))*Salcycl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3.3846742428352873E-3</v>
      </c>
      <c r="Q155" s="305">
        <f t="shared" si="53"/>
        <v>0.7</v>
      </c>
      <c r="R155" s="177">
        <f t="shared" si="54"/>
        <v>0.65228278388868155</v>
      </c>
      <c r="S155" s="919">
        <f t="shared" si="55"/>
        <v>0</v>
      </c>
      <c r="T155" s="176">
        <f t="shared" si="56"/>
        <v>6</v>
      </c>
      <c r="U155" s="251">
        <f t="shared" si="57"/>
        <v>0.65228278388868155</v>
      </c>
      <c r="V155" s="383">
        <f t="shared" si="58"/>
        <v>56.583597007307169</v>
      </c>
      <c r="W155" s="402">
        <f t="shared" si="59"/>
        <v>49.767681288102715</v>
      </c>
      <c r="X155" s="157">
        <f t="shared" si="60"/>
        <v>45067</v>
      </c>
      <c r="Y155" s="385">
        <f t="shared" si="61"/>
        <v>44.53193147734288</v>
      </c>
      <c r="Z155" s="385">
        <f t="shared" si="62"/>
        <v>46.347029978389259</v>
      </c>
      <c r="AA155" s="386">
        <f t="shared" si="63"/>
        <v>52.382436352218598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0.11521813023829917</v>
      </c>
      <c r="AD155" s="231">
        <f>(INDEX(Models!$BJ155:$BT155,,AH155)*(1-AF155)+INDEX(Models!$BJ155:$BT155,,AH155+1)*AF155-ERP_i)*AE155*Ramure*Pc/MaxiM</f>
        <v>3.3846742428352873E-3</v>
      </c>
      <c r="AE155" s="305">
        <f t="shared" si="65"/>
        <v>0.7</v>
      </c>
      <c r="AF155" s="177">
        <f t="shared" si="66"/>
        <v>0.65228278388868155</v>
      </c>
      <c r="AG155" s="919">
        <f t="shared" si="74"/>
        <v>0</v>
      </c>
      <c r="AH155" s="176">
        <f t="shared" si="67"/>
        <v>6</v>
      </c>
      <c r="AI155" s="225">
        <f t="shared" si="68"/>
        <v>0.65228278388868155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1090">
        <f>IF(t&gt;Tmaj,'2022'!Wh/'2022'!Env_an*'2023'!Env_an,0.001*[7]mois!$B$59)</f>
        <v>38.067101901147659</v>
      </c>
      <c r="C156" s="953"/>
      <c r="D156" s="393">
        <f t="shared" si="50"/>
        <v>39.619565061570924</v>
      </c>
      <c r="E156" s="385">
        <f t="shared" si="72"/>
        <v>40.074032082028552</v>
      </c>
      <c r="F156" s="385">
        <f t="shared" si="51"/>
        <v>40.149236798458574</v>
      </c>
      <c r="G156" s="110">
        <f t="shared" si="73"/>
        <v>0.67188094095864892</v>
      </c>
      <c r="H156" s="412" t="b">
        <f>Wh_hp&gt;='2022'!Maxi_hp</f>
        <v>0</v>
      </c>
      <c r="I156" s="390">
        <f>IF(H156,Wh_hp,'2022'!Maxi_hp)</f>
        <v>58.677512490213942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3.9184255506355403E-2</v>
      </c>
      <c r="M156" s="957"/>
      <c r="N156" s="957"/>
      <c r="O156" s="48">
        <f>IF(t&lt;Tnet,'2022'!Resal+('2022'!Salim-'2022'!Resal)*(1-EXP(('2022'!Tnet-t)/('2022'!Tau_j))),Resal+(Salim-Resal)*(1-EXP((Tnet-t)/(Tau_j))))*Salcycl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3.5153672792253825E-3</v>
      </c>
      <c r="Q156" s="305">
        <f t="shared" si="53"/>
        <v>0.7</v>
      </c>
      <c r="R156" s="177">
        <f t="shared" si="54"/>
        <v>0.65668338413423721</v>
      </c>
      <c r="S156" s="919">
        <f t="shared" si="55"/>
        <v>0</v>
      </c>
      <c r="T156" s="176">
        <f t="shared" si="56"/>
        <v>6</v>
      </c>
      <c r="U156" s="251">
        <f t="shared" si="57"/>
        <v>0.65668338413423721</v>
      </c>
      <c r="V156" s="383">
        <f t="shared" si="58"/>
        <v>56.564291423285866</v>
      </c>
      <c r="W156" s="402">
        <f t="shared" si="59"/>
        <v>38.067101901147659</v>
      </c>
      <c r="X156" s="157">
        <f t="shared" si="60"/>
        <v>45068</v>
      </c>
      <c r="Y156" s="385">
        <f t="shared" si="61"/>
        <v>34.063177228108614</v>
      </c>
      <c r="Z156" s="385">
        <f t="shared" si="62"/>
        <v>35.45235121647606</v>
      </c>
      <c r="AA156" s="386">
        <f t="shared" si="63"/>
        <v>40.074032082028552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0.11532857128257672</v>
      </c>
      <c r="AD156" s="231">
        <f>(INDEX(Models!$BJ156:$BT156,,AH156)*(1-AF156)+INDEX(Models!$BJ156:$BT156,,AH156+1)*AF156-ERP_i)*AE156*Ramure*Pc/MaxiM</f>
        <v>3.5153672792253825E-3</v>
      </c>
      <c r="AE156" s="305">
        <f t="shared" si="65"/>
        <v>0.7</v>
      </c>
      <c r="AF156" s="177">
        <f t="shared" si="66"/>
        <v>0.65668338413423721</v>
      </c>
      <c r="AG156" s="919">
        <f t="shared" si="74"/>
        <v>0</v>
      </c>
      <c r="AH156" s="176">
        <f t="shared" si="67"/>
        <v>6</v>
      </c>
      <c r="AI156" s="225">
        <f t="shared" si="68"/>
        <v>0.65668338413423721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1090">
        <f>IF(t&gt;Tmaj,'2022'!Wh/'2022'!Env_an*'2023'!Env_an,0.001*[7]mois!$B$60)</f>
        <v>17.778608720467744</v>
      </c>
      <c r="C157" s="953"/>
      <c r="D157" s="393">
        <f t="shared" si="50"/>
        <v>18.504066183391842</v>
      </c>
      <c r="E157" s="385">
        <f t="shared" si="72"/>
        <v>18.719143780572978</v>
      </c>
      <c r="F157" s="385">
        <f t="shared" si="51"/>
        <v>18.720551567039358</v>
      </c>
      <c r="G157" s="110">
        <f t="shared" si="73"/>
        <v>0.31330641005631699</v>
      </c>
      <c r="H157" s="412" t="b">
        <f>Wh_hp&gt;='2022'!Maxi_hp</f>
        <v>0</v>
      </c>
      <c r="I157" s="390">
        <f>IF(H157,Wh_hp,'2022'!Maxi_hp)</f>
        <v>53.955691624579302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3.9205299837028473E-2</v>
      </c>
      <c r="M157" s="957"/>
      <c r="N157" s="957"/>
      <c r="O157" s="48">
        <f>IF(t&lt;Tnet,'2022'!Resal+('2022'!Salim-'2022'!Resal)*(1-EXP(('2022'!Tnet-t)/('2022'!Tau_j))),Resal+(Salim-Resal)*(1-EXP((Tnet-t)/(Tau_j))))*Salcycl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3.6479871366466368E-3</v>
      </c>
      <c r="Q157" s="305">
        <f t="shared" si="53"/>
        <v>0.7</v>
      </c>
      <c r="R157" s="177">
        <f t="shared" si="54"/>
        <v>0.66115171546600948</v>
      </c>
      <c r="S157" s="919">
        <f t="shared" si="55"/>
        <v>0</v>
      </c>
      <c r="T157" s="176">
        <f t="shared" si="56"/>
        <v>6</v>
      </c>
      <c r="U157" s="251">
        <f t="shared" si="57"/>
        <v>0.66115171546600948</v>
      </c>
      <c r="V157" s="383">
        <f t="shared" si="58"/>
        <v>56.542362975188091</v>
      </c>
      <c r="W157" s="402">
        <f t="shared" si="59"/>
        <v>17.778608720467744</v>
      </c>
      <c r="X157" s="157">
        <f t="shared" si="60"/>
        <v>45069</v>
      </c>
      <c r="Y157" s="385">
        <f t="shared" si="61"/>
        <v>15.909049373234678</v>
      </c>
      <c r="Z157" s="385">
        <f t="shared" si="62"/>
        <v>16.558219326705444</v>
      </c>
      <c r="AA157" s="386">
        <f t="shared" si="63"/>
        <v>18.719143780572978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0.11543927859083891</v>
      </c>
      <c r="AD157" s="231">
        <f>(INDEX(Models!$BJ157:$BT157,,AH157)*(1-AF157)+INDEX(Models!$BJ157:$BT157,,AH157+1)*AF157-ERP_i)*AE157*Ramure*Pc/MaxiM</f>
        <v>3.6479871366466368E-3</v>
      </c>
      <c r="AE157" s="305">
        <f t="shared" si="65"/>
        <v>0.7</v>
      </c>
      <c r="AF157" s="177">
        <f t="shared" si="66"/>
        <v>0.66115171546600948</v>
      </c>
      <c r="AG157" s="919">
        <f t="shared" si="74"/>
        <v>0</v>
      </c>
      <c r="AH157" s="176">
        <f t="shared" si="67"/>
        <v>6</v>
      </c>
      <c r="AI157" s="225">
        <f t="shared" si="68"/>
        <v>0.66115171546600948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1090">
        <f>IF(t&gt;Tmaj,'2022'!Wh/'2022'!Env_an*'2023'!Env_an,0.001*[7]mois!$B$61)</f>
        <v>16.899099761351689</v>
      </c>
      <c r="C158" s="953"/>
      <c r="D158" s="393">
        <f t="shared" si="50"/>
        <v>17.589054040626365</v>
      </c>
      <c r="E158" s="385">
        <f t="shared" si="72"/>
        <v>17.796180286994392</v>
      </c>
      <c r="F158" s="385">
        <f t="shared" si="51"/>
        <v>17.796180286994392</v>
      </c>
      <c r="G158" s="110">
        <f t="shared" si="73"/>
        <v>0.29787330125246003</v>
      </c>
      <c r="H158" s="412" t="b">
        <f>Wh_hp&gt;='2022'!Maxi_hp</f>
        <v>0</v>
      </c>
      <c r="I158" s="390">
        <f>IF(H158,Wh_hp,'2022'!Maxi_hp)</f>
        <v>25.770368698840517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3.9226343706776579E-2</v>
      </c>
      <c r="M158" s="957"/>
      <c r="N158" s="957"/>
      <c r="O158" s="48">
        <f>IF(t&lt;Tnet,'2022'!Resal+('2022'!Salim-'2022'!Resal)*(1-EXP(('2022'!Tnet-t)/('2022'!Tau_j))),Resal+(Salim-Resal)*(1-EXP((Tnet-t)/(Tau_j))))*Salcycl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3.7824990047008252E-3</v>
      </c>
      <c r="Q158" s="305">
        <f t="shared" si="53"/>
        <v>0.7</v>
      </c>
      <c r="R158" s="177">
        <f t="shared" si="54"/>
        <v>0.66568549499683904</v>
      </c>
      <c r="S158" s="919">
        <f t="shared" si="55"/>
        <v>0</v>
      </c>
      <c r="T158" s="176">
        <f t="shared" si="56"/>
        <v>6</v>
      </c>
      <c r="U158" s="251">
        <f t="shared" si="57"/>
        <v>0.66568549499683904</v>
      </c>
      <c r="V158" s="383">
        <f t="shared" si="58"/>
        <v>56.5179183986534</v>
      </c>
      <c r="W158" s="402">
        <f t="shared" si="59"/>
        <v>16.899099761351689</v>
      </c>
      <c r="X158" s="157">
        <f t="shared" si="60"/>
        <v>45070</v>
      </c>
      <c r="Y158" s="385">
        <f t="shared" si="61"/>
        <v>15.122412898481613</v>
      </c>
      <c r="Z158" s="385">
        <f t="shared" si="62"/>
        <v>15.739828834218502</v>
      </c>
      <c r="AA158" s="386">
        <f t="shared" si="63"/>
        <v>17.796180286994392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0.11555015849545476</v>
      </c>
      <c r="AD158" s="231">
        <f>(INDEX(Models!$BJ158:$BT158,,AH158)*(1-AF158)+INDEX(Models!$BJ158:$BT158,,AH158+1)*AF158-ERP_i)*AE158*Ramure*Pc/MaxiM</f>
        <v>3.7824990047008252E-3</v>
      </c>
      <c r="AE158" s="305">
        <f t="shared" si="65"/>
        <v>0.7</v>
      </c>
      <c r="AF158" s="177">
        <f t="shared" si="66"/>
        <v>0.66568549499683904</v>
      </c>
      <c r="AG158" s="919">
        <f t="shared" si="74"/>
        <v>0</v>
      </c>
      <c r="AH158" s="176">
        <f t="shared" si="67"/>
        <v>6</v>
      </c>
      <c r="AI158" s="225">
        <f t="shared" si="68"/>
        <v>0.66568549499683904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1090">
        <f>IF(t&gt;Tmaj,'2022'!Wh/'2022'!Env_an*'2023'!Env_an,0.001*[7]mois!$B$62)</f>
        <v>39.363151415871762</v>
      </c>
      <c r="C159" s="953"/>
      <c r="D159" s="393">
        <f t="shared" si="50"/>
        <v>40.971162490721674</v>
      </c>
      <c r="E159" s="385">
        <f t="shared" si="72"/>
        <v>41.459889483056735</v>
      </c>
      <c r="F159" s="385">
        <f t="shared" si="51"/>
        <v>41.552196226790144</v>
      </c>
      <c r="G159" s="110">
        <f t="shared" si="73"/>
        <v>0.69561775757975219</v>
      </c>
      <c r="H159" s="412" t="b">
        <f>Wh_hp&gt;='2022'!Maxi_hp</f>
        <v>0</v>
      </c>
      <c r="I159" s="390">
        <f>IF(H159,Wh_hp,'2022'!Maxi_hp)</f>
        <v>55.122596698708996</v>
      </c>
      <c r="J159" s="85">
        <f>IF(H159,An,'2022'!An_max)</f>
        <v>2021</v>
      </c>
      <c r="K159" s="197">
        <f t="shared" si="52"/>
        <v>45071</v>
      </c>
      <c r="L159" s="147">
        <f>IF(t&lt;Tvie,1-EXP((T0-t)*PertePVj)+'2022'!Pspv,1-EXP((T0-t)*PertePVj)+Pspv)</f>
        <v>3.9247387115610044E-2</v>
      </c>
      <c r="M159" s="957"/>
      <c r="N159" s="957"/>
      <c r="O159" s="48">
        <f>IF(t&lt;Tnet,'2022'!Resal+('2022'!Salim-'2022'!Resal)*(1-EXP(('2022'!Tnet-t)/('2022'!Tau_j))),Resal+(Salim-Resal)*(1-EXP((Tnet-t)/(Tau_j))))*Salcycl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3.9188836360594601E-3</v>
      </c>
      <c r="Q159" s="305">
        <f t="shared" si="53"/>
        <v>0.7</v>
      </c>
      <c r="R159" s="177">
        <f t="shared" si="54"/>
        <v>0.67028226041455607</v>
      </c>
      <c r="S159" s="919">
        <f t="shared" si="55"/>
        <v>0</v>
      </c>
      <c r="T159" s="176">
        <f t="shared" si="56"/>
        <v>6</v>
      </c>
      <c r="U159" s="251">
        <f t="shared" si="57"/>
        <v>0.67028226041455607</v>
      </c>
      <c r="V159" s="383">
        <f t="shared" si="58"/>
        <v>56.491063484273944</v>
      </c>
      <c r="W159" s="402">
        <f t="shared" si="59"/>
        <v>39.363151415871762</v>
      </c>
      <c r="X159" s="157">
        <f t="shared" si="60"/>
        <v>45071</v>
      </c>
      <c r="Y159" s="385">
        <f t="shared" si="61"/>
        <v>35.22560296364103</v>
      </c>
      <c r="Z159" s="385">
        <f t="shared" si="62"/>
        <v>36.664592415612638</v>
      </c>
      <c r="AA159" s="386">
        <f t="shared" si="63"/>
        <v>41.459889483056735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0.11566111553200772</v>
      </c>
      <c r="AD159" s="231">
        <f>(INDEX(Models!$BJ159:$BT159,,AH159)*(1-AF159)+INDEX(Models!$BJ159:$BT159,,AH159+1)*AF159-ERP_i)*AE159*Ramure*Pc/MaxiM</f>
        <v>3.9188836360594601E-3</v>
      </c>
      <c r="AE159" s="305">
        <f t="shared" si="65"/>
        <v>0.7</v>
      </c>
      <c r="AF159" s="177">
        <f t="shared" si="66"/>
        <v>0.67028226041455607</v>
      </c>
      <c r="AG159" s="919">
        <f t="shared" si="74"/>
        <v>0</v>
      </c>
      <c r="AH159" s="176">
        <f t="shared" si="67"/>
        <v>6</v>
      </c>
      <c r="AI159" s="225">
        <f t="shared" si="68"/>
        <v>0.67028226041455607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1090">
        <f>IF(t&gt;Tmaj,'2022'!Wh/'2022'!Env_an*'2023'!Env_an,0.001*[7]mois!$B$63)</f>
        <v>26.784756774276218</v>
      </c>
      <c r="C160" s="953"/>
      <c r="D160" s="393">
        <f t="shared" si="50"/>
        <v>27.879542644828096</v>
      </c>
      <c r="E160" s="385">
        <f t="shared" si="72"/>
        <v>28.21636519791295</v>
      </c>
      <c r="F160" s="385">
        <f t="shared" si="51"/>
        <v>28.244912969789819</v>
      </c>
      <c r="G160" s="110">
        <f t="shared" si="73"/>
        <v>0.47293972197051948</v>
      </c>
      <c r="H160" s="412" t="b">
        <f>Wh_hp&gt;='2022'!Maxi_hp</f>
        <v>0</v>
      </c>
      <c r="I160" s="390">
        <f>IF(H160,Wh_hp,'2022'!Maxi_hp)</f>
        <v>58.823190702914935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3.9268430063538751E-2</v>
      </c>
      <c r="M160" s="957"/>
      <c r="N160" s="957"/>
      <c r="O160" s="48">
        <f>IF(t&lt;Tnet,'2022'!Resal+('2022'!Salim-'2022'!Resal)*(1-EXP(('2022'!Tnet-t)/('2022'!Tau_j))),Resal+(Salim-Resal)*(1-EXP((Tnet-t)/(Tau_j))))*Salcycl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4.0571169243294736E-3</v>
      </c>
      <c r="Q160" s="305">
        <f t="shared" si="53"/>
        <v>0.7</v>
      </c>
      <c r="R160" s="177">
        <f t="shared" si="54"/>
        <v>0.6749393727553884</v>
      </c>
      <c r="S160" s="919">
        <f t="shared" si="55"/>
        <v>0</v>
      </c>
      <c r="T160" s="176">
        <f t="shared" si="56"/>
        <v>6</v>
      </c>
      <c r="U160" s="251">
        <f t="shared" si="57"/>
        <v>0.6749393727553884</v>
      </c>
      <c r="V160" s="383">
        <f t="shared" si="58"/>
        <v>56.461904228939687</v>
      </c>
      <c r="W160" s="402">
        <f t="shared" si="59"/>
        <v>26.784756774276218</v>
      </c>
      <c r="X160" s="157">
        <f t="shared" si="60"/>
        <v>45072</v>
      </c>
      <c r="Y160" s="385">
        <f t="shared" si="61"/>
        <v>23.969963180678295</v>
      </c>
      <c r="Z160" s="385">
        <f t="shared" si="62"/>
        <v>24.949698678334851</v>
      </c>
      <c r="AA160" s="386">
        <f t="shared" si="63"/>
        <v>28.21636519791295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0.11577205273128945</v>
      </c>
      <c r="AD160" s="231">
        <f>(INDEX(Models!$BJ160:$BT160,,AH160)*(1-AF160)+INDEX(Models!$BJ160:$BT160,,AH160+1)*AF160-ERP_i)*AE160*Ramure*Pc/MaxiM</f>
        <v>4.0571169243294736E-3</v>
      </c>
      <c r="AE160" s="305">
        <f t="shared" si="65"/>
        <v>0.7</v>
      </c>
      <c r="AF160" s="177">
        <f t="shared" si="66"/>
        <v>0.6749393727553884</v>
      </c>
      <c r="AG160" s="919">
        <f t="shared" si="74"/>
        <v>0</v>
      </c>
      <c r="AH160" s="176">
        <f t="shared" si="67"/>
        <v>6</v>
      </c>
      <c r="AI160" s="225">
        <f t="shared" si="68"/>
        <v>0.6749393727553884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1090">
        <f>IF(t&gt;Tmaj,'2022'!Wh/'2022'!Env_an*'2023'!Env_an,0.001*[7]mois!$B$64)</f>
        <v>42.683698569554466</v>
      </c>
      <c r="C161" s="953"/>
      <c r="D161" s="393">
        <f t="shared" si="50"/>
        <v>44.429302427729858</v>
      </c>
      <c r="E161" s="385">
        <f t="shared" si="72"/>
        <v>44.972860399970607</v>
      </c>
      <c r="F161" s="385">
        <f t="shared" si="51"/>
        <v>45.096267045612166</v>
      </c>
      <c r="G161" s="110">
        <f t="shared" si="73"/>
        <v>0.75528563444801267</v>
      </c>
      <c r="H161" s="412" t="b">
        <f>Wh_hp&gt;='2022'!Maxi_hp</f>
        <v>0</v>
      </c>
      <c r="I161" s="390">
        <f>IF(H161,Wh_hp,'2022'!Maxi_hp)</f>
        <v>60.55384086599669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3.9289472550572913E-2</v>
      </c>
      <c r="M161" s="957"/>
      <c r="N161" s="957"/>
      <c r="O161" s="48">
        <f>IF(t&lt;Tnet,'2022'!Resal+('2022'!Salim-'2022'!Resal)*(1-EXP(('2022'!Tnet-t)/('2022'!Tau_j))),Resal+(Salim-Resal)*(1-EXP((Tnet-t)/(Tau_j))))*Salcycl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4.1971698845076448E-3</v>
      </c>
      <c r="Q161" s="305">
        <f t="shared" si="53"/>
        <v>0.7</v>
      </c>
      <c r="R161" s="177">
        <f t="shared" si="54"/>
        <v>0.67965402014636433</v>
      </c>
      <c r="S161" s="919">
        <f t="shared" si="55"/>
        <v>0</v>
      </c>
      <c r="T161" s="176">
        <f t="shared" si="56"/>
        <v>6</v>
      </c>
      <c r="U161" s="251">
        <f t="shared" si="57"/>
        <v>0.67965402014636433</v>
      </c>
      <c r="V161" s="383">
        <f t="shared" si="58"/>
        <v>56.43054683700214</v>
      </c>
      <c r="W161" s="402">
        <f t="shared" si="59"/>
        <v>42.683698569554466</v>
      </c>
      <c r="X161" s="157">
        <f t="shared" si="60"/>
        <v>45073</v>
      </c>
      <c r="Y161" s="385">
        <f t="shared" si="61"/>
        <v>38.199076609059503</v>
      </c>
      <c r="Z161" s="385">
        <f t="shared" si="62"/>
        <v>39.761276178032041</v>
      </c>
      <c r="AA161" s="386">
        <f t="shared" si="63"/>
        <v>44.972860399970607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0.11588287192739841</v>
      </c>
      <c r="AD161" s="231">
        <f>(INDEX(Models!$BJ161:$BT161,,AH161)*(1-AF161)+INDEX(Models!$BJ161:$BT161,,AH161+1)*AF161-ERP_i)*AE161*Ramure*Pc/MaxiM</f>
        <v>4.1971698845076448E-3</v>
      </c>
      <c r="AE161" s="305">
        <f t="shared" si="65"/>
        <v>0.7</v>
      </c>
      <c r="AF161" s="177">
        <f t="shared" si="66"/>
        <v>0.67965402014636433</v>
      </c>
      <c r="AG161" s="919">
        <f t="shared" si="74"/>
        <v>0</v>
      </c>
      <c r="AH161" s="176">
        <f t="shared" si="67"/>
        <v>6</v>
      </c>
      <c r="AI161" s="225">
        <f t="shared" si="68"/>
        <v>0.67965402014636433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1090">
        <f>IF(t&gt;Tmaj,'2022'!Wh/'2022'!Env_an*'2023'!Env_an,0.001*[7]mois!$B$65)</f>
        <v>52.570779619368281</v>
      </c>
      <c r="C162" s="953"/>
      <c r="D162" s="393">
        <f t="shared" si="50"/>
        <v>54.721926717253211</v>
      </c>
      <c r="E162" s="385">
        <f t="shared" si="72"/>
        <v>55.399776113515244</v>
      </c>
      <c r="F162" s="385">
        <f t="shared" si="51"/>
        <v>55.617711863617174</v>
      </c>
      <c r="G162" s="110">
        <f t="shared" si="73"/>
        <v>0.93176043060521985</v>
      </c>
      <c r="H162" s="412" t="b">
        <f>Wh_hp&gt;='2022'!Maxi_hp</f>
        <v>0</v>
      </c>
      <c r="I162" s="390">
        <f>IF(H162,Wh_hp,'2022'!Maxi_hp)</f>
        <v>57.676626455771242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3.9310514576722633E-2</v>
      </c>
      <c r="M162" s="957"/>
      <c r="N162" s="957"/>
      <c r="O162" s="48">
        <f>IF(t&lt;Tnet,'2022'!Resal+('2022'!Salim-'2022'!Resal)*(1-EXP(('2022'!Tnet-t)/('2022'!Tau_j))),Resal+(Salim-Resal)*(1-EXP((Tnet-t)/(Tau_j))))*Salcycl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4.3390086586968966E-3</v>
      </c>
      <c r="Q162" s="305">
        <f t="shared" si="53"/>
        <v>0.7</v>
      </c>
      <c r="R162" s="177">
        <f t="shared" si="54"/>
        <v>0.68442322252790666</v>
      </c>
      <c r="S162" s="919">
        <f t="shared" si="55"/>
        <v>0</v>
      </c>
      <c r="T162" s="176">
        <f t="shared" si="56"/>
        <v>6</v>
      </c>
      <c r="U162" s="251">
        <f t="shared" si="57"/>
        <v>0.68442322252790666</v>
      </c>
      <c r="V162" s="383">
        <f t="shared" si="58"/>
        <v>56.397097711483319</v>
      </c>
      <c r="W162" s="402">
        <f t="shared" si="59"/>
        <v>52.570779619368281</v>
      </c>
      <c r="X162" s="157">
        <f t="shared" si="60"/>
        <v>45074</v>
      </c>
      <c r="Y162" s="385">
        <f t="shared" si="61"/>
        <v>47.048579770213351</v>
      </c>
      <c r="Z162" s="385">
        <f t="shared" si="62"/>
        <v>48.973763618828265</v>
      </c>
      <c r="AA162" s="386">
        <f t="shared" si="63"/>
        <v>55.399776113515244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0.11599347408047192</v>
      </c>
      <c r="AD162" s="231">
        <f>(INDEX(Models!$BJ162:$BT162,,AH162)*(1-AF162)+INDEX(Models!$BJ162:$BT162,,AH162+1)*AF162-ERP_i)*AE162*Ramure*Pc/MaxiM</f>
        <v>4.3390086586968966E-3</v>
      </c>
      <c r="AE162" s="305">
        <f t="shared" si="65"/>
        <v>0.7</v>
      </c>
      <c r="AF162" s="177">
        <f t="shared" si="66"/>
        <v>0.68442322252790666</v>
      </c>
      <c r="AG162" s="919">
        <f t="shared" si="74"/>
        <v>0</v>
      </c>
      <c r="AH162" s="176">
        <f t="shared" si="67"/>
        <v>6</v>
      </c>
      <c r="AI162" s="225">
        <f t="shared" si="68"/>
        <v>0.68442322252790666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1090">
        <f>IF(t&gt;Tmaj,'2022'!Wh/'2022'!Env_an*'2023'!Env_an,0.001*[7]mois!$B$66)</f>
        <v>56.915508196123945</v>
      </c>
      <c r="C163" s="953"/>
      <c r="D163" s="393">
        <f t="shared" si="50"/>
        <v>59.245735154528219</v>
      </c>
      <c r="E163" s="385">
        <f t="shared" si="72"/>
        <v>59.988686119707182</v>
      </c>
      <c r="F163" s="385">
        <f t="shared" si="51"/>
        <v>60.258802059722235</v>
      </c>
      <c r="G163" s="110">
        <f t="shared" si="73"/>
        <v>1.0098272319624235</v>
      </c>
      <c r="H163" s="412" t="b">
        <f>Wh_hp&gt;='2022'!Maxi_hp</f>
        <v>1</v>
      </c>
      <c r="I163" s="390">
        <f>IF(H163,Wh_hp,'2022'!Maxi_hp)</f>
        <v>60.258802059722235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3.9331556141998014E-2</v>
      </c>
      <c r="M163" s="957"/>
      <c r="N163" s="957"/>
      <c r="O163" s="48">
        <f>IF(t&lt;Tnet,'2022'!Resal+('2022'!Salim-'2022'!Resal)*(1-EXP(('2022'!Tnet-t)/('2022'!Tau_j))),Resal+(Salim-Resal)*(1-EXP((Tnet-t)/(Tau_j))))*Salcycl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4.4825972435917792E-3</v>
      </c>
      <c r="Q163" s="305">
        <f t="shared" si="53"/>
        <v>0.7</v>
      </c>
      <c r="R163" s="177">
        <f t="shared" si="54"/>
        <v>0.68924383735912864</v>
      </c>
      <c r="S163" s="919">
        <f t="shared" si="55"/>
        <v>0</v>
      </c>
      <c r="T163" s="176">
        <f t="shared" si="56"/>
        <v>6</v>
      </c>
      <c r="U163" s="251">
        <f t="shared" si="57"/>
        <v>0.68924383735912864</v>
      </c>
      <c r="V163" s="383">
        <f t="shared" si="58"/>
        <v>56.361629390325085</v>
      </c>
      <c r="W163" s="402">
        <f t="shared" si="59"/>
        <v>56.915508196123945</v>
      </c>
      <c r="X163" s="157">
        <f t="shared" si="60"/>
        <v>45075</v>
      </c>
      <c r="Y163" s="385">
        <f t="shared" si="61"/>
        <v>50.938266578063534</v>
      </c>
      <c r="Z163" s="385">
        <f t="shared" si="62"/>
        <v>53.023774127000266</v>
      </c>
      <c r="AA163" s="386">
        <f t="shared" si="63"/>
        <v>59.988686119707182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0.11610375961241191</v>
      </c>
      <c r="AD163" s="231">
        <f>(INDEX(Models!$BJ163:$BT163,,AH163)*(1-AF163)+INDEX(Models!$BJ163:$BT163,,AH163+1)*AF163-ERP_i)*AE163*Ramure*Pc/MaxiM</f>
        <v>4.4825972435917792E-3</v>
      </c>
      <c r="AE163" s="305">
        <f t="shared" si="65"/>
        <v>0.7</v>
      </c>
      <c r="AF163" s="177">
        <f t="shared" si="66"/>
        <v>0.68924383735912864</v>
      </c>
      <c r="AG163" s="919">
        <f t="shared" si="74"/>
        <v>0</v>
      </c>
      <c r="AH163" s="176">
        <f t="shared" si="67"/>
        <v>6</v>
      </c>
      <c r="AI163" s="225">
        <f t="shared" si="68"/>
        <v>0.68924383735912864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1090">
        <f>IF(t&gt;Tmaj,'2022'!Wh/'2022'!Env_an*'2023'!Env_an,0.001*[7]mois!$B$67)</f>
        <v>47.686520196273023</v>
      </c>
      <c r="C164" s="953"/>
      <c r="D164" s="393">
        <f t="shared" si="50"/>
        <v>49.639982432248104</v>
      </c>
      <c r="E164" s="385">
        <f t="shared" si="72"/>
        <v>50.270072713296926</v>
      </c>
      <c r="F164" s="385">
        <f t="shared" si="51"/>
        <v>50.452341348523362</v>
      </c>
      <c r="G164" s="110">
        <f t="shared" si="73"/>
        <v>0.84578272454486947</v>
      </c>
      <c r="H164" s="412" t="b">
        <f>Wh_hp&gt;='2022'!Maxi_hp</f>
        <v>0</v>
      </c>
      <c r="I164" s="390">
        <f>IF(H164,Wh_hp,'2022'!Maxi_hp)</f>
        <v>58.524365554999449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3.9352597246409049E-2</v>
      </c>
      <c r="M164" s="957"/>
      <c r="N164" s="957"/>
      <c r="O164" s="48">
        <f>IF(t&lt;Tnet,'2022'!Resal+('2022'!Salim-'2022'!Resal)*(1-EXP(('2022'!Tnet-t)/('2022'!Tau_j))),Resal+(Salim-Resal)*(1-EXP((Tnet-t)/(Tau_j))))*Salcycl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4.6261971577371726E-3</v>
      </c>
      <c r="Q164" s="305">
        <f t="shared" si="53"/>
        <v>0.7</v>
      </c>
      <c r="R164" s="177">
        <f t="shared" si="54"/>
        <v>0.69411256629921625</v>
      </c>
      <c r="S164" s="919">
        <f t="shared" si="55"/>
        <v>0</v>
      </c>
      <c r="T164" s="176">
        <f t="shared" si="56"/>
        <v>6</v>
      </c>
      <c r="U164" s="251">
        <f t="shared" si="57"/>
        <v>0.69411256629921625</v>
      </c>
      <c r="V164" s="383">
        <f t="shared" si="58"/>
        <v>56.324175128589239</v>
      </c>
      <c r="W164" s="402">
        <f t="shared" si="59"/>
        <v>47.686520196273023</v>
      </c>
      <c r="X164" s="157">
        <f t="shared" si="60"/>
        <v>45076</v>
      </c>
      <c r="Y164" s="385">
        <f t="shared" si="61"/>
        <v>42.679647752611999</v>
      </c>
      <c r="Z164" s="385">
        <f t="shared" si="62"/>
        <v>44.428005145566878</v>
      </c>
      <c r="AA164" s="386">
        <f t="shared" si="63"/>
        <v>50.270072713296926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0.11621362875380851</v>
      </c>
      <c r="AD164" s="231">
        <f>(INDEX(Models!$BJ164:$BT164,,AH164)*(1-AF164)+INDEX(Models!$BJ164:$BT164,,AH164+1)*AF164-ERP_i)*AE164*Ramure*Pc/MaxiM</f>
        <v>4.6261971577371726E-3</v>
      </c>
      <c r="AE164" s="305">
        <f t="shared" si="65"/>
        <v>0.7</v>
      </c>
      <c r="AF164" s="177">
        <f t="shared" si="66"/>
        <v>0.69411256629921625</v>
      </c>
      <c r="AG164" s="919">
        <f t="shared" si="74"/>
        <v>0</v>
      </c>
      <c r="AH164" s="176">
        <f t="shared" si="67"/>
        <v>6</v>
      </c>
      <c r="AI164" s="225">
        <f t="shared" si="68"/>
        <v>0.69411256629921625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1090">
        <f>IF(t&gt;Tmaj,'2022'!Wh/'2022'!Env_an*'2023'!Env_an,0.001*[7]mois!$B$68)</f>
        <v>52.981219658233805</v>
      </c>
      <c r="C165" s="953"/>
      <c r="D165" s="393">
        <f t="shared" si="50"/>
        <v>55.152785461622713</v>
      </c>
      <c r="E165" s="385">
        <f t="shared" si="72"/>
        <v>55.861293293739806</v>
      </c>
      <c r="F165" s="385">
        <f t="shared" si="51"/>
        <v>56.106485984873714</v>
      </c>
      <c r="G165" s="110">
        <f t="shared" si="73"/>
        <v>0.94093086816956162</v>
      </c>
      <c r="H165" s="412" t="b">
        <f>Wh_hp&gt;='2022'!Maxi_hp</f>
        <v>0</v>
      </c>
      <c r="I165" s="390">
        <f>IF(H165,Wh_hp,'2022'!Maxi_hp)</f>
        <v>59.313017833892296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3.9373637889965951E-2</v>
      </c>
      <c r="M165" s="957"/>
      <c r="N165" s="957"/>
      <c r="O165" s="48">
        <f>IF(t&lt;Tnet,'2022'!Resal+('2022'!Salim-'2022'!Resal)*(1-EXP(('2022'!Tnet-t)/('2022'!Tau_j))),Resal+(Salim-Resal)*(1-EXP((Tnet-t)/(Tau_j))))*Salcycl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4.7700745046578962E-3</v>
      </c>
      <c r="Q165" s="305">
        <f t="shared" si="53"/>
        <v>0.7</v>
      </c>
      <c r="R165" s="177">
        <f t="shared" si="54"/>
        <v>0.69902596284884289</v>
      </c>
      <c r="S165" s="919">
        <f t="shared" si="55"/>
        <v>0</v>
      </c>
      <c r="T165" s="176">
        <f t="shared" si="56"/>
        <v>6</v>
      </c>
      <c r="U165" s="251">
        <f t="shared" si="57"/>
        <v>0.69902596284884289</v>
      </c>
      <c r="V165" s="383">
        <f t="shared" si="58"/>
        <v>56.284620842368859</v>
      </c>
      <c r="W165" s="402">
        <f t="shared" si="59"/>
        <v>52.981219658233805</v>
      </c>
      <c r="X165" s="157">
        <f t="shared" si="60"/>
        <v>45077</v>
      </c>
      <c r="Y165" s="385">
        <f t="shared" si="61"/>
        <v>47.419726768094478</v>
      </c>
      <c r="Z165" s="385">
        <f t="shared" si="62"/>
        <v>49.363341085014724</v>
      </c>
      <c r="AA165" s="386">
        <f t="shared" si="63"/>
        <v>55.861293293739806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0.11632298190012169</v>
      </c>
      <c r="AD165" s="231">
        <f>(INDEX(Models!$BJ165:$BT165,,AH165)*(1-AF165)+INDEX(Models!$BJ165:$BT165,,AH165+1)*AF165-ERP_i)*AE165*Ramure*Pc/MaxiM</f>
        <v>4.7700745046578962E-3</v>
      </c>
      <c r="AE165" s="305">
        <f t="shared" si="65"/>
        <v>0.7</v>
      </c>
      <c r="AF165" s="177">
        <f t="shared" si="66"/>
        <v>0.69902596284884289</v>
      </c>
      <c r="AG165" s="919">
        <f t="shared" si="74"/>
        <v>0</v>
      </c>
      <c r="AH165" s="176">
        <f t="shared" si="67"/>
        <v>6</v>
      </c>
      <c r="AI165" s="225">
        <f t="shared" si="68"/>
        <v>0.69902596284884289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1090">
        <f>IF(t&gt;Tmaj,'2022'!Wh/'2022'!Env_an*'2023'!Env_an,0.001*'[8]mon-tableau'!$B$37)</f>
        <v>53.848604723109126</v>
      </c>
      <c r="C166" s="953"/>
      <c r="D166" s="393">
        <f t="shared" si="50"/>
        <v>56.056950231203565</v>
      </c>
      <c r="E166" s="385">
        <f t="shared" si="72"/>
        <v>56.785655093474993</v>
      </c>
      <c r="F166" s="385">
        <f t="shared" si="51"/>
        <v>57.048953830733183</v>
      </c>
      <c r="G166" s="110">
        <f t="shared" si="73"/>
        <v>0.95714240851085863</v>
      </c>
      <c r="H166" s="412" t="b">
        <f>Wh_hp&gt;='2022'!Maxi_hp</f>
        <v>0</v>
      </c>
      <c r="I166" s="390">
        <f>IF(H166,Wh_hp,'2022'!Maxi_hp)</f>
        <v>60.331915443766647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3.9394678072678713E-2</v>
      </c>
      <c r="M166" s="957"/>
      <c r="N166" s="957"/>
      <c r="O166" s="48">
        <f>IF(t&lt;Tnet,'2022'!Resal+('2022'!Salim-'2022'!Resal)*(1-EXP(('2022'!Tnet-t)/('2022'!Tau_j))),Resal+(Salim-Resal)*(1-EXP((Tnet-t)/(Tau_j))))*Salcycl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4.9141646388513307E-3</v>
      </c>
      <c r="Q166" s="305">
        <f t="shared" si="53"/>
        <v>0.7</v>
      </c>
      <c r="R166" s="177">
        <f t="shared" si="54"/>
        <v>0.70398044092592515</v>
      </c>
      <c r="S166" s="919">
        <f t="shared" si="55"/>
        <v>0</v>
      </c>
      <c r="T166" s="176">
        <f t="shared" si="56"/>
        <v>6</v>
      </c>
      <c r="U166" s="251">
        <f t="shared" si="57"/>
        <v>0.70398044092592515</v>
      </c>
      <c r="V166" s="383">
        <f t="shared" si="58"/>
        <v>56.242871326533042</v>
      </c>
      <c r="W166" s="402">
        <f t="shared" si="59"/>
        <v>53.848604723109126</v>
      </c>
      <c r="X166" s="157">
        <f t="shared" si="60"/>
        <v>45078</v>
      </c>
      <c r="Y166" s="385">
        <f t="shared" si="61"/>
        <v>48.19741488155163</v>
      </c>
      <c r="Z166" s="385">
        <f t="shared" si="62"/>
        <v>50.1740036010317</v>
      </c>
      <c r="AA166" s="386">
        <f t="shared" si="63"/>
        <v>56.785655093474993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0.11643171997505078</v>
      </c>
      <c r="AD166" s="231">
        <f>(INDEX(Models!$BJ166:$BT166,,AH166)*(1-AF166)+INDEX(Models!$BJ166:$BT166,,AH166+1)*AF166-ERP_i)*AE166*Ramure*Pc/MaxiM</f>
        <v>4.9141646388513307E-3</v>
      </c>
      <c r="AE166" s="305">
        <f t="shared" si="65"/>
        <v>0.7</v>
      </c>
      <c r="AF166" s="177">
        <f t="shared" si="66"/>
        <v>0.70398044092592515</v>
      </c>
      <c r="AG166" s="919">
        <f t="shared" si="74"/>
        <v>0</v>
      </c>
      <c r="AH166" s="176">
        <f t="shared" si="67"/>
        <v>6</v>
      </c>
      <c r="AI166" s="225">
        <f t="shared" si="68"/>
        <v>0.70398044092592515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1090">
        <f>IF(t&gt;Tmaj,'2022'!Wh/'2022'!Env_an*'2023'!Env_an,0.001*'[8]mon-tableau'!$B$38)</f>
        <v>42.624128102869783</v>
      </c>
      <c r="C167" s="953"/>
      <c r="D167" s="393">
        <f t="shared" si="50"/>
        <v>44.37312674428464</v>
      </c>
      <c r="E167" s="385">
        <f t="shared" si="72"/>
        <v>44.956742698657962</v>
      </c>
      <c r="F167" s="385">
        <f t="shared" si="51"/>
        <v>45.106175270356125</v>
      </c>
      <c r="G167" s="110">
        <f t="shared" si="73"/>
        <v>0.75712393690749014</v>
      </c>
      <c r="H167" s="412" t="b">
        <f>Wh_hp&gt;='2022'!Maxi_hp</f>
        <v>0</v>
      </c>
      <c r="I167" s="390">
        <f>IF(H167,Wh_hp,'2022'!Maxi_hp)</f>
        <v>59.300139796564821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3.9415717794557548E-2</v>
      </c>
      <c r="M167" s="957"/>
      <c r="N167" s="957"/>
      <c r="O167" s="48">
        <f>IF(t&lt;Tnet,'2022'!Resal+('2022'!Salim-'2022'!Resal)*(1-EXP(('2022'!Tnet-t)/('2022'!Tau_j))),Resal+(Salim-Resal)*(1-EXP((Tnet-t)/(Tau_j))))*Salcycl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5.058400783730971E-3</v>
      </c>
      <c r="Q167" s="305">
        <f t="shared" si="53"/>
        <v>0.7</v>
      </c>
      <c r="R167" s="177">
        <f t="shared" si="54"/>
        <v>0.70897228434033777</v>
      </c>
      <c r="S167" s="919">
        <f t="shared" si="55"/>
        <v>0</v>
      </c>
      <c r="T167" s="176">
        <f t="shared" si="56"/>
        <v>6</v>
      </c>
      <c r="U167" s="251">
        <f t="shared" si="57"/>
        <v>0.70897228434033777</v>
      </c>
      <c r="V167" s="383">
        <f t="shared" si="58"/>
        <v>56.19883163837271</v>
      </c>
      <c r="W167" s="402">
        <f t="shared" si="59"/>
        <v>42.624128102869783</v>
      </c>
      <c r="X167" s="157">
        <f t="shared" si="60"/>
        <v>45079</v>
      </c>
      <c r="Y167" s="385">
        <f t="shared" si="61"/>
        <v>38.152001788257358</v>
      </c>
      <c r="Z167" s="385">
        <f t="shared" si="62"/>
        <v>39.717495377566152</v>
      </c>
      <c r="AA167" s="386">
        <f t="shared" si="63"/>
        <v>44.956742698657962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0.11653974479890888</v>
      </c>
      <c r="AD167" s="231">
        <f>(INDEX(Models!$BJ167:$BT167,,AH167)*(1-AF167)+INDEX(Models!$BJ167:$BT167,,AH167+1)*AF167-ERP_i)*AE167*Ramure*Pc/MaxiM</f>
        <v>5.058400783730971E-3</v>
      </c>
      <c r="AE167" s="305">
        <f t="shared" si="65"/>
        <v>0.7</v>
      </c>
      <c r="AF167" s="177">
        <f t="shared" si="66"/>
        <v>0.70897228434033777</v>
      </c>
      <c r="AG167" s="919">
        <f t="shared" si="74"/>
        <v>0</v>
      </c>
      <c r="AH167" s="176">
        <f t="shared" si="67"/>
        <v>6</v>
      </c>
      <c r="AI167" s="225">
        <f t="shared" si="68"/>
        <v>0.70897228434033777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1090">
        <f>IF(t&gt;Tmaj,'2022'!Wh/'2022'!Env_an*'2023'!Env_an,0.001*'[8]mon-tableau'!$B$39)</f>
        <v>53.538442381588759</v>
      </c>
      <c r="C168" s="953"/>
      <c r="D168" s="393">
        <f t="shared" si="50"/>
        <v>55.736509568572359</v>
      </c>
      <c r="E168" s="385">
        <f t="shared" si="72"/>
        <v>56.478114607696554</v>
      </c>
      <c r="F168" s="385">
        <f t="shared" si="51"/>
        <v>56.753751947983417</v>
      </c>
      <c r="G168" s="110">
        <f t="shared" si="73"/>
        <v>0.95311725733751251</v>
      </c>
      <c r="H168" s="412" t="b">
        <f>Wh_hp&gt;='2022'!Maxi_hp</f>
        <v>0</v>
      </c>
      <c r="I168" s="390">
        <f>IF(H168,Wh_hp,'2022'!Maxi_hp)</f>
        <v>56.75691511591517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3.9436757055612337E-2</v>
      </c>
      <c r="M168" s="957"/>
      <c r="N168" s="957"/>
      <c r="O168" s="48">
        <f>IF(t&lt;Tnet,'2022'!Resal+('2022'!Salim-'2022'!Resal)*(1-EXP(('2022'!Tnet-t)/('2022'!Tau_j))),Resal+(Salim-Resal)*(1-EXP((Tnet-t)/(Tau_j))))*Salcycl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5.2027143358187502E-3</v>
      </c>
      <c r="Q168" s="305">
        <f t="shared" si="53"/>
        <v>0.7</v>
      </c>
      <c r="R168" s="177">
        <f t="shared" si="54"/>
        <v>0.71399765712260965</v>
      </c>
      <c r="S168" s="919">
        <f t="shared" si="55"/>
        <v>0</v>
      </c>
      <c r="T168" s="176">
        <f t="shared" si="56"/>
        <v>6</v>
      </c>
      <c r="U168" s="251">
        <f t="shared" si="57"/>
        <v>0.71399765712260965</v>
      </c>
      <c r="V168" s="383">
        <f t="shared" si="58"/>
        <v>56.152407074177511</v>
      </c>
      <c r="W168" s="402">
        <f t="shared" si="59"/>
        <v>53.538442381588759</v>
      </c>
      <c r="X168" s="157">
        <f t="shared" si="60"/>
        <v>45080</v>
      </c>
      <c r="Y168" s="385">
        <f t="shared" si="61"/>
        <v>47.922609947036577</v>
      </c>
      <c r="Z168" s="385">
        <f t="shared" si="62"/>
        <v>49.890114262691064</v>
      </c>
      <c r="AA168" s="386">
        <f t="shared" si="63"/>
        <v>56.478114607696554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0.11664695945972163</v>
      </c>
      <c r="AD168" s="231">
        <f>(INDEX(Models!$BJ168:$BT168,,AH168)*(1-AF168)+INDEX(Models!$BJ168:$BT168,,AH168+1)*AF168-ERP_i)*AE168*Ramure*Pc/MaxiM</f>
        <v>5.2027143358187502E-3</v>
      </c>
      <c r="AE168" s="305">
        <f t="shared" si="65"/>
        <v>0.7</v>
      </c>
      <c r="AF168" s="177">
        <f t="shared" si="66"/>
        <v>0.71399765712260965</v>
      </c>
      <c r="AG168" s="919">
        <f t="shared" si="74"/>
        <v>0</v>
      </c>
      <c r="AH168" s="176">
        <f t="shared" si="67"/>
        <v>6</v>
      </c>
      <c r="AI168" s="225">
        <f t="shared" si="68"/>
        <v>0.71399765712260965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1090">
        <f>IF(t&gt;Tmaj,'2022'!Wh/'2022'!Env_an*'2023'!Env_an,0.001*'[8]mon-tableau'!$B$40)</f>
        <v>22.171952772017249</v>
      </c>
      <c r="C169" s="953"/>
      <c r="D169" s="393">
        <f t="shared" si="50"/>
        <v>23.082747094671074</v>
      </c>
      <c r="E169" s="385">
        <f t="shared" si="72"/>
        <v>23.393408950600676</v>
      </c>
      <c r="F169" s="385">
        <f t="shared" si="51"/>
        <v>23.410432458405477</v>
      </c>
      <c r="G169" s="110">
        <f t="shared" si="73"/>
        <v>0.39337021215945578</v>
      </c>
      <c r="H169" s="412" t="b">
        <f>Wh_hp&gt;='2022'!Maxi_hp</f>
        <v>0</v>
      </c>
      <c r="I169" s="390">
        <f>IF(H169,Wh_hp,'2022'!Maxi_hp)</f>
        <v>57.111684044434135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3.9457795855853406E-2</v>
      </c>
      <c r="M169" s="957"/>
      <c r="N169" s="957"/>
      <c r="O169" s="48">
        <f>IF(t&lt;Tnet,'2022'!Resal+('2022'!Salim-'2022'!Resal)*(1-EXP(('2022'!Tnet-t)/('2022'!Tau_j))),Resal+(Salim-Resal)*(1-EXP((Tnet-t)/(Tau_j))))*Salcycl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5.3470351902085772E-3</v>
      </c>
      <c r="Q169" s="305">
        <f t="shared" si="53"/>
        <v>0.7</v>
      </c>
      <c r="R169" s="177">
        <f t="shared" si="54"/>
        <v>0.71905261465226944</v>
      </c>
      <c r="S169" s="919">
        <f t="shared" si="55"/>
        <v>0</v>
      </c>
      <c r="T169" s="176">
        <f t="shared" si="56"/>
        <v>6</v>
      </c>
      <c r="U169" s="251">
        <f t="shared" si="57"/>
        <v>0.71905261465226944</v>
      </c>
      <c r="V169" s="383">
        <f t="shared" si="58"/>
        <v>56.103503146034072</v>
      </c>
      <c r="W169" s="402">
        <f t="shared" si="59"/>
        <v>22.171952772017249</v>
      </c>
      <c r="X169" s="157">
        <f t="shared" si="60"/>
        <v>45081</v>
      </c>
      <c r="Y169" s="385">
        <f t="shared" si="61"/>
        <v>19.846869014778623</v>
      </c>
      <c r="Z169" s="385">
        <f t="shared" si="62"/>
        <v>20.662151989940302</v>
      </c>
      <c r="AA169" s="386">
        <f t="shared" si="63"/>
        <v>23.393408950600676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0.11675326868469273</v>
      </c>
      <c r="AD169" s="231">
        <f>(INDEX(Models!$BJ169:$BT169,,AH169)*(1-AF169)+INDEX(Models!$BJ169:$BT169,,AH169+1)*AF169-ERP_i)*AE169*Ramure*Pc/MaxiM</f>
        <v>5.3470351902085772E-3</v>
      </c>
      <c r="AE169" s="305">
        <f t="shared" si="65"/>
        <v>0.7</v>
      </c>
      <c r="AF169" s="177">
        <f t="shared" si="66"/>
        <v>0.71905261465226944</v>
      </c>
      <c r="AG169" s="919">
        <f t="shared" si="74"/>
        <v>0</v>
      </c>
      <c r="AH169" s="176">
        <f t="shared" si="67"/>
        <v>6</v>
      </c>
      <c r="AI169" s="225">
        <f t="shared" si="68"/>
        <v>0.71905261465226944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1090">
        <f>IF(t&gt;Tmaj,'2022'!Wh/'2022'!Env_an*'2023'!Env_an,0.001*'[8]mon-tableau'!$B$41)</f>
        <v>31.279493648142626</v>
      </c>
      <c r="C170" s="953"/>
      <c r="D170" s="393">
        <f t="shared" si="50"/>
        <v>32.565126893312303</v>
      </c>
      <c r="E170" s="385">
        <f t="shared" ref="E170:E232" si="75">Wh_pvt/(1-Psa)</f>
        <v>33.008391818009414</v>
      </c>
      <c r="F170" s="385">
        <f t="shared" si="51"/>
        <v>33.075292632470926</v>
      </c>
      <c r="G170" s="110">
        <f t="shared" ref="G170:G232" si="76">+Wh_hp/MaxiM</f>
        <v>0.55610438849760002</v>
      </c>
      <c r="H170" s="412" t="b">
        <f>Wh_hp&gt;='2022'!Maxi_hp</f>
        <v>0</v>
      </c>
      <c r="I170" s="390">
        <f>IF(H170,Wh_hp,'2022'!Maxi_hp)</f>
        <v>42.716075181662134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3.9478834195290746E-2</v>
      </c>
      <c r="M170" s="957"/>
      <c r="N170" s="957"/>
      <c r="O170" s="48">
        <f>IF(t&lt;Tnet,'2022'!Resal+('2022'!Salim-'2022'!Resal)*(1-EXP(('2022'!Tnet-t)/('2022'!Tau_j))),Resal+(Salim-Resal)*(1-EXP((Tnet-t)/(Tau_j))))*Salcycl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5.4870145414267716E-3</v>
      </c>
      <c r="Q170" s="305">
        <f t="shared" si="53"/>
        <v>0.7</v>
      </c>
      <c r="R170" s="177">
        <f t="shared" si="54"/>
        <v>0.72413311552254145</v>
      </c>
      <c r="S170" s="919">
        <f t="shared" si="55"/>
        <v>0</v>
      </c>
      <c r="T170" s="176">
        <f t="shared" si="56"/>
        <v>6</v>
      </c>
      <c r="U170" s="251">
        <f t="shared" si="57"/>
        <v>0.72413311552254145</v>
      </c>
      <c r="V170" s="383">
        <f t="shared" si="58"/>
        <v>56.052266647150439</v>
      </c>
      <c r="W170" s="402">
        <f t="shared" si="59"/>
        <v>31.279493648142626</v>
      </c>
      <c r="X170" s="157">
        <f t="shared" si="60"/>
        <v>45082</v>
      </c>
      <c r="Y170" s="385">
        <f t="shared" si="61"/>
        <v>28.000227471285012</v>
      </c>
      <c r="Z170" s="385">
        <f t="shared" si="62"/>
        <v>29.151078048162393</v>
      </c>
      <c r="AA170" s="386">
        <f t="shared" si="63"/>
        <v>33.008391818009414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0.11685857920961984</v>
      </c>
      <c r="AD170" s="231">
        <f>(INDEX(Models!$BJ170:$BT170,,AH170)*(1-AF170)+INDEX(Models!$BJ170:$BT170,,AH170+1)*AF170-ERP_i)*AE170*Ramure*Pc/MaxiM</f>
        <v>5.4870145414267716E-3</v>
      </c>
      <c r="AE170" s="305">
        <f t="shared" si="65"/>
        <v>0.7</v>
      </c>
      <c r="AF170" s="177">
        <f t="shared" si="66"/>
        <v>0.72413311552254145</v>
      </c>
      <c r="AG170" s="919">
        <f t="shared" si="74"/>
        <v>0</v>
      </c>
      <c r="AH170" s="176">
        <f t="shared" si="67"/>
        <v>6</v>
      </c>
      <c r="AI170" s="225">
        <f t="shared" si="68"/>
        <v>0.72413311552254145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1090">
        <f>IF(t&gt;Tmaj,'2022'!Wh/'2022'!Env_an*'2023'!Env_an,0.001*'[8]mon-tableau'!$B$42)</f>
        <v>46.860401104188171</v>
      </c>
      <c r="C171" s="953"/>
      <c r="D171" s="393">
        <f t="shared" si="50"/>
        <v>48.787501158766375</v>
      </c>
      <c r="E171" s="385">
        <f t="shared" si="75"/>
        <v>49.459042528660675</v>
      </c>
      <c r="F171" s="385">
        <f t="shared" si="51"/>
        <v>49.67321000231064</v>
      </c>
      <c r="G171" s="110">
        <f t="shared" si="76"/>
        <v>0.83571189792522038</v>
      </c>
      <c r="H171" s="412" t="b">
        <f>Wh_hp&gt;='2022'!Maxi_hp</f>
        <v>0</v>
      </c>
      <c r="I171" s="390">
        <f>IF(H171,Wh_hp,'2022'!Maxi_hp)</f>
        <v>56.000265625104696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3.9499872073934461E-2</v>
      </c>
      <c r="M171" s="957"/>
      <c r="N171" s="957"/>
      <c r="O171" s="48">
        <f>IF(t&lt;Tnet,'2022'!Resal+('2022'!Salim-'2022'!Resal)*(1-EXP(('2022'!Tnet-t)/('2022'!Tau_j))),Resal+(Salim-Resal)*(1-EXP((Tnet-t)/(Tau_j))))*Salcycl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5.6221956460027096E-3</v>
      </c>
      <c r="Q171" s="305">
        <f t="shared" si="53"/>
        <v>0.7</v>
      </c>
      <c r="R171" s="177">
        <f t="shared" si="54"/>
        <v>0.72923503406968138</v>
      </c>
      <c r="S171" s="919">
        <f t="shared" si="55"/>
        <v>0</v>
      </c>
      <c r="T171" s="176">
        <f t="shared" si="56"/>
        <v>6</v>
      </c>
      <c r="U171" s="251">
        <f t="shared" si="57"/>
        <v>0.72923503406968138</v>
      </c>
      <c r="V171" s="383">
        <f t="shared" si="58"/>
        <v>55.998624514902779</v>
      </c>
      <c r="W171" s="402">
        <f t="shared" si="59"/>
        <v>46.860401104188171</v>
      </c>
      <c r="X171" s="157">
        <f t="shared" si="60"/>
        <v>45083</v>
      </c>
      <c r="Y171" s="385">
        <f t="shared" si="61"/>
        <v>41.94905011947013</v>
      </c>
      <c r="Z171" s="385">
        <f t="shared" si="62"/>
        <v>43.674174422076867</v>
      </c>
      <c r="AA171" s="386">
        <f t="shared" si="63"/>
        <v>49.459042528660675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0.11696280014380737</v>
      </c>
      <c r="AD171" s="231">
        <f>(INDEX(Models!$BJ171:$BT171,,AH171)*(1-AF171)+INDEX(Models!$BJ171:$BT171,,AH171+1)*AF171-ERP_i)*AE171*Ramure*Pc/MaxiM</f>
        <v>5.6221956460027096E-3</v>
      </c>
      <c r="AE171" s="305">
        <f t="shared" si="65"/>
        <v>0.7</v>
      </c>
      <c r="AF171" s="177">
        <f t="shared" si="66"/>
        <v>0.72923503406968138</v>
      </c>
      <c r="AG171" s="919">
        <f t="shared" si="74"/>
        <v>0</v>
      </c>
      <c r="AH171" s="176">
        <f t="shared" si="67"/>
        <v>6</v>
      </c>
      <c r="AI171" s="225">
        <f t="shared" si="68"/>
        <v>0.72923503406968138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1090">
        <f>IF(t&gt;Tmaj,'2022'!Wh/'2022'!Env_an*'2023'!Env_an,0.001*'[8]mon-tableau'!$B$43)</f>
        <v>27.433689135481082</v>
      </c>
      <c r="C172" s="953"/>
      <c r="D172" s="393">
        <f t="shared" si="50"/>
        <v>28.562505323218918</v>
      </c>
      <c r="E172" s="385">
        <f t="shared" si="75"/>
        <v>28.960024752884053</v>
      </c>
      <c r="F172" s="385">
        <f t="shared" si="51"/>
        <v>29.00540615071267</v>
      </c>
      <c r="G172" s="110">
        <f t="shared" si="76"/>
        <v>0.48833405236128469</v>
      </c>
      <c r="H172" s="412" t="b">
        <f>Wh_hp&gt;='2022'!Maxi_hp</f>
        <v>0</v>
      </c>
      <c r="I172" s="390">
        <f>IF(H172,Wh_hp,'2022'!Maxi_hp)</f>
        <v>55.156942491889488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3.9520909491794654E-2</v>
      </c>
      <c r="M172" s="957"/>
      <c r="N172" s="957"/>
      <c r="O172" s="48">
        <f>IF(t&lt;Tnet,'2022'!Resal+('2022'!Salim-'2022'!Resal)*(1-EXP(('2022'!Tnet-t)/('2022'!Tau_j))),Resal+(Salim-Resal)*(1-EXP((Tnet-t)/(Tau_j))))*Salcycl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5.7524209829700372E-3</v>
      </c>
      <c r="Q172" s="305">
        <f t="shared" si="53"/>
        <v>0.7</v>
      </c>
      <c r="R172" s="177">
        <f t="shared" si="54"/>
        <v>0.73435417348750742</v>
      </c>
      <c r="S172" s="919">
        <f t="shared" si="55"/>
        <v>0</v>
      </c>
      <c r="T172" s="176">
        <f t="shared" si="56"/>
        <v>6</v>
      </c>
      <c r="U172" s="251">
        <f t="shared" si="57"/>
        <v>0.73435417348750742</v>
      </c>
      <c r="V172" s="383">
        <f t="shared" si="58"/>
        <v>55.942486818973919</v>
      </c>
      <c r="W172" s="402">
        <f t="shared" si="59"/>
        <v>27.433689135481082</v>
      </c>
      <c r="X172" s="157">
        <f t="shared" si="60"/>
        <v>45084</v>
      </c>
      <c r="Y172" s="385">
        <f t="shared" si="61"/>
        <v>24.559253477189021</v>
      </c>
      <c r="Z172" s="385">
        <f t="shared" si="62"/>
        <v>25.569795032387759</v>
      </c>
      <c r="AA172" s="386">
        <f t="shared" si="63"/>
        <v>28.960024752884053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0.11706584332800574</v>
      </c>
      <c r="AD172" s="231">
        <f>(INDEX(Models!$BJ172:$BT172,,AH172)*(1-AF172)+INDEX(Models!$BJ172:$BT172,,AH172+1)*AF172-ERP_i)*AE172*Ramure*Pc/MaxiM</f>
        <v>5.7524209829700372E-3</v>
      </c>
      <c r="AE172" s="305">
        <f t="shared" si="65"/>
        <v>0.7</v>
      </c>
      <c r="AF172" s="177">
        <f t="shared" si="66"/>
        <v>0.73435417348750742</v>
      </c>
      <c r="AG172" s="919">
        <f t="shared" si="74"/>
        <v>0</v>
      </c>
      <c r="AH172" s="176">
        <f t="shared" si="67"/>
        <v>6</v>
      </c>
      <c r="AI172" s="225">
        <f t="shared" si="68"/>
        <v>0.73435417348750742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1090">
        <f>IF(t&gt;Tmaj,'2022'!Wh/'2022'!Env_an*'2023'!Env_an,0.001*'[8]mon-tableau'!$B$44)</f>
        <v>20.396284319118994</v>
      </c>
      <c r="C173" s="953"/>
      <c r="D173" s="393">
        <f t="shared" si="50"/>
        <v>21.235996974263948</v>
      </c>
      <c r="E173" s="385">
        <f t="shared" si="75"/>
        <v>21.534794931818364</v>
      </c>
      <c r="F173" s="385">
        <f t="shared" si="51"/>
        <v>21.546550240860196</v>
      </c>
      <c r="G173" s="110">
        <f t="shared" si="76"/>
        <v>0.36302982387135746</v>
      </c>
      <c r="H173" s="412" t="b">
        <f>Wh_hp&gt;='2022'!Maxi_hp</f>
        <v>0</v>
      </c>
      <c r="I173" s="390">
        <f>IF(H173,Wh_hp,'2022'!Maxi_hp)</f>
        <v>61.487890344452325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3.9541946448881427E-2</v>
      </c>
      <c r="M173" s="957"/>
      <c r="N173" s="957"/>
      <c r="O173" s="48">
        <f>IF(t&lt;Tnet,'2022'!Resal+('2022'!Salim-'2022'!Resal)*(1-EXP(('2022'!Tnet-t)/('2022'!Tau_j))),Resal+(Salim-Resal)*(1-EXP((Tnet-t)/(Tau_j))))*Salcycl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5.8775343177162442E-3</v>
      </c>
      <c r="Q173" s="305">
        <f t="shared" si="53"/>
        <v>0.7</v>
      </c>
      <c r="R173" s="177">
        <f t="shared" si="54"/>
        <v>0.73948627944077383</v>
      </c>
      <c r="S173" s="919">
        <f t="shared" si="55"/>
        <v>0</v>
      </c>
      <c r="T173" s="176">
        <f t="shared" si="56"/>
        <v>6</v>
      </c>
      <c r="U173" s="251">
        <f t="shared" si="57"/>
        <v>0.73948627944077383</v>
      </c>
      <c r="V173" s="383">
        <f t="shared" si="58"/>
        <v>55.883763561650106</v>
      </c>
      <c r="W173" s="402">
        <f t="shared" si="59"/>
        <v>20.396284319118994</v>
      </c>
      <c r="X173" s="157">
        <f t="shared" si="60"/>
        <v>45085</v>
      </c>
      <c r="Y173" s="385">
        <f t="shared" si="61"/>
        <v>18.259857953221129</v>
      </c>
      <c r="Z173" s="385">
        <f t="shared" si="62"/>
        <v>19.011614183158372</v>
      </c>
      <c r="AA173" s="386">
        <f t="shared" si="63"/>
        <v>21.534794931818364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0.11716762368291277</v>
      </c>
      <c r="AD173" s="231">
        <f>(INDEX(Models!$BJ173:$BT173,,AH173)*(1-AF173)+INDEX(Models!$BJ173:$BT173,,AH173+1)*AF173-ERP_i)*AE173*Ramure*Pc/MaxiM</f>
        <v>5.8775343177162442E-3</v>
      </c>
      <c r="AE173" s="305">
        <f t="shared" si="65"/>
        <v>0.7</v>
      </c>
      <c r="AF173" s="177">
        <f t="shared" si="66"/>
        <v>0.73948627944077383</v>
      </c>
      <c r="AG173" s="919">
        <f t="shared" si="74"/>
        <v>0</v>
      </c>
      <c r="AH173" s="176">
        <f t="shared" si="67"/>
        <v>6</v>
      </c>
      <c r="AI173" s="225">
        <f t="shared" si="68"/>
        <v>0.73948627944077383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1090">
        <f>IF(t&gt;Tmaj,'2022'!Wh/'2022'!Env_an*'2023'!Env_an,0.001*'[8]mon-tableau'!$B$45)</f>
        <v>45.314255027890283</v>
      </c>
      <c r="C174" s="953"/>
      <c r="D174" s="393">
        <f t="shared" si="50"/>
        <v>47.180871023534273</v>
      </c>
      <c r="E174" s="385">
        <f t="shared" si="75"/>
        <v>47.851928372256651</v>
      </c>
      <c r="F174" s="385">
        <f t="shared" si="51"/>
        <v>48.062663117403716</v>
      </c>
      <c r="G174" s="110">
        <f t="shared" si="76"/>
        <v>0.81044310340833281</v>
      </c>
      <c r="H174" s="412" t="b">
        <f>Wh_hp&gt;='2022'!Maxi_hp</f>
        <v>0</v>
      </c>
      <c r="I174" s="390">
        <f>IF(H174,Wh_hp,'2022'!Maxi_hp)</f>
        <v>58.767455716335284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3.9562982945204772E-2</v>
      </c>
      <c r="M174" s="957"/>
      <c r="N174" s="957"/>
      <c r="O174" s="48">
        <f>IF(t&lt;Tnet,'2022'!Resal+('2022'!Salim-'2022'!Resal)*(1-EXP(('2022'!Tnet-t)/('2022'!Tau_j))),Resal+(Salim-Resal)*(1-EXP((Tnet-t)/(Tau_j))))*Salcycl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5.9973812112025316E-3</v>
      </c>
      <c r="Q174" s="305">
        <f t="shared" si="53"/>
        <v>0.7</v>
      </c>
      <c r="R174" s="177">
        <f t="shared" si="54"/>
        <v>0.74462705408507968</v>
      </c>
      <c r="S174" s="919">
        <f t="shared" si="55"/>
        <v>0</v>
      </c>
      <c r="T174" s="176">
        <f t="shared" si="56"/>
        <v>6</v>
      </c>
      <c r="U174" s="251">
        <f t="shared" si="57"/>
        <v>0.74462705408507968</v>
      </c>
      <c r="V174" s="383">
        <f t="shared" si="58"/>
        <v>55.822364640546098</v>
      </c>
      <c r="W174" s="402">
        <f t="shared" si="59"/>
        <v>45.314255027890283</v>
      </c>
      <c r="X174" s="157">
        <f t="shared" si="60"/>
        <v>45086</v>
      </c>
      <c r="Y174" s="385">
        <f t="shared" si="61"/>
        <v>40.569268349439923</v>
      </c>
      <c r="Z174" s="385">
        <f t="shared" si="62"/>
        <v>42.24042558651751</v>
      </c>
      <c r="AA174" s="386">
        <f t="shared" si="63"/>
        <v>47.851928372256651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0.11726805954579991</v>
      </c>
      <c r="AD174" s="231">
        <f>(INDEX(Models!$BJ174:$BT174,,AH174)*(1-AF174)+INDEX(Models!$BJ174:$BT174,,AH174+1)*AF174-ERP_i)*AE174*Ramure*Pc/MaxiM</f>
        <v>5.9973812112025316E-3</v>
      </c>
      <c r="AE174" s="305">
        <f t="shared" si="65"/>
        <v>0.7</v>
      </c>
      <c r="AF174" s="177">
        <f t="shared" si="66"/>
        <v>0.74462705408507968</v>
      </c>
      <c r="AG174" s="919">
        <f t="shared" si="74"/>
        <v>0</v>
      </c>
      <c r="AH174" s="176">
        <f t="shared" si="67"/>
        <v>6</v>
      </c>
      <c r="AI174" s="225">
        <f t="shared" si="68"/>
        <v>0.74462705408507968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1090">
        <f>IF(t&gt;Tmaj,'2022'!Wh/'2022'!Env_an*'2023'!Env_an,0.001*'[8]mon-tableau'!$B$46)</f>
        <v>55.481808181073099</v>
      </c>
      <c r="C175" s="953"/>
      <c r="D175" s="393">
        <f t="shared" si="50"/>
        <v>57.768518306196839</v>
      </c>
      <c r="E175" s="385">
        <f t="shared" si="75"/>
        <v>58.598981085799522</v>
      </c>
      <c r="F175" s="385">
        <f t="shared" si="51"/>
        <v>58.956761931689528</v>
      </c>
      <c r="G175" s="110">
        <f t="shared" si="76"/>
        <v>0.99499970333261711</v>
      </c>
      <c r="H175" s="412" t="b">
        <f>Wh_hp&gt;='2022'!Maxi_hp</f>
        <v>0</v>
      </c>
      <c r="I175" s="390">
        <f>IF(H175,Wh_hp,'2022'!Maxi_hp)</f>
        <v>58.957156893344319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3.9584018980774904E-2</v>
      </c>
      <c r="M175" s="957"/>
      <c r="N175" s="957"/>
      <c r="O175" s="48">
        <f>IF(t&lt;Tnet,'2022'!Resal+('2022'!Salim-'2022'!Resal)*(1-EXP(('2022'!Tnet-t)/('2022'!Tau_j))),Resal+(Salim-Resal)*(1-EXP((Tnet-t)/(Tau_j))))*Salcycl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6.1118095119855834E-3</v>
      </c>
      <c r="Q175" s="305">
        <f t="shared" si="53"/>
        <v>0.7</v>
      </c>
      <c r="R175" s="177">
        <f t="shared" si="54"/>
        <v>0.74977217039609123</v>
      </c>
      <c r="S175" s="919">
        <f t="shared" si="55"/>
        <v>0</v>
      </c>
      <c r="T175" s="176">
        <f t="shared" si="56"/>
        <v>6</v>
      </c>
      <c r="U175" s="251">
        <f t="shared" si="57"/>
        <v>0.74977217039609123</v>
      </c>
      <c r="V175" s="383">
        <f t="shared" si="58"/>
        <v>55.758199804412705</v>
      </c>
      <c r="W175" s="402">
        <f t="shared" si="59"/>
        <v>55.481808181073099</v>
      </c>
      <c r="X175" s="157">
        <f t="shared" si="60"/>
        <v>45087</v>
      </c>
      <c r="Y175" s="385">
        <f t="shared" si="61"/>
        <v>49.674049704187766</v>
      </c>
      <c r="Z175" s="385">
        <f t="shared" si="62"/>
        <v>51.721390195394321</v>
      </c>
      <c r="AA175" s="386">
        <f t="shared" si="63"/>
        <v>58.598981085799522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0.11736707299287617</v>
      </c>
      <c r="AD175" s="231">
        <f>(INDEX(Models!$BJ175:$BT175,,AH175)*(1-AF175)+INDEX(Models!$BJ175:$BT175,,AH175+1)*AF175-ERP_i)*AE175*Ramure*Pc/MaxiM</f>
        <v>6.1118095119855834E-3</v>
      </c>
      <c r="AE175" s="305">
        <f t="shared" si="65"/>
        <v>0.7</v>
      </c>
      <c r="AF175" s="177">
        <f t="shared" si="66"/>
        <v>0.74977217039609123</v>
      </c>
      <c r="AG175" s="919">
        <f t="shared" si="74"/>
        <v>0</v>
      </c>
      <c r="AH175" s="176">
        <f t="shared" si="67"/>
        <v>6</v>
      </c>
      <c r="AI175" s="225">
        <f t="shared" si="68"/>
        <v>0.74977217039609123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1090">
        <f>IF(t&gt;Tmaj,'2022'!Wh/'2022'!Env_an*'2023'!Env_an,0.001*'[8]mon-tableau'!$B$47)</f>
        <v>53.96897954925619</v>
      </c>
      <c r="C176" s="953"/>
      <c r="D176" s="393">
        <f t="shared" si="50"/>
        <v>56.194568500444809</v>
      </c>
      <c r="E176" s="385">
        <f t="shared" si="75"/>
        <v>57.010973815481414</v>
      </c>
      <c r="F176" s="385">
        <f t="shared" si="51"/>
        <v>57.35198052461692</v>
      </c>
      <c r="G176" s="110">
        <f t="shared" si="76"/>
        <v>0.96880800229655895</v>
      </c>
      <c r="H176" s="412" t="b">
        <f>Wh_hp&gt;='2022'!Maxi_hp</f>
        <v>0</v>
      </c>
      <c r="I176" s="390">
        <f>IF(H176,Wh_hp,'2022'!Maxi_hp)</f>
        <v>57.354410945411338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3.9605054555601815E-2</v>
      </c>
      <c r="M176" s="957"/>
      <c r="N176" s="957"/>
      <c r="O176" s="48">
        <f>IF(t&lt;Tnet,'2022'!Resal+('2022'!Salim-'2022'!Resal)*(1-EXP(('2022'!Tnet-t)/('2022'!Tau_j))),Resal+(Salim-Resal)*(1-EXP((Tnet-t)/(Tau_j))))*Salcycl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6.220669824461806E-3</v>
      </c>
      <c r="Q176" s="305">
        <f t="shared" si="53"/>
        <v>0.7</v>
      </c>
      <c r="R176" s="177">
        <f t="shared" si="54"/>
        <v>0.75491728670710279</v>
      </c>
      <c r="S176" s="919">
        <f t="shared" si="55"/>
        <v>0</v>
      </c>
      <c r="T176" s="176">
        <f t="shared" si="56"/>
        <v>6</v>
      </c>
      <c r="U176" s="251">
        <f t="shared" si="57"/>
        <v>0.75491728670710279</v>
      </c>
      <c r="V176" s="383">
        <f t="shared" si="58"/>
        <v>55.691178616838833</v>
      </c>
      <c r="W176" s="402">
        <f t="shared" si="59"/>
        <v>53.96897954925619</v>
      </c>
      <c r="X176" s="157">
        <f t="shared" si="60"/>
        <v>45088</v>
      </c>
      <c r="Y176" s="385">
        <f t="shared" si="61"/>
        <v>48.321506382095023</v>
      </c>
      <c r="Z176" s="385">
        <f t="shared" si="62"/>
        <v>50.314203142474355</v>
      </c>
      <c r="AA176" s="386">
        <f t="shared" si="63"/>
        <v>57.010973815481414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0.11746459014507381</v>
      </c>
      <c r="AD176" s="231">
        <f>(INDEX(Models!$BJ176:$BT176,,AH176)*(1-AF176)+INDEX(Models!$BJ176:$BT176,,AH176+1)*AF176-ERP_i)*AE176*Ramure*Pc/MaxiM</f>
        <v>6.220669824461806E-3</v>
      </c>
      <c r="AE176" s="305">
        <f t="shared" si="65"/>
        <v>0.7</v>
      </c>
      <c r="AF176" s="177">
        <f t="shared" si="66"/>
        <v>0.75491728670710279</v>
      </c>
      <c r="AG176" s="919">
        <f t="shared" si="74"/>
        <v>0</v>
      </c>
      <c r="AH176" s="176">
        <f t="shared" si="67"/>
        <v>6</v>
      </c>
      <c r="AI176" s="225">
        <f t="shared" si="68"/>
        <v>0.75491728670710279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1090">
        <f>IF(t&gt;Tmaj,'2022'!Wh/'2022'!Env_an*'2023'!Env_an,0.001*'[8]mon-tableau'!$B$48)</f>
        <v>41.366032938018904</v>
      </c>
      <c r="C177" s="953"/>
      <c r="D177" s="393">
        <f t="shared" si="50"/>
        <v>43.07284120597545</v>
      </c>
      <c r="E177" s="385">
        <f t="shared" si="75"/>
        <v>43.705173747180645</v>
      </c>
      <c r="F177" s="385">
        <f t="shared" si="51"/>
        <v>43.88107561788253</v>
      </c>
      <c r="G177" s="110">
        <f t="shared" si="76"/>
        <v>0.74198924262878774</v>
      </c>
      <c r="H177" s="412" t="b">
        <f>Wh_hp&gt;='2022'!Maxi_hp</f>
        <v>0</v>
      </c>
      <c r="I177" s="390">
        <f>IF(H177,Wh_hp,'2022'!Maxi_hp)</f>
        <v>53.061432092137871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3.9626089669695719E-2</v>
      </c>
      <c r="M177" s="957"/>
      <c r="N177" s="957"/>
      <c r="O177" s="48">
        <f>IF(t&lt;Tnet,'2022'!Resal+('2022'!Salim-'2022'!Resal)*(1-EXP(('2022'!Tnet-t)/('2022'!Tau_j))),Resal+(Salim-Resal)*(1-EXP((Tnet-t)/(Tau_j))))*Salcycl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6.3238869609023333E-3</v>
      </c>
      <c r="Q177" s="305">
        <f t="shared" si="53"/>
        <v>0.7</v>
      </c>
      <c r="R177" s="177">
        <f t="shared" si="54"/>
        <v>0.76005806135140874</v>
      </c>
      <c r="S177" s="919">
        <f t="shared" si="55"/>
        <v>0</v>
      </c>
      <c r="T177" s="176">
        <f t="shared" si="56"/>
        <v>6</v>
      </c>
      <c r="U177" s="251">
        <f t="shared" si="57"/>
        <v>0.76005806135140874</v>
      </c>
      <c r="V177" s="383">
        <f t="shared" si="58"/>
        <v>55.620581869453595</v>
      </c>
      <c r="W177" s="402">
        <f t="shared" si="59"/>
        <v>41.366032938018904</v>
      </c>
      <c r="X177" s="157">
        <f t="shared" si="60"/>
        <v>45089</v>
      </c>
      <c r="Y177" s="385">
        <f t="shared" si="61"/>
        <v>37.038903726012919</v>
      </c>
      <c r="Z177" s="385">
        <f t="shared" si="62"/>
        <v>38.56716985707579</v>
      </c>
      <c r="AA177" s="386">
        <f t="shared" si="63"/>
        <v>43.705173747180645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0.11756054145503311</v>
      </c>
      <c r="AD177" s="231">
        <f>(INDEX(Models!$BJ177:$BT177,,AH177)*(1-AF177)+INDEX(Models!$BJ177:$BT177,,AH177+1)*AF177-ERP_i)*AE177*Ramure*Pc/MaxiM</f>
        <v>6.3238869609023333E-3</v>
      </c>
      <c r="AE177" s="305">
        <f t="shared" si="65"/>
        <v>0.7</v>
      </c>
      <c r="AF177" s="177">
        <f t="shared" si="66"/>
        <v>0.76005806135140874</v>
      </c>
      <c r="AG177" s="919">
        <f t="shared" si="74"/>
        <v>0</v>
      </c>
      <c r="AH177" s="176">
        <f t="shared" si="67"/>
        <v>6</v>
      </c>
      <c r="AI177" s="225">
        <f t="shared" si="68"/>
        <v>0.76005806135140874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1090">
        <f>IF(t&gt;Tmaj,'2022'!Wh/'2022'!Env_an*'2023'!Env_an,0.001*'[8]mon-tableau'!$B$49)</f>
        <v>50.814642675556932</v>
      </c>
      <c r="C178" s="953"/>
      <c r="D178" s="393">
        <f t="shared" si="50"/>
        <v>52.912469949901194</v>
      </c>
      <c r="E178" s="385">
        <f t="shared" si="75"/>
        <v>53.697306589573927</v>
      </c>
      <c r="F178" s="385">
        <f t="shared" si="51"/>
        <v>54.001791733431126</v>
      </c>
      <c r="G178" s="110">
        <f t="shared" si="76"/>
        <v>0.91410011943729752</v>
      </c>
      <c r="H178" s="412" t="b">
        <f>Wh_hp&gt;='2022'!Maxi_hp</f>
        <v>0</v>
      </c>
      <c r="I178" s="390">
        <f>IF(H178,Wh_hp,'2022'!Maxi_hp)</f>
        <v>61.924411785677407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3.9647124323066607E-2</v>
      </c>
      <c r="M178" s="957"/>
      <c r="N178" s="957"/>
      <c r="O178" s="48">
        <f>IF(t&lt;Tnet,'2022'!Resal+('2022'!Salim-'2022'!Resal)*(1-EXP(('2022'!Tnet-t)/('2022'!Tau_j))),Resal+(Salim-Resal)*(1-EXP((Tnet-t)/(Tau_j))))*Salcycl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6.4196127127251245E-3</v>
      </c>
      <c r="Q178" s="305">
        <f t="shared" si="53"/>
        <v>0.7</v>
      </c>
      <c r="R178" s="177">
        <f t="shared" si="54"/>
        <v>0.76519016730467526</v>
      </c>
      <c r="S178" s="919">
        <f t="shared" si="55"/>
        <v>0</v>
      </c>
      <c r="T178" s="176">
        <f t="shared" si="56"/>
        <v>6</v>
      </c>
      <c r="U178" s="251">
        <f t="shared" si="57"/>
        <v>0.76519016730467526</v>
      </c>
      <c r="V178" s="383">
        <f t="shared" si="58"/>
        <v>55.546127625337853</v>
      </c>
      <c r="W178" s="402">
        <f t="shared" si="59"/>
        <v>50.814642675556932</v>
      </c>
      <c r="X178" s="157">
        <f t="shared" si="60"/>
        <v>45090</v>
      </c>
      <c r="Y178" s="385">
        <f t="shared" si="61"/>
        <v>45.501094192056705</v>
      </c>
      <c r="Z178" s="385">
        <f t="shared" si="62"/>
        <v>47.379557394446181</v>
      </c>
      <c r="AA178" s="386">
        <f t="shared" si="63"/>
        <v>53.697306589573927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0.11765486197317809</v>
      </c>
      <c r="AD178" s="231">
        <f>(INDEX(Models!$BJ178:$BT178,,AH178)*(1-AF178)+INDEX(Models!$BJ178:$BT178,,AH178+1)*AF178-ERP_i)*AE178*Ramure*Pc/MaxiM</f>
        <v>6.4196127127251245E-3</v>
      </c>
      <c r="AE178" s="305">
        <f t="shared" si="65"/>
        <v>0.7</v>
      </c>
      <c r="AF178" s="177">
        <f t="shared" si="66"/>
        <v>0.76519016730467526</v>
      </c>
      <c r="AG178" s="919">
        <f t="shared" si="74"/>
        <v>0</v>
      </c>
      <c r="AH178" s="176">
        <f t="shared" si="67"/>
        <v>6</v>
      </c>
      <c r="AI178" s="225">
        <f t="shared" si="68"/>
        <v>0.76519016730467526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1090">
        <f>IF(t&gt;Tmaj,'2022'!Wh/'2022'!Env_an*'2023'!Env_an,0.001*'[8]mon-tableau'!$B$50)</f>
        <v>48.378530835141717</v>
      </c>
      <c r="C179" s="953"/>
      <c r="D179" s="393">
        <f t="shared" si="50"/>
        <v>50.376889263994983</v>
      </c>
      <c r="E179" s="385">
        <f t="shared" si="75"/>
        <v>51.131774949329518</v>
      </c>
      <c r="F179" s="385">
        <f t="shared" si="51"/>
        <v>51.405299562669512</v>
      </c>
      <c r="G179" s="110">
        <f t="shared" si="76"/>
        <v>0.87114387246364999</v>
      </c>
      <c r="H179" s="412" t="b">
        <f>Wh_hp&gt;='2022'!Maxi_hp</f>
        <v>0</v>
      </c>
      <c r="I179" s="390">
        <f>IF(H179,Wh_hp,'2022'!Maxi_hp)</f>
        <v>57.572810186062441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3.9668158515724694E-2</v>
      </c>
      <c r="M179" s="957"/>
      <c r="N179" s="957"/>
      <c r="O179" s="48">
        <f>IF(t&lt;Tnet,'2022'!Resal+('2022'!Salim-'2022'!Resal)*(1-EXP(('2022'!Tnet-t)/('2022'!Tau_j))),Resal+(Salim-Resal)*(1-EXP((Tnet-t)/(Tau_j))))*Salcycl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6.5095245289421939E-3</v>
      </c>
      <c r="Q179" s="305">
        <f t="shared" si="53"/>
        <v>0.7</v>
      </c>
      <c r="R179" s="177">
        <f t="shared" si="54"/>
        <v>0.77030930672250109</v>
      </c>
      <c r="S179" s="919">
        <f t="shared" si="55"/>
        <v>0</v>
      </c>
      <c r="T179" s="176">
        <f t="shared" si="56"/>
        <v>6</v>
      </c>
      <c r="U179" s="251">
        <f t="shared" si="57"/>
        <v>0.77030930672250109</v>
      </c>
      <c r="V179" s="383">
        <f t="shared" si="58"/>
        <v>55.468129755864581</v>
      </c>
      <c r="W179" s="402">
        <f t="shared" si="59"/>
        <v>48.378530835141717</v>
      </c>
      <c r="X179" s="157">
        <f t="shared" si="60"/>
        <v>45091</v>
      </c>
      <c r="Y179" s="385">
        <f t="shared" si="61"/>
        <v>43.321660986679575</v>
      </c>
      <c r="Z179" s="385">
        <f t="shared" si="62"/>
        <v>45.111136708455099</v>
      </c>
      <c r="AA179" s="386">
        <f t="shared" si="63"/>
        <v>51.131774949329518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0.11774749159090878</v>
      </c>
      <c r="AD179" s="231">
        <f>(INDEX(Models!$BJ179:$BT179,,AH179)*(1-AF179)+INDEX(Models!$BJ179:$BT179,,AH179+1)*AF179-ERP_i)*AE179*Ramure*Pc/MaxiM</f>
        <v>6.5095245289421939E-3</v>
      </c>
      <c r="AE179" s="305">
        <f t="shared" si="65"/>
        <v>0.7</v>
      </c>
      <c r="AF179" s="177">
        <f t="shared" si="66"/>
        <v>0.77030930672250109</v>
      </c>
      <c r="AG179" s="919">
        <f t="shared" si="74"/>
        <v>0</v>
      </c>
      <c r="AH179" s="176">
        <f t="shared" si="67"/>
        <v>6</v>
      </c>
      <c r="AI179" s="225">
        <f t="shared" si="68"/>
        <v>0.77030930672250109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1090">
        <f>IF(t&gt;Tmaj,'2022'!Wh/'2022'!Env_an*'2023'!Env_an,0.001*'[8]mon-tableau'!$B$51)</f>
        <v>51.935433576804137</v>
      </c>
      <c r="C180" s="953"/>
      <c r="D180" s="393">
        <f t="shared" si="50"/>
        <v>54.081900523813673</v>
      </c>
      <c r="E180" s="385">
        <f t="shared" si="75"/>
        <v>54.900516974599171</v>
      </c>
      <c r="F180" s="385">
        <f t="shared" si="51"/>
        <v>55.232266881739385</v>
      </c>
      <c r="G180" s="110">
        <f t="shared" si="76"/>
        <v>0.93712890177055341</v>
      </c>
      <c r="H180" s="412" t="b">
        <f>Wh_hp&gt;='2022'!Maxi_hp</f>
        <v>0</v>
      </c>
      <c r="I180" s="390">
        <f>IF(H180,Wh_hp,'2022'!Maxi_hp)</f>
        <v>55.237213915781524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3.9689192247679861E-2</v>
      </c>
      <c r="M180" s="957"/>
      <c r="N180" s="957"/>
      <c r="O180" s="48">
        <f>IF(t&lt;Tnet,'2022'!Resal+('2022'!Salim-'2022'!Resal)*(1-EXP(('2022'!Tnet-t)/('2022'!Tau_j))),Resal+(Salim-Resal)*(1-EXP((Tnet-t)/(Tau_j))))*Salcycl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6.5934299439332489E-3</v>
      </c>
      <c r="Q180" s="305">
        <f t="shared" si="53"/>
        <v>0.7</v>
      </c>
      <c r="R180" s="177">
        <f t="shared" si="54"/>
        <v>0.77541122526964124</v>
      </c>
      <c r="S180" s="919">
        <f t="shared" si="55"/>
        <v>0</v>
      </c>
      <c r="T180" s="176">
        <f t="shared" si="56"/>
        <v>6</v>
      </c>
      <c r="U180" s="251">
        <f t="shared" si="57"/>
        <v>0.77541122526964124</v>
      </c>
      <c r="V180" s="383">
        <f t="shared" si="58"/>
        <v>55.387006272011192</v>
      </c>
      <c r="W180" s="402">
        <f t="shared" si="59"/>
        <v>51.935433576804137</v>
      </c>
      <c r="X180" s="157">
        <f t="shared" si="60"/>
        <v>45092</v>
      </c>
      <c r="Y180" s="385">
        <f t="shared" si="61"/>
        <v>46.508936853716833</v>
      </c>
      <c r="Z180" s="385">
        <f t="shared" si="62"/>
        <v>48.431129253428381</v>
      </c>
      <c r="AA180" s="386">
        <f t="shared" si="63"/>
        <v>54.900516974599171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0.11783837525908884</v>
      </c>
      <c r="AD180" s="231">
        <f>(INDEX(Models!$BJ180:$BT180,,AH180)*(1-AF180)+INDEX(Models!$BJ180:$BT180,,AH180+1)*AF180-ERP_i)*AE180*Ramure*Pc/MaxiM</f>
        <v>6.5934299439332489E-3</v>
      </c>
      <c r="AE180" s="305">
        <f t="shared" si="65"/>
        <v>0.7</v>
      </c>
      <c r="AF180" s="177">
        <f t="shared" si="66"/>
        <v>0.77541122526964124</v>
      </c>
      <c r="AG180" s="919">
        <f t="shared" si="74"/>
        <v>0</v>
      </c>
      <c r="AH180" s="176">
        <f t="shared" si="67"/>
        <v>6</v>
      </c>
      <c r="AI180" s="225">
        <f t="shared" si="68"/>
        <v>0.77541122526964124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1090">
        <f>IF(t&gt;Tmaj,'2022'!Wh/'2022'!Env_an*'2023'!Env_an,0.001*'[8]mon-tableau'!$B$52)</f>
        <v>50.398538290320928</v>
      </c>
      <c r="C181" s="953"/>
      <c r="D181" s="393">
        <f t="shared" si="50"/>
        <v>52.482635585239244</v>
      </c>
      <c r="E181" s="385">
        <f t="shared" si="75"/>
        <v>53.285003564207706</v>
      </c>
      <c r="F181" s="385">
        <f t="shared" si="51"/>
        <v>53.597257938096128</v>
      </c>
      <c r="G181" s="110">
        <f t="shared" si="76"/>
        <v>0.91053890458249997</v>
      </c>
      <c r="H181" s="412" t="b">
        <f>Wh_hp&gt;='2022'!Maxi_hp</f>
        <v>0</v>
      </c>
      <c r="I181" s="390">
        <f>IF(H181,Wh_hp,'2022'!Maxi_hp)</f>
        <v>59.636866753529013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3.9710225518942321E-2</v>
      </c>
      <c r="M181" s="957"/>
      <c r="N181" s="957"/>
      <c r="O181" s="48">
        <f>IF(t&lt;Tnet,'2022'!Resal+('2022'!Salim-'2022'!Resal)*(1-EXP(('2022'!Tnet-t)/('2022'!Tau_j))),Resal+(Salim-Resal)*(1-EXP((Tnet-t)/(Tau_j))))*Salcycl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6.6711376110931879E-3</v>
      </c>
      <c r="Q181" s="305">
        <f t="shared" si="53"/>
        <v>0.7</v>
      </c>
      <c r="R181" s="177">
        <f t="shared" si="54"/>
        <v>0.78049172613991313</v>
      </c>
      <c r="S181" s="919">
        <f t="shared" si="55"/>
        <v>0</v>
      </c>
      <c r="T181" s="176">
        <f t="shared" si="56"/>
        <v>6</v>
      </c>
      <c r="U181" s="251">
        <f t="shared" si="57"/>
        <v>0.78049172613991313</v>
      </c>
      <c r="V181" s="383">
        <f t="shared" si="58"/>
        <v>55.303174482055447</v>
      </c>
      <c r="W181" s="402">
        <f t="shared" si="59"/>
        <v>50.398538290320928</v>
      </c>
      <c r="X181" s="157">
        <f t="shared" si="60"/>
        <v>45093</v>
      </c>
      <c r="Y181" s="385">
        <f t="shared" si="61"/>
        <v>45.134808497028793</v>
      </c>
      <c r="Z181" s="385">
        <f t="shared" si="62"/>
        <v>47.001238268333871</v>
      </c>
      <c r="AA181" s="386">
        <f t="shared" si="63"/>
        <v>53.285003564207706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0.11792746318017945</v>
      </c>
      <c r="AD181" s="231">
        <f>(INDEX(Models!$BJ181:$BT181,,AH181)*(1-AF181)+INDEX(Models!$BJ181:$BT181,,AH181+1)*AF181-ERP_i)*AE181*Ramure*Pc/MaxiM</f>
        <v>6.6711376110931879E-3</v>
      </c>
      <c r="AE181" s="305">
        <f t="shared" si="65"/>
        <v>0.7</v>
      </c>
      <c r="AF181" s="177">
        <f t="shared" si="66"/>
        <v>0.78049172613991313</v>
      </c>
      <c r="AG181" s="919">
        <f t="shared" si="74"/>
        <v>0</v>
      </c>
      <c r="AH181" s="176">
        <f t="shared" si="67"/>
        <v>6</v>
      </c>
      <c r="AI181" s="225">
        <f t="shared" si="68"/>
        <v>0.78049172613991313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1090">
        <f>IF(t&gt;Tmaj,'2022'!Wh/'2022'!Env_an*'2023'!Env_an,0.001*'[8]mon-tableau'!$B$53)</f>
        <v>51.054890440273034</v>
      </c>
      <c r="C182" s="953"/>
      <c r="D182" s="393">
        <f t="shared" si="50"/>
        <v>53.167293930091127</v>
      </c>
      <c r="E182" s="385">
        <f t="shared" si="75"/>
        <v>53.988180898984368</v>
      </c>
      <c r="F182" s="385">
        <f t="shared" si="51"/>
        <v>54.314961936658307</v>
      </c>
      <c r="G182" s="110">
        <f t="shared" si="76"/>
        <v>0.92394644096571665</v>
      </c>
      <c r="H182" s="412" t="b">
        <f>Wh_hp&gt;='2022'!Maxi_hp</f>
        <v>0</v>
      </c>
      <c r="I182" s="390">
        <f>IF(H182,Wh_hp,'2022'!Maxi_hp)</f>
        <v>58.647204437041879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3.973125832952229E-2</v>
      </c>
      <c r="M182" s="957"/>
      <c r="N182" s="957"/>
      <c r="O182" s="48">
        <f>IF(t&lt;Tnet,'2022'!Resal+('2022'!Salim-'2022'!Resal)*(1-EXP(('2022'!Tnet-t)/('2022'!Tau_j))),Resal+(Salim-Resal)*(1-EXP((Tnet-t)/(Tau_j))))*Salcycl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6.7424580512843732E-3</v>
      </c>
      <c r="Q182" s="305">
        <f t="shared" si="53"/>
        <v>0.7</v>
      </c>
      <c r="R182" s="177">
        <f t="shared" si="54"/>
        <v>0.78554668366957281</v>
      </c>
      <c r="S182" s="919">
        <f t="shared" si="55"/>
        <v>0</v>
      </c>
      <c r="T182" s="176">
        <f t="shared" si="56"/>
        <v>6</v>
      </c>
      <c r="U182" s="251">
        <f t="shared" si="57"/>
        <v>0.78554668366957281</v>
      </c>
      <c r="V182" s="383">
        <f t="shared" si="58"/>
        <v>55.217050974403641</v>
      </c>
      <c r="W182" s="402">
        <f t="shared" si="59"/>
        <v>51.054890440273034</v>
      </c>
      <c r="X182" s="157">
        <f t="shared" si="60"/>
        <v>45094</v>
      </c>
      <c r="Y182" s="385">
        <f t="shared" si="61"/>
        <v>45.724906694244929</v>
      </c>
      <c r="Z182" s="385">
        <f t="shared" si="62"/>
        <v>47.616781334256657</v>
      </c>
      <c r="AA182" s="386">
        <f t="shared" si="63"/>
        <v>53.988180898984368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0.11801471097255595</v>
      </c>
      <c r="AD182" s="231">
        <f>(INDEX(Models!$BJ182:$BT182,,AH182)*(1-AF182)+INDEX(Models!$BJ182:$BT182,,AH182+1)*AF182-ERP_i)*AE182*Ramure*Pc/MaxiM</f>
        <v>6.7424580512843732E-3</v>
      </c>
      <c r="AE182" s="305">
        <f t="shared" si="65"/>
        <v>0.7</v>
      </c>
      <c r="AF182" s="177">
        <f t="shared" si="66"/>
        <v>0.78554668366957281</v>
      </c>
      <c r="AG182" s="919">
        <f t="shared" si="74"/>
        <v>0</v>
      </c>
      <c r="AH182" s="176">
        <f t="shared" si="67"/>
        <v>6</v>
      </c>
      <c r="AI182" s="225">
        <f t="shared" si="68"/>
        <v>0.78554668366957281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1090">
        <f>IF(t&gt;Tmaj,'2022'!Wh/'2022'!Env_an*'2023'!Env_an,0.001*'[8]mon-tableau'!$B$54)</f>
        <v>52.773579290532638</v>
      </c>
      <c r="C183" s="953"/>
      <c r="D183" s="393">
        <f t="shared" si="50"/>
        <v>54.958297508330354</v>
      </c>
      <c r="E183" s="385">
        <f t="shared" si="75"/>
        <v>55.815147947699195</v>
      </c>
      <c r="F183" s="385">
        <f t="shared" si="51"/>
        <v>56.174196959071601</v>
      </c>
      <c r="G183" s="110">
        <f t="shared" si="76"/>
        <v>0.95687318092188067</v>
      </c>
      <c r="H183" s="412" t="b">
        <f>Wh_hp&gt;='2022'!Maxi_hp</f>
        <v>0</v>
      </c>
      <c r="I183" s="390">
        <f>IF(H183,Wh_hp,'2022'!Maxi_hp)</f>
        <v>56.677985927992459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3.9752290679429536E-2</v>
      </c>
      <c r="M183" s="957"/>
      <c r="N183" s="957"/>
      <c r="O183" s="48">
        <f>IF(t&lt;Tnet,'2022'!Resal+('2022'!Salim-'2022'!Resal)*(1-EXP(('2022'!Tnet-t)/('2022'!Tau_j))),Resal+(Salim-Resal)*(1-EXP((Tnet-t)/(Tau_j))))*Salcycl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6.807204384680984E-3</v>
      </c>
      <c r="Q183" s="305">
        <f t="shared" si="53"/>
        <v>0.7</v>
      </c>
      <c r="R183" s="177">
        <f t="shared" si="54"/>
        <v>0.79057205645184481</v>
      </c>
      <c r="S183" s="919">
        <f t="shared" si="55"/>
        <v>0</v>
      </c>
      <c r="T183" s="176">
        <f t="shared" si="56"/>
        <v>6</v>
      </c>
      <c r="U183" s="251">
        <f t="shared" si="57"/>
        <v>0.79057205645184481</v>
      </c>
      <c r="V183" s="383">
        <f t="shared" si="58"/>
        <v>55.129051589094885</v>
      </c>
      <c r="W183" s="402">
        <f t="shared" si="59"/>
        <v>52.773579290532638</v>
      </c>
      <c r="X183" s="157">
        <f t="shared" si="60"/>
        <v>45095</v>
      </c>
      <c r="Y183" s="385">
        <f t="shared" si="61"/>
        <v>47.266632628536762</v>
      </c>
      <c r="Z183" s="385">
        <f t="shared" si="62"/>
        <v>49.223374520706301</v>
      </c>
      <c r="AA183" s="386">
        <f t="shared" si="63"/>
        <v>55.815147947699195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0.1181000798057478</v>
      </c>
      <c r="AD183" s="231">
        <f>(INDEX(Models!$BJ183:$BT183,,AH183)*(1-AF183)+INDEX(Models!$BJ183:$BT183,,AH183+1)*AF183-ERP_i)*AE183*Ramure*Pc/MaxiM</f>
        <v>6.807204384680984E-3</v>
      </c>
      <c r="AE183" s="305">
        <f t="shared" si="65"/>
        <v>0.7</v>
      </c>
      <c r="AF183" s="177">
        <f t="shared" si="66"/>
        <v>0.79057205645184481</v>
      </c>
      <c r="AG183" s="919">
        <f t="shared" si="74"/>
        <v>0</v>
      </c>
      <c r="AH183" s="176">
        <f t="shared" si="67"/>
        <v>6</v>
      </c>
      <c r="AI183" s="225">
        <f t="shared" si="68"/>
        <v>0.79057205645184481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1090">
        <f>IF(t&gt;Tmaj,'2022'!Wh/'2022'!Env_an*'2023'!Env_an,0.001*'[8]mon-tableau'!$B$55)</f>
        <v>53.8822089136888</v>
      </c>
      <c r="C184" s="953"/>
      <c r="D184" s="393">
        <f t="shared" si="50"/>
        <v>56.114051171570793</v>
      </c>
      <c r="E184" s="385">
        <f t="shared" si="75"/>
        <v>56.997393595941446</v>
      </c>
      <c r="F184" s="385">
        <f t="shared" si="51"/>
        <v>57.379378432503586</v>
      </c>
      <c r="G184" s="110">
        <f t="shared" si="76"/>
        <v>0.97876681509049113</v>
      </c>
      <c r="H184" s="412" t="b">
        <f>Wh_hp&gt;='2022'!Maxi_hp</f>
        <v>0</v>
      </c>
      <c r="I184" s="390">
        <f>IF(H184,Wh_hp,'2022'!Maxi_hp)</f>
        <v>57.381175359136755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3.9773322568674496E-2</v>
      </c>
      <c r="M184" s="957"/>
      <c r="N184" s="957"/>
      <c r="O184" s="48">
        <f>IF(t&lt;Tnet,'2022'!Resal+('2022'!Salim-'2022'!Resal)*(1-EXP(('2022'!Tnet-t)/('2022'!Tau_j))),Resal+(Salim-Resal)*(1-EXP((Tnet-t)/(Tau_j))))*Salcycl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6.8633748857141021E-3</v>
      </c>
      <c r="Q184" s="305">
        <f t="shared" si="53"/>
        <v>0.7</v>
      </c>
      <c r="R184" s="177">
        <f t="shared" si="54"/>
        <v>0.79556389986625731</v>
      </c>
      <c r="S184" s="919">
        <f t="shared" si="55"/>
        <v>0</v>
      </c>
      <c r="T184" s="176">
        <f t="shared" si="56"/>
        <v>6</v>
      </c>
      <c r="U184" s="251">
        <f t="shared" si="57"/>
        <v>0.79556389986625731</v>
      </c>
      <c r="V184" s="383">
        <f t="shared" si="58"/>
        <v>55.039692167218817</v>
      </c>
      <c r="W184" s="402">
        <f t="shared" si="59"/>
        <v>53.8822089136888</v>
      </c>
      <c r="X184" s="157">
        <f t="shared" si="60"/>
        <v>45096</v>
      </c>
      <c r="Y184" s="385">
        <f t="shared" si="61"/>
        <v>48.262183535996549</v>
      </c>
      <c r="Z184" s="385">
        <f t="shared" si="62"/>
        <v>50.261240049173921</v>
      </c>
      <c r="AA184" s="386">
        <f t="shared" si="63"/>
        <v>56.997393595941446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0.11818353650555673</v>
      </c>
      <c r="AD184" s="231">
        <f>(INDEX(Models!$BJ184:$BT184,,AH184)*(1-AF184)+INDEX(Models!$BJ184:$BT184,,AH184+1)*AF184-ERP_i)*AE184*Ramure*Pc/MaxiM</f>
        <v>6.8633748857141021E-3</v>
      </c>
      <c r="AE184" s="305">
        <f t="shared" si="65"/>
        <v>0.7</v>
      </c>
      <c r="AF184" s="177">
        <f t="shared" si="66"/>
        <v>0.79556389986625731</v>
      </c>
      <c r="AG184" s="919">
        <f t="shared" si="74"/>
        <v>0</v>
      </c>
      <c r="AH184" s="176">
        <f t="shared" si="67"/>
        <v>6</v>
      </c>
      <c r="AI184" s="225">
        <f t="shared" si="68"/>
        <v>0.79556389986625731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1090">
        <f>IF(t&gt;Tmaj,'2022'!Wh/'2022'!Env_an*'2023'!Env_an,0.001*'[8]mon-tableau'!$B$56)</f>
        <v>33.984867770476257</v>
      </c>
      <c r="C185" s="953"/>
      <c r="D185" s="393">
        <f t="shared" si="50"/>
        <v>35.39332216171902</v>
      </c>
      <c r="E185" s="385">
        <f t="shared" si="75"/>
        <v>35.955816218749511</v>
      </c>
      <c r="F185" s="385">
        <f t="shared" si="51"/>
        <v>36.069301545266342</v>
      </c>
      <c r="G185" s="110">
        <f t="shared" si="76"/>
        <v>0.61614024970977554</v>
      </c>
      <c r="H185" s="412" t="b">
        <f>Wh_hp&gt;='2022'!Maxi_hp</f>
        <v>0</v>
      </c>
      <c r="I185" s="390">
        <f>IF(H185,Wh_hp,'2022'!Maxi_hp)</f>
        <v>50.746590499850917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3.9794353997267051E-2</v>
      </c>
      <c r="M185" s="957"/>
      <c r="N185" s="957"/>
      <c r="O185" s="48">
        <f>IF(t&lt;Tnet,'2022'!Resal+('2022'!Salim-'2022'!Resal)*(1-EXP(('2022'!Tnet-t)/('2022'!Tau_j))),Resal+(Salim-Resal)*(1-EXP((Tnet-t)/(Tau_j))))*Salcycl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6.915436321984169E-3</v>
      </c>
      <c r="Q185" s="305">
        <f t="shared" si="53"/>
        <v>0.7</v>
      </c>
      <c r="R185" s="177">
        <f t="shared" si="54"/>
        <v>0.80051837794333958</v>
      </c>
      <c r="S185" s="919">
        <f t="shared" si="55"/>
        <v>0</v>
      </c>
      <c r="T185" s="176">
        <f t="shared" si="56"/>
        <v>6</v>
      </c>
      <c r="U185" s="251">
        <f t="shared" si="57"/>
        <v>0.80051837794333958</v>
      </c>
      <c r="V185" s="383">
        <f t="shared" si="58"/>
        <v>54.949129437416772</v>
      </c>
      <c r="W185" s="402">
        <f t="shared" si="59"/>
        <v>33.984867770476257</v>
      </c>
      <c r="X185" s="157">
        <f t="shared" si="60"/>
        <v>45097</v>
      </c>
      <c r="Y185" s="385">
        <f t="shared" si="61"/>
        <v>30.441879395959468</v>
      </c>
      <c r="Z185" s="385">
        <f t="shared" si="62"/>
        <v>31.70349968539221</v>
      </c>
      <c r="AA185" s="386">
        <f t="shared" si="63"/>
        <v>35.955816218749511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0.118265053628233</v>
      </c>
      <c r="AD185" s="231">
        <f>(INDEX(Models!$BJ185:$BT185,,AH185)*(1-AF185)+INDEX(Models!$BJ185:$BT185,,AH185+1)*AF185-ERP_i)*AE185*Ramure*Pc/MaxiM</f>
        <v>6.915436321984169E-3</v>
      </c>
      <c r="AE185" s="305">
        <f t="shared" si="65"/>
        <v>0.7</v>
      </c>
      <c r="AF185" s="177">
        <f t="shared" si="66"/>
        <v>0.80051837794333958</v>
      </c>
      <c r="AG185" s="919">
        <f t="shared" si="74"/>
        <v>0</v>
      </c>
      <c r="AH185" s="176">
        <f t="shared" si="67"/>
        <v>6</v>
      </c>
      <c r="AI185" s="225">
        <f t="shared" si="68"/>
        <v>0.80051837794333958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1090">
        <f>IF(t&gt;Tmaj,'2022'!Wh/'2022'!Env_an*'2023'!Env_an,0.001*'[8]mon-tableau'!$B$57)</f>
        <v>24.026512359646219</v>
      </c>
      <c r="C186" s="953"/>
      <c r="D186" s="393">
        <f t="shared" si="50"/>
        <v>25.022804972537347</v>
      </c>
      <c r="E186" s="385">
        <f t="shared" si="75"/>
        <v>25.424249779832323</v>
      </c>
      <c r="F186" s="385">
        <f t="shared" si="51"/>
        <v>25.459193515912848</v>
      </c>
      <c r="G186" s="110">
        <f t="shared" si="76"/>
        <v>0.43552627068685185</v>
      </c>
      <c r="H186" s="412" t="b">
        <f>Wh_hp&gt;='2022'!Maxi_hp</f>
        <v>0</v>
      </c>
      <c r="I186" s="390">
        <f>IF(H186,Wh_hp,'2022'!Maxi_hp)</f>
        <v>50.271199376554243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3.9815384965217304E-2</v>
      </c>
      <c r="M186" s="957"/>
      <c r="N186" s="957"/>
      <c r="O186" s="48">
        <f>IF(t&lt;Tnet,'2022'!Resal+('2022'!Salim-'2022'!Resal)*(1-EXP(('2022'!Tnet-t)/('2022'!Tau_j))),Resal+(Salim-Resal)*(1-EXP((Tnet-t)/(Tau_j))))*Salcycl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6.9632519929119143E-3</v>
      </c>
      <c r="Q186" s="305">
        <f t="shared" si="53"/>
        <v>0.7</v>
      </c>
      <c r="R186" s="177">
        <f t="shared" si="54"/>
        <v>0.80543177449296632</v>
      </c>
      <c r="S186" s="919">
        <f t="shared" si="55"/>
        <v>0</v>
      </c>
      <c r="T186" s="176">
        <f t="shared" si="56"/>
        <v>6</v>
      </c>
      <c r="U186" s="251">
        <f t="shared" si="57"/>
        <v>0.80543177449296632</v>
      </c>
      <c r="V186" s="383">
        <f t="shared" si="58"/>
        <v>54.857775552899724</v>
      </c>
      <c r="W186" s="402">
        <f t="shared" si="59"/>
        <v>24.026512359646219</v>
      </c>
      <c r="X186" s="157">
        <f t="shared" si="60"/>
        <v>45098</v>
      </c>
      <c r="Y186" s="385">
        <f t="shared" si="61"/>
        <v>21.52294801782983</v>
      </c>
      <c r="Z186" s="385">
        <f t="shared" si="62"/>
        <v>22.415426867728097</v>
      </c>
      <c r="AA186" s="386">
        <f t="shared" si="63"/>
        <v>25.424249779832323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0.1183446095031272</v>
      </c>
      <c r="AD186" s="231">
        <f>(INDEX(Models!$BJ186:$BT186,,AH186)*(1-AF186)+INDEX(Models!$BJ186:$BT186,,AH186+1)*AF186-ERP_i)*AE186*Ramure*Pc/MaxiM</f>
        <v>6.9632519929119143E-3</v>
      </c>
      <c r="AE186" s="305">
        <f t="shared" si="65"/>
        <v>0.7</v>
      </c>
      <c r="AF186" s="177">
        <f t="shared" si="66"/>
        <v>0.80543177449296632</v>
      </c>
      <c r="AG186" s="919">
        <f t="shared" si="74"/>
        <v>0</v>
      </c>
      <c r="AH186" s="176">
        <f t="shared" si="67"/>
        <v>6</v>
      </c>
      <c r="AI186" s="225">
        <f t="shared" si="68"/>
        <v>0.80543177449296632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1090">
        <f>IF(t&gt;Tmaj,'2022'!Wh/'2022'!Env_an*'2023'!Env_an,0.001*'[8]mon-tableau'!$B$58)</f>
        <v>42.425093282809435</v>
      </c>
      <c r="C187" s="953"/>
      <c r="D187" s="393">
        <f t="shared" si="50"/>
        <v>44.185276307566426</v>
      </c>
      <c r="E187" s="385">
        <f t="shared" si="75"/>
        <v>44.900785870656058</v>
      </c>
      <c r="F187" s="385">
        <f t="shared" si="51"/>
        <v>45.115134244630788</v>
      </c>
      <c r="G187" s="110">
        <f t="shared" si="76"/>
        <v>0.77290494456983183</v>
      </c>
      <c r="H187" s="412" t="b">
        <f>Wh_hp&gt;='2022'!Maxi_hp</f>
        <v>0</v>
      </c>
      <c r="I187" s="390">
        <f>IF(H187,Wh_hp,'2022'!Maxi_hp)</f>
        <v>58.651325061036623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3.9836415472535469E-2</v>
      </c>
      <c r="M187" s="957"/>
      <c r="N187" s="957"/>
      <c r="O187" s="48">
        <f>IF(t&lt;Tnet,'2022'!Resal+('2022'!Salim-'2022'!Resal)*(1-EXP(('2022'!Tnet-t)/('2022'!Tau_j))),Resal+(Salim-Resal)*(1-EXP((Tnet-t)/(Tau_j))))*Salcycl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7.00668871195475E-3</v>
      </c>
      <c r="Q187" s="305">
        <f t="shared" si="53"/>
        <v>0.7</v>
      </c>
      <c r="R187" s="177">
        <f t="shared" si="54"/>
        <v>0.81030050343305393</v>
      </c>
      <c r="S187" s="919">
        <f t="shared" si="55"/>
        <v>0</v>
      </c>
      <c r="T187" s="176">
        <f t="shared" si="56"/>
        <v>6</v>
      </c>
      <c r="U187" s="251">
        <f t="shared" si="57"/>
        <v>0.81030050343305393</v>
      </c>
      <c r="V187" s="383">
        <f t="shared" si="58"/>
        <v>54.766041997472605</v>
      </c>
      <c r="W187" s="402">
        <f t="shared" si="59"/>
        <v>42.425093282809435</v>
      </c>
      <c r="X187" s="157">
        <f t="shared" si="60"/>
        <v>45099</v>
      </c>
      <c r="Y187" s="385">
        <f t="shared" si="61"/>
        <v>38.006670345963798</v>
      </c>
      <c r="Z187" s="385">
        <f t="shared" si="62"/>
        <v>39.583536554001292</v>
      </c>
      <c r="AA187" s="386">
        <f t="shared" si="63"/>
        <v>44.900785870656058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0.11842218824347436</v>
      </c>
      <c r="AD187" s="231">
        <f>(INDEX(Models!$BJ187:$BT187,,AH187)*(1-AF187)+INDEX(Models!$BJ187:$BT187,,AH187+1)*AF187-ERP_i)*AE187*Ramure*Pc/MaxiM</f>
        <v>7.00668871195475E-3</v>
      </c>
      <c r="AE187" s="305">
        <f t="shared" si="65"/>
        <v>0.7</v>
      </c>
      <c r="AF187" s="177">
        <f t="shared" si="66"/>
        <v>0.81030050343305393</v>
      </c>
      <c r="AG187" s="919">
        <f t="shared" si="74"/>
        <v>0</v>
      </c>
      <c r="AH187" s="176">
        <f t="shared" si="67"/>
        <v>6</v>
      </c>
      <c r="AI187" s="225">
        <f t="shared" si="68"/>
        <v>0.81030050343305393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1090">
        <f>IF(t&gt;Tmaj,'2022'!Wh/'2022'!Env_an*'2023'!Env_an,0.001*'[8]mon-tableau'!$B$59)</f>
        <v>42.054038025980098</v>
      </c>
      <c r="C188" s="953"/>
      <c r="D188" s="393">
        <f t="shared" si="50"/>
        <v>43.79978559404892</v>
      </c>
      <c r="E188" s="385">
        <f t="shared" si="75"/>
        <v>44.51562121510743</v>
      </c>
      <c r="F188" s="385">
        <f t="shared" si="51"/>
        <v>44.726832868824907</v>
      </c>
      <c r="G188" s="110">
        <f t="shared" si="76"/>
        <v>0.76737767907513788</v>
      </c>
      <c r="H188" s="412" t="b">
        <f>Wh_hp&gt;='2022'!Maxi_hp</f>
        <v>0</v>
      </c>
      <c r="I188" s="390">
        <f>IF(H188,Wh_hp,'2022'!Maxi_hp)</f>
        <v>52.717054573900171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3.9857445519231427E-2</v>
      </c>
      <c r="M188" s="957"/>
      <c r="N188" s="957"/>
      <c r="O188" s="48">
        <f>IF(t&lt;Tnet,'2022'!Resal+('2022'!Salim-'2022'!Resal)*(1-EXP(('2022'!Tnet-t)/('2022'!Tau_j))),Resal+(Salim-Resal)*(1-EXP((Tnet-t)/(Tau_j))))*Salcycl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7.0455451709413933E-3</v>
      </c>
      <c r="Q188" s="305">
        <f t="shared" si="53"/>
        <v>0.7</v>
      </c>
      <c r="R188" s="177">
        <f t="shared" si="54"/>
        <v>0.81512111826427591</v>
      </c>
      <c r="S188" s="919">
        <f t="shared" si="55"/>
        <v>0</v>
      </c>
      <c r="T188" s="176">
        <f t="shared" si="56"/>
        <v>6</v>
      </c>
      <c r="U188" s="251">
        <f t="shared" si="57"/>
        <v>0.81512111826427591</v>
      </c>
      <c r="V188" s="383">
        <f t="shared" si="58"/>
        <v>54.674343548305821</v>
      </c>
      <c r="W188" s="402">
        <f t="shared" si="59"/>
        <v>42.054038025980098</v>
      </c>
      <c r="X188" s="157">
        <f t="shared" si="60"/>
        <v>45100</v>
      </c>
      <c r="Y188" s="385">
        <f t="shared" si="61"/>
        <v>37.676588106565127</v>
      </c>
      <c r="Z188" s="385">
        <f t="shared" si="62"/>
        <v>39.240618938028518</v>
      </c>
      <c r="AA188" s="386">
        <f t="shared" si="63"/>
        <v>44.51562121510743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0.11849777972521511</v>
      </c>
      <c r="AD188" s="231">
        <f>(INDEX(Models!$BJ188:$BT188,,AH188)*(1-AF188)+INDEX(Models!$BJ188:$BT188,,AH188+1)*AF188-ERP_i)*AE188*Ramure*Pc/MaxiM</f>
        <v>7.0455451709413933E-3</v>
      </c>
      <c r="AE188" s="305">
        <f t="shared" si="65"/>
        <v>0.7</v>
      </c>
      <c r="AF188" s="177">
        <f t="shared" si="66"/>
        <v>0.81512111826427591</v>
      </c>
      <c r="AG188" s="919">
        <f t="shared" si="74"/>
        <v>0</v>
      </c>
      <c r="AH188" s="176">
        <f t="shared" si="67"/>
        <v>6</v>
      </c>
      <c r="AI188" s="225">
        <f t="shared" si="68"/>
        <v>0.81512111826427591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1090">
        <f>IF(t&gt;Tmaj,'2022'!Wh/'2022'!Env_an*'2023'!Env_an,0.001*'[8]mon-tableau'!$B$60)</f>
        <v>40.055715488321169</v>
      </c>
      <c r="C189" s="953"/>
      <c r="D189" s="393">
        <f t="shared" si="50"/>
        <v>41.719422437399132</v>
      </c>
      <c r="E189" s="385">
        <f t="shared" si="75"/>
        <v>42.407502817003234</v>
      </c>
      <c r="F189" s="385">
        <f t="shared" si="51"/>
        <v>42.594399820173066</v>
      </c>
      <c r="G189" s="110">
        <f t="shared" si="76"/>
        <v>0.73186430879790176</v>
      </c>
      <c r="H189" s="412" t="b">
        <f>Wh_hp&gt;='2022'!Maxi_hp</f>
        <v>0</v>
      </c>
      <c r="I189" s="390">
        <f>IF(H189,Wh_hp,'2022'!Maxi_hp)</f>
        <v>57.879746381610467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3.9878475105315503E-2</v>
      </c>
      <c r="M189" s="957"/>
      <c r="N189" s="957"/>
      <c r="O189" s="48">
        <f>IF(t&lt;Tnet,'2022'!Resal+('2022'!Salim-'2022'!Resal)*(1-EXP(('2022'!Tnet-t)/('2022'!Tau_j))),Resal+(Salim-Resal)*(1-EXP((Tnet-t)/(Tau_j))))*Salcycl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7.0796191452514824E-3</v>
      </c>
      <c r="Q189" s="305">
        <f t="shared" si="53"/>
        <v>0.7</v>
      </c>
      <c r="R189" s="177">
        <f t="shared" si="54"/>
        <v>0.81989032064581824</v>
      </c>
      <c r="S189" s="919">
        <f t="shared" si="55"/>
        <v>0</v>
      </c>
      <c r="T189" s="176">
        <f t="shared" si="56"/>
        <v>6</v>
      </c>
      <c r="U189" s="251">
        <f t="shared" si="57"/>
        <v>0.81989032064581824</v>
      </c>
      <c r="V189" s="383">
        <f t="shared" si="58"/>
        <v>54.583094566971674</v>
      </c>
      <c r="W189" s="402">
        <f t="shared" si="59"/>
        <v>40.055715488321169</v>
      </c>
      <c r="X189" s="157">
        <f t="shared" si="60"/>
        <v>45101</v>
      </c>
      <c r="Y189" s="385">
        <f t="shared" si="61"/>
        <v>35.888561738910688</v>
      </c>
      <c r="Z189" s="385">
        <f t="shared" si="62"/>
        <v>37.37918670539888</v>
      </c>
      <c r="AA189" s="386">
        <f t="shared" si="63"/>
        <v>42.407502817003234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0.11857137953400682</v>
      </c>
      <c r="AD189" s="231">
        <f>(INDEX(Models!$BJ189:$BT189,,AH189)*(1-AF189)+INDEX(Models!$BJ189:$BT189,,AH189+1)*AF189-ERP_i)*AE189*Ramure*Pc/MaxiM</f>
        <v>7.0796191452514824E-3</v>
      </c>
      <c r="AE189" s="305">
        <f t="shared" si="65"/>
        <v>0.7</v>
      </c>
      <c r="AF189" s="177">
        <f t="shared" si="66"/>
        <v>0.81989032064581824</v>
      </c>
      <c r="AG189" s="919">
        <f t="shared" si="74"/>
        <v>0</v>
      </c>
      <c r="AH189" s="176">
        <f t="shared" si="67"/>
        <v>6</v>
      </c>
      <c r="AI189" s="225">
        <f t="shared" si="68"/>
        <v>0.81989032064581824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1090">
        <f>IF(t&gt;Tmaj,'2022'!Wh/'2022'!Env_an*'2023'!Env_an,0.001*'[8]mon-tableau'!$B$61)</f>
        <v>34.366977992922322</v>
      </c>
      <c r="C190" s="953"/>
      <c r="D190" s="393">
        <f t="shared" si="50"/>
        <v>35.795188258275587</v>
      </c>
      <c r="E190" s="385">
        <f t="shared" si="75"/>
        <v>36.39090785904262</v>
      </c>
      <c r="F190" s="385">
        <f t="shared" si="51"/>
        <v>36.513523900937543</v>
      </c>
      <c r="G190" s="110">
        <f t="shared" si="76"/>
        <v>0.62829775274939637</v>
      </c>
      <c r="H190" s="412" t="b">
        <f>Wh_hp&gt;='2022'!Maxi_hp</f>
        <v>0</v>
      </c>
      <c r="I190" s="390">
        <f>IF(H190,Wh_hp,'2022'!Maxi_hp)</f>
        <v>56.287194704165557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3.9899504230797689E-2</v>
      </c>
      <c r="M190" s="957"/>
      <c r="N190" s="957"/>
      <c r="O190" s="48">
        <f>IF(t&lt;Tnet,'2022'!Resal+('2022'!Salim-'2022'!Resal)*(1-EXP(('2022'!Tnet-t)/('2022'!Tau_j))),Resal+(Salim-Resal)*(1-EXP((Tnet-t)/(Tau_j))))*Salcycl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7.1087828980214169E-3</v>
      </c>
      <c r="Q190" s="305">
        <f t="shared" si="53"/>
        <v>0.7</v>
      </c>
      <c r="R190" s="177">
        <f t="shared" si="54"/>
        <v>0.82460496803679417</v>
      </c>
      <c r="S190" s="919">
        <f t="shared" si="55"/>
        <v>0</v>
      </c>
      <c r="T190" s="176">
        <f t="shared" si="56"/>
        <v>6</v>
      </c>
      <c r="U190" s="251">
        <f t="shared" si="57"/>
        <v>0.82460496803679417</v>
      </c>
      <c r="V190" s="383">
        <f t="shared" si="58"/>
        <v>54.492704881985418</v>
      </c>
      <c r="W190" s="402">
        <f t="shared" si="59"/>
        <v>34.366977992922322</v>
      </c>
      <c r="X190" s="157">
        <f t="shared" si="60"/>
        <v>45102</v>
      </c>
      <c r="Y190" s="385">
        <f t="shared" si="61"/>
        <v>30.793669750429856</v>
      </c>
      <c r="Z190" s="385">
        <f t="shared" si="62"/>
        <v>32.073381782559061</v>
      </c>
      <c r="AA190" s="386">
        <f t="shared" si="63"/>
        <v>36.39090785904262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0.11864298888082599</v>
      </c>
      <c r="AD190" s="231">
        <f>(INDEX(Models!$BJ190:$BT190,,AH190)*(1-AF190)+INDEX(Models!$BJ190:$BT190,,AH190+1)*AF190-ERP_i)*AE190*Ramure*Pc/MaxiM</f>
        <v>7.1087828980214169E-3</v>
      </c>
      <c r="AE190" s="305">
        <f t="shared" si="65"/>
        <v>0.7</v>
      </c>
      <c r="AF190" s="177">
        <f t="shared" si="66"/>
        <v>0.82460496803679417</v>
      </c>
      <c r="AG190" s="919">
        <f t="shared" si="74"/>
        <v>0</v>
      </c>
      <c r="AH190" s="176">
        <f t="shared" si="67"/>
        <v>6</v>
      </c>
      <c r="AI190" s="225">
        <f t="shared" si="68"/>
        <v>0.82460496803679417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1090">
        <f>IF(t&gt;Tmaj,'2022'!Wh/'2022'!Env_an*'2023'!Env_an,0.001*'[8]mon-tableau'!$B$62)</f>
        <v>11.135149883755803</v>
      </c>
      <c r="C191" s="953"/>
      <c r="D191" s="393">
        <f t="shared" si="50"/>
        <v>11.598154387511732</v>
      </c>
      <c r="E191" s="385">
        <f t="shared" si="75"/>
        <v>11.792905496695601</v>
      </c>
      <c r="F191" s="385">
        <f t="shared" si="51"/>
        <v>11.792905496695601</v>
      </c>
      <c r="G191" s="110">
        <f t="shared" si="76"/>
        <v>0.20322060140265152</v>
      </c>
      <c r="H191" s="412" t="b">
        <f>Wh_hp&gt;='2022'!Maxi_hp</f>
        <v>0</v>
      </c>
      <c r="I191" s="390">
        <f>IF(H191,Wh_hp,'2022'!Maxi_hp)</f>
        <v>59.196700093726733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3.9920532895687977E-2</v>
      </c>
      <c r="M191" s="957"/>
      <c r="N191" s="957"/>
      <c r="O191" s="48">
        <f>IF(t&lt;Tnet,'2022'!Resal+('2022'!Salim-'2022'!Resal)*(1-EXP(('2022'!Tnet-t)/('2022'!Tau_j))),Resal+(Salim-Resal)*(1-EXP((Tnet-t)/(Tau_j))))*Salcycl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7.1330466373173704E-3</v>
      </c>
      <c r="Q191" s="305">
        <f t="shared" si="53"/>
        <v>0.7</v>
      </c>
      <c r="R191" s="177">
        <f t="shared" si="54"/>
        <v>0.82926208037762639</v>
      </c>
      <c r="S191" s="919">
        <f t="shared" si="55"/>
        <v>0</v>
      </c>
      <c r="T191" s="176">
        <f t="shared" si="56"/>
        <v>6</v>
      </c>
      <c r="U191" s="251">
        <f t="shared" si="57"/>
        <v>0.82926208037762639</v>
      </c>
      <c r="V191" s="383">
        <f t="shared" si="58"/>
        <v>54.402566787095452</v>
      </c>
      <c r="W191" s="402">
        <f t="shared" si="59"/>
        <v>11.135149883755803</v>
      </c>
      <c r="X191" s="157">
        <f t="shared" si="60"/>
        <v>45103</v>
      </c>
      <c r="Y191" s="385">
        <f t="shared" si="61"/>
        <v>9.9780471954314418</v>
      </c>
      <c r="Z191" s="385">
        <f t="shared" si="62"/>
        <v>10.392938852786999</v>
      </c>
      <c r="AA191" s="386">
        <f t="shared" si="63"/>
        <v>11.792905496695601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0.11871261448680953</v>
      </c>
      <c r="AD191" s="231">
        <f>(INDEX(Models!$BJ191:$BT191,,AH191)*(1-AF191)+INDEX(Models!$BJ191:$BT191,,AH191+1)*AF191-ERP_i)*AE191*Ramure*Pc/MaxiM</f>
        <v>7.1330466373173704E-3</v>
      </c>
      <c r="AE191" s="305">
        <f t="shared" si="65"/>
        <v>0.7</v>
      </c>
      <c r="AF191" s="177">
        <f t="shared" si="66"/>
        <v>0.82926208037762639</v>
      </c>
      <c r="AG191" s="919">
        <f t="shared" si="74"/>
        <v>0</v>
      </c>
      <c r="AH191" s="176">
        <f t="shared" si="67"/>
        <v>6</v>
      </c>
      <c r="AI191" s="225">
        <f t="shared" si="68"/>
        <v>0.82926208037762639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1090">
        <f>IF(t&gt;Tmaj,'2022'!Wh/'2022'!Env_an*'2023'!Env_an,0.001*'[8]mon-tableau'!$B$63)</f>
        <v>10.440309752034052</v>
      </c>
      <c r="C192" s="953"/>
      <c r="D192" s="393">
        <f t="shared" si="50"/>
        <v>10.874660675860671</v>
      </c>
      <c r="E192" s="385">
        <f t="shared" si="75"/>
        <v>11.058881502471548</v>
      </c>
      <c r="F192" s="385">
        <f t="shared" si="51"/>
        <v>11.058881502471548</v>
      </c>
      <c r="G192" s="110">
        <f t="shared" si="76"/>
        <v>0.19085420725410476</v>
      </c>
      <c r="H192" s="412" t="b">
        <f>Wh_hp&gt;='2022'!Maxi_hp</f>
        <v>0</v>
      </c>
      <c r="I192" s="390">
        <f>IF(H192,Wh_hp,'2022'!Maxi_hp)</f>
        <v>57.199547222334189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3.9941561099996581E-2</v>
      </c>
      <c r="M192" s="957"/>
      <c r="N192" s="957"/>
      <c r="O192" s="48">
        <f>IF(t&lt;Tnet,'2022'!Resal+('2022'!Salim-'2022'!Resal)*(1-EXP(('2022'!Tnet-t)/('2022'!Tau_j))),Resal+(Salim-Resal)*(1-EXP((Tnet-t)/(Tau_j))))*Salcycl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7.1476219628425069E-3</v>
      </c>
      <c r="Q192" s="305">
        <f t="shared" si="53"/>
        <v>0.7</v>
      </c>
      <c r="R192" s="177">
        <f t="shared" si="54"/>
        <v>0.83385884579534353</v>
      </c>
      <c r="S192" s="919">
        <f t="shared" si="55"/>
        <v>0</v>
      </c>
      <c r="T192" s="176">
        <f t="shared" si="56"/>
        <v>6</v>
      </c>
      <c r="U192" s="251">
        <f t="shared" si="57"/>
        <v>0.83385884579534353</v>
      </c>
      <c r="V192" s="383">
        <f t="shared" si="58"/>
        <v>54.312066335276434</v>
      </c>
      <c r="W192" s="402">
        <f t="shared" si="59"/>
        <v>10.440309752034052</v>
      </c>
      <c r="X192" s="157">
        <f t="shared" si="60"/>
        <v>45104</v>
      </c>
      <c r="Y192" s="385">
        <f t="shared" si="61"/>
        <v>9.356061910302591</v>
      </c>
      <c r="Z192" s="385">
        <f t="shared" si="62"/>
        <v>9.7453045889814707</v>
      </c>
      <c r="AA192" s="386">
        <f t="shared" si="63"/>
        <v>11.058881502471548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0.11878026843822374</v>
      </c>
      <c r="AD192" s="231">
        <f>(INDEX(Models!$BJ192:$BT192,,AH192)*(1-AF192)+INDEX(Models!$BJ192:$BT192,,AH192+1)*AF192-ERP_i)*AE192*Ramure*Pc/MaxiM</f>
        <v>7.1476219628425069E-3</v>
      </c>
      <c r="AE192" s="305">
        <f t="shared" si="65"/>
        <v>0.7</v>
      </c>
      <c r="AF192" s="177">
        <f t="shared" si="66"/>
        <v>0.83385884579534353</v>
      </c>
      <c r="AG192" s="919">
        <f t="shared" si="74"/>
        <v>0</v>
      </c>
      <c r="AH192" s="176">
        <f t="shared" si="67"/>
        <v>6</v>
      </c>
      <c r="AI192" s="225">
        <f t="shared" si="68"/>
        <v>0.83385884579534353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1090">
        <f>IF(t&gt;Tmaj,'2022'!Wh/'2022'!Env_an*'2023'!Env_an,0.001*'[8]mon-tableau'!$B$64)</f>
        <v>53.762117765521211</v>
      </c>
      <c r="C193" s="953"/>
      <c r="D193" s="393">
        <f t="shared" si="50"/>
        <v>56.000023687379283</v>
      </c>
      <c r="E193" s="385">
        <f t="shared" si="75"/>
        <v>56.957001799853188</v>
      </c>
      <c r="F193" s="385">
        <f t="shared" si="51"/>
        <v>57.362427796702015</v>
      </c>
      <c r="G193" s="110">
        <f t="shared" si="76"/>
        <v>0.99144853874499284</v>
      </c>
      <c r="H193" s="412" t="b">
        <f>Wh_hp&gt;='2022'!Maxi_hp</f>
        <v>0</v>
      </c>
      <c r="I193" s="390">
        <f>IF(H193,Wh_hp,'2022'!Maxi_hp)</f>
        <v>57.363171830027696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3.9962588843733493E-2</v>
      </c>
      <c r="M193" s="957"/>
      <c r="N193" s="957"/>
      <c r="O193" s="48">
        <f>IF(t&lt;Tnet,'2022'!Resal+('2022'!Salim-'2022'!Resal)*(1-EXP(('2022'!Tnet-t)/('2022'!Tau_j))),Resal+(Salim-Resal)*(1-EXP((Tnet-t)/(Tau_j))))*Salcycl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7.1543138022644014E-3</v>
      </c>
      <c r="Q193" s="305">
        <f t="shared" si="53"/>
        <v>0.7</v>
      </c>
      <c r="R193" s="177">
        <f t="shared" si="54"/>
        <v>0.83839262532617309</v>
      </c>
      <c r="S193" s="919">
        <f t="shared" si="55"/>
        <v>0</v>
      </c>
      <c r="T193" s="176">
        <f t="shared" si="56"/>
        <v>6</v>
      </c>
      <c r="U193" s="251">
        <f t="shared" si="57"/>
        <v>0.83839262532617309</v>
      </c>
      <c r="V193" s="383">
        <f t="shared" si="58"/>
        <v>54.221102993481011</v>
      </c>
      <c r="W193" s="402">
        <f t="shared" si="59"/>
        <v>53.762117765521211</v>
      </c>
      <c r="X193" s="157">
        <f t="shared" si="60"/>
        <v>45105</v>
      </c>
      <c r="Y193" s="385">
        <f t="shared" si="61"/>
        <v>48.182253701477784</v>
      </c>
      <c r="Z193" s="385">
        <f t="shared" si="62"/>
        <v>50.187891785849473</v>
      </c>
      <c r="AA193" s="386">
        <f t="shared" si="63"/>
        <v>56.957001799853188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0.11884596801268366</v>
      </c>
      <c r="AD193" s="231">
        <f>(INDEX(Models!$BJ193:$BT193,,AH193)*(1-AF193)+INDEX(Models!$BJ193:$BT193,,AH193+1)*AF193-ERP_i)*AE193*Ramure*Pc/MaxiM</f>
        <v>7.1543138022644014E-3</v>
      </c>
      <c r="AE193" s="305">
        <f t="shared" si="65"/>
        <v>0.7</v>
      </c>
      <c r="AF193" s="177">
        <f t="shared" si="66"/>
        <v>0.83839262532617309</v>
      </c>
      <c r="AG193" s="919">
        <f t="shared" si="74"/>
        <v>0</v>
      </c>
      <c r="AH193" s="176">
        <f t="shared" si="67"/>
        <v>6</v>
      </c>
      <c r="AI193" s="225">
        <f t="shared" si="68"/>
        <v>0.83839262532617309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1090">
        <f>IF(t&gt;Tmaj,'2022'!Wh/'2022'!Env_an*'2023'!Env_an,0.001*'[8]mon-tableau'!$B$65)</f>
        <v>54.60188224352504</v>
      </c>
      <c r="C194" s="953"/>
      <c r="D194" s="393">
        <f t="shared" si="50"/>
        <v>56.875989994294834</v>
      </c>
      <c r="E194" s="385">
        <f t="shared" si="75"/>
        <v>57.856366857032278</v>
      </c>
      <c r="F194" s="385">
        <f t="shared" si="51"/>
        <v>58.273197772555619</v>
      </c>
      <c r="G194" s="110">
        <f t="shared" si="76"/>
        <v>1.0087235496234725</v>
      </c>
      <c r="H194" s="412" t="b">
        <f>Wh_hp&gt;='2022'!Maxi_hp</f>
        <v>1</v>
      </c>
      <c r="I194" s="390">
        <f>IF(H194,Wh_hp,'2022'!Maxi_hp)</f>
        <v>58.273197772555619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3.9983616126908816E-2</v>
      </c>
      <c r="M194" s="957"/>
      <c r="N194" s="957"/>
      <c r="O194" s="48">
        <f>IF(t&lt;Tnet,'2022'!Resal+('2022'!Salim-'2022'!Resal)*(1-EXP(('2022'!Tnet-t)/('2022'!Tau_j))),Resal+(Salim-Resal)*(1-EXP((Tnet-t)/(Tau_j))))*Salcycl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7.1530468801499977E-3</v>
      </c>
      <c r="Q194" s="305">
        <f t="shared" si="53"/>
        <v>0.7</v>
      </c>
      <c r="R194" s="177">
        <f t="shared" si="54"/>
        <v>0.84286095665794536</v>
      </c>
      <c r="S194" s="919">
        <f t="shared" si="55"/>
        <v>0</v>
      </c>
      <c r="T194" s="176">
        <f t="shared" si="56"/>
        <v>6</v>
      </c>
      <c r="U194" s="251">
        <f t="shared" si="57"/>
        <v>0.84286095665794536</v>
      </c>
      <c r="V194" s="383">
        <f t="shared" si="58"/>
        <v>54.129679300048423</v>
      </c>
      <c r="W194" s="402">
        <f t="shared" si="59"/>
        <v>54.60188224352504</v>
      </c>
      <c r="X194" s="157">
        <f t="shared" si="60"/>
        <v>45106</v>
      </c>
      <c r="Y194" s="385">
        <f t="shared" si="61"/>
        <v>48.938449510693886</v>
      </c>
      <c r="Z194" s="385">
        <f t="shared" si="62"/>
        <v>50.976681578346145</v>
      </c>
      <c r="AA194" s="386">
        <f t="shared" si="63"/>
        <v>57.856366857032278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0.11890973547797053</v>
      </c>
      <c r="AD194" s="231">
        <f>(INDEX(Models!$BJ194:$BT194,,AH194)*(1-AF194)+INDEX(Models!$BJ194:$BT194,,AH194+1)*AF194-ERP_i)*AE194*Ramure*Pc/MaxiM</f>
        <v>7.1530468801499977E-3</v>
      </c>
      <c r="AE194" s="305">
        <f t="shared" si="65"/>
        <v>0.7</v>
      </c>
      <c r="AF194" s="177">
        <f t="shared" si="66"/>
        <v>0.84286095665794536</v>
      </c>
      <c r="AG194" s="919">
        <f t="shared" si="74"/>
        <v>0</v>
      </c>
      <c r="AH194" s="176">
        <f t="shared" si="67"/>
        <v>6</v>
      </c>
      <c r="AI194" s="225">
        <f t="shared" si="68"/>
        <v>0.84286095665794536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1090">
        <f>IF(t&gt;Tmaj,'2022'!Wh/'2022'!Env_an*'2023'!Env_an,0.001*'[8]mon-tableau'!$B$66)</f>
        <v>12.433986893858984</v>
      </c>
      <c r="C195" s="953"/>
      <c r="D195" s="393">
        <f t="shared" si="50"/>
        <v>12.952132322870522</v>
      </c>
      <c r="E195" s="385">
        <f t="shared" si="75"/>
        <v>13.177305077065247</v>
      </c>
      <c r="F195" s="385">
        <f t="shared" si="51"/>
        <v>13.177305077065247</v>
      </c>
      <c r="G195" s="110">
        <f t="shared" si="76"/>
        <v>0.22845419653384122</v>
      </c>
      <c r="H195" s="412" t="b">
        <f>Wh_hp&gt;='2022'!Maxi_hp</f>
        <v>0</v>
      </c>
      <c r="I195" s="390">
        <f>IF(H195,Wh_hp,'2022'!Maxi_hp)</f>
        <v>51.899795502885659</v>
      </c>
      <c r="J195" s="85">
        <f>IF(H195,An,'2022'!An_max)</f>
        <v>2021</v>
      </c>
      <c r="K195" s="197">
        <f t="shared" si="52"/>
        <v>45107</v>
      </c>
      <c r="L195" s="147">
        <f>IF(t&lt;Tvie,1-EXP((T0-t)*PertePVj)+'2022'!Pspv,1-EXP((T0-t)*PertePVj)+Pspv)</f>
        <v>4.0004642949532765E-2</v>
      </c>
      <c r="M195" s="957"/>
      <c r="N195" s="957"/>
      <c r="O195" s="48">
        <f>IF(t&lt;Tnet,'2022'!Resal+('2022'!Salim-'2022'!Resal)*(1-EXP(('2022'!Tnet-t)/('2022'!Tau_j))),Resal+(Salim-Resal)*(1-EXP((Tnet-t)/(Tau_j))))*Salcycl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7.143753521138935E-3</v>
      </c>
      <c r="Q195" s="305">
        <f t="shared" si="53"/>
        <v>0.7</v>
      </c>
      <c r="R195" s="177">
        <f t="shared" si="54"/>
        <v>0.84726155690350091</v>
      </c>
      <c r="S195" s="919">
        <f t="shared" si="55"/>
        <v>0</v>
      </c>
      <c r="T195" s="176">
        <f t="shared" si="56"/>
        <v>6</v>
      </c>
      <c r="U195" s="251">
        <f t="shared" si="57"/>
        <v>0.84726155690350091</v>
      </c>
      <c r="V195" s="383">
        <f t="shared" si="58"/>
        <v>54.03779726311781</v>
      </c>
      <c r="W195" s="402">
        <f t="shared" si="59"/>
        <v>12.433986893858984</v>
      </c>
      <c r="X195" s="157">
        <f t="shared" si="60"/>
        <v>45107</v>
      </c>
      <c r="Y195" s="385">
        <f t="shared" si="61"/>
        <v>11.145142932338217</v>
      </c>
      <c r="Z195" s="385">
        <f t="shared" si="62"/>
        <v>11.609580036492108</v>
      </c>
      <c r="AA195" s="386">
        <f t="shared" si="63"/>
        <v>13.177305077065247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0.1189715978650083</v>
      </c>
      <c r="AD195" s="231">
        <f>(INDEX(Models!$BJ195:$BT195,,AH195)*(1-AF195)+INDEX(Models!$BJ195:$BT195,,AH195+1)*AF195-ERP_i)*AE195*Ramure*Pc/MaxiM</f>
        <v>7.143753521138935E-3</v>
      </c>
      <c r="AE195" s="305">
        <f t="shared" si="65"/>
        <v>0.7</v>
      </c>
      <c r="AF195" s="177">
        <f t="shared" si="66"/>
        <v>0.84726155690350091</v>
      </c>
      <c r="AG195" s="919">
        <f t="shared" si="74"/>
        <v>0</v>
      </c>
      <c r="AH195" s="176">
        <f t="shared" si="67"/>
        <v>6</v>
      </c>
      <c r="AI195" s="225">
        <f t="shared" si="68"/>
        <v>0.84726155690350091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1090">
        <f>IF(t&gt;Tmaj,'2022'!Wh/'2022'!Env_an*'2023'!Env_an,0.001*[9]mois!$B$38)</f>
        <v>46.535128064093598</v>
      </c>
      <c r="C196" s="953"/>
      <c r="D196" s="393">
        <f t="shared" si="50"/>
        <v>48.475387910345354</v>
      </c>
      <c r="E196" s="385">
        <f t="shared" si="75"/>
        <v>49.325286725765302</v>
      </c>
      <c r="F196" s="385">
        <f t="shared" si="51"/>
        <v>49.609444822740357</v>
      </c>
      <c r="G196" s="110">
        <f t="shared" si="76"/>
        <v>0.86141959980800198</v>
      </c>
      <c r="H196" s="412" t="b">
        <f>Wh_hp&gt;='2022'!Maxi_hp</f>
        <v>0</v>
      </c>
      <c r="I196" s="390">
        <f>IF(H196,Wh_hp,'2022'!Maxi_hp)</f>
        <v>55.368807466601659</v>
      </c>
      <c r="J196" s="85">
        <f>IF(H196,An,'2022'!An_max)</f>
        <v>2021</v>
      </c>
      <c r="K196" s="197">
        <f t="shared" si="52"/>
        <v>45108</v>
      </c>
      <c r="L196" s="147">
        <f>IF(t&lt;Tvie,1-EXP((T0-t)*PertePVj)+'2022'!Pspv,1-EXP((T0-t)*PertePVj)+Pspv)</f>
        <v>4.0025669311615331E-2</v>
      </c>
      <c r="M196" s="957"/>
      <c r="N196" s="957"/>
      <c r="O196" s="48">
        <f>IF(t&lt;Tnet,'2022'!Resal+('2022'!Salim-'2022'!Resal)*(1-EXP(('2022'!Tnet-t)/('2022'!Tau_j))),Resal+(Salim-Resal)*(1-EXP((Tnet-t)/(Tau_j))))*Salcycl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7.1263733691851096E-3</v>
      </c>
      <c r="Q196" s="305">
        <f t="shared" si="53"/>
        <v>0.7</v>
      </c>
      <c r="R196" s="177">
        <f t="shared" si="54"/>
        <v>0.85159232442444388</v>
      </c>
      <c r="S196" s="919">
        <f t="shared" si="55"/>
        <v>0</v>
      </c>
      <c r="T196" s="176">
        <f t="shared" si="56"/>
        <v>6</v>
      </c>
      <c r="U196" s="251">
        <f t="shared" si="57"/>
        <v>0.85159232442444388</v>
      </c>
      <c r="V196" s="383">
        <f t="shared" si="58"/>
        <v>53.945458377601021</v>
      </c>
      <c r="W196" s="402">
        <f t="shared" si="59"/>
        <v>46.535128064093598</v>
      </c>
      <c r="X196" s="157">
        <f t="shared" si="60"/>
        <v>45108</v>
      </c>
      <c r="Y196" s="385">
        <f t="shared" si="61"/>
        <v>41.714743363507253</v>
      </c>
      <c r="Z196" s="385">
        <f t="shared" si="62"/>
        <v>43.454019581538368</v>
      </c>
      <c r="AA196" s="386">
        <f t="shared" si="63"/>
        <v>49.325286725765302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0.11903158671675909</v>
      </c>
      <c r="AD196" s="231">
        <f>(INDEX(Models!$BJ196:$BT196,,AH196)*(1-AF196)+INDEX(Models!$BJ196:$BT196,,AH196+1)*AF196-ERP_i)*AE196*Ramure*Pc/MaxiM</f>
        <v>7.1263733691851096E-3</v>
      </c>
      <c r="AE196" s="305">
        <f t="shared" si="65"/>
        <v>0.7</v>
      </c>
      <c r="AF196" s="177">
        <f t="shared" si="66"/>
        <v>0.85159232442444388</v>
      </c>
      <c r="AG196" s="919">
        <f t="shared" si="74"/>
        <v>0</v>
      </c>
      <c r="AH196" s="176">
        <f t="shared" si="67"/>
        <v>6</v>
      </c>
      <c r="AI196" s="225">
        <f t="shared" si="68"/>
        <v>0.85159232442444388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1090">
        <f>IF(t&gt;Tmaj,'2022'!Wh/'2022'!Env_an*'2023'!Env_an,0.001*[9]mois!$B$39)</f>
        <v>53.556774021318986</v>
      </c>
      <c r="C197" s="953"/>
      <c r="D197" s="393">
        <f t="shared" si="50"/>
        <v>55.791019994677519</v>
      </c>
      <c r="E197" s="385">
        <f t="shared" si="75"/>
        <v>56.777397510475346</v>
      </c>
      <c r="F197" s="385">
        <f t="shared" si="51"/>
        <v>57.18023899306246</v>
      </c>
      <c r="G197" s="110">
        <f t="shared" si="76"/>
        <v>0.99444974824714227</v>
      </c>
      <c r="H197" s="412" t="b">
        <f>Wh_hp&gt;='2022'!Maxi_hp</f>
        <v>0</v>
      </c>
      <c r="I197" s="390">
        <f>IF(H197,Wh_hp,'2022'!Maxi_hp)</f>
        <v>57.180715851959583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4.0046695213166617E-2</v>
      </c>
      <c r="M197" s="957"/>
      <c r="N197" s="957"/>
      <c r="O197" s="48">
        <f>IF(t&lt;Tnet,'2022'!Resal+('2022'!Salim-'2022'!Resal)*(1-EXP(('2022'!Tnet-t)/('2022'!Tau_j))),Resal+(Salim-Resal)*(1-EXP((Tnet-t)/(Tau_j))))*Salcycl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7.1008530560559713E-3</v>
      </c>
      <c r="Q197" s="305">
        <f t="shared" si="53"/>
        <v>0.7</v>
      </c>
      <c r="R197" s="177">
        <f t="shared" si="54"/>
        <v>0.85585133973210448</v>
      </c>
      <c r="S197" s="919">
        <f t="shared" si="55"/>
        <v>0</v>
      </c>
      <c r="T197" s="176">
        <f t="shared" si="56"/>
        <v>6</v>
      </c>
      <c r="U197" s="251">
        <f t="shared" si="57"/>
        <v>0.85585133973210448</v>
      </c>
      <c r="V197" s="383">
        <f t="shared" si="58"/>
        <v>53.852663647871815</v>
      </c>
      <c r="W197" s="402">
        <f t="shared" si="59"/>
        <v>53.556774021318986</v>
      </c>
      <c r="X197" s="157">
        <f t="shared" si="60"/>
        <v>45109</v>
      </c>
      <c r="Y197" s="385">
        <f t="shared" si="61"/>
        <v>48.012824943975296</v>
      </c>
      <c r="Z197" s="385">
        <f t="shared" si="62"/>
        <v>50.015792127135803</v>
      </c>
      <c r="AA197" s="386">
        <f t="shared" si="63"/>
        <v>56.777397510475346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0.11908973781498235</v>
      </c>
      <c r="AD197" s="231">
        <f>(INDEX(Models!$BJ197:$BT197,,AH197)*(1-AF197)+INDEX(Models!$BJ197:$BT197,,AH197+1)*AF197-ERP_i)*AE197*Ramure*Pc/MaxiM</f>
        <v>7.1008530560559713E-3</v>
      </c>
      <c r="AE197" s="305">
        <f t="shared" si="65"/>
        <v>0.7</v>
      </c>
      <c r="AF197" s="177">
        <f t="shared" si="66"/>
        <v>0.85585133973210448</v>
      </c>
      <c r="AG197" s="919">
        <f t="shared" si="74"/>
        <v>0</v>
      </c>
      <c r="AH197" s="176">
        <f t="shared" si="67"/>
        <v>6</v>
      </c>
      <c r="AI197" s="225">
        <f t="shared" si="68"/>
        <v>0.85585133973210448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1090">
        <f>IF(t&gt;Tmaj,'2022'!Wh/'2022'!Env_an*'2023'!Env_an,0.001*[9]mois!$B$40)</f>
        <v>46.319977228174537</v>
      </c>
      <c r="C198" s="953"/>
      <c r="D198" s="393">
        <f t="shared" si="50"/>
        <v>48.253380186091604</v>
      </c>
      <c r="E198" s="385">
        <f t="shared" si="75"/>
        <v>49.113584848598464</v>
      </c>
      <c r="F198" s="385">
        <f t="shared" si="51"/>
        <v>49.393562999390937</v>
      </c>
      <c r="G198" s="110">
        <f t="shared" si="76"/>
        <v>0.86040398930591178</v>
      </c>
      <c r="H198" s="412" t="b">
        <f>Wh_hp&gt;='2022'!Maxi_hp</f>
        <v>0</v>
      </c>
      <c r="I198" s="390">
        <f>IF(H198,Wh_hp,'2022'!Maxi_hp)</f>
        <v>49.441031489628365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4.0067720654196615E-2</v>
      </c>
      <c r="M198" s="957"/>
      <c r="N198" s="957"/>
      <c r="O198" s="48">
        <f>IF(t&lt;Tnet,'2022'!Resal+('2022'!Salim-'2022'!Resal)*(1-EXP(('2022'!Tnet-t)/('2022'!Tau_j))),Resal+(Salim-Resal)*(1-EXP((Tnet-t)/(Tau_j))))*Salcycl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7.0650247281360519E-3</v>
      </c>
      <c r="Q198" s="305">
        <f t="shared" si="53"/>
        <v>0.7</v>
      </c>
      <c r="R198" s="177">
        <f t="shared" si="54"/>
        <v>0.86003686549940095</v>
      </c>
      <c r="S198" s="919">
        <f t="shared" si="55"/>
        <v>0</v>
      </c>
      <c r="T198" s="176">
        <f t="shared" si="56"/>
        <v>6</v>
      </c>
      <c r="U198" s="251">
        <f t="shared" si="57"/>
        <v>0.86003686549940095</v>
      </c>
      <c r="V198" s="383">
        <f t="shared" si="58"/>
        <v>53.759528452752626</v>
      </c>
      <c r="W198" s="402">
        <f t="shared" si="59"/>
        <v>46.319977228174537</v>
      </c>
      <c r="X198" s="157">
        <f t="shared" si="60"/>
        <v>45110</v>
      </c>
      <c r="Y198" s="385">
        <f t="shared" si="61"/>
        <v>41.528487752555243</v>
      </c>
      <c r="Z198" s="385">
        <f t="shared" si="62"/>
        <v>43.261893204442536</v>
      </c>
      <c r="AA198" s="386">
        <f t="shared" si="63"/>
        <v>49.113584848598464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0.119146090886968</v>
      </c>
      <c r="AD198" s="231">
        <f>(INDEX(Models!$BJ198:$BT198,,AH198)*(1-AF198)+INDEX(Models!$BJ198:$BT198,,AH198+1)*AF198-ERP_i)*AE198*Ramure*Pc/MaxiM</f>
        <v>7.0650247281360519E-3</v>
      </c>
      <c r="AE198" s="305">
        <f t="shared" si="65"/>
        <v>0.7</v>
      </c>
      <c r="AF198" s="177">
        <f t="shared" si="66"/>
        <v>0.86003686549940095</v>
      </c>
      <c r="AG198" s="919">
        <f t="shared" si="74"/>
        <v>0</v>
      </c>
      <c r="AH198" s="176">
        <f t="shared" si="67"/>
        <v>6</v>
      </c>
      <c r="AI198" s="225">
        <f t="shared" si="68"/>
        <v>0.86003686549940095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1090">
        <f>IF(t&gt;Tmaj,'2022'!Wh/'2022'!Env_an*'2023'!Env_an,0.001*[9]mois!$B$41)</f>
        <v>44.17332389757393</v>
      </c>
      <c r="C199" s="953"/>
      <c r="D199" s="393">
        <f t="shared" si="50"/>
        <v>46.018133131257386</v>
      </c>
      <c r="E199" s="385">
        <f t="shared" si="75"/>
        <v>46.845239146317155</v>
      </c>
      <c r="F199" s="385">
        <f t="shared" si="51"/>
        <v>47.092318746495287</v>
      </c>
      <c r="G199" s="110">
        <f t="shared" si="76"/>
        <v>0.82164846849234086</v>
      </c>
      <c r="H199" s="412" t="b">
        <f>Wh_hp&gt;='2022'!Maxi_hp</f>
        <v>0</v>
      </c>
      <c r="I199" s="390">
        <f>IF(H199,Wh_hp,'2022'!Maxi_hp)</f>
        <v>55.745011407918014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4.0088745634715539E-2</v>
      </c>
      <c r="M199" s="957"/>
      <c r="N199" s="957"/>
      <c r="O199" s="48">
        <f>IF(t&lt;Tnet,'2022'!Resal+('2022'!Salim-'2022'!Resal)*(1-EXP(('2022'!Tnet-t)/('2022'!Tau_j))),Resal+(Salim-Resal)*(1-EXP((Tnet-t)/(Tau_j))))*Salcycl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7.0207979468870077E-3</v>
      </c>
      <c r="Q199" s="305">
        <f t="shared" si="53"/>
        <v>0.7</v>
      </c>
      <c r="R199" s="177">
        <f t="shared" si="54"/>
        <v>0.86414734572335805</v>
      </c>
      <c r="S199" s="919">
        <f t="shared" si="55"/>
        <v>0</v>
      </c>
      <c r="T199" s="176">
        <f t="shared" si="56"/>
        <v>6</v>
      </c>
      <c r="U199" s="251">
        <f t="shared" si="57"/>
        <v>0.86414734572335805</v>
      </c>
      <c r="V199" s="383">
        <f t="shared" si="58"/>
        <v>53.665946881360668</v>
      </c>
      <c r="W199" s="402">
        <f t="shared" si="59"/>
        <v>44.17332389757393</v>
      </c>
      <c r="X199" s="157">
        <f t="shared" si="60"/>
        <v>45111</v>
      </c>
      <c r="Y199" s="385">
        <f t="shared" si="61"/>
        <v>39.607142419707465</v>
      </c>
      <c r="Z199" s="385">
        <f t="shared" si="62"/>
        <v>41.261254349910317</v>
      </c>
      <c r="AA199" s="386">
        <f t="shared" si="63"/>
        <v>46.845239146317155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0.11920068929450289</v>
      </c>
      <c r="AD199" s="231">
        <f>(INDEX(Models!$BJ199:$BT199,,AH199)*(1-AF199)+INDEX(Models!$BJ199:$BT199,,AH199+1)*AF199-ERP_i)*AE199*Ramure*Pc/MaxiM</f>
        <v>7.0207979468870077E-3</v>
      </c>
      <c r="AE199" s="305">
        <f t="shared" si="65"/>
        <v>0.7</v>
      </c>
      <c r="AF199" s="177">
        <f t="shared" si="66"/>
        <v>0.86414734572335805</v>
      </c>
      <c r="AG199" s="919">
        <f t="shared" si="74"/>
        <v>0</v>
      </c>
      <c r="AH199" s="176">
        <f t="shared" si="67"/>
        <v>6</v>
      </c>
      <c r="AI199" s="225">
        <f t="shared" si="68"/>
        <v>0.86414734572335805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1090">
        <f>IF(t&gt;Tmaj,'2022'!Wh/'2022'!Env_an*'2023'!Env_an,0.001*[9]mois!$B$42)</f>
        <v>53.789026489456994</v>
      </c>
      <c r="C200" s="953"/>
      <c r="D200" s="393">
        <f t="shared" si="50"/>
        <v>56.036643375490691</v>
      </c>
      <c r="E200" s="385">
        <f t="shared" si="75"/>
        <v>57.052017422894991</v>
      </c>
      <c r="F200" s="385">
        <f t="shared" si="51"/>
        <v>57.452353409792387</v>
      </c>
      <c r="G200" s="110">
        <f t="shared" si="76"/>
        <v>1.0040526453175844</v>
      </c>
      <c r="H200" s="412" t="b">
        <f>Wh_hp&gt;='2022'!Maxi_hp</f>
        <v>0</v>
      </c>
      <c r="I200" s="390">
        <f>IF(H200,Wh_hp,'2022'!Maxi_hp)</f>
        <v>58.767865102105034</v>
      </c>
      <c r="J200" s="85">
        <f>IF(H200,An,'2022'!An_max)</f>
        <v>2021</v>
      </c>
      <c r="K200" s="197">
        <f t="shared" si="52"/>
        <v>45112</v>
      </c>
      <c r="L200" s="147">
        <f>IF(t&lt;Tvie,1-EXP((T0-t)*PertePVj)+'2022'!Pspv,1-EXP((T0-t)*PertePVj)+Pspv)</f>
        <v>4.0109770154733382E-2</v>
      </c>
      <c r="M200" s="957"/>
      <c r="N200" s="957"/>
      <c r="O200" s="48">
        <f>IF(t&lt;Tnet,'2022'!Resal+('2022'!Salim-'2022'!Resal)*(1-EXP(('2022'!Tnet-t)/('2022'!Tau_j))),Resal+(Salim-Resal)*(1-EXP((Tnet-t)/(Tau_j))))*Salcycl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6.9681390428326757E-3</v>
      </c>
      <c r="Q200" s="305">
        <f t="shared" si="53"/>
        <v>0.7</v>
      </c>
      <c r="R200" s="177">
        <f t="shared" si="54"/>
        <v>0.86818140408333189</v>
      </c>
      <c r="S200" s="919">
        <f t="shared" si="55"/>
        <v>0</v>
      </c>
      <c r="T200" s="176">
        <f t="shared" si="56"/>
        <v>6</v>
      </c>
      <c r="U200" s="251">
        <f t="shared" si="57"/>
        <v>0.86818140408333189</v>
      </c>
      <c r="V200" s="383">
        <f t="shared" si="58"/>
        <v>53.571918504774608</v>
      </c>
      <c r="W200" s="402">
        <f t="shared" si="59"/>
        <v>53.789026489456994</v>
      </c>
      <c r="X200" s="157">
        <f t="shared" si="60"/>
        <v>45112</v>
      </c>
      <c r="Y200" s="385">
        <f t="shared" si="61"/>
        <v>48.232909940790343</v>
      </c>
      <c r="Z200" s="385">
        <f t="shared" si="62"/>
        <v>50.248360115682644</v>
      </c>
      <c r="AA200" s="386">
        <f t="shared" si="63"/>
        <v>57.052017422894991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0.11925357970745555</v>
      </c>
      <c r="AD200" s="231">
        <f>(INDEX(Models!$BJ200:$BT200,,AH200)*(1-AF200)+INDEX(Models!$BJ200:$BT200,,AH200+1)*AF200-ERP_i)*AE200*Ramure*Pc/MaxiM</f>
        <v>6.9681390428326757E-3</v>
      </c>
      <c r="AE200" s="305">
        <f t="shared" si="65"/>
        <v>0.7</v>
      </c>
      <c r="AF200" s="177">
        <f t="shared" si="66"/>
        <v>0.86818140408333189</v>
      </c>
      <c r="AG200" s="919">
        <f t="shared" si="74"/>
        <v>0</v>
      </c>
      <c r="AH200" s="176">
        <f t="shared" si="67"/>
        <v>6</v>
      </c>
      <c r="AI200" s="225">
        <f t="shared" si="68"/>
        <v>0.86818140408333189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1090">
        <f>IF(t&gt;Tmaj,'2022'!Wh/'2022'!Env_an*'2023'!Env_an,0.001*[9]mois!$B$43)</f>
        <v>44.064813169033926</v>
      </c>
      <c r="C201" s="953"/>
      <c r="D201" s="393">
        <f t="shared" si="50"/>
        <v>45.907101616998844</v>
      </c>
      <c r="E201" s="385">
        <f t="shared" si="75"/>
        <v>46.745634113610876</v>
      </c>
      <c r="F201" s="385">
        <f t="shared" si="51"/>
        <v>46.988578546338928</v>
      </c>
      <c r="G201" s="110">
        <f t="shared" si="76"/>
        <v>0.82255030470328749</v>
      </c>
      <c r="H201" s="412" t="b">
        <f>Wh_hp&gt;='2022'!Maxi_hp</f>
        <v>0</v>
      </c>
      <c r="I201" s="390">
        <f>IF(H201,Wh_hp,'2022'!Maxi_hp)</f>
        <v>56.315415913154332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4.0130794214260357E-2</v>
      </c>
      <c r="M201" s="957"/>
      <c r="N201" s="957"/>
      <c r="O201" s="48">
        <f>IF(t&lt;Tnet,'2022'!Resal+('2022'!Salim-'2022'!Resal)*(1-EXP(('2022'!Tnet-t)/('2022'!Tau_j))),Resal+(Salim-Resal)*(1-EXP((Tnet-t)/(Tau_j))))*Salcycl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6.9070195888528748E-3</v>
      </c>
      <c r="Q201" s="305">
        <f t="shared" si="53"/>
        <v>0.7</v>
      </c>
      <c r="R201" s="177">
        <f t="shared" si="54"/>
        <v>0.87213784154445806</v>
      </c>
      <c r="S201" s="919">
        <f t="shared" si="55"/>
        <v>0</v>
      </c>
      <c r="T201" s="176">
        <f t="shared" si="56"/>
        <v>6</v>
      </c>
      <c r="U201" s="251">
        <f t="shared" si="57"/>
        <v>0.87213784154445806</v>
      </c>
      <c r="V201" s="383">
        <f t="shared" si="58"/>
        <v>53.477442515539167</v>
      </c>
      <c r="W201" s="402">
        <f t="shared" si="59"/>
        <v>44.064813169033926</v>
      </c>
      <c r="X201" s="157">
        <f t="shared" si="60"/>
        <v>45113</v>
      </c>
      <c r="Y201" s="385">
        <f t="shared" si="61"/>
        <v>39.516524211593236</v>
      </c>
      <c r="Z201" s="385">
        <f t="shared" si="62"/>
        <v>41.168655034875705</v>
      </c>
      <c r="AA201" s="386">
        <f t="shared" si="63"/>
        <v>46.745634113610876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0.11930481176447082</v>
      </c>
      <c r="AD201" s="231">
        <f>(INDEX(Models!$BJ201:$BT201,,AH201)*(1-AF201)+INDEX(Models!$BJ201:$BT201,,AH201+1)*AF201-ERP_i)*AE201*Ramure*Pc/MaxiM</f>
        <v>6.9070195888528748E-3</v>
      </c>
      <c r="AE201" s="305">
        <f t="shared" si="65"/>
        <v>0.7</v>
      </c>
      <c r="AF201" s="177">
        <f t="shared" si="66"/>
        <v>0.87213784154445806</v>
      </c>
      <c r="AG201" s="919">
        <f t="shared" si="74"/>
        <v>0</v>
      </c>
      <c r="AH201" s="176">
        <f t="shared" si="67"/>
        <v>6</v>
      </c>
      <c r="AI201" s="225">
        <f t="shared" si="68"/>
        <v>0.87213784154445806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1090">
        <f>IF(t&gt;Tmaj,'2022'!Wh/'2022'!Env_an*'2023'!Env_an,0.001*[9]mois!$B$44)</f>
        <v>52.053119521777809</v>
      </c>
      <c r="C202" s="953"/>
      <c r="D202" s="393">
        <f t="shared" si="50"/>
        <v>54.23057571791422</v>
      </c>
      <c r="E202" s="385">
        <f t="shared" si="75"/>
        <v>55.229046391803948</v>
      </c>
      <c r="F202" s="385">
        <f t="shared" si="51"/>
        <v>55.595653440906332</v>
      </c>
      <c r="G202" s="110">
        <f t="shared" si="76"/>
        <v>0.9748579838212591</v>
      </c>
      <c r="H202" s="412" t="b">
        <f>Wh_hp&gt;='2022'!Maxi_hp</f>
        <v>0</v>
      </c>
      <c r="I202" s="390">
        <f>IF(H202,Wh_hp,'2022'!Maxi_hp)</f>
        <v>56.989181729783134</v>
      </c>
      <c r="J202" s="85">
        <f>IF(H202,An,'2022'!An_max)</f>
        <v>2018</v>
      </c>
      <c r="K202" s="197">
        <f t="shared" si="52"/>
        <v>45114</v>
      </c>
      <c r="L202" s="147">
        <f>IF(t&lt;Tvie,1-EXP((T0-t)*PertePVj)+'2022'!Pspv,1-EXP((T0-t)*PertePVj)+Pspv)</f>
        <v>4.0151817813306456E-2</v>
      </c>
      <c r="M202" s="957"/>
      <c r="N202" s="957"/>
      <c r="O202" s="48">
        <f>IF(t&lt;Tnet,'2022'!Resal+('2022'!Salim-'2022'!Resal)*(1-EXP(('2022'!Tnet-t)/('2022'!Tau_j))),Resal+(Salim-Resal)*(1-EXP((Tnet-t)/(Tau_j))))*Salcycl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6.8374158698279513E-3</v>
      </c>
      <c r="Q202" s="305">
        <f t="shared" si="53"/>
        <v>0.7</v>
      </c>
      <c r="R202" s="177">
        <f t="shared" si="54"/>
        <v>0.87601563325949761</v>
      </c>
      <c r="S202" s="919">
        <f t="shared" si="55"/>
        <v>0</v>
      </c>
      <c r="T202" s="176">
        <f t="shared" si="56"/>
        <v>6</v>
      </c>
      <c r="U202" s="251">
        <f t="shared" si="57"/>
        <v>0.87601563325949761</v>
      </c>
      <c r="V202" s="383">
        <f t="shared" si="58"/>
        <v>53.382517760151096</v>
      </c>
      <c r="W202" s="402">
        <f t="shared" si="59"/>
        <v>52.053119521777809</v>
      </c>
      <c r="X202" s="157">
        <f t="shared" si="60"/>
        <v>45114</v>
      </c>
      <c r="Y202" s="385">
        <f t="shared" si="61"/>
        <v>46.684342033596948</v>
      </c>
      <c r="Z202" s="385">
        <f t="shared" si="62"/>
        <v>48.637214613713461</v>
      </c>
      <c r="AA202" s="386">
        <f t="shared" si="63"/>
        <v>55.229046391803948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0.11935443772334842</v>
      </c>
      <c r="AD202" s="231">
        <f>(INDEX(Models!$BJ202:$BT202,,AH202)*(1-AF202)+INDEX(Models!$BJ202:$BT202,,AH202+1)*AF202-ERP_i)*AE202*Ramure*Pc/MaxiM</f>
        <v>6.8374158698279513E-3</v>
      </c>
      <c r="AE202" s="305">
        <f t="shared" si="65"/>
        <v>0.7</v>
      </c>
      <c r="AF202" s="177">
        <f t="shared" si="66"/>
        <v>0.87601563325949761</v>
      </c>
      <c r="AG202" s="919">
        <f t="shared" si="74"/>
        <v>0</v>
      </c>
      <c r="AH202" s="176">
        <f t="shared" si="67"/>
        <v>6</v>
      </c>
      <c r="AI202" s="225">
        <f t="shared" si="68"/>
        <v>0.87601563325949761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1090">
        <f>IF(t&gt;Tmaj,'2022'!Wh/'2022'!Env_an*'2023'!Env_an,0.001*[9]mois!$B$45)</f>
        <v>54.555895126257859</v>
      </c>
      <c r="C203" s="953"/>
      <c r="D203" s="393">
        <f t="shared" si="50"/>
        <v>56.83929092021333</v>
      </c>
      <c r="E203" s="385">
        <f t="shared" si="75"/>
        <v>57.894057837423269</v>
      </c>
      <c r="F203" s="385">
        <f t="shared" si="51"/>
        <v>58.288044703587232</v>
      </c>
      <c r="G203" s="110">
        <f t="shared" si="76"/>
        <v>1.0238097275774947</v>
      </c>
      <c r="H203" s="412" t="b">
        <f>Wh_hp&gt;='2022'!Maxi_hp</f>
        <v>0</v>
      </c>
      <c r="I203" s="390">
        <f>IF(H203,Wh_hp,'2022'!Maxi_hp)</f>
        <v>59.606340921073496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4.0172840951881783E-2</v>
      </c>
      <c r="M203" s="957"/>
      <c r="N203" s="957"/>
      <c r="O203" s="48">
        <f>IF(t&lt;Tnet,'2022'!Resal+('2022'!Salim-'2022'!Resal)*(1-EXP(('2022'!Tnet-t)/('2022'!Tau_j))),Resal+(Salim-Resal)*(1-EXP((Tnet-t)/(Tau_j))))*Salcycl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6.759308331022491E-3</v>
      </c>
      <c r="Q203" s="305">
        <f t="shared" si="53"/>
        <v>0.7</v>
      </c>
      <c r="R203" s="177">
        <f t="shared" si="54"/>
        <v>0.87981392482510001</v>
      </c>
      <c r="S203" s="919">
        <f t="shared" si="55"/>
        <v>0</v>
      </c>
      <c r="T203" s="176">
        <f t="shared" si="56"/>
        <v>6</v>
      </c>
      <c r="U203" s="251">
        <f t="shared" si="57"/>
        <v>0.87981392482510001</v>
      </c>
      <c r="V203" s="383">
        <f t="shared" si="58"/>
        <v>53.287142773439207</v>
      </c>
      <c r="W203" s="402">
        <f t="shared" si="59"/>
        <v>54.555895126257859</v>
      </c>
      <c r="X203" s="157">
        <f t="shared" si="60"/>
        <v>45115</v>
      </c>
      <c r="Y203" s="385">
        <f t="shared" si="61"/>
        <v>48.933295752807261</v>
      </c>
      <c r="Z203" s="385">
        <f t="shared" si="62"/>
        <v>50.981361895755782</v>
      </c>
      <c r="AA203" s="386">
        <f t="shared" si="63"/>
        <v>57.894057837423269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0.11940251210373891</v>
      </c>
      <c r="AD203" s="231">
        <f>(INDEX(Models!$BJ203:$BT203,,AH203)*(1-AF203)+INDEX(Models!$BJ203:$BT203,,AH203+1)*AF203-ERP_i)*AE203*Ramure*Pc/MaxiM</f>
        <v>6.759308331022491E-3</v>
      </c>
      <c r="AE203" s="305">
        <f t="shared" si="65"/>
        <v>0.7</v>
      </c>
      <c r="AF203" s="177">
        <f t="shared" si="66"/>
        <v>0.87981392482510001</v>
      </c>
      <c r="AG203" s="919">
        <f t="shared" si="74"/>
        <v>0</v>
      </c>
      <c r="AH203" s="176">
        <f t="shared" si="67"/>
        <v>6</v>
      </c>
      <c r="AI203" s="225">
        <f t="shared" si="68"/>
        <v>0.87981392482510001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1090">
        <f>IF(t&gt;Tmaj,'2022'!Wh/'2022'!Env_an*'2023'!Env_an,0.001*[9]mois!$B$46)</f>
        <v>53.9383615104733</v>
      </c>
      <c r="C204" s="953"/>
      <c r="D204" s="393">
        <f t="shared" si="50"/>
        <v>56.197141762886332</v>
      </c>
      <c r="E204" s="385">
        <f t="shared" si="75"/>
        <v>57.248147709245067</v>
      </c>
      <c r="F204" s="385">
        <f t="shared" si="51"/>
        <v>57.632712414968985</v>
      </c>
      <c r="G204" s="110">
        <f t="shared" si="76"/>
        <v>1.0140445049204443</v>
      </c>
      <c r="H204" s="412" t="b">
        <f>Wh_hp&gt;='2022'!Maxi_hp</f>
        <v>1</v>
      </c>
      <c r="I204" s="390">
        <f>IF(H204,Wh_hp,'2022'!Maxi_hp)</f>
        <v>57.632712414968985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4.019386362999644E-2</v>
      </c>
      <c r="M204" s="957"/>
      <c r="N204" s="957"/>
      <c r="O204" s="48">
        <f>IF(t&lt;Tnet,'2022'!Resal+('2022'!Salim-'2022'!Resal)*(1-EXP(('2022'!Tnet-t)/('2022'!Tau_j))),Resal+(Salim-Resal)*(1-EXP((Tnet-t)/(Tau_j))))*Salcycl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6.672681010655236E-3</v>
      </c>
      <c r="Q204" s="305">
        <f t="shared" si="53"/>
        <v>0.7</v>
      </c>
      <c r="R204" s="177">
        <f t="shared" si="54"/>
        <v>0.88353202795055208</v>
      </c>
      <c r="S204" s="919">
        <f t="shared" si="55"/>
        <v>0</v>
      </c>
      <c r="T204" s="176">
        <f t="shared" si="56"/>
        <v>6</v>
      </c>
      <c r="U204" s="251">
        <f t="shared" si="57"/>
        <v>0.88353202795055208</v>
      </c>
      <c r="V204" s="383">
        <f t="shared" si="58"/>
        <v>53.191315813801459</v>
      </c>
      <c r="W204" s="402">
        <f t="shared" si="59"/>
        <v>53.9383615104733</v>
      </c>
      <c r="X204" s="157">
        <f t="shared" si="60"/>
        <v>45116</v>
      </c>
      <c r="Y204" s="385">
        <f t="shared" si="61"/>
        <v>48.383739498085724</v>
      </c>
      <c r="Z204" s="385">
        <f t="shared" si="62"/>
        <v>50.409908485346335</v>
      </c>
      <c r="AA204" s="386">
        <f t="shared" si="63"/>
        <v>57.248147709245067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0.11944909132482584</v>
      </c>
      <c r="AD204" s="231">
        <f>(INDEX(Models!$BJ204:$BT204,,AH204)*(1-AF204)+INDEX(Models!$BJ204:$BT204,,AH204+1)*AF204-ERP_i)*AE204*Ramure*Pc/MaxiM</f>
        <v>6.672681010655236E-3</v>
      </c>
      <c r="AE204" s="305">
        <f t="shared" si="65"/>
        <v>0.7</v>
      </c>
      <c r="AF204" s="177">
        <f t="shared" si="66"/>
        <v>0.88353202795055208</v>
      </c>
      <c r="AG204" s="919">
        <f t="shared" si="74"/>
        <v>0</v>
      </c>
      <c r="AH204" s="176">
        <f t="shared" si="67"/>
        <v>6</v>
      </c>
      <c r="AI204" s="225">
        <f t="shared" si="68"/>
        <v>0.88353202795055208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1090">
        <f>IF(t&gt;Tmaj,'2022'!Wh/'2022'!Env_an*'2023'!Env_an,0.001*[9]mois!$B$47)</f>
        <v>53.585442351658088</v>
      </c>
      <c r="C205" s="953"/>
      <c r="D205" s="393">
        <f t="shared" si="50"/>
        <v>55.830666220514928</v>
      </c>
      <c r="E205" s="385">
        <f t="shared" si="75"/>
        <v>56.882903946421479</v>
      </c>
      <c r="F205" s="385">
        <f t="shared" si="51"/>
        <v>57.259532821685092</v>
      </c>
      <c r="G205" s="110">
        <f t="shared" si="76"/>
        <v>1.0092447649986889</v>
      </c>
      <c r="H205" s="412" t="b">
        <f>Wh_hp&gt;='2022'!Maxi_hp</f>
        <v>1</v>
      </c>
      <c r="I205" s="390">
        <f>IF(H205,Wh_hp,'2022'!Maxi_hp)</f>
        <v>57.259532821685092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4.021488584766042E-2</v>
      </c>
      <c r="M205" s="957"/>
      <c r="N205" s="957"/>
      <c r="O205" s="48">
        <f>IF(t&lt;Tnet,'2022'!Resal+('2022'!Salim-'2022'!Resal)*(1-EXP(('2022'!Tnet-t)/('2022'!Tau_j))),Resal+(Salim-Resal)*(1-EXP((Tnet-t)/(Tau_j))))*Salcycl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6.5775750639895407E-3</v>
      </c>
      <c r="Q205" s="305">
        <f t="shared" si="53"/>
        <v>0.7</v>
      </c>
      <c r="R205" s="177">
        <f t="shared" si="54"/>
        <v>0.88716941559838081</v>
      </c>
      <c r="S205" s="919">
        <f t="shared" si="55"/>
        <v>0</v>
      </c>
      <c r="T205" s="176">
        <f t="shared" si="56"/>
        <v>6</v>
      </c>
      <c r="U205" s="251">
        <f t="shared" si="57"/>
        <v>0.88716941559838081</v>
      </c>
      <c r="V205" s="383">
        <f t="shared" si="58"/>
        <v>53.09459529545115</v>
      </c>
      <c r="W205" s="402">
        <f t="shared" si="59"/>
        <v>53.585442351658088</v>
      </c>
      <c r="X205" s="157">
        <f t="shared" si="60"/>
        <v>45117</v>
      </c>
      <c r="Y205" s="385">
        <f t="shared" si="61"/>
        <v>48.071533237725184</v>
      </c>
      <c r="Z205" s="385">
        <f t="shared" si="62"/>
        <v>50.085724949152677</v>
      </c>
      <c r="AA205" s="386">
        <f t="shared" si="63"/>
        <v>56.882903946421479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0.11949423334067348</v>
      </c>
      <c r="AD205" s="231">
        <f>(INDEX(Models!$BJ205:$BT205,,AH205)*(1-AF205)+INDEX(Models!$BJ205:$BT205,,AH205+1)*AF205-ERP_i)*AE205*Ramure*Pc/MaxiM</f>
        <v>6.5775750639895407E-3</v>
      </c>
      <c r="AE205" s="305">
        <f t="shared" si="65"/>
        <v>0.7</v>
      </c>
      <c r="AF205" s="177">
        <f t="shared" si="66"/>
        <v>0.88716941559838081</v>
      </c>
      <c r="AG205" s="919">
        <f t="shared" si="74"/>
        <v>0</v>
      </c>
      <c r="AH205" s="176">
        <f t="shared" si="67"/>
        <v>6</v>
      </c>
      <c r="AI205" s="225">
        <f t="shared" si="68"/>
        <v>0.88716941559838081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1090">
        <f>IF(t&gt;Tmaj,'2022'!Wh/'2022'!Env_an*'2023'!Env_an,0.001*[9]mois!$B$48)</f>
        <v>52.311138373847207</v>
      </c>
      <c r="C206" s="953"/>
      <c r="D206" s="393">
        <f t="shared" si="50"/>
        <v>54.504162833705742</v>
      </c>
      <c r="E206" s="385">
        <f t="shared" si="75"/>
        <v>55.539277638561046</v>
      </c>
      <c r="F206" s="385">
        <f t="shared" si="51"/>
        <v>55.894468416419187</v>
      </c>
      <c r="G206" s="110">
        <f t="shared" si="76"/>
        <v>0.98694597958096419</v>
      </c>
      <c r="H206" s="412" t="b">
        <f>Wh_hp&gt;='2022'!Maxi_hp</f>
        <v>0</v>
      </c>
      <c r="I206" s="390">
        <f>IF(H206,Wh_hp,'2022'!Maxi_hp)</f>
        <v>56.244702289420005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4.0235907604883936E-2</v>
      </c>
      <c r="M206" s="957"/>
      <c r="N206" s="957"/>
      <c r="O206" s="48">
        <f>IF(t&lt;Tnet,'2022'!Resal+('2022'!Salim-'2022'!Resal)*(1-EXP(('2022'!Tnet-t)/('2022'!Tau_j))),Resal+(Salim-Resal)*(1-EXP((Tnet-t)/(Tau_j))))*Salcycl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6.4743053196286877E-3</v>
      </c>
      <c r="Q206" s="305">
        <f t="shared" si="53"/>
        <v>0.7</v>
      </c>
      <c r="R206" s="177">
        <f t="shared" si="54"/>
        <v>0.89072571665674505</v>
      </c>
      <c r="S206" s="919">
        <f t="shared" si="55"/>
        <v>0</v>
      </c>
      <c r="T206" s="176">
        <f t="shared" si="56"/>
        <v>6</v>
      </c>
      <c r="U206" s="251">
        <f t="shared" si="57"/>
        <v>0.89072571665674505</v>
      </c>
      <c r="V206" s="383">
        <f t="shared" si="58"/>
        <v>52.996659448612235</v>
      </c>
      <c r="W206" s="402">
        <f t="shared" si="59"/>
        <v>52.311138373847207</v>
      </c>
      <c r="X206" s="157">
        <f t="shared" si="60"/>
        <v>45118</v>
      </c>
      <c r="Y206" s="385">
        <f t="shared" si="61"/>
        <v>46.932678740084668</v>
      </c>
      <c r="Z206" s="385">
        <f t="shared" si="62"/>
        <v>48.900223619496906</v>
      </c>
      <c r="AA206" s="386">
        <f t="shared" si="63"/>
        <v>55.539277638561046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0.11953799727590679</v>
      </c>
      <c r="AD206" s="231">
        <f>(INDEX(Models!$BJ206:$BT206,,AH206)*(1-AF206)+INDEX(Models!$BJ206:$BT206,,AH206+1)*AF206-ERP_i)*AE206*Ramure*Pc/MaxiM</f>
        <v>6.4743053196286877E-3</v>
      </c>
      <c r="AE206" s="305">
        <f t="shared" si="65"/>
        <v>0.7</v>
      </c>
      <c r="AF206" s="177">
        <f t="shared" si="66"/>
        <v>0.89072571665674505</v>
      </c>
      <c r="AG206" s="919">
        <f t="shared" si="74"/>
        <v>0</v>
      </c>
      <c r="AH206" s="176">
        <f t="shared" si="67"/>
        <v>6</v>
      </c>
      <c r="AI206" s="225">
        <f t="shared" si="68"/>
        <v>0.89072571665674505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1090">
        <f>IF(t&gt;Tmaj,'2022'!Wh/'2022'!Env_an*'2023'!Env_an,0.001*[9]mois!$B$49)</f>
        <v>51.863471535240485</v>
      </c>
      <c r="C207" s="953"/>
      <c r="D207" s="393">
        <f t="shared" ref="D207:D270" si="77">Wh/(1-Ppv)</f>
        <v>54.038912180828049</v>
      </c>
      <c r="E207" s="385">
        <f t="shared" si="75"/>
        <v>55.072986046367646</v>
      </c>
      <c r="F207" s="385">
        <f t="shared" ref="F207:F270" si="78">Wh_sa/(1-Pvg*MEDIAN((-Sdif+Wh/Env_an)/Csdif,0,1))</f>
        <v>55.41601736891073</v>
      </c>
      <c r="G207" s="110">
        <f t="shared" si="76"/>
        <v>0.98027794605762297</v>
      </c>
      <c r="H207" s="412" t="b">
        <f>Wh_hp&gt;='2022'!Maxi_hp</f>
        <v>0</v>
      </c>
      <c r="I207" s="390">
        <f>IF(H207,Wh_hp,'2022'!Maxi_hp)</f>
        <v>57.631675116560842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4.025692890167698E-2</v>
      </c>
      <c r="M207" s="957"/>
      <c r="N207" s="957"/>
      <c r="O207" s="48">
        <f>IF(t&lt;Tnet,'2022'!Resal+('2022'!Salim-'2022'!Resal)*(1-EXP(('2022'!Tnet-t)/('2022'!Tau_j))),Resal+(Salim-Resal)*(1-EXP((Tnet-t)/(Tau_j))))*Salcycl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6.3679278773691381E-3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0.89420071020346326</v>
      </c>
      <c r="S207" s="919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0.89420071020346326</v>
      </c>
      <c r="V207" s="383">
        <f t="shared" ref="V207:V270" si="85">MaxiM*(1-Ppv)*(1-Pvg)*(1-Psa)</f>
        <v>52.89743804159238</v>
      </c>
      <c r="W207" s="402">
        <f t="shared" ref="W207:W270" si="86">Wh*(A207&gt;Tmaj)</f>
        <v>51.863471535240485</v>
      </c>
      <c r="X207" s="157">
        <f t="shared" ref="X207:X270" si="87">t</f>
        <v>45119</v>
      </c>
      <c r="Y207" s="385">
        <f t="shared" ref="Y207:Y270" si="88">Wh_pvt_s*(1-Ppv)</f>
        <v>46.535382817640318</v>
      </c>
      <c r="Z207" s="385">
        <f t="shared" ref="Z207:Z270" si="89">Wh_sa_s*(1-Psa_s)</f>
        <v>48.487333974066168</v>
      </c>
      <c r="AA207" s="386">
        <f t="shared" ref="AA207:AA270" si="90">Wh_hp*(1-Pvg_s*MEDIAN((-Sdif+Wh/Env_an)/Csdif,0,1))</f>
        <v>55.072986046367646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0.11958044306435119</v>
      </c>
      <c r="AD207" s="231">
        <f>(INDEX(Models!$BJ207:$BT207,,AH207)*(1-AF207)+INDEX(Models!$BJ207:$BT207,,AH207+1)*AF207-ERP_i)*AE207*Ramure*Pc/MaxiM</f>
        <v>6.3679278773691381E-3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0.89420071020346326</v>
      </c>
      <c r="AG207" s="919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0.89420071020346326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1090">
        <f>IF(t&gt;Tmaj,'2022'!Wh/'2022'!Env_an*'2023'!Env_an,0.001*[9]mois!$B$50)</f>
        <v>52.128110283381687</v>
      </c>
      <c r="C208" s="953"/>
      <c r="D208" s="393">
        <f t="shared" si="77"/>
        <v>54.315840997040375</v>
      </c>
      <c r="E208" s="385">
        <f t="shared" si="75"/>
        <v>55.363033594009408</v>
      </c>
      <c r="F208" s="385">
        <f t="shared" si="78"/>
        <v>55.705351663570745</v>
      </c>
      <c r="G208" s="110">
        <f t="shared" si="76"/>
        <v>0.98721591234856965</v>
      </c>
      <c r="H208" s="412" t="b">
        <f>Wh_hp&gt;='2022'!Maxi_hp</f>
        <v>0</v>
      </c>
      <c r="I208" s="390">
        <f>IF(H208,Wh_hp,'2022'!Maxi_hp)</f>
        <v>55.706325273109343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4.0277949738049657E-2</v>
      </c>
      <c r="M208" s="957"/>
      <c r="N208" s="957"/>
      <c r="O208" s="48">
        <f>IF(t&lt;Tnet,'2022'!Resal+('2022'!Salim-'2022'!Resal)*(1-EXP(('2022'!Tnet-t)/('2022'!Tau_j))),Resal+(Salim-Resal)*(1-EXP((Tnet-t)/(Tau_j))))*Salcycl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6.2584475530333356E-3</v>
      </c>
      <c r="Q208" s="305">
        <f t="shared" si="80"/>
        <v>0.7</v>
      </c>
      <c r="R208" s="177">
        <f t="shared" si="81"/>
        <v>0.8975943194208087</v>
      </c>
      <c r="S208" s="919">
        <f t="shared" si="82"/>
        <v>0</v>
      </c>
      <c r="T208" s="176">
        <f t="shared" si="83"/>
        <v>6</v>
      </c>
      <c r="U208" s="251">
        <f t="shared" si="84"/>
        <v>0.8975943194208087</v>
      </c>
      <c r="V208" s="383">
        <f t="shared" si="85"/>
        <v>52.797131240579709</v>
      </c>
      <c r="W208" s="402">
        <f t="shared" si="86"/>
        <v>52.128110283381687</v>
      </c>
      <c r="X208" s="157">
        <f t="shared" si="87"/>
        <v>45120</v>
      </c>
      <c r="Y208" s="385">
        <f t="shared" si="88"/>
        <v>46.777253138500505</v>
      </c>
      <c r="Z208" s="385">
        <f t="shared" si="89"/>
        <v>48.740417213226408</v>
      </c>
      <c r="AA208" s="386">
        <f t="shared" si="90"/>
        <v>55.363033594009408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0.1196216310931994</v>
      </c>
      <c r="AD208" s="231">
        <f>(INDEX(Models!$BJ208:$BT208,,AH208)*(1-AF208)+INDEX(Models!$BJ208:$BT208,,AH208+1)*AF208-ERP_i)*AE208*Ramure*Pc/MaxiM</f>
        <v>6.2584475530333356E-3</v>
      </c>
      <c r="AE208" s="305">
        <f t="shared" si="92"/>
        <v>0.7</v>
      </c>
      <c r="AF208" s="177">
        <f t="shared" si="93"/>
        <v>0.8975943194208087</v>
      </c>
      <c r="AG208" s="919">
        <f t="shared" ref="AG208:AG271" si="99">INDEX(Echel_vg,AH208)</f>
        <v>0</v>
      </c>
      <c r="AH208" s="176">
        <f t="shared" si="94"/>
        <v>6</v>
      </c>
      <c r="AI208" s="225">
        <f t="shared" si="95"/>
        <v>0.8975943194208087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1090">
        <f>IF(t&gt;Tmaj,'2022'!Wh/'2022'!Env_an*'2023'!Env_an,0.001*[9]mois!$B$51)</f>
        <v>51.319917783108068</v>
      </c>
      <c r="C209" s="953"/>
      <c r="D209" s="393">
        <f t="shared" si="77"/>
        <v>53.47490122960987</v>
      </c>
      <c r="E209" s="385">
        <f t="shared" si="75"/>
        <v>54.513564430140335</v>
      </c>
      <c r="F209" s="385">
        <f t="shared" si="78"/>
        <v>54.83801943851865</v>
      </c>
      <c r="G209" s="110">
        <f t="shared" si="76"/>
        <v>0.97366292138301236</v>
      </c>
      <c r="H209" s="412" t="b">
        <f>Wh_hp&gt;='2022'!Maxi_hp</f>
        <v>0</v>
      </c>
      <c r="I209" s="390">
        <f>IF(H209,Wh_hp,'2022'!Maxi_hp)</f>
        <v>56.367501147703905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4.0298970114012178E-2</v>
      </c>
      <c r="M209" s="957"/>
      <c r="N209" s="957"/>
      <c r="O209" s="48">
        <f>IF(t&lt;Tnet,'2022'!Resal+('2022'!Salim-'2022'!Resal)*(1-EXP(('2022'!Tnet-t)/('2022'!Tau_j))),Resal+(Salim-Resal)*(1-EXP((Tnet-t)/(Tau_j))))*Salcycl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6.1458696320346442E-3</v>
      </c>
      <c r="Q209" s="305">
        <f t="shared" si="80"/>
        <v>0.7</v>
      </c>
      <c r="R209" s="177">
        <f t="shared" si="81"/>
        <v>0.90090660521894161</v>
      </c>
      <c r="S209" s="919">
        <f t="shared" si="82"/>
        <v>0</v>
      </c>
      <c r="T209" s="176">
        <f t="shared" si="83"/>
        <v>6</v>
      </c>
      <c r="U209" s="251">
        <f t="shared" si="84"/>
        <v>0.90090660521894161</v>
      </c>
      <c r="V209" s="383">
        <f t="shared" si="85"/>
        <v>52.69593910590617</v>
      </c>
      <c r="W209" s="402">
        <f t="shared" si="86"/>
        <v>51.319917783108068</v>
      </c>
      <c r="X209" s="157">
        <f t="shared" si="87"/>
        <v>45121</v>
      </c>
      <c r="Y209" s="385">
        <f t="shared" si="88"/>
        <v>46.056419891183324</v>
      </c>
      <c r="Z209" s="385">
        <f t="shared" si="89"/>
        <v>47.990382897322526</v>
      </c>
      <c r="AA209" s="386">
        <f t="shared" si="90"/>
        <v>54.513564430140335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0.11966162185518674</v>
      </c>
      <c r="AD209" s="231">
        <f>(INDEX(Models!$BJ209:$BT209,,AH209)*(1-AF209)+INDEX(Models!$BJ209:$BT209,,AH209+1)*AF209-ERP_i)*AE209*Ramure*Pc/MaxiM</f>
        <v>6.1458696320346442E-3</v>
      </c>
      <c r="AE209" s="305">
        <f t="shared" si="92"/>
        <v>0.7</v>
      </c>
      <c r="AF209" s="177">
        <f t="shared" si="93"/>
        <v>0.90090660521894161</v>
      </c>
      <c r="AG209" s="919">
        <f t="shared" si="99"/>
        <v>0</v>
      </c>
      <c r="AH209" s="176">
        <f t="shared" si="94"/>
        <v>6</v>
      </c>
      <c r="AI209" s="225">
        <f t="shared" si="95"/>
        <v>0.90090660521894161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1090">
        <f>IF(t&gt;Tmaj,'2022'!Wh/'2022'!Env_an*'2023'!Env_an,0.001*[9]mois!$B$52)</f>
        <v>49.224264794810615</v>
      </c>
      <c r="C210" s="953"/>
      <c r="D210" s="393">
        <f t="shared" si="77"/>
        <v>51.292372752796588</v>
      </c>
      <c r="E210" s="385">
        <f t="shared" si="75"/>
        <v>52.296000072628296</v>
      </c>
      <c r="F210" s="385">
        <f t="shared" si="78"/>
        <v>52.584068670002573</v>
      </c>
      <c r="G210" s="110">
        <f t="shared" si="76"/>
        <v>0.93540875600187823</v>
      </c>
      <c r="H210" s="412" t="b">
        <f>Wh_hp&gt;='2022'!Maxi_hp</f>
        <v>0</v>
      </c>
      <c r="I210" s="390">
        <f>IF(H210,Wh_hp,'2022'!Maxi_hp)</f>
        <v>57.830639820469678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4.0319990029574426E-2</v>
      </c>
      <c r="M210" s="957"/>
      <c r="N210" s="957"/>
      <c r="O210" s="48">
        <f>IF(t&lt;Tnet,'2022'!Resal+('2022'!Salim-'2022'!Resal)*(1-EXP(('2022'!Tnet-t)/('2022'!Tau_j))),Resal+(Salim-Resal)*(1-EXP((Tnet-t)/(Tau_j))))*Salcycl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6.0301997117181557E-3</v>
      </c>
      <c r="Q210" s="305">
        <f t="shared" si="80"/>
        <v>0.7</v>
      </c>
      <c r="R210" s="177">
        <f t="shared" si="81"/>
        <v>0.90413775962409404</v>
      </c>
      <c r="S210" s="919">
        <f t="shared" si="82"/>
        <v>0</v>
      </c>
      <c r="T210" s="176">
        <f t="shared" si="83"/>
        <v>6</v>
      </c>
      <c r="U210" s="251">
        <f t="shared" si="84"/>
        <v>0.90413775962409404</v>
      </c>
      <c r="V210" s="383">
        <f t="shared" si="85"/>
        <v>52.594061609882267</v>
      </c>
      <c r="W210" s="402">
        <f t="shared" si="86"/>
        <v>49.224264794810615</v>
      </c>
      <c r="X210" s="157">
        <f t="shared" si="87"/>
        <v>45122</v>
      </c>
      <c r="Y210" s="385">
        <f t="shared" si="88"/>
        <v>44.179967124641763</v>
      </c>
      <c r="Z210" s="385">
        <f t="shared" si="89"/>
        <v>46.036143991374018</v>
      </c>
      <c r="AA210" s="386">
        <f t="shared" si="90"/>
        <v>52.296000072628296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0.11970047561114876</v>
      </c>
      <c r="AD210" s="231">
        <f>(INDEX(Models!$BJ210:$BT210,,AH210)*(1-AF210)+INDEX(Models!$BJ210:$BT210,,AH210+1)*AF210-ERP_i)*AE210*Ramure*Pc/MaxiM</f>
        <v>6.0301997117181557E-3</v>
      </c>
      <c r="AE210" s="305">
        <f t="shared" si="92"/>
        <v>0.7</v>
      </c>
      <c r="AF210" s="177">
        <f t="shared" si="93"/>
        <v>0.90413775962409404</v>
      </c>
      <c r="AG210" s="919">
        <f t="shared" si="99"/>
        <v>0</v>
      </c>
      <c r="AH210" s="176">
        <f t="shared" si="94"/>
        <v>6</v>
      </c>
      <c r="AI210" s="225">
        <f t="shared" si="95"/>
        <v>0.90413775962409404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1090">
        <f>IF(t&gt;Tmaj,'2022'!Wh/'2022'!Env_an*'2023'!Env_an,0.001*[9]mois!$B$53)</f>
        <v>51.09145717577119</v>
      </c>
      <c r="C211" s="953"/>
      <c r="D211" s="393">
        <f t="shared" si="77"/>
        <v>53.239179417617422</v>
      </c>
      <c r="E211" s="385">
        <f t="shared" si="75"/>
        <v>54.288520833828947</v>
      </c>
      <c r="F211" s="385">
        <f t="shared" si="78"/>
        <v>54.598979984116767</v>
      </c>
      <c r="G211" s="110">
        <f t="shared" si="76"/>
        <v>0.97310399880685494</v>
      </c>
      <c r="H211" s="412" t="b">
        <f>Wh_hp&gt;='2022'!Maxi_hp</f>
        <v>0</v>
      </c>
      <c r="I211" s="390">
        <f>IF(H211,Wh_hp,'2022'!Maxi_hp)</f>
        <v>57.203978991704709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4.0341009484746615E-2</v>
      </c>
      <c r="M211" s="957"/>
      <c r="N211" s="957"/>
      <c r="O211" s="48">
        <f>IF(t&lt;Tnet,'2022'!Resal+('2022'!Salim-'2022'!Resal)*(1-EXP(('2022'!Tnet-t)/('2022'!Tau_j))),Resal+(Salim-Resal)*(1-EXP((Tnet-t)/(Tau_j))))*Salcycl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5.9114435640923793E-3</v>
      </c>
      <c r="Q211" s="305">
        <f t="shared" si="80"/>
        <v>0.7</v>
      </c>
      <c r="R211" s="177">
        <f t="shared" si="81"/>
        <v>0.9072880989854355</v>
      </c>
      <c r="S211" s="919">
        <f t="shared" si="82"/>
        <v>0</v>
      </c>
      <c r="T211" s="176">
        <f t="shared" si="83"/>
        <v>6</v>
      </c>
      <c r="U211" s="251">
        <f t="shared" si="84"/>
        <v>0.9072880989854355</v>
      </c>
      <c r="V211" s="383">
        <f t="shared" si="85"/>
        <v>52.491698655477407</v>
      </c>
      <c r="W211" s="402">
        <f t="shared" si="86"/>
        <v>51.09145717577119</v>
      </c>
      <c r="X211" s="157">
        <f t="shared" si="87"/>
        <v>45123</v>
      </c>
      <c r="Y211" s="385">
        <f t="shared" si="88"/>
        <v>45.860287714132795</v>
      </c>
      <c r="Z211" s="385">
        <f t="shared" si="89"/>
        <v>47.78810824198063</v>
      </c>
      <c r="AA211" s="386">
        <f t="shared" si="90"/>
        <v>54.288520833828947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0.1197382520652082</v>
      </c>
      <c r="AD211" s="231">
        <f>(INDEX(Models!$BJ211:$BT211,,AH211)*(1-AF211)+INDEX(Models!$BJ211:$BT211,,AH211+1)*AF211-ERP_i)*AE211*Ramure*Pc/MaxiM</f>
        <v>5.9114435640923793E-3</v>
      </c>
      <c r="AE211" s="305">
        <f t="shared" si="92"/>
        <v>0.7</v>
      </c>
      <c r="AF211" s="177">
        <f t="shared" si="93"/>
        <v>0.9072880989854355</v>
      </c>
      <c r="AG211" s="919">
        <f t="shared" si="99"/>
        <v>0</v>
      </c>
      <c r="AH211" s="176">
        <f t="shared" si="94"/>
        <v>6</v>
      </c>
      <c r="AI211" s="225">
        <f t="shared" si="95"/>
        <v>0.9072880989854355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1090">
        <f>IF(t&gt;Tmaj,'2022'!Wh/'2022'!Env_an*'2023'!Env_an,0.001*[9]mois!$B$54)</f>
        <v>51.066010196051913</v>
      </c>
      <c r="C212" s="953"/>
      <c r="D212" s="393">
        <f t="shared" si="77"/>
        <v>53.213828247273653</v>
      </c>
      <c r="E212" s="385">
        <f t="shared" si="75"/>
        <v>54.270273963764602</v>
      </c>
      <c r="F212" s="385">
        <f t="shared" si="78"/>
        <v>54.574818643144802</v>
      </c>
      <c r="G212" s="110">
        <f t="shared" si="76"/>
        <v>0.97454071840590284</v>
      </c>
      <c r="H212" s="412" t="b">
        <f>Wh_hp&gt;='2022'!Maxi_hp</f>
        <v>0</v>
      </c>
      <c r="I212" s="390">
        <f>IF(H212,Wh_hp,'2022'!Maxi_hp)</f>
        <v>57.205914857920881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4.0362028479538736E-2</v>
      </c>
      <c r="M212" s="957"/>
      <c r="N212" s="957"/>
      <c r="O212" s="48">
        <f>IF(t&lt;Tnet,'2022'!Resal+('2022'!Salim-'2022'!Resal)*(1-EXP(('2022'!Tnet-t)/('2022'!Tau_j))),Resal+(Salim-Resal)*(1-EXP((Tnet-t)/(Tau_j))))*Salcycl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5.7891765214795722E-3</v>
      </c>
      <c r="Q212" s="305">
        <f t="shared" si="80"/>
        <v>0.7</v>
      </c>
      <c r="R212" s="177">
        <f t="shared" si="81"/>
        <v>0.91035805705201178</v>
      </c>
      <c r="S212" s="919">
        <f t="shared" si="82"/>
        <v>0</v>
      </c>
      <c r="T212" s="176">
        <f t="shared" si="83"/>
        <v>6</v>
      </c>
      <c r="U212" s="251">
        <f t="shared" si="84"/>
        <v>0.91035805705201178</v>
      </c>
      <c r="V212" s="383">
        <f t="shared" si="85"/>
        <v>52.38907277589189</v>
      </c>
      <c r="W212" s="402">
        <f t="shared" si="86"/>
        <v>51.066010196051913</v>
      </c>
      <c r="X212" s="157">
        <f t="shared" si="87"/>
        <v>45124</v>
      </c>
      <c r="Y212" s="385">
        <f t="shared" si="88"/>
        <v>45.841955180861461</v>
      </c>
      <c r="Z212" s="385">
        <f t="shared" si="89"/>
        <v>47.770051354084032</v>
      </c>
      <c r="AA212" s="386">
        <f t="shared" si="90"/>
        <v>54.270273963764602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0.11977501005468787</v>
      </c>
      <c r="AD212" s="231">
        <f>(INDEX(Models!$BJ212:$BT212,,AH212)*(1-AF212)+INDEX(Models!$BJ212:$BT212,,AH212+1)*AF212-ERP_i)*AE212*Ramure*Pc/MaxiM</f>
        <v>5.7891765214795722E-3</v>
      </c>
      <c r="AE212" s="305">
        <f t="shared" si="92"/>
        <v>0.7</v>
      </c>
      <c r="AF212" s="177">
        <f t="shared" si="93"/>
        <v>0.91035805705201178</v>
      </c>
      <c r="AG212" s="919">
        <f t="shared" si="99"/>
        <v>0</v>
      </c>
      <c r="AH212" s="176">
        <f t="shared" si="94"/>
        <v>6</v>
      </c>
      <c r="AI212" s="225">
        <f t="shared" si="95"/>
        <v>0.91035805705201178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1090">
        <f>IF(t&gt;Tmaj,'2022'!Wh/'2022'!Env_an*'2023'!Env_an,0.001*[9]mois!$B$55)</f>
        <v>51.866728489608477</v>
      </c>
      <c r="C213" s="953"/>
      <c r="D213" s="393">
        <f t="shared" si="77"/>
        <v>54.049408285477696</v>
      </c>
      <c r="E213" s="385">
        <f t="shared" si="75"/>
        <v>55.130152405774211</v>
      </c>
      <c r="F213" s="385">
        <f t="shared" si="78"/>
        <v>55.440658387838461</v>
      </c>
      <c r="G213" s="110">
        <f t="shared" si="76"/>
        <v>0.99191135068938963</v>
      </c>
      <c r="H213" s="412" t="b">
        <f>Wh_hp&gt;='2022'!Maxi_hp</f>
        <v>0</v>
      </c>
      <c r="I213" s="390">
        <f>IF(H213,Wh_hp,'2022'!Maxi_hp)</f>
        <v>55.44122686400182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4.0383047013961004E-2</v>
      </c>
      <c r="M213" s="957"/>
      <c r="N213" s="957"/>
      <c r="O213" s="48">
        <f>IF(t&lt;Tnet,'2022'!Resal+('2022'!Salim-'2022'!Resal)*(1-EXP(('2022'!Tnet-t)/('2022'!Tau_j))),Resal+(Salim-Resal)*(1-EXP((Tnet-t)/(Tau_j))))*Salcycl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5.6656339950897213E-3</v>
      </c>
      <c r="Q213" s="305">
        <f t="shared" si="80"/>
        <v>0.7</v>
      </c>
      <c r="R213" s="177">
        <f t="shared" si="81"/>
        <v>0.91334817796830214</v>
      </c>
      <c r="S213" s="919">
        <f t="shared" si="82"/>
        <v>0</v>
      </c>
      <c r="T213" s="176">
        <f t="shared" si="83"/>
        <v>6</v>
      </c>
      <c r="U213" s="251">
        <f t="shared" si="84"/>
        <v>0.91334817796830214</v>
      </c>
      <c r="V213" s="383">
        <f t="shared" si="85"/>
        <v>52.286266396495101</v>
      </c>
      <c r="W213" s="402">
        <f t="shared" si="86"/>
        <v>51.866728489608477</v>
      </c>
      <c r="X213" s="157">
        <f t="shared" si="87"/>
        <v>45125</v>
      </c>
      <c r="Y213" s="385">
        <f t="shared" si="88"/>
        <v>46.565378425486671</v>
      </c>
      <c r="Z213" s="385">
        <f t="shared" si="89"/>
        <v>48.524964341854563</v>
      </c>
      <c r="AA213" s="386">
        <f t="shared" si="90"/>
        <v>55.130152405774211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0.11981080725668075</v>
      </c>
      <c r="AD213" s="231">
        <f>(INDEX(Models!$BJ213:$BT213,,AH213)*(1-AF213)+INDEX(Models!$BJ213:$BT213,,AH213+1)*AF213-ERP_i)*AE213*Ramure*Pc/MaxiM</f>
        <v>5.6656339950897213E-3</v>
      </c>
      <c r="AE213" s="305">
        <f t="shared" si="92"/>
        <v>0.7</v>
      </c>
      <c r="AF213" s="177">
        <f t="shared" si="93"/>
        <v>0.91334817796830214</v>
      </c>
      <c r="AG213" s="919">
        <f t="shared" si="99"/>
        <v>0</v>
      </c>
      <c r="AH213" s="176">
        <f t="shared" si="94"/>
        <v>6</v>
      </c>
      <c r="AI213" s="225">
        <f t="shared" si="95"/>
        <v>0.91334817796830214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1090">
        <f>IF(t&gt;Tmaj,'2022'!Wh/'2022'!Env_an*'2023'!Env_an,0.001*[9]mois!$B$56)</f>
        <v>35.43092095183092</v>
      </c>
      <c r="C214" s="953"/>
      <c r="D214" s="393">
        <f t="shared" si="77"/>
        <v>36.922750152209623</v>
      </c>
      <c r="E214" s="385">
        <f t="shared" si="75"/>
        <v>37.66629615006368</v>
      </c>
      <c r="F214" s="385">
        <f t="shared" si="78"/>
        <v>37.779624277947761</v>
      </c>
      <c r="G214" s="110">
        <f t="shared" si="76"/>
        <v>0.677237631650081</v>
      </c>
      <c r="H214" s="412" t="b">
        <f>Wh_hp&gt;='2022'!Maxi_hp</f>
        <v>0</v>
      </c>
      <c r="I214" s="390">
        <f>IF(H214,Wh_hp,'2022'!Maxi_hp)</f>
        <v>57.76277955645417</v>
      </c>
      <c r="J214" s="85">
        <f>IF(H214,An,'2022'!An_max)</f>
        <v>2021</v>
      </c>
      <c r="K214" s="197">
        <f t="shared" si="79"/>
        <v>45126</v>
      </c>
      <c r="L214" s="147">
        <f>IF(t&lt;Tvie,1-EXP((T0-t)*PertePVj)+'2022'!Pspv,1-EXP((T0-t)*PertePVj)+Pspv)</f>
        <v>4.0404065088023411E-2</v>
      </c>
      <c r="M214" s="957"/>
      <c r="N214" s="957"/>
      <c r="O214" s="48">
        <f>IF(t&lt;Tnet,'2022'!Resal+('2022'!Salim-'2022'!Resal)*(1-EXP(('2022'!Tnet-t)/('2022'!Tau_j))),Resal+(Salim-Resal)*(1-EXP((Tnet-t)/(Tau_j))))*Salcycl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5.540837238151115E-3</v>
      </c>
      <c r="Q214" s="305">
        <f t="shared" si="80"/>
        <v>0.7</v>
      </c>
      <c r="R214" s="177">
        <f t="shared" si="81"/>
        <v>0.91625910923386589</v>
      </c>
      <c r="S214" s="919">
        <f t="shared" si="82"/>
        <v>0</v>
      </c>
      <c r="T214" s="176">
        <f t="shared" si="83"/>
        <v>6</v>
      </c>
      <c r="U214" s="251">
        <f t="shared" si="84"/>
        <v>0.91625910923386589</v>
      </c>
      <c r="V214" s="383">
        <f t="shared" si="85"/>
        <v>52.183479077512089</v>
      </c>
      <c r="W214" s="402">
        <f t="shared" si="86"/>
        <v>35.43092095183092</v>
      </c>
      <c r="X214" s="157">
        <f t="shared" si="87"/>
        <v>45126</v>
      </c>
      <c r="Y214" s="385">
        <f t="shared" si="88"/>
        <v>31.812670796406781</v>
      </c>
      <c r="Z214" s="385">
        <f t="shared" si="89"/>
        <v>33.152152524828011</v>
      </c>
      <c r="AA214" s="386">
        <f t="shared" si="90"/>
        <v>37.66629615006368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0.11984569991302529</v>
      </c>
      <c r="AD214" s="231">
        <f>(INDEX(Models!$BJ214:$BT214,,AH214)*(1-AF214)+INDEX(Models!$BJ214:$BT214,,AH214+1)*AF214-ERP_i)*AE214*Ramure*Pc/MaxiM</f>
        <v>5.540837238151115E-3</v>
      </c>
      <c r="AE214" s="305">
        <f t="shared" si="92"/>
        <v>0.7</v>
      </c>
      <c r="AF214" s="177">
        <f t="shared" si="93"/>
        <v>0.91625910923386589</v>
      </c>
      <c r="AG214" s="919">
        <f t="shared" si="99"/>
        <v>0</v>
      </c>
      <c r="AH214" s="176">
        <f t="shared" si="94"/>
        <v>6</v>
      </c>
      <c r="AI214" s="225">
        <f t="shared" si="95"/>
        <v>0.91625910923386589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1090">
        <f>IF(t&gt;Tmaj,'2022'!Wh/'2022'!Env_an*'2023'!Env_an,0.001*[9]mois!$B$57)</f>
        <v>40.334757772848533</v>
      </c>
      <c r="C215" s="953"/>
      <c r="D215" s="393">
        <f t="shared" si="77"/>
        <v>42.033985096664743</v>
      </c>
      <c r="E215" s="385">
        <f t="shared" si="75"/>
        <v>42.886436031809623</v>
      </c>
      <c r="F215" s="385">
        <f t="shared" si="78"/>
        <v>43.044416881947171</v>
      </c>
      <c r="G215" s="110">
        <f t="shared" si="76"/>
        <v>0.77310725239637312</v>
      </c>
      <c r="H215" s="412" t="b">
        <f>Wh_hp&gt;='2022'!Maxi_hp</f>
        <v>0</v>
      </c>
      <c r="I215" s="390">
        <f>IF(H215,Wh_hp,'2022'!Maxi_hp)</f>
        <v>55.682250887635263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4.0425082701735948E-2</v>
      </c>
      <c r="M215" s="957"/>
      <c r="N215" s="957"/>
      <c r="O215" s="48">
        <f>IF(t&lt;Tnet,'2022'!Resal+('2022'!Salim-'2022'!Resal)*(1-EXP(('2022'!Tnet-t)/('2022'!Tau_j))),Resal+(Salim-Resal)*(1-EXP((Tnet-t)/(Tau_j))))*Salcycl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5.4148067501965328E-3</v>
      </c>
      <c r="Q215" s="305">
        <f t="shared" si="80"/>
        <v>0.7</v>
      </c>
      <c r="R215" s="177">
        <f t="shared" si="81"/>
        <v>0.91909159466930102</v>
      </c>
      <c r="S215" s="919">
        <f t="shared" si="82"/>
        <v>0</v>
      </c>
      <c r="T215" s="176">
        <f t="shared" si="83"/>
        <v>6</v>
      </c>
      <c r="U215" s="251">
        <f t="shared" si="84"/>
        <v>0.91909159466930102</v>
      </c>
      <c r="V215" s="383">
        <f t="shared" si="85"/>
        <v>52.080910402258191</v>
      </c>
      <c r="W215" s="402">
        <f t="shared" si="86"/>
        <v>40.334757772848533</v>
      </c>
      <c r="X215" s="157">
        <f t="shared" si="87"/>
        <v>45127</v>
      </c>
      <c r="Y215" s="385">
        <f t="shared" si="88"/>
        <v>36.219367434961661</v>
      </c>
      <c r="Z215" s="385">
        <f t="shared" si="89"/>
        <v>37.745221120346997</v>
      </c>
      <c r="AA215" s="386">
        <f t="shared" si="90"/>
        <v>42.886436031809623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0.11987974257523512</v>
      </c>
      <c r="AD215" s="231">
        <f>(INDEX(Models!$BJ215:$BT215,,AH215)*(1-AF215)+INDEX(Models!$BJ215:$BT215,,AH215+1)*AF215-ERP_i)*AE215*Ramure*Pc/MaxiM</f>
        <v>5.4148067501965328E-3</v>
      </c>
      <c r="AE215" s="305">
        <f t="shared" si="92"/>
        <v>0.7</v>
      </c>
      <c r="AF215" s="177">
        <f t="shared" si="93"/>
        <v>0.91909159466930102</v>
      </c>
      <c r="AG215" s="919">
        <f t="shared" si="99"/>
        <v>0</v>
      </c>
      <c r="AH215" s="176">
        <f t="shared" si="94"/>
        <v>6</v>
      </c>
      <c r="AI215" s="225">
        <f t="shared" si="95"/>
        <v>0.91909159466930102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1090">
        <f>IF(t&gt;Tmaj,'2022'!Wh/'2022'!Env_an*'2023'!Env_an,0.001*[9]mois!$B$58)</f>
        <v>50.342684611426535</v>
      </c>
      <c r="C216" s="953"/>
      <c r="D216" s="393">
        <f t="shared" si="77"/>
        <v>52.464676141512086</v>
      </c>
      <c r="E216" s="385">
        <f t="shared" si="75"/>
        <v>53.536108006193828</v>
      </c>
      <c r="F216" s="385">
        <f t="shared" si="78"/>
        <v>53.807827009317833</v>
      </c>
      <c r="G216" s="110">
        <f t="shared" si="76"/>
        <v>0.96829271246289117</v>
      </c>
      <c r="H216" s="412" t="b">
        <f>Wh_hp&gt;='2022'!Maxi_hp</f>
        <v>0</v>
      </c>
      <c r="I216" s="390">
        <f>IF(H216,Wh_hp,'2022'!Maxi_hp)</f>
        <v>53.809875905535357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4.0446099855108941E-2</v>
      </c>
      <c r="M216" s="957"/>
      <c r="N216" s="957"/>
      <c r="O216" s="48">
        <f>IF(t&lt;Tnet,'2022'!Resal+('2022'!Salim-'2022'!Resal)*(1-EXP(('2022'!Tnet-t)/('2022'!Tau_j))),Resal+(Salim-Resal)*(1-EXP((Tnet-t)/(Tau_j))))*Salcycl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5.2875622688719091E-3</v>
      </c>
      <c r="Q216" s="305">
        <f t="shared" si="80"/>
        <v>0.7</v>
      </c>
      <c r="R216" s="177">
        <f t="shared" si="81"/>
        <v>0.92184646742736098</v>
      </c>
      <c r="S216" s="919">
        <f t="shared" si="82"/>
        <v>0</v>
      </c>
      <c r="T216" s="176">
        <f t="shared" si="83"/>
        <v>6</v>
      </c>
      <c r="U216" s="251">
        <f t="shared" si="84"/>
        <v>0.92184646742736098</v>
      </c>
      <c r="V216" s="383">
        <f t="shared" si="85"/>
        <v>51.978759982298321</v>
      </c>
      <c r="W216" s="402">
        <f t="shared" si="86"/>
        <v>50.342684611426535</v>
      </c>
      <c r="X216" s="157">
        <f t="shared" si="87"/>
        <v>45128</v>
      </c>
      <c r="Y216" s="385">
        <f t="shared" si="88"/>
        <v>45.210757368668823</v>
      </c>
      <c r="Z216" s="385">
        <f t="shared" si="89"/>
        <v>47.11643333620141</v>
      </c>
      <c r="AA216" s="386">
        <f t="shared" si="90"/>
        <v>53.536108006193828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0.11991298787072255</v>
      </c>
      <c r="AD216" s="231">
        <f>(INDEX(Models!$BJ216:$BT216,,AH216)*(1-AF216)+INDEX(Models!$BJ216:$BT216,,AH216+1)*AF216-ERP_i)*AE216*Ramure*Pc/MaxiM</f>
        <v>5.2875622688719091E-3</v>
      </c>
      <c r="AE216" s="305">
        <f t="shared" si="92"/>
        <v>0.7</v>
      </c>
      <c r="AF216" s="177">
        <f t="shared" si="93"/>
        <v>0.92184646742736098</v>
      </c>
      <c r="AG216" s="919">
        <f t="shared" si="99"/>
        <v>0</v>
      </c>
      <c r="AH216" s="176">
        <f t="shared" si="94"/>
        <v>6</v>
      </c>
      <c r="AI216" s="225">
        <f t="shared" si="95"/>
        <v>0.92184646742736098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1090">
        <f>IF(t&gt;Tmaj,'2022'!Wh/'2022'!Env_an*'2023'!Env_an,0.001*[9]mois!$B$59)</f>
        <v>38.425215354579429</v>
      </c>
      <c r="C217" s="953"/>
      <c r="D217" s="393">
        <f t="shared" si="77"/>
        <v>40.045751445586305</v>
      </c>
      <c r="E217" s="385">
        <f t="shared" si="75"/>
        <v>40.869238893013438</v>
      </c>
      <c r="F217" s="385">
        <f t="shared" si="78"/>
        <v>41.002414785700246</v>
      </c>
      <c r="G217" s="110">
        <f t="shared" si="76"/>
        <v>0.73927506688242561</v>
      </c>
      <c r="H217" s="412" t="b">
        <f>Wh_hp&gt;='2022'!Maxi_hp</f>
        <v>0</v>
      </c>
      <c r="I217" s="390">
        <f>IF(H217,Wh_hp,'2022'!Maxi_hp)</f>
        <v>54.507643131176636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4.0467116548152271E-2</v>
      </c>
      <c r="M217" s="957"/>
      <c r="N217" s="957"/>
      <c r="O217" s="48">
        <f>IF(t&lt;Tnet,'2022'!Resal+('2022'!Salim-'2022'!Resal)*(1-EXP(('2022'!Tnet-t)/('2022'!Tau_j))),Resal+(Salim-Resal)*(1-EXP((Tnet-t)/(Tau_j))))*Salcycl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5.1591227839243173E-3</v>
      </c>
      <c r="Q217" s="305">
        <f t="shared" si="80"/>
        <v>0.7</v>
      </c>
      <c r="R217" s="177">
        <f t="shared" si="81"/>
        <v>0.92452464308464011</v>
      </c>
      <c r="S217" s="919">
        <f t="shared" si="82"/>
        <v>0</v>
      </c>
      <c r="T217" s="176">
        <f t="shared" si="83"/>
        <v>6</v>
      </c>
      <c r="U217" s="251">
        <f t="shared" si="84"/>
        <v>0.92452464308464011</v>
      </c>
      <c r="V217" s="383">
        <f t="shared" si="85"/>
        <v>51.87722746160685</v>
      </c>
      <c r="W217" s="402">
        <f t="shared" si="86"/>
        <v>38.425215354579429</v>
      </c>
      <c r="X217" s="157">
        <f t="shared" si="87"/>
        <v>45129</v>
      </c>
      <c r="Y217" s="385">
        <f t="shared" si="88"/>
        <v>34.51167097847857</v>
      </c>
      <c r="Z217" s="385">
        <f t="shared" si="89"/>
        <v>35.967158159630152</v>
      </c>
      <c r="AA217" s="386">
        <f t="shared" si="90"/>
        <v>40.869238893013438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0.11994548629143412</v>
      </c>
      <c r="AD217" s="231">
        <f>(INDEX(Models!$BJ217:$BT217,,AH217)*(1-AF217)+INDEX(Models!$BJ217:$BT217,,AH217+1)*AF217-ERP_i)*AE217*Ramure*Pc/MaxiM</f>
        <v>5.1591227839243173E-3</v>
      </c>
      <c r="AE217" s="305">
        <f t="shared" si="92"/>
        <v>0.7</v>
      </c>
      <c r="AF217" s="177">
        <f t="shared" si="93"/>
        <v>0.92452464308464011</v>
      </c>
      <c r="AG217" s="919">
        <f t="shared" si="99"/>
        <v>0</v>
      </c>
      <c r="AH217" s="176">
        <f t="shared" si="94"/>
        <v>6</v>
      </c>
      <c r="AI217" s="225">
        <f t="shared" si="95"/>
        <v>0.92452464308464011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1090">
        <f>IF(t&gt;Tmaj,'2022'!Wh/'2022'!Env_an*'2023'!Env_an,0.001*[9]mois!$B$60)</f>
        <v>42.871922570213194</v>
      </c>
      <c r="C218" s="953"/>
      <c r="D218" s="393">
        <f t="shared" si="77"/>
        <v>44.680971684556063</v>
      </c>
      <c r="E218" s="385">
        <f t="shared" si="75"/>
        <v>45.606097647905329</v>
      </c>
      <c r="F218" s="385">
        <f t="shared" si="78"/>
        <v>45.779777866122451</v>
      </c>
      <c r="G218" s="110">
        <f t="shared" si="76"/>
        <v>0.82699166981813454</v>
      </c>
      <c r="H218" s="412" t="b">
        <f>Wh_hp&gt;='2022'!Maxi_hp</f>
        <v>0</v>
      </c>
      <c r="I218" s="390">
        <f>IF(H218,Wh_hp,'2022'!Maxi_hp)</f>
        <v>56.297408043792899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4.0488132780876041E-2</v>
      </c>
      <c r="M218" s="957"/>
      <c r="N218" s="957"/>
      <c r="O218" s="48">
        <f>IF(t&lt;Tnet,'2022'!Resal+('2022'!Salim-'2022'!Resal)*(1-EXP(('2022'!Tnet-t)/('2022'!Tau_j))),Resal+(Salim-Resal)*(1-EXP((Tnet-t)/(Tau_j))))*Salcycl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5.0295065728211668E-3</v>
      </c>
      <c r="Q218" s="305">
        <f t="shared" si="80"/>
        <v>0.7</v>
      </c>
      <c r="R218" s="177">
        <f t="shared" si="81"/>
        <v>0.92712711284577232</v>
      </c>
      <c r="S218" s="919">
        <f t="shared" si="82"/>
        <v>0</v>
      </c>
      <c r="T218" s="176">
        <f t="shared" si="83"/>
        <v>6</v>
      </c>
      <c r="U218" s="251">
        <f t="shared" si="84"/>
        <v>0.92712711284577232</v>
      </c>
      <c r="V218" s="383">
        <f t="shared" si="85"/>
        <v>51.776512519485557</v>
      </c>
      <c r="W218" s="402">
        <f t="shared" si="86"/>
        <v>42.871922570213194</v>
      </c>
      <c r="X218" s="157">
        <f t="shared" si="87"/>
        <v>45130</v>
      </c>
      <c r="Y218" s="385">
        <f t="shared" si="88"/>
        <v>38.509434836550454</v>
      </c>
      <c r="Z218" s="385">
        <f t="shared" si="89"/>
        <v>40.134401826794758</v>
      </c>
      <c r="AA218" s="386">
        <f t="shared" si="90"/>
        <v>45.606097647905329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0.11997728600578675</v>
      </c>
      <c r="AD218" s="231">
        <f>(INDEX(Models!$BJ218:$BT218,,AH218)*(1-AF218)+INDEX(Models!$BJ218:$BT218,,AH218+1)*AF218-ERP_i)*AE218*Ramure*Pc/MaxiM</f>
        <v>5.0295065728211668E-3</v>
      </c>
      <c r="AE218" s="305">
        <f t="shared" si="92"/>
        <v>0.7</v>
      </c>
      <c r="AF218" s="177">
        <f t="shared" si="93"/>
        <v>0.92712711284577232</v>
      </c>
      <c r="AG218" s="919">
        <f t="shared" si="99"/>
        <v>0</v>
      </c>
      <c r="AH218" s="176">
        <f t="shared" si="94"/>
        <v>6</v>
      </c>
      <c r="AI218" s="225">
        <f t="shared" si="95"/>
        <v>0.92712711284577232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1090">
        <f>IF(t&gt;Tmaj,'2022'!Wh/'2022'!Env_an*'2023'!Env_an,0.001*[9]mois!$B$61)</f>
        <v>50.761223618591245</v>
      </c>
      <c r="C219" s="953"/>
      <c r="D219" s="393">
        <f t="shared" si="77"/>
        <v>52.904333107558081</v>
      </c>
      <c r="E219" s="385">
        <f t="shared" si="75"/>
        <v>54.007198412274917</v>
      </c>
      <c r="F219" s="385">
        <f t="shared" si="78"/>
        <v>54.266309001872493</v>
      </c>
      <c r="G219" s="110">
        <f t="shared" si="76"/>
        <v>0.98216546000097182</v>
      </c>
      <c r="H219" s="412" t="b">
        <f>Wh_hp&gt;='2022'!Maxi_hp</f>
        <v>0</v>
      </c>
      <c r="I219" s="390">
        <f>IF(H219,Wh_hp,'2022'!Maxi_hp)</f>
        <v>54.267402568622785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4.0509148553290464E-2</v>
      </c>
      <c r="M219" s="957"/>
      <c r="N219" s="957"/>
      <c r="O219" s="48">
        <f>IF(t&lt;Tnet,'2022'!Resal+('2022'!Salim-'2022'!Resal)*(1-EXP(('2022'!Tnet-t)/('2022'!Tau_j))),Resal+(Salim-Resal)*(1-EXP((Tnet-t)/(Tau_j))))*Salcycl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4.8987503988045938E-3</v>
      </c>
      <c r="Q219" s="305">
        <f t="shared" si="80"/>
        <v>0.7</v>
      </c>
      <c r="R219" s="177">
        <f t="shared" si="81"/>
        <v>0.92965493688864953</v>
      </c>
      <c r="S219" s="919">
        <f t="shared" si="82"/>
        <v>0</v>
      </c>
      <c r="T219" s="176">
        <f t="shared" si="83"/>
        <v>6</v>
      </c>
      <c r="U219" s="251">
        <f t="shared" si="84"/>
        <v>0.92965493688864953</v>
      </c>
      <c r="V219" s="383">
        <f t="shared" si="85"/>
        <v>51.676528501041275</v>
      </c>
      <c r="W219" s="402">
        <f t="shared" si="86"/>
        <v>50.761223618591245</v>
      </c>
      <c r="X219" s="157">
        <f t="shared" si="87"/>
        <v>45131</v>
      </c>
      <c r="Y219" s="385">
        <f t="shared" si="88"/>
        <v>45.60064627690339</v>
      </c>
      <c r="Z219" s="385">
        <f t="shared" si="89"/>
        <v>47.525879176593762</v>
      </c>
      <c r="AA219" s="386">
        <f t="shared" si="90"/>
        <v>54.007198412274917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0.1200084326945584</v>
      </c>
      <c r="AD219" s="231">
        <f>(INDEX(Models!$BJ219:$BT219,,AH219)*(1-AF219)+INDEX(Models!$BJ219:$BT219,,AH219+1)*AF219-ERP_i)*AE219*Ramure*Pc/MaxiM</f>
        <v>4.8987503988045938E-3</v>
      </c>
      <c r="AE219" s="305">
        <f t="shared" si="92"/>
        <v>0.7</v>
      </c>
      <c r="AF219" s="177">
        <f t="shared" si="93"/>
        <v>0.92965493688864953</v>
      </c>
      <c r="AG219" s="919">
        <f t="shared" si="99"/>
        <v>0</v>
      </c>
      <c r="AH219" s="176">
        <f t="shared" si="94"/>
        <v>6</v>
      </c>
      <c r="AI219" s="225">
        <f t="shared" si="95"/>
        <v>0.92965493688864953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1090">
        <f>IF(t&gt;Tmaj,'2022'!Wh/'2022'!Env_an*'2023'!Env_an,0.001*[9]mois!$B$62)</f>
        <v>26.0934901534525</v>
      </c>
      <c r="C220" s="953"/>
      <c r="D220" s="393">
        <f t="shared" si="77"/>
        <v>27.195737865585286</v>
      </c>
      <c r="E220" s="385">
        <f t="shared" si="75"/>
        <v>27.766507383193893</v>
      </c>
      <c r="F220" s="385">
        <f t="shared" si="78"/>
        <v>27.805498291158401</v>
      </c>
      <c r="G220" s="110">
        <f t="shared" si="76"/>
        <v>0.50420882606334749</v>
      </c>
      <c r="H220" s="412" t="b">
        <f>Wh_hp&gt;='2022'!Maxi_hp</f>
        <v>0</v>
      </c>
      <c r="I220" s="390">
        <f>IF(H220,Wh_hp,'2022'!Maxi_hp)</f>
        <v>54.530894378058939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4.0530163865405533E-2</v>
      </c>
      <c r="M220" s="957"/>
      <c r="N220" s="957"/>
      <c r="O220" s="48">
        <f>IF(t&lt;Tnet,'2022'!Resal+('2022'!Salim-'2022'!Resal)*(1-EXP(('2022'!Tnet-t)/('2022'!Tau_j))),Resal+(Salim-Resal)*(1-EXP((Tnet-t)/(Tau_j))))*Salcycl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4.7670084860240462E-3</v>
      </c>
      <c r="Q220" s="305">
        <f t="shared" si="80"/>
        <v>0.7</v>
      </c>
      <c r="R220" s="177">
        <f t="shared" si="81"/>
        <v>0.93210923787578448</v>
      </c>
      <c r="S220" s="919">
        <f t="shared" si="82"/>
        <v>0</v>
      </c>
      <c r="T220" s="176">
        <f t="shared" si="83"/>
        <v>6</v>
      </c>
      <c r="U220" s="251">
        <f t="shared" si="84"/>
        <v>0.93210923787578448</v>
      </c>
      <c r="V220" s="383">
        <f t="shared" si="85"/>
        <v>51.576981273659797</v>
      </c>
      <c r="W220" s="402">
        <f t="shared" si="86"/>
        <v>26.0934901534525</v>
      </c>
      <c r="X220" s="157">
        <f t="shared" si="87"/>
        <v>45132</v>
      </c>
      <c r="Y220" s="385">
        <f t="shared" si="88"/>
        <v>23.443152945301264</v>
      </c>
      <c r="Z220" s="385">
        <f t="shared" si="89"/>
        <v>24.433444452768246</v>
      </c>
      <c r="AA220" s="386">
        <f t="shared" si="90"/>
        <v>27.766507383193893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0.12003896941114883</v>
      </c>
      <c r="AD220" s="231">
        <f>(INDEX(Models!$BJ220:$BT220,,AH220)*(1-AF220)+INDEX(Models!$BJ220:$BT220,,AH220+1)*AF220-ERP_i)*AE220*Ramure*Pc/MaxiM</f>
        <v>4.7670084860240462E-3</v>
      </c>
      <c r="AE220" s="305">
        <f t="shared" si="92"/>
        <v>0.7</v>
      </c>
      <c r="AF220" s="177">
        <f t="shared" si="93"/>
        <v>0.93210923787578448</v>
      </c>
      <c r="AG220" s="919">
        <f t="shared" si="99"/>
        <v>0</v>
      </c>
      <c r="AH220" s="176">
        <f t="shared" si="94"/>
        <v>6</v>
      </c>
      <c r="AI220" s="225">
        <f t="shared" si="95"/>
        <v>0.93210923787578448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1090">
        <f>IF(t&gt;Tmaj,'2022'!Wh/'2022'!Env_an*'2023'!Env_an,0.001*[9]mois!$B$63)</f>
        <v>49.607796031383188</v>
      </c>
      <c r="C221" s="953"/>
      <c r="D221" s="393">
        <f t="shared" si="77"/>
        <v>51.70447337155337</v>
      </c>
      <c r="E221" s="385">
        <f t="shared" si="75"/>
        <v>52.796901628249657</v>
      </c>
      <c r="F221" s="385">
        <f t="shared" si="78"/>
        <v>53.02989124789633</v>
      </c>
      <c r="G221" s="110">
        <f t="shared" si="76"/>
        <v>0.96344114892652843</v>
      </c>
      <c r="H221" s="412" t="b">
        <f>Wh_hp&gt;='2022'!Maxi_hp</f>
        <v>0</v>
      </c>
      <c r="I221" s="390">
        <f>IF(H221,Wh_hp,'2022'!Maxi_hp)</f>
        <v>54.739727703954557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4.055117871723124E-2</v>
      </c>
      <c r="M221" s="957"/>
      <c r="N221" s="957"/>
      <c r="O221" s="48">
        <f>IF(t&lt;Tnet,'2022'!Resal+('2022'!Salim-'2022'!Resal)*(1-EXP(('2022'!Tnet-t)/('2022'!Tau_j))),Resal+(Salim-Resal)*(1-EXP((Tnet-t)/(Tau_j))))*Salcycl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4.6340330472069797E-3</v>
      </c>
      <c r="Q221" s="305">
        <f t="shared" si="80"/>
        <v>0.7</v>
      </c>
      <c r="R221" s="177">
        <f t="shared" si="81"/>
        <v>0.93449119465364339</v>
      </c>
      <c r="S221" s="919">
        <f t="shared" si="82"/>
        <v>0</v>
      </c>
      <c r="T221" s="176">
        <f t="shared" si="83"/>
        <v>6</v>
      </c>
      <c r="U221" s="251">
        <f t="shared" si="84"/>
        <v>0.93449119465364339</v>
      </c>
      <c r="V221" s="383">
        <f t="shared" si="85"/>
        <v>51.477782259428608</v>
      </c>
      <c r="W221" s="402">
        <f t="shared" si="86"/>
        <v>49.607796031383188</v>
      </c>
      <c r="X221" s="157">
        <f t="shared" si="87"/>
        <v>45133</v>
      </c>
      <c r="Y221" s="385">
        <f t="shared" si="88"/>
        <v>44.573721989980243</v>
      </c>
      <c r="Z221" s="385">
        <f t="shared" si="89"/>
        <v>46.457633801025302</v>
      </c>
      <c r="AA221" s="386">
        <f t="shared" si="90"/>
        <v>52.796901628249657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0.12006893646638626</v>
      </c>
      <c r="AD221" s="231">
        <f>(INDEX(Models!$BJ221:$BT221,,AH221)*(1-AF221)+INDEX(Models!$BJ221:$BT221,,AH221+1)*AF221-ERP_i)*AE221*Ramure*Pc/MaxiM</f>
        <v>4.6340330472069797E-3</v>
      </c>
      <c r="AE221" s="305">
        <f t="shared" si="92"/>
        <v>0.7</v>
      </c>
      <c r="AF221" s="177">
        <f t="shared" si="93"/>
        <v>0.93449119465364339</v>
      </c>
      <c r="AG221" s="919">
        <f t="shared" si="99"/>
        <v>0</v>
      </c>
      <c r="AH221" s="176">
        <f t="shared" si="94"/>
        <v>6</v>
      </c>
      <c r="AI221" s="225">
        <f t="shared" si="95"/>
        <v>0.93449119465364339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1090">
        <f>IF(t&gt;Tmaj,'2022'!Wh/'2022'!Env_an*'2023'!Env_an,0.001*[9]mois!$B$64)</f>
        <v>53.714814779185666</v>
      </c>
      <c r="C222" s="953"/>
      <c r="D222" s="393">
        <f t="shared" si="77"/>
        <v>55.986301828414419</v>
      </c>
      <c r="E222" s="385">
        <f t="shared" si="75"/>
        <v>57.177072418474275</v>
      </c>
      <c r="F222" s="385">
        <f t="shared" si="78"/>
        <v>57.435524145441832</v>
      </c>
      <c r="G222" s="110">
        <f t="shared" si="76"/>
        <v>1.0454659363283156</v>
      </c>
      <c r="H222" s="412" t="b">
        <f>Wh_hp&gt;='2022'!Maxi_hp</f>
        <v>1</v>
      </c>
      <c r="I222" s="390">
        <f>IF(H222,Wh_hp,'2022'!Maxi_hp)</f>
        <v>57.435524145441832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4.057219310877791E-2</v>
      </c>
      <c r="M222" s="957"/>
      <c r="N222" s="957"/>
      <c r="O222" s="48">
        <f>IF(t&lt;Tnet,'2022'!Resal+('2022'!Salim-'2022'!Resal)*(1-EXP(('2022'!Tnet-t)/('2022'!Tau_j))),Resal+(Salim-Resal)*(1-EXP((Tnet-t)/(Tau_j))))*Salcycl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4.4998584206019532E-3</v>
      </c>
      <c r="Q222" s="305">
        <f t="shared" si="80"/>
        <v>0.7</v>
      </c>
      <c r="R222" s="177">
        <f t="shared" si="81"/>
        <v>0.93680203615860935</v>
      </c>
      <c r="S222" s="919">
        <f t="shared" si="82"/>
        <v>0</v>
      </c>
      <c r="T222" s="176">
        <f t="shared" si="83"/>
        <v>6</v>
      </c>
      <c r="U222" s="251">
        <f t="shared" si="84"/>
        <v>0.93680203615860935</v>
      </c>
      <c r="V222" s="383">
        <f t="shared" si="85"/>
        <v>51.378828245550032</v>
      </c>
      <c r="W222" s="402">
        <f t="shared" si="86"/>
        <v>53.714814779185666</v>
      </c>
      <c r="X222" s="157">
        <f t="shared" si="87"/>
        <v>45134</v>
      </c>
      <c r="Y222" s="385">
        <f t="shared" si="88"/>
        <v>48.269004028174031</v>
      </c>
      <c r="Z222" s="385">
        <f t="shared" si="89"/>
        <v>50.310199143151024</v>
      </c>
      <c r="AA222" s="386">
        <f t="shared" si="90"/>
        <v>57.177072418474275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0.12009837133781835</v>
      </c>
      <c r="AD222" s="231">
        <f>(INDEX(Models!$BJ222:$BT222,,AH222)*(1-AF222)+INDEX(Models!$BJ222:$BT222,,AH222+1)*AF222-ERP_i)*AE222*Ramure*Pc/MaxiM</f>
        <v>4.4998584206019532E-3</v>
      </c>
      <c r="AE222" s="305">
        <f t="shared" si="92"/>
        <v>0.7</v>
      </c>
      <c r="AF222" s="177">
        <f t="shared" si="93"/>
        <v>0.93680203615860935</v>
      </c>
      <c r="AG222" s="919">
        <f t="shared" si="99"/>
        <v>0</v>
      </c>
      <c r="AH222" s="176">
        <f t="shared" si="94"/>
        <v>6</v>
      </c>
      <c r="AI222" s="225">
        <f t="shared" si="95"/>
        <v>0.93680203615860935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1090">
        <f>IF(t&gt;Tmaj,'2022'!Wh/'2022'!Env_an*'2023'!Env_an,0.001*[9]mois!$B$65)</f>
        <v>42.67676294793975</v>
      </c>
      <c r="C223" s="953"/>
      <c r="D223" s="393">
        <f t="shared" si="77"/>
        <v>44.482448176413428</v>
      </c>
      <c r="E223" s="385">
        <f t="shared" si="75"/>
        <v>45.43479156635577</v>
      </c>
      <c r="F223" s="385">
        <f t="shared" si="78"/>
        <v>45.586067359752271</v>
      </c>
      <c r="G223" s="110">
        <f t="shared" si="76"/>
        <v>0.83135645049902429</v>
      </c>
      <c r="H223" s="412" t="b">
        <f>Wh_hp&gt;='2022'!Maxi_hp</f>
        <v>0</v>
      </c>
      <c r="I223" s="390">
        <f>IF(H223,Wh_hp,'2022'!Maxi_hp)</f>
        <v>52.534108463708804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4.0593207040055312E-2</v>
      </c>
      <c r="M223" s="957"/>
      <c r="N223" s="957"/>
      <c r="O223" s="48">
        <f>IF(t&lt;Tnet,'2022'!Resal+('2022'!Salim-'2022'!Resal)*(1-EXP(('2022'!Tnet-t)/('2022'!Tau_j))),Resal+(Salim-Resal)*(1-EXP((Tnet-t)/(Tau_j))))*Salcycl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4.3645158969796271E-3</v>
      </c>
      <c r="Q223" s="305">
        <f t="shared" si="80"/>
        <v>0.7</v>
      </c>
      <c r="R223" s="177">
        <f t="shared" si="81"/>
        <v>0.93904303554519086</v>
      </c>
      <c r="S223" s="919">
        <f t="shared" si="82"/>
        <v>0</v>
      </c>
      <c r="T223" s="176">
        <f t="shared" si="83"/>
        <v>6</v>
      </c>
      <c r="U223" s="251">
        <f t="shared" si="84"/>
        <v>0.93904303554519086</v>
      </c>
      <c r="V223" s="383">
        <f t="shared" si="85"/>
        <v>51.28001622250121</v>
      </c>
      <c r="W223" s="402">
        <f t="shared" si="86"/>
        <v>42.67676294793975</v>
      </c>
      <c r="X223" s="157">
        <f t="shared" si="87"/>
        <v>45135</v>
      </c>
      <c r="Y223" s="385">
        <f t="shared" si="88"/>
        <v>38.354044506618415</v>
      </c>
      <c r="Z223" s="385">
        <f t="shared" si="89"/>
        <v>39.976832338542444</v>
      </c>
      <c r="AA223" s="386">
        <f t="shared" si="90"/>
        <v>45.43479156635577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0.12012730860319214</v>
      </c>
      <c r="AD223" s="231">
        <f>(INDEX(Models!$BJ223:$BT223,,AH223)*(1-AF223)+INDEX(Models!$BJ223:$BT223,,AH223+1)*AF223-ERP_i)*AE223*Ramure*Pc/MaxiM</f>
        <v>4.3645158969796271E-3</v>
      </c>
      <c r="AE223" s="305">
        <f t="shared" si="92"/>
        <v>0.7</v>
      </c>
      <c r="AF223" s="177">
        <f t="shared" si="93"/>
        <v>0.93904303554519086</v>
      </c>
      <c r="AG223" s="919">
        <f t="shared" si="99"/>
        <v>0</v>
      </c>
      <c r="AH223" s="176">
        <f t="shared" si="94"/>
        <v>6</v>
      </c>
      <c r="AI223" s="225">
        <f t="shared" si="95"/>
        <v>0.93904303554519086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1090">
        <f>IF(t&gt;Tmaj,'2022'!Wh/'2022'!Env_an*'2023'!Env_an,0.001*[9]mois!$B$66)</f>
        <v>28.428413901633665</v>
      </c>
      <c r="C224" s="953"/>
      <c r="D224" s="393">
        <f t="shared" si="77"/>
        <v>29.631890016941618</v>
      </c>
      <c r="E224" s="385">
        <f t="shared" si="75"/>
        <v>30.27044792039019</v>
      </c>
      <c r="F224" s="385">
        <f t="shared" si="78"/>
        <v>30.317224542296689</v>
      </c>
      <c r="G224" s="110">
        <f t="shared" si="76"/>
        <v>0.55395219308094801</v>
      </c>
      <c r="H224" s="412" t="b">
        <f>Wh_hp&gt;='2022'!Maxi_hp</f>
        <v>0</v>
      </c>
      <c r="I224" s="390">
        <f>IF(H224,Wh_hp,'2022'!Maxi_hp)</f>
        <v>55.721551124095164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4.0614220511073773E-2</v>
      </c>
      <c r="M224" s="957"/>
      <c r="N224" s="957"/>
      <c r="O224" s="48">
        <f>IF(t&lt;Tnet,'2022'!Resal+('2022'!Salim-'2022'!Resal)*(1-EXP(('2022'!Tnet-t)/('2022'!Tau_j))),Resal+(Salim-Resal)*(1-EXP((Tnet-t)/(Tau_j))))*Salcycl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4.2280337758417753E-3</v>
      </c>
      <c r="Q224" s="305">
        <f t="shared" si="80"/>
        <v>0.7</v>
      </c>
      <c r="R224" s="177">
        <f t="shared" si="81"/>
        <v>0.9412155045492242</v>
      </c>
      <c r="S224" s="919">
        <f t="shared" si="82"/>
        <v>0</v>
      </c>
      <c r="T224" s="176">
        <f t="shared" si="83"/>
        <v>6</v>
      </c>
      <c r="U224" s="251">
        <f t="shared" si="84"/>
        <v>0.9412155045492242</v>
      </c>
      <c r="V224" s="383">
        <f t="shared" si="85"/>
        <v>51.181243378982067</v>
      </c>
      <c r="W224" s="402">
        <f t="shared" si="86"/>
        <v>28.428413901633665</v>
      </c>
      <c r="X224" s="157">
        <f t="shared" si="87"/>
        <v>45136</v>
      </c>
      <c r="Y224" s="385">
        <f t="shared" si="88"/>
        <v>25.551588790939913</v>
      </c>
      <c r="Z224" s="385">
        <f t="shared" si="89"/>
        <v>26.633278642666024</v>
      </c>
      <c r="AA224" s="386">
        <f t="shared" si="90"/>
        <v>30.27044792039019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0.12015577989759998</v>
      </c>
      <c r="AD224" s="231">
        <f>(INDEX(Models!$BJ224:$BT224,,AH224)*(1-AF224)+INDEX(Models!$BJ224:$BT224,,AH224+1)*AF224-ERP_i)*AE224*Ramure*Pc/MaxiM</f>
        <v>4.2280337758417753E-3</v>
      </c>
      <c r="AE224" s="305">
        <f t="shared" si="92"/>
        <v>0.7</v>
      </c>
      <c r="AF224" s="177">
        <f t="shared" si="93"/>
        <v>0.9412155045492242</v>
      </c>
      <c r="AG224" s="919">
        <f t="shared" si="99"/>
        <v>0</v>
      </c>
      <c r="AH224" s="176">
        <f t="shared" si="94"/>
        <v>6</v>
      </c>
      <c r="AI224" s="225">
        <f t="shared" si="95"/>
        <v>0.9412155045492242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1090">
        <f>IF(t&gt;Tmaj,'2022'!Wh/'2022'!Env_an*'2023'!Env_an,0.001*[9]mois!$B$67)</f>
        <v>42.843077464142418</v>
      </c>
      <c r="C225" s="953"/>
      <c r="D225" s="393">
        <f t="shared" si="77"/>
        <v>44.657755799621491</v>
      </c>
      <c r="E225" s="385">
        <f t="shared" si="75"/>
        <v>45.626372003668962</v>
      </c>
      <c r="F225" s="385">
        <f t="shared" si="78"/>
        <v>45.77045344681914</v>
      </c>
      <c r="G225" s="110">
        <f t="shared" si="76"/>
        <v>0.83791214567015104</v>
      </c>
      <c r="H225" s="412" t="b">
        <f>Wh_hp&gt;='2022'!Maxi_hp</f>
        <v>0</v>
      </c>
      <c r="I225" s="390">
        <f>IF(H225,Wh_hp,'2022'!Maxi_hp)</f>
        <v>53.533900381500366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4.0635233521843284E-2</v>
      </c>
      <c r="M225" s="957"/>
      <c r="N225" s="957"/>
      <c r="O225" s="48">
        <f>IF(t&lt;Tnet,'2022'!Resal+('2022'!Salim-'2022'!Resal)*(1-EXP(('2022'!Tnet-t)/('2022'!Tau_j))),Resal+(Salim-Resal)*(1-EXP((Tnet-t)/(Tau_j))))*Salcycl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4.0904374357573952E-3</v>
      </c>
      <c r="Q225" s="305">
        <f t="shared" si="80"/>
        <v>0.7</v>
      </c>
      <c r="R225" s="177">
        <f t="shared" si="81"/>
        <v>0.94332078809610664</v>
      </c>
      <c r="S225" s="919">
        <f t="shared" si="82"/>
        <v>0</v>
      </c>
      <c r="T225" s="176">
        <f t="shared" si="83"/>
        <v>6</v>
      </c>
      <c r="U225" s="251">
        <f t="shared" si="84"/>
        <v>0.94332078809610664</v>
      </c>
      <c r="V225" s="383">
        <f t="shared" si="85"/>
        <v>51.08240709617084</v>
      </c>
      <c r="W225" s="402">
        <f t="shared" si="86"/>
        <v>42.843077464142418</v>
      </c>
      <c r="X225" s="157">
        <f t="shared" si="87"/>
        <v>45137</v>
      </c>
      <c r="Y225" s="385">
        <f t="shared" si="88"/>
        <v>38.511607712748599</v>
      </c>
      <c r="Z225" s="385">
        <f t="shared" si="89"/>
        <v>40.142820602142109</v>
      </c>
      <c r="AA225" s="386">
        <f t="shared" si="90"/>
        <v>45.626372003668962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0.12018381389355044</v>
      </c>
      <c r="AD225" s="231">
        <f>(INDEX(Models!$BJ225:$BT225,,AH225)*(1-AF225)+INDEX(Models!$BJ225:$BT225,,AH225+1)*AF225-ERP_i)*AE225*Ramure*Pc/MaxiM</f>
        <v>4.0904374357573952E-3</v>
      </c>
      <c r="AE225" s="305">
        <f t="shared" si="92"/>
        <v>0.7</v>
      </c>
      <c r="AF225" s="177">
        <f t="shared" si="93"/>
        <v>0.94332078809610664</v>
      </c>
      <c r="AG225" s="919">
        <f t="shared" si="99"/>
        <v>0</v>
      </c>
      <c r="AH225" s="176">
        <f t="shared" si="94"/>
        <v>6</v>
      </c>
      <c r="AI225" s="225">
        <f t="shared" si="95"/>
        <v>0.94332078809610664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1090">
        <f>IF(t&gt;Tmaj,'2022'!Wh/'2022'!Env_an*'2023'!Env_an,0.001*[9]mois!$B$68)</f>
        <v>51.503474897546752</v>
      </c>
      <c r="C226" s="953"/>
      <c r="D226" s="393">
        <f t="shared" si="77"/>
        <v>53.686152316818266</v>
      </c>
      <c r="E226" s="385">
        <f t="shared" si="75"/>
        <v>54.858102789027697</v>
      </c>
      <c r="F226" s="385">
        <f t="shared" si="78"/>
        <v>55.075837023601316</v>
      </c>
      <c r="G226" s="110">
        <f t="shared" si="76"/>
        <v>1.0102023959132445</v>
      </c>
      <c r="H226" s="412" t="b">
        <f>Wh_hp&gt;='2022'!Maxi_hp</f>
        <v>1</v>
      </c>
      <c r="I226" s="390">
        <f>IF(H226,Wh_hp,'2022'!Maxi_hp)</f>
        <v>55.075837023601316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4.0656246072373947E-2</v>
      </c>
      <c r="M226" s="957"/>
      <c r="N226" s="957"/>
      <c r="O226" s="48">
        <f>IF(t&lt;Tnet,'2022'!Resal+('2022'!Salim-'2022'!Resal)*(1-EXP(('2022'!Tnet-t)/('2022'!Tau_j))),Resal+(Salim-Resal)*(1-EXP((Tnet-t)/(Tau_j))))*Salcycl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3.9533531642980072E-3</v>
      </c>
      <c r="Q226" s="305">
        <f t="shared" si="80"/>
        <v>0.7</v>
      </c>
      <c r="R226" s="177">
        <f t="shared" si="81"/>
        <v>0.94536025916157973</v>
      </c>
      <c r="S226" s="919">
        <f t="shared" si="82"/>
        <v>0</v>
      </c>
      <c r="T226" s="176">
        <f t="shared" si="83"/>
        <v>6</v>
      </c>
      <c r="U226" s="251">
        <f t="shared" si="84"/>
        <v>0.94536025916157973</v>
      </c>
      <c r="V226" s="383">
        <f t="shared" si="85"/>
        <v>50.983322852829431</v>
      </c>
      <c r="W226" s="402">
        <f t="shared" si="86"/>
        <v>51.503474897546752</v>
      </c>
      <c r="X226" s="157">
        <f t="shared" si="87"/>
        <v>45138</v>
      </c>
      <c r="Y226" s="385">
        <f t="shared" si="88"/>
        <v>46.301317448544793</v>
      </c>
      <c r="Z226" s="385">
        <f t="shared" si="89"/>
        <v>48.263531459900257</v>
      </c>
      <c r="AA226" s="386">
        <f t="shared" si="90"/>
        <v>54.858102789027697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0.12021143630301478</v>
      </c>
      <c r="AD226" s="231">
        <f>(INDEX(Models!$BJ226:$BT226,,AH226)*(1-AF226)+INDEX(Models!$BJ226:$BT226,,AH226+1)*AF226-ERP_i)*AE226*Ramure*Pc/MaxiM</f>
        <v>3.9533531642980072E-3</v>
      </c>
      <c r="AE226" s="305">
        <f t="shared" si="92"/>
        <v>0.7</v>
      </c>
      <c r="AF226" s="177">
        <f t="shared" si="93"/>
        <v>0.94536025916157973</v>
      </c>
      <c r="AG226" s="919">
        <f t="shared" si="99"/>
        <v>0</v>
      </c>
      <c r="AH226" s="176">
        <f t="shared" si="94"/>
        <v>6</v>
      </c>
      <c r="AI226" s="225">
        <f t="shared" si="95"/>
        <v>0.94536025916157973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1090">
        <f>IF(t&gt;Tmaj,'2022'!Wh/'2022'!Env_an*'2023'!Env_an,0.001*'[10]mon-tableau (1)'!$B$38)</f>
        <v>51.430461138863933</v>
      </c>
      <c r="C227" s="953"/>
      <c r="D227" s="393">
        <f t="shared" si="77"/>
        <v>53.611218514806332</v>
      </c>
      <c r="E227" s="385">
        <f t="shared" si="75"/>
        <v>54.78902353319026</v>
      </c>
      <c r="F227" s="385">
        <f t="shared" si="78"/>
        <v>54.998968794704098</v>
      </c>
      <c r="G227" s="110">
        <f t="shared" si="76"/>
        <v>1.0107420217858487</v>
      </c>
      <c r="H227" s="412" t="b">
        <f>Wh_hp&gt;='2022'!Maxi_hp</f>
        <v>1</v>
      </c>
      <c r="I227" s="390">
        <f>IF(H227,Wh_hp,'2022'!Maxi_hp)</f>
        <v>54.998968794704098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4.0677258162675756E-2</v>
      </c>
      <c r="M227" s="957"/>
      <c r="N227" s="957"/>
      <c r="O227" s="48">
        <f>IF(t&lt;Tnet,'2022'!Resal+('2022'!Salim-'2022'!Resal)*(1-EXP(('2022'!Tnet-t)/('2022'!Tau_j))),Resal+(Salim-Resal)*(1-EXP((Tnet-t)/(Tau_j))))*Salcycl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3.8172581434663868E-3</v>
      </c>
      <c r="Q227" s="305">
        <f t="shared" si="80"/>
        <v>0.7</v>
      </c>
      <c r="R227" s="177">
        <f t="shared" si="81"/>
        <v>0.94733531389024894</v>
      </c>
      <c r="S227" s="919">
        <f t="shared" si="82"/>
        <v>0</v>
      </c>
      <c r="T227" s="176">
        <f t="shared" si="83"/>
        <v>6</v>
      </c>
      <c r="U227" s="251">
        <f t="shared" si="84"/>
        <v>0.94733531389024894</v>
      </c>
      <c r="V227" s="383">
        <f t="shared" si="85"/>
        <v>50.883865546614011</v>
      </c>
      <c r="W227" s="402">
        <f t="shared" si="86"/>
        <v>51.430461138863933</v>
      </c>
      <c r="X227" s="157">
        <f t="shared" si="87"/>
        <v>45139</v>
      </c>
      <c r="Y227" s="385">
        <f t="shared" si="88"/>
        <v>46.240568950042757</v>
      </c>
      <c r="Z227" s="385">
        <f t="shared" si="89"/>
        <v>48.201264218422892</v>
      </c>
      <c r="AA227" s="386">
        <f t="shared" si="90"/>
        <v>54.78902353319026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0.12023866990030616</v>
      </c>
      <c r="AD227" s="231">
        <f>(INDEX(Models!$BJ227:$BT227,,AH227)*(1-AF227)+INDEX(Models!$BJ227:$BT227,,AH227+1)*AF227-ERP_i)*AE227*Ramure*Pc/MaxiM</f>
        <v>3.8172581434663868E-3</v>
      </c>
      <c r="AE227" s="305">
        <f t="shared" si="92"/>
        <v>0.7</v>
      </c>
      <c r="AF227" s="177">
        <f t="shared" si="93"/>
        <v>0.94733531389024894</v>
      </c>
      <c r="AG227" s="919">
        <f t="shared" si="99"/>
        <v>0</v>
      </c>
      <c r="AH227" s="176">
        <f t="shared" si="94"/>
        <v>6</v>
      </c>
      <c r="AI227" s="225">
        <f t="shared" si="95"/>
        <v>0.94733531389024894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1090">
        <f>IF(t&gt;Tmaj,'2022'!Wh/'2022'!Env_an*'2023'!Env_an,0.001*'[10]mon-tableau (1)'!$B$39)</f>
        <v>51.480530342012059</v>
      </c>
      <c r="C228" s="953"/>
      <c r="D228" s="393">
        <f t="shared" si="77"/>
        <v>53.664586147353816</v>
      </c>
      <c r="E228" s="385">
        <f t="shared" si="75"/>
        <v>54.851051861457279</v>
      </c>
      <c r="F228" s="385">
        <f t="shared" si="78"/>
        <v>55.053769932764382</v>
      </c>
      <c r="G228" s="110">
        <f t="shared" si="76"/>
        <v>1.0137168832934345</v>
      </c>
      <c r="H228" s="412" t="b">
        <f>Wh_hp&gt;='2022'!Maxi_hp</f>
        <v>1</v>
      </c>
      <c r="I228" s="390">
        <f>IF(H228,Wh_hp,'2022'!Maxi_hp)</f>
        <v>55.053769932764382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4.0698269792758923E-2</v>
      </c>
      <c r="M228" s="957"/>
      <c r="N228" s="957"/>
      <c r="O228" s="48">
        <f>IF(t&lt;Tnet,'2022'!Resal+('2022'!Salim-'2022'!Resal)*(1-EXP(('2022'!Tnet-t)/('2022'!Tau_j))),Resal+(Salim-Resal)*(1-EXP((Tnet-t)/(Tau_j))))*Salcycl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3.6821832829010631E-3</v>
      </c>
      <c r="Q228" s="305">
        <f t="shared" si="80"/>
        <v>0.7</v>
      </c>
      <c r="R228" s="177">
        <f t="shared" si="81"/>
        <v>0.94924736697488576</v>
      </c>
      <c r="S228" s="919">
        <f t="shared" si="82"/>
        <v>0</v>
      </c>
      <c r="T228" s="176">
        <f t="shared" si="83"/>
        <v>6</v>
      </c>
      <c r="U228" s="251">
        <f t="shared" si="84"/>
        <v>0.94924736697488576</v>
      </c>
      <c r="V228" s="383">
        <f t="shared" si="85"/>
        <v>50.783933059059358</v>
      </c>
      <c r="W228" s="402">
        <f t="shared" si="86"/>
        <v>51.480530342012059</v>
      </c>
      <c r="X228" s="157">
        <f t="shared" si="87"/>
        <v>45140</v>
      </c>
      <c r="Y228" s="385">
        <f t="shared" si="88"/>
        <v>46.290491793892024</v>
      </c>
      <c r="Z228" s="385">
        <f t="shared" si="89"/>
        <v>48.254360787915743</v>
      </c>
      <c r="AA228" s="386">
        <f t="shared" si="90"/>
        <v>54.851051861457279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0.12026553456446831</v>
      </c>
      <c r="AD228" s="231">
        <f>(INDEX(Models!$BJ228:$BT228,,AH228)*(1-AF228)+INDEX(Models!$BJ228:$BT228,,AH228+1)*AF228-ERP_i)*AE228*Ramure*Pc/MaxiM</f>
        <v>3.6821832829010631E-3</v>
      </c>
      <c r="AE228" s="305">
        <f t="shared" si="92"/>
        <v>0.7</v>
      </c>
      <c r="AF228" s="177">
        <f t="shared" si="93"/>
        <v>0.94924736697488576</v>
      </c>
      <c r="AG228" s="919">
        <f t="shared" si="99"/>
        <v>0</v>
      </c>
      <c r="AH228" s="176">
        <f t="shared" si="94"/>
        <v>6</v>
      </c>
      <c r="AI228" s="225">
        <f t="shared" si="95"/>
        <v>0.94924736697488576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1090">
        <f>IF(t&gt;Tmaj,'2022'!Wh/'2022'!Env_an*'2023'!Env_an,0.001*'[10]mon-tableau (1)'!$B$40)</f>
        <v>49.853059899576742</v>
      </c>
      <c r="C229" s="953"/>
      <c r="D229" s="393">
        <f t="shared" si="77"/>
        <v>51.96920871046386</v>
      </c>
      <c r="E229" s="385">
        <f t="shared" si="75"/>
        <v>53.125434013634667</v>
      </c>
      <c r="F229" s="385">
        <f t="shared" si="78"/>
        <v>53.310159745399744</v>
      </c>
      <c r="G229" s="110">
        <f t="shared" si="76"/>
        <v>0.98353469678188576</v>
      </c>
      <c r="H229" s="412" t="b">
        <f>Wh_hp&gt;='2022'!Maxi_hp</f>
        <v>0</v>
      </c>
      <c r="I229" s="390">
        <f>IF(H229,Wh_hp,'2022'!Maxi_hp)</f>
        <v>53.74274506897126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4.0719280962633442E-2</v>
      </c>
      <c r="M229" s="957"/>
      <c r="N229" s="957"/>
      <c r="O229" s="48">
        <f>IF(t&lt;Tnet,'2022'!Resal+('2022'!Salim-'2022'!Resal)*(1-EXP(('2022'!Tnet-t)/('2022'!Tau_j))),Resal+(Salim-Resal)*(1-EXP((Tnet-t)/(Tau_j))))*Salcycl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3.5481568584897175E-3</v>
      </c>
      <c r="Q229" s="305">
        <f t="shared" si="80"/>
        <v>0.7</v>
      </c>
      <c r="R229" s="177">
        <f t="shared" si="81"/>
        <v>0.95109784729760871</v>
      </c>
      <c r="S229" s="919">
        <f t="shared" si="82"/>
        <v>0</v>
      </c>
      <c r="T229" s="176">
        <f t="shared" si="83"/>
        <v>6</v>
      </c>
      <c r="U229" s="251">
        <f t="shared" si="84"/>
        <v>0.95109784729760871</v>
      </c>
      <c r="V229" s="383">
        <f t="shared" si="85"/>
        <v>50.683423452933546</v>
      </c>
      <c r="W229" s="402">
        <f t="shared" si="86"/>
        <v>49.853059899576742</v>
      </c>
      <c r="X229" s="157">
        <f t="shared" si="87"/>
        <v>45141</v>
      </c>
      <c r="Y229" s="385">
        <f t="shared" si="88"/>
        <v>44.831856618738492</v>
      </c>
      <c r="Z229" s="385">
        <f t="shared" si="89"/>
        <v>46.734866790324979</v>
      </c>
      <c r="AA229" s="386">
        <f t="shared" si="90"/>
        <v>53.125434013634667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0.12029204733968947</v>
      </c>
      <c r="AD229" s="231">
        <f>(INDEX(Models!$BJ229:$BT229,,AH229)*(1-AF229)+INDEX(Models!$BJ229:$BT229,,AH229+1)*AF229-ERP_i)*AE229*Ramure*Pc/MaxiM</f>
        <v>3.5481568584897175E-3</v>
      </c>
      <c r="AE229" s="305">
        <f t="shared" si="92"/>
        <v>0.7</v>
      </c>
      <c r="AF229" s="177">
        <f t="shared" si="93"/>
        <v>0.95109784729760871</v>
      </c>
      <c r="AG229" s="919">
        <f t="shared" si="99"/>
        <v>0</v>
      </c>
      <c r="AH229" s="176">
        <f t="shared" si="94"/>
        <v>6</v>
      </c>
      <c r="AI229" s="225">
        <f t="shared" si="95"/>
        <v>0.95109784729760871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1090">
        <f>IF(t&gt;Tmaj,'2022'!Wh/'2022'!Env_an*'2023'!Env_an,0.001*'[10]mon-tableau (1)'!$B$41)</f>
        <v>49.315688445299024</v>
      </c>
      <c r="C230" s="953"/>
      <c r="D230" s="393">
        <f t="shared" si="77"/>
        <v>51.410153076555993</v>
      </c>
      <c r="E230" s="385">
        <f t="shared" si="75"/>
        <v>52.561096040049776</v>
      </c>
      <c r="F230" s="385">
        <f t="shared" si="78"/>
        <v>52.734753750734797</v>
      </c>
      <c r="G230" s="110">
        <f t="shared" si="76"/>
        <v>0.97484114718021764</v>
      </c>
      <c r="H230" s="412" t="b">
        <f>Wh_hp&gt;='2022'!Maxi_hp</f>
        <v>0</v>
      </c>
      <c r="I230" s="390">
        <f>IF(H230,Wh_hp,'2022'!Maxi_hp)</f>
        <v>52.735892100965984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4.0740291672309414E-2</v>
      </c>
      <c r="M230" s="957"/>
      <c r="N230" s="957"/>
      <c r="O230" s="48">
        <f>IF(t&lt;Tnet,'2022'!Resal+('2022'!Salim-'2022'!Resal)*(1-EXP(('2022'!Tnet-t)/('2022'!Tau_j))),Resal+(Salim-Resal)*(1-EXP((Tnet-t)/(Tau_j))))*Salcycl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3.4152046862424086E-3</v>
      </c>
      <c r="Q230" s="305">
        <f t="shared" si="80"/>
        <v>0.7</v>
      </c>
      <c r="R230" s="177">
        <f t="shared" si="81"/>
        <v>0.95288819383228551</v>
      </c>
      <c r="S230" s="919">
        <f t="shared" si="82"/>
        <v>0</v>
      </c>
      <c r="T230" s="176">
        <f t="shared" si="83"/>
        <v>6</v>
      </c>
      <c r="U230" s="251">
        <f t="shared" si="84"/>
        <v>0.95288819383228551</v>
      </c>
      <c r="V230" s="383">
        <f t="shared" si="85"/>
        <v>50.582234963169263</v>
      </c>
      <c r="W230" s="402">
        <f t="shared" si="86"/>
        <v>49.315688445299024</v>
      </c>
      <c r="X230" s="157">
        <f t="shared" si="87"/>
        <v>45142</v>
      </c>
      <c r="Y230" s="385">
        <f t="shared" si="88"/>
        <v>44.353327961100426</v>
      </c>
      <c r="Z230" s="385">
        <f t="shared" si="89"/>
        <v>46.237038391222605</v>
      </c>
      <c r="AA230" s="386">
        <f t="shared" si="90"/>
        <v>52.561096040049776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0.12031822251211156</v>
      </c>
      <c r="AD230" s="231">
        <f>(INDEX(Models!$BJ230:$BT230,,AH230)*(1-AF230)+INDEX(Models!$BJ230:$BT230,,AH230+1)*AF230-ERP_i)*AE230*Ramure*Pc/MaxiM</f>
        <v>3.4152046862424086E-3</v>
      </c>
      <c r="AE230" s="305">
        <f t="shared" si="92"/>
        <v>0.7</v>
      </c>
      <c r="AF230" s="177">
        <f t="shared" si="93"/>
        <v>0.95288819383228551</v>
      </c>
      <c r="AG230" s="919">
        <f t="shared" si="99"/>
        <v>0</v>
      </c>
      <c r="AH230" s="176">
        <f t="shared" si="94"/>
        <v>6</v>
      </c>
      <c r="AI230" s="225">
        <f t="shared" si="95"/>
        <v>0.95288819383228551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1090">
        <f>IF(t&gt;Tmaj,'2022'!Wh/'2022'!Env_an*'2023'!Env_an,0.001*'[10]mon-tableau (1)'!$B$42)</f>
        <v>44.465926264362935</v>
      </c>
      <c r="C231" s="953"/>
      <c r="D231" s="393">
        <f t="shared" si="77"/>
        <v>46.355434109829666</v>
      </c>
      <c r="E231" s="385">
        <f t="shared" si="75"/>
        <v>47.399658848862963</v>
      </c>
      <c r="F231" s="385">
        <f t="shared" si="78"/>
        <v>47.52915263581032</v>
      </c>
      <c r="G231" s="110">
        <f t="shared" si="76"/>
        <v>0.88036400530251935</v>
      </c>
      <c r="H231" s="412" t="b">
        <f>Wh_hp&gt;='2022'!Maxi_hp</f>
        <v>0</v>
      </c>
      <c r="I231" s="390">
        <f>IF(H231,Wh_hp,'2022'!Maxi_hp)</f>
        <v>53.36011340472448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4.0761301921796944E-2</v>
      </c>
      <c r="M231" s="957"/>
      <c r="N231" s="957"/>
      <c r="O231" s="48">
        <f>IF(t&lt;Tnet,'2022'!Resal+('2022'!Salim-'2022'!Resal)*(1-EXP(('2022'!Tnet-t)/('2022'!Tau_j))),Resal+(Salim-Resal)*(1-EXP((Tnet-t)/(Tau_j))))*Salcycl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3.283350294194051E-3</v>
      </c>
      <c r="Q231" s="305">
        <f t="shared" si="80"/>
        <v>0.7</v>
      </c>
      <c r="R231" s="177">
        <f t="shared" si="81"/>
        <v>0.9546198518059279</v>
      </c>
      <c r="S231" s="919">
        <f t="shared" si="82"/>
        <v>0</v>
      </c>
      <c r="T231" s="176">
        <f t="shared" si="83"/>
        <v>6</v>
      </c>
      <c r="U231" s="251">
        <f t="shared" si="84"/>
        <v>0.9546198518059279</v>
      </c>
      <c r="V231" s="383">
        <f t="shared" si="85"/>
        <v>50.480265986528018</v>
      </c>
      <c r="W231" s="402">
        <f t="shared" si="86"/>
        <v>44.465926264362935</v>
      </c>
      <c r="X231" s="157">
        <f t="shared" si="87"/>
        <v>45143</v>
      </c>
      <c r="Y231" s="385">
        <f t="shared" si="88"/>
        <v>39.995832488282872</v>
      </c>
      <c r="Z231" s="385">
        <f t="shared" si="89"/>
        <v>41.695390905739046</v>
      </c>
      <c r="AA231" s="386">
        <f t="shared" si="90"/>
        <v>47.399658848862963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0.1203440717012829</v>
      </c>
      <c r="AD231" s="231">
        <f>(INDEX(Models!$BJ231:$BT231,,AH231)*(1-AF231)+INDEX(Models!$BJ231:$BT231,,AH231+1)*AF231-ERP_i)*AE231*Ramure*Pc/MaxiM</f>
        <v>3.283350294194051E-3</v>
      </c>
      <c r="AE231" s="305">
        <f t="shared" si="92"/>
        <v>0.7</v>
      </c>
      <c r="AF231" s="177">
        <f t="shared" si="93"/>
        <v>0.9546198518059279</v>
      </c>
      <c r="AG231" s="919">
        <f t="shared" si="99"/>
        <v>0</v>
      </c>
      <c r="AH231" s="176">
        <f t="shared" si="94"/>
        <v>6</v>
      </c>
      <c r="AI231" s="225">
        <f t="shared" si="95"/>
        <v>0.9546198518059279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1090">
        <f>IF(t&gt;Tmaj,'2022'!Wh/'2022'!Env_an*'2023'!Env_an,0.001*'[10]mon-tableau (1)'!$B$43)</f>
        <v>47.009068627140067</v>
      </c>
      <c r="C232" s="953"/>
      <c r="D232" s="393">
        <f t="shared" si="77"/>
        <v>49.007716601846106</v>
      </c>
      <c r="E232" s="385">
        <f t="shared" si="75"/>
        <v>50.118492319121522</v>
      </c>
      <c r="F232" s="385">
        <f t="shared" si="78"/>
        <v>50.261813138270703</v>
      </c>
      <c r="G232" s="110">
        <f t="shared" si="76"/>
        <v>0.93285596819503769</v>
      </c>
      <c r="H232" s="412" t="b">
        <f>Wh_hp&gt;='2022'!Maxi_hp</f>
        <v>0</v>
      </c>
      <c r="I232" s="390">
        <f>IF(H232,Wh_hp,'2022'!Maxi_hp)</f>
        <v>54.203152791652954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4.0782311711106134E-2</v>
      </c>
      <c r="M232" s="957"/>
      <c r="N232" s="957"/>
      <c r="O232" s="48">
        <f>IF(t&lt;Tnet,'2022'!Resal+('2022'!Salim-'2022'!Resal)*(1-EXP(('2022'!Tnet-t)/('2022'!Tau_j))),Resal+(Salim-Resal)*(1-EXP((Tnet-t)/(Tau_j))))*Salcycl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3.1526150906325814E-3</v>
      </c>
      <c r="Q232" s="305">
        <f t="shared" si="80"/>
        <v>0.7</v>
      </c>
      <c r="R232" s="177">
        <f t="shared" si="81"/>
        <v>0.95629426911545945</v>
      </c>
      <c r="S232" s="919">
        <f t="shared" si="82"/>
        <v>0</v>
      </c>
      <c r="T232" s="176">
        <f t="shared" si="83"/>
        <v>6</v>
      </c>
      <c r="U232" s="251">
        <f t="shared" si="84"/>
        <v>0.95629426911545945</v>
      </c>
      <c r="V232" s="383">
        <f t="shared" si="85"/>
        <v>50.377415073487903</v>
      </c>
      <c r="W232" s="402">
        <f t="shared" si="86"/>
        <v>47.009068627140067</v>
      </c>
      <c r="X232" s="157">
        <f t="shared" si="87"/>
        <v>45144</v>
      </c>
      <c r="Y232" s="385">
        <f t="shared" si="88"/>
        <v>42.287830479551943</v>
      </c>
      <c r="Z232" s="385">
        <f t="shared" si="89"/>
        <v>44.0857492473761</v>
      </c>
      <c r="AA232" s="386">
        <f t="shared" si="90"/>
        <v>50.118492319121522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0.12036960396439889</v>
      </c>
      <c r="AD232" s="231">
        <f>(INDEX(Models!$BJ232:$BT232,,AH232)*(1-AF232)+INDEX(Models!$BJ232:$BT232,,AH232+1)*AF232-ERP_i)*AE232*Ramure*Pc/MaxiM</f>
        <v>3.1526150906325814E-3</v>
      </c>
      <c r="AE232" s="305">
        <f t="shared" si="92"/>
        <v>0.7</v>
      </c>
      <c r="AF232" s="177">
        <f t="shared" si="93"/>
        <v>0.95629426911545945</v>
      </c>
      <c r="AG232" s="919">
        <f t="shared" si="99"/>
        <v>0</v>
      </c>
      <c r="AH232" s="176">
        <f t="shared" si="94"/>
        <v>6</v>
      </c>
      <c r="AI232" s="225">
        <f t="shared" si="95"/>
        <v>0.95629426911545945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1090">
        <f>IF(t&gt;Tmaj,'2022'!Wh/'2022'!Env_an*'2023'!Env_an,0.001*'[10]mon-tableau (1)'!$B$44)</f>
        <v>50.149426353095393</v>
      </c>
      <c r="C233" s="953"/>
      <c r="D233" s="393">
        <f t="shared" si="77"/>
        <v>52.282735598586882</v>
      </c>
      <c r="E233" s="385">
        <f t="shared" ref="E233:E296" si="100">Wh_pvt/(1-Psa)</f>
        <v>53.474990805193848</v>
      </c>
      <c r="F233" s="385">
        <f t="shared" si="78"/>
        <v>53.636562527411243</v>
      </c>
      <c r="G233" s="110">
        <f t="shared" ref="G233:G296" si="101">+Wh_hp/MaxiM</f>
        <v>0.99751832018541242</v>
      </c>
      <c r="H233" s="412" t="b">
        <f>Wh_hp&gt;='2022'!Maxi_hp</f>
        <v>0</v>
      </c>
      <c r="I233" s="390">
        <f>IF(H233,Wh_hp,'2022'!Maxi_hp)</f>
        <v>53.636667435087631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4.0803321040246976E-2</v>
      </c>
      <c r="M233" s="957"/>
      <c r="N233" s="957"/>
      <c r="O233" s="48">
        <f>IF(t&lt;Tnet,'2022'!Resal+('2022'!Salim-'2022'!Resal)*(1-EXP(('2022'!Tnet-t)/('2022'!Tau_j))),Resal+(Salim-Resal)*(1-EXP((Tnet-t)/(Tau_j))))*Salcycl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3.0230142250212808E-3</v>
      </c>
      <c r="Q233" s="305">
        <f t="shared" si="80"/>
        <v>0.7</v>
      </c>
      <c r="R233" s="177">
        <f t="shared" si="81"/>
        <v>0.95791289299502291</v>
      </c>
      <c r="S233" s="919">
        <f t="shared" si="82"/>
        <v>0</v>
      </c>
      <c r="T233" s="176">
        <f t="shared" si="83"/>
        <v>6</v>
      </c>
      <c r="U233" s="251">
        <f t="shared" si="84"/>
        <v>0.95791289299502291</v>
      </c>
      <c r="V233" s="383">
        <f t="shared" si="85"/>
        <v>50.273652688054419</v>
      </c>
      <c r="W233" s="402">
        <f t="shared" si="86"/>
        <v>50.149426353095393</v>
      </c>
      <c r="X233" s="157">
        <f t="shared" si="87"/>
        <v>45145</v>
      </c>
      <c r="Y233" s="385">
        <f t="shared" si="88"/>
        <v>45.11761773848135</v>
      </c>
      <c r="Z233" s="385">
        <f t="shared" si="89"/>
        <v>47.036878596589098</v>
      </c>
      <c r="AA233" s="386">
        <f t="shared" si="90"/>
        <v>53.474990805193848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0.12039482591139487</v>
      </c>
      <c r="AD233" s="231">
        <f>(INDEX(Models!$BJ233:$BT233,,AH233)*(1-AF233)+INDEX(Models!$BJ233:$BT233,,AH233+1)*AF233-ERP_i)*AE233*Ramure*Pc/MaxiM</f>
        <v>3.0230142250212808E-3</v>
      </c>
      <c r="AE233" s="305">
        <f t="shared" si="92"/>
        <v>0.7</v>
      </c>
      <c r="AF233" s="177">
        <f t="shared" si="93"/>
        <v>0.95791289299502291</v>
      </c>
      <c r="AG233" s="919">
        <f t="shared" si="99"/>
        <v>0</v>
      </c>
      <c r="AH233" s="176">
        <f t="shared" si="94"/>
        <v>6</v>
      </c>
      <c r="AI233" s="225">
        <f t="shared" si="95"/>
        <v>0.95791289299502291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1090">
        <f>IF(t&gt;Tmaj,'2022'!Wh/'2022'!Env_an*'2023'!Env_an,0.001*'[10]mon-tableau (1)'!$B$45)</f>
        <v>50.76248422602081</v>
      </c>
      <c r="C234" s="953"/>
      <c r="D234" s="393">
        <f t="shared" si="77"/>
        <v>52.923031524785195</v>
      </c>
      <c r="E234" s="385">
        <f t="shared" si="100"/>
        <v>54.137217860313939</v>
      </c>
      <c r="F234" s="385">
        <f t="shared" si="78"/>
        <v>54.294471719651781</v>
      </c>
      <c r="G234" s="110">
        <f t="shared" si="101"/>
        <v>1.0118300277067902</v>
      </c>
      <c r="H234" s="412" t="b">
        <f>Wh_hp&gt;='2022'!Maxi_hp</f>
        <v>1</v>
      </c>
      <c r="I234" s="390">
        <f>IF(H234,Wh_hp,'2022'!Maxi_hp)</f>
        <v>54.294471719651781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4.0824329909229573E-2</v>
      </c>
      <c r="M234" s="957"/>
      <c r="N234" s="957"/>
      <c r="O234" s="48">
        <f>IF(t&lt;Tnet,'2022'!Resal+('2022'!Salim-'2022'!Resal)*(1-EXP(('2022'!Tnet-t)/('2022'!Tau_j))),Resal+(Salim-Resal)*(1-EXP((Tnet-t)/(Tau_j))))*Salcycl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2.8963143826100739E-3</v>
      </c>
      <c r="Q234" s="305">
        <f t="shared" si="80"/>
        <v>0.7</v>
      </c>
      <c r="R234" s="177">
        <f t="shared" si="81"/>
        <v>0.95947716692794449</v>
      </c>
      <c r="S234" s="919">
        <f t="shared" si="82"/>
        <v>0</v>
      </c>
      <c r="T234" s="176">
        <f t="shared" si="83"/>
        <v>6</v>
      </c>
      <c r="U234" s="251">
        <f t="shared" si="84"/>
        <v>0.95947716692794449</v>
      </c>
      <c r="V234" s="383">
        <f t="shared" si="85"/>
        <v>50.168983758140492</v>
      </c>
      <c r="W234" s="402">
        <f t="shared" si="86"/>
        <v>50.76248422602081</v>
      </c>
      <c r="X234" s="157">
        <f t="shared" si="87"/>
        <v>45146</v>
      </c>
      <c r="Y234" s="385">
        <f t="shared" si="88"/>
        <v>45.674053975000241</v>
      </c>
      <c r="Z234" s="385">
        <f t="shared" si="89"/>
        <v>47.618028062240079</v>
      </c>
      <c r="AA234" s="386">
        <f t="shared" si="90"/>
        <v>54.137217860313939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0.12041974182889893</v>
      </c>
      <c r="AD234" s="231">
        <f>(INDEX(Models!$BJ234:$BT234,,AH234)*(1-AF234)+INDEX(Models!$BJ234:$BT234,,AH234+1)*AF234-ERP_i)*AE234*Ramure*Pc/MaxiM</f>
        <v>2.8963143826100739E-3</v>
      </c>
      <c r="AE234" s="305">
        <f t="shared" si="92"/>
        <v>0.7</v>
      </c>
      <c r="AF234" s="177">
        <f t="shared" si="93"/>
        <v>0.95947716692794449</v>
      </c>
      <c r="AG234" s="919">
        <f t="shared" si="99"/>
        <v>0</v>
      </c>
      <c r="AH234" s="176">
        <f t="shared" si="94"/>
        <v>6</v>
      </c>
      <c r="AI234" s="225">
        <f t="shared" si="95"/>
        <v>0.95947716692794449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1090">
        <f>IF(t&gt;Tmaj,'2022'!Wh/'2022'!Env_an*'2023'!Env_an,0.001*'[10]mon-tableau (1)'!$B$46)</f>
        <v>48.909829911634901</v>
      </c>
      <c r="C235" s="953"/>
      <c r="D235" s="393">
        <f t="shared" si="77"/>
        <v>50.992641609924036</v>
      </c>
      <c r="E235" s="385">
        <f t="shared" si="100"/>
        <v>52.169593665569302</v>
      </c>
      <c r="F235" s="385">
        <f t="shared" si="78"/>
        <v>52.30984463695313</v>
      </c>
      <c r="G235" s="110">
        <f t="shared" si="101"/>
        <v>0.9768665198244717</v>
      </c>
      <c r="H235" s="412" t="b">
        <f>Wh_hp&gt;='2022'!Maxi_hp</f>
        <v>0</v>
      </c>
      <c r="I235" s="390">
        <f>IF(H235,Wh_hp,'2022'!Maxi_hp)</f>
        <v>54.505372378920782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4.0845338318064028E-2</v>
      </c>
      <c r="M235" s="957"/>
      <c r="N235" s="957"/>
      <c r="O235" s="48">
        <f>IF(t&lt;Tnet,'2022'!Resal+('2022'!Salim-'2022'!Resal)*(1-EXP(('2022'!Tnet-t)/('2022'!Tau_j))),Resal+(Salim-Resal)*(1-EXP((Tnet-t)/(Tau_j))))*Salcycl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2.7724268365027045E-3</v>
      </c>
      <c r="Q235" s="305">
        <f t="shared" si="80"/>
        <v>0.7</v>
      </c>
      <c r="R235" s="177">
        <f t="shared" si="81"/>
        <v>0.96098852779657284</v>
      </c>
      <c r="S235" s="919">
        <f t="shared" si="82"/>
        <v>0</v>
      </c>
      <c r="T235" s="176">
        <f t="shared" si="83"/>
        <v>6</v>
      </c>
      <c r="U235" s="251">
        <f t="shared" si="84"/>
        <v>0.96098852779657284</v>
      </c>
      <c r="V235" s="383">
        <f t="shared" si="85"/>
        <v>50.063496892682814</v>
      </c>
      <c r="W235" s="402">
        <f t="shared" si="86"/>
        <v>48.909829911634901</v>
      </c>
      <c r="X235" s="157">
        <f t="shared" si="87"/>
        <v>45147</v>
      </c>
      <c r="Y235" s="385">
        <f t="shared" si="88"/>
        <v>44.011828995871383</v>
      </c>
      <c r="Z235" s="385">
        <f t="shared" si="89"/>
        <v>45.886060667936462</v>
      </c>
      <c r="AA235" s="386">
        <f t="shared" si="90"/>
        <v>52.169593665569302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0.12044435381101731</v>
      </c>
      <c r="AD235" s="231">
        <f>(INDEX(Models!$BJ235:$BT235,,AH235)*(1-AF235)+INDEX(Models!$BJ235:$BT235,,AH235+1)*AF235-ERP_i)*AE235*Ramure*Pc/MaxiM</f>
        <v>2.7724268365027045E-3</v>
      </c>
      <c r="AE235" s="305">
        <f t="shared" si="92"/>
        <v>0.7</v>
      </c>
      <c r="AF235" s="177">
        <f t="shared" si="93"/>
        <v>0.96098852779657284</v>
      </c>
      <c r="AG235" s="919">
        <f t="shared" si="99"/>
        <v>0</v>
      </c>
      <c r="AH235" s="176">
        <f t="shared" si="94"/>
        <v>6</v>
      </c>
      <c r="AI235" s="225">
        <f t="shared" si="95"/>
        <v>0.96098852779657284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1090">
        <f>IF(t&gt;Tmaj,'2022'!Wh/'2022'!Env_an*'2023'!Env_an,0.001*'[10]mon-tableau (1)'!$B$47)</f>
        <v>47.507531299276728</v>
      </c>
      <c r="C236" s="953"/>
      <c r="D236" s="393">
        <f t="shared" si="77"/>
        <v>49.531711367193694</v>
      </c>
      <c r="E236" s="385">
        <f t="shared" si="100"/>
        <v>50.681786966557887</v>
      </c>
      <c r="F236" s="385">
        <f t="shared" si="78"/>
        <v>50.807058640910057</v>
      </c>
      <c r="G236" s="110">
        <f t="shared" si="101"/>
        <v>0.95078615459184512</v>
      </c>
      <c r="H236" s="412" t="b">
        <f>Wh_hp&gt;='2022'!Maxi_hp</f>
        <v>0</v>
      </c>
      <c r="I236" s="390">
        <f>IF(H236,Wh_hp,'2022'!Maxi_hp)</f>
        <v>52.854099421104479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4.0866346266760334E-2</v>
      </c>
      <c r="M236" s="957"/>
      <c r="N236" s="957"/>
      <c r="O236" s="48">
        <f>IF(t&lt;Tnet,'2022'!Resal+('2022'!Salim-'2022'!Resal)*(1-EXP(('2022'!Tnet-t)/('2022'!Tau_j))),Resal+(Salim-Resal)*(1-EXP((Tnet-t)/(Tau_j))))*Salcycl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2.6513704930409554E-3</v>
      </c>
      <c r="Q236" s="305">
        <f t="shared" si="80"/>
        <v>0.7</v>
      </c>
      <c r="R236" s="177">
        <f t="shared" si="81"/>
        <v>0.96244840326246994</v>
      </c>
      <c r="S236" s="919">
        <f t="shared" si="82"/>
        <v>0</v>
      </c>
      <c r="T236" s="176">
        <f t="shared" si="83"/>
        <v>6</v>
      </c>
      <c r="U236" s="251">
        <f t="shared" si="84"/>
        <v>0.96244840326246994</v>
      </c>
      <c r="V236" s="383">
        <f t="shared" si="85"/>
        <v>49.957275289029319</v>
      </c>
      <c r="W236" s="402">
        <f t="shared" si="86"/>
        <v>47.507531299276728</v>
      </c>
      <c r="X236" s="157">
        <f t="shared" si="87"/>
        <v>45148</v>
      </c>
      <c r="Y236" s="385">
        <f t="shared" si="88"/>
        <v>42.754552670219503</v>
      </c>
      <c r="Z236" s="385">
        <f t="shared" si="89"/>
        <v>44.576219908253442</v>
      </c>
      <c r="AA236" s="386">
        <f t="shared" si="90"/>
        <v>50.681786966557887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0.12046866189491645</v>
      </c>
      <c r="AD236" s="231">
        <f>(INDEX(Models!$BJ236:$BT236,,AH236)*(1-AF236)+INDEX(Models!$BJ236:$BT236,,AH236+1)*AF236-ERP_i)*AE236*Ramure*Pc/MaxiM</f>
        <v>2.6513704930409554E-3</v>
      </c>
      <c r="AE236" s="305">
        <f t="shared" si="92"/>
        <v>0.7</v>
      </c>
      <c r="AF236" s="177">
        <f t="shared" si="93"/>
        <v>0.96244840326246994</v>
      </c>
      <c r="AG236" s="919">
        <f t="shared" si="99"/>
        <v>0</v>
      </c>
      <c r="AH236" s="176">
        <f t="shared" si="94"/>
        <v>6</v>
      </c>
      <c r="AI236" s="225">
        <f t="shared" si="95"/>
        <v>0.96244840326246994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1090">
        <f>IF(t&gt;Tmaj,'2022'!Wh/'2022'!Env_an*'2023'!Env_an,0.001*'[10]mon-tableau (1)'!$B$48)</f>
        <v>44.95198570552698</v>
      </c>
      <c r="C237" s="953"/>
      <c r="D237" s="393">
        <f t="shared" si="77"/>
        <v>46.868306743251573</v>
      </c>
      <c r="E237" s="385">
        <f t="shared" si="100"/>
        <v>47.963007691993404</v>
      </c>
      <c r="F237" s="385">
        <f t="shared" si="78"/>
        <v>48.067678532537919</v>
      </c>
      <c r="G237" s="110">
        <f t="shared" si="101"/>
        <v>0.90141632360912904</v>
      </c>
      <c r="H237" s="412" t="b">
        <f>Wh_hp&gt;='2022'!Maxi_hp</f>
        <v>0</v>
      </c>
      <c r="I237" s="390">
        <f>IF(H237,Wh_hp,'2022'!Maxi_hp)</f>
        <v>52.879735063277003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4.0887353755328815E-2</v>
      </c>
      <c r="M237" s="957"/>
      <c r="N237" s="957"/>
      <c r="O237" s="48">
        <f>IF(t&lt;Tnet,'2022'!Resal+('2022'!Salim-'2022'!Resal)*(1-EXP(('2022'!Tnet-t)/('2022'!Tau_j))),Resal+(Salim-Resal)*(1-EXP((Tnet-t)/(Tau_j))))*Salcycl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2.5331645427349855E-3</v>
      </c>
      <c r="Q237" s="305">
        <f t="shared" si="80"/>
        <v>0.7</v>
      </c>
      <c r="R237" s="177">
        <f t="shared" si="81"/>
        <v>0.96385820936881239</v>
      </c>
      <c r="S237" s="919">
        <f t="shared" si="82"/>
        <v>0</v>
      </c>
      <c r="T237" s="176">
        <f t="shared" si="83"/>
        <v>6</v>
      </c>
      <c r="U237" s="251">
        <f t="shared" si="84"/>
        <v>0.96385820936881239</v>
      </c>
      <c r="V237" s="383">
        <f t="shared" si="85"/>
        <v>49.850402154035052</v>
      </c>
      <c r="W237" s="402">
        <f t="shared" si="86"/>
        <v>44.95198570552698</v>
      </c>
      <c r="X237" s="157">
        <f t="shared" si="87"/>
        <v>45149</v>
      </c>
      <c r="Y237" s="385">
        <f t="shared" si="88"/>
        <v>40.45903245916368</v>
      </c>
      <c r="Z237" s="385">
        <f t="shared" si="89"/>
        <v>42.183817112179455</v>
      </c>
      <c r="AA237" s="386">
        <f t="shared" si="90"/>
        <v>47.963007691993404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0.12049266419917798</v>
      </c>
      <c r="AD237" s="231">
        <f>(INDEX(Models!$BJ237:$BT237,,AH237)*(1-AF237)+INDEX(Models!$BJ237:$BT237,,AH237+1)*AF237-ERP_i)*AE237*Ramure*Pc/MaxiM</f>
        <v>2.5331645427349855E-3</v>
      </c>
      <c r="AE237" s="305">
        <f t="shared" si="92"/>
        <v>0.7</v>
      </c>
      <c r="AF237" s="177">
        <f t="shared" si="93"/>
        <v>0.96385820936881239</v>
      </c>
      <c r="AG237" s="919">
        <f t="shared" si="99"/>
        <v>0</v>
      </c>
      <c r="AH237" s="176">
        <f t="shared" si="94"/>
        <v>6</v>
      </c>
      <c r="AI237" s="225">
        <f t="shared" si="95"/>
        <v>0.96385820936881239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1090">
        <f>IF(t&gt;Tmaj,'2022'!Wh/'2022'!Env_an*'2023'!Env_an,0.001*'[10]mon-tableau (1)'!$B$49)</f>
        <v>46.358714369341818</v>
      </c>
      <c r="C238" s="953"/>
      <c r="D238" s="393">
        <f t="shared" si="77"/>
        <v>48.336063493605913</v>
      </c>
      <c r="E238" s="385">
        <f t="shared" si="100"/>
        <v>49.471707656819277</v>
      </c>
      <c r="F238" s="385">
        <f t="shared" si="78"/>
        <v>49.579932417804848</v>
      </c>
      <c r="G238" s="110">
        <f t="shared" si="101"/>
        <v>0.93174583582527004</v>
      </c>
      <c r="H238" s="412" t="b">
        <f>Wh_hp&gt;='2022'!Maxi_hp</f>
        <v>0</v>
      </c>
      <c r="I238" s="390">
        <f>IF(H238,Wh_hp,'2022'!Maxi_hp)</f>
        <v>51.227825043986797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4.0908360783779241E-2</v>
      </c>
      <c r="M238" s="957"/>
      <c r="N238" s="957"/>
      <c r="O238" s="48">
        <f>IF(t&lt;Tnet,'2022'!Resal+('2022'!Salim-'2022'!Resal)*(1-EXP(('2022'!Tnet-t)/('2022'!Tau_j))),Resal+(Salim-Resal)*(1-EXP((Tnet-t)/(Tau_j))))*Salcycl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2.4178285269759723E-3</v>
      </c>
      <c r="Q238" s="305">
        <f t="shared" si="80"/>
        <v>0.7</v>
      </c>
      <c r="R238" s="177">
        <f t="shared" si="81"/>
        <v>0.96521934835637846</v>
      </c>
      <c r="S238" s="919">
        <f t="shared" si="82"/>
        <v>0</v>
      </c>
      <c r="T238" s="176">
        <f t="shared" si="83"/>
        <v>6</v>
      </c>
      <c r="U238" s="251">
        <f t="shared" si="84"/>
        <v>0.96521934835637846</v>
      </c>
      <c r="V238" s="383">
        <f t="shared" si="85"/>
        <v>49.742960698169213</v>
      </c>
      <c r="W238" s="402">
        <f t="shared" si="86"/>
        <v>46.358714369341818</v>
      </c>
      <c r="X238" s="157">
        <f t="shared" si="87"/>
        <v>45150</v>
      </c>
      <c r="Y238" s="385">
        <f t="shared" si="88"/>
        <v>41.729652989533982</v>
      </c>
      <c r="Z238" s="385">
        <f t="shared" si="89"/>
        <v>43.509557672336577</v>
      </c>
      <c r="AA238" s="386">
        <f t="shared" si="90"/>
        <v>49.471707656819277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0.12051635706294167</v>
      </c>
      <c r="AD238" s="231">
        <f>(INDEX(Models!$BJ238:$BT238,,AH238)*(1-AF238)+INDEX(Models!$BJ238:$BT238,,AH238+1)*AF238-ERP_i)*AE238*Ramure*Pc/MaxiM</f>
        <v>2.4178285269759723E-3</v>
      </c>
      <c r="AE238" s="305">
        <f t="shared" si="92"/>
        <v>0.7</v>
      </c>
      <c r="AF238" s="177">
        <f t="shared" si="93"/>
        <v>0.96521934835637846</v>
      </c>
      <c r="AG238" s="919">
        <f t="shared" si="99"/>
        <v>0</v>
      </c>
      <c r="AH238" s="176">
        <f t="shared" si="94"/>
        <v>6</v>
      </c>
      <c r="AI238" s="225">
        <f t="shared" si="95"/>
        <v>0.96521934835637846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1090">
        <f>IF(t&gt;Tmaj,'2022'!Wh/'2022'!Env_an*'2023'!Env_an,0.001*'[10]mon-tableau (1)'!$B$50)</f>
        <v>36.389724450863007</v>
      </c>
      <c r="C239" s="953"/>
      <c r="D239" s="393">
        <f t="shared" si="77"/>
        <v>37.942694950835246</v>
      </c>
      <c r="E239" s="385">
        <f t="shared" si="100"/>
        <v>38.839371310156928</v>
      </c>
      <c r="F239" s="385">
        <f t="shared" si="78"/>
        <v>38.894855769574697</v>
      </c>
      <c r="G239" s="110">
        <f t="shared" si="101"/>
        <v>0.73250070235511455</v>
      </c>
      <c r="H239" s="412" t="b">
        <f>Wh_hp&gt;='2022'!Maxi_hp</f>
        <v>0</v>
      </c>
      <c r="I239" s="390">
        <f>IF(H239,Wh_hp,'2022'!Maxi_hp)</f>
        <v>48.536022746732414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4.0929367352121937E-2</v>
      </c>
      <c r="M239" s="957"/>
      <c r="N239" s="957"/>
      <c r="O239" s="48">
        <f>IF(t&lt;Tnet,'2022'!Resal+('2022'!Salim-'2022'!Resal)*(1-EXP(('2022'!Tnet-t)/('2022'!Tau_j))),Resal+(Salim-Resal)*(1-EXP((Tnet-t)/(Tau_j))))*Salcycl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2.3053823913621162E-3</v>
      </c>
      <c r="Q239" s="305">
        <f t="shared" si="80"/>
        <v>0.7</v>
      </c>
      <c r="R239" s="177">
        <f t="shared" si="81"/>
        <v>0.96653320668412213</v>
      </c>
      <c r="S239" s="919">
        <f t="shared" si="82"/>
        <v>0</v>
      </c>
      <c r="T239" s="176">
        <f t="shared" si="83"/>
        <v>6</v>
      </c>
      <c r="U239" s="251">
        <f t="shared" si="84"/>
        <v>0.96653320668412213</v>
      </c>
      <c r="V239" s="383">
        <f t="shared" si="85"/>
        <v>49.635034130511414</v>
      </c>
      <c r="W239" s="402">
        <f t="shared" si="86"/>
        <v>36.389724450863007</v>
      </c>
      <c r="X239" s="157">
        <f t="shared" si="87"/>
        <v>45151</v>
      </c>
      <c r="Y239" s="385">
        <f t="shared" si="88"/>
        <v>32.759631390485097</v>
      </c>
      <c r="Z239" s="385">
        <f t="shared" si="89"/>
        <v>34.157683777721061</v>
      </c>
      <c r="AA239" s="386">
        <f t="shared" si="90"/>
        <v>38.839371310156928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0.12053973518390998</v>
      </c>
      <c r="AD239" s="231">
        <f>(INDEX(Models!$BJ239:$BT239,,AH239)*(1-AF239)+INDEX(Models!$BJ239:$BT239,,AH239+1)*AF239-ERP_i)*AE239*Ramure*Pc/MaxiM</f>
        <v>2.3053823913621162E-3</v>
      </c>
      <c r="AE239" s="305">
        <f t="shared" si="92"/>
        <v>0.7</v>
      </c>
      <c r="AF239" s="177">
        <f t="shared" si="93"/>
        <v>0.96653320668412213</v>
      </c>
      <c r="AG239" s="919">
        <f t="shared" si="99"/>
        <v>0</v>
      </c>
      <c r="AH239" s="176">
        <f t="shared" si="94"/>
        <v>6</v>
      </c>
      <c r="AI239" s="225">
        <f t="shared" si="95"/>
        <v>0.96653320668412213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1090">
        <f>IF(t&gt;Tmaj,'2022'!Wh/'2022'!Env_an*'2023'!Env_an,0.001*'[10]mon-tableau (1)'!$B$51)</f>
        <v>33.331501569126594</v>
      </c>
      <c r="C240" s="953"/>
      <c r="D240" s="393">
        <f t="shared" si="77"/>
        <v>34.754720346840315</v>
      </c>
      <c r="E240" s="385">
        <f t="shared" si="100"/>
        <v>35.580834134266688</v>
      </c>
      <c r="F240" s="385">
        <f t="shared" si="78"/>
        <v>35.622574522332144</v>
      </c>
      <c r="G240" s="110">
        <f t="shared" si="101"/>
        <v>0.67231054581379912</v>
      </c>
      <c r="H240" s="412" t="b">
        <f>Wh_hp&gt;='2022'!Maxi_hp</f>
        <v>0</v>
      </c>
      <c r="I240" s="390">
        <f>IF(H240,Wh_hp,'2022'!Maxi_hp)</f>
        <v>53.538915966622881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4.0950373460366785E-2</v>
      </c>
      <c r="M240" s="957"/>
      <c r="N240" s="957"/>
      <c r="O240" s="48">
        <f>IF(t&lt;Tnet,'2022'!Resal+('2022'!Salim-'2022'!Resal)*(1-EXP(('2022'!Tnet-t)/('2022'!Tau_j))),Resal+(Salim-Resal)*(1-EXP((Tnet-t)/(Tau_j))))*Salcycl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2.1989596901999444E-3</v>
      </c>
      <c r="Q240" s="305">
        <f t="shared" si="80"/>
        <v>0.7</v>
      </c>
      <c r="R240" s="177">
        <f t="shared" si="81"/>
        <v>0.96780115324507099</v>
      </c>
      <c r="S240" s="919">
        <f t="shared" si="82"/>
        <v>0</v>
      </c>
      <c r="T240" s="176">
        <f t="shared" si="83"/>
        <v>6</v>
      </c>
      <c r="U240" s="251">
        <f t="shared" si="84"/>
        <v>0.96780115324507099</v>
      </c>
      <c r="V240" s="383">
        <f t="shared" si="85"/>
        <v>49.526551128496926</v>
      </c>
      <c r="W240" s="402">
        <f t="shared" si="86"/>
        <v>33.331501569126594</v>
      </c>
      <c r="X240" s="157">
        <f t="shared" si="87"/>
        <v>45152</v>
      </c>
      <c r="Y240" s="385">
        <f t="shared" si="88"/>
        <v>30.009726820645366</v>
      </c>
      <c r="Z240" s="385">
        <f t="shared" si="89"/>
        <v>31.291109438125826</v>
      </c>
      <c r="AA240" s="386">
        <f t="shared" si="90"/>
        <v>35.580834134266688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0.12056279175337192</v>
      </c>
      <c r="AD240" s="231">
        <f>(INDEX(Models!$BJ240:$BT240,,AH240)*(1-AF240)+INDEX(Models!$BJ240:$BT240,,AH240+1)*AF240-ERP_i)*AE240*Ramure*Pc/MaxiM</f>
        <v>2.1989596901999444E-3</v>
      </c>
      <c r="AE240" s="305">
        <f t="shared" si="92"/>
        <v>0.7</v>
      </c>
      <c r="AF240" s="177">
        <f t="shared" si="93"/>
        <v>0.96780115324507099</v>
      </c>
      <c r="AG240" s="919">
        <f t="shared" si="99"/>
        <v>0</v>
      </c>
      <c r="AH240" s="176">
        <f t="shared" si="94"/>
        <v>6</v>
      </c>
      <c r="AI240" s="225">
        <f t="shared" si="95"/>
        <v>0.96780115324507099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1090">
        <f>IF(t&gt;Tmaj,'2022'!Wh/'2022'!Env_an*'2023'!Env_an,0.001*'[10]mon-tableau (1)'!$B$52)</f>
        <v>37.800515484982789</v>
      </c>
      <c r="C241" s="953"/>
      <c r="D241" s="393">
        <f t="shared" si="77"/>
        <v>39.415419583458196</v>
      </c>
      <c r="E241" s="385">
        <f t="shared" si="100"/>
        <v>40.357727647414386</v>
      </c>
      <c r="F241" s="385">
        <f t="shared" si="78"/>
        <v>40.414013311122908</v>
      </c>
      <c r="G241" s="110">
        <f t="shared" si="101"/>
        <v>0.76437948608204931</v>
      </c>
      <c r="H241" s="412" t="b">
        <f>Wh_hp&gt;='2022'!Maxi_hp</f>
        <v>0</v>
      </c>
      <c r="I241" s="390">
        <f>IF(H241,Wh_hp,'2022'!Maxi_hp)</f>
        <v>53.803189402990363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4.0971379108523998E-2</v>
      </c>
      <c r="M241" s="957"/>
      <c r="N241" s="957"/>
      <c r="O241" s="48">
        <f>IF(t&lt;Tnet,'2022'!Resal+('2022'!Salim-'2022'!Resal)*(1-EXP(('2022'!Tnet-t)/('2022'!Tau_j))),Resal+(Salim-Resal)*(1-EXP((Tnet-t)/(Tau_j))))*Salcycl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2.0969430906018619E-3</v>
      </c>
      <c r="Q241" s="305">
        <f t="shared" si="80"/>
        <v>0.7</v>
      </c>
      <c r="R241" s="177">
        <f t="shared" si="81"/>
        <v>0.96902453776811126</v>
      </c>
      <c r="S241" s="919">
        <f t="shared" si="82"/>
        <v>0</v>
      </c>
      <c r="T241" s="176">
        <f t="shared" si="83"/>
        <v>6</v>
      </c>
      <c r="U241" s="251">
        <f t="shared" si="84"/>
        <v>0.96902453776811126</v>
      </c>
      <c r="V241" s="383">
        <f t="shared" si="85"/>
        <v>49.417677074711783</v>
      </c>
      <c r="W241" s="402">
        <f t="shared" si="86"/>
        <v>37.800515484982789</v>
      </c>
      <c r="X241" s="157">
        <f t="shared" si="87"/>
        <v>45153</v>
      </c>
      <c r="Y241" s="385">
        <f t="shared" si="88"/>
        <v>34.037047943673421</v>
      </c>
      <c r="Z241" s="385">
        <f t="shared" si="89"/>
        <v>35.491170130077968</v>
      </c>
      <c r="AA241" s="386">
        <f t="shared" si="90"/>
        <v>40.357727647414386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0.12058551858650554</v>
      </c>
      <c r="AD241" s="231">
        <f>(INDEX(Models!$BJ241:$BT241,,AH241)*(1-AF241)+INDEX(Models!$BJ241:$BT241,,AH241+1)*AF241-ERP_i)*AE241*Ramure*Pc/MaxiM</f>
        <v>2.0969430906018619E-3</v>
      </c>
      <c r="AE241" s="305">
        <f t="shared" si="92"/>
        <v>0.7</v>
      </c>
      <c r="AF241" s="177">
        <f t="shared" si="93"/>
        <v>0.96902453776811126</v>
      </c>
      <c r="AG241" s="919">
        <f t="shared" si="99"/>
        <v>0</v>
      </c>
      <c r="AH241" s="176">
        <f t="shared" si="94"/>
        <v>6</v>
      </c>
      <c r="AI241" s="225">
        <f t="shared" si="95"/>
        <v>0.96902453776811126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1090">
        <f>IF(t&gt;Tmaj,'2022'!Wh/'2022'!Env_an*'2023'!Env_an,0.001*'[10]mon-tableau (1)'!$B$53)</f>
        <v>35.007362027780189</v>
      </c>
      <c r="C242" s="953"/>
      <c r="D242" s="393">
        <f t="shared" si="77"/>
        <v>36.503737253539526</v>
      </c>
      <c r="E242" s="385">
        <f t="shared" si="100"/>
        <v>37.38143925992614</v>
      </c>
      <c r="F242" s="385">
        <f t="shared" si="78"/>
        <v>37.425262693999485</v>
      </c>
      <c r="G242" s="110">
        <f t="shared" si="101"/>
        <v>0.70937731183983843</v>
      </c>
      <c r="H242" s="412" t="b">
        <f>Wh_hp&gt;='2022'!Maxi_hp</f>
        <v>0</v>
      </c>
      <c r="I242" s="390">
        <f>IF(H242,Wh_hp,'2022'!Maxi_hp)</f>
        <v>53.769916943030935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4.0992384296603568E-2</v>
      </c>
      <c r="M242" s="957"/>
      <c r="N242" s="957"/>
      <c r="O242" s="48">
        <f>IF(t&lt;Tnet,'2022'!Resal+('2022'!Salim-'2022'!Resal)*(1-EXP(('2022'!Tnet-t)/('2022'!Tau_j))),Resal+(Salim-Resal)*(1-EXP((Tnet-t)/(Tau_j))))*Salcycl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1.9993627662018309E-3</v>
      </c>
      <c r="Q242" s="305">
        <f t="shared" si="80"/>
        <v>0.7</v>
      </c>
      <c r="R242" s="177">
        <f t="shared" si="81"/>
        <v>0.97020468939613003</v>
      </c>
      <c r="S242" s="919">
        <f t="shared" si="82"/>
        <v>0</v>
      </c>
      <c r="T242" s="176">
        <f t="shared" si="83"/>
        <v>6</v>
      </c>
      <c r="U242" s="251">
        <f t="shared" si="84"/>
        <v>0.97020468939613003</v>
      </c>
      <c r="V242" s="383">
        <f t="shared" si="85"/>
        <v>49.308495214517158</v>
      </c>
      <c r="W242" s="402">
        <f t="shared" si="86"/>
        <v>35.007362027780189</v>
      </c>
      <c r="X242" s="157">
        <f t="shared" si="87"/>
        <v>45154</v>
      </c>
      <c r="Y242" s="385">
        <f t="shared" si="88"/>
        <v>31.525401861217869</v>
      </c>
      <c r="Z242" s="385">
        <f t="shared" si="89"/>
        <v>32.872942138311551</v>
      </c>
      <c r="AA242" s="386">
        <f t="shared" si="90"/>
        <v>37.38143925992614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0.1206079062463444</v>
      </c>
      <c r="AD242" s="231">
        <f>(INDEX(Models!$BJ242:$BT242,,AH242)*(1-AF242)+INDEX(Models!$BJ242:$BT242,,AH242+1)*AF242-ERP_i)*AE242*Ramure*Pc/MaxiM</f>
        <v>1.9993627662018309E-3</v>
      </c>
      <c r="AE242" s="305">
        <f t="shared" si="92"/>
        <v>0.7</v>
      </c>
      <c r="AF242" s="177">
        <f t="shared" si="93"/>
        <v>0.97020468939613003</v>
      </c>
      <c r="AG242" s="919">
        <f t="shared" si="99"/>
        <v>0</v>
      </c>
      <c r="AH242" s="176">
        <f t="shared" si="94"/>
        <v>6</v>
      </c>
      <c r="AI242" s="225">
        <f t="shared" si="95"/>
        <v>0.97020468939613003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1090">
        <f>IF(t&gt;Tmaj,'2022'!Wh/'2022'!Env_an*'2023'!Env_an,0.001*'[10]mon-tableau (1)'!$B$54)</f>
        <v>25.554272018012252</v>
      </c>
      <c r="C243" s="953"/>
      <c r="D243" s="393">
        <f t="shared" si="77"/>
        <v>26.647162458317354</v>
      </c>
      <c r="E243" s="385">
        <f t="shared" si="100"/>
        <v>27.291518979168469</v>
      </c>
      <c r="F243" s="385">
        <f t="shared" si="78"/>
        <v>27.30783507340459</v>
      </c>
      <c r="G243" s="110">
        <f t="shared" si="101"/>
        <v>0.51872520821126356</v>
      </c>
      <c r="H243" s="412" t="b">
        <f>Wh_hp&gt;='2022'!Maxi_hp</f>
        <v>0</v>
      </c>
      <c r="I243" s="390">
        <f>IF(H243,Wh_hp,'2022'!Maxi_hp)</f>
        <v>51.890414604753857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4.1013389024615599E-2</v>
      </c>
      <c r="M243" s="957"/>
      <c r="N243" s="957"/>
      <c r="O243" s="48">
        <f>IF(t&lt;Tnet,'2022'!Resal+('2022'!Salim-'2022'!Resal)*(1-EXP(('2022'!Tnet-t)/('2022'!Tau_j))),Resal+(Salim-Resal)*(1-EXP((Tnet-t)/(Tau_j))))*Salcycl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1.9062492092293258E-3</v>
      </c>
      <c r="Q243" s="305">
        <f t="shared" si="80"/>
        <v>0.7</v>
      </c>
      <c r="R243" s="177">
        <f t="shared" si="81"/>
        <v>0.97134291543098272</v>
      </c>
      <c r="S243" s="919">
        <f t="shared" si="82"/>
        <v>0</v>
      </c>
      <c r="T243" s="176">
        <f t="shared" si="83"/>
        <v>6</v>
      </c>
      <c r="U243" s="251">
        <f t="shared" si="84"/>
        <v>0.97134291543098272</v>
      </c>
      <c r="V243" s="383">
        <f t="shared" si="85"/>
        <v>49.199088786455889</v>
      </c>
      <c r="W243" s="402">
        <f t="shared" si="86"/>
        <v>25.554272018012252</v>
      </c>
      <c r="X243" s="157">
        <f t="shared" si="87"/>
        <v>45155</v>
      </c>
      <c r="Y243" s="385">
        <f t="shared" si="88"/>
        <v>23.015050113540909</v>
      </c>
      <c r="Z243" s="385">
        <f t="shared" si="89"/>
        <v>23.999344568671635</v>
      </c>
      <c r="AA243" s="386">
        <f t="shared" si="90"/>
        <v>27.291518979168469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0.12062994415993264</v>
      </c>
      <c r="AD243" s="231">
        <f>(INDEX(Models!$BJ243:$BT243,,AH243)*(1-AF243)+INDEX(Models!$BJ243:$BT243,,AH243+1)*AF243-ERP_i)*AE243*Ramure*Pc/MaxiM</f>
        <v>1.9062492092293258E-3</v>
      </c>
      <c r="AE243" s="305">
        <f t="shared" si="92"/>
        <v>0.7</v>
      </c>
      <c r="AF243" s="177">
        <f t="shared" si="93"/>
        <v>0.97134291543098272</v>
      </c>
      <c r="AG243" s="919">
        <f t="shared" si="99"/>
        <v>0</v>
      </c>
      <c r="AH243" s="176">
        <f t="shared" si="94"/>
        <v>6</v>
      </c>
      <c r="AI243" s="225">
        <f t="shared" si="95"/>
        <v>0.97134291543098272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1090">
        <f>IF(t&gt;Tmaj,'2022'!Wh/'2022'!Env_an*'2023'!Env_an,0.001*'[10]mon-tableau (1)'!$B$55)</f>
        <v>33.999294426156332</v>
      </c>
      <c r="C244" s="953"/>
      <c r="D244" s="393">
        <f t="shared" si="77"/>
        <v>35.454133274801748</v>
      </c>
      <c r="E244" s="385">
        <f t="shared" si="100"/>
        <v>36.316298045307107</v>
      </c>
      <c r="F244" s="385">
        <f t="shared" si="78"/>
        <v>36.353357607479488</v>
      </c>
      <c r="G244" s="110">
        <f t="shared" si="101"/>
        <v>0.69204412079060851</v>
      </c>
      <c r="H244" s="412" t="b">
        <f>Wh_hp&gt;='2022'!Maxi_hp</f>
        <v>0</v>
      </c>
      <c r="I244" s="390">
        <f>IF(H244,Wh_hp,'2022'!Maxi_hp)</f>
        <v>49.183966953911138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4.1034393292570304E-2</v>
      </c>
      <c r="M244" s="957"/>
      <c r="N244" s="957"/>
      <c r="O244" s="48">
        <f>IF(t&lt;Tnet,'2022'!Resal+('2022'!Salim-'2022'!Resal)*(1-EXP(('2022'!Tnet-t)/('2022'!Tau_j))),Resal+(Salim-Resal)*(1-EXP((Tnet-t)/(Tau_j))))*Salcycl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1.8176331819556211E-3</v>
      </c>
      <c r="Q244" s="305">
        <f t="shared" si="80"/>
        <v>0.7</v>
      </c>
      <c r="R244" s="177">
        <f t="shared" si="81"/>
        <v>0.97244050023579631</v>
      </c>
      <c r="S244" s="919">
        <f t="shared" si="82"/>
        <v>0</v>
      </c>
      <c r="T244" s="176">
        <f t="shared" si="83"/>
        <v>6</v>
      </c>
      <c r="U244" s="251">
        <f t="shared" si="84"/>
        <v>0.97244050023579631</v>
      </c>
      <c r="V244" s="383">
        <f t="shared" si="85"/>
        <v>49.089541020035924</v>
      </c>
      <c r="W244" s="402">
        <f t="shared" si="86"/>
        <v>33.999294426156332</v>
      </c>
      <c r="X244" s="157">
        <f t="shared" si="87"/>
        <v>45156</v>
      </c>
      <c r="Y244" s="385">
        <f t="shared" si="88"/>
        <v>30.624257697754892</v>
      </c>
      <c r="Z244" s="385">
        <f t="shared" si="89"/>
        <v>31.934677827395774</v>
      </c>
      <c r="AA244" s="386">
        <f t="shared" si="90"/>
        <v>36.316298045307107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0.12065162072535474</v>
      </c>
      <c r="AD244" s="231">
        <f>(INDEX(Models!$BJ244:$BT244,,AH244)*(1-AF244)+INDEX(Models!$BJ244:$BT244,,AH244+1)*AF244-ERP_i)*AE244*Ramure*Pc/MaxiM</f>
        <v>1.8176331819556211E-3</v>
      </c>
      <c r="AE244" s="305">
        <f t="shared" si="92"/>
        <v>0.7</v>
      </c>
      <c r="AF244" s="177">
        <f t="shared" si="93"/>
        <v>0.97244050023579631</v>
      </c>
      <c r="AG244" s="919">
        <f t="shared" si="99"/>
        <v>0</v>
      </c>
      <c r="AH244" s="176">
        <f t="shared" si="94"/>
        <v>6</v>
      </c>
      <c r="AI244" s="225">
        <f t="shared" si="95"/>
        <v>0.97244050023579631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1090">
        <f>IF(t&gt;Tmaj,'2022'!Wh/'2022'!Env_an*'2023'!Env_an,0.001*'[10]mon-tableau (1)'!$B$56)</f>
        <v>34.693497988891167</v>
      </c>
      <c r="C245" s="953"/>
      <c r="D245" s="393">
        <f t="shared" si="77"/>
        <v>36.178834401893312</v>
      </c>
      <c r="E245" s="385">
        <f t="shared" si="100"/>
        <v>37.063560637240307</v>
      </c>
      <c r="F245" s="385">
        <f t="shared" si="78"/>
        <v>37.101077375768647</v>
      </c>
      <c r="G245" s="110">
        <f t="shared" si="101"/>
        <v>0.70780845155475813</v>
      </c>
      <c r="H245" s="412" t="b">
        <f>Wh_hp&gt;='2022'!Maxi_hp</f>
        <v>0</v>
      </c>
      <c r="I245" s="390">
        <f>IF(H245,Wh_hp,'2022'!Maxi_hp)</f>
        <v>49.967163493960541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4.1055397100477453E-2</v>
      </c>
      <c r="M245" s="957"/>
      <c r="N245" s="957"/>
      <c r="O245" s="48">
        <f>IF(t&lt;Tnet,'2022'!Resal+('2022'!Salim-'2022'!Resal)*(1-EXP(('2022'!Tnet-t)/('2022'!Tau_j))),Resal+(Salim-Resal)*(1-EXP((Tnet-t)/(Tau_j))))*Salcycl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1.7335456551175192E-3</v>
      </c>
      <c r="Q245" s="305">
        <f t="shared" si="80"/>
        <v>0.7</v>
      </c>
      <c r="R245" s="177">
        <f t="shared" si="81"/>
        <v>0.97349870428523566</v>
      </c>
      <c r="S245" s="919">
        <f t="shared" si="82"/>
        <v>0</v>
      </c>
      <c r="T245" s="176">
        <f t="shared" si="83"/>
        <v>6</v>
      </c>
      <c r="U245" s="251">
        <f t="shared" si="84"/>
        <v>0.97349870428523566</v>
      </c>
      <c r="V245" s="383">
        <f t="shared" si="85"/>
        <v>48.97993513488246</v>
      </c>
      <c r="W245" s="402">
        <f t="shared" si="86"/>
        <v>34.693497988891167</v>
      </c>
      <c r="X245" s="157">
        <f t="shared" si="87"/>
        <v>45157</v>
      </c>
      <c r="Y245" s="385">
        <f t="shared" si="88"/>
        <v>31.252956287382592</v>
      </c>
      <c r="Z245" s="385">
        <f t="shared" si="89"/>
        <v>32.590992423216392</v>
      </c>
      <c r="AA245" s="386">
        <f t="shared" si="90"/>
        <v>37.063560637240307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0.12067292340849793</v>
      </c>
      <c r="AD245" s="231">
        <f>(INDEX(Models!$BJ245:$BT245,,AH245)*(1-AF245)+INDEX(Models!$BJ245:$BT245,,AH245+1)*AF245-ERP_i)*AE245*Ramure*Pc/MaxiM</f>
        <v>1.7335456551175192E-3</v>
      </c>
      <c r="AE245" s="305">
        <f t="shared" si="92"/>
        <v>0.7</v>
      </c>
      <c r="AF245" s="177">
        <f t="shared" si="93"/>
        <v>0.97349870428523566</v>
      </c>
      <c r="AG245" s="919">
        <f t="shared" si="99"/>
        <v>0</v>
      </c>
      <c r="AH245" s="176">
        <f t="shared" si="94"/>
        <v>6</v>
      </c>
      <c r="AI245" s="225">
        <f t="shared" si="95"/>
        <v>0.97349870428523566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1090">
        <f>IF(t&gt;Tmaj,'2022'!Wh/'2022'!Env_an*'2023'!Env_an,0.001*'[10]mon-tableau (1)'!$B$57)</f>
        <v>48.933667417988204</v>
      </c>
      <c r="C246" s="953"/>
      <c r="D246" s="393">
        <f t="shared" si="77"/>
        <v>51.029787400025697</v>
      </c>
      <c r="E246" s="385">
        <f t="shared" si="100"/>
        <v>52.284637831966222</v>
      </c>
      <c r="F246" s="385">
        <f t="shared" si="78"/>
        <v>52.371260826132861</v>
      </c>
      <c r="G246" s="110">
        <f t="shared" si="101"/>
        <v>1.0012955313911678</v>
      </c>
      <c r="H246" s="412" t="b">
        <f>Wh_hp&gt;='2022'!Maxi_hp</f>
        <v>0</v>
      </c>
      <c r="I246" s="390">
        <f>IF(H246,Wh_hp,'2022'!Maxi_hp)</f>
        <v>52.544338316202321</v>
      </c>
      <c r="J246" s="85">
        <f>IF(H246,An,'2022'!An_max)</f>
        <v>2021</v>
      </c>
      <c r="K246" s="197">
        <f t="shared" si="79"/>
        <v>45158</v>
      </c>
      <c r="L246" s="147">
        <f>IF(t&lt;Tvie,1-EXP((T0-t)*PertePVj)+'2022'!Pspv,1-EXP((T0-t)*PertePVj)+Pspv)</f>
        <v>4.1076400448347483E-2</v>
      </c>
      <c r="M246" s="957"/>
      <c r="N246" s="957"/>
      <c r="O246" s="48">
        <f>IF(t&lt;Tnet,'2022'!Resal+('2022'!Salim-'2022'!Resal)*(1-EXP(('2022'!Tnet-t)/('2022'!Tau_j))),Resal+(Salim-Resal)*(1-EXP((Tnet-t)/(Tau_j))))*Salcycl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1.6540177341579272E-3</v>
      </c>
      <c r="Q246" s="305">
        <f t="shared" si="80"/>
        <v>0.7</v>
      </c>
      <c r="R246" s="177">
        <f t="shared" si="81"/>
        <v>0.97451876335452092</v>
      </c>
      <c r="S246" s="919">
        <f t="shared" si="82"/>
        <v>0</v>
      </c>
      <c r="T246" s="176">
        <f t="shared" si="83"/>
        <v>6</v>
      </c>
      <c r="U246" s="251">
        <f t="shared" si="84"/>
        <v>0.97451876335452092</v>
      </c>
      <c r="V246" s="383">
        <f t="shared" si="85"/>
        <v>48.870354339843445</v>
      </c>
      <c r="W246" s="402">
        <f t="shared" si="86"/>
        <v>48.933667417988204</v>
      </c>
      <c r="X246" s="157">
        <f t="shared" si="87"/>
        <v>45158</v>
      </c>
      <c r="Y246" s="385">
        <f t="shared" si="88"/>
        <v>44.085749359060941</v>
      </c>
      <c r="Z246" s="385">
        <f t="shared" si="89"/>
        <v>45.974204180263534</v>
      </c>
      <c r="AA246" s="386">
        <f t="shared" si="90"/>
        <v>52.284637831966222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0.12069383882859298</v>
      </c>
      <c r="AD246" s="231">
        <f>(INDEX(Models!$BJ246:$BT246,,AH246)*(1-AF246)+INDEX(Models!$BJ246:$BT246,,AH246+1)*AF246-ERP_i)*AE246*Ramure*Pc/MaxiM</f>
        <v>1.6540177341579272E-3</v>
      </c>
      <c r="AE246" s="305">
        <f t="shared" si="92"/>
        <v>0.7</v>
      </c>
      <c r="AF246" s="177">
        <f t="shared" si="93"/>
        <v>0.97451876335452092</v>
      </c>
      <c r="AG246" s="919">
        <f t="shared" si="99"/>
        <v>0</v>
      </c>
      <c r="AH246" s="176">
        <f t="shared" si="94"/>
        <v>6</v>
      </c>
      <c r="AI246" s="225">
        <f t="shared" si="95"/>
        <v>0.97451876335452092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1090">
        <f>IF(t&gt;Tmaj,'2022'!Wh/'2022'!Env_an*'2023'!Env_an,0.001*'[10]mon-tableau (1)'!$B$58)</f>
        <v>32.518621700880274</v>
      </c>
      <c r="C247" s="953"/>
      <c r="D247" s="393">
        <f t="shared" si="77"/>
        <v>33.912330422316359</v>
      </c>
      <c r="E247" s="385">
        <f t="shared" si="100"/>
        <v>34.750868487453985</v>
      </c>
      <c r="F247" s="385">
        <f t="shared" si="78"/>
        <v>34.779652990240052</v>
      </c>
      <c r="G247" s="110">
        <f t="shared" si="101"/>
        <v>0.66638722446823828</v>
      </c>
      <c r="H247" s="412" t="b">
        <f>Wh_hp&gt;='2022'!Maxi_hp</f>
        <v>0</v>
      </c>
      <c r="I247" s="390">
        <f>IF(H247,Wh_hp,'2022'!Maxi_hp)</f>
        <v>51.773522913939907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4.1097403336190164E-2</v>
      </c>
      <c r="M247" s="957"/>
      <c r="N247" s="957"/>
      <c r="O247" s="48">
        <f>IF(t&lt;Tnet,'2022'!Resal+('2022'!Salim-'2022'!Resal)*(1-EXP(('2022'!Tnet-t)/('2022'!Tau_j))),Resal+(Salim-Resal)*(1-EXP((Tnet-t)/(Tau_j))))*Salcycl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1.5790545049721592E-3</v>
      </c>
      <c r="Q247" s="305">
        <f t="shared" si="80"/>
        <v>0.7</v>
      </c>
      <c r="R247" s="177">
        <f t="shared" si="81"/>
        <v>0.97550188783818514</v>
      </c>
      <c r="S247" s="919">
        <f t="shared" si="82"/>
        <v>0</v>
      </c>
      <c r="T247" s="176">
        <f t="shared" si="83"/>
        <v>6</v>
      </c>
      <c r="U247" s="251">
        <f t="shared" si="84"/>
        <v>0.97550188783818514</v>
      </c>
      <c r="V247" s="383">
        <f t="shared" si="85"/>
        <v>48.761688112837277</v>
      </c>
      <c r="W247" s="402">
        <f t="shared" si="86"/>
        <v>32.518621700880274</v>
      </c>
      <c r="X247" s="157">
        <f t="shared" si="87"/>
        <v>45159</v>
      </c>
      <c r="Y247" s="385">
        <f t="shared" si="88"/>
        <v>29.300170101769709</v>
      </c>
      <c r="Z247" s="385">
        <f t="shared" si="89"/>
        <v>30.55593988764879</v>
      </c>
      <c r="AA247" s="386">
        <f t="shared" si="90"/>
        <v>34.750868487453985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0.12071435283177681</v>
      </c>
      <c r="AD247" s="231">
        <f>(INDEX(Models!$BJ247:$BT247,,AH247)*(1-AF247)+INDEX(Models!$BJ247:$BT247,,AH247+1)*AF247-ERP_i)*AE247*Ramure*Pc/MaxiM</f>
        <v>1.5790545049721592E-3</v>
      </c>
      <c r="AE247" s="305">
        <f t="shared" si="92"/>
        <v>0.7</v>
      </c>
      <c r="AF247" s="177">
        <f t="shared" si="93"/>
        <v>0.97550188783818514</v>
      </c>
      <c r="AG247" s="919">
        <f t="shared" si="99"/>
        <v>0</v>
      </c>
      <c r="AH247" s="176">
        <f t="shared" si="94"/>
        <v>6</v>
      </c>
      <c r="AI247" s="225">
        <f t="shared" si="95"/>
        <v>0.97550188783818514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1090">
        <f>IF(t&gt;Tmaj,'2022'!Wh/'2022'!Env_an*'2023'!Env_an,0.001*'[10]mon-tableau (1)'!$B$59)</f>
        <v>23.279476339862089</v>
      </c>
      <c r="C248" s="953"/>
      <c r="D248" s="393">
        <f t="shared" si="77"/>
        <v>24.277738231497356</v>
      </c>
      <c r="E248" s="385">
        <f t="shared" si="100"/>
        <v>24.881344183329414</v>
      </c>
      <c r="F248" s="385">
        <f t="shared" si="78"/>
        <v>24.890939691221647</v>
      </c>
      <c r="G248" s="110">
        <f t="shared" si="101"/>
        <v>0.47792782701174685</v>
      </c>
      <c r="H248" s="412" t="b">
        <f>Wh_hp&gt;='2022'!Maxi_hp</f>
        <v>0</v>
      </c>
      <c r="I248" s="390">
        <f>IF(H248,Wh_hp,'2022'!Maxi_hp)</f>
        <v>53.717329476513434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4.1118405764015709E-2</v>
      </c>
      <c r="M248" s="957"/>
      <c r="N248" s="957"/>
      <c r="O248" s="48">
        <f>IF(t&lt;Tnet,'2022'!Resal+('2022'!Salim-'2022'!Resal)*(1-EXP(('2022'!Tnet-t)/('2022'!Tau_j))),Resal+(Salim-Resal)*(1-EXP((Tnet-t)/(Tau_j))))*Salcycl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1.5120517844275294E-3</v>
      </c>
      <c r="Q248" s="305">
        <f t="shared" si="80"/>
        <v>0.7</v>
      </c>
      <c r="R248" s="177">
        <f t="shared" si="81"/>
        <v>0.97644926218980355</v>
      </c>
      <c r="S248" s="919">
        <f t="shared" si="82"/>
        <v>0</v>
      </c>
      <c r="T248" s="176">
        <f t="shared" si="83"/>
        <v>6</v>
      </c>
      <c r="U248" s="251">
        <f t="shared" si="84"/>
        <v>0.97644926218980355</v>
      </c>
      <c r="V248" s="383">
        <f t="shared" si="85"/>
        <v>48.65429343825182</v>
      </c>
      <c r="W248" s="402">
        <f t="shared" si="86"/>
        <v>23.279476339862089</v>
      </c>
      <c r="X248" s="157">
        <f t="shared" si="87"/>
        <v>45160</v>
      </c>
      <c r="Y248" s="385">
        <f t="shared" si="88"/>
        <v>20.977748705559339</v>
      </c>
      <c r="Z248" s="385">
        <f t="shared" si="89"/>
        <v>21.877308764356819</v>
      </c>
      <c r="AA248" s="386">
        <f t="shared" si="90"/>
        <v>24.881344183329414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0.12073445055212526</v>
      </c>
      <c r="AD248" s="231">
        <f>(INDEX(Models!$BJ248:$BT248,,AH248)*(1-AF248)+INDEX(Models!$BJ248:$BT248,,AH248+1)*AF248-ERP_i)*AE248*Ramure*Pc/MaxiM</f>
        <v>1.5120517844275294E-3</v>
      </c>
      <c r="AE248" s="305">
        <f t="shared" si="92"/>
        <v>0.7</v>
      </c>
      <c r="AF248" s="177">
        <f t="shared" si="93"/>
        <v>0.97644926218980355</v>
      </c>
      <c r="AG248" s="919">
        <f t="shared" si="99"/>
        <v>0</v>
      </c>
      <c r="AH248" s="176">
        <f t="shared" si="94"/>
        <v>6</v>
      </c>
      <c r="AI248" s="225">
        <f t="shared" si="95"/>
        <v>0.97644926218980355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1090">
        <f>IF(t&gt;Tmaj,'2022'!Wh/'2022'!Env_an*'2023'!Env_an,0.001*'[10]mon-tableau (1)'!$B$60)</f>
        <v>45.168448829899518</v>
      </c>
      <c r="C249" s="953"/>
      <c r="D249" s="393">
        <f t="shared" si="77"/>
        <v>47.106377292088361</v>
      </c>
      <c r="E249" s="385">
        <f t="shared" si="100"/>
        <v>48.283951980154256</v>
      </c>
      <c r="F249" s="385">
        <f t="shared" si="78"/>
        <v>48.347139261808444</v>
      </c>
      <c r="G249" s="110">
        <f t="shared" si="101"/>
        <v>0.93025700354503815</v>
      </c>
      <c r="H249" s="412" t="b">
        <f>Wh_hp&gt;='2022'!Maxi_hp</f>
        <v>0</v>
      </c>
      <c r="I249" s="390">
        <f>IF(H249,Wh_hp,'2022'!Maxi_hp)</f>
        <v>51.339633290441888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4.1139407731834221E-2</v>
      </c>
      <c r="M249" s="957"/>
      <c r="N249" s="957"/>
      <c r="O249" s="48">
        <f>IF(t&lt;Tnet,'2022'!Resal+('2022'!Salim-'2022'!Resal)*(1-EXP(('2022'!Tnet-t)/('2022'!Tau_j))),Resal+(Salim-Resal)*(1-EXP((Tnet-t)/(Tau_j))))*Salcycl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1.4512646518599825E-3</v>
      </c>
      <c r="Q249" s="305">
        <f t="shared" si="80"/>
        <v>0.7</v>
      </c>
      <c r="R249" s="177">
        <f t="shared" si="81"/>
        <v>0.97736204447418973</v>
      </c>
      <c r="S249" s="919">
        <f t="shared" si="82"/>
        <v>0</v>
      </c>
      <c r="T249" s="176">
        <f t="shared" si="83"/>
        <v>6</v>
      </c>
      <c r="U249" s="251">
        <f t="shared" si="84"/>
        <v>0.97736204447418973</v>
      </c>
      <c r="V249" s="383">
        <f t="shared" si="85"/>
        <v>48.54779017748649</v>
      </c>
      <c r="W249" s="402">
        <f t="shared" si="86"/>
        <v>45.168448829899518</v>
      </c>
      <c r="X249" s="157">
        <f t="shared" si="87"/>
        <v>45161</v>
      </c>
      <c r="Y249" s="385">
        <f t="shared" si="88"/>
        <v>40.706955571392449</v>
      </c>
      <c r="Z249" s="385">
        <f t="shared" si="89"/>
        <v>42.453466019602445</v>
      </c>
      <c r="AA249" s="386">
        <f t="shared" si="90"/>
        <v>48.283951980154256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0.120754116459818</v>
      </c>
      <c r="AD249" s="231">
        <f>(INDEX(Models!$BJ249:$BT249,,AH249)*(1-AF249)+INDEX(Models!$BJ249:$BT249,,AH249+1)*AF249-ERP_i)*AE249*Ramure*Pc/MaxiM</f>
        <v>1.4512646518599825E-3</v>
      </c>
      <c r="AE249" s="305">
        <f t="shared" si="92"/>
        <v>0.7</v>
      </c>
      <c r="AF249" s="177">
        <f t="shared" si="93"/>
        <v>0.97736204447418973</v>
      </c>
      <c r="AG249" s="919">
        <f t="shared" si="99"/>
        <v>0</v>
      </c>
      <c r="AH249" s="176">
        <f t="shared" si="94"/>
        <v>6</v>
      </c>
      <c r="AI249" s="225">
        <f t="shared" si="95"/>
        <v>0.97736204447418973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1090">
        <f>IF(t&gt;Tmaj,'2022'!Wh/'2022'!Env_an*'2023'!Env_an,0.001*'[10]mon-tableau (1)'!$B$61)</f>
        <v>46.627260048826955</v>
      </c>
      <c r="C250" s="953"/>
      <c r="D250" s="393">
        <f t="shared" si="77"/>
        <v>48.628843133033648</v>
      </c>
      <c r="E250" s="385">
        <f t="shared" si="100"/>
        <v>49.851063745052336</v>
      </c>
      <c r="F250" s="385">
        <f t="shared" si="78"/>
        <v>49.917054683075456</v>
      </c>
      <c r="G250" s="110">
        <f t="shared" si="101"/>
        <v>0.96247160674306542</v>
      </c>
      <c r="H250" s="412" t="b">
        <f>Wh_hp&gt;='2022'!Maxi_hp</f>
        <v>0</v>
      </c>
      <c r="I250" s="390">
        <f>IF(H250,Wh_hp,'2022'!Maxi_hp)</f>
        <v>51.228164501997107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4.1160409239655804E-2</v>
      </c>
      <c r="M250" s="957"/>
      <c r="N250" s="957"/>
      <c r="O250" s="48">
        <f>IF(t&lt;Tnet,'2022'!Resal+('2022'!Salim-'2022'!Resal)*(1-EXP(('2022'!Tnet-t)/('2022'!Tau_j))),Resal+(Salim-Resal)*(1-EXP((Tnet-t)/(Tau_j))))*Salcycl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1.3967507047368966E-3</v>
      </c>
      <c r="Q250" s="305">
        <f t="shared" si="80"/>
        <v>0.7</v>
      </c>
      <c r="R250" s="177">
        <f t="shared" si="81"/>
        <v>0.97824136602385403</v>
      </c>
      <c r="S250" s="919">
        <f t="shared" si="82"/>
        <v>0</v>
      </c>
      <c r="T250" s="176">
        <f t="shared" si="83"/>
        <v>6</v>
      </c>
      <c r="U250" s="251">
        <f t="shared" si="84"/>
        <v>0.97824136602385403</v>
      </c>
      <c r="V250" s="383">
        <f t="shared" si="85"/>
        <v>48.441710115115512</v>
      </c>
      <c r="W250" s="402">
        <f t="shared" si="86"/>
        <v>46.627260048826955</v>
      </c>
      <c r="X250" s="157">
        <f t="shared" si="87"/>
        <v>45162</v>
      </c>
      <c r="Y250" s="385">
        <f t="shared" si="88"/>
        <v>42.026307988011517</v>
      </c>
      <c r="Z250" s="385">
        <f t="shared" si="89"/>
        <v>43.830384553359274</v>
      </c>
      <c r="AA250" s="386">
        <f t="shared" si="90"/>
        <v>49.851063745052336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0.12077333439631181</v>
      </c>
      <c r="AD250" s="231">
        <f>(INDEX(Models!$BJ250:$BT250,,AH250)*(1-AF250)+INDEX(Models!$BJ250:$BT250,,AH250+1)*AF250-ERP_i)*AE250*Ramure*Pc/MaxiM</f>
        <v>1.3967507047368966E-3</v>
      </c>
      <c r="AE250" s="305">
        <f t="shared" si="92"/>
        <v>0.7</v>
      </c>
      <c r="AF250" s="177">
        <f t="shared" si="93"/>
        <v>0.97824136602385403</v>
      </c>
      <c r="AG250" s="919">
        <f t="shared" si="99"/>
        <v>0</v>
      </c>
      <c r="AH250" s="176">
        <f t="shared" si="94"/>
        <v>6</v>
      </c>
      <c r="AI250" s="225">
        <f t="shared" si="95"/>
        <v>0.97824136602385403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1090">
        <f>IF(t&gt;Tmaj,'2022'!Wh/'2022'!Env_an*'2023'!Env_an,0.001*'[10]mon-tableau (1)'!$B$62)</f>
        <v>30.110235363131149</v>
      </c>
      <c r="C251" s="953"/>
      <c r="D251" s="393">
        <f t="shared" si="77"/>
        <v>31.40347474088852</v>
      </c>
      <c r="E251" s="385">
        <f t="shared" si="100"/>
        <v>32.197005629136839</v>
      </c>
      <c r="F251" s="385">
        <f t="shared" si="78"/>
        <v>32.217049568854875</v>
      </c>
      <c r="G251" s="110">
        <f t="shared" si="101"/>
        <v>0.62248856822964926</v>
      </c>
      <c r="H251" s="412" t="b">
        <f>Wh_hp&gt;='2022'!Maxi_hp</f>
        <v>0</v>
      </c>
      <c r="I251" s="390">
        <f>IF(H251,Wh_hp,'2022'!Maxi_hp)</f>
        <v>50.680972332086561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4.1181410287490339E-2</v>
      </c>
      <c r="M251" s="957"/>
      <c r="N251" s="957"/>
      <c r="O251" s="48">
        <f>IF(t&lt;Tnet,'2022'!Resal+('2022'!Salim-'2022'!Resal)*(1-EXP(('2022'!Tnet-t)/('2022'!Tau_j))),Resal+(Salim-Resal)*(1-EXP((Tnet-t)/(Tau_j))))*Salcycl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1.3485643997221165E-3</v>
      </c>
      <c r="Q251" s="305">
        <f t="shared" si="80"/>
        <v>0.7</v>
      </c>
      <c r="R251" s="177">
        <f t="shared" si="81"/>
        <v>0.97908833119181859</v>
      </c>
      <c r="S251" s="919">
        <f t="shared" si="82"/>
        <v>0</v>
      </c>
      <c r="T251" s="176">
        <f t="shared" si="83"/>
        <v>6</v>
      </c>
      <c r="U251" s="251">
        <f t="shared" si="84"/>
        <v>0.97908833119181859</v>
      </c>
      <c r="V251" s="383">
        <f t="shared" si="85"/>
        <v>48.335585373607174</v>
      </c>
      <c r="W251" s="402">
        <f t="shared" si="86"/>
        <v>30.110235363131149</v>
      </c>
      <c r="X251" s="157">
        <f t="shared" si="87"/>
        <v>45163</v>
      </c>
      <c r="Y251" s="385">
        <f t="shared" si="88"/>
        <v>27.14210442113254</v>
      </c>
      <c r="Z251" s="385">
        <f t="shared" si="89"/>
        <v>28.307862104833383</v>
      </c>
      <c r="AA251" s="386">
        <f t="shared" si="90"/>
        <v>32.197005629136839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0.12079208759661668</v>
      </c>
      <c r="AD251" s="231">
        <f>(INDEX(Models!$BJ251:$BT251,,AH251)*(1-AF251)+INDEX(Models!$BJ251:$BT251,,AH251+1)*AF251-ERP_i)*AE251*Ramure*Pc/MaxiM</f>
        <v>1.3485643997221165E-3</v>
      </c>
      <c r="AE251" s="305">
        <f t="shared" si="92"/>
        <v>0.7</v>
      </c>
      <c r="AF251" s="177">
        <f t="shared" si="93"/>
        <v>0.97908833119181859</v>
      </c>
      <c r="AG251" s="919">
        <f t="shared" si="99"/>
        <v>0</v>
      </c>
      <c r="AH251" s="176">
        <f t="shared" si="94"/>
        <v>6</v>
      </c>
      <c r="AI251" s="225">
        <f t="shared" si="95"/>
        <v>0.97908833119181859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1090">
        <f>IF(t&gt;Tmaj,'2022'!Wh/'2022'!Env_an*'2023'!Env_an,0.001*'[10]mon-tableau (1)'!$B$63)</f>
        <v>41.347704704900529</v>
      </c>
      <c r="C252" s="953"/>
      <c r="D252" s="393">
        <f t="shared" si="77"/>
        <v>43.124539708792462</v>
      </c>
      <c r="E252" s="385">
        <f t="shared" si="100"/>
        <v>44.2200708684177</v>
      </c>
      <c r="F252" s="385">
        <f t="shared" si="78"/>
        <v>44.266125541722552</v>
      </c>
      <c r="G252" s="110">
        <f t="shared" si="101"/>
        <v>0.85709271097786099</v>
      </c>
      <c r="H252" s="412" t="b">
        <f>Wh_hp&gt;='2022'!Maxi_hp</f>
        <v>0</v>
      </c>
      <c r="I252" s="390">
        <f>IF(H252,Wh_hp,'2022'!Maxi_hp)</f>
        <v>53.637175533284911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4.120241087534815E-2</v>
      </c>
      <c r="M252" s="957"/>
      <c r="N252" s="957"/>
      <c r="O252" s="48">
        <f>IF(t&lt;Tnet,'2022'!Resal+('2022'!Salim-'2022'!Resal)*(1-EXP(('2022'!Tnet-t)/('2022'!Tau_j))),Resal+(Salim-Resal)*(1-EXP((Tnet-t)/(Tau_j))))*Salcycl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1.3067562764515759E-3</v>
      </c>
      <c r="Q252" s="305">
        <f t="shared" si="80"/>
        <v>0.7</v>
      </c>
      <c r="R252" s="177">
        <f t="shared" si="81"/>
        <v>0.97990401719322229</v>
      </c>
      <c r="S252" s="919">
        <f t="shared" si="82"/>
        <v>0</v>
      </c>
      <c r="T252" s="176">
        <f t="shared" si="83"/>
        <v>6</v>
      </c>
      <c r="U252" s="251">
        <f t="shared" si="84"/>
        <v>0.97990401719322229</v>
      </c>
      <c r="V252" s="383">
        <f t="shared" si="85"/>
        <v>48.228948476855003</v>
      </c>
      <c r="W252" s="402">
        <f t="shared" si="86"/>
        <v>41.347704704900529</v>
      </c>
      <c r="X252" s="157">
        <f t="shared" si="87"/>
        <v>45164</v>
      </c>
      <c r="Y252" s="385">
        <f t="shared" si="88"/>
        <v>37.275967991813481</v>
      </c>
      <c r="Z252" s="385">
        <f t="shared" si="89"/>
        <v>38.877828245109704</v>
      </c>
      <c r="AA252" s="386">
        <f t="shared" si="90"/>
        <v>44.2200708684177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0.12081035869898309</v>
      </c>
      <c r="AD252" s="231">
        <f>(INDEX(Models!$BJ252:$BT252,,AH252)*(1-AF252)+INDEX(Models!$BJ252:$BT252,,AH252+1)*AF252-ERP_i)*AE252*Ramure*Pc/MaxiM</f>
        <v>1.3067562764515759E-3</v>
      </c>
      <c r="AE252" s="305">
        <f t="shared" si="92"/>
        <v>0.7</v>
      </c>
      <c r="AF252" s="177">
        <f t="shared" si="93"/>
        <v>0.97990401719322229</v>
      </c>
      <c r="AG252" s="919">
        <f t="shared" si="99"/>
        <v>0</v>
      </c>
      <c r="AH252" s="176">
        <f t="shared" si="94"/>
        <v>6</v>
      </c>
      <c r="AI252" s="225">
        <f t="shared" si="95"/>
        <v>0.97990401719322229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1090">
        <f>IF(t&gt;Tmaj,'2022'!Wh/'2022'!Env_an*'2023'!Env_an,0.001*'[10]mon-tableau (1)'!$B$64)</f>
        <v>46.447871203820647</v>
      </c>
      <c r="C253" s="953"/>
      <c r="D253" s="393">
        <f t="shared" si="77"/>
        <v>48.444936742168998</v>
      </c>
      <c r="E253" s="385">
        <f t="shared" si="100"/>
        <v>49.682155659626119</v>
      </c>
      <c r="F253" s="385">
        <f t="shared" si="78"/>
        <v>49.74225489052926</v>
      </c>
      <c r="G253" s="110">
        <f t="shared" si="101"/>
        <v>0.96516309309293824</v>
      </c>
      <c r="H253" s="412" t="b">
        <f>Wh_hp&gt;='2022'!Maxi_hp</f>
        <v>0</v>
      </c>
      <c r="I253" s="390">
        <f>IF(H253,Wh_hp,'2022'!Maxi_hp)</f>
        <v>51.403994258295555</v>
      </c>
      <c r="J253" s="85">
        <f>IF(H253,An,'2022'!An_max)</f>
        <v>2018</v>
      </c>
      <c r="K253" s="197">
        <f t="shared" si="79"/>
        <v>45165</v>
      </c>
      <c r="L253" s="147">
        <f>IF(t&lt;Tvie,1-EXP((T0-t)*PertePVj)+'2022'!Pspv,1-EXP((T0-t)*PertePVj)+Pspv)</f>
        <v>4.1223411003239119E-2</v>
      </c>
      <c r="M253" s="957"/>
      <c r="N253" s="957"/>
      <c r="O253" s="48">
        <f>IF(t&lt;Tnet,'2022'!Resal+('2022'!Salim-'2022'!Resal)*(1-EXP(('2022'!Tnet-t)/('2022'!Tau_j))),Resal+(Salim-Resal)*(1-EXP((Tnet-t)/(Tau_j))))*Salcycl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1.2713744815906398E-3</v>
      </c>
      <c r="Q253" s="305">
        <f t="shared" si="80"/>
        <v>0.7</v>
      </c>
      <c r="R253" s="177">
        <f t="shared" si="81"/>
        <v>0.98068947402846951</v>
      </c>
      <c r="S253" s="919">
        <f t="shared" si="82"/>
        <v>0</v>
      </c>
      <c r="T253" s="176">
        <f t="shared" si="83"/>
        <v>6</v>
      </c>
      <c r="U253" s="251">
        <f t="shared" si="84"/>
        <v>0.98068947402846951</v>
      </c>
      <c r="V253" s="383">
        <f t="shared" si="85"/>
        <v>48.121332304785462</v>
      </c>
      <c r="W253" s="402">
        <f t="shared" si="86"/>
        <v>46.447871203820647</v>
      </c>
      <c r="X253" s="157">
        <f t="shared" si="87"/>
        <v>45165</v>
      </c>
      <c r="Y253" s="385">
        <f t="shared" si="88"/>
        <v>41.878550004048165</v>
      </c>
      <c r="Z253" s="385">
        <f t="shared" si="89"/>
        <v>43.679153709696649</v>
      </c>
      <c r="AA253" s="386">
        <f t="shared" si="90"/>
        <v>49.682155659626119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0.12082812974252176</v>
      </c>
      <c r="AD253" s="231">
        <f>(INDEX(Models!$BJ253:$BT253,,AH253)*(1-AF253)+INDEX(Models!$BJ253:$BT253,,AH253+1)*AF253-ERP_i)*AE253*Ramure*Pc/MaxiM</f>
        <v>1.2713744815906398E-3</v>
      </c>
      <c r="AE253" s="305">
        <f t="shared" si="92"/>
        <v>0.7</v>
      </c>
      <c r="AF253" s="177">
        <f t="shared" si="93"/>
        <v>0.98068947402846951</v>
      </c>
      <c r="AG253" s="919">
        <f t="shared" si="99"/>
        <v>0</v>
      </c>
      <c r="AH253" s="176">
        <f t="shared" si="94"/>
        <v>6</v>
      </c>
      <c r="AI253" s="225">
        <f t="shared" si="95"/>
        <v>0.98068947402846951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1090">
        <f>IF(t&gt;Tmaj,'2022'!Wh/'2022'!Env_an*'2023'!Env_an,0.001*'[10]mon-tableau (1)'!$B$65)</f>
        <v>46.557616690348368</v>
      </c>
      <c r="C254" s="953"/>
      <c r="D254" s="393">
        <f t="shared" si="77"/>
        <v>48.560464427582488</v>
      </c>
      <c r="E254" s="385">
        <f t="shared" si="100"/>
        <v>49.807166701125979</v>
      </c>
      <c r="F254" s="385">
        <f t="shared" si="78"/>
        <v>49.866532987182097</v>
      </c>
      <c r="G254" s="110">
        <f t="shared" si="101"/>
        <v>0.96965201817078472</v>
      </c>
      <c r="H254" s="412" t="b">
        <f>Wh_hp&gt;='2022'!Maxi_hp</f>
        <v>0</v>
      </c>
      <c r="I254" s="390">
        <f>IF(H254,Wh_hp,'2022'!Maxi_hp)</f>
        <v>53.343274555388398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4.1244410671173348E-2</v>
      </c>
      <c r="M254" s="957"/>
      <c r="N254" s="957"/>
      <c r="O254" s="48">
        <f>IF(t&lt;Tnet,'2022'!Resal+('2022'!Salim-'2022'!Resal)*(1-EXP(('2022'!Tnet-t)/('2022'!Tau_j))),Resal+(Salim-Resal)*(1-EXP((Tnet-t)/(Tau_j))))*Salcycl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1.2443588924540582E-3</v>
      </c>
      <c r="Q254" s="305">
        <f t="shared" si="80"/>
        <v>0.7</v>
      </c>
      <c r="R254" s="177">
        <f t="shared" si="81"/>
        <v>0.98144572448102929</v>
      </c>
      <c r="S254" s="919">
        <f t="shared" si="82"/>
        <v>0</v>
      </c>
      <c r="T254" s="176">
        <f t="shared" si="83"/>
        <v>6</v>
      </c>
      <c r="U254" s="251">
        <f t="shared" si="84"/>
        <v>0.98144572448102929</v>
      </c>
      <c r="V254" s="383">
        <f t="shared" si="85"/>
        <v>48.012179064603018</v>
      </c>
      <c r="W254" s="402">
        <f t="shared" si="86"/>
        <v>46.557616690348368</v>
      </c>
      <c r="X254" s="157">
        <f t="shared" si="87"/>
        <v>45166</v>
      </c>
      <c r="Y254" s="385">
        <f t="shared" si="88"/>
        <v>41.982182078753425</v>
      </c>
      <c r="Z254" s="385">
        <f t="shared" si="89"/>
        <v>43.788200607146287</v>
      </c>
      <c r="AA254" s="386">
        <f t="shared" si="90"/>
        <v>49.807166701125979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0.12084538215348083</v>
      </c>
      <c r="AD254" s="231">
        <f>(INDEX(Models!$BJ254:$BT254,,AH254)*(1-AF254)+INDEX(Models!$BJ254:$BT254,,AH254+1)*AF254-ERP_i)*AE254*Ramure*Pc/MaxiM</f>
        <v>1.2443588924540582E-3</v>
      </c>
      <c r="AE254" s="305">
        <f t="shared" si="92"/>
        <v>0.7</v>
      </c>
      <c r="AF254" s="177">
        <f t="shared" si="93"/>
        <v>0.98144572448102929</v>
      </c>
      <c r="AG254" s="919">
        <f t="shared" si="99"/>
        <v>0</v>
      </c>
      <c r="AH254" s="176">
        <f t="shared" si="94"/>
        <v>6</v>
      </c>
      <c r="AI254" s="225">
        <f t="shared" si="95"/>
        <v>0.98144572448102929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1090">
        <f>IF(t&gt;Tmaj,'2022'!Wh/'2022'!Env_an*'2023'!Env_an,0.001*'[10]mon-tableau (1)'!$B$66)</f>
        <v>32.715498630542164</v>
      </c>
      <c r="C255" s="953"/>
      <c r="D255" s="393">
        <f t="shared" si="77"/>
        <v>34.123623959805919</v>
      </c>
      <c r="E255" s="385">
        <f t="shared" si="100"/>
        <v>35.004268779783189</v>
      </c>
      <c r="F255" s="385">
        <f t="shared" si="78"/>
        <v>35.027698100615154</v>
      </c>
      <c r="G255" s="110">
        <f t="shared" si="101"/>
        <v>0.68260062027801605</v>
      </c>
      <c r="H255" s="412" t="b">
        <f>Wh_hp&gt;='2022'!Maxi_hp</f>
        <v>0</v>
      </c>
      <c r="I255" s="390">
        <f>IF(H255,Wh_hp,'2022'!Maxi_hp)</f>
        <v>52.809812213553279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4.1265409879161052E-2</v>
      </c>
      <c r="M255" s="957"/>
      <c r="N255" s="957"/>
      <c r="O255" s="48">
        <f>IF(t&lt;Tnet,'2022'!Resal+('2022'!Salim-'2022'!Resal)*(1-EXP(('2022'!Tnet-t)/('2022'!Tau_j))),Resal+(Salim-Resal)*(1-EXP((Tnet-t)/(Tau_j))))*Salcycl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1.2225627237544667E-3</v>
      </c>
      <c r="Q255" s="305">
        <f t="shared" si="80"/>
        <v>0.7</v>
      </c>
      <c r="R255" s="177">
        <f t="shared" si="81"/>
        <v>0.98217376418332392</v>
      </c>
      <c r="S255" s="919">
        <f t="shared" si="82"/>
        <v>0</v>
      </c>
      <c r="T255" s="176">
        <f t="shared" si="83"/>
        <v>6</v>
      </c>
      <c r="U255" s="251">
        <f t="shared" si="84"/>
        <v>0.98217376418332392</v>
      </c>
      <c r="V255" s="383">
        <f t="shared" si="85"/>
        <v>47.901176065649352</v>
      </c>
      <c r="W255" s="402">
        <f t="shared" si="86"/>
        <v>32.715498630542164</v>
      </c>
      <c r="X255" s="157">
        <f t="shared" si="87"/>
        <v>45167</v>
      </c>
      <c r="Y255" s="385">
        <f t="shared" si="88"/>
        <v>29.503695090967849</v>
      </c>
      <c r="Z255" s="385">
        <f t="shared" si="89"/>
        <v>30.773579460869563</v>
      </c>
      <c r="AA255" s="386">
        <f t="shared" si="90"/>
        <v>35.004268779783189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0.12086209672110255</v>
      </c>
      <c r="AD255" s="231">
        <f>(INDEX(Models!$BJ255:$BT255,,AH255)*(1-AF255)+INDEX(Models!$BJ255:$BT255,,AH255+1)*AF255-ERP_i)*AE255*Ramure*Pc/MaxiM</f>
        <v>1.2225627237544667E-3</v>
      </c>
      <c r="AE255" s="305">
        <f t="shared" si="92"/>
        <v>0.7</v>
      </c>
      <c r="AF255" s="177">
        <f t="shared" si="93"/>
        <v>0.98217376418332392</v>
      </c>
      <c r="AG255" s="919">
        <f t="shared" si="99"/>
        <v>0</v>
      </c>
      <c r="AH255" s="176">
        <f t="shared" si="94"/>
        <v>6</v>
      </c>
      <c r="AI255" s="225">
        <f t="shared" si="95"/>
        <v>0.98217376418332392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1090">
        <f>IF(t&gt;Tmaj,'2022'!Wh/'2022'!Env_an*'2023'!Env_an,0.001*'[10]mon-tableau (1)'!$B$67)</f>
        <v>46.242503876294492</v>
      </c>
      <c r="C256" s="953"/>
      <c r="D256" s="393">
        <f t="shared" si="77"/>
        <v>48.233908742317467</v>
      </c>
      <c r="E256" s="385">
        <f t="shared" si="100"/>
        <v>49.485169591267308</v>
      </c>
      <c r="F256" s="385">
        <f t="shared" si="78"/>
        <v>49.542158423241659</v>
      </c>
      <c r="G256" s="110">
        <f t="shared" si="101"/>
        <v>0.96760824453964656</v>
      </c>
      <c r="H256" s="412" t="b">
        <f>Wh_hp&gt;='2022'!Maxi_hp</f>
        <v>0</v>
      </c>
      <c r="I256" s="390">
        <f>IF(H256,Wh_hp,'2022'!Maxi_hp)</f>
        <v>51.020688029577649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4.1286408627212112E-2</v>
      </c>
      <c r="M256" s="957"/>
      <c r="N256" s="957"/>
      <c r="O256" s="48">
        <f>IF(t&lt;Tnet,'2022'!Resal+('2022'!Salim-'2022'!Resal)*(1-EXP(('2022'!Tnet-t)/('2022'!Tau_j))),Resal+(Salim-Resal)*(1-EXP((Tnet-t)/(Tau_j))))*Salcycl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1.2060243331689015E-3</v>
      </c>
      <c r="Q256" s="305">
        <f t="shared" si="80"/>
        <v>0.7</v>
      </c>
      <c r="R256" s="177">
        <f t="shared" si="81"/>
        <v>0.98287456174449872</v>
      </c>
      <c r="S256" s="919">
        <f t="shared" si="82"/>
        <v>0</v>
      </c>
      <c r="T256" s="176">
        <f t="shared" si="83"/>
        <v>6</v>
      </c>
      <c r="U256" s="251">
        <f t="shared" si="84"/>
        <v>0.98287456174449872</v>
      </c>
      <c r="V256" s="383">
        <f t="shared" si="85"/>
        <v>47.787857112823986</v>
      </c>
      <c r="W256" s="402">
        <f t="shared" si="86"/>
        <v>46.242503876294492</v>
      </c>
      <c r="X256" s="157">
        <f t="shared" si="87"/>
        <v>45168</v>
      </c>
      <c r="Y256" s="385">
        <f t="shared" si="88"/>
        <v>41.707385902003246</v>
      </c>
      <c r="Z256" s="385">
        <f t="shared" si="89"/>
        <v>43.503488713748375</v>
      </c>
      <c r="AA256" s="386">
        <f t="shared" si="90"/>
        <v>49.485169591267308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0.1208782535641653</v>
      </c>
      <c r="AD256" s="231">
        <f>(INDEX(Models!$BJ256:$BT256,,AH256)*(1-AF256)+INDEX(Models!$BJ256:$BT256,,AH256+1)*AF256-ERP_i)*AE256*Ramure*Pc/MaxiM</f>
        <v>1.2060243331689015E-3</v>
      </c>
      <c r="AE256" s="305">
        <f t="shared" si="92"/>
        <v>0.7</v>
      </c>
      <c r="AF256" s="177">
        <f t="shared" si="93"/>
        <v>0.98287456174449872</v>
      </c>
      <c r="AG256" s="919">
        <f t="shared" si="99"/>
        <v>0</v>
      </c>
      <c r="AH256" s="176">
        <f t="shared" si="94"/>
        <v>6</v>
      </c>
      <c r="AI256" s="225">
        <f t="shared" si="95"/>
        <v>0.98287456174449872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1090">
        <f>IF(t&gt;Tmaj,'2022'!Wh/'2022'!Env_an*'2023'!Env_an,0.001*'[10]mon-tableau (1)'!$B$68)</f>
        <v>21.02446065467965</v>
      </c>
      <c r="C257" s="953"/>
      <c r="D257" s="393">
        <f t="shared" si="77"/>
        <v>21.930346397098905</v>
      </c>
      <c r="E257" s="385">
        <f t="shared" si="100"/>
        <v>22.502186720692052</v>
      </c>
      <c r="F257" s="385">
        <f t="shared" si="78"/>
        <v>22.507604452734171</v>
      </c>
      <c r="G257" s="110">
        <f t="shared" si="101"/>
        <v>0.44060463710735959</v>
      </c>
      <c r="H257" s="412" t="b">
        <f>Wh_hp&gt;='2022'!Maxi_hp</f>
        <v>0</v>
      </c>
      <c r="I257" s="390">
        <f>IF(H257,Wh_hp,'2022'!Maxi_hp)</f>
        <v>51.639133296774915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4.1307406915336742E-2</v>
      </c>
      <c r="M257" s="957"/>
      <c r="N257" s="957"/>
      <c r="O257" s="48">
        <f>IF(t&lt;Tnet,'2022'!Resal+('2022'!Salim-'2022'!Resal)*(1-EXP(('2022'!Tnet-t)/('2022'!Tau_j))),Resal+(Salim-Resal)*(1-EXP((Tnet-t)/(Tau_j))))*Salcycl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1.1947818275955644E-3</v>
      </c>
      <c r="Q257" s="305">
        <f t="shared" si="80"/>
        <v>0.7</v>
      </c>
      <c r="R257" s="177">
        <f t="shared" si="81"/>
        <v>0.98354905893419886</v>
      </c>
      <c r="S257" s="919">
        <f t="shared" si="82"/>
        <v>0</v>
      </c>
      <c r="T257" s="176">
        <f t="shared" si="83"/>
        <v>6</v>
      </c>
      <c r="U257" s="251">
        <f t="shared" si="84"/>
        <v>0.98354905893419886</v>
      </c>
      <c r="V257" s="383">
        <f t="shared" si="85"/>
        <v>47.671756359420769</v>
      </c>
      <c r="W257" s="402">
        <f t="shared" si="86"/>
        <v>21.02446065467965</v>
      </c>
      <c r="X257" s="157">
        <f t="shared" si="87"/>
        <v>45169</v>
      </c>
      <c r="Y257" s="385">
        <f t="shared" si="88"/>
        <v>18.964675815449763</v>
      </c>
      <c r="Z257" s="385">
        <f t="shared" si="89"/>
        <v>19.781811137634367</v>
      </c>
      <c r="AA257" s="386">
        <f t="shared" si="90"/>
        <v>22.502186720692052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0.12089383208948942</v>
      </c>
      <c r="AD257" s="231">
        <f>(INDEX(Models!$BJ257:$BT257,,AH257)*(1-AF257)+INDEX(Models!$BJ257:$BT257,,AH257+1)*AF257-ERP_i)*AE257*Ramure*Pc/MaxiM</f>
        <v>1.1947818275955644E-3</v>
      </c>
      <c r="AE257" s="305">
        <f t="shared" si="92"/>
        <v>0.7</v>
      </c>
      <c r="AF257" s="177">
        <f t="shared" si="93"/>
        <v>0.98354905893419886</v>
      </c>
      <c r="AG257" s="919">
        <f t="shared" si="99"/>
        <v>0</v>
      </c>
      <c r="AH257" s="176">
        <f t="shared" si="94"/>
        <v>6</v>
      </c>
      <c r="AI257" s="225">
        <f t="shared" si="95"/>
        <v>0.98354905893419886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1090">
        <f>IF(t&gt;Tmaj,'2022'!Wh/'2022'!Env_an*'2023'!Env_an,0.001*'[11]mon-tableau (3)'!$B$37)</f>
        <v>42.729627501310098</v>
      </c>
      <c r="C258" s="953"/>
      <c r="D258" s="393">
        <f t="shared" si="77"/>
        <v>44.571704964179588</v>
      </c>
      <c r="E258" s="385">
        <f t="shared" si="100"/>
        <v>45.739876500234033</v>
      </c>
      <c r="F258" s="385">
        <f t="shared" si="78"/>
        <v>45.786423995248768</v>
      </c>
      <c r="G258" s="110">
        <f t="shared" si="101"/>
        <v>0.89842473374429654</v>
      </c>
      <c r="H258" s="412" t="b">
        <f>Wh_hp&gt;='2022'!Maxi_hp</f>
        <v>0</v>
      </c>
      <c r="I258" s="390">
        <f>IF(H258,Wh_hp,'2022'!Maxi_hp)</f>
        <v>52.083506608695828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4.1328404743545044E-2</v>
      </c>
      <c r="M258" s="957"/>
      <c r="N258" s="957"/>
      <c r="O258" s="48">
        <f>IF(t&lt;Tnet,'2022'!Resal+('2022'!Salim-'2022'!Resal)*(1-EXP(('2022'!Tnet-t)/('2022'!Tau_j))),Resal+(Salim-Resal)*(1-EXP((Tnet-t)/(Tau_j))))*Salcycl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1.1888735470485781E-3</v>
      </c>
      <c r="Q258" s="305">
        <f t="shared" si="80"/>
        <v>0.7</v>
      </c>
      <c r="R258" s="177">
        <f t="shared" si="81"/>
        <v>0.98419817091682038</v>
      </c>
      <c r="S258" s="919">
        <f t="shared" si="82"/>
        <v>0</v>
      </c>
      <c r="T258" s="176">
        <f t="shared" si="83"/>
        <v>6</v>
      </c>
      <c r="U258" s="251">
        <f t="shared" si="84"/>
        <v>0.98419817091682038</v>
      </c>
      <c r="V258" s="383">
        <f t="shared" si="85"/>
        <v>47.552408310374048</v>
      </c>
      <c r="W258" s="402">
        <f t="shared" si="86"/>
        <v>42.729627501310098</v>
      </c>
      <c r="X258" s="157">
        <f t="shared" si="87"/>
        <v>45170</v>
      </c>
      <c r="Y258" s="385">
        <f t="shared" si="88"/>
        <v>38.547727002759501</v>
      </c>
      <c r="Z258" s="385">
        <f t="shared" si="89"/>
        <v>40.209522419872648</v>
      </c>
      <c r="AA258" s="386">
        <f t="shared" si="90"/>
        <v>45.739876500234033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0.12090881094384001</v>
      </c>
      <c r="AD258" s="231">
        <f>(INDEX(Models!$BJ258:$BT258,,AH258)*(1-AF258)+INDEX(Models!$BJ258:$BT258,,AH258+1)*AF258-ERP_i)*AE258*Ramure*Pc/MaxiM</f>
        <v>1.1888735470485781E-3</v>
      </c>
      <c r="AE258" s="305">
        <f t="shared" si="92"/>
        <v>0.7</v>
      </c>
      <c r="AF258" s="177">
        <f t="shared" si="93"/>
        <v>0.98419817091682038</v>
      </c>
      <c r="AG258" s="919">
        <f t="shared" si="99"/>
        <v>0</v>
      </c>
      <c r="AH258" s="176">
        <f t="shared" si="94"/>
        <v>6</v>
      </c>
      <c r="AI258" s="225">
        <f t="shared" si="95"/>
        <v>0.98419817091682038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1090">
        <f>IF(t&gt;Tmaj,'2022'!Wh/'2022'!Env_an*'2023'!Env_an,0.001*'[11]mon-tableau (3)'!$B$38)</f>
        <v>39.846920438047398</v>
      </c>
      <c r="C259" s="953"/>
      <c r="D259" s="393">
        <f t="shared" si="77"/>
        <v>41.565634576171604</v>
      </c>
      <c r="E259" s="385">
        <f t="shared" si="100"/>
        <v>42.66055901087649</v>
      </c>
      <c r="F259" s="385">
        <f t="shared" si="78"/>
        <v>42.699712199180595</v>
      </c>
      <c r="G259" s="110">
        <f t="shared" si="101"/>
        <v>0.83990394244598898</v>
      </c>
      <c r="H259" s="412" t="b">
        <f>Wh_hp&gt;='2022'!Maxi_hp</f>
        <v>0</v>
      </c>
      <c r="I259" s="390">
        <f>IF(H259,Wh_hp,'2022'!Maxi_hp)</f>
        <v>50.502495754224739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4.13494021118469E-2</v>
      </c>
      <c r="M259" s="957"/>
      <c r="N259" s="957"/>
      <c r="O259" s="48">
        <f>IF(t&lt;Tnet,'2022'!Resal+('2022'!Salim-'2022'!Resal)*(1-EXP(('2022'!Tnet-t)/('2022'!Tau_j))),Resal+(Salim-Resal)*(1-EXP((Tnet-t)/(Tau_j))))*Salcycl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1.1883385577456948E-3</v>
      </c>
      <c r="Q259" s="305">
        <f t="shared" si="80"/>
        <v>0.7</v>
      </c>
      <c r="R259" s="177">
        <f t="shared" si="81"/>
        <v>0.98482278653102695</v>
      </c>
      <c r="S259" s="919">
        <f t="shared" si="82"/>
        <v>0</v>
      </c>
      <c r="T259" s="176">
        <f t="shared" si="83"/>
        <v>6</v>
      </c>
      <c r="U259" s="251">
        <f t="shared" si="84"/>
        <v>0.98482278653102695</v>
      </c>
      <c r="V259" s="383">
        <f t="shared" si="85"/>
        <v>47.429347821232604</v>
      </c>
      <c r="W259" s="402">
        <f t="shared" si="86"/>
        <v>39.846920438047398</v>
      </c>
      <c r="X259" s="157">
        <f t="shared" si="87"/>
        <v>45171</v>
      </c>
      <c r="Y259" s="385">
        <f t="shared" si="88"/>
        <v>35.95122755027554</v>
      </c>
      <c r="Z259" s="385">
        <f t="shared" si="89"/>
        <v>37.501909068302709</v>
      </c>
      <c r="AA259" s="386">
        <f t="shared" si="90"/>
        <v>42.66055901087649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0.12092316796079867</v>
      </c>
      <c r="AD259" s="231">
        <f>(INDEX(Models!$BJ259:$BT259,,AH259)*(1-AF259)+INDEX(Models!$BJ259:$BT259,,AH259+1)*AF259-ERP_i)*AE259*Ramure*Pc/MaxiM</f>
        <v>1.1883385577456948E-3</v>
      </c>
      <c r="AE259" s="305">
        <f t="shared" si="92"/>
        <v>0.7</v>
      </c>
      <c r="AF259" s="177">
        <f t="shared" si="93"/>
        <v>0.98482278653102695</v>
      </c>
      <c r="AG259" s="919">
        <f t="shared" si="99"/>
        <v>0</v>
      </c>
      <c r="AH259" s="176">
        <f t="shared" si="94"/>
        <v>6</v>
      </c>
      <c r="AI259" s="225">
        <f t="shared" si="95"/>
        <v>0.98482278653102695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1090">
        <f>IF(t&gt;Tmaj,'2022'!Wh/'2022'!Env_an*'2023'!Env_an,0.001*'[11]mon-tableau (3)'!$B$39)</f>
        <v>37.868515746376289</v>
      </c>
      <c r="C260" s="953"/>
      <c r="D260" s="393">
        <f t="shared" si="77"/>
        <v>39.502760719754072</v>
      </c>
      <c r="E260" s="385">
        <f t="shared" si="100"/>
        <v>40.548597418200771</v>
      </c>
      <c r="F260" s="385">
        <f t="shared" si="78"/>
        <v>40.583225653651283</v>
      </c>
      <c r="G260" s="110">
        <f t="shared" si="101"/>
        <v>0.80029476860638926</v>
      </c>
      <c r="H260" s="412" t="b">
        <f>Wh_hp&gt;='2022'!Maxi_hp</f>
        <v>0</v>
      </c>
      <c r="I260" s="390">
        <f>IF(H260,Wh_hp,'2022'!Maxi_hp)</f>
        <v>52.236523625300045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4.1370399020252524E-2</v>
      </c>
      <c r="M260" s="957"/>
      <c r="N260" s="957"/>
      <c r="O260" s="48">
        <f>IF(t&lt;Tnet,'2022'!Resal+('2022'!Salim-'2022'!Resal)*(1-EXP(('2022'!Tnet-t)/('2022'!Tau_j))),Resal+(Salim-Resal)*(1-EXP((Tnet-t)/(Tau_j))))*Salcycl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1.1932171548128981E-3</v>
      </c>
      <c r="Q260" s="305">
        <f t="shared" si="80"/>
        <v>0.7</v>
      </c>
      <c r="R260" s="177">
        <f t="shared" si="81"/>
        <v>0.98542376860965242</v>
      </c>
      <c r="S260" s="919">
        <f t="shared" si="82"/>
        <v>0</v>
      </c>
      <c r="T260" s="176">
        <f t="shared" si="83"/>
        <v>6</v>
      </c>
      <c r="U260" s="251">
        <f t="shared" si="84"/>
        <v>0.98542376860965242</v>
      </c>
      <c r="V260" s="383">
        <f t="shared" si="85"/>
        <v>47.302110102521496</v>
      </c>
      <c r="W260" s="402">
        <f t="shared" si="86"/>
        <v>37.868515746376289</v>
      </c>
      <c r="X260" s="157">
        <f t="shared" si="87"/>
        <v>45172</v>
      </c>
      <c r="Y260" s="385">
        <f t="shared" si="88"/>
        <v>34.170137924818441</v>
      </c>
      <c r="Z260" s="385">
        <f t="shared" si="89"/>
        <v>35.644776553838483</v>
      </c>
      <c r="AA260" s="386">
        <f t="shared" si="90"/>
        <v>40.548597418200771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0.1209368801042954</v>
      </c>
      <c r="AD260" s="231">
        <f>(INDEX(Models!$BJ260:$BT260,,AH260)*(1-AF260)+INDEX(Models!$BJ260:$BT260,,AH260+1)*AF260-ERP_i)*AE260*Ramure*Pc/MaxiM</f>
        <v>1.1932171548128981E-3</v>
      </c>
      <c r="AE260" s="305">
        <f t="shared" si="92"/>
        <v>0.7</v>
      </c>
      <c r="AF260" s="177">
        <f t="shared" si="93"/>
        <v>0.98542376860965242</v>
      </c>
      <c r="AG260" s="919">
        <f t="shared" si="99"/>
        <v>0</v>
      </c>
      <c r="AH260" s="176">
        <f t="shared" si="94"/>
        <v>6</v>
      </c>
      <c r="AI260" s="225">
        <f t="shared" si="95"/>
        <v>0.98542376860965242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1090">
        <f>IF(t&gt;Tmaj,'2022'!Wh/'2022'!Env_an*'2023'!Env_an,0.001*'[11]mon-tableau (3)'!$B$40)</f>
        <v>45.251430055816257</v>
      </c>
      <c r="C261" s="953"/>
      <c r="D261" s="393">
        <f t="shared" si="77"/>
        <v>47.205324302241991</v>
      </c>
      <c r="E261" s="385">
        <f t="shared" si="100"/>
        <v>48.461349947392002</v>
      </c>
      <c r="F261" s="385">
        <f t="shared" si="78"/>
        <v>48.51634338173622</v>
      </c>
      <c r="G261" s="110">
        <f t="shared" si="101"/>
        <v>0.95921743659169834</v>
      </c>
      <c r="H261" s="412" t="b">
        <f>Wh_hp&gt;='2022'!Maxi_hp</f>
        <v>0</v>
      </c>
      <c r="I261" s="390">
        <f>IF(H261,Wh_hp,'2022'!Maxi_hp)</f>
        <v>51.364733019215166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4.1391395468772019E-2</v>
      </c>
      <c r="M261" s="957"/>
      <c r="N261" s="957"/>
      <c r="O261" s="48">
        <f>IF(t&lt;Tnet,'2022'!Resal+('2022'!Salim-'2022'!Resal)*(1-EXP(('2022'!Tnet-t)/('2022'!Tau_j))),Resal+(Salim-Resal)*(1-EXP((Tnet-t)/(Tau_j))))*Salcycl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1.2035048574045681E-3</v>
      </c>
      <c r="Q261" s="305">
        <f t="shared" si="80"/>
        <v>0.7</v>
      </c>
      <c r="R261" s="177">
        <f t="shared" si="81"/>
        <v>0.9860019543354166</v>
      </c>
      <c r="S261" s="919">
        <f t="shared" si="82"/>
        <v>0</v>
      </c>
      <c r="T261" s="176">
        <f t="shared" si="83"/>
        <v>6</v>
      </c>
      <c r="U261" s="251">
        <f t="shared" si="84"/>
        <v>0.9860019543354166</v>
      </c>
      <c r="V261" s="383">
        <f t="shared" si="85"/>
        <v>47.172056161173238</v>
      </c>
      <c r="W261" s="402">
        <f t="shared" si="86"/>
        <v>45.251430055816257</v>
      </c>
      <c r="X261" s="157">
        <f t="shared" si="87"/>
        <v>45173</v>
      </c>
      <c r="Y261" s="385">
        <f t="shared" si="88"/>
        <v>40.83668186545907</v>
      </c>
      <c r="Z261" s="385">
        <f t="shared" si="89"/>
        <v>42.599953382881154</v>
      </c>
      <c r="AA261" s="386">
        <f t="shared" si="90"/>
        <v>48.461349947392002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0.12094992341058962</v>
      </c>
      <c r="AD261" s="231">
        <f>(INDEX(Models!$BJ261:$BT261,,AH261)*(1-AF261)+INDEX(Models!$BJ261:$BT261,,AH261+1)*AF261-ERP_i)*AE261*Ramure*Pc/MaxiM</f>
        <v>1.2035048574045681E-3</v>
      </c>
      <c r="AE261" s="305">
        <f t="shared" si="92"/>
        <v>0.7</v>
      </c>
      <c r="AF261" s="177">
        <f t="shared" si="93"/>
        <v>0.9860019543354166</v>
      </c>
      <c r="AG261" s="919">
        <f t="shared" si="99"/>
        <v>0</v>
      </c>
      <c r="AH261" s="176">
        <f t="shared" si="94"/>
        <v>6</v>
      </c>
      <c r="AI261" s="225">
        <f t="shared" si="95"/>
        <v>0.9860019543354166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1090">
        <f>IF(t&gt;Tmaj,'2022'!Wh/'2022'!Env_an*'2023'!Env_an,0.001*'[11]mon-tableau (3)'!$B$41)</f>
        <v>41.541656013320065</v>
      </c>
      <c r="C262" s="953"/>
      <c r="D262" s="393">
        <f t="shared" si="77"/>
        <v>43.336316517255085</v>
      </c>
      <c r="E262" s="385">
        <f t="shared" si="100"/>
        <v>44.495134047033623</v>
      </c>
      <c r="F262" s="385">
        <f t="shared" si="78"/>
        <v>44.540395626853922</v>
      </c>
      <c r="G262" s="110">
        <f t="shared" si="101"/>
        <v>0.88292167872398175</v>
      </c>
      <c r="H262" s="412" t="b">
        <f>Wh_hp&gt;='2022'!Maxi_hp</f>
        <v>0</v>
      </c>
      <c r="I262" s="390">
        <f>IF(H262,Wh_hp,'2022'!Maxi_hp)</f>
        <v>50.98450100113412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4.1412391457415376E-2</v>
      </c>
      <c r="M262" s="957"/>
      <c r="N262" s="957"/>
      <c r="O262" s="48">
        <f>IF(t&lt;Tnet,'2022'!Resal+('2022'!Salim-'2022'!Resal)*(1-EXP(('2022'!Tnet-t)/('2022'!Tau_j))),Resal+(Salim-Resal)*(1-EXP((Tnet-t)/(Tau_j))))*Salcycl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1.219914290857321E-3</v>
      </c>
      <c r="Q262" s="305">
        <f t="shared" si="80"/>
        <v>0.7</v>
      </c>
      <c r="R262" s="177">
        <f t="shared" si="81"/>
        <v>0.9865581556281886</v>
      </c>
      <c r="S262" s="919">
        <f t="shared" si="82"/>
        <v>0</v>
      </c>
      <c r="T262" s="176">
        <f t="shared" si="83"/>
        <v>6</v>
      </c>
      <c r="U262" s="251">
        <f t="shared" si="84"/>
        <v>0.9865581556281886</v>
      </c>
      <c r="V262" s="383">
        <f t="shared" si="85"/>
        <v>47.040621417639471</v>
      </c>
      <c r="W262" s="402">
        <f t="shared" si="86"/>
        <v>41.541656013320065</v>
      </c>
      <c r="X262" s="157">
        <f t="shared" si="87"/>
        <v>45174</v>
      </c>
      <c r="Y262" s="385">
        <f t="shared" si="88"/>
        <v>37.493142710469044</v>
      </c>
      <c r="Z262" s="385">
        <f t="shared" si="89"/>
        <v>39.112901498354219</v>
      </c>
      <c r="AA262" s="386">
        <f t="shared" si="90"/>
        <v>44.495134047033623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0.12096227293056602</v>
      </c>
      <c r="AD262" s="231">
        <f>(INDEX(Models!$BJ262:$BT262,,AH262)*(1-AF262)+INDEX(Models!$BJ262:$BT262,,AH262+1)*AF262-ERP_i)*AE262*Ramure*Pc/MaxiM</f>
        <v>1.219914290857321E-3</v>
      </c>
      <c r="AE262" s="305">
        <f t="shared" si="92"/>
        <v>0.7</v>
      </c>
      <c r="AF262" s="177">
        <f t="shared" si="93"/>
        <v>0.9865581556281886</v>
      </c>
      <c r="AG262" s="919">
        <f t="shared" si="99"/>
        <v>0</v>
      </c>
      <c r="AH262" s="176">
        <f t="shared" si="94"/>
        <v>6</v>
      </c>
      <c r="AI262" s="225">
        <f t="shared" si="95"/>
        <v>0.9865581556281886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1090">
        <f>IF(t&gt;Tmaj,'2022'!Wh/'2022'!Env_an*'2023'!Env_an,0.001*'[11]mon-tableau (3)'!$B$42)</f>
        <v>44.723266004926245</v>
      </c>
      <c r="C263" s="953"/>
      <c r="D263" s="393">
        <f t="shared" si="77"/>
        <v>46.656398624517969</v>
      </c>
      <c r="E263" s="385">
        <f t="shared" si="100"/>
        <v>47.910158335927399</v>
      </c>
      <c r="F263" s="385">
        <f t="shared" si="78"/>
        <v>47.965634984121635</v>
      </c>
      <c r="G263" s="110">
        <f t="shared" si="101"/>
        <v>0.9533532187129603</v>
      </c>
      <c r="H263" s="412" t="b">
        <f>Wh_hp&gt;='2022'!Maxi_hp</f>
        <v>0</v>
      </c>
      <c r="I263" s="390">
        <f>IF(H263,Wh_hp,'2022'!Maxi_hp)</f>
        <v>50.093779259666192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4.14333869861927E-2</v>
      </c>
      <c r="M263" s="957"/>
      <c r="N263" s="957"/>
      <c r="O263" s="48">
        <f>IF(t&lt;Tnet,'2022'!Resal+('2022'!Salim-'2022'!Resal)*(1-EXP(('2022'!Tnet-t)/('2022'!Tau_j))),Resal+(Salim-Resal)*(1-EXP((Tnet-t)/(Tau_j))))*Salcycl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1.2390183103187301E-3</v>
      </c>
      <c r="Q263" s="305">
        <f t="shared" si="80"/>
        <v>0.7</v>
      </c>
      <c r="R263" s="177">
        <f t="shared" si="81"/>
        <v>0.98709315955982024</v>
      </c>
      <c r="S263" s="919">
        <f t="shared" si="82"/>
        <v>0</v>
      </c>
      <c r="T263" s="176">
        <f t="shared" si="83"/>
        <v>6</v>
      </c>
      <c r="U263" s="251">
        <f t="shared" si="84"/>
        <v>0.98709315955982024</v>
      </c>
      <c r="V263" s="383">
        <f t="shared" si="85"/>
        <v>46.907667026978046</v>
      </c>
      <c r="W263" s="402">
        <f t="shared" si="86"/>
        <v>44.723266004926245</v>
      </c>
      <c r="X263" s="157">
        <f t="shared" si="87"/>
        <v>45175</v>
      </c>
      <c r="Y263" s="385">
        <f t="shared" si="88"/>
        <v>40.369342263942499</v>
      </c>
      <c r="Z263" s="385">
        <f t="shared" si="89"/>
        <v>42.114279504288362</v>
      </c>
      <c r="AA263" s="386">
        <f t="shared" si="90"/>
        <v>47.910158335927399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0.12097390267426358</v>
      </c>
      <c r="AD263" s="231">
        <f>(INDEX(Models!$BJ263:$BT263,,AH263)*(1-AF263)+INDEX(Models!$BJ263:$BT263,,AH263+1)*AF263-ERP_i)*AE263*Ramure*Pc/MaxiM</f>
        <v>1.2390183103187301E-3</v>
      </c>
      <c r="AE263" s="305">
        <f t="shared" si="92"/>
        <v>0.7</v>
      </c>
      <c r="AF263" s="177">
        <f t="shared" si="93"/>
        <v>0.98709315955982024</v>
      </c>
      <c r="AG263" s="919">
        <f t="shared" si="99"/>
        <v>0</v>
      </c>
      <c r="AH263" s="176">
        <f t="shared" si="94"/>
        <v>6</v>
      </c>
      <c r="AI263" s="225">
        <f t="shared" si="95"/>
        <v>0.98709315955982024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1090">
        <f>IF(t&gt;Tmaj,'2022'!Wh/'2022'!Env_an*'2023'!Env_an,0.001*'[11]mon-tableau (3)'!$B$43)</f>
        <v>35.777736904302763</v>
      </c>
      <c r="C264" s="953"/>
      <c r="D264" s="393">
        <f t="shared" si="77"/>
        <v>37.325022653600925</v>
      </c>
      <c r="E264" s="385">
        <f t="shared" si="100"/>
        <v>38.332946563417764</v>
      </c>
      <c r="F264" s="385">
        <f t="shared" si="78"/>
        <v>38.365074276913866</v>
      </c>
      <c r="G264" s="110">
        <f t="shared" si="101"/>
        <v>0.76460048694515192</v>
      </c>
      <c r="H264" s="412" t="b">
        <f>Wh_hp&gt;='2022'!Maxi_hp</f>
        <v>0</v>
      </c>
      <c r="I264" s="390">
        <f>IF(H264,Wh_hp,'2022'!Maxi_hp)</f>
        <v>51.37719632099251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4.1454382055114092E-2</v>
      </c>
      <c r="M264" s="957"/>
      <c r="N264" s="957"/>
      <c r="O264" s="48">
        <f>IF(t&lt;Tnet,'2022'!Resal+('2022'!Salim-'2022'!Resal)*(1-EXP(('2022'!Tnet-t)/('2022'!Tau_j))),Resal+(Salim-Resal)*(1-EXP((Tnet-t)/(Tau_j))))*Salcycl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1.2608378884161301E-3</v>
      </c>
      <c r="Q264" s="305">
        <f t="shared" si="80"/>
        <v>0.7</v>
      </c>
      <c r="R264" s="177">
        <f t="shared" si="81"/>
        <v>0.98760772879285774</v>
      </c>
      <c r="S264" s="919">
        <f t="shared" si="82"/>
        <v>0</v>
      </c>
      <c r="T264" s="176">
        <f t="shared" si="83"/>
        <v>6</v>
      </c>
      <c r="U264" s="251">
        <f t="shared" si="84"/>
        <v>0.98760772879285774</v>
      </c>
      <c r="V264" s="383">
        <f t="shared" si="85"/>
        <v>46.772891091796986</v>
      </c>
      <c r="W264" s="402">
        <f t="shared" si="86"/>
        <v>35.777736904302763</v>
      </c>
      <c r="X264" s="157">
        <f t="shared" si="87"/>
        <v>45176</v>
      </c>
      <c r="Y264" s="385">
        <f t="shared" si="88"/>
        <v>32.298427756716443</v>
      </c>
      <c r="Z264" s="385">
        <f t="shared" si="89"/>
        <v>33.695243243575632</v>
      </c>
      <c r="AA264" s="386">
        <f t="shared" si="90"/>
        <v>38.332946563417764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0.12098478555958508</v>
      </c>
      <c r="AD264" s="231">
        <f>(INDEX(Models!$BJ264:$BT264,,AH264)*(1-AF264)+INDEX(Models!$BJ264:$BT264,,AH264+1)*AF264-ERP_i)*AE264*Ramure*Pc/MaxiM</f>
        <v>1.2608378884161301E-3</v>
      </c>
      <c r="AE264" s="305">
        <f t="shared" si="92"/>
        <v>0.7</v>
      </c>
      <c r="AF264" s="177">
        <f t="shared" si="93"/>
        <v>0.98760772879285774</v>
      </c>
      <c r="AG264" s="919">
        <f t="shared" si="99"/>
        <v>0</v>
      </c>
      <c r="AH264" s="176">
        <f t="shared" si="94"/>
        <v>6</v>
      </c>
      <c r="AI264" s="225">
        <f t="shared" si="95"/>
        <v>0.98760772879285774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1090">
        <f>IF(t&gt;Tmaj,'2022'!Wh/'2022'!Env_an*'2023'!Env_an,0.001*'[11]mon-tableau (3)'!$B$44)</f>
        <v>39.245047529808105</v>
      </c>
      <c r="C265" s="953"/>
      <c r="D265" s="393">
        <f t="shared" si="77"/>
        <v>40.94318140021214</v>
      </c>
      <c r="E265" s="385">
        <f t="shared" si="100"/>
        <v>42.054192485512928</v>
      </c>
      <c r="F265" s="385">
        <f t="shared" si="78"/>
        <v>42.09605188290017</v>
      </c>
      <c r="G265" s="110">
        <f t="shared" si="101"/>
        <v>0.84127330792232768</v>
      </c>
      <c r="H265" s="412" t="b">
        <f>Wh_hp&gt;='2022'!Maxi_hp</f>
        <v>0</v>
      </c>
      <c r="I265" s="390">
        <f>IF(H265,Wh_hp,'2022'!Maxi_hp)</f>
        <v>49.21838095853591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4.1475376664189545E-2</v>
      </c>
      <c r="M265" s="957"/>
      <c r="N265" s="957"/>
      <c r="O265" s="48">
        <f>IF(t&lt;Tnet,'2022'!Resal+('2022'!Salim-'2022'!Resal)*(1-EXP(('2022'!Tnet-t)/('2022'!Tau_j))),Resal+(Salim-Resal)*(1-EXP((Tnet-t)/(Tau_j))))*Salcycl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1.2853943606087573E-3</v>
      </c>
      <c r="Q265" s="305">
        <f t="shared" si="80"/>
        <v>0.7</v>
      </c>
      <c r="R265" s="177">
        <f t="shared" si="81"/>
        <v>0.98810260203970368</v>
      </c>
      <c r="S265" s="919">
        <f t="shared" si="82"/>
        <v>0</v>
      </c>
      <c r="T265" s="176">
        <f t="shared" si="83"/>
        <v>6</v>
      </c>
      <c r="U265" s="251">
        <f t="shared" si="84"/>
        <v>0.98810260203970368</v>
      </c>
      <c r="V265" s="383">
        <f t="shared" si="85"/>
        <v>46.635991954412816</v>
      </c>
      <c r="W265" s="402">
        <f t="shared" si="86"/>
        <v>39.245047529808105</v>
      </c>
      <c r="X265" s="157">
        <f t="shared" si="87"/>
        <v>45177</v>
      </c>
      <c r="Y265" s="385">
        <f t="shared" si="88"/>
        <v>35.432677399695386</v>
      </c>
      <c r="Z265" s="385">
        <f t="shared" si="89"/>
        <v>36.965849950087161</v>
      </c>
      <c r="AA265" s="386">
        <f t="shared" si="90"/>
        <v>42.054192485512928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0.12099489336713885</v>
      </c>
      <c r="AD265" s="231">
        <f>(INDEX(Models!$BJ265:$BT265,,AH265)*(1-AF265)+INDEX(Models!$BJ265:$BT265,,AH265+1)*AF265-ERP_i)*AE265*Ramure*Pc/MaxiM</f>
        <v>1.2853943606087573E-3</v>
      </c>
      <c r="AE265" s="305">
        <f t="shared" si="92"/>
        <v>0.7</v>
      </c>
      <c r="AF265" s="177">
        <f t="shared" si="93"/>
        <v>0.98810260203970368</v>
      </c>
      <c r="AG265" s="919">
        <f t="shared" si="99"/>
        <v>0</v>
      </c>
      <c r="AH265" s="176">
        <f t="shared" si="94"/>
        <v>6</v>
      </c>
      <c r="AI265" s="225">
        <f t="shared" si="95"/>
        <v>0.98810260203970368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1090">
        <f>IF(t&gt;Tmaj,'2022'!Wh/'2022'!Env_an*'2023'!Env_an,0.001*'[11]mon-tableau (3)'!$B$45)</f>
        <v>20.305962475129125</v>
      </c>
      <c r="C266" s="953"/>
      <c r="D266" s="393">
        <f t="shared" si="77"/>
        <v>21.185065822193785</v>
      </c>
      <c r="E266" s="385">
        <f t="shared" si="100"/>
        <v>21.762709945001291</v>
      </c>
      <c r="F266" s="385">
        <f t="shared" si="78"/>
        <v>21.768291082567931</v>
      </c>
      <c r="G266" s="110">
        <f t="shared" si="101"/>
        <v>0.43625722324244809</v>
      </c>
      <c r="H266" s="412" t="b">
        <f>Wh_hp&gt;='2022'!Maxi_hp</f>
        <v>0</v>
      </c>
      <c r="I266" s="390">
        <f>IF(H266,Wh_hp,'2022'!Maxi_hp)</f>
        <v>48.849649959056784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4.1496370813429273E-2</v>
      </c>
      <c r="M266" s="957"/>
      <c r="N266" s="957"/>
      <c r="O266" s="48">
        <f>IF(t&lt;Tnet,'2022'!Resal+('2022'!Salim-'2022'!Resal)*(1-EXP(('2022'!Tnet-t)/('2022'!Tau_j))),Resal+(Salim-Resal)*(1-EXP((Tnet-t)/(Tau_j))))*Salcycl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1.3127095614835205E-3</v>
      </c>
      <c r="Q266" s="305">
        <f t="shared" si="80"/>
        <v>0.7</v>
      </c>
      <c r="R266" s="177">
        <f t="shared" si="81"/>
        <v>0.98857849453905877</v>
      </c>
      <c r="S266" s="919">
        <f t="shared" si="82"/>
        <v>0</v>
      </c>
      <c r="T266" s="176">
        <f t="shared" si="83"/>
        <v>6</v>
      </c>
      <c r="U266" s="251">
        <f t="shared" si="84"/>
        <v>0.98857849453905877</v>
      </c>
      <c r="V266" s="383">
        <f t="shared" si="85"/>
        <v>46.496668194704839</v>
      </c>
      <c r="W266" s="402">
        <f t="shared" si="86"/>
        <v>20.305962475129125</v>
      </c>
      <c r="X266" s="157">
        <f t="shared" si="87"/>
        <v>45178</v>
      </c>
      <c r="Y266" s="385">
        <f t="shared" si="88"/>
        <v>18.335532909467059</v>
      </c>
      <c r="Z266" s="385">
        <f t="shared" si="89"/>
        <v>19.129330710022888</v>
      </c>
      <c r="AA266" s="386">
        <f t="shared" si="90"/>
        <v>21.762709945001291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0.12100419670314384</v>
      </c>
      <c r="AD266" s="231">
        <f>(INDEX(Models!$BJ266:$BT266,,AH266)*(1-AF266)+INDEX(Models!$BJ266:$BT266,,AH266+1)*AF266-ERP_i)*AE266*Ramure*Pc/MaxiM</f>
        <v>1.3127095614835205E-3</v>
      </c>
      <c r="AE266" s="305">
        <f t="shared" si="92"/>
        <v>0.7</v>
      </c>
      <c r="AF266" s="177">
        <f t="shared" si="93"/>
        <v>0.98857849453905877</v>
      </c>
      <c r="AG266" s="919">
        <f t="shared" si="99"/>
        <v>0</v>
      </c>
      <c r="AH266" s="176">
        <f t="shared" si="94"/>
        <v>6</v>
      </c>
      <c r="AI266" s="225">
        <f t="shared" si="95"/>
        <v>0.98857849453905877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1090">
        <f>IF(t&gt;Tmaj,'2022'!Wh/'2022'!Env_an*'2023'!Env_an,0.001*'[11]mon-tableau (3)'!$B$46)</f>
        <v>44.326291664201371</v>
      </c>
      <c r="C267" s="953"/>
      <c r="D267" s="393">
        <f t="shared" si="77"/>
        <v>46.246316858113659</v>
      </c>
      <c r="E267" s="385">
        <f t="shared" si="100"/>
        <v>47.513344361631972</v>
      </c>
      <c r="F267" s="385">
        <f t="shared" si="78"/>
        <v>47.573232765933085</v>
      </c>
      <c r="G267" s="110">
        <f t="shared" si="101"/>
        <v>0.95616289388995379</v>
      </c>
      <c r="H267" s="412" t="b">
        <f>Wh_hp&gt;='2022'!Maxi_hp</f>
        <v>0</v>
      </c>
      <c r="I267" s="390">
        <f>IF(H267,Wh_hp,'2022'!Maxi_hp)</f>
        <v>47.574516743281514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4.1517364502843157E-2</v>
      </c>
      <c r="M267" s="957"/>
      <c r="N267" s="957"/>
      <c r="O267" s="48">
        <f>IF(t&lt;Tnet,'2022'!Resal+('2022'!Salim-'2022'!Resal)*(1-EXP(('2022'!Tnet-t)/('2022'!Tau_j))),Resal+(Salim-Resal)*(1-EXP((Tnet-t)/(Tau_j))))*Salcycl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1.3428059629368545E-3</v>
      </c>
      <c r="Q267" s="305">
        <f t="shared" si="80"/>
        <v>0.7</v>
      </c>
      <c r="R267" s="177">
        <f t="shared" si="81"/>
        <v>0.9890360985467237</v>
      </c>
      <c r="S267" s="919">
        <f t="shared" si="82"/>
        <v>0</v>
      </c>
      <c r="T267" s="176">
        <f t="shared" si="83"/>
        <v>6</v>
      </c>
      <c r="U267" s="251">
        <f t="shared" si="84"/>
        <v>0.9890360985467237</v>
      </c>
      <c r="V267" s="383">
        <f t="shared" si="85"/>
        <v>46.354618636716879</v>
      </c>
      <c r="W267" s="402">
        <f t="shared" si="86"/>
        <v>44.326291664201371</v>
      </c>
      <c r="X267" s="157">
        <f t="shared" si="87"/>
        <v>45179</v>
      </c>
      <c r="Y267" s="385">
        <f t="shared" si="88"/>
        <v>40.029712174593548</v>
      </c>
      <c r="Z267" s="385">
        <f t="shared" si="89"/>
        <v>41.763627938685062</v>
      </c>
      <c r="AA267" s="386">
        <f t="shared" si="90"/>
        <v>47.513344361631972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0.12101266497228363</v>
      </c>
      <c r="AD267" s="231">
        <f>(INDEX(Models!$BJ267:$BT267,,AH267)*(1-AF267)+INDEX(Models!$BJ267:$BT267,,AH267+1)*AF267-ERP_i)*AE267*Ramure*Pc/MaxiM</f>
        <v>1.3428059629368545E-3</v>
      </c>
      <c r="AE267" s="305">
        <f t="shared" si="92"/>
        <v>0.7</v>
      </c>
      <c r="AF267" s="177">
        <f t="shared" si="93"/>
        <v>0.9890360985467237</v>
      </c>
      <c r="AG267" s="919">
        <f t="shared" si="99"/>
        <v>0</v>
      </c>
      <c r="AH267" s="176">
        <f t="shared" si="94"/>
        <v>6</v>
      </c>
      <c r="AI267" s="225">
        <f t="shared" si="95"/>
        <v>0.9890360985467237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1090">
        <f>IF(t&gt;Tmaj,'2022'!Wh/'2022'!Env_an*'2023'!Env_an,0.001*'[11]mon-tableau (3)'!$B$47)</f>
        <v>45.151258247689427</v>
      </c>
      <c r="C268" s="953"/>
      <c r="D268" s="393">
        <f t="shared" si="77"/>
        <v>47.108049249492304</v>
      </c>
      <c r="E268" s="385">
        <f t="shared" si="100"/>
        <v>48.404831304996847</v>
      </c>
      <c r="F268" s="385">
        <f t="shared" si="78"/>
        <v>48.469343081524194</v>
      </c>
      <c r="G268" s="110">
        <f t="shared" si="101"/>
        <v>0.97705438828313229</v>
      </c>
      <c r="H268" s="412" t="b">
        <f>Wh_hp&gt;='2022'!Maxi_hp</f>
        <v>0</v>
      </c>
      <c r="I268" s="390">
        <f>IF(H268,Wh_hp,'2022'!Maxi_hp)</f>
        <v>48.470044256349112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4.15383577324413E-2</v>
      </c>
      <c r="M268" s="957"/>
      <c r="N268" s="957"/>
      <c r="O268" s="48">
        <f>IF(t&lt;Tnet,'2022'!Resal+('2022'!Salim-'2022'!Resal)*(1-EXP(('2022'!Tnet-t)/('2022'!Tau_j))),Resal+(Salim-Resal)*(1-EXP((Tnet-t)/(Tau_j))))*Salcycl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1.3759989382601532E-3</v>
      </c>
      <c r="Q268" s="305">
        <f t="shared" si="80"/>
        <v>0.7</v>
      </c>
      <c r="R268" s="177">
        <f t="shared" si="81"/>
        <v>0.98947608383806041</v>
      </c>
      <c r="S268" s="919">
        <f t="shared" si="82"/>
        <v>0</v>
      </c>
      <c r="T268" s="176">
        <f t="shared" si="83"/>
        <v>6</v>
      </c>
      <c r="U268" s="251">
        <f t="shared" si="84"/>
        <v>0.98947608383806041</v>
      </c>
      <c r="V268" s="383">
        <f t="shared" si="85"/>
        <v>46.209528829988024</v>
      </c>
      <c r="W268" s="402">
        <f t="shared" si="86"/>
        <v>45.151258247689427</v>
      </c>
      <c r="X268" s="157">
        <f t="shared" si="87"/>
        <v>45180</v>
      </c>
      <c r="Y268" s="385">
        <f t="shared" si="88"/>
        <v>40.779538798270394</v>
      </c>
      <c r="Z268" s="385">
        <f t="shared" si="89"/>
        <v>42.546865727242754</v>
      </c>
      <c r="AA268" s="386">
        <f t="shared" si="90"/>
        <v>48.404831304996847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0.12102026636232437</v>
      </c>
      <c r="AD268" s="231">
        <f>(INDEX(Models!$BJ268:$BT268,,AH268)*(1-AF268)+INDEX(Models!$BJ268:$BT268,,AH268+1)*AF268-ERP_i)*AE268*Ramure*Pc/MaxiM</f>
        <v>1.3759989382601532E-3</v>
      </c>
      <c r="AE268" s="305">
        <f t="shared" si="92"/>
        <v>0.7</v>
      </c>
      <c r="AF268" s="177">
        <f t="shared" si="93"/>
        <v>0.98947608383806041</v>
      </c>
      <c r="AG268" s="919">
        <f t="shared" si="99"/>
        <v>0</v>
      </c>
      <c r="AH268" s="176">
        <f t="shared" si="94"/>
        <v>6</v>
      </c>
      <c r="AI268" s="225">
        <f t="shared" si="95"/>
        <v>0.98947608383806041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1090">
        <f>IF(t&gt;Tmaj,'2022'!Wh/'2022'!Env_an*'2023'!Env_an,0.001*'[11]mon-tableau (3)'!$B$48)</f>
        <v>31.75782989425068</v>
      </c>
      <c r="C269" s="953"/>
      <c r="D269" s="393">
        <f t="shared" si="77"/>
        <v>33.134894592473884</v>
      </c>
      <c r="E269" s="385">
        <f t="shared" si="100"/>
        <v>34.051336797486172</v>
      </c>
      <c r="F269" s="385">
        <f t="shared" si="78"/>
        <v>34.078078146003392</v>
      </c>
      <c r="G269" s="110">
        <f t="shared" si="101"/>
        <v>0.68903877932526014</v>
      </c>
      <c r="H269" s="412" t="b">
        <f>Wh_hp&gt;='2022'!Maxi_hp</f>
        <v>0</v>
      </c>
      <c r="I269" s="390">
        <f>IF(H269,Wh_hp,'2022'!Maxi_hp)</f>
        <v>49.547587041399964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4.1559350502234027E-2</v>
      </c>
      <c r="M269" s="957"/>
      <c r="N269" s="957"/>
      <c r="O269" s="48">
        <f>IF(t&lt;Tnet,'2022'!Resal+('2022'!Salim-'2022'!Resal)*(1-EXP(('2022'!Tnet-t)/('2022'!Tau_j))),Resal+(Salim-Resal)*(1-EXP((Tnet-t)/(Tau_j))))*Salcycl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1.4103655536160582E-3</v>
      </c>
      <c r="Q269" s="305">
        <f t="shared" si="80"/>
        <v>0.7</v>
      </c>
      <c r="R269" s="177">
        <f t="shared" si="81"/>
        <v>0.98989909821964739</v>
      </c>
      <c r="S269" s="919">
        <f t="shared" si="82"/>
        <v>0</v>
      </c>
      <c r="T269" s="176">
        <f t="shared" si="83"/>
        <v>6</v>
      </c>
      <c r="U269" s="251">
        <f t="shared" si="84"/>
        <v>0.98989909821964739</v>
      </c>
      <c r="V269" s="383">
        <f t="shared" si="85"/>
        <v>46.061188025700581</v>
      </c>
      <c r="W269" s="402">
        <f t="shared" si="86"/>
        <v>31.75782989425068</v>
      </c>
      <c r="X269" s="157">
        <f t="shared" si="87"/>
        <v>45181</v>
      </c>
      <c r="Y269" s="385">
        <f t="shared" si="88"/>
        <v>28.686326800822123</v>
      </c>
      <c r="Z269" s="385">
        <f t="shared" si="89"/>
        <v>29.930206753912294</v>
      </c>
      <c r="AA269" s="386">
        <f t="shared" si="90"/>
        <v>34.051336797486172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0.1210269678422175</v>
      </c>
      <c r="AD269" s="231">
        <f>(INDEX(Models!$BJ269:$BT269,,AH269)*(1-AF269)+INDEX(Models!$BJ269:$BT269,,AH269+1)*AF269-ERP_i)*AE269*Ramure*Pc/MaxiM</f>
        <v>1.4103655536160582E-3</v>
      </c>
      <c r="AE269" s="305">
        <f t="shared" si="92"/>
        <v>0.7</v>
      </c>
      <c r="AF269" s="177">
        <f t="shared" si="93"/>
        <v>0.98989909821964739</v>
      </c>
      <c r="AG269" s="919">
        <f t="shared" si="99"/>
        <v>0</v>
      </c>
      <c r="AH269" s="176">
        <f t="shared" si="94"/>
        <v>6</v>
      </c>
      <c r="AI269" s="225">
        <f t="shared" si="95"/>
        <v>0.98989909821964739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1090">
        <f>IF(t&gt;Tmaj,'2022'!Wh/'2022'!Env_an*'2023'!Env_an,0.001*'[11]mon-tableau (3)'!$B$49)</f>
        <v>11.473560307502559</v>
      </c>
      <c r="C270" s="953"/>
      <c r="D270" s="393">
        <f t="shared" si="77"/>
        <v>11.971332413160967</v>
      </c>
      <c r="E270" s="385">
        <f t="shared" si="100"/>
        <v>12.303987548013666</v>
      </c>
      <c r="F270" s="385">
        <f t="shared" si="78"/>
        <v>12.303987548013666</v>
      </c>
      <c r="G270" s="110">
        <f t="shared" si="101"/>
        <v>0.24955665994987888</v>
      </c>
      <c r="H270" s="412" t="b">
        <f>Wh_hp&gt;='2022'!Maxi_hp</f>
        <v>0</v>
      </c>
      <c r="I270" s="390">
        <f>IF(H270,Wh_hp,'2022'!Maxi_hp)</f>
        <v>47.552887947991515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4.1580342812231108E-2</v>
      </c>
      <c r="M270" s="957"/>
      <c r="N270" s="957"/>
      <c r="O270" s="48">
        <f>IF(t&lt;Tnet,'2022'!Resal+('2022'!Salim-'2022'!Resal)*(1-EXP(('2022'!Tnet-t)/('2022'!Tau_j))),Resal+(Salim-Resal)*(1-EXP((Tnet-t)/(Tau_j))))*Salcycl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1.4459208559102817E-3</v>
      </c>
      <c r="Q270" s="305">
        <f t="shared" si="80"/>
        <v>0.7</v>
      </c>
      <c r="R270" s="177">
        <f t="shared" si="81"/>
        <v>0.99030576804785753</v>
      </c>
      <c r="S270" s="919">
        <f t="shared" si="82"/>
        <v>0</v>
      </c>
      <c r="T270" s="176">
        <f t="shared" si="83"/>
        <v>6</v>
      </c>
      <c r="U270" s="251">
        <f t="shared" si="84"/>
        <v>0.99030576804785753</v>
      </c>
      <c r="V270" s="383">
        <f t="shared" si="85"/>
        <v>45.909295506933873</v>
      </c>
      <c r="W270" s="402">
        <f t="shared" si="86"/>
        <v>11.473560307502559</v>
      </c>
      <c r="X270" s="157">
        <f t="shared" si="87"/>
        <v>45182</v>
      </c>
      <c r="Y270" s="385">
        <f t="shared" si="88"/>
        <v>10.365119095202974</v>
      </c>
      <c r="Z270" s="385">
        <f t="shared" si="89"/>
        <v>10.814802281514861</v>
      </c>
      <c r="AA270" s="386">
        <f t="shared" si="90"/>
        <v>12.303987548013666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0.12103273517528999</v>
      </c>
      <c r="AD270" s="231">
        <f>(INDEX(Models!$BJ270:$BT270,,AH270)*(1-AF270)+INDEX(Models!$BJ270:$BT270,,AH270+1)*AF270-ERP_i)*AE270*Ramure*Pc/MaxiM</f>
        <v>1.4459208559102817E-3</v>
      </c>
      <c r="AE270" s="305">
        <f t="shared" si="92"/>
        <v>0.7</v>
      </c>
      <c r="AF270" s="177">
        <f t="shared" si="93"/>
        <v>0.99030576804785753</v>
      </c>
      <c r="AG270" s="919">
        <f t="shared" si="99"/>
        <v>0</v>
      </c>
      <c r="AH270" s="176">
        <f t="shared" si="94"/>
        <v>6</v>
      </c>
      <c r="AI270" s="225">
        <f t="shared" si="95"/>
        <v>0.99030576804785753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1090">
        <f>IF(t&gt;Tmaj,'2022'!Wh/'2022'!Env_an*'2023'!Env_an,0.001*'[11]mon-tableau (3)'!$B$50)</f>
        <v>34.68109258642351</v>
      </c>
      <c r="C271" s="953"/>
      <c r="D271" s="393">
        <f t="shared" ref="D271:D334" si="102">Wh/(1-Ppv)</f>
        <v>36.186499252071151</v>
      </c>
      <c r="E271" s="385">
        <f t="shared" si="100"/>
        <v>37.196717469352421</v>
      </c>
      <c r="F271" s="385">
        <f t="shared" ref="F271:F334" si="103">Wh_sa/(1-Pvg*MEDIAN((-Sdif+Wh/Env_an)/Csdif,0,1))</f>
        <v>37.232836757586384</v>
      </c>
      <c r="G271" s="110">
        <f t="shared" si="101"/>
        <v>0.75760892012657766</v>
      </c>
      <c r="H271" s="412" t="b">
        <f>Wh_hp&gt;='2022'!Maxi_hp</f>
        <v>0</v>
      </c>
      <c r="I271" s="390">
        <f>IF(H271,Wh_hp,'2022'!Maxi_hp)</f>
        <v>47.223329847400791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4.1601334662442646E-2</v>
      </c>
      <c r="M271" s="957"/>
      <c r="N271" s="957"/>
      <c r="O271" s="48">
        <f>IF(t&lt;Tnet,'2022'!Resal+('2022'!Salim-'2022'!Resal)*(1-EXP(('2022'!Tnet-t)/('2022'!Tau_j))),Resal+(Salim-Resal)*(1-EXP((Tnet-t)/(Tau_j))))*Salcycl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1.4826808182076027E-3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0.99069669875229305</v>
      </c>
      <c r="S271" s="919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0.99069669875229305</v>
      </c>
      <c r="V271" s="383">
        <f t="shared" ref="V271:V334" si="110">MaxiM*(1-Ppv)*(1-Pvg)*(1-Psa)</f>
        <v>45.753550774665889</v>
      </c>
      <c r="W271" s="402">
        <f t="shared" ref="W271:W334" si="111">Wh*(A271&gt;Tmaj)</f>
        <v>34.68109258642351</v>
      </c>
      <c r="X271" s="157">
        <f t="shared" ref="X271:X334" si="112">t</f>
        <v>45183</v>
      </c>
      <c r="Y271" s="385">
        <f t="shared" ref="Y271:Y334" si="113">Wh_pvt_s*(1-Ppv)</f>
        <v>31.334382945108256</v>
      </c>
      <c r="Z271" s="385">
        <f t="shared" ref="Z271:Z334" si="114">Wh_sa_s*(1-Psa_s)</f>
        <v>32.694518553061613</v>
      </c>
      <c r="AA271" s="386">
        <f t="shared" ref="AA271:AA334" si="115">Wh_hp*(1-Pvg_s*MEDIAN((-Sdif+Wh/Env_an)/Csdif,0,1))</f>
        <v>37.196717469352421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0.12103753294898439</v>
      </c>
      <c r="AD271" s="231">
        <f>(INDEX(Models!$BJ271:$BT271,,AH271)*(1-AF271)+INDEX(Models!$BJ271:$BT271,,AH271+1)*AF271-ERP_i)*AE271*Ramure*Pc/MaxiM</f>
        <v>1.4826808182076027E-3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0.99069669875229305</v>
      </c>
      <c r="AG271" s="919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0.99069669875229305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1090">
        <f>IF(t&gt;Tmaj,'2022'!Wh/'2022'!Env_an*'2023'!Env_an,0.001*'[11]mon-tableau (3)'!$B$51)</f>
        <v>39.798432388766798</v>
      </c>
      <c r="C272" s="953"/>
      <c r="D272" s="393">
        <f t="shared" si="102"/>
        <v>41.526877629416369</v>
      </c>
      <c r="E272" s="385">
        <f t="shared" si="100"/>
        <v>42.69153828764194</v>
      </c>
      <c r="F272" s="385">
        <f t="shared" si="103"/>
        <v>42.744735855624647</v>
      </c>
      <c r="G272" s="110">
        <f t="shared" si="101"/>
        <v>0.87265280134242629</v>
      </c>
      <c r="H272" s="412" t="b">
        <f>Wh_hp&gt;='2022'!Maxi_hp</f>
        <v>0</v>
      </c>
      <c r="I272" s="390">
        <f>IF(H272,Wh_hp,'2022'!Maxi_hp)</f>
        <v>48.01660304214726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4.1622326052878855E-2</v>
      </c>
      <c r="M272" s="957"/>
      <c r="N272" s="957"/>
      <c r="O272" s="48">
        <f>IF(t&lt;Tnet,'2022'!Resal+('2022'!Salim-'2022'!Resal)*(1-EXP(('2022'!Tnet-t)/('2022'!Tau_j))),Resal+(Salim-Resal)*(1-EXP((Tnet-t)/(Tau_j))))*Salcycl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1.5206624107728789E-3</v>
      </c>
      <c r="Q272" s="305">
        <f t="shared" si="105"/>
        <v>0.7</v>
      </c>
      <c r="R272" s="177">
        <f t="shared" si="106"/>
        <v>0.99107247536219112</v>
      </c>
      <c r="S272" s="919">
        <f t="shared" si="107"/>
        <v>0</v>
      </c>
      <c r="T272" s="176">
        <f t="shared" si="108"/>
        <v>6</v>
      </c>
      <c r="U272" s="251">
        <f t="shared" si="109"/>
        <v>0.99107247536219112</v>
      </c>
      <c r="V272" s="383">
        <f t="shared" si="110"/>
        <v>45.593653543487314</v>
      </c>
      <c r="W272" s="402">
        <f t="shared" si="111"/>
        <v>39.798432388766798</v>
      </c>
      <c r="X272" s="157">
        <f t="shared" si="112"/>
        <v>45184</v>
      </c>
      <c r="Y272" s="385">
        <f t="shared" si="113"/>
        <v>35.962257703706392</v>
      </c>
      <c r="Z272" s="385">
        <f t="shared" si="114"/>
        <v>37.52409794313575</v>
      </c>
      <c r="AA272" s="386">
        <f t="shared" si="115"/>
        <v>42.69153828764194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0.12104132462244936</v>
      </c>
      <c r="AD272" s="231">
        <f>(INDEX(Models!$BJ272:$BT272,,AH272)*(1-AF272)+INDEX(Models!$BJ272:$BT272,,AH272+1)*AF272-ERP_i)*AE272*Ramure*Pc/MaxiM</f>
        <v>1.5206624107728789E-3</v>
      </c>
      <c r="AE272" s="305">
        <f t="shared" si="117"/>
        <v>0.7</v>
      </c>
      <c r="AF272" s="177">
        <f t="shared" si="118"/>
        <v>0.99107247536219112</v>
      </c>
      <c r="AG272" s="919">
        <f t="shared" ref="AG272:AG335" si="124">INDEX(Echel_vg,AH272)</f>
        <v>0</v>
      </c>
      <c r="AH272" s="176">
        <f t="shared" si="119"/>
        <v>6</v>
      </c>
      <c r="AI272" s="225">
        <f t="shared" si="120"/>
        <v>0.99107247536219112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1090">
        <f>IF(t&gt;Tmaj,'2022'!Wh/'2022'!Env_an*'2023'!Env_an,0.001*'[11]mon-tableau (3)'!$B$52)</f>
        <v>26.503454604093324</v>
      </c>
      <c r="C273" s="953"/>
      <c r="D273" s="393">
        <f t="shared" si="102"/>
        <v>27.65510490381627</v>
      </c>
      <c r="E273" s="385">
        <f t="shared" si="100"/>
        <v>28.4342736783032</v>
      </c>
      <c r="F273" s="385">
        <f t="shared" si="103"/>
        <v>28.452242122488943</v>
      </c>
      <c r="G273" s="110">
        <f t="shared" si="101"/>
        <v>0.58285802976089807</v>
      </c>
      <c r="H273" s="412" t="b">
        <f>Wh_hp&gt;='2022'!Maxi_hp</f>
        <v>0</v>
      </c>
      <c r="I273" s="390">
        <f>IF(H273,Wh_hp,'2022'!Maxi_hp)</f>
        <v>47.259197332077989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4.1643316983549838E-2</v>
      </c>
      <c r="M273" s="957"/>
      <c r="N273" s="957"/>
      <c r="O273" s="48">
        <f>IF(t&lt;Tnet,'2022'!Resal+('2022'!Salim-'2022'!Resal)*(1-EXP(('2022'!Tnet-t)/('2022'!Tau_j))),Resal+(Salim-Resal)*(1-EXP((Tnet-t)/(Tau_j))))*Salcycl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1.5598836780270037E-3</v>
      </c>
      <c r="Q273" s="305">
        <f t="shared" si="105"/>
        <v>0.7</v>
      </c>
      <c r="R273" s="177">
        <f t="shared" si="106"/>
        <v>0.99143366303408675</v>
      </c>
      <c r="S273" s="919">
        <f t="shared" si="107"/>
        <v>0</v>
      </c>
      <c r="T273" s="176">
        <f t="shared" si="108"/>
        <v>6</v>
      </c>
      <c r="U273" s="251">
        <f t="shared" si="109"/>
        <v>0.99143366303408675</v>
      </c>
      <c r="V273" s="383">
        <f t="shared" si="110"/>
        <v>45.429303747915355</v>
      </c>
      <c r="W273" s="402">
        <f t="shared" si="111"/>
        <v>26.503454604093324</v>
      </c>
      <c r="X273" s="157">
        <f t="shared" si="112"/>
        <v>45185</v>
      </c>
      <c r="Y273" s="385">
        <f t="shared" si="113"/>
        <v>23.951703899427951</v>
      </c>
      <c r="Z273" s="385">
        <f t="shared" si="114"/>
        <v>24.99247339105457</v>
      </c>
      <c r="AA273" s="386">
        <f t="shared" si="115"/>
        <v>28.4342736783032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0.12104407259310095</v>
      </c>
      <c r="AD273" s="231">
        <f>(INDEX(Models!$BJ273:$BT273,,AH273)*(1-AF273)+INDEX(Models!$BJ273:$BT273,,AH273+1)*AF273-ERP_i)*AE273*Ramure*Pc/MaxiM</f>
        <v>1.5598836780270037E-3</v>
      </c>
      <c r="AE273" s="305">
        <f t="shared" si="117"/>
        <v>0.7</v>
      </c>
      <c r="AF273" s="177">
        <f t="shared" si="118"/>
        <v>0.99143366303408675</v>
      </c>
      <c r="AG273" s="919">
        <f t="shared" si="124"/>
        <v>0</v>
      </c>
      <c r="AH273" s="176">
        <f t="shared" si="119"/>
        <v>6</v>
      </c>
      <c r="AI273" s="225">
        <f t="shared" si="120"/>
        <v>0.99143366303408675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1090">
        <f>IF(t&gt;Tmaj,'2022'!Wh/'2022'!Env_an*'2023'!Env_an,0.001*'[11]mon-tableau (3)'!$B$53)</f>
        <v>46.741904690848187</v>
      </c>
      <c r="C274" s="953"/>
      <c r="D274" s="393">
        <f t="shared" si="102"/>
        <v>48.774041345253643</v>
      </c>
      <c r="E274" s="385">
        <f t="shared" si="100"/>
        <v>50.154475352947827</v>
      </c>
      <c r="F274" s="385">
        <f t="shared" si="103"/>
        <v>50.234869420638525</v>
      </c>
      <c r="G274" s="110">
        <f t="shared" si="101"/>
        <v>1.0327374405723733</v>
      </c>
      <c r="H274" s="412" t="b">
        <f>Wh_hp&gt;='2022'!Maxi_hp</f>
        <v>1</v>
      </c>
      <c r="I274" s="390">
        <f>IF(H274,Wh_hp,'2022'!Maxi_hp)</f>
        <v>50.234869420638525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4.1664307454465477E-2</v>
      </c>
      <c r="M274" s="957"/>
      <c r="N274" s="957"/>
      <c r="O274" s="48">
        <f>IF(t&lt;Tnet,'2022'!Resal+('2022'!Salim-'2022'!Resal)*(1-EXP(('2022'!Tnet-t)/('2022'!Tau_j))),Resal+(Salim-Resal)*(1-EXP((Tnet-t)/(Tau_j))))*Salcycl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1.6003638233340854E-3</v>
      </c>
      <c r="Q274" s="305">
        <f t="shared" si="105"/>
        <v>0.7</v>
      </c>
      <c r="R274" s="177">
        <f t="shared" si="106"/>
        <v>0.99178080757918508</v>
      </c>
      <c r="S274" s="919">
        <f t="shared" si="107"/>
        <v>0</v>
      </c>
      <c r="T274" s="176">
        <f t="shared" si="108"/>
        <v>6</v>
      </c>
      <c r="U274" s="251">
        <f t="shared" si="109"/>
        <v>0.99178080757918508</v>
      </c>
      <c r="V274" s="383">
        <f t="shared" si="110"/>
        <v>45.260201532872145</v>
      </c>
      <c r="W274" s="402">
        <f t="shared" si="111"/>
        <v>46.741904690848187</v>
      </c>
      <c r="X274" s="157">
        <f t="shared" si="112"/>
        <v>45186</v>
      </c>
      <c r="Y274" s="385">
        <f t="shared" si="113"/>
        <v>42.246781780638365</v>
      </c>
      <c r="Z274" s="385">
        <f t="shared" si="114"/>
        <v>44.083489855649972</v>
      </c>
      <c r="AA274" s="386">
        <f t="shared" si="115"/>
        <v>50.154475352947827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0.12104573828307498</v>
      </c>
      <c r="AD274" s="231">
        <f>(INDEX(Models!$BJ274:$BT274,,AH274)*(1-AF274)+INDEX(Models!$BJ274:$BT274,,AH274+1)*AF274-ERP_i)*AE274*Ramure*Pc/MaxiM</f>
        <v>1.6003638233340854E-3</v>
      </c>
      <c r="AE274" s="305">
        <f t="shared" si="117"/>
        <v>0.7</v>
      </c>
      <c r="AF274" s="177">
        <f t="shared" si="118"/>
        <v>0.99178080757918508</v>
      </c>
      <c r="AG274" s="919">
        <f t="shared" si="124"/>
        <v>0</v>
      </c>
      <c r="AH274" s="176">
        <f t="shared" si="119"/>
        <v>6</v>
      </c>
      <c r="AI274" s="225">
        <f t="shared" si="120"/>
        <v>0.99178080757918508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1090">
        <f>IF(t&gt;Tmaj,'2022'!Wh/'2022'!Env_an*'2023'!Env_an,0.001*'[11]mon-tableau (3)'!$B$54)</f>
        <v>45.203064655660995</v>
      </c>
      <c r="C275" s="953"/>
      <c r="D275" s="393">
        <f t="shared" si="102"/>
        <v>47.169332304009039</v>
      </c>
      <c r="E275" s="385">
        <f t="shared" si="100"/>
        <v>48.510372704481682</v>
      </c>
      <c r="F275" s="385">
        <f t="shared" si="103"/>
        <v>48.590162662386255</v>
      </c>
      <c r="G275" s="110">
        <f t="shared" si="101"/>
        <v>1.0025818254182672</v>
      </c>
      <c r="H275" s="412" t="b">
        <f>Wh_hp&gt;='2022'!Maxi_hp</f>
        <v>1</v>
      </c>
      <c r="I275" s="390">
        <f>IF(H275,Wh_hp,'2022'!Maxi_hp)</f>
        <v>48.590162662386255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4.1685297465635873E-2</v>
      </c>
      <c r="M275" s="957"/>
      <c r="N275" s="957"/>
      <c r="O275" s="48">
        <f>IF(t&lt;Tnet,'2022'!Resal+('2022'!Salim-'2022'!Resal)*(1-EXP(('2022'!Tnet-t)/('2022'!Tau_j))),Resal+(Salim-Resal)*(1-EXP((Tnet-t)/(Tau_j))))*Salcycl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1.6421010659908046E-3</v>
      </c>
      <c r="Q275" s="305">
        <f t="shared" si="105"/>
        <v>0.7</v>
      </c>
      <c r="R275" s="177">
        <f t="shared" si="106"/>
        <v>0.99211443598904292</v>
      </c>
      <c r="S275" s="919">
        <f t="shared" si="107"/>
        <v>0</v>
      </c>
      <c r="T275" s="176">
        <f t="shared" si="108"/>
        <v>6</v>
      </c>
      <c r="U275" s="251">
        <f t="shared" si="109"/>
        <v>0.99211443598904292</v>
      </c>
      <c r="V275" s="383">
        <f t="shared" si="110"/>
        <v>45.086658774013507</v>
      </c>
      <c r="W275" s="402">
        <f t="shared" si="111"/>
        <v>45.203064655660995</v>
      </c>
      <c r="X275" s="157">
        <f t="shared" si="112"/>
        <v>45187</v>
      </c>
      <c r="Y275" s="385">
        <f t="shared" si="113"/>
        <v>40.860979199684998</v>
      </c>
      <c r="Z275" s="385">
        <f t="shared" si="114"/>
        <v>42.638372438222888</v>
      </c>
      <c r="AA275" s="386">
        <f t="shared" si="115"/>
        <v>48.510372704481682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0.1210462822462773</v>
      </c>
      <c r="AD275" s="231">
        <f>(INDEX(Models!$BJ275:$BT275,,AH275)*(1-AF275)+INDEX(Models!$BJ275:$BT275,,AH275+1)*AF275-ERP_i)*AE275*Ramure*Pc/MaxiM</f>
        <v>1.6421010659908046E-3</v>
      </c>
      <c r="AE275" s="305">
        <f t="shared" si="117"/>
        <v>0.7</v>
      </c>
      <c r="AF275" s="177">
        <f t="shared" si="118"/>
        <v>0.99211443598904292</v>
      </c>
      <c r="AG275" s="919">
        <f t="shared" si="124"/>
        <v>0</v>
      </c>
      <c r="AH275" s="176">
        <f t="shared" si="119"/>
        <v>6</v>
      </c>
      <c r="AI275" s="225">
        <f t="shared" si="120"/>
        <v>0.99211443598904292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1090">
        <f>IF(t&gt;Tmaj,'2022'!Wh/'2022'!Env_an*'2023'!Env_an,0.001*'[11]mon-tableau (3)'!$B$55)</f>
        <v>44.63981779114922</v>
      </c>
      <c r="C276" s="953"/>
      <c r="D276" s="393">
        <f t="shared" si="102"/>
        <v>46.582605297697953</v>
      </c>
      <c r="E276" s="385">
        <f t="shared" si="100"/>
        <v>47.912893212611287</v>
      </c>
      <c r="F276" s="385">
        <f t="shared" si="103"/>
        <v>47.993115071131363</v>
      </c>
      <c r="G276" s="110">
        <f t="shared" si="101"/>
        <v>0.99398737969033235</v>
      </c>
      <c r="H276" s="412" t="b">
        <f>Wh_hp&gt;='2022'!Maxi_hp</f>
        <v>0</v>
      </c>
      <c r="I276" s="390">
        <f>IF(H276,Wh_hp,'2022'!Maxi_hp)</f>
        <v>47.993332219109192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4.1706287017071242E-2</v>
      </c>
      <c r="M276" s="957"/>
      <c r="N276" s="957"/>
      <c r="O276" s="48">
        <f>IF(t&lt;Tnet,'2022'!Resal+('2022'!Salim-'2022'!Resal)*(1-EXP(('2022'!Tnet-t)/('2022'!Tau_j))),Resal+(Salim-Resal)*(1-EXP((Tnet-t)/(Tau_j))))*Salcycl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1.6859754458929167E-3</v>
      </c>
      <c r="Q276" s="305">
        <f t="shared" si="105"/>
        <v>0.7</v>
      </c>
      <c r="R276" s="177">
        <f t="shared" si="106"/>
        <v>0.99243505695830447</v>
      </c>
      <c r="S276" s="919">
        <f t="shared" si="107"/>
        <v>0</v>
      </c>
      <c r="T276" s="176">
        <f t="shared" si="108"/>
        <v>6</v>
      </c>
      <c r="U276" s="251">
        <f t="shared" si="109"/>
        <v>0.99243505695830447</v>
      </c>
      <c r="V276" s="383">
        <f t="shared" si="110"/>
        <v>44.909193731601391</v>
      </c>
      <c r="W276" s="402">
        <f t="shared" si="111"/>
        <v>44.63981779114922</v>
      </c>
      <c r="X276" s="157">
        <f t="shared" si="112"/>
        <v>45188</v>
      </c>
      <c r="Y276" s="385">
        <f t="shared" si="113"/>
        <v>40.356858132735404</v>
      </c>
      <c r="Z276" s="385">
        <f t="shared" si="114"/>
        <v>42.113245225323034</v>
      </c>
      <c r="AA276" s="386">
        <f t="shared" si="115"/>
        <v>47.912893212611287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0.12104566429650944</v>
      </c>
      <c r="AD276" s="231">
        <f>(INDEX(Models!$BJ276:$BT276,,AH276)*(1-AF276)+INDEX(Models!$BJ276:$BT276,,AH276+1)*AF276-ERP_i)*AE276*Ramure*Pc/MaxiM</f>
        <v>1.6859754458929167E-3</v>
      </c>
      <c r="AE276" s="305">
        <f t="shared" si="117"/>
        <v>0.7</v>
      </c>
      <c r="AF276" s="177">
        <f t="shared" si="118"/>
        <v>0.99243505695830447</v>
      </c>
      <c r="AG276" s="919">
        <f t="shared" si="124"/>
        <v>0</v>
      </c>
      <c r="AH276" s="176">
        <f t="shared" si="119"/>
        <v>6</v>
      </c>
      <c r="AI276" s="225">
        <f t="shared" si="120"/>
        <v>0.99243505695830447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1090">
        <f>IF(t&gt;Tmaj,'2022'!Wh/'2022'!Env_an*'2023'!Env_an,0.001*'[11]mon-tableau (3)'!$B$56)</f>
        <v>45.97944388432964</v>
      </c>
      <c r="C277" s="953"/>
      <c r="D277" s="393">
        <f t="shared" si="102"/>
        <v>47.981584717994281</v>
      </c>
      <c r="E277" s="385">
        <f t="shared" si="100"/>
        <v>49.357908684791397</v>
      </c>
      <c r="F277" s="385">
        <f t="shared" si="103"/>
        <v>49.443507967747351</v>
      </c>
      <c r="G277" s="110">
        <f t="shared" si="101"/>
        <v>1.0279810502340776</v>
      </c>
      <c r="H277" s="412" t="b">
        <f>Wh_hp&gt;='2022'!Maxi_hp</f>
        <v>1</v>
      </c>
      <c r="I277" s="390">
        <f>IF(H277,Wh_hp,'2022'!Maxi_hp)</f>
        <v>49.443507967747351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4.1727276108781575E-2</v>
      </c>
      <c r="M277" s="957"/>
      <c r="N277" s="957"/>
      <c r="O277" s="48">
        <f>IF(t&lt;Tnet,'2022'!Resal+('2022'!Salim-'2022'!Resal)*(1-EXP(('2022'!Tnet-t)/('2022'!Tau_j))),Resal+(Salim-Resal)*(1-EXP((Tnet-t)/(Tau_j))))*Salcycl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1.7312542429593126E-3</v>
      </c>
      <c r="Q277" s="305">
        <f t="shared" si="105"/>
        <v>0.7</v>
      </c>
      <c r="R277" s="177">
        <f t="shared" si="106"/>
        <v>0.99274316140336327</v>
      </c>
      <c r="S277" s="919">
        <f t="shared" si="107"/>
        <v>0</v>
      </c>
      <c r="T277" s="176">
        <f t="shared" si="108"/>
        <v>6</v>
      </c>
      <c r="U277" s="251">
        <f t="shared" si="109"/>
        <v>0.99274316140336327</v>
      </c>
      <c r="V277" s="383">
        <f t="shared" si="110"/>
        <v>44.72790998808766</v>
      </c>
      <c r="W277" s="402">
        <f t="shared" si="111"/>
        <v>45.97944388432964</v>
      </c>
      <c r="X277" s="157">
        <f t="shared" si="112"/>
        <v>45189</v>
      </c>
      <c r="Y277" s="385">
        <f t="shared" si="113"/>
        <v>41.573165019148121</v>
      </c>
      <c r="Z277" s="385">
        <f t="shared" si="114"/>
        <v>43.383437702717544</v>
      </c>
      <c r="AA277" s="386">
        <f t="shared" si="115"/>
        <v>49.357908684791397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0.12104384365690843</v>
      </c>
      <c r="AD277" s="231">
        <f>(INDEX(Models!$BJ277:$BT277,,AH277)*(1-AF277)+INDEX(Models!$BJ277:$BT277,,AH277+1)*AF277-ERP_i)*AE277*Ramure*Pc/MaxiM</f>
        <v>1.7312542429593126E-3</v>
      </c>
      <c r="AE277" s="305">
        <f t="shared" si="117"/>
        <v>0.7</v>
      </c>
      <c r="AF277" s="177">
        <f t="shared" si="118"/>
        <v>0.99274316140336327</v>
      </c>
      <c r="AG277" s="919">
        <f t="shared" si="124"/>
        <v>0</v>
      </c>
      <c r="AH277" s="176">
        <f t="shared" si="119"/>
        <v>6</v>
      </c>
      <c r="AI277" s="225">
        <f t="shared" si="120"/>
        <v>0.99274316140336327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1090">
        <f>IF(t&gt;Tmaj,'2022'!Wh/'2022'!Env_an*'2023'!Env_an,0.001*'[11]mon-tableau (3)'!$B$57)</f>
        <v>44.963584495641435</v>
      </c>
      <c r="C278" s="953"/>
      <c r="D278" s="393">
        <f t="shared" si="102"/>
        <v>46.922518208096996</v>
      </c>
      <c r="E278" s="385">
        <f t="shared" si="100"/>
        <v>48.274391673853891</v>
      </c>
      <c r="F278" s="385">
        <f t="shared" si="103"/>
        <v>48.360373595586253</v>
      </c>
      <c r="G278" s="110">
        <f t="shared" si="101"/>
        <v>1.0094449846448981</v>
      </c>
      <c r="H278" s="412" t="b">
        <f>Wh_hp&gt;='2022'!Maxi_hp</f>
        <v>1</v>
      </c>
      <c r="I278" s="390">
        <f>IF(H278,Wh_hp,'2022'!Maxi_hp)</f>
        <v>48.360373595586253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4.1748264740776975E-2</v>
      </c>
      <c r="M278" s="957"/>
      <c r="N278" s="957"/>
      <c r="O278" s="48">
        <f>IF(t&lt;Tnet,'2022'!Resal+('2022'!Salim-'2022'!Resal)*(1-EXP(('2022'!Tnet-t)/('2022'!Tau_j))),Resal+(Salim-Resal)*(1-EXP((Tnet-t)/(Tau_j))))*Salcycl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1.7779416356745064E-3</v>
      </c>
      <c r="Q278" s="305">
        <f t="shared" si="105"/>
        <v>0.7</v>
      </c>
      <c r="R278" s="177">
        <f t="shared" si="106"/>
        <v>0.99303922297595093</v>
      </c>
      <c r="S278" s="919">
        <f t="shared" si="107"/>
        <v>0</v>
      </c>
      <c r="T278" s="176">
        <f t="shared" si="108"/>
        <v>6</v>
      </c>
      <c r="U278" s="251">
        <f t="shared" si="109"/>
        <v>0.99303922297595093</v>
      </c>
      <c r="V278" s="383">
        <f t="shared" si="110"/>
        <v>44.542877699727924</v>
      </c>
      <c r="W278" s="402">
        <f t="shared" si="111"/>
        <v>44.963584495641435</v>
      </c>
      <c r="X278" s="157">
        <f t="shared" si="112"/>
        <v>45190</v>
      </c>
      <c r="Y278" s="385">
        <f t="shared" si="113"/>
        <v>40.659791817051932</v>
      </c>
      <c r="Z278" s="385">
        <f t="shared" si="114"/>
        <v>42.431221693590551</v>
      </c>
      <c r="AA278" s="386">
        <f t="shared" si="115"/>
        <v>48.274391673853891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0.12104077913068931</v>
      </c>
      <c r="AD278" s="231">
        <f>(INDEX(Models!$BJ278:$BT278,,AH278)*(1-AF278)+INDEX(Models!$BJ278:$BT278,,AH278+1)*AF278-ERP_i)*AE278*Ramure*Pc/MaxiM</f>
        <v>1.7779416356745064E-3</v>
      </c>
      <c r="AE278" s="305">
        <f t="shared" si="117"/>
        <v>0.7</v>
      </c>
      <c r="AF278" s="177">
        <f t="shared" si="118"/>
        <v>0.99303922297595093</v>
      </c>
      <c r="AG278" s="919">
        <f t="shared" si="124"/>
        <v>0</v>
      </c>
      <c r="AH278" s="176">
        <f t="shared" si="119"/>
        <v>6</v>
      </c>
      <c r="AI278" s="225">
        <f t="shared" si="120"/>
        <v>0.99303922297595093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1090">
        <f>IF(t&gt;Tmaj,'2022'!Wh/'2022'!Env_an*'2023'!Env_an,0.001*'[11]mon-tableau (3)'!$B$58)</f>
        <v>43.72189954812049</v>
      </c>
      <c r="C279" s="953"/>
      <c r="D279" s="393">
        <f t="shared" si="102"/>
        <v>45.62773599264807</v>
      </c>
      <c r="E279" s="385">
        <f t="shared" si="100"/>
        <v>46.948048354042179</v>
      </c>
      <c r="F279" s="385">
        <f t="shared" si="103"/>
        <v>47.032182126495769</v>
      </c>
      <c r="G279" s="110">
        <f t="shared" si="101"/>
        <v>0.98570830515633845</v>
      </c>
      <c r="H279" s="412" t="b">
        <f>Wh_hp&gt;='2022'!Maxi_hp</f>
        <v>0</v>
      </c>
      <c r="I279" s="390">
        <f>IF(H279,Wh_hp,'2022'!Maxi_hp)</f>
        <v>47.032719072917807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4.1769252913067323E-2</v>
      </c>
      <c r="M279" s="957"/>
      <c r="N279" s="957"/>
      <c r="O279" s="48">
        <f>IF(t&lt;Tnet,'2022'!Resal+('2022'!Salim-'2022'!Resal)*(1-EXP(('2022'!Tnet-t)/('2022'!Tau_j))),Resal+(Salim-Resal)*(1-EXP((Tnet-t)/(Tau_j))))*Salcycl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1.8260413470204218E-3</v>
      </c>
      <c r="Q279" s="305">
        <f t="shared" si="105"/>
        <v>0.7</v>
      </c>
      <c r="R279" s="177">
        <f t="shared" si="106"/>
        <v>0.99332369857076108</v>
      </c>
      <c r="S279" s="919">
        <f t="shared" si="107"/>
        <v>0</v>
      </c>
      <c r="T279" s="176">
        <f t="shared" si="108"/>
        <v>6</v>
      </c>
      <c r="U279" s="251">
        <f t="shared" si="109"/>
        <v>0.99332369857076108</v>
      </c>
      <c r="V279" s="383">
        <f t="shared" si="110"/>
        <v>44.354167013799554</v>
      </c>
      <c r="W279" s="402">
        <f t="shared" si="111"/>
        <v>43.72189954812049</v>
      </c>
      <c r="X279" s="157">
        <f t="shared" si="112"/>
        <v>45191</v>
      </c>
      <c r="Y279" s="385">
        <f t="shared" si="113"/>
        <v>39.541989924378349</v>
      </c>
      <c r="Z279" s="385">
        <f t="shared" si="114"/>
        <v>41.265624218997239</v>
      </c>
      <c r="AA279" s="386">
        <f t="shared" si="115"/>
        <v>46.948048354042179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0.12103642929292689</v>
      </c>
      <c r="AD279" s="231">
        <f>(INDEX(Models!$BJ279:$BT279,,AH279)*(1-AF279)+INDEX(Models!$BJ279:$BT279,,AH279+1)*AF279-ERP_i)*AE279*Ramure*Pc/MaxiM</f>
        <v>1.8260413470204218E-3</v>
      </c>
      <c r="AE279" s="305">
        <f t="shared" si="117"/>
        <v>0.7</v>
      </c>
      <c r="AF279" s="177">
        <f t="shared" si="118"/>
        <v>0.99332369857076108</v>
      </c>
      <c r="AG279" s="919">
        <f t="shared" si="124"/>
        <v>0</v>
      </c>
      <c r="AH279" s="176">
        <f t="shared" si="119"/>
        <v>6</v>
      </c>
      <c r="AI279" s="225">
        <f t="shared" si="120"/>
        <v>0.99332369857076108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1090">
        <f>IF(t&gt;Tmaj,'2022'!Wh/'2022'!Env_an*'2023'!Env_an,0.001*'[11]mon-tableau (3)'!$B$59)</f>
        <v>28.82116624575524</v>
      </c>
      <c r="C280" s="953"/>
      <c r="D280" s="393">
        <f t="shared" si="102"/>
        <v>30.078138908305441</v>
      </c>
      <c r="E280" s="385">
        <f t="shared" si="100"/>
        <v>30.952269079525884</v>
      </c>
      <c r="F280" s="385">
        <f t="shared" si="103"/>
        <v>30.981541031695542</v>
      </c>
      <c r="G280" s="110">
        <f t="shared" si="101"/>
        <v>0.65201791137888609</v>
      </c>
      <c r="H280" s="412" t="b">
        <f>Wh_hp&gt;='2022'!Maxi_hp</f>
        <v>0</v>
      </c>
      <c r="I280" s="390">
        <f>IF(H280,Wh_hp,'2022'!Maxi_hp)</f>
        <v>46.242324699542912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4.1790240625662944E-2</v>
      </c>
      <c r="M280" s="957"/>
      <c r="N280" s="957"/>
      <c r="O280" s="48">
        <f>IF(t&lt;Tnet,'2022'!Resal+('2022'!Salim-'2022'!Resal)*(1-EXP(('2022'!Tnet-t)/('2022'!Tau_j))),Resal+(Salim-Resal)*(1-EXP((Tnet-t)/(Tau_j))))*Salcycl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1.8755665728463131E-3</v>
      </c>
      <c r="Q280" s="305">
        <f t="shared" si="105"/>
        <v>0.7</v>
      </c>
      <c r="R280" s="177">
        <f t="shared" si="106"/>
        <v>0.99359702882632628</v>
      </c>
      <c r="S280" s="919">
        <f t="shared" si="107"/>
        <v>0</v>
      </c>
      <c r="T280" s="176">
        <f t="shared" si="108"/>
        <v>6</v>
      </c>
      <c r="U280" s="251">
        <f t="shared" si="109"/>
        <v>0.99359702882632628</v>
      </c>
      <c r="V280" s="383">
        <f t="shared" si="110"/>
        <v>44.16184762268351</v>
      </c>
      <c r="W280" s="402">
        <f t="shared" si="111"/>
        <v>28.82116624575524</v>
      </c>
      <c r="X280" s="157">
        <f t="shared" si="112"/>
        <v>45192</v>
      </c>
      <c r="Y280" s="385">
        <f t="shared" si="113"/>
        <v>26.0691434964344</v>
      </c>
      <c r="Z280" s="385">
        <f t="shared" si="114"/>
        <v>27.206092654969662</v>
      </c>
      <c r="AA280" s="386">
        <f t="shared" si="115"/>
        <v>30.952269079525884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0.12103075270285173</v>
      </c>
      <c r="AD280" s="231">
        <f>(INDEX(Models!$BJ280:$BT280,,AH280)*(1-AF280)+INDEX(Models!$BJ280:$BT280,,AH280+1)*AF280-ERP_i)*AE280*Ramure*Pc/MaxiM</f>
        <v>1.8755665728463131E-3</v>
      </c>
      <c r="AE280" s="305">
        <f t="shared" si="117"/>
        <v>0.7</v>
      </c>
      <c r="AF280" s="177">
        <f t="shared" si="118"/>
        <v>0.99359702882632628</v>
      </c>
      <c r="AG280" s="919">
        <f t="shared" si="124"/>
        <v>0</v>
      </c>
      <c r="AH280" s="176">
        <f t="shared" si="119"/>
        <v>6</v>
      </c>
      <c r="AI280" s="225">
        <f t="shared" si="120"/>
        <v>0.99359702882632628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1090">
        <f>IF(t&gt;Tmaj,'2022'!Wh/'2022'!Env_an*'2023'!Env_an,0.001*'[11]mon-tableau (3)'!$B$60)</f>
        <v>21.063787096574696</v>
      </c>
      <c r="C281" s="953"/>
      <c r="D281" s="393">
        <f t="shared" si="102"/>
        <v>21.982919973002346</v>
      </c>
      <c r="E281" s="385">
        <f t="shared" si="100"/>
        <v>22.624531570314058</v>
      </c>
      <c r="F281" s="385">
        <f t="shared" si="103"/>
        <v>22.635688599004364</v>
      </c>
      <c r="G281" s="110">
        <f t="shared" si="101"/>
        <v>0.4784055768246353</v>
      </c>
      <c r="H281" s="412" t="b">
        <f>Wh_hp&gt;='2022'!Maxi_hp</f>
        <v>0</v>
      </c>
      <c r="I281" s="390">
        <f>IF(H281,Wh_hp,'2022'!Maxi_hp)</f>
        <v>42.341790799167022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4.181122787857372E-2</v>
      </c>
      <c r="M281" s="957"/>
      <c r="N281" s="957"/>
      <c r="O281" s="48">
        <f>IF(t&lt;Tnet,'2022'!Resal+('2022'!Salim-'2022'!Resal)*(1-EXP(('2022'!Tnet-t)/('2022'!Tau_j))),Resal+(Salim-Resal)*(1-EXP((Tnet-t)/(Tau_j))))*Salcycl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1.9265259171629507E-3</v>
      </c>
      <c r="Q281" s="305">
        <f t="shared" si="105"/>
        <v>0.7</v>
      </c>
      <c r="R281" s="177">
        <f t="shared" si="106"/>
        <v>0.99385963861846238</v>
      </c>
      <c r="S281" s="919">
        <f t="shared" si="107"/>
        <v>0</v>
      </c>
      <c r="T281" s="176">
        <f t="shared" si="108"/>
        <v>6</v>
      </c>
      <c r="U281" s="251">
        <f t="shared" si="109"/>
        <v>0.99385963861846238</v>
      </c>
      <c r="V281" s="383">
        <f t="shared" si="110"/>
        <v>43.965989398206204</v>
      </c>
      <c r="W281" s="402">
        <f t="shared" si="111"/>
        <v>21.063787096574696</v>
      </c>
      <c r="X281" s="157">
        <f t="shared" si="112"/>
        <v>45193</v>
      </c>
      <c r="Y281" s="385">
        <f t="shared" si="113"/>
        <v>19.05495093950109</v>
      </c>
      <c r="Z281" s="385">
        <f t="shared" si="114"/>
        <v>19.886426864837397</v>
      </c>
      <c r="AA281" s="386">
        <f t="shared" si="115"/>
        <v>22.624531570314058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0.12102370813587869</v>
      </c>
      <c r="AD281" s="231">
        <f>(INDEX(Models!$BJ281:$BT281,,AH281)*(1-AF281)+INDEX(Models!$BJ281:$BT281,,AH281+1)*AF281-ERP_i)*AE281*Ramure*Pc/MaxiM</f>
        <v>1.9265259171629507E-3</v>
      </c>
      <c r="AE281" s="305">
        <f t="shared" si="117"/>
        <v>0.7</v>
      </c>
      <c r="AF281" s="177">
        <f t="shared" si="118"/>
        <v>0.99385963861846238</v>
      </c>
      <c r="AG281" s="919">
        <f t="shared" si="124"/>
        <v>0</v>
      </c>
      <c r="AH281" s="176">
        <f t="shared" si="119"/>
        <v>6</v>
      </c>
      <c r="AI281" s="225">
        <f t="shared" si="120"/>
        <v>0.99385963861846238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1090">
        <f>IF(t&gt;Tmaj,'2022'!Wh/'2022'!Env_an*'2023'!Env_an,0.001*'[11]mon-tableau (3)'!$B$61)</f>
        <v>31.06301721424213</v>
      </c>
      <c r="C282" s="953"/>
      <c r="D282" s="393">
        <f t="shared" si="102"/>
        <v>32.419183456060857</v>
      </c>
      <c r="E282" s="385">
        <f t="shared" si="100"/>
        <v>33.36942677329094</v>
      </c>
      <c r="F282" s="385">
        <f t="shared" si="103"/>
        <v>33.408103435929945</v>
      </c>
      <c r="G282" s="110">
        <f t="shared" si="101"/>
        <v>0.70915798419658005</v>
      </c>
      <c r="H282" s="412" t="b">
        <f>Wh_hp&gt;='2022'!Maxi_hp</f>
        <v>0</v>
      </c>
      <c r="I282" s="390">
        <f>IF(H282,Wh_hp,'2022'!Maxi_hp)</f>
        <v>48.914209724554347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4.1832214671809864E-2</v>
      </c>
      <c r="M282" s="957"/>
      <c r="N282" s="957"/>
      <c r="O282" s="48">
        <f>IF(t&lt;Tnet,'2022'!Resal+('2022'!Salim-'2022'!Resal)*(1-EXP(('2022'!Tnet-t)/('2022'!Tau_j))),Resal+(Salim-Resal)*(1-EXP((Tnet-t)/(Tau_j))))*Salcycl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1.9778168702586653E-3</v>
      </c>
      <c r="Q282" s="305">
        <f t="shared" si="105"/>
        <v>0.7</v>
      </c>
      <c r="R282" s="177">
        <f t="shared" si="106"/>
        <v>0.99411193754568061</v>
      </c>
      <c r="S282" s="919">
        <f t="shared" si="107"/>
        <v>0</v>
      </c>
      <c r="T282" s="176">
        <f t="shared" si="108"/>
        <v>6</v>
      </c>
      <c r="U282" s="251">
        <f t="shared" si="109"/>
        <v>0.99411193754568061</v>
      </c>
      <c r="V282" s="383">
        <f t="shared" si="110"/>
        <v>43.766710900415433</v>
      </c>
      <c r="W282" s="402">
        <f t="shared" si="111"/>
        <v>31.06301721424213</v>
      </c>
      <c r="X282" s="157">
        <f t="shared" si="112"/>
        <v>45194</v>
      </c>
      <c r="Y282" s="385">
        <f t="shared" si="113"/>
        <v>28.104227318808011</v>
      </c>
      <c r="Z282" s="385">
        <f t="shared" si="114"/>
        <v>29.331217088645694</v>
      </c>
      <c r="AA282" s="386">
        <f t="shared" si="115"/>
        <v>33.36942677329094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0.12101525483432789</v>
      </c>
      <c r="AD282" s="231">
        <f>(INDEX(Models!$BJ282:$BT282,,AH282)*(1-AF282)+INDEX(Models!$BJ282:$BT282,,AH282+1)*AF282-ERP_i)*AE282*Ramure*Pc/MaxiM</f>
        <v>1.9778168702586653E-3</v>
      </c>
      <c r="AE282" s="305">
        <f t="shared" si="117"/>
        <v>0.7</v>
      </c>
      <c r="AF282" s="177">
        <f t="shared" si="118"/>
        <v>0.99411193754568061</v>
      </c>
      <c r="AG282" s="919">
        <f t="shared" si="124"/>
        <v>0</v>
      </c>
      <c r="AH282" s="176">
        <f t="shared" si="119"/>
        <v>6</v>
      </c>
      <c r="AI282" s="225">
        <f t="shared" si="120"/>
        <v>0.99411193754568061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1090">
        <f>IF(t&gt;Tmaj,'2022'!Wh/'2022'!Env_an*'2023'!Env_an,0.001*'[11]mon-tableau (3)'!$B$62)</f>
        <v>32.455106419003286</v>
      </c>
      <c r="C283" s="953"/>
      <c r="D283" s="393">
        <f t="shared" si="102"/>
        <v>33.87279115586292</v>
      </c>
      <c r="E283" s="385">
        <f t="shared" si="100"/>
        <v>34.869834099855495</v>
      </c>
      <c r="F283" s="385">
        <f t="shared" si="103"/>
        <v>34.914872123276638</v>
      </c>
      <c r="G283" s="110">
        <f t="shared" si="101"/>
        <v>0.74444527720587073</v>
      </c>
      <c r="H283" s="412" t="b">
        <f>Wh_hp&gt;='2022'!Maxi_hp</f>
        <v>0</v>
      </c>
      <c r="I283" s="390">
        <f>IF(H283,Wh_hp,'2022'!Maxi_hp)</f>
        <v>47.979649608380406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4.1853201005381369E-2</v>
      </c>
      <c r="M283" s="957"/>
      <c r="N283" s="957"/>
      <c r="O283" s="48">
        <f>IF(t&lt;Tnet,'2022'!Resal+('2022'!Salim-'2022'!Resal)*(1-EXP(('2022'!Tnet-t)/('2022'!Tau_j))),Resal+(Salim-Resal)*(1-EXP((Tnet-t)/(Tau_j))))*Salcycl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2.0291312111933974E-3</v>
      </c>
      <c r="Q283" s="305">
        <f t="shared" si="105"/>
        <v>0.7</v>
      </c>
      <c r="R283" s="177">
        <f t="shared" si="106"/>
        <v>0.99435432040605853</v>
      </c>
      <c r="S283" s="919">
        <f t="shared" si="107"/>
        <v>0</v>
      </c>
      <c r="T283" s="176">
        <f t="shared" si="108"/>
        <v>6</v>
      </c>
      <c r="U283" s="251">
        <f t="shared" si="109"/>
        <v>0.99435432040605853</v>
      </c>
      <c r="V283" s="383">
        <f t="shared" si="110"/>
        <v>43.564095084236214</v>
      </c>
      <c r="W283" s="402">
        <f t="shared" si="111"/>
        <v>32.455106419003286</v>
      </c>
      <c r="X283" s="157">
        <f t="shared" si="112"/>
        <v>45195</v>
      </c>
      <c r="Y283" s="385">
        <f t="shared" si="113"/>
        <v>29.367580274936955</v>
      </c>
      <c r="Z283" s="385">
        <f t="shared" si="114"/>
        <v>30.650397523377727</v>
      </c>
      <c r="AA283" s="386">
        <f t="shared" si="115"/>
        <v>34.869834099855495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0.12100535277554568</v>
      </c>
      <c r="AD283" s="231">
        <f>(INDEX(Models!$BJ283:$BT283,,AH283)*(1-AF283)+INDEX(Models!$BJ283:$BT283,,AH283+1)*AF283-ERP_i)*AE283*Ramure*Pc/MaxiM</f>
        <v>2.0291312111933974E-3</v>
      </c>
      <c r="AE283" s="305">
        <f t="shared" si="117"/>
        <v>0.7</v>
      </c>
      <c r="AF283" s="177">
        <f t="shared" si="118"/>
        <v>0.99435432040605853</v>
      </c>
      <c r="AG283" s="919">
        <f t="shared" si="124"/>
        <v>0</v>
      </c>
      <c r="AH283" s="176">
        <f t="shared" si="119"/>
        <v>6</v>
      </c>
      <c r="AI283" s="225">
        <f t="shared" si="120"/>
        <v>0.99435432040605853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1090">
        <f>IF(t&gt;Tmaj,'2022'!Wh/'2022'!Env_an*'2023'!Env_an,0.001*'[11]mon-tableau (3)'!$B$63)</f>
        <v>15.590633467957026</v>
      </c>
      <c r="C284" s="953"/>
      <c r="D284" s="393">
        <f t="shared" si="102"/>
        <v>16.272010684251306</v>
      </c>
      <c r="E284" s="385">
        <f t="shared" si="100"/>
        <v>16.752981124855076</v>
      </c>
      <c r="F284" s="385">
        <f t="shared" si="103"/>
        <v>16.755948084113751</v>
      </c>
      <c r="G284" s="110">
        <f t="shared" si="101"/>
        <v>0.35889287344291848</v>
      </c>
      <c r="H284" s="412" t="b">
        <f>Wh_hp&gt;='2022'!Maxi_hp</f>
        <v>0</v>
      </c>
      <c r="I284" s="390">
        <f>IF(H284,Wh_hp,'2022'!Maxi_hp)</f>
        <v>46.988763169188566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4.1874186879298336E-2</v>
      </c>
      <c r="M284" s="957"/>
      <c r="N284" s="957"/>
      <c r="O284" s="48">
        <f>IF(t&lt;Tnet,'2022'!Resal+('2022'!Salim-'2022'!Resal)*(1-EXP(('2022'!Tnet-t)/('2022'!Tau_j))),Resal+(Salim-Resal)*(1-EXP((Tnet-t)/(Tau_j))))*Salcycl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2.0804581998345043E-3</v>
      </c>
      <c r="Q284" s="305">
        <f t="shared" si="105"/>
        <v>0.7</v>
      </c>
      <c r="R284" s="177">
        <f t="shared" si="106"/>
        <v>0.99458716766512789</v>
      </c>
      <c r="S284" s="919">
        <f t="shared" si="107"/>
        <v>0</v>
      </c>
      <c r="T284" s="176">
        <f t="shared" si="108"/>
        <v>6</v>
      </c>
      <c r="U284" s="251">
        <f t="shared" si="109"/>
        <v>0.99458716766512789</v>
      </c>
      <c r="V284" s="383">
        <f t="shared" si="110"/>
        <v>43.358211658322546</v>
      </c>
      <c r="W284" s="402">
        <f t="shared" si="111"/>
        <v>15.590633467957026</v>
      </c>
      <c r="X284" s="157">
        <f t="shared" si="112"/>
        <v>45196</v>
      </c>
      <c r="Y284" s="385">
        <f t="shared" si="113"/>
        <v>14.109333462685553</v>
      </c>
      <c r="Z284" s="385">
        <f t="shared" si="114"/>
        <v>14.725971547233645</v>
      </c>
      <c r="AA284" s="386">
        <f t="shared" si="115"/>
        <v>16.752981124855076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0.12099396295588952</v>
      </c>
      <c r="AD284" s="231">
        <f>(INDEX(Models!$BJ284:$BT284,,AH284)*(1-AF284)+INDEX(Models!$BJ284:$BT284,,AH284+1)*AF284-ERP_i)*AE284*Ramure*Pc/MaxiM</f>
        <v>2.0804581998345043E-3</v>
      </c>
      <c r="AE284" s="305">
        <f t="shared" si="117"/>
        <v>0.7</v>
      </c>
      <c r="AF284" s="177">
        <f t="shared" si="118"/>
        <v>0.99458716766512789</v>
      </c>
      <c r="AG284" s="919">
        <f t="shared" si="124"/>
        <v>0</v>
      </c>
      <c r="AH284" s="176">
        <f t="shared" si="119"/>
        <v>6</v>
      </c>
      <c r="AI284" s="225">
        <f t="shared" si="120"/>
        <v>0.99458716766512789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1090">
        <f>IF(t&gt;Tmaj,'2022'!Wh/'2022'!Env_an*'2023'!Env_an,0.001*'[11]mon-tableau (3)'!$B$64)</f>
        <v>15.244862510084792</v>
      </c>
      <c r="C285" s="953"/>
      <c r="D285" s="393">
        <f t="shared" si="102"/>
        <v>15.911476562099041</v>
      </c>
      <c r="E285" s="385">
        <f t="shared" si="100"/>
        <v>16.3837418778912</v>
      </c>
      <c r="F285" s="385">
        <f t="shared" si="103"/>
        <v>16.386402041214893</v>
      </c>
      <c r="G285" s="110">
        <f t="shared" si="101"/>
        <v>0.35261043723762775</v>
      </c>
      <c r="H285" s="412" t="b">
        <f>Wh_hp&gt;='2022'!Maxi_hp</f>
        <v>0</v>
      </c>
      <c r="I285" s="390">
        <f>IF(H285,Wh_hp,'2022'!Maxi_hp)</f>
        <v>44.138858996476266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4.1895172293570648E-2</v>
      </c>
      <c r="M285" s="957"/>
      <c r="N285" s="957"/>
      <c r="O285" s="48">
        <f>IF(t&lt;Tnet,'2022'!Resal+('2022'!Salim-'2022'!Resal)*(1-EXP(('2022'!Tnet-t)/('2022'!Tau_j))),Resal+(Salim-Resal)*(1-EXP((Tnet-t)/(Tau_j))))*Salcycl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2.1317861711015801E-3</v>
      </c>
      <c r="Q285" s="305">
        <f t="shared" si="105"/>
        <v>0.7</v>
      </c>
      <c r="R285" s="177">
        <f t="shared" si="106"/>
        <v>0.99481084591441449</v>
      </c>
      <c r="S285" s="919">
        <f t="shared" si="107"/>
        <v>0</v>
      </c>
      <c r="T285" s="176">
        <f t="shared" si="108"/>
        <v>6</v>
      </c>
      <c r="U285" s="251">
        <f t="shared" si="109"/>
        <v>0.99481084591441449</v>
      </c>
      <c r="V285" s="383">
        <f t="shared" si="110"/>
        <v>43.149130279546675</v>
      </c>
      <c r="W285" s="402">
        <f t="shared" si="111"/>
        <v>15.244862510084792</v>
      </c>
      <c r="X285" s="157">
        <f t="shared" si="112"/>
        <v>45197</v>
      </c>
      <c r="Y285" s="385">
        <f t="shared" si="113"/>
        <v>13.798261285136146</v>
      </c>
      <c r="Z285" s="385">
        <f t="shared" si="114"/>
        <v>14.401619620440989</v>
      </c>
      <c r="AA285" s="386">
        <f t="shared" si="115"/>
        <v>16.3837418778912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0.12098104768880405</v>
      </c>
      <c r="AD285" s="231">
        <f>(INDEX(Models!$BJ285:$BT285,,AH285)*(1-AF285)+INDEX(Models!$BJ285:$BT285,,AH285+1)*AF285-ERP_i)*AE285*Ramure*Pc/MaxiM</f>
        <v>2.1317861711015801E-3</v>
      </c>
      <c r="AE285" s="305">
        <f t="shared" si="117"/>
        <v>0.7</v>
      </c>
      <c r="AF285" s="177">
        <f t="shared" si="118"/>
        <v>0.99481084591441449</v>
      </c>
      <c r="AG285" s="919">
        <f t="shared" si="124"/>
        <v>0</v>
      </c>
      <c r="AH285" s="176">
        <f t="shared" si="119"/>
        <v>6</v>
      </c>
      <c r="AI285" s="225">
        <f t="shared" si="120"/>
        <v>0.99481084591441449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1090">
        <f>IF(t&gt;Tmaj,'2022'!Wh/'2022'!Env_an*'2023'!Env_an,0.001*'[11]mon-tableau (3)'!$B$65)</f>
        <v>21.964574264385714</v>
      </c>
      <c r="C286" s="953"/>
      <c r="D286" s="393">
        <f t="shared" si="102"/>
        <v>22.925524139202114</v>
      </c>
      <c r="E286" s="385">
        <f t="shared" si="100"/>
        <v>23.60877049278319</v>
      </c>
      <c r="F286" s="385">
        <f t="shared" si="103"/>
        <v>23.624357342321076</v>
      </c>
      <c r="G286" s="110">
        <f t="shared" si="101"/>
        <v>0.51077470709450778</v>
      </c>
      <c r="H286" s="412" t="b">
        <f>Wh_hp&gt;='2022'!Maxi_hp</f>
        <v>0</v>
      </c>
      <c r="I286" s="390">
        <f>IF(H286,Wh_hp,'2022'!Maxi_hp)</f>
        <v>45.467806820564945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4.1916157248208741E-2</v>
      </c>
      <c r="M286" s="957"/>
      <c r="N286" s="957"/>
      <c r="O286" s="48">
        <f>IF(t&lt;Tnet,'2022'!Resal+('2022'!Salim-'2022'!Resal)*(1-EXP(('2022'!Tnet-t)/('2022'!Tau_j))),Resal+(Salim-Resal)*(1-EXP((Tnet-t)/(Tau_j))))*Salcycl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2.1831025840327819E-3</v>
      </c>
      <c r="Q286" s="305">
        <f t="shared" si="105"/>
        <v>0.7</v>
      </c>
      <c r="R286" s="177">
        <f t="shared" si="106"/>
        <v>0.99502570832032466</v>
      </c>
      <c r="S286" s="919">
        <f t="shared" si="107"/>
        <v>0</v>
      </c>
      <c r="T286" s="176">
        <f t="shared" si="108"/>
        <v>6</v>
      </c>
      <c r="U286" s="251">
        <f t="shared" si="109"/>
        <v>0.99502570832032466</v>
      </c>
      <c r="V286" s="383">
        <f t="shared" si="110"/>
        <v>42.93692054561577</v>
      </c>
      <c r="W286" s="402">
        <f t="shared" si="111"/>
        <v>21.964574264385714</v>
      </c>
      <c r="X286" s="157">
        <f t="shared" si="112"/>
        <v>45198</v>
      </c>
      <c r="Y286" s="385">
        <f t="shared" si="113"/>
        <v>19.883016726592906</v>
      </c>
      <c r="Z286" s="385">
        <f t="shared" si="114"/>
        <v>20.752898482752055</v>
      </c>
      <c r="AA286" s="386">
        <f t="shared" si="115"/>
        <v>23.60877049278319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0.12096657091499652</v>
      </c>
      <c r="AD286" s="231">
        <f>(INDEX(Models!$BJ286:$BT286,,AH286)*(1-AF286)+INDEX(Models!$BJ286:$BT286,,AH286+1)*AF286-ERP_i)*AE286*Ramure*Pc/MaxiM</f>
        <v>2.1831025840327819E-3</v>
      </c>
      <c r="AE286" s="305">
        <f t="shared" si="117"/>
        <v>0.7</v>
      </c>
      <c r="AF286" s="177">
        <f t="shared" si="118"/>
        <v>0.99502570832032466</v>
      </c>
      <c r="AG286" s="919">
        <f t="shared" si="124"/>
        <v>0</v>
      </c>
      <c r="AH286" s="176">
        <f t="shared" si="119"/>
        <v>6</v>
      </c>
      <c r="AI286" s="225">
        <f t="shared" si="120"/>
        <v>0.99502570832032466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1090">
        <f>IF(t&gt;Tmaj,'2022'!Wh/'2022'!Env_an*'2023'!Env_an,0.001*'[11]mon-tableau (3)'!$B$66)</f>
        <v>31.66076439415059</v>
      </c>
      <c r="C287" s="953"/>
      <c r="D287" s="393">
        <f t="shared" si="102"/>
        <v>33.046646283478978</v>
      </c>
      <c r="E287" s="385">
        <f t="shared" si="100"/>
        <v>34.035545355614978</v>
      </c>
      <c r="F287" s="385">
        <f t="shared" si="103"/>
        <v>34.083533902783863</v>
      </c>
      <c r="G287" s="110">
        <f t="shared" si="101"/>
        <v>0.74048078119240945</v>
      </c>
      <c r="H287" s="412" t="b">
        <f>Wh_hp&gt;='2022'!Maxi_hp</f>
        <v>0</v>
      </c>
      <c r="I287" s="390">
        <f>IF(H287,Wh_hp,'2022'!Maxi_hp)</f>
        <v>41.385817820684117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4.1937141743222273E-2</v>
      </c>
      <c r="M287" s="957"/>
      <c r="N287" s="957"/>
      <c r="O287" s="48">
        <f>IF(t&lt;Tnet,'2022'!Resal+('2022'!Salim-'2022'!Resal)*(1-EXP(('2022'!Tnet-t)/('2022'!Tau_j))),Resal+(Salim-Resal)*(1-EXP((Tnet-t)/(Tau_j))))*Salcycl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2.2343940797586444E-3</v>
      </c>
      <c r="Q287" s="305">
        <f t="shared" si="105"/>
        <v>0.7</v>
      </c>
      <c r="R287" s="177">
        <f t="shared" si="106"/>
        <v>0.9952320950631337</v>
      </c>
      <c r="S287" s="919">
        <f t="shared" si="107"/>
        <v>0</v>
      </c>
      <c r="T287" s="176">
        <f t="shared" si="108"/>
        <v>6</v>
      </c>
      <c r="U287" s="251">
        <f t="shared" si="109"/>
        <v>0.9952320950631337</v>
      </c>
      <c r="V287" s="383">
        <f t="shared" si="110"/>
        <v>42.721651992823368</v>
      </c>
      <c r="W287" s="402">
        <f t="shared" si="111"/>
        <v>31.66076439415059</v>
      </c>
      <c r="X287" s="157">
        <f t="shared" si="112"/>
        <v>45199</v>
      </c>
      <c r="Y287" s="385">
        <f t="shared" si="113"/>
        <v>28.664214803651078</v>
      </c>
      <c r="Z287" s="385">
        <f t="shared" si="114"/>
        <v>29.918929177367779</v>
      </c>
      <c r="AA287" s="386">
        <f t="shared" si="115"/>
        <v>34.035545355614978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0.12095049852251197</v>
      </c>
      <c r="AD287" s="231">
        <f>(INDEX(Models!$BJ287:$BT287,,AH287)*(1-AF287)+INDEX(Models!$BJ287:$BT287,,AH287+1)*AF287-ERP_i)*AE287*Ramure*Pc/MaxiM</f>
        <v>2.2343940797586444E-3</v>
      </c>
      <c r="AE287" s="305">
        <f t="shared" si="117"/>
        <v>0.7</v>
      </c>
      <c r="AF287" s="177">
        <f t="shared" si="118"/>
        <v>0.9952320950631337</v>
      </c>
      <c r="AG287" s="919">
        <f t="shared" si="124"/>
        <v>0</v>
      </c>
      <c r="AH287" s="176">
        <f t="shared" si="119"/>
        <v>6</v>
      </c>
      <c r="AI287" s="225">
        <f t="shared" si="120"/>
        <v>0.9952320950631337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1090">
        <f>IF(t&gt;Tmaj,'2022'!Wh/'2022'!Env_an*'2023'!Env_an,0.001*'[12]mon-tableau (1)'!$B$38)</f>
        <v>38.323941575273459</v>
      </c>
      <c r="C288" s="953"/>
      <c r="D288" s="393">
        <f t="shared" si="102"/>
        <v>40.002365874059699</v>
      </c>
      <c r="E288" s="385">
        <f t="shared" si="100"/>
        <v>41.204245036375127</v>
      </c>
      <c r="F288" s="385">
        <f t="shared" si="103"/>
        <v>41.285353056497989</v>
      </c>
      <c r="G288" s="110">
        <f t="shared" si="101"/>
        <v>0.90137772076391354</v>
      </c>
      <c r="H288" s="412" t="b">
        <f>Wh_hp&gt;='2022'!Maxi_hp</f>
        <v>0</v>
      </c>
      <c r="I288" s="390">
        <f>IF(H288,Wh_hp,'2022'!Maxi_hp)</f>
        <v>43.981299080889379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4.195812577862168E-2</v>
      </c>
      <c r="M288" s="957"/>
      <c r="N288" s="957"/>
      <c r="O288" s="48">
        <f>IF(t&lt;Tnet,'2022'!Resal+('2022'!Salim-'2022'!Resal)*(1-EXP(('2022'!Tnet-t)/('2022'!Tau_j))),Resal+(Salim-Resal)*(1-EXP((Tnet-t)/(Tau_j))))*Salcycl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2.2856465491948091E-3</v>
      </c>
      <c r="Q288" s="305">
        <f t="shared" si="105"/>
        <v>0.7</v>
      </c>
      <c r="R288" s="177">
        <f t="shared" si="106"/>
        <v>0.99543033376588197</v>
      </c>
      <c r="S288" s="919">
        <f t="shared" si="107"/>
        <v>0</v>
      </c>
      <c r="T288" s="176">
        <f t="shared" si="108"/>
        <v>6</v>
      </c>
      <c r="U288" s="251">
        <f t="shared" si="109"/>
        <v>0.99543033376588197</v>
      </c>
      <c r="V288" s="383">
        <f t="shared" si="110"/>
        <v>42.503394085118522</v>
      </c>
      <c r="W288" s="402">
        <f t="shared" si="111"/>
        <v>38.323941575273459</v>
      </c>
      <c r="X288" s="157">
        <f t="shared" si="112"/>
        <v>45200</v>
      </c>
      <c r="Y288" s="385">
        <f t="shared" si="113"/>
        <v>34.701522490205669</v>
      </c>
      <c r="Z288" s="385">
        <f t="shared" si="114"/>
        <v>36.221300366863773</v>
      </c>
      <c r="AA288" s="386">
        <f t="shared" si="115"/>
        <v>41.204245036375127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0.12093279867432123</v>
      </c>
      <c r="AD288" s="231">
        <f>(INDEX(Models!$BJ288:$BT288,,AH288)*(1-AF288)+INDEX(Models!$BJ288:$BT288,,AH288+1)*AF288-ERP_i)*AE288*Ramure*Pc/MaxiM</f>
        <v>2.2856465491948091E-3</v>
      </c>
      <c r="AE288" s="305">
        <f t="shared" si="117"/>
        <v>0.7</v>
      </c>
      <c r="AF288" s="177">
        <f t="shared" si="118"/>
        <v>0.99543033376588197</v>
      </c>
      <c r="AG288" s="919">
        <f t="shared" si="124"/>
        <v>0</v>
      </c>
      <c r="AH288" s="176">
        <f t="shared" si="119"/>
        <v>6</v>
      </c>
      <c r="AI288" s="225">
        <f t="shared" si="120"/>
        <v>0.99543033376588197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1090">
        <f>IF(t&gt;Tmaj,'2022'!Wh/'2022'!Env_an*'2023'!Env_an,0.001*'[12]mon-tableau (1)'!$B$39)</f>
        <v>37.735766630787801</v>
      </c>
      <c r="C289" s="953"/>
      <c r="D289" s="393">
        <f t="shared" si="102"/>
        <v>39.389294115871245</v>
      </c>
      <c r="E289" s="385">
        <f t="shared" si="100"/>
        <v>40.577489555360899</v>
      </c>
      <c r="F289" s="385">
        <f t="shared" si="103"/>
        <v>40.65790925563212</v>
      </c>
      <c r="G289" s="110">
        <f t="shared" si="101"/>
        <v>0.89216621921722272</v>
      </c>
      <c r="H289" s="412" t="b">
        <f>Wh_hp&gt;='2022'!Maxi_hp</f>
        <v>0</v>
      </c>
      <c r="I289" s="390">
        <f>IF(H289,Wh_hp,'2022'!Maxi_hp)</f>
        <v>47.647904130278036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4.1979109354416733E-2</v>
      </c>
      <c r="M289" s="957"/>
      <c r="N289" s="957"/>
      <c r="O289" s="48">
        <f>IF(t&lt;Tnet,'2022'!Resal+('2022'!Salim-'2022'!Resal)*(1-EXP(('2022'!Tnet-t)/('2022'!Tau_j))),Resal+(Salim-Resal)*(1-EXP((Tnet-t)/(Tau_j))))*Salcycl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2.3368803974630776E-3</v>
      </c>
      <c r="Q289" s="305">
        <f t="shared" si="105"/>
        <v>0.7</v>
      </c>
      <c r="R289" s="177">
        <f t="shared" si="106"/>
        <v>0.99562073991303834</v>
      </c>
      <c r="S289" s="919">
        <f t="shared" si="107"/>
        <v>0</v>
      </c>
      <c r="T289" s="176">
        <f t="shared" si="108"/>
        <v>6</v>
      </c>
      <c r="U289" s="251">
        <f t="shared" si="109"/>
        <v>0.99562073991303834</v>
      </c>
      <c r="V289" s="383">
        <f t="shared" si="110"/>
        <v>42.281578053934886</v>
      </c>
      <c r="W289" s="402">
        <f t="shared" si="111"/>
        <v>37.735766630787801</v>
      </c>
      <c r="X289" s="157">
        <f t="shared" si="112"/>
        <v>45201</v>
      </c>
      <c r="Y289" s="385">
        <f t="shared" si="113"/>
        <v>34.173683536598958</v>
      </c>
      <c r="Z289" s="385">
        <f t="shared" si="114"/>
        <v>35.671125619787141</v>
      </c>
      <c r="AA289" s="386">
        <f t="shared" si="115"/>
        <v>40.577489555360899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0.12091344214086679</v>
      </c>
      <c r="AD289" s="231">
        <f>(INDEX(Models!$BJ289:$BT289,,AH289)*(1-AF289)+INDEX(Models!$BJ289:$BT289,,AH289+1)*AF289-ERP_i)*AE289*Ramure*Pc/MaxiM</f>
        <v>2.3368803974630776E-3</v>
      </c>
      <c r="AE289" s="305">
        <f t="shared" si="117"/>
        <v>0.7</v>
      </c>
      <c r="AF289" s="177">
        <f t="shared" si="118"/>
        <v>0.99562073991303834</v>
      </c>
      <c r="AG289" s="919">
        <f t="shared" si="124"/>
        <v>0</v>
      </c>
      <c r="AH289" s="176">
        <f t="shared" si="119"/>
        <v>6</v>
      </c>
      <c r="AI289" s="225">
        <f t="shared" si="120"/>
        <v>0.99562073991303834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1090">
        <f>IF(t&gt;Tmaj,'2022'!Wh/'2022'!Env_an*'2023'!Env_an,0.001*'[12]mon-tableau (1)'!$B$40)</f>
        <v>35.275832132685061</v>
      </c>
      <c r="C290" s="953"/>
      <c r="D290" s="393">
        <f t="shared" si="102"/>
        <v>36.822375300284811</v>
      </c>
      <c r="E290" s="385">
        <f t="shared" si="100"/>
        <v>37.937542623244511</v>
      </c>
      <c r="F290" s="385">
        <f t="shared" si="103"/>
        <v>38.007329754232373</v>
      </c>
      <c r="G290" s="110">
        <f t="shared" si="101"/>
        <v>0.83832383288528223</v>
      </c>
      <c r="H290" s="412" t="b">
        <f>Wh_hp&gt;='2022'!Maxi_hp</f>
        <v>0</v>
      </c>
      <c r="I290" s="390">
        <f>IF(H290,Wh_hp,'2022'!Maxi_hp)</f>
        <v>43.351504842538631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4.2000092470617645E-2</v>
      </c>
      <c r="M290" s="957"/>
      <c r="N290" s="957"/>
      <c r="O290" s="48">
        <f>IF(t&lt;Tnet,'2022'!Resal+('2022'!Salim-'2022'!Resal)*(1-EXP(('2022'!Tnet-t)/('2022'!Tau_j))),Resal+(Salim-Resal)*(1-EXP((Tnet-t)/(Tau_j))))*Salcycl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2.3855587270076744E-3</v>
      </c>
      <c r="Q290" s="305">
        <f t="shared" si="105"/>
        <v>0.7</v>
      </c>
      <c r="R290" s="177">
        <f t="shared" si="106"/>
        <v>0.99580361725882649</v>
      </c>
      <c r="S290" s="919">
        <f t="shared" si="107"/>
        <v>0</v>
      </c>
      <c r="T290" s="176">
        <f t="shared" si="108"/>
        <v>6</v>
      </c>
      <c r="U290" s="251">
        <f t="shared" si="109"/>
        <v>0.99580361725882649</v>
      </c>
      <c r="V290" s="383">
        <f t="shared" si="110"/>
        <v>42.055843127007883</v>
      </c>
      <c r="W290" s="402">
        <f t="shared" si="111"/>
        <v>35.275832132685061</v>
      </c>
      <c r="X290" s="157">
        <f t="shared" si="112"/>
        <v>45202</v>
      </c>
      <c r="Y290" s="385">
        <f t="shared" si="113"/>
        <v>31.950429219744223</v>
      </c>
      <c r="Z290" s="385">
        <f t="shared" si="114"/>
        <v>33.351181945457846</v>
      </c>
      <c r="AA290" s="386">
        <f t="shared" si="115"/>
        <v>37.937542623244511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0.12089240263486588</v>
      </c>
      <c r="AD290" s="231">
        <f>(INDEX(Models!$BJ290:$BT290,,AH290)*(1-AF290)+INDEX(Models!$BJ290:$BT290,,AH290+1)*AF290-ERP_i)*AE290*Ramure*Pc/MaxiM</f>
        <v>2.3855587270076744E-3</v>
      </c>
      <c r="AE290" s="305">
        <f t="shared" si="117"/>
        <v>0.7</v>
      </c>
      <c r="AF290" s="177">
        <f t="shared" si="118"/>
        <v>0.99580361725882649</v>
      </c>
      <c r="AG290" s="919">
        <f t="shared" si="124"/>
        <v>0</v>
      </c>
      <c r="AH290" s="176">
        <f t="shared" si="119"/>
        <v>6</v>
      </c>
      <c r="AI290" s="225">
        <f t="shared" si="120"/>
        <v>0.99580361725882649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1090">
        <f>IF(t&gt;Tmaj,'2022'!Wh/'2022'!Env_an*'2023'!Env_an,0.001*'[12]mon-tableau (1)'!$B$41)</f>
        <v>41.310447816840679</v>
      </c>
      <c r="C291" s="953"/>
      <c r="D291" s="393">
        <f t="shared" si="102"/>
        <v>43.122501700470444</v>
      </c>
      <c r="E291" s="385">
        <f t="shared" si="100"/>
        <v>44.433598429138044</v>
      </c>
      <c r="F291" s="385">
        <f t="shared" si="103"/>
        <v>44.539954763156373</v>
      </c>
      <c r="G291" s="110">
        <f t="shared" si="101"/>
        <v>0.98762092621460307</v>
      </c>
      <c r="H291" s="412" t="b">
        <f>Wh_hp&gt;='2022'!Maxi_hp</f>
        <v>0</v>
      </c>
      <c r="I291" s="390">
        <f>IF(H291,Wh_hp,'2022'!Maxi_hp)</f>
        <v>44.844605022343991</v>
      </c>
      <c r="J291" s="85">
        <f>IF(H291,An,'2022'!An_max)</f>
        <v>2018</v>
      </c>
      <c r="K291" s="197">
        <f t="shared" si="104"/>
        <v>45203</v>
      </c>
      <c r="L291" s="147">
        <f>IF(t&lt;Tvie,1-EXP((T0-t)*PertePVj)+'2022'!Pspv,1-EXP((T0-t)*PertePVj)+Pspv)</f>
        <v>4.202107512723452E-2</v>
      </c>
      <c r="M291" s="957"/>
      <c r="N291" s="957"/>
      <c r="O291" s="48">
        <f>IF(t&lt;Tnet,'2022'!Resal+('2022'!Salim-'2022'!Resal)*(1-EXP(('2022'!Tnet-t)/('2022'!Tau_j))),Resal+(Salim-Resal)*(1-EXP((Tnet-t)/(Tau_j))))*Salcycl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2.4307246035401133E-3</v>
      </c>
      <c r="Q291" s="305">
        <f t="shared" si="105"/>
        <v>0.7</v>
      </c>
      <c r="R291" s="177">
        <f t="shared" si="106"/>
        <v>0.99597925822515687</v>
      </c>
      <c r="S291" s="919">
        <f t="shared" si="107"/>
        <v>0</v>
      </c>
      <c r="T291" s="176">
        <f t="shared" si="108"/>
        <v>6</v>
      </c>
      <c r="U291" s="251">
        <f t="shared" si="109"/>
        <v>0.99597925822515687</v>
      </c>
      <c r="V291" s="383">
        <f t="shared" si="110"/>
        <v>41.82644656689056</v>
      </c>
      <c r="W291" s="402">
        <f t="shared" si="111"/>
        <v>41.310447816840679</v>
      </c>
      <c r="X291" s="157">
        <f t="shared" si="112"/>
        <v>45203</v>
      </c>
      <c r="Y291" s="385">
        <f t="shared" si="113"/>
        <v>37.421458531065475</v>
      </c>
      <c r="Z291" s="385">
        <f t="shared" si="114"/>
        <v>39.062924621265161</v>
      </c>
      <c r="AA291" s="386">
        <f t="shared" si="115"/>
        <v>44.433598429138044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0.12086965714554825</v>
      </c>
      <c r="AD291" s="231">
        <f>(INDEX(Models!$BJ291:$BT291,,AH291)*(1-AF291)+INDEX(Models!$BJ291:$BT291,,AH291+1)*AF291-ERP_i)*AE291*Ramure*Pc/MaxiM</f>
        <v>2.4307246035401133E-3</v>
      </c>
      <c r="AE291" s="305">
        <f t="shared" si="117"/>
        <v>0.7</v>
      </c>
      <c r="AF291" s="177">
        <f t="shared" si="118"/>
        <v>0.99597925822515687</v>
      </c>
      <c r="AG291" s="919">
        <f t="shared" si="124"/>
        <v>0</v>
      </c>
      <c r="AH291" s="176">
        <f t="shared" si="119"/>
        <v>6</v>
      </c>
      <c r="AI291" s="225">
        <f t="shared" si="120"/>
        <v>0.99597925822515687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1090">
        <f>IF(t&gt;Tmaj,'2022'!Wh/'2022'!Env_an*'2023'!Env_an,0.001*'[12]mon-tableau (1)'!$B$42)</f>
        <v>41.252961779989064</v>
      </c>
      <c r="C292" s="953"/>
      <c r="D292" s="393">
        <f t="shared" si="102"/>
        <v>43.063437278637984</v>
      </c>
      <c r="E292" s="385">
        <f t="shared" si="100"/>
        <v>44.377832711414051</v>
      </c>
      <c r="F292" s="385">
        <f t="shared" si="103"/>
        <v>44.486531537719593</v>
      </c>
      <c r="G292" s="110">
        <f t="shared" si="101"/>
        <v>0.99178141091744099</v>
      </c>
      <c r="H292" s="412" t="b">
        <f>Wh_hp&gt;='2022'!Maxi_hp</f>
        <v>0</v>
      </c>
      <c r="I292" s="390">
        <f>IF(H292,Wh_hp,'2022'!Maxi_hp)</f>
        <v>44.683643039833356</v>
      </c>
      <c r="J292" s="85">
        <f>IF(H292,An,'2022'!An_max)</f>
        <v>2018</v>
      </c>
      <c r="K292" s="197">
        <f t="shared" si="104"/>
        <v>45204</v>
      </c>
      <c r="L292" s="147">
        <f>IF(t&lt;Tvie,1-EXP((T0-t)*PertePVj)+'2022'!Pspv,1-EXP((T0-t)*PertePVj)+Pspv)</f>
        <v>4.2042057324277349E-2</v>
      </c>
      <c r="M292" s="957"/>
      <c r="N292" s="957"/>
      <c r="O292" s="48">
        <f>IF(t&lt;Tnet,'2022'!Resal+('2022'!Salim-'2022'!Resal)*(1-EXP(('2022'!Tnet-t)/('2022'!Tau_j))),Resal+(Salim-Resal)*(1-EXP((Tnet-t)/(Tau_j))))*Salcycl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2.4723355064737631E-3</v>
      </c>
      <c r="Q292" s="305">
        <f t="shared" si="105"/>
        <v>0.7</v>
      </c>
      <c r="R292" s="177">
        <f t="shared" si="106"/>
        <v>0.99614794428913855</v>
      </c>
      <c r="S292" s="919">
        <f t="shared" si="107"/>
        <v>0</v>
      </c>
      <c r="T292" s="176">
        <f t="shared" si="108"/>
        <v>6</v>
      </c>
      <c r="U292" s="251">
        <f t="shared" si="109"/>
        <v>0.99614794428913855</v>
      </c>
      <c r="V292" s="383">
        <f t="shared" si="110"/>
        <v>41.593606344375956</v>
      </c>
      <c r="W292" s="402">
        <f t="shared" si="111"/>
        <v>41.252961779989064</v>
      </c>
      <c r="X292" s="157">
        <f t="shared" si="112"/>
        <v>45204</v>
      </c>
      <c r="Y292" s="385">
        <f t="shared" si="113"/>
        <v>37.374715004734917</v>
      </c>
      <c r="Z292" s="385">
        <f t="shared" si="114"/>
        <v>39.014985251170458</v>
      </c>
      <c r="AA292" s="386">
        <f t="shared" si="115"/>
        <v>44.377832711414051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0.12084518626941113</v>
      </c>
      <c r="AD292" s="231">
        <f>(INDEX(Models!$BJ292:$BT292,,AH292)*(1-AF292)+INDEX(Models!$BJ292:$BT292,,AH292+1)*AF292-ERP_i)*AE292*Ramure*Pc/MaxiM</f>
        <v>2.4723355064737631E-3</v>
      </c>
      <c r="AE292" s="305">
        <f t="shared" si="117"/>
        <v>0.7</v>
      </c>
      <c r="AF292" s="177">
        <f t="shared" si="118"/>
        <v>0.99614794428913855</v>
      </c>
      <c r="AG292" s="919">
        <f t="shared" si="124"/>
        <v>0</v>
      </c>
      <c r="AH292" s="176">
        <f t="shared" si="119"/>
        <v>6</v>
      </c>
      <c r="AI292" s="225">
        <f t="shared" si="120"/>
        <v>0.99614794428913855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1090">
        <f>IF(t&gt;Tmaj,'2022'!Wh/'2022'!Env_an*'2023'!Env_an,0.001*'[12]mon-tableau (1)'!$B$43)</f>
        <v>15.295170066850824</v>
      </c>
      <c r="C293" s="953"/>
      <c r="D293" s="393">
        <f t="shared" si="102"/>
        <v>15.966781417297117</v>
      </c>
      <c r="E293" s="385">
        <f t="shared" si="100"/>
        <v>16.456002690002418</v>
      </c>
      <c r="F293" s="385">
        <f t="shared" si="103"/>
        <v>16.460124592524391</v>
      </c>
      <c r="G293" s="110">
        <f t="shared" si="101"/>
        <v>0.3689918534491935</v>
      </c>
      <c r="H293" s="412" t="b">
        <f>Wh_hp&gt;='2022'!Maxi_hp</f>
        <v>0</v>
      </c>
      <c r="I293" s="390">
        <f>IF(H293,Wh_hp,'2022'!Maxi_hp)</f>
        <v>42.282942542755286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4.2063039061756236E-2</v>
      </c>
      <c r="M293" s="957"/>
      <c r="N293" s="957"/>
      <c r="O293" s="48">
        <f>IF(t&lt;Tnet,'2022'!Resal+('2022'!Salim-'2022'!Resal)*(1-EXP(('2022'!Tnet-t)/('2022'!Tau_j))),Resal+(Salim-Resal)*(1-EXP((Tnet-t)/(Tau_j))))*Salcycl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2.5103482875191104E-3</v>
      </c>
      <c r="Q293" s="305">
        <f t="shared" si="105"/>
        <v>0.7</v>
      </c>
      <c r="R293" s="177">
        <f t="shared" si="106"/>
        <v>0.99630994636017767</v>
      </c>
      <c r="S293" s="919">
        <f t="shared" si="107"/>
        <v>0</v>
      </c>
      <c r="T293" s="176">
        <f t="shared" si="108"/>
        <v>6</v>
      </c>
      <c r="U293" s="251">
        <f t="shared" si="109"/>
        <v>0.99630994636017767</v>
      </c>
      <c r="V293" s="383">
        <f t="shared" si="110"/>
        <v>41.357540118257575</v>
      </c>
      <c r="W293" s="402">
        <f t="shared" si="111"/>
        <v>15.295170066850824</v>
      </c>
      <c r="X293" s="157">
        <f t="shared" si="112"/>
        <v>45205</v>
      </c>
      <c r="Y293" s="385">
        <f t="shared" si="113"/>
        <v>13.859245459743757</v>
      </c>
      <c r="Z293" s="385">
        <f t="shared" si="114"/>
        <v>14.467805320059297</v>
      </c>
      <c r="AA293" s="386">
        <f t="shared" si="115"/>
        <v>16.456002690002418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0.12081897453450341</v>
      </c>
      <c r="AD293" s="231">
        <f>(INDEX(Models!$BJ293:$BT293,,AH293)*(1-AF293)+INDEX(Models!$BJ293:$BT293,,AH293+1)*AF293-ERP_i)*AE293*Ramure*Pc/MaxiM</f>
        <v>2.5103482875191104E-3</v>
      </c>
      <c r="AE293" s="305">
        <f t="shared" si="117"/>
        <v>0.7</v>
      </c>
      <c r="AF293" s="177">
        <f t="shared" si="118"/>
        <v>0.99630994636017767</v>
      </c>
      <c r="AG293" s="919">
        <f t="shared" si="124"/>
        <v>0</v>
      </c>
      <c r="AH293" s="176">
        <f t="shared" si="119"/>
        <v>6</v>
      </c>
      <c r="AI293" s="225">
        <f t="shared" si="120"/>
        <v>0.99630994636017767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1090">
        <f>IF(t&gt;Tmaj,'2022'!Wh/'2022'!Env_an*'2023'!Env_an,0.001*'[12]mon-tableau (1)'!$B$44)</f>
        <v>30.495753556594977</v>
      </c>
      <c r="C294" s="953"/>
      <c r="D294" s="393">
        <f t="shared" si="102"/>
        <v>31.835520237807184</v>
      </c>
      <c r="E294" s="385">
        <f t="shared" si="100"/>
        <v>32.814682324222673</v>
      </c>
      <c r="F294" s="385">
        <f t="shared" si="103"/>
        <v>32.867452919721842</v>
      </c>
      <c r="G294" s="110">
        <f t="shared" si="101"/>
        <v>0.74095827467919873</v>
      </c>
      <c r="H294" s="412" t="b">
        <f>Wh_hp&gt;='2022'!Maxi_hp</f>
        <v>0</v>
      </c>
      <c r="I294" s="390">
        <f>IF(H294,Wh_hp,'2022'!Maxi_hp)</f>
        <v>44.5855001708373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4.2084020339681172E-2</v>
      </c>
      <c r="M294" s="957"/>
      <c r="N294" s="957"/>
      <c r="O294" s="48">
        <f>IF(t&lt;Tnet,'2022'!Resal+('2022'!Salim-'2022'!Resal)*(1-EXP(('2022'!Tnet-t)/('2022'!Tau_j))),Resal+(Salim-Resal)*(1-EXP((Tnet-t)/(Tau_j))))*Salcycl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2.5447195126736132E-3</v>
      </c>
      <c r="Q294" s="305">
        <f t="shared" si="105"/>
        <v>0.7</v>
      </c>
      <c r="R294" s="177">
        <f t="shared" si="106"/>
        <v>0.9964655251467005</v>
      </c>
      <c r="S294" s="919">
        <f t="shared" si="107"/>
        <v>0</v>
      </c>
      <c r="T294" s="176">
        <f t="shared" si="108"/>
        <v>6</v>
      </c>
      <c r="U294" s="251">
        <f t="shared" si="109"/>
        <v>0.9964655251467005</v>
      </c>
      <c r="V294" s="383">
        <f t="shared" si="110"/>
        <v>41.118465230582828</v>
      </c>
      <c r="W294" s="402">
        <f t="shared" si="111"/>
        <v>30.495753556594977</v>
      </c>
      <c r="X294" s="157">
        <f t="shared" si="112"/>
        <v>45206</v>
      </c>
      <c r="Y294" s="385">
        <f t="shared" si="113"/>
        <v>27.636799137653448</v>
      </c>
      <c r="Z294" s="385">
        <f t="shared" si="114"/>
        <v>28.850963679981177</v>
      </c>
      <c r="AA294" s="386">
        <f t="shared" si="115"/>
        <v>32.814682324222673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0.12079101071521312</v>
      </c>
      <c r="AD294" s="231">
        <f>(INDEX(Models!$BJ294:$BT294,,AH294)*(1-AF294)+INDEX(Models!$BJ294:$BT294,,AH294+1)*AF294-ERP_i)*AE294*Ramure*Pc/MaxiM</f>
        <v>2.5447195126736132E-3</v>
      </c>
      <c r="AE294" s="305">
        <f t="shared" si="117"/>
        <v>0.7</v>
      </c>
      <c r="AF294" s="177">
        <f t="shared" si="118"/>
        <v>0.9964655251467005</v>
      </c>
      <c r="AG294" s="919">
        <f t="shared" si="124"/>
        <v>0</v>
      </c>
      <c r="AH294" s="176">
        <f t="shared" si="119"/>
        <v>6</v>
      </c>
      <c r="AI294" s="225">
        <f t="shared" si="120"/>
        <v>0.9964655251467005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1090">
        <f>IF(t&gt;Tmaj,'2022'!Wh/'2022'!Env_an*'2023'!Env_an,0.001*'[12]mon-tableau (1)'!$B$45)</f>
        <v>17.637985636312933</v>
      </c>
      <c r="C295" s="953"/>
      <c r="D295" s="393">
        <f t="shared" si="102"/>
        <v>18.413276671907312</v>
      </c>
      <c r="E295" s="385">
        <f t="shared" si="100"/>
        <v>18.981753200989115</v>
      </c>
      <c r="F295" s="385">
        <f t="shared" si="103"/>
        <v>18.990940721311908</v>
      </c>
      <c r="G295" s="110">
        <f t="shared" si="101"/>
        <v>0.43059051764841222</v>
      </c>
      <c r="H295" s="412" t="b">
        <f>Wh_hp&gt;='2022'!Maxi_hp</f>
        <v>0</v>
      </c>
      <c r="I295" s="390">
        <f>IF(H295,Wh_hp,'2022'!Maxi_hp)</f>
        <v>41.761638375375632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4.2105001158062261E-2</v>
      </c>
      <c r="M295" s="957"/>
      <c r="N295" s="957"/>
      <c r="O295" s="48">
        <f>IF(t&lt;Tnet,'2022'!Resal+('2022'!Salim-'2022'!Resal)*(1-EXP(('2022'!Tnet-t)/('2022'!Tau_j))),Resal+(Salim-Resal)*(1-EXP((Tnet-t)/(Tau_j))))*Salcycl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2.5754058051902624E-3</v>
      </c>
      <c r="Q295" s="305">
        <f t="shared" si="105"/>
        <v>0.7</v>
      </c>
      <c r="R295" s="177">
        <f t="shared" si="106"/>
        <v>0.99661493151256175</v>
      </c>
      <c r="S295" s="919">
        <f t="shared" si="107"/>
        <v>0</v>
      </c>
      <c r="T295" s="176">
        <f t="shared" si="108"/>
        <v>6</v>
      </c>
      <c r="U295" s="251">
        <f t="shared" si="109"/>
        <v>0.99661493151256175</v>
      </c>
      <c r="V295" s="383">
        <f t="shared" si="110"/>
        <v>40.876598693415637</v>
      </c>
      <c r="W295" s="402">
        <f t="shared" si="111"/>
        <v>17.637985636312933</v>
      </c>
      <c r="X295" s="157">
        <f t="shared" si="112"/>
        <v>45207</v>
      </c>
      <c r="Y295" s="385">
        <f t="shared" si="113"/>
        <v>15.986781143571969</v>
      </c>
      <c r="Z295" s="385">
        <f t="shared" si="114"/>
        <v>16.689492233386165</v>
      </c>
      <c r="AA295" s="386">
        <f t="shared" si="115"/>
        <v>18.981753200989115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0.12076128813451754</v>
      </c>
      <c r="AD295" s="231">
        <f>(INDEX(Models!$BJ295:$BT295,,AH295)*(1-AF295)+INDEX(Models!$BJ295:$BT295,,AH295+1)*AF295-ERP_i)*AE295*Ramure*Pc/MaxiM</f>
        <v>2.5754058051902624E-3</v>
      </c>
      <c r="AE295" s="305">
        <f t="shared" si="117"/>
        <v>0.7</v>
      </c>
      <c r="AF295" s="177">
        <f t="shared" si="118"/>
        <v>0.99661493151256175</v>
      </c>
      <c r="AG295" s="919">
        <f t="shared" si="124"/>
        <v>0</v>
      </c>
      <c r="AH295" s="176">
        <f t="shared" si="119"/>
        <v>6</v>
      </c>
      <c r="AI295" s="225">
        <f t="shared" si="120"/>
        <v>0.99661493151256175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1090">
        <f>IF(t&gt;Tmaj,'2022'!Wh/'2022'!Env_an*'2023'!Env_an,0.001*'[12]mon-tableau (1)'!$B$46)</f>
        <v>38.47248698597847</v>
      </c>
      <c r="C296" s="953"/>
      <c r="D296" s="393">
        <f t="shared" si="102"/>
        <v>40.164454034262583</v>
      </c>
      <c r="E296" s="385">
        <f t="shared" si="100"/>
        <v>41.409101501231156</v>
      </c>
      <c r="F296" s="385">
        <f t="shared" si="103"/>
        <v>41.508875059247544</v>
      </c>
      <c r="G296" s="110">
        <f t="shared" si="101"/>
        <v>0.94665966323813899</v>
      </c>
      <c r="H296" s="412" t="b">
        <f>Wh_hp&gt;='2022'!Maxi_hp</f>
        <v>0</v>
      </c>
      <c r="I296" s="390">
        <f>IF(H296,Wh_hp,'2022'!Maxi_hp)</f>
        <v>41.511067536404447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4.2125981516909605E-2</v>
      </c>
      <c r="M296" s="957"/>
      <c r="N296" s="957"/>
      <c r="O296" s="48">
        <f>IF(t&lt;Tnet,'2022'!Resal+('2022'!Salim-'2022'!Resal)*(1-EXP(('2022'!Tnet-t)/('2022'!Tau_j))),Resal+(Salim-Resal)*(1-EXP((Tnet-t)/(Tau_j))))*Salcycl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2.6011828415380129E-3</v>
      </c>
      <c r="Q296" s="305">
        <f t="shared" si="105"/>
        <v>0.7</v>
      </c>
      <c r="R296" s="177">
        <f t="shared" si="106"/>
        <v>0.99675840682322425</v>
      </c>
      <c r="S296" s="919">
        <f t="shared" si="107"/>
        <v>0</v>
      </c>
      <c r="T296" s="176">
        <f t="shared" si="108"/>
        <v>6</v>
      </c>
      <c r="U296" s="251">
        <f t="shared" si="109"/>
        <v>0.99675840682322425</v>
      </c>
      <c r="V296" s="383">
        <f t="shared" si="110"/>
        <v>40.632205307141042</v>
      </c>
      <c r="W296" s="402">
        <f t="shared" si="111"/>
        <v>38.47248698597847</v>
      </c>
      <c r="X296" s="157">
        <f t="shared" si="112"/>
        <v>45208</v>
      </c>
      <c r="Y296" s="385">
        <f t="shared" si="113"/>
        <v>34.875990665727365</v>
      </c>
      <c r="Z296" s="385">
        <f t="shared" si="114"/>
        <v>36.409788753804726</v>
      </c>
      <c r="AA296" s="386">
        <f t="shared" si="115"/>
        <v>41.409101501231156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0.12072980495067721</v>
      </c>
      <c r="AD296" s="231">
        <f>(INDEX(Models!$BJ296:$BT296,,AH296)*(1-AF296)+INDEX(Models!$BJ296:$BT296,,AH296+1)*AF296-ERP_i)*AE296*Ramure*Pc/MaxiM</f>
        <v>2.6011828415380129E-3</v>
      </c>
      <c r="AE296" s="305">
        <f t="shared" si="117"/>
        <v>0.7</v>
      </c>
      <c r="AF296" s="177">
        <f t="shared" si="118"/>
        <v>0.99675840682322425</v>
      </c>
      <c r="AG296" s="919">
        <f t="shared" si="124"/>
        <v>0</v>
      </c>
      <c r="AH296" s="176">
        <f t="shared" si="119"/>
        <v>6</v>
      </c>
      <c r="AI296" s="225">
        <f t="shared" si="120"/>
        <v>0.99675840682322425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1090">
        <f>IF(t&gt;Tmaj,'2022'!Wh/'2022'!Env_an*'2023'!Env_an,0.001*'[12]mon-tableau (1)'!$B$47)</f>
        <v>31.4021556699538</v>
      </c>
      <c r="C297" s="953"/>
      <c r="D297" s="393">
        <f t="shared" si="102"/>
        <v>32.783897325610042</v>
      </c>
      <c r="E297" s="385">
        <f t="shared" ref="E297:E360" si="125">Wh_pvt/(1-Psa)</f>
        <v>33.803597291954155</v>
      </c>
      <c r="F297" s="385">
        <f t="shared" si="103"/>
        <v>33.864200182957831</v>
      </c>
      <c r="G297" s="110">
        <f t="shared" ref="G297:G360" si="126">+Wh_hp/MaxiM</f>
        <v>0.77691172653068707</v>
      </c>
      <c r="H297" s="412" t="b">
        <f>Wh_hp&gt;='2022'!Maxi_hp</f>
        <v>0</v>
      </c>
      <c r="I297" s="390">
        <f>IF(H297,Wh_hp,'2022'!Maxi_hp)</f>
        <v>33.871711557012716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4.2146961416233308E-2</v>
      </c>
      <c r="M297" s="957"/>
      <c r="N297" s="957"/>
      <c r="O297" s="48">
        <f>IF(t&lt;Tnet,'2022'!Resal+('2022'!Salim-'2022'!Resal)*(1-EXP(('2022'!Tnet-t)/('2022'!Tau_j))),Resal+(Salim-Resal)*(1-EXP((Tnet-t)/(Tau_j))))*Salcycl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2.6231412710539313E-3</v>
      </c>
      <c r="Q297" s="305">
        <f t="shared" si="105"/>
        <v>0.7</v>
      </c>
      <c r="R297" s="177">
        <f t="shared" si="106"/>
        <v>0.9968961832818154</v>
      </c>
      <c r="S297" s="919">
        <f t="shared" si="107"/>
        <v>0</v>
      </c>
      <c r="T297" s="176">
        <f t="shared" si="108"/>
        <v>6</v>
      </c>
      <c r="U297" s="251">
        <f t="shared" si="109"/>
        <v>0.9968961832818154</v>
      </c>
      <c r="V297" s="383">
        <f t="shared" si="110"/>
        <v>40.385454655848498</v>
      </c>
      <c r="W297" s="402">
        <f t="shared" si="111"/>
        <v>31.4021556699538</v>
      </c>
      <c r="X297" s="157">
        <f t="shared" si="112"/>
        <v>45209</v>
      </c>
      <c r="Y297" s="385">
        <f t="shared" si="113"/>
        <v>28.470859000606399</v>
      </c>
      <c r="Z297" s="385">
        <f t="shared" si="114"/>
        <v>29.72361923359556</v>
      </c>
      <c r="AA297" s="386">
        <f t="shared" si="115"/>
        <v>33.803597291954155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0.12069656442539928</v>
      </c>
      <c r="AD297" s="231">
        <f>(INDEX(Models!$BJ297:$BT297,,AH297)*(1-AF297)+INDEX(Models!$BJ297:$BT297,,AH297+1)*AF297-ERP_i)*AE297*Ramure*Pc/MaxiM</f>
        <v>2.6231412710539313E-3</v>
      </c>
      <c r="AE297" s="305">
        <f t="shared" si="117"/>
        <v>0.7</v>
      </c>
      <c r="AF297" s="177">
        <f t="shared" si="118"/>
        <v>0.9968961832818154</v>
      </c>
      <c r="AG297" s="919">
        <f t="shared" si="124"/>
        <v>0</v>
      </c>
      <c r="AH297" s="176">
        <f t="shared" si="119"/>
        <v>6</v>
      </c>
      <c r="AI297" s="225">
        <f t="shared" si="120"/>
        <v>0.9968961832818154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1090">
        <f>IF(t&gt;Tmaj,'2022'!Wh/'2022'!Env_an*'2023'!Env_an,0.001*'[12]mon-tableau (1)'!$B$48)</f>
        <v>22.391158053075554</v>
      </c>
      <c r="C298" s="953"/>
      <c r="D298" s="393">
        <f t="shared" si="102"/>
        <v>23.376914396754692</v>
      </c>
      <c r="E298" s="385">
        <f t="shared" si="125"/>
        <v>24.106692371439266</v>
      </c>
      <c r="F298" s="385">
        <f t="shared" si="103"/>
        <v>24.130171303030679</v>
      </c>
      <c r="G298" s="110">
        <f t="shared" si="126"/>
        <v>0.55694276274194987</v>
      </c>
      <c r="H298" s="412" t="b">
        <f>Wh_hp&gt;='2022'!Maxi_hp</f>
        <v>0</v>
      </c>
      <c r="I298" s="390">
        <f>IF(H298,Wh_hp,'2022'!Maxi_hp)</f>
        <v>43.516621662814977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4.2167940856043251E-2</v>
      </c>
      <c r="M298" s="957"/>
      <c r="N298" s="957"/>
      <c r="O298" s="48">
        <f>IF(t&lt;Tnet,'2022'!Resal+('2022'!Salim-'2022'!Resal)*(1-EXP(('2022'!Tnet-t)/('2022'!Tau_j))),Resal+(Salim-Resal)*(1-EXP((Tnet-t)/(Tau_j))))*Salcycl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2.6412399106132451E-3</v>
      </c>
      <c r="Q298" s="305">
        <f t="shared" si="105"/>
        <v>0.7</v>
      </c>
      <c r="R298" s="177">
        <f t="shared" si="106"/>
        <v>0.99702848425518176</v>
      </c>
      <c r="S298" s="919">
        <f t="shared" si="107"/>
        <v>0</v>
      </c>
      <c r="T298" s="176">
        <f t="shared" si="108"/>
        <v>6</v>
      </c>
      <c r="U298" s="251">
        <f t="shared" si="109"/>
        <v>0.99702848425518176</v>
      </c>
      <c r="V298" s="383">
        <f t="shared" si="110"/>
        <v>40.136562676151144</v>
      </c>
      <c r="W298" s="402">
        <f t="shared" si="111"/>
        <v>22.391158053075554</v>
      </c>
      <c r="X298" s="157">
        <f t="shared" si="112"/>
        <v>45210</v>
      </c>
      <c r="Y298" s="385">
        <f t="shared" si="113"/>
        <v>20.304067379702705</v>
      </c>
      <c r="Z298" s="385">
        <f t="shared" si="114"/>
        <v>21.197940897748879</v>
      </c>
      <c r="AA298" s="386">
        <f t="shared" si="115"/>
        <v>24.106692371439266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0.12066157517057677</v>
      </c>
      <c r="AD298" s="231">
        <f>(INDEX(Models!$BJ298:$BT298,,AH298)*(1-AF298)+INDEX(Models!$BJ298:$BT298,,AH298+1)*AF298-ERP_i)*AE298*Ramure*Pc/MaxiM</f>
        <v>2.6412399106132451E-3</v>
      </c>
      <c r="AE298" s="305">
        <f t="shared" si="117"/>
        <v>0.7</v>
      </c>
      <c r="AF298" s="177">
        <f t="shared" si="118"/>
        <v>0.99702848425518176</v>
      </c>
      <c r="AG298" s="919">
        <f t="shared" si="124"/>
        <v>0</v>
      </c>
      <c r="AH298" s="176">
        <f t="shared" si="119"/>
        <v>6</v>
      </c>
      <c r="AI298" s="225">
        <f t="shared" si="120"/>
        <v>0.99702848425518176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1090">
        <f>IF(t&gt;Tmaj,'2022'!Wh/'2022'!Env_an*'2023'!Env_an,0.001*'[12]mon-tableau (1)'!$B$49)</f>
        <v>31.306788730300433</v>
      </c>
      <c r="C299" s="953"/>
      <c r="D299" s="393">
        <f t="shared" si="102"/>
        <v>32.685765887101027</v>
      </c>
      <c r="E299" s="385">
        <f t="shared" si="125"/>
        <v>33.709856792385047</v>
      </c>
      <c r="F299" s="385">
        <f t="shared" si="103"/>
        <v>33.771980519364568</v>
      </c>
      <c r="G299" s="110">
        <f t="shared" si="126"/>
        <v>0.7842701050950005</v>
      </c>
      <c r="H299" s="412" t="b">
        <f>Wh_hp&gt;='2022'!Maxi_hp</f>
        <v>0</v>
      </c>
      <c r="I299" s="390">
        <f>IF(H299,Wh_hp,'2022'!Maxi_hp)</f>
        <v>42.807452061099632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4.2188919836349648E-2</v>
      </c>
      <c r="M299" s="957"/>
      <c r="N299" s="957"/>
      <c r="O299" s="48">
        <f>IF(t&lt;Tnet,'2022'!Resal+('2022'!Salim-'2022'!Resal)*(1-EXP(('2022'!Tnet-t)/('2022'!Tau_j))),Resal+(Salim-Resal)*(1-EXP((Tnet-t)/(Tau_j))))*Salcycl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2.6554390044933244E-3</v>
      </c>
      <c r="Q299" s="305">
        <f t="shared" si="105"/>
        <v>0.7</v>
      </c>
      <c r="R299" s="177">
        <f t="shared" si="106"/>
        <v>0.99715552459008316</v>
      </c>
      <c r="S299" s="919">
        <f t="shared" si="107"/>
        <v>0</v>
      </c>
      <c r="T299" s="176">
        <f t="shared" si="108"/>
        <v>6</v>
      </c>
      <c r="U299" s="251">
        <f t="shared" si="109"/>
        <v>0.99715552459008316</v>
      </c>
      <c r="V299" s="383">
        <f t="shared" si="110"/>
        <v>39.885744946963122</v>
      </c>
      <c r="W299" s="402">
        <f t="shared" si="111"/>
        <v>31.306788730300433</v>
      </c>
      <c r="X299" s="157">
        <f t="shared" si="112"/>
        <v>45211</v>
      </c>
      <c r="Y299" s="385">
        <f t="shared" si="113"/>
        <v>28.392978427323275</v>
      </c>
      <c r="Z299" s="385">
        <f t="shared" si="114"/>
        <v>29.643610327072107</v>
      </c>
      <c r="AA299" s="386">
        <f t="shared" si="115"/>
        <v>33.709856792385047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0.12062485137081601</v>
      </c>
      <c r="AD299" s="231">
        <f>(INDEX(Models!$BJ299:$BT299,,AH299)*(1-AF299)+INDEX(Models!$BJ299:$BT299,,AH299+1)*AF299-ERP_i)*AE299*Ramure*Pc/MaxiM</f>
        <v>2.6554390044933244E-3</v>
      </c>
      <c r="AE299" s="305">
        <f t="shared" si="117"/>
        <v>0.7</v>
      </c>
      <c r="AF299" s="177">
        <f t="shared" si="118"/>
        <v>0.99715552459008316</v>
      </c>
      <c r="AG299" s="919">
        <f t="shared" si="124"/>
        <v>0</v>
      </c>
      <c r="AH299" s="176">
        <f t="shared" si="119"/>
        <v>6</v>
      </c>
      <c r="AI299" s="225">
        <f t="shared" si="120"/>
        <v>0.99715552459008316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1090">
        <f>IF(t&gt;Tmaj,'2022'!Wh/'2022'!Env_an*'2023'!Env_an,0.001*'[12]mon-tableau (1)'!$B$50)</f>
        <v>22.655408693330276</v>
      </c>
      <c r="C300" s="953"/>
      <c r="D300" s="393">
        <f t="shared" si="102"/>
        <v>23.653834649649095</v>
      </c>
      <c r="E300" s="385">
        <f t="shared" si="125"/>
        <v>24.39761099703512</v>
      </c>
      <c r="F300" s="385">
        <f t="shared" si="103"/>
        <v>24.422873867635129</v>
      </c>
      <c r="G300" s="110">
        <f t="shared" si="126"/>
        <v>0.57069333238629194</v>
      </c>
      <c r="H300" s="412" t="b">
        <f>Wh_hp&gt;='2022'!Maxi_hp</f>
        <v>0</v>
      </c>
      <c r="I300" s="390">
        <f>IF(H300,Wh_hp,'2022'!Maxi_hp)</f>
        <v>41.038729599738197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4.2209898357162601E-2</v>
      </c>
      <c r="M300" s="957"/>
      <c r="N300" s="957"/>
      <c r="O300" s="48">
        <f>IF(t&lt;Tnet,'2022'!Resal+('2022'!Salim-'2022'!Resal)*(1-EXP(('2022'!Tnet-t)/('2022'!Tau_j))),Resal+(Salim-Resal)*(1-EXP((Tnet-t)/(Tau_j))))*Salcycl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2.665700535475561E-3</v>
      </c>
      <c r="Q300" s="305">
        <f t="shared" si="105"/>
        <v>0.7</v>
      </c>
      <c r="R300" s="177">
        <f t="shared" si="106"/>
        <v>0.99727751091967731</v>
      </c>
      <c r="S300" s="919">
        <f t="shared" si="107"/>
        <v>0</v>
      </c>
      <c r="T300" s="176">
        <f t="shared" si="108"/>
        <v>6</v>
      </c>
      <c r="U300" s="251">
        <f t="shared" si="109"/>
        <v>0.99727751091967731</v>
      </c>
      <c r="V300" s="383">
        <f t="shared" si="110"/>
        <v>39.633216688422394</v>
      </c>
      <c r="W300" s="402">
        <f t="shared" si="111"/>
        <v>22.655408693330276</v>
      </c>
      <c r="X300" s="157">
        <f t="shared" si="112"/>
        <v>45212</v>
      </c>
      <c r="Y300" s="385">
        <f t="shared" si="113"/>
        <v>20.549952303154935</v>
      </c>
      <c r="Z300" s="385">
        <f t="shared" si="114"/>
        <v>21.455590601643188</v>
      </c>
      <c r="AA300" s="386">
        <f t="shared" si="115"/>
        <v>24.39761099703512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0.12058641297910089</v>
      </c>
      <c r="AD300" s="231">
        <f>(INDEX(Models!$BJ300:$BT300,,AH300)*(1-AF300)+INDEX(Models!$BJ300:$BT300,,AH300+1)*AF300-ERP_i)*AE300*Ramure*Pc/MaxiM</f>
        <v>2.665700535475561E-3</v>
      </c>
      <c r="AE300" s="305">
        <f t="shared" si="117"/>
        <v>0.7</v>
      </c>
      <c r="AF300" s="177">
        <f t="shared" si="118"/>
        <v>0.99727751091967731</v>
      </c>
      <c r="AG300" s="919">
        <f t="shared" si="124"/>
        <v>0</v>
      </c>
      <c r="AH300" s="176">
        <f t="shared" si="119"/>
        <v>6</v>
      </c>
      <c r="AI300" s="225">
        <f t="shared" si="120"/>
        <v>0.99727751091967731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1090">
        <f>IF(t&gt;Tmaj,'2022'!Wh/'2022'!Env_an*'2023'!Env_an,0.001*'[12]mon-tableau (1)'!$B$51)</f>
        <v>16.922598165524448</v>
      </c>
      <c r="C301" s="953"/>
      <c r="D301" s="393">
        <f t="shared" si="102"/>
        <v>17.668765623017396</v>
      </c>
      <c r="E301" s="385">
        <f t="shared" si="125"/>
        <v>18.226327194884608</v>
      </c>
      <c r="F301" s="385">
        <f t="shared" si="103"/>
        <v>18.235357581686742</v>
      </c>
      <c r="G301" s="110">
        <f t="shared" si="126"/>
        <v>0.42879861250579715</v>
      </c>
      <c r="H301" s="412" t="b">
        <f>Wh_hp&gt;='2022'!Maxi_hp</f>
        <v>0</v>
      </c>
      <c r="I301" s="390">
        <f>IF(H301,Wh_hp,'2022'!Maxi_hp)</f>
        <v>44.446308487241133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4.2230876418492103E-2</v>
      </c>
      <c r="M301" s="957"/>
      <c r="N301" s="957"/>
      <c r="O301" s="48">
        <f>IF(t&lt;Tnet,'2022'!Resal+('2022'!Salim-'2022'!Resal)*(1-EXP(('2022'!Tnet-t)/('2022'!Tau_j))),Resal+(Salim-Resal)*(1-EXP((Tnet-t)/(Tau_j))))*Salcycl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2.671988521552844E-3</v>
      </c>
      <c r="Q301" s="305">
        <f t="shared" si="105"/>
        <v>0.7</v>
      </c>
      <c r="R301" s="177">
        <f t="shared" si="106"/>
        <v>0.99739464196045813</v>
      </c>
      <c r="S301" s="919">
        <f t="shared" si="107"/>
        <v>0</v>
      </c>
      <c r="T301" s="176">
        <f t="shared" si="108"/>
        <v>6</v>
      </c>
      <c r="U301" s="251">
        <f t="shared" si="109"/>
        <v>0.99739464196045813</v>
      </c>
      <c r="V301" s="383">
        <f t="shared" si="110"/>
        <v>39.379192761305085</v>
      </c>
      <c r="W301" s="402">
        <f t="shared" si="111"/>
        <v>16.922598165524448</v>
      </c>
      <c r="X301" s="157">
        <f t="shared" si="112"/>
        <v>45213</v>
      </c>
      <c r="Y301" s="385">
        <f t="shared" si="113"/>
        <v>15.352283511247748</v>
      </c>
      <c r="Z301" s="385">
        <f t="shared" si="114"/>
        <v>16.02921114625099</v>
      </c>
      <c r="AA301" s="386">
        <f t="shared" si="115"/>
        <v>18.226327194884608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0.12054628588310752</v>
      </c>
      <c r="AD301" s="231">
        <f>(INDEX(Models!$BJ301:$BT301,,AH301)*(1-AF301)+INDEX(Models!$BJ301:$BT301,,AH301+1)*AF301-ERP_i)*AE301*Ramure*Pc/MaxiM</f>
        <v>2.671988521552844E-3</v>
      </c>
      <c r="AE301" s="305">
        <f t="shared" si="117"/>
        <v>0.7</v>
      </c>
      <c r="AF301" s="177">
        <f t="shared" si="118"/>
        <v>0.99739464196045813</v>
      </c>
      <c r="AG301" s="919">
        <f t="shared" si="124"/>
        <v>0</v>
      </c>
      <c r="AH301" s="176">
        <f t="shared" si="119"/>
        <v>6</v>
      </c>
      <c r="AI301" s="225">
        <f t="shared" si="120"/>
        <v>0.99739464196045813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1090">
        <f>IF(t&gt;Tmaj,'2022'!Wh/'2022'!Env_an*'2023'!Env_an,0.001*'[12]mon-tableau (1)'!$B$52)</f>
        <v>37.788899214111105</v>
      </c>
      <c r="C302" s="953"/>
      <c r="D302" s="393">
        <f t="shared" si="102"/>
        <v>39.455987853109306</v>
      </c>
      <c r="E302" s="385">
        <f t="shared" si="125"/>
        <v>40.705471010830585</v>
      </c>
      <c r="F302" s="385">
        <f t="shared" si="103"/>
        <v>40.809286154638613</v>
      </c>
      <c r="G302" s="110">
        <f t="shared" si="126"/>
        <v>0.96575168682946044</v>
      </c>
      <c r="H302" s="412" t="b">
        <f>Wh_hp&gt;='2022'!Maxi_hp</f>
        <v>0</v>
      </c>
      <c r="I302" s="390">
        <f>IF(H302,Wh_hp,'2022'!Maxi_hp)</f>
        <v>40.810683160447986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4.2251854020348145E-2</v>
      </c>
      <c r="M302" s="957"/>
      <c r="N302" s="957"/>
      <c r="O302" s="48">
        <f>IF(t&lt;Tnet,'2022'!Resal+('2022'!Salim-'2022'!Resal)*(1-EXP(('2022'!Tnet-t)/('2022'!Tau_j))),Resal+(Salim-Resal)*(1-EXP((Tnet-t)/(Tau_j))))*Salcycl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2.6742692956382586E-3</v>
      </c>
      <c r="Q302" s="305">
        <f t="shared" si="105"/>
        <v>0.7</v>
      </c>
      <c r="R302" s="177">
        <f t="shared" si="106"/>
        <v>0.99750710879982418</v>
      </c>
      <c r="S302" s="919">
        <f t="shared" si="107"/>
        <v>0</v>
      </c>
      <c r="T302" s="176">
        <f t="shared" si="108"/>
        <v>6</v>
      </c>
      <c r="U302" s="251">
        <f t="shared" si="109"/>
        <v>0.99750710879982418</v>
      </c>
      <c r="V302" s="383">
        <f t="shared" si="110"/>
        <v>39.123887666673639</v>
      </c>
      <c r="W302" s="402">
        <f t="shared" si="111"/>
        <v>37.788899214111105</v>
      </c>
      <c r="X302" s="157">
        <f t="shared" si="112"/>
        <v>45214</v>
      </c>
      <c r="Y302" s="385">
        <f t="shared" si="113"/>
        <v>34.287650355455426</v>
      </c>
      <c r="Z302" s="385">
        <f t="shared" si="114"/>
        <v>35.800278496371945</v>
      </c>
      <c r="AA302" s="386">
        <f t="shared" si="115"/>
        <v>40.705471010830585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0.12050450203987326</v>
      </c>
      <c r="AD302" s="231">
        <f>(INDEX(Models!$BJ302:$BT302,,AH302)*(1-AF302)+INDEX(Models!$BJ302:$BT302,,AH302+1)*AF302-ERP_i)*AE302*Ramure*Pc/MaxiM</f>
        <v>2.6742692956382586E-3</v>
      </c>
      <c r="AE302" s="305">
        <f t="shared" si="117"/>
        <v>0.7</v>
      </c>
      <c r="AF302" s="177">
        <f t="shared" si="118"/>
        <v>0.99750710879982418</v>
      </c>
      <c r="AG302" s="919">
        <f t="shared" si="124"/>
        <v>0</v>
      </c>
      <c r="AH302" s="176">
        <f t="shared" si="119"/>
        <v>6</v>
      </c>
      <c r="AI302" s="225">
        <f t="shared" si="120"/>
        <v>0.99750710879982418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1090">
        <f>IF(t&gt;Tmaj,'2022'!Wh/'2022'!Env_an*'2023'!Env_an,0.001*'[12]mon-tableau (1)'!$B$53)</f>
        <v>34.115929565779901</v>
      </c>
      <c r="C303" s="953"/>
      <c r="D303" s="393">
        <f t="shared" si="102"/>
        <v>35.62176230961348</v>
      </c>
      <c r="E303" s="385">
        <f t="shared" si="125"/>
        <v>36.753769027919958</v>
      </c>
      <c r="F303" s="385">
        <f t="shared" si="103"/>
        <v>36.835020451325015</v>
      </c>
      <c r="G303" s="110">
        <f t="shared" si="126"/>
        <v>0.87734594925801701</v>
      </c>
      <c r="H303" s="412" t="b">
        <f>Wh_hp&gt;='2022'!Maxi_hp</f>
        <v>0</v>
      </c>
      <c r="I303" s="390">
        <f>IF(H303,Wh_hp,'2022'!Maxi_hp)</f>
        <v>39.359495276629886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4.2272831162740943E-2</v>
      </c>
      <c r="M303" s="957"/>
      <c r="N303" s="957"/>
      <c r="O303" s="48">
        <f>IF(t&lt;Tnet,'2022'!Resal+('2022'!Salim-'2022'!Resal)*(1-EXP(('2022'!Tnet-t)/('2022'!Tau_j))),Resal+(Salim-Resal)*(1-EXP((Tnet-t)/(Tau_j))))*Salcycl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2.67253406902757E-3</v>
      </c>
      <c r="Q303" s="305">
        <f t="shared" si="105"/>
        <v>0.7</v>
      </c>
      <c r="R303" s="177">
        <f t="shared" si="106"/>
        <v>0.99761509517445712</v>
      </c>
      <c r="S303" s="919">
        <f t="shared" si="107"/>
        <v>0</v>
      </c>
      <c r="T303" s="176">
        <f t="shared" si="108"/>
        <v>6</v>
      </c>
      <c r="U303" s="251">
        <f t="shared" si="109"/>
        <v>0.99761509517445712</v>
      </c>
      <c r="V303" s="383">
        <f t="shared" si="110"/>
        <v>38.867190313523935</v>
      </c>
      <c r="W303" s="402">
        <f t="shared" si="111"/>
        <v>34.115929565779901</v>
      </c>
      <c r="X303" s="157">
        <f t="shared" si="112"/>
        <v>45215</v>
      </c>
      <c r="Y303" s="385">
        <f t="shared" si="113"/>
        <v>30.959842433139237</v>
      </c>
      <c r="Z303" s="385">
        <f t="shared" si="114"/>
        <v>32.326369597227185</v>
      </c>
      <c r="AA303" s="386">
        <f t="shared" si="115"/>
        <v>36.753769027919958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0.12046109957674014</v>
      </c>
      <c r="AD303" s="231">
        <f>(INDEX(Models!$BJ303:$BT303,,AH303)*(1-AF303)+INDEX(Models!$BJ303:$BT303,,AH303+1)*AF303-ERP_i)*AE303*Ramure*Pc/MaxiM</f>
        <v>2.67253406902757E-3</v>
      </c>
      <c r="AE303" s="305">
        <f t="shared" si="117"/>
        <v>0.7</v>
      </c>
      <c r="AF303" s="177">
        <f t="shared" si="118"/>
        <v>0.99761509517445712</v>
      </c>
      <c r="AG303" s="919">
        <f t="shared" si="124"/>
        <v>0</v>
      </c>
      <c r="AH303" s="176">
        <f t="shared" si="119"/>
        <v>6</v>
      </c>
      <c r="AI303" s="225">
        <f t="shared" si="120"/>
        <v>0.99761509517445712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1090">
        <f>IF(t&gt;Tmaj,'2022'!Wh/'2022'!Env_an*'2023'!Env_an,0.001*'[12]mon-tableau (1)'!$B$54)</f>
        <v>22.974889964041203</v>
      </c>
      <c r="C304" s="953"/>
      <c r="D304" s="393">
        <f t="shared" si="102"/>
        <v>23.989497146677273</v>
      </c>
      <c r="E304" s="385">
        <f t="shared" si="125"/>
        <v>24.75448819955945</v>
      </c>
      <c r="F304" s="385">
        <f t="shared" si="103"/>
        <v>24.782342807104694</v>
      </c>
      <c r="G304" s="110">
        <f t="shared" si="126"/>
        <v>0.59414995521744707</v>
      </c>
      <c r="H304" s="412" t="b">
        <f>Wh_hp&gt;='2022'!Maxi_hp</f>
        <v>0</v>
      </c>
      <c r="I304" s="390">
        <f>IF(H304,Wh_hp,'2022'!Maxi_hp)</f>
        <v>39.909622414686694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4.2293807845680487E-2</v>
      </c>
      <c r="M304" s="957"/>
      <c r="N304" s="957"/>
      <c r="O304" s="48">
        <f>IF(t&lt;Tnet,'2022'!Resal+('2022'!Salim-'2022'!Resal)*(1-EXP(('2022'!Tnet-t)/('2022'!Tau_j))),Resal+(Salim-Resal)*(1-EXP((Tnet-t)/(Tau_j))))*Salcycl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2.6664248762878358E-3</v>
      </c>
      <c r="Q304" s="305">
        <f t="shared" si="105"/>
        <v>0.7</v>
      </c>
      <c r="R304" s="177">
        <f t="shared" si="106"/>
        <v>0.99771877773970197</v>
      </c>
      <c r="S304" s="919">
        <f t="shared" si="107"/>
        <v>0</v>
      </c>
      <c r="T304" s="176">
        <f t="shared" si="108"/>
        <v>6</v>
      </c>
      <c r="U304" s="251">
        <f t="shared" si="109"/>
        <v>0.99771877773970197</v>
      </c>
      <c r="V304" s="383">
        <f t="shared" si="110"/>
        <v>38.608792534019202</v>
      </c>
      <c r="W304" s="402">
        <f t="shared" si="111"/>
        <v>22.974889964041203</v>
      </c>
      <c r="X304" s="157">
        <f t="shared" si="112"/>
        <v>45216</v>
      </c>
      <c r="Y304" s="385">
        <f t="shared" si="113"/>
        <v>20.852758192741298</v>
      </c>
      <c r="Z304" s="385">
        <f t="shared" si="114"/>
        <v>21.773648707265746</v>
      </c>
      <c r="AA304" s="386">
        <f t="shared" si="115"/>
        <v>24.75448819955945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0.12041612285673324</v>
      </c>
      <c r="AD304" s="231">
        <f>(INDEX(Models!$BJ304:$BT304,,AH304)*(1-AF304)+INDEX(Models!$BJ304:$BT304,,AH304+1)*AF304-ERP_i)*AE304*Ramure*Pc/MaxiM</f>
        <v>2.6664248762878358E-3</v>
      </c>
      <c r="AE304" s="305">
        <f t="shared" si="117"/>
        <v>0.7</v>
      </c>
      <c r="AF304" s="177">
        <f t="shared" si="118"/>
        <v>0.99771877773970197</v>
      </c>
      <c r="AG304" s="919">
        <f t="shared" si="124"/>
        <v>0</v>
      </c>
      <c r="AH304" s="176">
        <f t="shared" si="119"/>
        <v>6</v>
      </c>
      <c r="AI304" s="225">
        <f t="shared" si="120"/>
        <v>0.99771877773970197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1090">
        <f>IF(t&gt;Tmaj,'2022'!Wh/'2022'!Env_an*'2023'!Env_an,0.001*'[12]mon-tableau (1)'!$B$55)</f>
        <v>35.159071434184455</v>
      </c>
      <c r="C305" s="953"/>
      <c r="D305" s="393">
        <f t="shared" si="102"/>
        <v>36.712555283639368</v>
      </c>
      <c r="E305" s="385">
        <f t="shared" si="125"/>
        <v>37.887282904402163</v>
      </c>
      <c r="F305" s="385">
        <f t="shared" si="103"/>
        <v>37.976249529651611</v>
      </c>
      <c r="G305" s="110">
        <f t="shared" si="126"/>
        <v>0.91654037267129784</v>
      </c>
      <c r="H305" s="412" t="b">
        <f>Wh_hp&gt;='2022'!Maxi_hp</f>
        <v>0</v>
      </c>
      <c r="I305" s="390">
        <f>IF(H305,Wh_hp,'2022'!Maxi_hp)</f>
        <v>40.636688636439388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4.231478406917677E-2</v>
      </c>
      <c r="M305" s="957"/>
      <c r="N305" s="957"/>
      <c r="O305" s="48">
        <f>IF(t&lt;Tnet,'2022'!Resal+('2022'!Salim-'2022'!Resal)*(1-EXP(('2022'!Tnet-t)/('2022'!Tau_j))),Resal+(Salim-Resal)*(1-EXP((Tnet-t)/(Tau_j))))*Salcycl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2.6585640992915428E-3</v>
      </c>
      <c r="Q305" s="305">
        <f t="shared" si="105"/>
        <v>0.7</v>
      </c>
      <c r="R305" s="177">
        <f t="shared" si="106"/>
        <v>0.99781832633014245</v>
      </c>
      <c r="S305" s="919">
        <f t="shared" si="107"/>
        <v>0</v>
      </c>
      <c r="T305" s="176">
        <f t="shared" si="108"/>
        <v>6</v>
      </c>
      <c r="U305" s="251">
        <f t="shared" si="109"/>
        <v>0.99781832633014245</v>
      </c>
      <c r="V305" s="383">
        <f t="shared" si="110"/>
        <v>38.348490263507379</v>
      </c>
      <c r="W305" s="402">
        <f t="shared" si="111"/>
        <v>35.159071434184455</v>
      </c>
      <c r="X305" s="157">
        <f t="shared" si="112"/>
        <v>45217</v>
      </c>
      <c r="Y305" s="385">
        <f t="shared" si="113"/>
        <v>31.916588407649702</v>
      </c>
      <c r="Z305" s="385">
        <f t="shared" si="114"/>
        <v>33.326804963391169</v>
      </c>
      <c r="AA305" s="386">
        <f t="shared" si="115"/>
        <v>37.887282904402163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0.12036962250679384</v>
      </c>
      <c r="AD305" s="231">
        <f>(INDEX(Models!$BJ305:$BT305,,AH305)*(1-AF305)+INDEX(Models!$BJ305:$BT305,,AH305+1)*AF305-ERP_i)*AE305*Ramure*Pc/MaxiM</f>
        <v>2.6585640992915428E-3</v>
      </c>
      <c r="AE305" s="305">
        <f t="shared" si="117"/>
        <v>0.7</v>
      </c>
      <c r="AF305" s="177">
        <f t="shared" si="118"/>
        <v>0.99781832633014245</v>
      </c>
      <c r="AG305" s="919">
        <f t="shared" si="124"/>
        <v>0</v>
      </c>
      <c r="AH305" s="176">
        <f t="shared" si="119"/>
        <v>6</v>
      </c>
      <c r="AI305" s="225">
        <f t="shared" si="120"/>
        <v>0.99781832633014245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1090">
        <f>IF(t&gt;Tmaj,'2022'!Wh/'2022'!Env_an*'2023'!Env_an,0.001*'[12]mon-tableau (1)'!$B$56)</f>
        <v>14.967880747095801</v>
      </c>
      <c r="C306" s="953"/>
      <c r="D306" s="393">
        <f t="shared" si="102"/>
        <v>15.62957048964198</v>
      </c>
      <c r="E306" s="385">
        <f t="shared" si="125"/>
        <v>16.131384742366379</v>
      </c>
      <c r="F306" s="385">
        <f t="shared" si="103"/>
        <v>16.137063931849323</v>
      </c>
      <c r="G306" s="110">
        <f t="shared" si="126"/>
        <v>0.39209724560499992</v>
      </c>
      <c r="H306" s="412" t="b">
        <f>Wh_hp&gt;='2022'!Maxi_hp</f>
        <v>0</v>
      </c>
      <c r="I306" s="390">
        <f>IF(H306,Wh_hp,'2022'!Maxi_hp)</f>
        <v>39.555235344496339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4.2335759833240005E-2</v>
      </c>
      <c r="M306" s="957"/>
      <c r="N306" s="957"/>
      <c r="O306" s="48">
        <f>IF(t&lt;Tnet,'2022'!Resal+('2022'!Salim-'2022'!Resal)*(1-EXP(('2022'!Tnet-t)/('2022'!Tau_j))),Resal+(Salim-Resal)*(1-EXP((Tnet-t)/(Tau_j))))*Salcycl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2.6489609182693986E-3</v>
      </c>
      <c r="Q306" s="305">
        <f t="shared" si="105"/>
        <v>0.7</v>
      </c>
      <c r="R306" s="177">
        <f t="shared" si="106"/>
        <v>0.99791390421157256</v>
      </c>
      <c r="S306" s="919">
        <f t="shared" si="107"/>
        <v>0</v>
      </c>
      <c r="T306" s="176">
        <f t="shared" si="108"/>
        <v>6</v>
      </c>
      <c r="U306" s="251">
        <f t="shared" si="109"/>
        <v>0.99791390421157256</v>
      </c>
      <c r="V306" s="383">
        <f t="shared" si="110"/>
        <v>38.086181916872746</v>
      </c>
      <c r="W306" s="402">
        <f t="shared" si="111"/>
        <v>14.967880747095801</v>
      </c>
      <c r="X306" s="157">
        <f t="shared" si="112"/>
        <v>45218</v>
      </c>
      <c r="Y306" s="385">
        <f t="shared" si="113"/>
        <v>13.589667197098176</v>
      </c>
      <c r="Z306" s="385">
        <f t="shared" si="114"/>
        <v>14.190429826148442</v>
      </c>
      <c r="AA306" s="386">
        <f t="shared" si="115"/>
        <v>16.131384742366379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0.1203216554075698</v>
      </c>
      <c r="AD306" s="231">
        <f>(INDEX(Models!$BJ306:$BT306,,AH306)*(1-AF306)+INDEX(Models!$BJ306:$BT306,,AH306+1)*AF306-ERP_i)*AE306*Ramure*Pc/MaxiM</f>
        <v>2.6489609182693986E-3</v>
      </c>
      <c r="AE306" s="305">
        <f t="shared" si="117"/>
        <v>0.7</v>
      </c>
      <c r="AF306" s="177">
        <f t="shared" si="118"/>
        <v>0.99791390421157256</v>
      </c>
      <c r="AG306" s="919">
        <f t="shared" si="124"/>
        <v>0</v>
      </c>
      <c r="AH306" s="176">
        <f t="shared" si="119"/>
        <v>6</v>
      </c>
      <c r="AI306" s="225">
        <f t="shared" si="120"/>
        <v>0.99791390421157256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1090">
        <f>IF(t&gt;Tmaj,'2022'!Wh/'2022'!Env_an*'2023'!Env_an,0.001*'[12]mon-tableau (1)'!$B$57)</f>
        <v>8.584639099734698</v>
      </c>
      <c r="C307" s="953"/>
      <c r="D307" s="393">
        <f t="shared" si="102"/>
        <v>8.9643392427249022</v>
      </c>
      <c r="E307" s="385">
        <f t="shared" si="125"/>
        <v>9.253123784211958</v>
      </c>
      <c r="F307" s="385">
        <f t="shared" si="103"/>
        <v>9.253123784211958</v>
      </c>
      <c r="G307" s="110">
        <f t="shared" si="126"/>
        <v>0.22637747992316559</v>
      </c>
      <c r="H307" s="412" t="b">
        <f>Wh_hp&gt;='2022'!Maxi_hp</f>
        <v>0</v>
      </c>
      <c r="I307" s="390">
        <f>IF(H307,Wh_hp,'2022'!Maxi_hp)</f>
        <v>32.753589060137877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4.2356735137880186E-2</v>
      </c>
      <c r="M307" s="957"/>
      <c r="N307" s="957"/>
      <c r="O307" s="48">
        <f>IF(t&lt;Tnet,'2022'!Resal+('2022'!Salim-'2022'!Resal)*(1-EXP(('2022'!Tnet-t)/('2022'!Tau_j))),Resal+(Salim-Resal)*(1-EXP((Tnet-t)/(Tau_j))))*Salcycl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2.6376265149285986E-3</v>
      </c>
      <c r="Q307" s="305">
        <f t="shared" si="105"/>
        <v>0.7</v>
      </c>
      <c r="R307" s="177">
        <f t="shared" si="106"/>
        <v>0.99800566832456594</v>
      </c>
      <c r="S307" s="919">
        <f t="shared" si="107"/>
        <v>0</v>
      </c>
      <c r="T307" s="176">
        <f t="shared" si="108"/>
        <v>6</v>
      </c>
      <c r="U307" s="251">
        <f t="shared" si="109"/>
        <v>0.99800566832456594</v>
      </c>
      <c r="V307" s="383">
        <f t="shared" si="110"/>
        <v>37.821765799893861</v>
      </c>
      <c r="W307" s="402">
        <f t="shared" si="111"/>
        <v>8.584639099734698</v>
      </c>
      <c r="X307" s="157">
        <f t="shared" si="112"/>
        <v>45219</v>
      </c>
      <c r="Y307" s="385">
        <f t="shared" si="113"/>
        <v>7.7954359039623462</v>
      </c>
      <c r="Z307" s="385">
        <f t="shared" si="114"/>
        <v>8.1402294465932705</v>
      </c>
      <c r="AA307" s="386">
        <f t="shared" si="115"/>
        <v>9.253123784211958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0.12027228464376008</v>
      </c>
      <c r="AD307" s="231">
        <f>(INDEX(Models!$BJ307:$BT307,,AH307)*(1-AF307)+INDEX(Models!$BJ307:$BT307,,AH307+1)*AF307-ERP_i)*AE307*Ramure*Pc/MaxiM</f>
        <v>2.6376265149285986E-3</v>
      </c>
      <c r="AE307" s="305">
        <f t="shared" si="117"/>
        <v>0.7</v>
      </c>
      <c r="AF307" s="177">
        <f t="shared" si="118"/>
        <v>0.99800566832456594</v>
      </c>
      <c r="AG307" s="919">
        <f t="shared" si="124"/>
        <v>0</v>
      </c>
      <c r="AH307" s="176">
        <f t="shared" si="119"/>
        <v>6</v>
      </c>
      <c r="AI307" s="225">
        <f t="shared" si="120"/>
        <v>0.99800566832456594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1090">
        <f>IF(t&gt;Tmaj,'2022'!Wh/'2022'!Env_an*'2023'!Env_an,0.001*'[12]mon-tableau (1)'!$B$58)</f>
        <v>15.689883500146877</v>
      </c>
      <c r="C308" s="953"/>
      <c r="D308" s="393">
        <f t="shared" si="102"/>
        <v>16.384208746717981</v>
      </c>
      <c r="E308" s="385">
        <f t="shared" si="125"/>
        <v>16.91378376800272</v>
      </c>
      <c r="F308" s="385">
        <f t="shared" si="103"/>
        <v>16.921256414990435</v>
      </c>
      <c r="G308" s="110">
        <f t="shared" si="126"/>
        <v>0.41687017852577207</v>
      </c>
      <c r="H308" s="412" t="b">
        <f>Wh_hp&gt;='2022'!Maxi_hp</f>
        <v>0</v>
      </c>
      <c r="I308" s="390">
        <f>IF(H308,Wh_hp,'2022'!Maxi_hp)</f>
        <v>25.301063614108177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4.2377709983107303E-2</v>
      </c>
      <c r="M308" s="957"/>
      <c r="N308" s="957"/>
      <c r="O308" s="48">
        <f>IF(t&lt;Tnet,'2022'!Resal+('2022'!Salim-'2022'!Resal)*(1-EXP(('2022'!Tnet-t)/('2022'!Tau_j))),Resal+(Salim-Resal)*(1-EXP((Tnet-t)/(Tau_j))))*Salcycl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2.6245739861037246E-3</v>
      </c>
      <c r="Q308" s="305">
        <f t="shared" si="105"/>
        <v>0.7</v>
      </c>
      <c r="R308" s="177">
        <f t="shared" si="106"/>
        <v>0.99809376951985129</v>
      </c>
      <c r="S308" s="919">
        <f t="shared" si="107"/>
        <v>0</v>
      </c>
      <c r="T308" s="176">
        <f t="shared" si="108"/>
        <v>6</v>
      </c>
      <c r="U308" s="251">
        <f t="shared" si="109"/>
        <v>0.99809376951985129</v>
      </c>
      <c r="V308" s="383">
        <f t="shared" si="110"/>
        <v>37.555140115835627</v>
      </c>
      <c r="W308" s="402">
        <f t="shared" si="111"/>
        <v>15.689883500146877</v>
      </c>
      <c r="X308" s="157">
        <f t="shared" si="112"/>
        <v>45220</v>
      </c>
      <c r="Y308" s="385">
        <f t="shared" si="113"/>
        <v>14.24978545799801</v>
      </c>
      <c r="Z308" s="385">
        <f t="shared" si="114"/>
        <v>14.880381969541082</v>
      </c>
      <c r="AA308" s="386">
        <f t="shared" si="115"/>
        <v>16.91378376800272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0.12022157941432368</v>
      </c>
      <c r="AD308" s="231">
        <f>(INDEX(Models!$BJ308:$BT308,,AH308)*(1-AF308)+INDEX(Models!$BJ308:$BT308,,AH308+1)*AF308-ERP_i)*AE308*Ramure*Pc/MaxiM</f>
        <v>2.6245739861037246E-3</v>
      </c>
      <c r="AE308" s="305">
        <f t="shared" si="117"/>
        <v>0.7</v>
      </c>
      <c r="AF308" s="177">
        <f t="shared" si="118"/>
        <v>0.99809376951985129</v>
      </c>
      <c r="AG308" s="919">
        <f t="shared" si="124"/>
        <v>0</v>
      </c>
      <c r="AH308" s="176">
        <f t="shared" si="119"/>
        <v>6</v>
      </c>
      <c r="AI308" s="225">
        <f t="shared" si="120"/>
        <v>0.99809376951985129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1090">
        <f>IF(t&gt;Tmaj,'2022'!Wh/'2022'!Env_an*'2023'!Env_an,0.001*'[12]mon-tableau (1)'!$B$59)</f>
        <v>33.845091779649472</v>
      </c>
      <c r="C309" s="953"/>
      <c r="D309" s="393">
        <f t="shared" si="102"/>
        <v>35.343614536854751</v>
      </c>
      <c r="E309" s="385">
        <f t="shared" si="125"/>
        <v>36.489777418921157</v>
      </c>
      <c r="F309" s="385">
        <f t="shared" si="103"/>
        <v>36.572641354057865</v>
      </c>
      <c r="G309" s="110">
        <f t="shared" si="126"/>
        <v>0.90739783428412368</v>
      </c>
      <c r="H309" s="412" t="b">
        <f>Wh_hp&gt;='2022'!Maxi_hp</f>
        <v>0</v>
      </c>
      <c r="I309" s="390">
        <f>IF(H309,Wh_hp,'2022'!Maxi_hp)</f>
        <v>36.5759320707512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4.2398684368931461E-2</v>
      </c>
      <c r="M309" s="957"/>
      <c r="N309" s="957"/>
      <c r="O309" s="48">
        <f>IF(t&lt;Tnet,'2022'!Resal+('2022'!Salim-'2022'!Resal)*(1-EXP(('2022'!Tnet-t)/('2022'!Tau_j))),Resal+(Salim-Resal)*(1-EXP((Tnet-t)/(Tau_j))))*Salcycl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2.6098182350079596E-3</v>
      </c>
      <c r="Q309" s="305">
        <f t="shared" si="105"/>
        <v>0.7</v>
      </c>
      <c r="R309" s="177">
        <f t="shared" si="106"/>
        <v>0.99817835278569711</v>
      </c>
      <c r="S309" s="919">
        <f t="shared" si="107"/>
        <v>0</v>
      </c>
      <c r="T309" s="176">
        <f t="shared" si="108"/>
        <v>6</v>
      </c>
      <c r="U309" s="251">
        <f t="shared" si="109"/>
        <v>0.99817835278569711</v>
      </c>
      <c r="V309" s="383">
        <f t="shared" si="110"/>
        <v>37.286202971908125</v>
      </c>
      <c r="W309" s="402">
        <f t="shared" si="111"/>
        <v>33.845091779649472</v>
      </c>
      <c r="X309" s="157">
        <f t="shared" si="112"/>
        <v>45221</v>
      </c>
      <c r="Y309" s="385">
        <f t="shared" si="113"/>
        <v>30.743613004165333</v>
      </c>
      <c r="Z309" s="385">
        <f t="shared" si="114"/>
        <v>32.104814918622992</v>
      </c>
      <c r="AA309" s="386">
        <f t="shared" si="115"/>
        <v>36.489777418921157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0.12016961490218397</v>
      </c>
      <c r="AD309" s="231">
        <f>(INDEX(Models!$BJ309:$BT309,,AH309)*(1-AF309)+INDEX(Models!$BJ309:$BT309,,AH309+1)*AF309-ERP_i)*AE309*Ramure*Pc/MaxiM</f>
        <v>2.6098182350079596E-3</v>
      </c>
      <c r="AE309" s="305">
        <f t="shared" si="117"/>
        <v>0.7</v>
      </c>
      <c r="AF309" s="177">
        <f t="shared" si="118"/>
        <v>0.99817835278569711</v>
      </c>
      <c r="AG309" s="919">
        <f t="shared" si="124"/>
        <v>0</v>
      </c>
      <c r="AH309" s="176">
        <f t="shared" si="119"/>
        <v>6</v>
      </c>
      <c r="AI309" s="225">
        <f t="shared" si="120"/>
        <v>0.99817835278569711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1090">
        <f>IF(t&gt;Tmaj,'2022'!Wh/'2022'!Env_an*'2023'!Env_an,0.001*'[12]mon-tableau (1)'!$B$60)</f>
        <v>19.276985949785772</v>
      </c>
      <c r="C310" s="953"/>
      <c r="D310" s="393">
        <f t="shared" si="102"/>
        <v>20.130933259834713</v>
      </c>
      <c r="E310" s="385">
        <f t="shared" si="125"/>
        <v>20.785901148607593</v>
      </c>
      <c r="F310" s="385">
        <f t="shared" si="103"/>
        <v>20.802920357398978</v>
      </c>
      <c r="G310" s="110">
        <f t="shared" si="126"/>
        <v>0.51986527123185922</v>
      </c>
      <c r="H310" s="412" t="b">
        <f>Wh_hp&gt;='2022'!Maxi_hp</f>
        <v>0</v>
      </c>
      <c r="I310" s="390">
        <f>IF(H310,Wh_hp,'2022'!Maxi_hp)</f>
        <v>40.417600881584974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4.2419658295362761E-2</v>
      </c>
      <c r="M310" s="957"/>
      <c r="N310" s="957"/>
      <c r="O310" s="48">
        <f>IF(t&lt;Tnet,'2022'!Resal+('2022'!Salim-'2022'!Resal)*(1-EXP(('2022'!Tnet-t)/('2022'!Tau_j))),Resal+(Salim-Resal)*(1-EXP((Tnet-t)/(Tau_j))))*Salcycl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2.5937742628529474E-3</v>
      </c>
      <c r="Q310" s="305">
        <f t="shared" si="105"/>
        <v>0.7</v>
      </c>
      <c r="R310" s="177">
        <f t="shared" si="106"/>
        <v>0.99825955746751893</v>
      </c>
      <c r="S310" s="919">
        <f t="shared" si="107"/>
        <v>0</v>
      </c>
      <c r="T310" s="176">
        <f t="shared" si="108"/>
        <v>6</v>
      </c>
      <c r="U310" s="251">
        <f t="shared" si="109"/>
        <v>0.99825955746751893</v>
      </c>
      <c r="V310" s="383">
        <f t="shared" si="110"/>
        <v>37.014837603212712</v>
      </c>
      <c r="W310" s="402">
        <f t="shared" si="111"/>
        <v>19.276985949785772</v>
      </c>
      <c r="X310" s="157">
        <f t="shared" si="112"/>
        <v>45222</v>
      </c>
      <c r="Y310" s="385">
        <f t="shared" si="113"/>
        <v>17.513351604995815</v>
      </c>
      <c r="Z310" s="385">
        <f t="shared" si="114"/>
        <v>18.289172033147018</v>
      </c>
      <c r="AA310" s="386">
        <f t="shared" si="115"/>
        <v>20.785901148607593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0.12011647210339141</v>
      </c>
      <c r="AD310" s="231">
        <f>(INDEX(Models!$BJ310:$BT310,,AH310)*(1-AF310)+INDEX(Models!$BJ310:$BT310,,AH310+1)*AF310-ERP_i)*AE310*Ramure*Pc/MaxiM</f>
        <v>2.5937742628529474E-3</v>
      </c>
      <c r="AE310" s="305">
        <f t="shared" si="117"/>
        <v>0.7</v>
      </c>
      <c r="AF310" s="177">
        <f t="shared" si="118"/>
        <v>0.99825955746751893</v>
      </c>
      <c r="AG310" s="919">
        <f t="shared" si="124"/>
        <v>0</v>
      </c>
      <c r="AH310" s="176">
        <f t="shared" si="119"/>
        <v>6</v>
      </c>
      <c r="AI310" s="225">
        <f t="shared" si="120"/>
        <v>0.99825955746751893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1090">
        <f>IF(t&gt;Tmaj,'2022'!Wh/'2022'!Env_an*'2023'!Env_an,0.001*'[12]mon-tableau (1)'!$B$61)</f>
        <v>25.715425094704838</v>
      </c>
      <c r="C311" s="953"/>
      <c r="D311" s="393">
        <f t="shared" si="102"/>
        <v>26.855175718279174</v>
      </c>
      <c r="E311" s="385">
        <f t="shared" si="125"/>
        <v>27.73175776048604</v>
      </c>
      <c r="F311" s="385">
        <f t="shared" si="103"/>
        <v>27.772657205629617</v>
      </c>
      <c r="G311" s="110">
        <f t="shared" si="126"/>
        <v>0.69913825632009019</v>
      </c>
      <c r="H311" s="412" t="b">
        <f>Wh_hp&gt;='2022'!Maxi_hp</f>
        <v>0</v>
      </c>
      <c r="I311" s="390">
        <f>IF(H311,Wh_hp,'2022'!Maxi_hp)</f>
        <v>41.588960428568228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4.2440631762411307E-2</v>
      </c>
      <c r="M311" s="957"/>
      <c r="N311" s="957"/>
      <c r="O311" s="48">
        <f>IF(t&lt;Tnet,'2022'!Resal+('2022'!Salim-'2022'!Resal)*(1-EXP(('2022'!Tnet-t)/('2022'!Tau_j))),Resal+(Salim-Resal)*(1-EXP((Tnet-t)/(Tau_j))))*Salcycl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2.5777018231447997E-3</v>
      </c>
      <c r="Q311" s="305">
        <f t="shared" si="105"/>
        <v>0.7</v>
      </c>
      <c r="R311" s="177">
        <f t="shared" si="106"/>
        <v>0.99833751747991162</v>
      </c>
      <c r="S311" s="919">
        <f t="shared" si="107"/>
        <v>0</v>
      </c>
      <c r="T311" s="176">
        <f t="shared" si="108"/>
        <v>6</v>
      </c>
      <c r="U311" s="251">
        <f t="shared" si="109"/>
        <v>0.99833751747991162</v>
      </c>
      <c r="V311" s="383">
        <f t="shared" si="110"/>
        <v>36.740896544755238</v>
      </c>
      <c r="W311" s="402">
        <f t="shared" si="111"/>
        <v>25.715425094704838</v>
      </c>
      <c r="X311" s="157">
        <f t="shared" si="112"/>
        <v>45223</v>
      </c>
      <c r="Y311" s="385">
        <f t="shared" si="113"/>
        <v>23.366575200576094</v>
      </c>
      <c r="Z311" s="385">
        <f t="shared" si="114"/>
        <v>24.402220870736031</v>
      </c>
      <c r="AA311" s="386">
        <f t="shared" si="115"/>
        <v>27.73175776048604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0.12006223761604266</v>
      </c>
      <c r="AD311" s="231">
        <f>(INDEX(Models!$BJ311:$BT311,,AH311)*(1-AF311)+INDEX(Models!$BJ311:$BT311,,AH311+1)*AF311-ERP_i)*AE311*Ramure*Pc/MaxiM</f>
        <v>2.5777018231447997E-3</v>
      </c>
      <c r="AE311" s="305">
        <f t="shared" si="117"/>
        <v>0.7</v>
      </c>
      <c r="AF311" s="177">
        <f t="shared" si="118"/>
        <v>0.99833751747991162</v>
      </c>
      <c r="AG311" s="919">
        <f t="shared" si="124"/>
        <v>0</v>
      </c>
      <c r="AH311" s="176">
        <f t="shared" si="119"/>
        <v>6</v>
      </c>
      <c r="AI311" s="225">
        <f t="shared" si="120"/>
        <v>0.99833751747991162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1090">
        <f>IF(t&gt;Tmaj,'2022'!Wh/'2022'!Env_an*'2023'!Env_an,0.001*'[12]mon-tableau (1)'!$B$62)</f>
        <v>22.710029389441807</v>
      </c>
      <c r="C312" s="953"/>
      <c r="D312" s="393">
        <f t="shared" si="102"/>
        <v>23.717095317090589</v>
      </c>
      <c r="E312" s="385">
        <f t="shared" si="125"/>
        <v>24.493740582080903</v>
      </c>
      <c r="F312" s="385">
        <f t="shared" si="103"/>
        <v>24.522709087257127</v>
      </c>
      <c r="G312" s="110">
        <f t="shared" si="126"/>
        <v>0.62194140767811856</v>
      </c>
      <c r="H312" s="412" t="b">
        <f>Wh_hp&gt;='2022'!Maxi_hp</f>
        <v>0</v>
      </c>
      <c r="I312" s="390">
        <f>IF(H312,Wh_hp,'2022'!Maxi_hp)</f>
        <v>39.380465592356508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4.246160477008698E-2</v>
      </c>
      <c r="M312" s="957"/>
      <c r="N312" s="957"/>
      <c r="O312" s="48">
        <f>IF(t&lt;Tnet,'2022'!Resal+('2022'!Salim-'2022'!Resal)*(1-EXP(('2022'!Tnet-t)/('2022'!Tau_j))),Resal+(Salim-Resal)*(1-EXP((Tnet-t)/(Tau_j))))*Salcycl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2.5616471713453496E-3</v>
      </c>
      <c r="Q312" s="305">
        <f t="shared" si="105"/>
        <v>0.7</v>
      </c>
      <c r="R312" s="177">
        <f t="shared" si="106"/>
        <v>0.99841236151131985</v>
      </c>
      <c r="S312" s="919">
        <f t="shared" si="107"/>
        <v>0</v>
      </c>
      <c r="T312" s="176">
        <f t="shared" si="108"/>
        <v>6</v>
      </c>
      <c r="U312" s="251">
        <f t="shared" si="109"/>
        <v>0.99841236151131985</v>
      </c>
      <c r="V312" s="383">
        <f t="shared" si="110"/>
        <v>36.464278067644941</v>
      </c>
      <c r="W312" s="402">
        <f t="shared" si="111"/>
        <v>22.710029389441807</v>
      </c>
      <c r="X312" s="157">
        <f t="shared" si="112"/>
        <v>45224</v>
      </c>
      <c r="Y312" s="385">
        <f t="shared" si="113"/>
        <v>20.639089148748457</v>
      </c>
      <c r="Z312" s="385">
        <f t="shared" si="114"/>
        <v>21.554320173023285</v>
      </c>
      <c r="AA312" s="386">
        <f t="shared" si="115"/>
        <v>24.493740582080903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0.12000700338959402</v>
      </c>
      <c r="AD312" s="231">
        <f>(INDEX(Models!$BJ312:$BT312,,AH312)*(1-AF312)+INDEX(Models!$BJ312:$BT312,,AH312+1)*AF312-ERP_i)*AE312*Ramure*Pc/MaxiM</f>
        <v>2.5616471713453496E-3</v>
      </c>
      <c r="AE312" s="305">
        <f t="shared" si="117"/>
        <v>0.7</v>
      </c>
      <c r="AF312" s="177">
        <f t="shared" si="118"/>
        <v>0.99841236151131985</v>
      </c>
      <c r="AG312" s="919">
        <f t="shared" si="124"/>
        <v>0</v>
      </c>
      <c r="AH312" s="176">
        <f t="shared" si="119"/>
        <v>6</v>
      </c>
      <c r="AI312" s="225">
        <f t="shared" si="120"/>
        <v>0.99841236151131985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1090">
        <f>IF(t&gt;Tmaj,'2022'!Wh/'2022'!Env_an*'2023'!Env_an,0.001*'[12]mon-tableau (1)'!$B$63)</f>
        <v>12.694227265298128</v>
      </c>
      <c r="C313" s="953"/>
      <c r="D313" s="393">
        <f t="shared" si="102"/>
        <v>13.257437373564427</v>
      </c>
      <c r="E313" s="385">
        <f t="shared" si="125"/>
        <v>13.692955259500945</v>
      </c>
      <c r="F313" s="385">
        <f t="shared" si="103"/>
        <v>13.695486155647155</v>
      </c>
      <c r="G313" s="110">
        <f t="shared" si="126"/>
        <v>0.34998740575262094</v>
      </c>
      <c r="H313" s="412" t="b">
        <f>Wh_hp&gt;='2022'!Maxi_hp</f>
        <v>0</v>
      </c>
      <c r="I313" s="390">
        <f>IF(H313,Wh_hp,'2022'!Maxi_hp)</f>
        <v>38.95254653773808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4.2482577318400105E-2</v>
      </c>
      <c r="M313" s="957"/>
      <c r="N313" s="957"/>
      <c r="O313" s="48">
        <f>IF(t&lt;Tnet,'2022'!Resal+('2022'!Salim-'2022'!Resal)*(1-EXP(('2022'!Tnet-t)/('2022'!Tau_j))),Resal+(Salim-Resal)*(1-EXP((Tnet-t)/(Tau_j))))*Salcycl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2.5456361563783486E-3</v>
      </c>
      <c r="Q313" s="305">
        <f t="shared" si="105"/>
        <v>0.7</v>
      </c>
      <c r="R313" s="177">
        <f t="shared" si="106"/>
        <v>0.99848421322154934</v>
      </c>
      <c r="S313" s="919">
        <f t="shared" si="107"/>
        <v>0</v>
      </c>
      <c r="T313" s="176">
        <f t="shared" si="108"/>
        <v>6</v>
      </c>
      <c r="U313" s="251">
        <f t="shared" si="109"/>
        <v>0.99848421322154934</v>
      </c>
      <c r="V313" s="383">
        <f t="shared" si="110"/>
        <v>36.184881226231084</v>
      </c>
      <c r="W313" s="402">
        <f t="shared" si="111"/>
        <v>12.694227265298128</v>
      </c>
      <c r="X313" s="157">
        <f t="shared" si="112"/>
        <v>45225</v>
      </c>
      <c r="Y313" s="385">
        <f t="shared" si="113"/>
        <v>11.538538243609494</v>
      </c>
      <c r="Z313" s="385">
        <f t="shared" si="114"/>
        <v>12.050473412060688</v>
      </c>
      <c r="AA313" s="386">
        <f t="shared" si="115"/>
        <v>13.692955259500945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0.11995086643554254</v>
      </c>
      <c r="AD313" s="231">
        <f>(INDEX(Models!$BJ313:$BT313,,AH313)*(1-AF313)+INDEX(Models!$BJ313:$BT313,,AH313+1)*AF313-ERP_i)*AE313*Ramure*Pc/MaxiM</f>
        <v>2.5456361563783486E-3</v>
      </c>
      <c r="AE313" s="305">
        <f t="shared" si="117"/>
        <v>0.7</v>
      </c>
      <c r="AF313" s="177">
        <f t="shared" si="118"/>
        <v>0.99848421322154934</v>
      </c>
      <c r="AG313" s="919">
        <f t="shared" si="124"/>
        <v>0</v>
      </c>
      <c r="AH313" s="176">
        <f t="shared" si="119"/>
        <v>6</v>
      </c>
      <c r="AI313" s="225">
        <f t="shared" si="120"/>
        <v>0.99848421322154934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1090">
        <f>IF(t&gt;Tmaj,'2022'!Wh/'2022'!Env_an*'2023'!Env_an,0.001*'[12]mon-tableau (1)'!$B$64)</f>
        <v>13.907857960044362</v>
      </c>
      <c r="C314" s="953"/>
      <c r="D314" s="393">
        <f t="shared" si="102"/>
        <v>14.52523187050577</v>
      </c>
      <c r="E314" s="385">
        <f t="shared" si="125"/>
        <v>15.003910150571979</v>
      </c>
      <c r="F314" s="385">
        <f t="shared" si="103"/>
        <v>15.008649415734217</v>
      </c>
      <c r="G314" s="110">
        <f t="shared" si="126"/>
        <v>0.38651950822400977</v>
      </c>
      <c r="H314" s="412" t="b">
        <f>Wh_hp&gt;='2022'!Maxi_hp</f>
        <v>0</v>
      </c>
      <c r="I314" s="390">
        <f>IF(H314,Wh_hp,'2022'!Maxi_hp)</f>
        <v>33.191570367929572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4.2503549407360453E-2</v>
      </c>
      <c r="M314" s="957"/>
      <c r="N314" s="957"/>
      <c r="O314" s="48">
        <f>IF(t&lt;Tnet,'2022'!Resal+('2022'!Salim-'2022'!Resal)*(1-EXP(('2022'!Tnet-t)/('2022'!Tau_j))),Resal+(Salim-Resal)*(1-EXP((Tnet-t)/(Tau_j))))*Salcycl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2.5296957768154832E-3</v>
      </c>
      <c r="Q314" s="305">
        <f t="shared" si="105"/>
        <v>0.7</v>
      </c>
      <c r="R314" s="177">
        <f t="shared" si="106"/>
        <v>0.99855319143232668</v>
      </c>
      <c r="S314" s="919">
        <f t="shared" si="107"/>
        <v>0</v>
      </c>
      <c r="T314" s="176">
        <f t="shared" si="108"/>
        <v>6</v>
      </c>
      <c r="U314" s="251">
        <f t="shared" si="109"/>
        <v>0.99855319143232668</v>
      </c>
      <c r="V314" s="383">
        <f t="shared" si="110"/>
        <v>35.902605065854083</v>
      </c>
      <c r="W314" s="402">
        <f t="shared" si="111"/>
        <v>13.907857960044362</v>
      </c>
      <c r="X314" s="157">
        <f t="shared" si="112"/>
        <v>45226</v>
      </c>
      <c r="Y314" s="385">
        <f t="shared" si="113"/>
        <v>12.643771671868603</v>
      </c>
      <c r="Z314" s="385">
        <f t="shared" si="114"/>
        <v>13.205032419747122</v>
      </c>
      <c r="AA314" s="386">
        <f t="shared" si="115"/>
        <v>15.003910150571979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0.11989392850078368</v>
      </c>
      <c r="AD314" s="231">
        <f>(INDEX(Models!$BJ314:$BT314,,AH314)*(1-AF314)+INDEX(Models!$BJ314:$BT314,,AH314+1)*AF314-ERP_i)*AE314*Ramure*Pc/MaxiM</f>
        <v>2.5296957768154832E-3</v>
      </c>
      <c r="AE314" s="305">
        <f t="shared" si="117"/>
        <v>0.7</v>
      </c>
      <c r="AF314" s="177">
        <f t="shared" si="118"/>
        <v>0.99855319143232668</v>
      </c>
      <c r="AG314" s="919">
        <f t="shared" si="124"/>
        <v>0</v>
      </c>
      <c r="AH314" s="176">
        <f t="shared" si="119"/>
        <v>6</v>
      </c>
      <c r="AI314" s="225">
        <f t="shared" si="120"/>
        <v>0.99855319143232668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1090">
        <f>IF(t&gt;Tmaj,'2022'!Wh/'2022'!Env_an*'2023'!Env_an,0.001*'[12]mon-tableau (1)'!$B$65)</f>
        <v>17.519142050641648</v>
      </c>
      <c r="C315" s="953"/>
      <c r="D315" s="393">
        <f t="shared" si="102"/>
        <v>18.297222681478456</v>
      </c>
      <c r="E315" s="385">
        <f t="shared" si="125"/>
        <v>18.902103124702979</v>
      </c>
      <c r="F315" s="385">
        <f t="shared" si="103"/>
        <v>18.915136620918386</v>
      </c>
      <c r="G315" s="110">
        <f t="shared" si="126"/>
        <v>0.49097284603954727</v>
      </c>
      <c r="H315" s="412" t="b">
        <f>Wh_hp&gt;='2022'!Maxi_hp</f>
        <v>0</v>
      </c>
      <c r="I315" s="390">
        <f>IF(H315,Wh_hp,'2022'!Maxi_hp)</f>
        <v>38.41572407667438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4.2524521036978347E-2</v>
      </c>
      <c r="M315" s="957"/>
      <c r="N315" s="957"/>
      <c r="O315" s="48">
        <f>IF(t&lt;Tnet,'2022'!Resal+('2022'!Salim-'2022'!Resal)*(1-EXP(('2022'!Tnet-t)/('2022'!Tau_j))),Resal+(Salim-Resal)*(1-EXP((Tnet-t)/(Tau_j))))*Salcycl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2.513854136912198E-3</v>
      </c>
      <c r="Q315" s="305">
        <f t="shared" si="105"/>
        <v>0.7</v>
      </c>
      <c r="R315" s="177">
        <f t="shared" si="106"/>
        <v>0.99861941031110879</v>
      </c>
      <c r="S315" s="919">
        <f t="shared" si="107"/>
        <v>0</v>
      </c>
      <c r="T315" s="176">
        <f t="shared" si="108"/>
        <v>6</v>
      </c>
      <c r="U315" s="251">
        <f t="shared" si="109"/>
        <v>0.99861941031110879</v>
      </c>
      <c r="V315" s="383">
        <f t="shared" si="110"/>
        <v>35.617348627552722</v>
      </c>
      <c r="W315" s="402">
        <f t="shared" si="111"/>
        <v>17.519142050641648</v>
      </c>
      <c r="X315" s="157">
        <f t="shared" si="112"/>
        <v>45227</v>
      </c>
      <c r="Y315" s="385">
        <f t="shared" si="113"/>
        <v>15.929466983082285</v>
      </c>
      <c r="Z315" s="385">
        <f t="shared" si="114"/>
        <v>16.636945105199391</v>
      </c>
      <c r="AA315" s="386">
        <f t="shared" si="115"/>
        <v>18.902103124702979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0.11983629570527918</v>
      </c>
      <c r="AD315" s="231">
        <f>(INDEX(Models!$BJ315:$BT315,,AH315)*(1-AF315)+INDEX(Models!$BJ315:$BT315,,AH315+1)*AF315-ERP_i)*AE315*Ramure*Pc/MaxiM</f>
        <v>2.513854136912198E-3</v>
      </c>
      <c r="AE315" s="305">
        <f t="shared" si="117"/>
        <v>0.7</v>
      </c>
      <c r="AF315" s="177">
        <f t="shared" si="118"/>
        <v>0.99861941031110879</v>
      </c>
      <c r="AG315" s="919">
        <f t="shared" si="124"/>
        <v>0</v>
      </c>
      <c r="AH315" s="176">
        <f t="shared" si="119"/>
        <v>6</v>
      </c>
      <c r="AI315" s="225">
        <f t="shared" si="120"/>
        <v>0.99861941031110879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1090">
        <f>IF(t&gt;Tmaj,'2022'!Wh/'2022'!Env_an*'2023'!Env_an,0.001*'[12]mon-tableau (1)'!$B$66)</f>
        <v>26.163191401474023</v>
      </c>
      <c r="C316" s="953"/>
      <c r="D316" s="393">
        <f t="shared" si="102"/>
        <v>27.325780168698799</v>
      </c>
      <c r="E316" s="385">
        <f t="shared" si="125"/>
        <v>28.23195213107218</v>
      </c>
      <c r="F316" s="385">
        <f t="shared" si="103"/>
        <v>28.276409773860902</v>
      </c>
      <c r="G316" s="110">
        <f t="shared" si="126"/>
        <v>0.73987152061096395</v>
      </c>
      <c r="H316" s="412" t="b">
        <f>Wh_hp&gt;='2022'!Maxi_hp</f>
        <v>0</v>
      </c>
      <c r="I316" s="390">
        <f>IF(H316,Wh_hp,'2022'!Maxi_hp)</f>
        <v>30.720187323726929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4.2545492207263669E-2</v>
      </c>
      <c r="M316" s="957"/>
      <c r="N316" s="957"/>
      <c r="O316" s="48">
        <f>IF(t&lt;Tnet,'2022'!Resal+('2022'!Salim-'2022'!Resal)*(1-EXP(('2022'!Tnet-t)/('2022'!Tau_j))),Resal+(Salim-Resal)*(1-EXP((Tnet-t)/(Tau_j))))*Salcycl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2.4981403989249216E-3</v>
      </c>
      <c r="Q316" s="305">
        <f t="shared" si="105"/>
        <v>0.7</v>
      </c>
      <c r="R316" s="177">
        <f t="shared" si="106"/>
        <v>0.99868297954834495</v>
      </c>
      <c r="S316" s="919">
        <f t="shared" si="107"/>
        <v>0</v>
      </c>
      <c r="T316" s="176">
        <f t="shared" si="108"/>
        <v>6</v>
      </c>
      <c r="U316" s="251">
        <f t="shared" si="109"/>
        <v>0.99868297954834495</v>
      </c>
      <c r="V316" s="383">
        <f t="shared" si="110"/>
        <v>35.329010959731647</v>
      </c>
      <c r="W316" s="402">
        <f t="shared" si="111"/>
        <v>26.163191401474023</v>
      </c>
      <c r="X316" s="157">
        <f t="shared" si="112"/>
        <v>45228</v>
      </c>
      <c r="Y316" s="385">
        <f t="shared" si="113"/>
        <v>23.793111379315139</v>
      </c>
      <c r="Z316" s="385">
        <f t="shared" si="114"/>
        <v>24.850383162502922</v>
      </c>
      <c r="AA316" s="386">
        <f t="shared" si="115"/>
        <v>28.23195213107218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0.11977807814598453</v>
      </c>
      <c r="AD316" s="231">
        <f>(INDEX(Models!$BJ316:$BT316,,AH316)*(1-AF316)+INDEX(Models!$BJ316:$BT316,,AH316+1)*AF316-ERP_i)*AE316*Ramure*Pc/MaxiM</f>
        <v>2.4981403989249216E-3</v>
      </c>
      <c r="AE316" s="305">
        <f t="shared" si="117"/>
        <v>0.7</v>
      </c>
      <c r="AF316" s="177">
        <f t="shared" si="118"/>
        <v>0.99868297954834495</v>
      </c>
      <c r="AG316" s="919">
        <f t="shared" si="124"/>
        <v>0</v>
      </c>
      <c r="AH316" s="176">
        <f t="shared" si="119"/>
        <v>6</v>
      </c>
      <c r="AI316" s="225">
        <f t="shared" si="120"/>
        <v>0.99868297954834495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1090">
        <f>IF(t&gt;Tmaj,'2022'!Wh/'2022'!Env_an*'2023'!Env_an,0.001*'[12]mon-tableau (1)'!$B$67)</f>
        <v>21.423821131377242</v>
      </c>
      <c r="C317" s="953"/>
      <c r="D317" s="393">
        <f t="shared" si="102"/>
        <v>22.37630112339323</v>
      </c>
      <c r="E317" s="385">
        <f t="shared" si="125"/>
        <v>23.120639611096937</v>
      </c>
      <c r="F317" s="385">
        <f t="shared" si="103"/>
        <v>23.14621263587761</v>
      </c>
      <c r="G317" s="110">
        <f t="shared" si="126"/>
        <v>0.61065913146114104</v>
      </c>
      <c r="H317" s="412" t="b">
        <f>Wh_hp&gt;='2022'!Maxi_hp</f>
        <v>0</v>
      </c>
      <c r="I317" s="390">
        <f>IF(H317,Wh_hp,'2022'!Maxi_hp)</f>
        <v>35.207799824990232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4.2566462918226522E-2</v>
      </c>
      <c r="M317" s="957"/>
      <c r="N317" s="957"/>
      <c r="O317" s="48">
        <f>IF(t&lt;Tnet,'2022'!Resal+('2022'!Salim-'2022'!Resal)*(1-EXP(('2022'!Tnet-t)/('2022'!Tau_j))),Resal+(Salim-Resal)*(1-EXP((Tnet-t)/(Tau_j))))*Salcycl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2.4827810515416866E-3</v>
      </c>
      <c r="Q317" s="305">
        <f t="shared" si="105"/>
        <v>0.7</v>
      </c>
      <c r="R317" s="177">
        <f t="shared" si="106"/>
        <v>0.99874400452838752</v>
      </c>
      <c r="S317" s="919">
        <f t="shared" si="107"/>
        <v>0</v>
      </c>
      <c r="T317" s="176">
        <f t="shared" si="108"/>
        <v>6</v>
      </c>
      <c r="U317" s="251">
        <f t="shared" si="109"/>
        <v>0.99874400452838752</v>
      </c>
      <c r="V317" s="383">
        <f t="shared" si="110"/>
        <v>35.034713747421939</v>
      </c>
      <c r="W317" s="402">
        <f t="shared" si="111"/>
        <v>21.423821131377242</v>
      </c>
      <c r="X317" s="157">
        <f t="shared" si="112"/>
        <v>45229</v>
      </c>
      <c r="Y317" s="385">
        <f t="shared" si="113"/>
        <v>19.486310399163806</v>
      </c>
      <c r="Z317" s="385">
        <f t="shared" si="114"/>
        <v>20.352650752716947</v>
      </c>
      <c r="AA317" s="386">
        <f t="shared" si="115"/>
        <v>23.120639611096937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0.11971938946928919</v>
      </c>
      <c r="AD317" s="231">
        <f>(INDEX(Models!$BJ317:$BT317,,AH317)*(1-AF317)+INDEX(Models!$BJ317:$BT317,,AH317+1)*AF317-ERP_i)*AE317*Ramure*Pc/MaxiM</f>
        <v>2.4827810515416866E-3</v>
      </c>
      <c r="AE317" s="305">
        <f t="shared" si="117"/>
        <v>0.7</v>
      </c>
      <c r="AF317" s="177">
        <f t="shared" si="118"/>
        <v>0.99874400452838752</v>
      </c>
      <c r="AG317" s="919">
        <f t="shared" si="124"/>
        <v>0</v>
      </c>
      <c r="AH317" s="176">
        <f t="shared" si="119"/>
        <v>6</v>
      </c>
      <c r="AI317" s="225">
        <f t="shared" si="120"/>
        <v>0.99874400452838752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1090">
        <f>IF(t&gt;Tmaj,'2022'!Wh/'2022'!Env_an*'2023'!Env_an,0.001*'[12]mon-tableau (1)'!$B$68)</f>
        <v>22.148724129120119</v>
      </c>
      <c r="C318" s="953"/>
      <c r="D318" s="393">
        <f t="shared" si="102"/>
        <v>23.133939219590424</v>
      </c>
      <c r="E318" s="385">
        <f t="shared" si="125"/>
        <v>23.905849529747321</v>
      </c>
      <c r="F318" s="385">
        <f t="shared" si="103"/>
        <v>23.934454770206216</v>
      </c>
      <c r="G318" s="110">
        <f t="shared" si="126"/>
        <v>0.6368804513638987</v>
      </c>
      <c r="H318" s="412" t="b">
        <f>Wh_hp&gt;='2022'!Maxi_hp</f>
        <v>0</v>
      </c>
      <c r="I318" s="390">
        <f>IF(H318,Wh_hp,'2022'!Maxi_hp)</f>
        <v>35.869115091380415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4.2587433169877009E-2</v>
      </c>
      <c r="M318" s="957"/>
      <c r="N318" s="957"/>
      <c r="O318" s="48">
        <f>IF(t&lt;Tnet,'2022'!Resal+('2022'!Salim-'2022'!Resal)*(1-EXP(('2022'!Tnet-t)/('2022'!Tau_j))),Resal+(Salim-Resal)*(1-EXP((Tnet-t)/(Tau_j))))*Salcycl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2.4773661712962098E-3</v>
      </c>
      <c r="Q318" s="305">
        <f t="shared" si="105"/>
        <v>0.7</v>
      </c>
      <c r="R318" s="177">
        <f t="shared" si="106"/>
        <v>0.99880258649424847</v>
      </c>
      <c r="S318" s="919">
        <f t="shared" si="107"/>
        <v>0</v>
      </c>
      <c r="T318" s="176">
        <f t="shared" si="108"/>
        <v>6</v>
      </c>
      <c r="U318" s="251">
        <f t="shared" si="109"/>
        <v>0.99880258649424847</v>
      </c>
      <c r="V318" s="383">
        <f t="shared" si="110"/>
        <v>34.732249397587601</v>
      </c>
      <c r="W318" s="402">
        <f t="shared" si="111"/>
        <v>22.148724129120119</v>
      </c>
      <c r="X318" s="157">
        <f t="shared" si="112"/>
        <v>45230</v>
      </c>
      <c r="Y318" s="385">
        <f t="shared" si="113"/>
        <v>20.149003379272681</v>
      </c>
      <c r="Z318" s="385">
        <f t="shared" si="114"/>
        <v>21.045267293684677</v>
      </c>
      <c r="AA318" s="386">
        <f t="shared" si="115"/>
        <v>23.905849529747321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0.1196603464145069</v>
      </c>
      <c r="AD318" s="231">
        <f>(INDEX(Models!$BJ318:$BT318,,AH318)*(1-AF318)+INDEX(Models!$BJ318:$BT318,,AH318+1)*AF318-ERP_i)*AE318*Ramure*Pc/MaxiM</f>
        <v>2.4773661712962098E-3</v>
      </c>
      <c r="AE318" s="305">
        <f t="shared" si="117"/>
        <v>0.7</v>
      </c>
      <c r="AF318" s="177">
        <f t="shared" si="118"/>
        <v>0.99880258649424847</v>
      </c>
      <c r="AG318" s="919">
        <f t="shared" si="124"/>
        <v>0</v>
      </c>
      <c r="AH318" s="176">
        <f t="shared" si="119"/>
        <v>6</v>
      </c>
      <c r="AI318" s="225">
        <f t="shared" si="120"/>
        <v>0.99880258649424847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1090">
        <f>IF(t&gt;Tmaj,'2022'!Wh/'2022'!Env_an*'2023'!Env_an,0.001*'[13]mon-tableau (3)'!$B$37)</f>
        <v>23.864425144379467</v>
      </c>
      <c r="C319" s="953"/>
      <c r="D319" s="393">
        <f t="shared" si="102"/>
        <v>24.926503656620117</v>
      </c>
      <c r="E319" s="385">
        <f t="shared" si="125"/>
        <v>25.760770812932623</v>
      </c>
      <c r="F319" s="385">
        <f t="shared" si="103"/>
        <v>25.796746060349687</v>
      </c>
      <c r="G319" s="110">
        <f t="shared" si="126"/>
        <v>0.69251446873225897</v>
      </c>
      <c r="H319" s="412" t="b">
        <f>Wh_hp&gt;='2022'!Maxi_hp</f>
        <v>0</v>
      </c>
      <c r="I319" s="390">
        <f>IF(H319,Wh_hp,'2022'!Maxi_hp)</f>
        <v>32.156200585342432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4.2608402962225123E-2</v>
      </c>
      <c r="M319" s="957"/>
      <c r="N319" s="957"/>
      <c r="O319" s="48">
        <f>IF(t&lt;Tnet,'2022'!Resal+('2022'!Salim-'2022'!Resal)*(1-EXP(('2022'!Tnet-t)/('2022'!Tau_j))),Resal+(Salim-Resal)*(1-EXP((Tnet-t)/(Tau_j))))*Salcycl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2.4822558421830386E-3</v>
      </c>
      <c r="Q319" s="305">
        <f t="shared" si="105"/>
        <v>0.7</v>
      </c>
      <c r="R319" s="177">
        <f t="shared" si="106"/>
        <v>0.99885882270639015</v>
      </c>
      <c r="S319" s="919">
        <f t="shared" si="107"/>
        <v>0</v>
      </c>
      <c r="T319" s="176">
        <f t="shared" si="108"/>
        <v>6</v>
      </c>
      <c r="U319" s="251">
        <f t="shared" si="109"/>
        <v>0.99885882270639015</v>
      </c>
      <c r="V319" s="383">
        <f t="shared" si="110"/>
        <v>34.423008994351797</v>
      </c>
      <c r="W319" s="402">
        <f t="shared" si="111"/>
        <v>23.864425144379467</v>
      </c>
      <c r="X319" s="157">
        <f t="shared" si="112"/>
        <v>45231</v>
      </c>
      <c r="Y319" s="385">
        <f t="shared" si="113"/>
        <v>21.713406958170953</v>
      </c>
      <c r="Z319" s="385">
        <f t="shared" si="114"/>
        <v>22.679755102670104</v>
      </c>
      <c r="AA319" s="386">
        <f t="shared" si="115"/>
        <v>25.760770812932623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0.11960106833122264</v>
      </c>
      <c r="AD319" s="231">
        <f>(INDEX(Models!$BJ319:$BT319,,AH319)*(1-AF319)+INDEX(Models!$BJ319:$BT319,,AH319+1)*AF319-ERP_i)*AE319*Ramure*Pc/MaxiM</f>
        <v>2.4822558421830386E-3</v>
      </c>
      <c r="AE319" s="305">
        <f t="shared" si="117"/>
        <v>0.7</v>
      </c>
      <c r="AF319" s="177">
        <f t="shared" si="118"/>
        <v>0.99885882270639015</v>
      </c>
      <c r="AG319" s="919">
        <f t="shared" si="124"/>
        <v>0</v>
      </c>
      <c r="AH319" s="176">
        <f t="shared" si="119"/>
        <v>6</v>
      </c>
      <c r="AI319" s="225">
        <f t="shared" si="120"/>
        <v>0.99885882270639015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1090">
        <f>IF(t&gt;Tmaj,'2022'!Wh/'2022'!Env_an*'2023'!Env_an,0.001*'[13]mon-tableau (3)'!$B$38)</f>
        <v>29.904497951280145</v>
      </c>
      <c r="C320" s="953"/>
      <c r="D320" s="393">
        <f t="shared" si="102"/>
        <v>31.236072097778589</v>
      </c>
      <c r="E320" s="385">
        <f t="shared" si="125"/>
        <v>32.284693455902648</v>
      </c>
      <c r="F320" s="385">
        <f t="shared" si="103"/>
        <v>32.351263115196183</v>
      </c>
      <c r="G320" s="110">
        <f t="shared" si="126"/>
        <v>0.87636254372774969</v>
      </c>
      <c r="H320" s="412" t="b">
        <f>Wh_hp&gt;='2022'!Maxi_hp</f>
        <v>0</v>
      </c>
      <c r="I320" s="390">
        <f>IF(H320,Wh_hp,'2022'!Maxi_hp)</f>
        <v>32.355042356085981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4.2629372295281076E-2</v>
      </c>
      <c r="M320" s="957"/>
      <c r="N320" s="957"/>
      <c r="O320" s="48">
        <f>IF(t&lt;Tnet,'2022'!Resal+('2022'!Salim-'2022'!Resal)*(1-EXP(('2022'!Tnet-t)/('2022'!Tau_j))),Resal+(Salim-Resal)*(1-EXP((Tnet-t)/(Tau_j))))*Salcycl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2.4974475541446623E-3</v>
      </c>
      <c r="Q320" s="305">
        <f t="shared" si="105"/>
        <v>0.7</v>
      </c>
      <c r="R320" s="177">
        <f t="shared" si="106"/>
        <v>0.99891280659574422</v>
      </c>
      <c r="S320" s="919">
        <f t="shared" si="107"/>
        <v>0</v>
      </c>
      <c r="T320" s="176">
        <f t="shared" si="108"/>
        <v>6</v>
      </c>
      <c r="U320" s="251">
        <f t="shared" si="109"/>
        <v>0.99891280659574422</v>
      </c>
      <c r="V320" s="383">
        <f t="shared" si="110"/>
        <v>34.108396177638554</v>
      </c>
      <c r="W320" s="402">
        <f t="shared" si="111"/>
        <v>29.904497951280145</v>
      </c>
      <c r="X320" s="157">
        <f t="shared" si="112"/>
        <v>45232</v>
      </c>
      <c r="Y320" s="385">
        <f t="shared" si="113"/>
        <v>27.213573219040583</v>
      </c>
      <c r="Z320" s="385">
        <f t="shared" si="114"/>
        <v>28.425327069292589</v>
      </c>
      <c r="AA320" s="386">
        <f t="shared" si="115"/>
        <v>32.284693455902648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0.11954167667354601</v>
      </c>
      <c r="AD320" s="231">
        <f>(INDEX(Models!$BJ320:$BT320,,AH320)*(1-AF320)+INDEX(Models!$BJ320:$BT320,,AH320+1)*AF320-ERP_i)*AE320*Ramure*Pc/MaxiM</f>
        <v>2.4974475541446623E-3</v>
      </c>
      <c r="AE320" s="305">
        <f t="shared" si="117"/>
        <v>0.7</v>
      </c>
      <c r="AF320" s="177">
        <f t="shared" si="118"/>
        <v>0.99891280659574422</v>
      </c>
      <c r="AG320" s="919">
        <f t="shared" si="124"/>
        <v>0</v>
      </c>
      <c r="AH320" s="176">
        <f t="shared" si="119"/>
        <v>6</v>
      </c>
      <c r="AI320" s="225">
        <f t="shared" si="120"/>
        <v>0.99891280659574422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1090">
        <f>IF(t&gt;Tmaj,'2022'!Wh/'2022'!Env_an*'2023'!Env_an,0.001*'[13]mon-tableau (3)'!$B$39)</f>
        <v>10.399572811877608</v>
      </c>
      <c r="C321" s="953"/>
      <c r="D321" s="393">
        <f t="shared" si="102"/>
        <v>10.86287827644594</v>
      </c>
      <c r="E321" s="385">
        <f t="shared" si="125"/>
        <v>11.228656793132767</v>
      </c>
      <c r="F321" s="385">
        <f t="shared" si="103"/>
        <v>11.228971355084955</v>
      </c>
      <c r="G321" s="110">
        <f t="shared" si="126"/>
        <v>0.30700452733004741</v>
      </c>
      <c r="H321" s="412" t="b">
        <f>Wh_hp&gt;='2022'!Maxi_hp</f>
        <v>0</v>
      </c>
      <c r="I321" s="390">
        <f>IF(H321,Wh_hp,'2022'!Maxi_hp)</f>
        <v>31.18806335046073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4.2650341169054751E-2</v>
      </c>
      <c r="M321" s="957"/>
      <c r="N321" s="957"/>
      <c r="O321" s="48">
        <f>IF(t&lt;Tnet,'2022'!Resal+('2022'!Salim-'2022'!Resal)*(1-EXP(('2022'!Tnet-t)/('2022'!Tau_j))),Resal+(Salim-Resal)*(1-EXP((Tnet-t)/(Tau_j))))*Salcycl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2.5229461379226736E-3</v>
      </c>
      <c r="Q321" s="305">
        <f t="shared" si="105"/>
        <v>0.7</v>
      </c>
      <c r="R321" s="177">
        <f t="shared" si="106"/>
        <v>0.99896462791113749</v>
      </c>
      <c r="S321" s="919">
        <f t="shared" si="107"/>
        <v>0</v>
      </c>
      <c r="T321" s="176">
        <f t="shared" si="108"/>
        <v>6</v>
      </c>
      <c r="U321" s="251">
        <f t="shared" si="109"/>
        <v>0.99896462791113749</v>
      </c>
      <c r="V321" s="383">
        <f t="shared" si="110"/>
        <v>33.789813918471111</v>
      </c>
      <c r="W321" s="402">
        <f t="shared" si="111"/>
        <v>10.399572811877608</v>
      </c>
      <c r="X321" s="157">
        <f t="shared" si="112"/>
        <v>45233</v>
      </c>
      <c r="Y321" s="385">
        <f t="shared" si="113"/>
        <v>9.4653458653917468</v>
      </c>
      <c r="Z321" s="385">
        <f t="shared" si="114"/>
        <v>9.8870311156220883</v>
      </c>
      <c r="AA321" s="386">
        <f t="shared" si="115"/>
        <v>11.228656793132767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0.11948229447454403</v>
      </c>
      <c r="AD321" s="231">
        <f>(INDEX(Models!$BJ321:$BT321,,AH321)*(1-AF321)+INDEX(Models!$BJ321:$BT321,,AH321+1)*AF321-ERP_i)*AE321*Ramure*Pc/MaxiM</f>
        <v>2.5229461379226736E-3</v>
      </c>
      <c r="AE321" s="305">
        <f t="shared" si="117"/>
        <v>0.7</v>
      </c>
      <c r="AF321" s="177">
        <f t="shared" si="118"/>
        <v>0.99896462791113749</v>
      </c>
      <c r="AG321" s="919">
        <f t="shared" si="124"/>
        <v>0</v>
      </c>
      <c r="AH321" s="176">
        <f t="shared" si="119"/>
        <v>6</v>
      </c>
      <c r="AI321" s="225">
        <f t="shared" si="120"/>
        <v>0.99896462791113749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1090">
        <f>IF(t&gt;Tmaj,'2022'!Wh/'2022'!Env_an*'2023'!Env_an,0.001*'[13]mon-tableau (3)'!$B$40)</f>
        <v>12.140452914944387</v>
      </c>
      <c r="C322" s="953"/>
      <c r="D322" s="393">
        <f t="shared" si="102"/>
        <v>12.681593100132845</v>
      </c>
      <c r="E322" s="385">
        <f t="shared" si="125"/>
        <v>13.109896103000493</v>
      </c>
      <c r="F322" s="385">
        <f t="shared" si="103"/>
        <v>13.112903433258726</v>
      </c>
      <c r="G322" s="110">
        <f t="shared" si="126"/>
        <v>0.36189571350407423</v>
      </c>
      <c r="H322" s="412" t="b">
        <f>Wh_hp&gt;='2022'!Maxi_hp</f>
        <v>0</v>
      </c>
      <c r="I322" s="390">
        <f>IF(H322,Wh_hp,'2022'!Maxi_hp)</f>
        <v>29.822160701304174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4.2671309583556249E-2</v>
      </c>
      <c r="M322" s="957"/>
      <c r="N322" s="957"/>
      <c r="O322" s="48">
        <f>IF(t&lt;Tnet,'2022'!Resal+('2022'!Salim-'2022'!Resal)*(1-EXP(('2022'!Tnet-t)/('2022'!Tau_j))),Resal+(Salim-Resal)*(1-EXP((Tnet-t)/(Tau_j))))*Salcycl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2.5587607160371816E-3</v>
      </c>
      <c r="Q322" s="305">
        <f t="shared" si="105"/>
        <v>0.7</v>
      </c>
      <c r="R322" s="177">
        <f t="shared" si="106"/>
        <v>0.9990143728613099</v>
      </c>
      <c r="S322" s="919">
        <f t="shared" si="107"/>
        <v>0</v>
      </c>
      <c r="T322" s="176">
        <f t="shared" si="108"/>
        <v>6</v>
      </c>
      <c r="U322" s="251">
        <f t="shared" si="109"/>
        <v>0.9990143728613099</v>
      </c>
      <c r="V322" s="383">
        <f t="shared" si="110"/>
        <v>33.468664504378204</v>
      </c>
      <c r="W322" s="402">
        <f t="shared" si="111"/>
        <v>12.140452914944387</v>
      </c>
      <c r="X322" s="157">
        <f t="shared" si="112"/>
        <v>45234</v>
      </c>
      <c r="Y322" s="385">
        <f t="shared" si="113"/>
        <v>11.051663159549491</v>
      </c>
      <c r="Z322" s="385">
        <f t="shared" si="114"/>
        <v>11.544272380201988</v>
      </c>
      <c r="AA322" s="386">
        <f t="shared" si="115"/>
        <v>13.109896103000493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0.11942304580432007</v>
      </c>
      <c r="AD322" s="231">
        <f>(INDEX(Models!$BJ322:$BT322,,AH322)*(1-AF322)+INDEX(Models!$BJ322:$BT322,,AH322+1)*AF322-ERP_i)*AE322*Ramure*Pc/MaxiM</f>
        <v>2.5587607160371816E-3</v>
      </c>
      <c r="AE322" s="305">
        <f t="shared" si="117"/>
        <v>0.7</v>
      </c>
      <c r="AF322" s="177">
        <f t="shared" si="118"/>
        <v>0.9990143728613099</v>
      </c>
      <c r="AG322" s="919">
        <f t="shared" si="124"/>
        <v>0</v>
      </c>
      <c r="AH322" s="176">
        <f t="shared" si="119"/>
        <v>6</v>
      </c>
      <c r="AI322" s="225">
        <f t="shared" si="120"/>
        <v>0.9990143728613099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1090">
        <f>IF(t&gt;Tmaj,'2022'!Wh/'2022'!Env_an*'2023'!Env_an,0.001*'[13]mon-tableau (3)'!$B$41)</f>
        <v>31.895584922483732</v>
      </c>
      <c r="C323" s="953"/>
      <c r="D323" s="393">
        <f t="shared" si="102"/>
        <v>33.318006503155864</v>
      </c>
      <c r="E323" s="385">
        <f t="shared" si="125"/>
        <v>34.446642485709113</v>
      </c>
      <c r="F323" s="385">
        <f t="shared" si="103"/>
        <v>34.531745286418676</v>
      </c>
      <c r="G323" s="110">
        <f t="shared" si="126"/>
        <v>0.96212993285739157</v>
      </c>
      <c r="H323" s="412" t="b">
        <f>Wh_hp&gt;='2022'!Maxi_hp</f>
        <v>0</v>
      </c>
      <c r="I323" s="390">
        <f>IF(H323,Wh_hp,'2022'!Maxi_hp)</f>
        <v>34.533091978208354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4.2692277538795675E-2</v>
      </c>
      <c r="M323" s="957"/>
      <c r="N323" s="957"/>
      <c r="O323" s="48">
        <f>IF(t&lt;Tnet,'2022'!Resal+('2022'!Salim-'2022'!Resal)*(1-EXP(('2022'!Tnet-t)/('2022'!Tau_j))),Resal+(Salim-Resal)*(1-EXP((Tnet-t)/(Tau_j))))*Salcycl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2.604901495681696E-3</v>
      </c>
      <c r="Q323" s="305">
        <f t="shared" si="105"/>
        <v>0.7</v>
      </c>
      <c r="R323" s="177">
        <f t="shared" si="106"/>
        <v>0.99906212425169927</v>
      </c>
      <c r="S323" s="919">
        <f t="shared" si="107"/>
        <v>0</v>
      </c>
      <c r="T323" s="176">
        <f t="shared" si="108"/>
        <v>6</v>
      </c>
      <c r="U323" s="251">
        <f t="shared" si="109"/>
        <v>0.99906212425169927</v>
      </c>
      <c r="V323" s="383">
        <f t="shared" si="110"/>
        <v>33.146349517983914</v>
      </c>
      <c r="W323" s="402">
        <f t="shared" si="111"/>
        <v>31.895584922483732</v>
      </c>
      <c r="X323" s="157">
        <f t="shared" si="112"/>
        <v>45235</v>
      </c>
      <c r="Y323" s="385">
        <f t="shared" si="113"/>
        <v>29.039883379359612</v>
      </c>
      <c r="Z323" s="385">
        <f t="shared" si="114"/>
        <v>30.334951550060726</v>
      </c>
      <c r="AA323" s="386">
        <f t="shared" si="115"/>
        <v>34.446642485709113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0.1193640552153727</v>
      </c>
      <c r="AD323" s="231">
        <f>(INDEX(Models!$BJ323:$BT323,,AH323)*(1-AF323)+INDEX(Models!$BJ323:$BT323,,AH323+1)*AF323-ERP_i)*AE323*Ramure*Pc/MaxiM</f>
        <v>2.604901495681696E-3</v>
      </c>
      <c r="AE323" s="305">
        <f t="shared" si="117"/>
        <v>0.7</v>
      </c>
      <c r="AF323" s="177">
        <f t="shared" si="118"/>
        <v>0.99906212425169927</v>
      </c>
      <c r="AG323" s="919">
        <f t="shared" si="124"/>
        <v>0</v>
      </c>
      <c r="AH323" s="176">
        <f t="shared" si="119"/>
        <v>6</v>
      </c>
      <c r="AI323" s="225">
        <f t="shared" si="120"/>
        <v>0.99906212425169927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1090">
        <f>IF(t&gt;Tmaj,'2022'!Wh/'2022'!Env_an*'2023'!Env_an,0.001*'[13]mon-tableau (3)'!$B$42)</f>
        <v>31.521890427570849</v>
      </c>
      <c r="C324" s="953"/>
      <c r="D324" s="393">
        <f t="shared" si="102"/>
        <v>32.928367873131393</v>
      </c>
      <c r="E324" s="385">
        <f t="shared" si="125"/>
        <v>34.047127414432829</v>
      </c>
      <c r="F324" s="385">
        <f t="shared" si="103"/>
        <v>34.133114735370114</v>
      </c>
      <c r="G324" s="110">
        <f t="shared" si="126"/>
        <v>0.96018576663027266</v>
      </c>
      <c r="H324" s="412" t="b">
        <f>Wh_hp&gt;='2022'!Maxi_hp</f>
        <v>0</v>
      </c>
      <c r="I324" s="390">
        <f>IF(H324,Wh_hp,'2022'!Maxi_hp)</f>
        <v>34.134579731767737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4.2713245034783132E-2</v>
      </c>
      <c r="M324" s="957"/>
      <c r="N324" s="957"/>
      <c r="O324" s="48">
        <f>IF(t&lt;Tnet,'2022'!Resal+('2022'!Salim-'2022'!Resal)*(1-EXP(('2022'!Tnet-t)/('2022'!Tau_j))),Resal+(Salim-Resal)*(1-EXP((Tnet-t)/(Tau_j))))*Salcycl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2.6705120654107509E-3</v>
      </c>
      <c r="Q324" s="305">
        <f t="shared" si="105"/>
        <v>0.7</v>
      </c>
      <c r="R324" s="177">
        <f t="shared" si="106"/>
        <v>0.99910796161616844</v>
      </c>
      <c r="S324" s="919">
        <f t="shared" si="107"/>
        <v>0</v>
      </c>
      <c r="T324" s="176">
        <f t="shared" si="108"/>
        <v>6</v>
      </c>
      <c r="U324" s="251">
        <f t="shared" si="109"/>
        <v>0.99910796161616844</v>
      </c>
      <c r="V324" s="383">
        <f t="shared" si="110"/>
        <v>32.823969146261433</v>
      </c>
      <c r="W324" s="402">
        <f t="shared" si="111"/>
        <v>31.521890427570849</v>
      </c>
      <c r="X324" s="157">
        <f t="shared" si="112"/>
        <v>45236</v>
      </c>
      <c r="Y324" s="385">
        <f t="shared" si="113"/>
        <v>28.704357889953478</v>
      </c>
      <c r="Z324" s="385">
        <f t="shared" si="114"/>
        <v>29.985119653093346</v>
      </c>
      <c r="AA324" s="386">
        <f t="shared" si="115"/>
        <v>34.047127414432829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0.11930544717900536</v>
      </c>
      <c r="AD324" s="231">
        <f>(INDEX(Models!$BJ324:$BT324,,AH324)*(1-AF324)+INDEX(Models!$BJ324:$BT324,,AH324+1)*AF324-ERP_i)*AE324*Ramure*Pc/MaxiM</f>
        <v>2.6705120654107509E-3</v>
      </c>
      <c r="AE324" s="305">
        <f t="shared" si="117"/>
        <v>0.7</v>
      </c>
      <c r="AF324" s="177">
        <f t="shared" si="118"/>
        <v>0.99910796161616844</v>
      </c>
      <c r="AG324" s="919">
        <f t="shared" si="124"/>
        <v>0</v>
      </c>
      <c r="AH324" s="176">
        <f t="shared" si="119"/>
        <v>6</v>
      </c>
      <c r="AI324" s="225">
        <f t="shared" si="120"/>
        <v>0.99910796161616844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1090">
        <f>IF(t&gt;Tmaj,'2022'!Wh/'2022'!Env_an*'2023'!Env_an,0.001*'[13]mon-tableau (3)'!$B$43)</f>
        <v>30.129766687087361</v>
      </c>
      <c r="C325" s="953"/>
      <c r="D325" s="393">
        <f t="shared" si="102"/>
        <v>31.474818244876737</v>
      </c>
      <c r="E325" s="385">
        <f t="shared" si="125"/>
        <v>32.547364559957508</v>
      </c>
      <c r="F325" s="385">
        <f t="shared" si="103"/>
        <v>32.627885813530987</v>
      </c>
      <c r="G325" s="110">
        <f t="shared" si="126"/>
        <v>0.92671872871937944</v>
      </c>
      <c r="H325" s="412" t="b">
        <f>Wh_hp&gt;='2022'!Maxi_hp</f>
        <v>0</v>
      </c>
      <c r="I325" s="390">
        <f>IF(H325,Wh_hp,'2022'!Maxi_hp)</f>
        <v>32.630609215696907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4.2734212071528499E-2</v>
      </c>
      <c r="M325" s="957"/>
      <c r="N325" s="957"/>
      <c r="O325" s="48">
        <f>IF(t&lt;Tnet,'2022'!Resal+('2022'!Salim-'2022'!Resal)*(1-EXP(('2022'!Tnet-t)/('2022'!Tau_j))),Resal+(Salim-Resal)*(1-EXP((Tnet-t)/(Tau_j))))*Salcycl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2.7552558480293098E-3</v>
      </c>
      <c r="Q325" s="305">
        <f t="shared" si="105"/>
        <v>0.7</v>
      </c>
      <c r="R325" s="177">
        <f t="shared" si="106"/>
        <v>0.99915196134383955</v>
      </c>
      <c r="S325" s="919">
        <f t="shared" si="107"/>
        <v>0</v>
      </c>
      <c r="T325" s="176">
        <f t="shared" si="108"/>
        <v>6</v>
      </c>
      <c r="U325" s="251">
        <f t="shared" si="109"/>
        <v>0.99915196134383955</v>
      </c>
      <c r="V325" s="383">
        <f t="shared" si="110"/>
        <v>32.502943283352195</v>
      </c>
      <c r="W325" s="402">
        <f t="shared" si="111"/>
        <v>30.129766687087361</v>
      </c>
      <c r="X325" s="157">
        <f t="shared" si="112"/>
        <v>45237</v>
      </c>
      <c r="Y325" s="385">
        <f t="shared" si="113"/>
        <v>27.441151214113592</v>
      </c>
      <c r="Z325" s="385">
        <f t="shared" si="114"/>
        <v>28.666177732619481</v>
      </c>
      <c r="AA325" s="386">
        <f t="shared" si="115"/>
        <v>32.547364559957508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0.11924734551666244</v>
      </c>
      <c r="AD325" s="231">
        <f>(INDEX(Models!$BJ325:$BT325,,AH325)*(1-AF325)+INDEX(Models!$BJ325:$BT325,,AH325+1)*AF325-ERP_i)*AE325*Ramure*Pc/MaxiM</f>
        <v>2.7552558480293098E-3</v>
      </c>
      <c r="AE325" s="305">
        <f t="shared" si="117"/>
        <v>0.7</v>
      </c>
      <c r="AF325" s="177">
        <f t="shared" si="118"/>
        <v>0.99915196134383955</v>
      </c>
      <c r="AG325" s="919">
        <f t="shared" si="124"/>
        <v>0</v>
      </c>
      <c r="AH325" s="176">
        <f t="shared" si="119"/>
        <v>6</v>
      </c>
      <c r="AI325" s="225">
        <f t="shared" si="120"/>
        <v>0.99915196134383955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1090">
        <f>IF(t&gt;Tmaj,'2022'!Wh/'2022'!Env_an*'2023'!Env_an,0.001*'[13]mon-tableau (3)'!$B$44)</f>
        <v>20.61045129496647</v>
      </c>
      <c r="C326" s="953"/>
      <c r="D326" s="393">
        <f t="shared" si="102"/>
        <v>21.53101362917689</v>
      </c>
      <c r="E326" s="385">
        <f t="shared" si="125"/>
        <v>22.266879590352509</v>
      </c>
      <c r="F326" s="385">
        <f t="shared" si="103"/>
        <v>22.297880474381408</v>
      </c>
      <c r="G326" s="110">
        <f t="shared" si="126"/>
        <v>0.63943890195006392</v>
      </c>
      <c r="H326" s="412" t="b">
        <f>Wh_hp&gt;='2022'!Maxi_hp</f>
        <v>0</v>
      </c>
      <c r="I326" s="390">
        <f>IF(H326,Wh_hp,'2022'!Maxi_hp)</f>
        <v>27.419796880522092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4.2755178649042103E-2</v>
      </c>
      <c r="M326" s="957"/>
      <c r="N326" s="957"/>
      <c r="O326" s="48">
        <f>IF(t&lt;Tnet,'2022'!Resal+('2022'!Salim-'2022'!Resal)*(1-EXP(('2022'!Tnet-t)/('2022'!Tau_j))),Resal+(Salim-Resal)*(1-EXP((Tnet-t)/(Tau_j))))*Salcycl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2.8591925687961521E-3</v>
      </c>
      <c r="Q326" s="305">
        <f t="shared" si="105"/>
        <v>0.7</v>
      </c>
      <c r="R326" s="177">
        <f t="shared" si="106"/>
        <v>0.99919419680120558</v>
      </c>
      <c r="S326" s="919">
        <f t="shared" si="107"/>
        <v>0</v>
      </c>
      <c r="T326" s="176">
        <f t="shared" si="108"/>
        <v>6</v>
      </c>
      <c r="U326" s="251">
        <f t="shared" si="109"/>
        <v>0.99919419680120558</v>
      </c>
      <c r="V326" s="383">
        <f t="shared" si="110"/>
        <v>32.184677338687678</v>
      </c>
      <c r="W326" s="402">
        <f t="shared" si="111"/>
        <v>20.61045129496647</v>
      </c>
      <c r="X326" s="157">
        <f t="shared" si="112"/>
        <v>45238</v>
      </c>
      <c r="Y326" s="385">
        <f t="shared" si="113"/>
        <v>18.774340297748346</v>
      </c>
      <c r="Z326" s="385">
        <f t="shared" si="114"/>
        <v>19.612893043654342</v>
      </c>
      <c r="AA326" s="386">
        <f t="shared" si="115"/>
        <v>22.266879590352509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0.1191898728301406</v>
      </c>
      <c r="AD326" s="231">
        <f>(INDEX(Models!$BJ326:$BT326,,AH326)*(1-AF326)+INDEX(Models!$BJ326:$BT326,,AH326+1)*AF326-ERP_i)*AE326*Ramure*Pc/MaxiM</f>
        <v>2.8591925687961521E-3</v>
      </c>
      <c r="AE326" s="305">
        <f t="shared" si="117"/>
        <v>0.7</v>
      </c>
      <c r="AF326" s="177">
        <f t="shared" si="118"/>
        <v>0.99919419680120558</v>
      </c>
      <c r="AG326" s="919">
        <f t="shared" si="124"/>
        <v>0</v>
      </c>
      <c r="AH326" s="176">
        <f t="shared" si="119"/>
        <v>6</v>
      </c>
      <c r="AI326" s="225">
        <f t="shared" si="120"/>
        <v>0.99919419680120558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1090">
        <f>IF(t&gt;Tmaj,'2022'!Wh/'2022'!Env_an*'2023'!Env_an,0.001*'[13]mon-tableau (3)'!$B$45)</f>
        <v>10.901151906163159</v>
      </c>
      <c r="C327" s="953"/>
      <c r="D327" s="393">
        <f t="shared" si="102"/>
        <v>11.388299452183508</v>
      </c>
      <c r="E327" s="385">
        <f t="shared" si="125"/>
        <v>11.778663835204298</v>
      </c>
      <c r="F327" s="385">
        <f t="shared" si="103"/>
        <v>11.780774137664876</v>
      </c>
      <c r="G327" s="110">
        <f t="shared" si="126"/>
        <v>0.34108539532896315</v>
      </c>
      <c r="H327" s="412" t="b">
        <f>Wh_hp&gt;='2022'!Maxi_hp</f>
        <v>0</v>
      </c>
      <c r="I327" s="390">
        <f>IF(H327,Wh_hp,'2022'!Maxi_hp)</f>
        <v>26.175340990445164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4.2776144767333713E-2</v>
      </c>
      <c r="M327" s="957"/>
      <c r="N327" s="957"/>
      <c r="O327" s="48">
        <f>IF(t&lt;Tnet,'2022'!Resal+('2022'!Salim-'2022'!Resal)*(1-EXP(('2022'!Tnet-t)/('2022'!Tau_j))),Resal+(Salim-Resal)*(1-EXP((Tnet-t)/(Tau_j))))*Salcycl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2.9823649154724825E-3</v>
      </c>
      <c r="Q327" s="305">
        <f t="shared" si="105"/>
        <v>0.7</v>
      </c>
      <c r="R327" s="177">
        <f t="shared" si="106"/>
        <v>0.99923473844967514</v>
      </c>
      <c r="S327" s="919">
        <f t="shared" si="107"/>
        <v>0</v>
      </c>
      <c r="T327" s="176">
        <f t="shared" si="108"/>
        <v>6</v>
      </c>
      <c r="U327" s="251">
        <f t="shared" si="109"/>
        <v>0.99923473844967514</v>
      </c>
      <c r="V327" s="383">
        <f t="shared" si="110"/>
        <v>31.870575820309927</v>
      </c>
      <c r="W327" s="402">
        <f t="shared" si="111"/>
        <v>10.901151906163159</v>
      </c>
      <c r="X327" s="157">
        <f t="shared" si="112"/>
        <v>45239</v>
      </c>
      <c r="Y327" s="385">
        <f t="shared" si="113"/>
        <v>9.9316134218499847</v>
      </c>
      <c r="Z327" s="385">
        <f t="shared" si="114"/>
        <v>10.375434510494905</v>
      </c>
      <c r="AA327" s="386">
        <f t="shared" si="115"/>
        <v>11.778663835204298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0.11913314993466351</v>
      </c>
      <c r="AD327" s="231">
        <f>(INDEX(Models!$BJ327:$BT327,,AH327)*(1-AF327)+INDEX(Models!$BJ327:$BT327,,AH327+1)*AF327-ERP_i)*AE327*Ramure*Pc/MaxiM</f>
        <v>2.9823649154724825E-3</v>
      </c>
      <c r="AE327" s="305">
        <f t="shared" si="117"/>
        <v>0.7</v>
      </c>
      <c r="AF327" s="177">
        <f t="shared" si="118"/>
        <v>0.99923473844967514</v>
      </c>
      <c r="AG327" s="919">
        <f t="shared" si="124"/>
        <v>0</v>
      </c>
      <c r="AH327" s="176">
        <f t="shared" si="119"/>
        <v>6</v>
      </c>
      <c r="AI327" s="225">
        <f t="shared" si="120"/>
        <v>0.99923473844967514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1090">
        <f>IF(t&gt;Tmaj,'2022'!Wh/'2022'!Env_an*'2023'!Env_an,0.001*'[13]mon-tableau (3)'!$B$46)</f>
        <v>24.311379256505425</v>
      </c>
      <c r="C328" s="953"/>
      <c r="D328" s="393">
        <f t="shared" si="102"/>
        <v>25.398355480660562</v>
      </c>
      <c r="E328" s="385">
        <f t="shared" si="125"/>
        <v>26.271508051896092</v>
      </c>
      <c r="F328" s="385">
        <f t="shared" si="103"/>
        <v>26.326775620771009</v>
      </c>
      <c r="G328" s="110">
        <f t="shared" si="126"/>
        <v>0.76948111534024621</v>
      </c>
      <c r="H328" s="412" t="b">
        <f>Wh_hp&gt;='2022'!Maxi_hp</f>
        <v>0</v>
      </c>
      <c r="I328" s="390">
        <f>IF(H328,Wh_hp,'2022'!Maxi_hp)</f>
        <v>26.335268053066518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4.2797110426413543E-2</v>
      </c>
      <c r="M328" s="957"/>
      <c r="N328" s="957"/>
      <c r="O328" s="48">
        <f>IF(t&lt;Tnet,'2022'!Resal+('2022'!Salim-'2022'!Resal)*(1-EXP(('2022'!Tnet-t)/('2022'!Tau_j))),Resal+(Salim-Resal)*(1-EXP((Tnet-t)/(Tau_j))))*Salcycl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3.1247909553051849E-3</v>
      </c>
      <c r="Q328" s="305">
        <f t="shared" si="105"/>
        <v>0.7</v>
      </c>
      <c r="R328" s="177">
        <f t="shared" si="106"/>
        <v>0.99927365395871026</v>
      </c>
      <c r="S328" s="919">
        <f t="shared" si="107"/>
        <v>0</v>
      </c>
      <c r="T328" s="176">
        <f t="shared" si="108"/>
        <v>6</v>
      </c>
      <c r="U328" s="251">
        <f t="shared" si="109"/>
        <v>0.99927365395871026</v>
      </c>
      <c r="V328" s="383">
        <f t="shared" si="110"/>
        <v>31.562042279035936</v>
      </c>
      <c r="W328" s="402">
        <f t="shared" si="111"/>
        <v>24.311379256505425</v>
      </c>
      <c r="X328" s="157">
        <f t="shared" si="112"/>
        <v>45240</v>
      </c>
      <c r="Y328" s="385">
        <f t="shared" si="113"/>
        <v>22.152707216152823</v>
      </c>
      <c r="Z328" s="385">
        <f t="shared" si="114"/>
        <v>23.143167929655313</v>
      </c>
      <c r="AA328" s="386">
        <f t="shared" si="115"/>
        <v>26.271508051896092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0.11907729529881313</v>
      </c>
      <c r="AD328" s="231">
        <f>(INDEX(Models!$BJ328:$BT328,,AH328)*(1-AF328)+INDEX(Models!$BJ328:$BT328,,AH328+1)*AF328-ERP_i)*AE328*Ramure*Pc/MaxiM</f>
        <v>3.1247909553051849E-3</v>
      </c>
      <c r="AE328" s="305">
        <f t="shared" si="117"/>
        <v>0.7</v>
      </c>
      <c r="AF328" s="177">
        <f t="shared" si="118"/>
        <v>0.99927365395871026</v>
      </c>
      <c r="AG328" s="919">
        <f t="shared" si="124"/>
        <v>0</v>
      </c>
      <c r="AH328" s="176">
        <f t="shared" si="119"/>
        <v>6</v>
      </c>
      <c r="AI328" s="225">
        <f t="shared" si="120"/>
        <v>0.99927365395871026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1090">
        <f>IF(t&gt;Tmaj,'2022'!Wh/'2022'!Env_an*'2023'!Env_an,0.001*'[13]mon-tableau (3)'!$B$47)</f>
        <v>30.299703668594432</v>
      </c>
      <c r="C329" s="953"/>
      <c r="D329" s="393">
        <f t="shared" si="102"/>
        <v>31.65511476663098</v>
      </c>
      <c r="E329" s="385">
        <f t="shared" si="125"/>
        <v>32.746550897799438</v>
      </c>
      <c r="F329" s="385">
        <f t="shared" si="103"/>
        <v>32.849770113051811</v>
      </c>
      <c r="G329" s="110">
        <f t="shared" si="126"/>
        <v>0.96912518473912623</v>
      </c>
      <c r="H329" s="412" t="b">
        <f>Wh_hp&gt;='2022'!Maxi_hp</f>
        <v>0</v>
      </c>
      <c r="I329" s="390">
        <f>IF(H329,Wh_hp,'2022'!Maxi_hp)</f>
        <v>32.851303072778975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4.2818075626291696E-2</v>
      </c>
      <c r="M329" s="957"/>
      <c r="N329" s="957"/>
      <c r="O329" s="48">
        <f>IF(t&lt;Tnet,'2022'!Resal+('2022'!Salim-'2022'!Resal)*(1-EXP(('2022'!Tnet-t)/('2022'!Tau_j))),Resal+(Salim-Resal)*(1-EXP((Tnet-t)/(Tau_j))))*Salcycl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3.286456046929865E-3</v>
      </c>
      <c r="Q329" s="305">
        <f t="shared" si="105"/>
        <v>0.7</v>
      </c>
      <c r="R329" s="177">
        <f t="shared" si="106"/>
        <v>0.99931100831470743</v>
      </c>
      <c r="S329" s="919">
        <f t="shared" si="107"/>
        <v>0</v>
      </c>
      <c r="T329" s="176">
        <f t="shared" si="108"/>
        <v>6</v>
      </c>
      <c r="U329" s="251">
        <f t="shared" si="109"/>
        <v>0.99931100831470743</v>
      </c>
      <c r="V329" s="383">
        <f t="shared" si="110"/>
        <v>31.260479265154817</v>
      </c>
      <c r="W329" s="402">
        <f t="shared" si="111"/>
        <v>30.299703668594432</v>
      </c>
      <c r="X329" s="157">
        <f t="shared" si="112"/>
        <v>45241</v>
      </c>
      <c r="Y329" s="385">
        <f t="shared" si="113"/>
        <v>27.613719336469266</v>
      </c>
      <c r="Z329" s="385">
        <f t="shared" si="114"/>
        <v>28.848977016085151</v>
      </c>
      <c r="AA329" s="386">
        <f t="shared" si="115"/>
        <v>32.746550897799438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0.11902242449528333</v>
      </c>
      <c r="AD329" s="231">
        <f>(INDEX(Models!$BJ329:$BT329,,AH329)*(1-AF329)+INDEX(Models!$BJ329:$BT329,,AH329+1)*AF329-ERP_i)*AE329*Ramure*Pc/MaxiM</f>
        <v>3.286456046929865E-3</v>
      </c>
      <c r="AE329" s="305">
        <f t="shared" si="117"/>
        <v>0.7</v>
      </c>
      <c r="AF329" s="177">
        <f t="shared" si="118"/>
        <v>0.99931100831470743</v>
      </c>
      <c r="AG329" s="919">
        <f t="shared" si="124"/>
        <v>0</v>
      </c>
      <c r="AH329" s="176">
        <f t="shared" si="119"/>
        <v>6</v>
      </c>
      <c r="AI329" s="225">
        <f t="shared" si="120"/>
        <v>0.99931100831470743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1090">
        <f>IF(t&gt;Tmaj,'2022'!Wh/'2022'!Env_an*'2023'!Env_an,0.001*'[13]mon-tableau (3)'!$B$48)</f>
        <v>28.928974645017234</v>
      </c>
      <c r="C330" s="953"/>
      <c r="D330" s="393">
        <f t="shared" si="102"/>
        <v>30.223730245024498</v>
      </c>
      <c r="E330" s="385">
        <f t="shared" si="125"/>
        <v>31.26885838320495</v>
      </c>
      <c r="F330" s="385">
        <f t="shared" si="103"/>
        <v>31.367391865691719</v>
      </c>
      <c r="G330" s="110">
        <f t="shared" si="126"/>
        <v>0.93387295850015117</v>
      </c>
      <c r="H330" s="412" t="b">
        <f>Wh_hp&gt;='2022'!Maxi_hp</f>
        <v>0</v>
      </c>
      <c r="I330" s="390">
        <f>IF(H330,Wh_hp,'2022'!Maxi_hp)</f>
        <v>32.840746587016881</v>
      </c>
      <c r="J330" s="85">
        <f>IF(H330,An,'2022'!An_max)</f>
        <v>2020</v>
      </c>
      <c r="K330" s="197">
        <f t="shared" si="104"/>
        <v>45242</v>
      </c>
      <c r="L330" s="147">
        <f>IF(t&lt;Tvie,1-EXP((T0-t)*PertePVj)+'2022'!Pspv,1-EXP((T0-t)*PertePVj)+Pspv)</f>
        <v>4.2839040366978165E-2</v>
      </c>
      <c r="M330" s="957"/>
      <c r="N330" s="957"/>
      <c r="O330" s="48">
        <f>IF(t&lt;Tnet,'2022'!Resal+('2022'!Salim-'2022'!Resal)*(1-EXP(('2022'!Tnet-t)/('2022'!Tau_j))),Resal+(Salim-Resal)*(1-EXP((Tnet-t)/(Tau_j))))*Salcycl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3.4673042695283576E-3</v>
      </c>
      <c r="Q330" s="305">
        <f t="shared" si="105"/>
        <v>0.7</v>
      </c>
      <c r="R330" s="177">
        <f t="shared" si="106"/>
        <v>0.99934686392577055</v>
      </c>
      <c r="S330" s="919">
        <f t="shared" si="107"/>
        <v>0</v>
      </c>
      <c r="T330" s="176">
        <f t="shared" si="108"/>
        <v>6</v>
      </c>
      <c r="U330" s="251">
        <f t="shared" si="109"/>
        <v>0.99934686392577055</v>
      </c>
      <c r="V330" s="383">
        <f t="shared" si="110"/>
        <v>30.967288276357504</v>
      </c>
      <c r="W330" s="402">
        <f t="shared" si="111"/>
        <v>28.928974645017234</v>
      </c>
      <c r="X330" s="157">
        <f t="shared" si="112"/>
        <v>45242</v>
      </c>
      <c r="Y330" s="385">
        <f t="shared" si="113"/>
        <v>26.368678462087281</v>
      </c>
      <c r="Z330" s="385">
        <f t="shared" si="114"/>
        <v>27.548844524746503</v>
      </c>
      <c r="AA330" s="386">
        <f t="shared" si="115"/>
        <v>31.26885838320495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0.11896864966635722</v>
      </c>
      <c r="AD330" s="231">
        <f>(INDEX(Models!$BJ330:$BT330,,AH330)*(1-AF330)+INDEX(Models!$BJ330:$BT330,,AH330+1)*AF330-ERP_i)*AE330*Ramure*Pc/MaxiM</f>
        <v>3.4673042695283576E-3</v>
      </c>
      <c r="AE330" s="305">
        <f t="shared" si="117"/>
        <v>0.7</v>
      </c>
      <c r="AF330" s="177">
        <f t="shared" si="118"/>
        <v>0.99934686392577055</v>
      </c>
      <c r="AG330" s="919">
        <f t="shared" si="124"/>
        <v>0</v>
      </c>
      <c r="AH330" s="176">
        <f t="shared" si="119"/>
        <v>6</v>
      </c>
      <c r="AI330" s="225">
        <f t="shared" si="120"/>
        <v>0.99934686392577055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1090">
        <f>IF(t&gt;Tmaj,'2022'!Wh/'2022'!Env_an*'2023'!Env_an,0.001*'[13]mon-tableau (3)'!$B$49)</f>
        <v>29.115926691487758</v>
      </c>
      <c r="C331" s="953"/>
      <c r="D331" s="393">
        <f t="shared" si="102"/>
        <v>30.419715854413447</v>
      </c>
      <c r="E331" s="385">
        <f t="shared" si="125"/>
        <v>31.474688719200145</v>
      </c>
      <c r="F331" s="385">
        <f t="shared" si="103"/>
        <v>31.582090165086267</v>
      </c>
      <c r="G331" s="110">
        <f t="shared" si="126"/>
        <v>0.9487803374849596</v>
      </c>
      <c r="H331" s="412" t="b">
        <f>Wh_hp&gt;='2022'!Maxi_hp</f>
        <v>0</v>
      </c>
      <c r="I331" s="390">
        <f>IF(H331,Wh_hp,'2022'!Maxi_hp)</f>
        <v>31.584962137547372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4.2860004648482941E-2</v>
      </c>
      <c r="M331" s="957"/>
      <c r="N331" s="957"/>
      <c r="O331" s="48">
        <f>IF(t&lt;Tnet,'2022'!Resal+('2022'!Salim-'2022'!Resal)*(1-EXP(('2022'!Tnet-t)/('2022'!Tau_j))),Resal+(Salim-Resal)*(1-EXP((Tnet-t)/(Tau_j))))*Salcycl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3.667747481393683E-3</v>
      </c>
      <c r="Q331" s="305">
        <f t="shared" si="105"/>
        <v>0.7</v>
      </c>
      <c r="R331" s="177">
        <f t="shared" si="106"/>
        <v>0.9993812807225213</v>
      </c>
      <c r="S331" s="919">
        <f t="shared" si="107"/>
        <v>0</v>
      </c>
      <c r="T331" s="176">
        <f t="shared" si="108"/>
        <v>6</v>
      </c>
      <c r="U331" s="251">
        <f t="shared" si="109"/>
        <v>0.9993812807225213</v>
      </c>
      <c r="V331" s="383">
        <f t="shared" si="110"/>
        <v>30.679519683530398</v>
      </c>
      <c r="W331" s="402">
        <f t="shared" si="111"/>
        <v>29.115926691487758</v>
      </c>
      <c r="X331" s="157">
        <f t="shared" si="112"/>
        <v>45243</v>
      </c>
      <c r="Y331" s="385">
        <f t="shared" si="113"/>
        <v>26.543255265313153</v>
      </c>
      <c r="Z331" s="385">
        <f t="shared" si="114"/>
        <v>27.731842148718211</v>
      </c>
      <c r="AA331" s="386">
        <f t="shared" si="115"/>
        <v>31.474688719200145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0.11891607900791484</v>
      </c>
      <c r="AD331" s="231">
        <f>(INDEX(Models!$BJ331:$BT331,,AH331)*(1-AF331)+INDEX(Models!$BJ331:$BT331,,AH331+1)*AF331-ERP_i)*AE331*Ramure*Pc/MaxiM</f>
        <v>3.667747481393683E-3</v>
      </c>
      <c r="AE331" s="305">
        <f t="shared" si="117"/>
        <v>0.7</v>
      </c>
      <c r="AF331" s="177">
        <f t="shared" si="118"/>
        <v>0.9993812807225213</v>
      </c>
      <c r="AG331" s="919">
        <f t="shared" si="124"/>
        <v>0</v>
      </c>
      <c r="AH331" s="176">
        <f t="shared" si="119"/>
        <v>6</v>
      </c>
      <c r="AI331" s="225">
        <f t="shared" si="120"/>
        <v>0.9993812807225213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1090">
        <f>IF(t&gt;Tmaj,'2022'!Wh/'2022'!Env_an*'2023'!Env_an,0.001*'[13]mon-tableau (3)'!$B$50)</f>
        <v>10.881488717934136</v>
      </c>
      <c r="C332" s="953"/>
      <c r="D332" s="393">
        <f t="shared" si="102"/>
        <v>11.369002558175906</v>
      </c>
      <c r="E332" s="385">
        <f t="shared" si="125"/>
        <v>11.764434031320405</v>
      </c>
      <c r="F332" s="385">
        <f t="shared" si="103"/>
        <v>11.768222627511555</v>
      </c>
      <c r="G332" s="110">
        <f t="shared" si="126"/>
        <v>0.3567422792218865</v>
      </c>
      <c r="H332" s="412" t="b">
        <f>Wh_hp&gt;='2022'!Maxi_hp</f>
        <v>0</v>
      </c>
      <c r="I332" s="390">
        <f>IF(H332,Wh_hp,'2022'!Maxi_hp)</f>
        <v>20.754830581758107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4.2880968470816239E-2</v>
      </c>
      <c r="M332" s="957"/>
      <c r="N332" s="957"/>
      <c r="O332" s="48">
        <f>IF(t&lt;Tnet,'2022'!Resal+('2022'!Salim-'2022'!Resal)*(1-EXP(('2022'!Tnet-t)/('2022'!Tau_j))),Resal+(Salim-Resal)*(1-EXP((Tnet-t)/(Tau_j))))*Salcycl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3.8842070398856891E-3</v>
      </c>
      <c r="Q332" s="305">
        <f t="shared" si="105"/>
        <v>0.7</v>
      </c>
      <c r="R332" s="177">
        <f t="shared" si="106"/>
        <v>0.99941431625508304</v>
      </c>
      <c r="S332" s="919">
        <f t="shared" si="107"/>
        <v>0</v>
      </c>
      <c r="T332" s="176">
        <f t="shared" si="108"/>
        <v>6</v>
      </c>
      <c r="U332" s="251">
        <f t="shared" si="109"/>
        <v>0.99941431625508304</v>
      </c>
      <c r="V332" s="383">
        <f t="shared" si="110"/>
        <v>30.393687648677425</v>
      </c>
      <c r="W332" s="402">
        <f t="shared" si="111"/>
        <v>10.881488717934136</v>
      </c>
      <c r="X332" s="157">
        <f t="shared" si="112"/>
        <v>45244</v>
      </c>
      <c r="Y332" s="385">
        <f t="shared" si="113"/>
        <v>9.9215501892972533</v>
      </c>
      <c r="Z332" s="385">
        <f t="shared" si="114"/>
        <v>10.366056741600516</v>
      </c>
      <c r="AA332" s="386">
        <f t="shared" si="115"/>
        <v>11.764434031320405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0.11886481627564867</v>
      </c>
      <c r="AD332" s="231">
        <f>(INDEX(Models!$BJ332:$BT332,,AH332)*(1-AF332)+INDEX(Models!$BJ332:$BT332,,AH332+1)*AF332-ERP_i)*AE332*Ramure*Pc/MaxiM</f>
        <v>3.8842070398856891E-3</v>
      </c>
      <c r="AE332" s="305">
        <f t="shared" si="117"/>
        <v>0.7</v>
      </c>
      <c r="AF332" s="177">
        <f t="shared" si="118"/>
        <v>0.99941431625508304</v>
      </c>
      <c r="AG332" s="919">
        <f t="shared" si="124"/>
        <v>0</v>
      </c>
      <c r="AH332" s="176">
        <f t="shared" si="119"/>
        <v>6</v>
      </c>
      <c r="AI332" s="225">
        <f t="shared" si="120"/>
        <v>0.99941431625508304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1090">
        <f>IF(t&gt;Tmaj,'2022'!Wh/'2022'!Env_an*'2023'!Env_an,0.001*'[13]mon-tableau (3)'!$B$51)</f>
        <v>12.993390842292753</v>
      </c>
      <c r="C333" s="953"/>
      <c r="D333" s="393">
        <f t="shared" si="102"/>
        <v>13.575819735161144</v>
      </c>
      <c r="E333" s="385">
        <f t="shared" si="125"/>
        <v>14.049380999455627</v>
      </c>
      <c r="F333" s="385">
        <f t="shared" si="103"/>
        <v>14.060230963135274</v>
      </c>
      <c r="G333" s="110">
        <f t="shared" si="126"/>
        <v>0.43008331650528314</v>
      </c>
      <c r="H333" s="412" t="b">
        <f>Wh_hp&gt;='2022'!Maxi_hp</f>
        <v>0</v>
      </c>
      <c r="I333" s="390">
        <f>IF(H333,Wh_hp,'2022'!Maxi_hp)</f>
        <v>29.501536808911666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4.2901931833987939E-2</v>
      </c>
      <c r="M333" s="957"/>
      <c r="N333" s="957"/>
      <c r="O333" s="48">
        <f>IF(t&lt;Tnet,'2022'!Resal+('2022'!Salim-'2022'!Resal)*(1-EXP(('2022'!Tnet-t)/('2022'!Tau_j))),Resal+(Salim-Resal)*(1-EXP((Tnet-t)/(Tau_j))))*Salcycl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4.1070480814413045E-3</v>
      </c>
      <c r="Q333" s="305">
        <f t="shared" si="105"/>
        <v>0.7</v>
      </c>
      <c r="R333" s="177">
        <f t="shared" si="106"/>
        <v>0.99944602578637809</v>
      </c>
      <c r="S333" s="919">
        <f t="shared" si="107"/>
        <v>0</v>
      </c>
      <c r="T333" s="176">
        <f t="shared" si="108"/>
        <v>6</v>
      </c>
      <c r="U333" s="251">
        <f t="shared" si="109"/>
        <v>0.99944602578637809</v>
      </c>
      <c r="V333" s="383">
        <f t="shared" si="110"/>
        <v>30.110490463002137</v>
      </c>
      <c r="W333" s="402">
        <f t="shared" si="111"/>
        <v>12.993390842292753</v>
      </c>
      <c r="X333" s="157">
        <f t="shared" si="112"/>
        <v>45245</v>
      </c>
      <c r="Y333" s="385">
        <f t="shared" si="113"/>
        <v>11.848973960454195</v>
      </c>
      <c r="Z333" s="385">
        <f t="shared" si="114"/>
        <v>12.380104353526862</v>
      </c>
      <c r="AA333" s="386">
        <f t="shared" si="115"/>
        <v>14.049380999455627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0.11881496031700212</v>
      </c>
      <c r="AD333" s="231">
        <f>(INDEX(Models!$BJ333:$BT333,,AH333)*(1-AF333)+INDEX(Models!$BJ333:$BT333,,AH333+1)*AF333-ERP_i)*AE333*Ramure*Pc/MaxiM</f>
        <v>4.1070480814413045E-3</v>
      </c>
      <c r="AE333" s="305">
        <f t="shared" si="117"/>
        <v>0.7</v>
      </c>
      <c r="AF333" s="177">
        <f t="shared" si="118"/>
        <v>0.99944602578637809</v>
      </c>
      <c r="AG333" s="919">
        <f t="shared" si="124"/>
        <v>0</v>
      </c>
      <c r="AH333" s="176">
        <f t="shared" si="119"/>
        <v>6</v>
      </c>
      <c r="AI333" s="225">
        <f t="shared" si="120"/>
        <v>0.99944602578637809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1090">
        <f>IF(t&gt;Tmaj,'2022'!Wh/'2022'!Env_an*'2023'!Env_an,0.001*'[13]mon-tableau (3)'!$B$52)</f>
        <v>28.785389321544372</v>
      </c>
      <c r="C334" s="953"/>
      <c r="D334" s="393">
        <f t="shared" si="102"/>
        <v>30.076353475893264</v>
      </c>
      <c r="E334" s="385">
        <f t="shared" si="125"/>
        <v>31.128546583172174</v>
      </c>
      <c r="F334" s="385">
        <f t="shared" si="103"/>
        <v>31.257306045083336</v>
      </c>
      <c r="G334" s="110">
        <f t="shared" si="126"/>
        <v>0.96476044626569102</v>
      </c>
      <c r="H334" s="412" t="b">
        <f>Wh_hp&gt;='2022'!Maxi_hp</f>
        <v>0</v>
      </c>
      <c r="I334" s="390">
        <f>IF(H334,Wh_hp,'2022'!Maxi_hp)</f>
        <v>31.259740180325817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4.2922894738008144E-2</v>
      </c>
      <c r="M334" s="957"/>
      <c r="N334" s="957"/>
      <c r="O334" s="48">
        <f>IF(t&lt;Tnet,'2022'!Resal+('2022'!Salim-'2022'!Resal)*(1-EXP(('2022'!Tnet-t)/('2022'!Tau_j))),Resal+(Salim-Resal)*(1-EXP((Tnet-t)/(Tau_j))))*Salcycl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4.3363380575161675E-3</v>
      </c>
      <c r="Q334" s="305">
        <f t="shared" si="105"/>
        <v>0.7</v>
      </c>
      <c r="R334" s="177">
        <f t="shared" si="106"/>
        <v>0.99947646238186771</v>
      </c>
      <c r="S334" s="919">
        <f t="shared" si="107"/>
        <v>0</v>
      </c>
      <c r="T334" s="176">
        <f t="shared" si="108"/>
        <v>6</v>
      </c>
      <c r="U334" s="251">
        <f t="shared" si="109"/>
        <v>0.99947646238186771</v>
      </c>
      <c r="V334" s="383">
        <f t="shared" si="110"/>
        <v>29.830324422526552</v>
      </c>
      <c r="W334" s="402">
        <f t="shared" si="111"/>
        <v>28.785389321544372</v>
      </c>
      <c r="X334" s="157">
        <f t="shared" si="112"/>
        <v>45246</v>
      </c>
      <c r="Y334" s="385">
        <f t="shared" si="113"/>
        <v>26.254074776160952</v>
      </c>
      <c r="Z334" s="385">
        <f t="shared" si="114"/>
        <v>27.431514798354851</v>
      </c>
      <c r="AA334" s="386">
        <f t="shared" si="115"/>
        <v>31.128546583172174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0.118766604632158</v>
      </c>
      <c r="AD334" s="231">
        <f>(INDEX(Models!$BJ334:$BT334,,AH334)*(1-AF334)+INDEX(Models!$BJ334:$BT334,,AH334+1)*AF334-ERP_i)*AE334*Ramure*Pc/MaxiM</f>
        <v>4.3363380575161675E-3</v>
      </c>
      <c r="AE334" s="305">
        <f t="shared" si="117"/>
        <v>0.7</v>
      </c>
      <c r="AF334" s="177">
        <f t="shared" si="118"/>
        <v>0.99947646238186771</v>
      </c>
      <c r="AG334" s="919">
        <f t="shared" si="124"/>
        <v>0</v>
      </c>
      <c r="AH334" s="176">
        <f t="shared" si="119"/>
        <v>6</v>
      </c>
      <c r="AI334" s="225">
        <f t="shared" si="120"/>
        <v>0.99947646238186771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1090">
        <f>IF(t&gt;Tmaj,'2022'!Wh/'2022'!Env_an*'2023'!Env_an,0.001*'[13]mon-tableau (3)'!$B$53)</f>
        <v>15.378484165836731</v>
      </c>
      <c r="C335" s="953"/>
      <c r="D335" s="393">
        <f t="shared" ref="D335:D379" si="127">Wh/(1-Ppv)</f>
        <v>16.068528770496023</v>
      </c>
      <c r="E335" s="385">
        <f t="shared" si="125"/>
        <v>16.632303839832392</v>
      </c>
      <c r="F335" s="385">
        <f t="shared" ref="F335:F379" si="128">Wh_sa/(1-Pvg*MEDIAN((-Sdif+Wh/Env_an)/Csdif,0,1))</f>
        <v>16.656277308799488</v>
      </c>
      <c r="G335" s="110">
        <f t="shared" si="126"/>
        <v>0.51872678905643599</v>
      </c>
      <c r="H335" s="412" t="b">
        <f>Wh_hp&gt;='2022'!Maxi_hp</f>
        <v>0</v>
      </c>
      <c r="I335" s="390">
        <f>IF(H335,Wh_hp,'2022'!Maxi_hp)</f>
        <v>31.482813740825435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4.2943857182887069E-2</v>
      </c>
      <c r="M335" s="957"/>
      <c r="N335" s="957"/>
      <c r="O335" s="48">
        <f>IF(t&lt;Tnet,'2022'!Resal+('2022'!Salim-'2022'!Resal)*(1-EXP(('2022'!Tnet-t)/('2022'!Tau_j))),Resal+(Salim-Resal)*(1-EXP((Tnet-t)/(Tau_j))))*Salcycl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4.5721399804847318E-3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0.9995056769958619</v>
      </c>
      <c r="S335" s="919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0.9995056769958619</v>
      </c>
      <c r="V335" s="383">
        <f t="shared" ref="V335:V379" si="135">MaxiM*(1-Ppv)*(1-Pvg)*(1-Psa)</f>
        <v>29.553585429306562</v>
      </c>
      <c r="W335" s="402">
        <f t="shared" ref="W335:W379" si="136">Wh*(A335&gt;Tmaj)</f>
        <v>15.378484165836731</v>
      </c>
      <c r="X335" s="157">
        <f t="shared" ref="X335:X379" si="137">t</f>
        <v>45247</v>
      </c>
      <c r="Y335" s="385">
        <f t="shared" ref="Y335:Y379" si="138">Wh_pvt_s*(1-Ppv)</f>
        <v>14.028260429338781</v>
      </c>
      <c r="Z335" s="385">
        <f t="shared" ref="Z335:Z379" si="139">Wh_sa_s*(1-Psa_s)</f>
        <v>14.657719439578884</v>
      </c>
      <c r="AA335" s="386">
        <f t="shared" ref="AA335:AA379" si="140">Wh_hp*(1-Pvg_s*MEDIAN((-Sdif+Wh/Env_an)/Csdif,0,1))</f>
        <v>16.632303839832392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0.11871983696718039</v>
      </c>
      <c r="AD335" s="231">
        <f>(INDEX(Models!$BJ335:$BT335,,AH335)*(1-AF335)+INDEX(Models!$BJ335:$BT335,,AH335+1)*AF335-ERP_i)*AE335*Ramure*Pc/MaxiM</f>
        <v>4.5721399804847318E-3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0.9995056769958619</v>
      </c>
      <c r="AG335" s="919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0.9995056769958619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1090">
        <f>IF(t&gt;Tmaj,'2022'!Wh/'2022'!Env_an*'2023'!Env_an,0.001*'[13]mon-tableau (3)'!$B$54)</f>
        <v>14.039311164361084</v>
      </c>
      <c r="C336" s="953"/>
      <c r="D336" s="393">
        <f t="shared" si="127"/>
        <v>14.669587331330179</v>
      </c>
      <c r="E336" s="385">
        <f t="shared" si="125"/>
        <v>15.185774038097401</v>
      </c>
      <c r="F336" s="385">
        <f t="shared" si="128"/>
        <v>15.204542485344085</v>
      </c>
      <c r="G336" s="110">
        <f t="shared" si="126"/>
        <v>0.47775502366588013</v>
      </c>
      <c r="H336" s="412" t="b">
        <f>Wh_hp&gt;='2022'!Maxi_hp</f>
        <v>0</v>
      </c>
      <c r="I336" s="390">
        <f>IF(H336,Wh_hp,'2022'!Maxi_hp)</f>
        <v>29.94043779612808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4.2964819168634594E-2</v>
      </c>
      <c r="M336" s="957"/>
      <c r="N336" s="957"/>
      <c r="O336" s="48">
        <f>IF(t&lt;Tnet,'2022'!Resal+('2022'!Salim-'2022'!Resal)*(1-EXP(('2022'!Tnet-t)/('2022'!Tau_j))),Resal+(Salim-Resal)*(1-EXP((Tnet-t)/(Tau_j))))*Salcycl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4.8145108933324359E-3</v>
      </c>
      <c r="Q336" s="305">
        <f t="shared" si="130"/>
        <v>0.7</v>
      </c>
      <c r="R336" s="177">
        <f t="shared" si="131"/>
        <v>0.99953371855452522</v>
      </c>
      <c r="S336" s="919">
        <f t="shared" si="132"/>
        <v>0</v>
      </c>
      <c r="T336" s="176">
        <f t="shared" si="133"/>
        <v>6</v>
      </c>
      <c r="U336" s="251">
        <f t="shared" si="134"/>
        <v>0.99953371855452522</v>
      </c>
      <c r="V336" s="383">
        <f t="shared" si="135"/>
        <v>29.280669010843472</v>
      </c>
      <c r="W336" s="402">
        <f t="shared" si="136"/>
        <v>14.039311164361084</v>
      </c>
      <c r="X336" s="157">
        <f t="shared" si="137"/>
        <v>45248</v>
      </c>
      <c r="Y336" s="385">
        <f t="shared" si="138"/>
        <v>12.808582045341469</v>
      </c>
      <c r="Z336" s="385">
        <f t="shared" si="139"/>
        <v>13.383606268491407</v>
      </c>
      <c r="AA336" s="386">
        <f t="shared" si="140"/>
        <v>15.185774038097401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0.11867473894217018</v>
      </c>
      <c r="AD336" s="231">
        <f>(INDEX(Models!$BJ336:$BT336,,AH336)*(1-AF336)+INDEX(Models!$BJ336:$BT336,,AH336+1)*AF336-ERP_i)*AE336*Ramure*Pc/MaxiM</f>
        <v>4.8145108933324359E-3</v>
      </c>
      <c r="AE336" s="305">
        <f t="shared" si="142"/>
        <v>0.7</v>
      </c>
      <c r="AF336" s="177">
        <f t="shared" si="143"/>
        <v>0.99953371855452522</v>
      </c>
      <c r="AG336" s="919">
        <f t="shared" ref="AG336:AG379" si="149">INDEX(Echel_vg,AH336)</f>
        <v>0</v>
      </c>
      <c r="AH336" s="176">
        <f t="shared" si="144"/>
        <v>6</v>
      </c>
      <c r="AI336" s="225">
        <f t="shared" si="145"/>
        <v>0.99953371855452522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1090">
        <f>IF(t&gt;Tmaj,'2022'!Wh/'2022'!Env_an*'2023'!Env_an,0.001*'[13]mon-tableau (3)'!$B$55)</f>
        <v>6.0540416467253815</v>
      </c>
      <c r="C337" s="953"/>
      <c r="D337" s="393">
        <f t="shared" si="127"/>
        <v>6.3259683342255659</v>
      </c>
      <c r="E337" s="385">
        <f t="shared" si="125"/>
        <v>6.5492099368451306</v>
      </c>
      <c r="F337" s="385">
        <f t="shared" si="128"/>
        <v>6.5492099368451306</v>
      </c>
      <c r="G337" s="110">
        <f t="shared" si="126"/>
        <v>0.20761730205585557</v>
      </c>
      <c r="H337" s="412" t="b">
        <f>Wh_hp&gt;='2022'!Maxi_hp</f>
        <v>0</v>
      </c>
      <c r="I337" s="390">
        <f>IF(H337,Wh_hp,'2022'!Maxi_hp)</f>
        <v>31.549585507891482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4.2985780695260822E-2</v>
      </c>
      <c r="M337" s="957"/>
      <c r="N337" s="957"/>
      <c r="O337" s="48">
        <f>IF(t&lt;Tnet,'2022'!Resal+('2022'!Salim-'2022'!Resal)*(1-EXP(('2022'!Tnet-t)/('2022'!Tau_j))),Resal+(Salim-Resal)*(1-EXP((Tnet-t)/(Tau_j))))*Salcycl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5.0635001707745554E-3</v>
      </c>
      <c r="Q337" s="305">
        <f t="shared" si="130"/>
        <v>0.7</v>
      </c>
      <c r="R337" s="177">
        <f t="shared" si="131"/>
        <v>0.99956063403569573</v>
      </c>
      <c r="S337" s="919">
        <f t="shared" si="132"/>
        <v>0</v>
      </c>
      <c r="T337" s="176">
        <f t="shared" si="133"/>
        <v>6</v>
      </c>
      <c r="U337" s="251">
        <f t="shared" si="134"/>
        <v>0.99956063403569573</v>
      </c>
      <c r="V337" s="383">
        <f t="shared" si="135"/>
        <v>29.011970323132466</v>
      </c>
      <c r="W337" s="402">
        <f t="shared" si="136"/>
        <v>6.0540416467253815</v>
      </c>
      <c r="X337" s="157">
        <f t="shared" si="137"/>
        <v>45249</v>
      </c>
      <c r="Y337" s="385">
        <f t="shared" si="138"/>
        <v>5.5241426365969977</v>
      </c>
      <c r="Z337" s="385">
        <f t="shared" si="139"/>
        <v>5.7722680866855143</v>
      </c>
      <c r="AA337" s="386">
        <f t="shared" si="140"/>
        <v>6.5492099368451306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0.11863138571702028</v>
      </c>
      <c r="AD337" s="231">
        <f>(INDEX(Models!$BJ337:$BT337,,AH337)*(1-AF337)+INDEX(Models!$BJ337:$BT337,,AH337+1)*AF337-ERP_i)*AE337*Ramure*Pc/MaxiM</f>
        <v>5.0635001707745554E-3</v>
      </c>
      <c r="AE337" s="305">
        <f t="shared" si="142"/>
        <v>0.7</v>
      </c>
      <c r="AF337" s="177">
        <f t="shared" si="143"/>
        <v>0.99956063403569573</v>
      </c>
      <c r="AG337" s="919">
        <f t="shared" si="149"/>
        <v>0</v>
      </c>
      <c r="AH337" s="176">
        <f t="shared" si="144"/>
        <v>6</v>
      </c>
      <c r="AI337" s="225">
        <f t="shared" si="145"/>
        <v>0.99956063403569573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1090">
        <f>IF(t&gt;Tmaj,'2022'!Wh/'2022'!Env_an*'2023'!Env_an,0.001*'[13]mon-tableau (3)'!$B$56)</f>
        <v>17.92752426598447</v>
      </c>
      <c r="C338" s="953"/>
      <c r="D338" s="393">
        <f t="shared" si="127"/>
        <v>18.733177179332341</v>
      </c>
      <c r="E338" s="385">
        <f t="shared" si="125"/>
        <v>19.396185698495927</v>
      </c>
      <c r="F338" s="385">
        <f t="shared" si="128"/>
        <v>19.443924486940954</v>
      </c>
      <c r="G338" s="110">
        <f t="shared" si="126"/>
        <v>0.62182156978133607</v>
      </c>
      <c r="H338" s="412" t="b">
        <f>Wh_hp&gt;='2022'!Maxi_hp</f>
        <v>0</v>
      </c>
      <c r="I338" s="390">
        <f>IF(H338,Wh_hp,'2022'!Maxi_hp)</f>
        <v>31.724603682982458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4.3006741762775857E-2</v>
      </c>
      <c r="M338" s="957"/>
      <c r="N338" s="957"/>
      <c r="O338" s="48">
        <f>IF(t&lt;Tnet,'2022'!Resal+('2022'!Salim-'2022'!Resal)*(1-EXP(('2022'!Tnet-t)/('2022'!Tau_j))),Resal+(Salim-Resal)*(1-EXP((Tnet-t)/(Tau_j))))*Salcycl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5.3108971524843023E-3</v>
      </c>
      <c r="Q338" s="305">
        <f t="shared" si="130"/>
        <v>0.7</v>
      </c>
      <c r="R338" s="177">
        <f t="shared" si="131"/>
        <v>0.99958646854563482</v>
      </c>
      <c r="S338" s="919">
        <f t="shared" si="132"/>
        <v>0</v>
      </c>
      <c r="T338" s="176">
        <f t="shared" si="133"/>
        <v>6</v>
      </c>
      <c r="U338" s="251">
        <f t="shared" si="134"/>
        <v>0.99958646854563482</v>
      </c>
      <c r="V338" s="383">
        <f t="shared" si="135"/>
        <v>28.748122628595461</v>
      </c>
      <c r="W338" s="402">
        <f t="shared" si="136"/>
        <v>17.92752426598447</v>
      </c>
      <c r="X338" s="157">
        <f t="shared" si="137"/>
        <v>45250</v>
      </c>
      <c r="Y338" s="385">
        <f t="shared" si="138"/>
        <v>16.360751985992586</v>
      </c>
      <c r="Z338" s="385">
        <f t="shared" si="139"/>
        <v>17.095995029399678</v>
      </c>
      <c r="AA338" s="386">
        <f t="shared" si="140"/>
        <v>19.396185698495927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0.11858984569706496</v>
      </c>
      <c r="AD338" s="231">
        <f>(INDEX(Models!$BJ338:$BT338,,AH338)*(1-AF338)+INDEX(Models!$BJ338:$BT338,,AH338+1)*AF338-ERP_i)*AE338*Ramure*Pc/MaxiM</f>
        <v>5.3108971524843023E-3</v>
      </c>
      <c r="AE338" s="305">
        <f t="shared" si="142"/>
        <v>0.7</v>
      </c>
      <c r="AF338" s="177">
        <f t="shared" si="143"/>
        <v>0.99958646854563482</v>
      </c>
      <c r="AG338" s="919">
        <f t="shared" si="149"/>
        <v>0</v>
      </c>
      <c r="AH338" s="176">
        <f t="shared" si="144"/>
        <v>6</v>
      </c>
      <c r="AI338" s="225">
        <f t="shared" si="145"/>
        <v>0.99958646854563482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1090">
        <f>IF(t&gt;Tmaj,'2022'!Wh/'2022'!Env_an*'2023'!Env_an,0.001*'[13]mon-tableau (3)'!$B$57)</f>
        <v>3.5776212932120921</v>
      </c>
      <c r="C339" s="953"/>
      <c r="D339" s="393">
        <f t="shared" si="127"/>
        <v>3.7384794754004229</v>
      </c>
      <c r="E339" s="385">
        <f t="shared" si="125"/>
        <v>3.871177012576843</v>
      </c>
      <c r="F339" s="385">
        <f t="shared" si="128"/>
        <v>3.871177012576843</v>
      </c>
      <c r="G339" s="110">
        <f t="shared" si="126"/>
        <v>0.1248789782724936</v>
      </c>
      <c r="H339" s="412" t="b">
        <f>Wh_hp&gt;='2022'!Maxi_hp</f>
        <v>0</v>
      </c>
      <c r="I339" s="390">
        <f>IF(H339,Wh_hp,'2022'!Maxi_hp)</f>
        <v>30.885830486283265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4.3027702371189691E-2</v>
      </c>
      <c r="M339" s="957"/>
      <c r="N339" s="957"/>
      <c r="O339" s="48">
        <f>IF(t&lt;Tnet,'2022'!Resal+('2022'!Salim-'2022'!Resal)*(1-EXP(('2022'!Tnet-t)/('2022'!Tau_j))),Resal+(Salim-Resal)*(1-EXP((Tnet-t)/(Tau_j))))*Salcycl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5.5471956637500857E-3</v>
      </c>
      <c r="Q339" s="305">
        <f t="shared" si="130"/>
        <v>0.7</v>
      </c>
      <c r="R339" s="177">
        <f t="shared" si="131"/>
        <v>0.99961126539281997</v>
      </c>
      <c r="S339" s="919">
        <f t="shared" si="132"/>
        <v>0</v>
      </c>
      <c r="T339" s="176">
        <f t="shared" si="133"/>
        <v>6</v>
      </c>
      <c r="U339" s="251">
        <f t="shared" si="134"/>
        <v>0.99961126539281997</v>
      </c>
      <c r="V339" s="383">
        <f t="shared" si="135"/>
        <v>28.489787289295094</v>
      </c>
      <c r="W339" s="402">
        <f t="shared" si="136"/>
        <v>3.5776212932120921</v>
      </c>
      <c r="X339" s="157">
        <f t="shared" si="137"/>
        <v>45251</v>
      </c>
      <c r="Y339" s="385">
        <f t="shared" si="138"/>
        <v>3.2654270764362701</v>
      </c>
      <c r="Z339" s="385">
        <f t="shared" si="139"/>
        <v>3.412248279837732</v>
      </c>
      <c r="AA339" s="386">
        <f t="shared" si="140"/>
        <v>3.871177012576843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0.11855018028060303</v>
      </c>
      <c r="AD339" s="231">
        <f>(INDEX(Models!$BJ339:$BT339,,AH339)*(1-AF339)+INDEX(Models!$BJ339:$BT339,,AH339+1)*AF339-ERP_i)*AE339*Ramure*Pc/MaxiM</f>
        <v>5.5471956637500857E-3</v>
      </c>
      <c r="AE339" s="305">
        <f t="shared" si="142"/>
        <v>0.7</v>
      </c>
      <c r="AF339" s="177">
        <f t="shared" si="143"/>
        <v>0.99961126539281997</v>
      </c>
      <c r="AG339" s="919">
        <f t="shared" si="149"/>
        <v>0</v>
      </c>
      <c r="AH339" s="176">
        <f t="shared" si="144"/>
        <v>6</v>
      </c>
      <c r="AI339" s="225">
        <f t="shared" si="145"/>
        <v>0.99961126539281997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1090">
        <f>IF(t&gt;Tmaj,'2022'!Wh/'2022'!Env_an*'2023'!Env_an,0.001*'[13]mon-tableau (3)'!$B$58)</f>
        <v>7.9239405829247991</v>
      </c>
      <c r="C340" s="953"/>
      <c r="D340" s="393">
        <f t="shared" si="127"/>
        <v>8.2804007608115704</v>
      </c>
      <c r="E340" s="385">
        <f t="shared" si="125"/>
        <v>8.5751687511225736</v>
      </c>
      <c r="F340" s="385">
        <f t="shared" si="128"/>
        <v>8.5751687511225736</v>
      </c>
      <c r="G340" s="110">
        <f t="shared" si="126"/>
        <v>0.27899932649182618</v>
      </c>
      <c r="H340" s="412" t="b">
        <f>Wh_hp&gt;='2022'!Maxi_hp</f>
        <v>0</v>
      </c>
      <c r="I340" s="390">
        <f>IF(H340,Wh_hp,'2022'!Maxi_hp)</f>
        <v>31.571381737013635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4.3048662520512426E-2</v>
      </c>
      <c r="M340" s="957"/>
      <c r="N340" s="957"/>
      <c r="O340" s="48">
        <f>IF(t&lt;Tnet,'2022'!Resal+('2022'!Salim-'2022'!Resal)*(1-EXP(('2022'!Tnet-t)/('2022'!Tau_j))),Resal+(Salim-Resal)*(1-EXP((Tnet-t)/(Tau_j))))*Salcycl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5.7722707512262326E-3</v>
      </c>
      <c r="Q340" s="305">
        <f t="shared" si="130"/>
        <v>0.7</v>
      </c>
      <c r="R340" s="177">
        <f t="shared" si="131"/>
        <v>0.99963506615888853</v>
      </c>
      <c r="S340" s="919">
        <f t="shared" si="132"/>
        <v>0</v>
      </c>
      <c r="T340" s="176">
        <f t="shared" si="133"/>
        <v>6</v>
      </c>
      <c r="U340" s="251">
        <f t="shared" si="134"/>
        <v>0.99963506615888853</v>
      </c>
      <c r="V340" s="383">
        <f t="shared" si="135"/>
        <v>28.237349356806902</v>
      </c>
      <c r="W340" s="402">
        <f t="shared" si="136"/>
        <v>7.9239405829247991</v>
      </c>
      <c r="X340" s="157">
        <f t="shared" si="137"/>
        <v>45252</v>
      </c>
      <c r="Y340" s="385">
        <f t="shared" si="138"/>
        <v>7.233503816816973</v>
      </c>
      <c r="Z340" s="385">
        <f t="shared" si="139"/>
        <v>7.5589045477163825</v>
      </c>
      <c r="AA340" s="386">
        <f t="shared" si="140"/>
        <v>8.5751687511225736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0.11851244364994591</v>
      </c>
      <c r="AD340" s="231">
        <f>(INDEX(Models!$BJ340:$BT340,,AH340)*(1-AF340)+INDEX(Models!$BJ340:$BT340,,AH340+1)*AF340-ERP_i)*AE340*Ramure*Pc/MaxiM</f>
        <v>5.7722707512262326E-3</v>
      </c>
      <c r="AE340" s="305">
        <f t="shared" si="142"/>
        <v>0.7</v>
      </c>
      <c r="AF340" s="177">
        <f t="shared" si="143"/>
        <v>0.99963506615888853</v>
      </c>
      <c r="AG340" s="919">
        <f t="shared" si="149"/>
        <v>0</v>
      </c>
      <c r="AH340" s="176">
        <f t="shared" si="144"/>
        <v>6</v>
      </c>
      <c r="AI340" s="225">
        <f t="shared" si="145"/>
        <v>0.99963506615888853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1090">
        <f>IF(t&gt;Tmaj,'2022'!Wh/'2022'!Env_an*'2023'!Env_an,0.001*'[13]mon-tableau (3)'!$B$59)</f>
        <v>12.292949017236756</v>
      </c>
      <c r="C341" s="953"/>
      <c r="D341" s="393">
        <f t="shared" si="127"/>
        <v>12.846231348237284</v>
      </c>
      <c r="E341" s="385">
        <f t="shared" si="125"/>
        <v>13.30486608926828</v>
      </c>
      <c r="F341" s="385">
        <f t="shared" si="128"/>
        <v>13.320719182560515</v>
      </c>
      <c r="G341" s="110">
        <f t="shared" si="126"/>
        <v>0.43706328858817395</v>
      </c>
      <c r="H341" s="412" t="b">
        <f>Wh_hp&gt;='2022'!Maxi_hp</f>
        <v>0</v>
      </c>
      <c r="I341" s="390">
        <f>IF(H341,Wh_hp,'2022'!Maxi_hp)</f>
        <v>31.553325364511156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4.3069622210754166E-2</v>
      </c>
      <c r="M341" s="957"/>
      <c r="N341" s="957"/>
      <c r="O341" s="48">
        <f>IF(t&lt;Tnet,'2022'!Resal+('2022'!Salim-'2022'!Resal)*(1-EXP(('2022'!Tnet-t)/('2022'!Tau_j))),Resal+(Salim-Resal)*(1-EXP((Tnet-t)/(Tau_j))))*Salcycl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5.9859423743995957E-3</v>
      </c>
      <c r="Q341" s="305">
        <f t="shared" si="130"/>
        <v>0.7</v>
      </c>
      <c r="R341" s="177">
        <f t="shared" si="131"/>
        <v>0.99965791076683819</v>
      </c>
      <c r="S341" s="919">
        <f t="shared" si="132"/>
        <v>0</v>
      </c>
      <c r="T341" s="176">
        <f t="shared" si="133"/>
        <v>6</v>
      </c>
      <c r="U341" s="251">
        <f t="shared" si="134"/>
        <v>0.99965791076683819</v>
      </c>
      <c r="V341" s="383">
        <f t="shared" si="135"/>
        <v>27.991195192490764</v>
      </c>
      <c r="W341" s="402">
        <f t="shared" si="136"/>
        <v>12.292949017236756</v>
      </c>
      <c r="X341" s="157">
        <f t="shared" si="137"/>
        <v>45253</v>
      </c>
      <c r="Y341" s="385">
        <f t="shared" si="138"/>
        <v>11.223405488142404</v>
      </c>
      <c r="Z341" s="385">
        <f t="shared" si="139"/>
        <v>11.728549692477467</v>
      </c>
      <c r="AA341" s="386">
        <f t="shared" si="140"/>
        <v>13.30486608926828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0.11847668260729605</v>
      </c>
      <c r="AD341" s="231">
        <f>(INDEX(Models!$BJ341:$BT341,,AH341)*(1-AF341)+INDEX(Models!$BJ341:$BT341,,AH341+1)*AF341-ERP_i)*AE341*Ramure*Pc/MaxiM</f>
        <v>5.9859423743995957E-3</v>
      </c>
      <c r="AE341" s="305">
        <f t="shared" si="142"/>
        <v>0.7</v>
      </c>
      <c r="AF341" s="177">
        <f t="shared" si="143"/>
        <v>0.99965791076683819</v>
      </c>
      <c r="AG341" s="919">
        <f t="shared" si="149"/>
        <v>0</v>
      </c>
      <c r="AH341" s="176">
        <f t="shared" si="144"/>
        <v>6</v>
      </c>
      <c r="AI341" s="225">
        <f t="shared" si="145"/>
        <v>0.99965791076683819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1090">
        <f>IF(t&gt;Tmaj,'2022'!Wh/'2022'!Env_an*'2023'!Env_an,0.001*'[13]mon-tableau (3)'!$B$60)</f>
        <v>14.518588792396683</v>
      </c>
      <c r="C342" s="953"/>
      <c r="D342" s="393">
        <f t="shared" si="127"/>
        <v>15.172375264394519</v>
      </c>
      <c r="E342" s="385">
        <f t="shared" si="125"/>
        <v>15.715636081640373</v>
      </c>
      <c r="F342" s="385">
        <f t="shared" si="128"/>
        <v>15.746700323364921</v>
      </c>
      <c r="G342" s="110">
        <f t="shared" si="126"/>
        <v>0.52095050610633753</v>
      </c>
      <c r="H342" s="412" t="b">
        <f>Wh_hp&gt;='2022'!Maxi_hp</f>
        <v>0</v>
      </c>
      <c r="I342" s="390">
        <f>IF(H342,Wh_hp,'2022'!Maxi_hp)</f>
        <v>29.21125181785667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4.3090581441924791E-2</v>
      </c>
      <c r="M342" s="957"/>
      <c r="N342" s="957"/>
      <c r="O342" s="48">
        <f>IF(t&lt;Tnet,'2022'!Resal+('2022'!Salim-'2022'!Resal)*(1-EXP(('2022'!Tnet-t)/('2022'!Tau_j))),Resal+(Salim-Resal)*(1-EXP((Tnet-t)/(Tau_j))))*Salcycl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6.1880329661781917E-3</v>
      </c>
      <c r="Q342" s="305">
        <f t="shared" si="130"/>
        <v>0.7</v>
      </c>
      <c r="R342" s="177">
        <f t="shared" si="131"/>
        <v>0.99967983754658629</v>
      </c>
      <c r="S342" s="919">
        <f t="shared" si="132"/>
        <v>0</v>
      </c>
      <c r="T342" s="176">
        <f t="shared" si="133"/>
        <v>6</v>
      </c>
      <c r="U342" s="251">
        <f t="shared" si="134"/>
        <v>0.99967983754658629</v>
      </c>
      <c r="V342" s="383">
        <f t="shared" si="135"/>
        <v>27.751710835506383</v>
      </c>
      <c r="W342" s="402">
        <f t="shared" si="136"/>
        <v>14.518588792396683</v>
      </c>
      <c r="X342" s="157">
        <f t="shared" si="137"/>
        <v>45254</v>
      </c>
      <c r="Y342" s="385">
        <f t="shared" si="138"/>
        <v>13.257243169899247</v>
      </c>
      <c r="Z342" s="385">
        <f t="shared" si="139"/>
        <v>13.854229995850606</v>
      </c>
      <c r="AA342" s="386">
        <f t="shared" si="140"/>
        <v>15.715636081640373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0.1184429364564082</v>
      </c>
      <c r="AD342" s="231">
        <f>(INDEX(Models!$BJ342:$BT342,,AH342)*(1-AF342)+INDEX(Models!$BJ342:$BT342,,AH342+1)*AF342-ERP_i)*AE342*Ramure*Pc/MaxiM</f>
        <v>6.1880329661781917E-3</v>
      </c>
      <c r="AE342" s="305">
        <f t="shared" si="142"/>
        <v>0.7</v>
      </c>
      <c r="AF342" s="177">
        <f t="shared" si="143"/>
        <v>0.99967983754658629</v>
      </c>
      <c r="AG342" s="919">
        <f t="shared" si="149"/>
        <v>0</v>
      </c>
      <c r="AH342" s="176">
        <f t="shared" si="144"/>
        <v>6</v>
      </c>
      <c r="AI342" s="225">
        <f t="shared" si="145"/>
        <v>0.99967983754658629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1090">
        <f>IF(t&gt;Tmaj,'2022'!Wh/'2022'!Env_an*'2023'!Env_an,0.001*'[13]mon-tableau (3)'!$B$61)</f>
        <v>4.4649776874711042</v>
      </c>
      <c r="C343" s="953"/>
      <c r="D343" s="393">
        <f t="shared" si="127"/>
        <v>4.6661422674799731</v>
      </c>
      <c r="E343" s="385">
        <f t="shared" si="125"/>
        <v>4.8337051828925492</v>
      </c>
      <c r="F343" s="385">
        <f t="shared" si="128"/>
        <v>4.8337051828925492</v>
      </c>
      <c r="G343" s="110">
        <f t="shared" si="126"/>
        <v>0.16121417732104557</v>
      </c>
      <c r="H343" s="412" t="b">
        <f>Wh_hp&gt;='2022'!Maxi_hp</f>
        <v>0</v>
      </c>
      <c r="I343" s="390">
        <f>IF(H343,Wh_hp,'2022'!Maxi_hp)</f>
        <v>27.276647569608237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4.3111540214034516E-2</v>
      </c>
      <c r="M343" s="957"/>
      <c r="N343" s="957"/>
      <c r="O343" s="48">
        <f>IF(t&lt;Tnet,'2022'!Resal+('2022'!Salim-'2022'!Resal)*(1-EXP(('2022'!Tnet-t)/('2022'!Tau_j))),Resal+(Salim-Resal)*(1-EXP((Tnet-t)/(Tau_j))))*Salcycl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6.3783782792734781E-3</v>
      </c>
      <c r="Q343" s="305">
        <f t="shared" si="130"/>
        <v>0.7</v>
      </c>
      <c r="R343" s="177">
        <f t="shared" si="131"/>
        <v>0.99970088329798357</v>
      </c>
      <c r="S343" s="919">
        <f t="shared" si="132"/>
        <v>0</v>
      </c>
      <c r="T343" s="176">
        <f t="shared" si="133"/>
        <v>6</v>
      </c>
      <c r="U343" s="251">
        <f t="shared" si="134"/>
        <v>0.99970088329798357</v>
      </c>
      <c r="V343" s="383">
        <f t="shared" si="135"/>
        <v>27.519281768482148</v>
      </c>
      <c r="W343" s="402">
        <f t="shared" si="136"/>
        <v>4.4649776874711042</v>
      </c>
      <c r="X343" s="157">
        <f t="shared" si="137"/>
        <v>45255</v>
      </c>
      <c r="Y343" s="385">
        <f t="shared" si="138"/>
        <v>4.0776272349844707</v>
      </c>
      <c r="Z343" s="385">
        <f t="shared" si="139"/>
        <v>4.261340173228283</v>
      </c>
      <c r="AA343" s="386">
        <f t="shared" si="140"/>
        <v>4.8337051828925492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0.11841123693062226</v>
      </c>
      <c r="AD343" s="231">
        <f>(INDEX(Models!$BJ343:$BT343,,AH343)*(1-AF343)+INDEX(Models!$BJ343:$BT343,,AH343+1)*AF343-ERP_i)*AE343*Ramure*Pc/MaxiM</f>
        <v>6.3783782792734781E-3</v>
      </c>
      <c r="AE343" s="305">
        <f t="shared" si="142"/>
        <v>0.7</v>
      </c>
      <c r="AF343" s="177">
        <f t="shared" si="143"/>
        <v>0.99970088329798357</v>
      </c>
      <c r="AG343" s="919">
        <f t="shared" si="149"/>
        <v>0</v>
      </c>
      <c r="AH343" s="176">
        <f t="shared" si="144"/>
        <v>6</v>
      </c>
      <c r="AI343" s="225">
        <f t="shared" si="145"/>
        <v>0.99970088329798357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1090">
        <f>IF(t&gt;Tmaj,'2022'!Wh/'2022'!Env_an*'2023'!Env_an,0.001*'[13]mon-tableau (3)'!$B$62)</f>
        <v>13.848635636369519</v>
      </c>
      <c r="C344" s="953"/>
      <c r="D344" s="393">
        <f t="shared" si="127"/>
        <v>14.472887432222649</v>
      </c>
      <c r="E344" s="385">
        <f t="shared" si="125"/>
        <v>14.994132450509385</v>
      </c>
      <c r="F344" s="385">
        <f t="shared" si="128"/>
        <v>15.023315511193106</v>
      </c>
      <c r="G344" s="110">
        <f t="shared" si="126"/>
        <v>0.50503632338150373</v>
      </c>
      <c r="H344" s="412" t="b">
        <f>Wh_hp&gt;='2022'!Maxi_hp</f>
        <v>0</v>
      </c>
      <c r="I344" s="390">
        <f>IF(H344,Wh_hp,'2022'!Maxi_hp)</f>
        <v>27.777098112719983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4.3132498527093333E-2</v>
      </c>
      <c r="M344" s="957"/>
      <c r="N344" s="957"/>
      <c r="O344" s="48">
        <f>IF(t&lt;Tnet,'2022'!Resal+('2022'!Salim-'2022'!Resal)*(1-EXP(('2022'!Tnet-t)/('2022'!Tau_j))),Resal+(Salim-Resal)*(1-EXP((Tnet-t)/(Tau_j))))*Salcycl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6.556798792972455E-3</v>
      </c>
      <c r="Q344" s="305">
        <f t="shared" si="130"/>
        <v>0.7</v>
      </c>
      <c r="R344" s="177">
        <f t="shared" si="131"/>
        <v>0.99972108335138188</v>
      </c>
      <c r="S344" s="919">
        <f t="shared" si="132"/>
        <v>0</v>
      </c>
      <c r="T344" s="176">
        <f t="shared" si="133"/>
        <v>6</v>
      </c>
      <c r="U344" s="251">
        <f t="shared" si="134"/>
        <v>0.99972108335138188</v>
      </c>
      <c r="V344" s="383">
        <f t="shared" si="135"/>
        <v>27.29429376316153</v>
      </c>
      <c r="W344" s="402">
        <f t="shared" si="136"/>
        <v>13.848635636369519</v>
      </c>
      <c r="X344" s="157">
        <f t="shared" si="137"/>
        <v>45256</v>
      </c>
      <c r="Y344" s="385">
        <f t="shared" si="138"/>
        <v>12.648929999941457</v>
      </c>
      <c r="Z344" s="385">
        <f t="shared" si="139"/>
        <v>13.219102937941724</v>
      </c>
      <c r="AA344" s="386">
        <f t="shared" si="140"/>
        <v>14.994132450509385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0.11838160816749084</v>
      </c>
      <c r="AD344" s="231">
        <f>(INDEX(Models!$BJ344:$BT344,,AH344)*(1-AF344)+INDEX(Models!$BJ344:$BT344,,AH344+1)*AF344-ERP_i)*AE344*Ramure*Pc/MaxiM</f>
        <v>6.556798792972455E-3</v>
      </c>
      <c r="AE344" s="305">
        <f t="shared" si="142"/>
        <v>0.7</v>
      </c>
      <c r="AF344" s="177">
        <f t="shared" si="143"/>
        <v>0.99972108335138188</v>
      </c>
      <c r="AG344" s="919">
        <f t="shared" si="149"/>
        <v>0</v>
      </c>
      <c r="AH344" s="176">
        <f t="shared" si="144"/>
        <v>6</v>
      </c>
      <c r="AI344" s="225">
        <f t="shared" si="145"/>
        <v>0.99972108335138188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1090">
        <f>IF(t&gt;Tmaj,'2022'!Wh/'2022'!Env_an*'2023'!Env_an,0.001*'[13]mon-tableau (3)'!$B$63)</f>
        <v>14.74915967972251</v>
      </c>
      <c r="C345" s="953"/>
      <c r="D345" s="393">
        <f t="shared" si="127"/>
        <v>15.414341806513427</v>
      </c>
      <c r="E345" s="385">
        <f t="shared" si="125"/>
        <v>15.971117558553232</v>
      </c>
      <c r="F345" s="385">
        <f t="shared" si="128"/>
        <v>16.008763647111667</v>
      </c>
      <c r="G345" s="110">
        <f t="shared" si="126"/>
        <v>0.54241492403972358</v>
      </c>
      <c r="H345" s="412" t="b">
        <f>Wh_hp&gt;='2022'!Maxi_hp</f>
        <v>0</v>
      </c>
      <c r="I345" s="390">
        <f>IF(H345,Wh_hp,'2022'!Maxi_hp)</f>
        <v>27.662208875171967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4.3153456381111233E-2</v>
      </c>
      <c r="M345" s="957"/>
      <c r="N345" s="957"/>
      <c r="O345" s="48">
        <f>IF(t&lt;Tnet,'2022'!Resal+('2022'!Salim-'2022'!Resal)*(1-EXP(('2022'!Tnet-t)/('2022'!Tau_j))),Resal+(Salim-Resal)*(1-EXP((Tnet-t)/(Tau_j))))*Salcycl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6.7242487525644304E-3</v>
      </c>
      <c r="Q345" s="305">
        <f t="shared" si="130"/>
        <v>0.7</v>
      </c>
      <c r="R345" s="177">
        <f t="shared" si="131"/>
        <v>0.99974047162584245</v>
      </c>
      <c r="S345" s="919">
        <f t="shared" si="132"/>
        <v>0</v>
      </c>
      <c r="T345" s="176">
        <f t="shared" si="133"/>
        <v>6</v>
      </c>
      <c r="U345" s="251">
        <f t="shared" si="134"/>
        <v>0.99974047162584245</v>
      </c>
      <c r="V345" s="383">
        <f t="shared" si="135"/>
        <v>27.07247534108933</v>
      </c>
      <c r="W345" s="402">
        <f t="shared" si="136"/>
        <v>14.74915967972251</v>
      </c>
      <c r="X345" s="157">
        <f t="shared" si="137"/>
        <v>45257</v>
      </c>
      <c r="Y345" s="385">
        <f t="shared" si="138"/>
        <v>13.473232599448094</v>
      </c>
      <c r="Z345" s="385">
        <f t="shared" si="139"/>
        <v>14.080870845277852</v>
      </c>
      <c r="AA345" s="386">
        <f t="shared" si="140"/>
        <v>15.971117558553233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0.11835406672985582</v>
      </c>
      <c r="AD345" s="231">
        <f>(INDEX(Models!$BJ345:$BT345,,AH345)*(1-AF345)+INDEX(Models!$BJ345:$BT345,,AH345+1)*AF345-ERP_i)*AE345*Ramure*Pc/MaxiM</f>
        <v>6.7242487525644304E-3</v>
      </c>
      <c r="AE345" s="305">
        <f t="shared" si="142"/>
        <v>0.7</v>
      </c>
      <c r="AF345" s="177">
        <f t="shared" si="143"/>
        <v>0.99974047162584245</v>
      </c>
      <c r="AG345" s="919">
        <f t="shared" si="149"/>
        <v>0</v>
      </c>
      <c r="AH345" s="176">
        <f t="shared" si="144"/>
        <v>6</v>
      </c>
      <c r="AI345" s="225">
        <f t="shared" si="145"/>
        <v>0.99974047162584245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1090">
        <f>IF(t&gt;Tmaj,'2022'!Wh/'2022'!Env_an*'2023'!Env_an,0.001*'[13]mon-tableau (3)'!$B$64)</f>
        <v>9.5205372282958454</v>
      </c>
      <c r="C346" s="953"/>
      <c r="D346" s="393">
        <f t="shared" si="127"/>
        <v>9.950128179440215</v>
      </c>
      <c r="E346" s="385">
        <f t="shared" si="125"/>
        <v>10.310586024016523</v>
      </c>
      <c r="F346" s="385">
        <f t="shared" si="128"/>
        <v>10.316113196545421</v>
      </c>
      <c r="G346" s="110">
        <f t="shared" si="126"/>
        <v>0.35232556874796028</v>
      </c>
      <c r="H346" s="412" t="b">
        <f>Wh_hp&gt;='2022'!Maxi_hp</f>
        <v>0</v>
      </c>
      <c r="I346" s="390">
        <f>IF(H346,Wh_hp,'2022'!Maxi_hp)</f>
        <v>20.343286490073936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4.317441377609843E-2</v>
      </c>
      <c r="M346" s="957"/>
      <c r="N346" s="957"/>
      <c r="O346" s="48">
        <f>IF(t&lt;Tnet,'2022'!Resal+('2022'!Salim-'2022'!Resal)*(1-EXP(('2022'!Tnet-t)/('2022'!Tau_j))),Resal+(Salim-Resal)*(1-EXP((Tnet-t)/(Tau_j))))*Salcycl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6.872311572827779E-3</v>
      </c>
      <c r="Q346" s="305">
        <f t="shared" si="130"/>
        <v>0.7</v>
      </c>
      <c r="R346" s="177">
        <f t="shared" si="131"/>
        <v>0.99975908068507724</v>
      </c>
      <c r="S346" s="919">
        <f t="shared" si="132"/>
        <v>0</v>
      </c>
      <c r="T346" s="176">
        <f t="shared" si="133"/>
        <v>6</v>
      </c>
      <c r="U346" s="251">
        <f t="shared" si="134"/>
        <v>0.99975908068507724</v>
      </c>
      <c r="V346" s="383">
        <f t="shared" si="135"/>
        <v>26.850670369186506</v>
      </c>
      <c r="W346" s="402">
        <f t="shared" si="136"/>
        <v>9.5205372282958454</v>
      </c>
      <c r="X346" s="157">
        <f t="shared" si="137"/>
        <v>45258</v>
      </c>
      <c r="Y346" s="385">
        <f t="shared" si="138"/>
        <v>8.6980694848288884</v>
      </c>
      <c r="Z346" s="385">
        <f t="shared" si="139"/>
        <v>9.0905485911551498</v>
      </c>
      <c r="AA346" s="386">
        <f t="shared" si="140"/>
        <v>10.310586024016523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0.11832862167286423</v>
      </c>
      <c r="AD346" s="231">
        <f>(INDEX(Models!$BJ346:$BT346,,AH346)*(1-AF346)+INDEX(Models!$BJ346:$BT346,,AH346+1)*AF346-ERP_i)*AE346*Ramure*Pc/MaxiM</f>
        <v>6.872311572827779E-3</v>
      </c>
      <c r="AE346" s="305">
        <f t="shared" si="142"/>
        <v>0.7</v>
      </c>
      <c r="AF346" s="177">
        <f t="shared" si="143"/>
        <v>0.99975908068507724</v>
      </c>
      <c r="AG346" s="919">
        <f t="shared" si="149"/>
        <v>0</v>
      </c>
      <c r="AH346" s="176">
        <f t="shared" si="144"/>
        <v>6</v>
      </c>
      <c r="AI346" s="225">
        <f t="shared" si="145"/>
        <v>0.99975908068507724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1090">
        <f>IF(t&gt;Tmaj,'2022'!Wh/'2022'!Env_an*'2023'!Env_an,0.001*'[13]mon-tableau (3)'!$B$65)</f>
        <v>13.394308367646243</v>
      </c>
      <c r="C347" s="953"/>
      <c r="D347" s="393">
        <f t="shared" si="127"/>
        <v>13.999000378598126</v>
      </c>
      <c r="E347" s="385">
        <f t="shared" si="125"/>
        <v>14.507622507761194</v>
      </c>
      <c r="F347" s="385">
        <f t="shared" si="128"/>
        <v>14.537148953095143</v>
      </c>
      <c r="G347" s="110">
        <f t="shared" si="126"/>
        <v>0.50046308402556539</v>
      </c>
      <c r="H347" s="412" t="b">
        <f>Wh_hp&gt;='2022'!Maxi_hp</f>
        <v>0</v>
      </c>
      <c r="I347" s="390">
        <f>IF(H347,Wh_hp,'2022'!Maxi_hp)</f>
        <v>29.549892661364552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4.3195370712064918E-2</v>
      </c>
      <c r="M347" s="957"/>
      <c r="N347" s="957"/>
      <c r="O347" s="48">
        <f>IF(t&lt;Tnet,'2022'!Resal+('2022'!Salim-'2022'!Resal)*(1-EXP(('2022'!Tnet-t)/('2022'!Tau_j))),Resal+(Salim-Resal)*(1-EXP((Tnet-t)/(Tau_j))))*Salcycl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7.0048445879226651E-3</v>
      </c>
      <c r="Q347" s="305">
        <f t="shared" si="130"/>
        <v>0.7</v>
      </c>
      <c r="R347" s="177">
        <f t="shared" si="131"/>
        <v>0.99977694179120635</v>
      </c>
      <c r="S347" s="919">
        <f t="shared" si="132"/>
        <v>0</v>
      </c>
      <c r="T347" s="176">
        <f t="shared" si="133"/>
        <v>6</v>
      </c>
      <c r="U347" s="251">
        <f t="shared" si="134"/>
        <v>0.99977694179120635</v>
      </c>
      <c r="V347" s="383">
        <f t="shared" si="135"/>
        <v>26.630441636885873</v>
      </c>
      <c r="W347" s="402">
        <f t="shared" si="136"/>
        <v>13.394308367646243</v>
      </c>
      <c r="X347" s="157">
        <f t="shared" si="137"/>
        <v>45259</v>
      </c>
      <c r="Y347" s="385">
        <f t="shared" si="138"/>
        <v>12.238769545687724</v>
      </c>
      <c r="Z347" s="385">
        <f t="shared" si="139"/>
        <v>12.791294242374178</v>
      </c>
      <c r="AA347" s="386">
        <f t="shared" si="140"/>
        <v>14.507622507761194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0.11830527465605241</v>
      </c>
      <c r="AD347" s="231">
        <f>(INDEX(Models!$BJ347:$BT347,,AH347)*(1-AF347)+INDEX(Models!$BJ347:$BT347,,AH347+1)*AF347-ERP_i)*AE347*Ramure*Pc/MaxiM</f>
        <v>7.0048445879226651E-3</v>
      </c>
      <c r="AE347" s="305">
        <f t="shared" si="142"/>
        <v>0.7</v>
      </c>
      <c r="AF347" s="177">
        <f t="shared" si="143"/>
        <v>0.99977694179120635</v>
      </c>
      <c r="AG347" s="919">
        <f t="shared" si="149"/>
        <v>0</v>
      </c>
      <c r="AH347" s="176">
        <f t="shared" si="144"/>
        <v>6</v>
      </c>
      <c r="AI347" s="225">
        <f t="shared" si="145"/>
        <v>0.99977694179120635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1090">
        <f>IF(t&gt;Tmaj,'2022'!Wh/'2022'!Env_an*'2023'!Env_an,0.001*'[13]mon-tableau (3)'!$B$66)</f>
        <v>4.3562979833103608</v>
      </c>
      <c r="C348" s="953"/>
      <c r="D348" s="393">
        <f t="shared" si="127"/>
        <v>4.5530647178706447</v>
      </c>
      <c r="E348" s="385">
        <f t="shared" si="125"/>
        <v>4.7189762002775106</v>
      </c>
      <c r="F348" s="385">
        <f t="shared" si="128"/>
        <v>4.7189762002775106</v>
      </c>
      <c r="G348" s="110">
        <f t="shared" si="126"/>
        <v>0.16375263599103421</v>
      </c>
      <c r="H348" s="412" t="b">
        <f>Wh_hp&gt;='2022'!Maxi_hp</f>
        <v>0</v>
      </c>
      <c r="I348" s="390">
        <f>IF(H348,Wh_hp,'2022'!Maxi_hp)</f>
        <v>27.333508248606524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4.3216327189020687E-2</v>
      </c>
      <c r="M348" s="957"/>
      <c r="N348" s="957"/>
      <c r="O348" s="48">
        <f>IF(t&lt;Tnet,'2022'!Resal+('2022'!Salim-'2022'!Resal)*(1-EXP(('2022'!Tnet-t)/('2022'!Tau_j))),Resal+(Salim-Resal)*(1-EXP((Tnet-t)/(Tau_j))))*Salcycl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7.121345499468106E-3</v>
      </c>
      <c r="Q348" s="305">
        <f t="shared" si="130"/>
        <v>0.7</v>
      </c>
      <c r="R348" s="177">
        <f t="shared" si="131"/>
        <v>0.99979408495641553</v>
      </c>
      <c r="S348" s="919">
        <f t="shared" si="132"/>
        <v>0</v>
      </c>
      <c r="T348" s="176">
        <f t="shared" si="133"/>
        <v>6</v>
      </c>
      <c r="U348" s="251">
        <f t="shared" si="134"/>
        <v>0.99979408495641553</v>
      </c>
      <c r="V348" s="383">
        <f t="shared" si="135"/>
        <v>26.413469646432983</v>
      </c>
      <c r="W348" s="402">
        <f t="shared" si="136"/>
        <v>4.3562979833103608</v>
      </c>
      <c r="X348" s="157">
        <f t="shared" si="137"/>
        <v>45260</v>
      </c>
      <c r="Y348" s="385">
        <f t="shared" si="138"/>
        <v>3.9809823719404629</v>
      </c>
      <c r="Z348" s="385">
        <f t="shared" si="139"/>
        <v>4.1607967245558752</v>
      </c>
      <c r="AA348" s="386">
        <f t="shared" si="140"/>
        <v>4.7189762002775106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0.11828402009927716</v>
      </c>
      <c r="AD348" s="231">
        <f>(INDEX(Models!$BJ348:$BT348,,AH348)*(1-AF348)+INDEX(Models!$BJ348:$BT348,,AH348+1)*AF348-ERP_i)*AE348*Ramure*Pc/MaxiM</f>
        <v>7.121345499468106E-3</v>
      </c>
      <c r="AE348" s="305">
        <f t="shared" si="142"/>
        <v>0.7</v>
      </c>
      <c r="AF348" s="177">
        <f t="shared" si="143"/>
        <v>0.99979408495641553</v>
      </c>
      <c r="AG348" s="919">
        <f t="shared" si="149"/>
        <v>0</v>
      </c>
      <c r="AH348" s="176">
        <f t="shared" si="144"/>
        <v>6</v>
      </c>
      <c r="AI348" s="225">
        <f t="shared" si="145"/>
        <v>0.99979408495641553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1090">
        <f>IF(t&gt;Tmaj,'2022'!Wh/'2022'!Env_an*'2023'!Env_an,0.001*'[14]mon-tableau (2)'!$B$38)</f>
        <v>3.5230229223005076</v>
      </c>
      <c r="C349" s="953"/>
      <c r="D349" s="393">
        <f t="shared" si="127"/>
        <v>3.6822326585941165</v>
      </c>
      <c r="E349" s="385">
        <f t="shared" si="125"/>
        <v>3.8168063659649132</v>
      </c>
      <c r="F349" s="385">
        <f t="shared" si="128"/>
        <v>3.8168063659649132</v>
      </c>
      <c r="G349" s="110">
        <f t="shared" si="126"/>
        <v>0.13348819732752057</v>
      </c>
      <c r="H349" s="412" t="b">
        <f>Wh_hp&gt;='2022'!Maxi_hp</f>
        <v>0</v>
      </c>
      <c r="I349" s="390">
        <f>IF(H349,Wh_hp,'2022'!Maxi_hp)</f>
        <v>28.263329653266126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4.323728320697573E-2</v>
      </c>
      <c r="M349" s="957"/>
      <c r="N349" s="957"/>
      <c r="O349" s="48">
        <f>IF(t&lt;Tnet,'2022'!Resal+('2022'!Salim-'2022'!Resal)*(1-EXP(('2022'!Tnet-t)/('2022'!Tau_j))),Resal+(Salim-Resal)*(1-EXP((Tnet-t)/(Tau_j))))*Salcycl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7.2212465368498248E-3</v>
      </c>
      <c r="Q349" s="305">
        <f t="shared" si="130"/>
        <v>0.7</v>
      </c>
      <c r="R349" s="177">
        <f t="shared" si="131"/>
        <v>0.99981053899259098</v>
      </c>
      <c r="S349" s="919">
        <f t="shared" si="132"/>
        <v>0</v>
      </c>
      <c r="T349" s="176">
        <f t="shared" si="133"/>
        <v>6</v>
      </c>
      <c r="U349" s="251">
        <f t="shared" si="134"/>
        <v>0.99981053899259098</v>
      </c>
      <c r="V349" s="383">
        <f t="shared" si="135"/>
        <v>26.201434847772298</v>
      </c>
      <c r="W349" s="402">
        <f t="shared" si="136"/>
        <v>3.5230229223005076</v>
      </c>
      <c r="X349" s="157">
        <f t="shared" si="137"/>
        <v>45261</v>
      </c>
      <c r="Y349" s="385">
        <f t="shared" si="138"/>
        <v>3.2199010643060739</v>
      </c>
      <c r="Z349" s="385">
        <f t="shared" si="139"/>
        <v>3.3654123512451131</v>
      </c>
      <c r="AA349" s="386">
        <f t="shared" si="140"/>
        <v>3.8168063659649132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0.11826484538093271</v>
      </c>
      <c r="AD349" s="231">
        <f>(INDEX(Models!$BJ349:$BT349,,AH349)*(1-AF349)+INDEX(Models!$BJ349:$BT349,,AH349+1)*AF349-ERP_i)*AE349*Ramure*Pc/MaxiM</f>
        <v>7.2212465368498248E-3</v>
      </c>
      <c r="AE349" s="305">
        <f t="shared" si="142"/>
        <v>0.7</v>
      </c>
      <c r="AF349" s="177">
        <f t="shared" si="143"/>
        <v>0.99981053899259098</v>
      </c>
      <c r="AG349" s="919">
        <f t="shared" si="149"/>
        <v>0</v>
      </c>
      <c r="AH349" s="176">
        <f t="shared" si="144"/>
        <v>6</v>
      </c>
      <c r="AI349" s="225">
        <f t="shared" si="145"/>
        <v>0.99981053899259098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1090">
        <f>IF(t&gt;Tmaj,'2022'!Wh/'2022'!Env_an*'2023'!Env_an,0.001*'[14]mon-tableau (2)'!$B$39)</f>
        <v>6.6532361394365607</v>
      </c>
      <c r="C350" s="953"/>
      <c r="D350" s="393">
        <f t="shared" si="127"/>
        <v>6.9540563702945715</v>
      </c>
      <c r="E350" s="385">
        <f t="shared" si="125"/>
        <v>7.2089538392851029</v>
      </c>
      <c r="F350" s="385">
        <f t="shared" si="128"/>
        <v>7.2089538392851029</v>
      </c>
      <c r="G350" s="110">
        <f t="shared" si="126"/>
        <v>0.25406358434373921</v>
      </c>
      <c r="H350" s="412" t="b">
        <f>Wh_hp&gt;='2022'!Maxi_hp</f>
        <v>0</v>
      </c>
      <c r="I350" s="390">
        <f>IF(H350,Wh_hp,'2022'!Maxi_hp)</f>
        <v>11.458603807529059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4.325823876594026E-2</v>
      </c>
      <c r="M350" s="957"/>
      <c r="N350" s="957"/>
      <c r="O350" s="48">
        <f>IF(t&lt;Tnet,'2022'!Resal+('2022'!Salim-'2022'!Resal)*(1-EXP(('2022'!Tnet-t)/('2022'!Tau_j))),Resal+(Salim-Resal)*(1-EXP((Tnet-t)/(Tau_j))))*Salcycl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7.3039228132494903E-3</v>
      </c>
      <c r="Q350" s="305">
        <f t="shared" si="130"/>
        <v>0.7</v>
      </c>
      <c r="R350" s="177">
        <f t="shared" si="131"/>
        <v>0.9998263315590129</v>
      </c>
      <c r="S350" s="919">
        <f t="shared" si="132"/>
        <v>0</v>
      </c>
      <c r="T350" s="176">
        <f t="shared" si="133"/>
        <v>6</v>
      </c>
      <c r="U350" s="251">
        <f t="shared" si="134"/>
        <v>0.9998263315590129</v>
      </c>
      <c r="V350" s="383">
        <f t="shared" si="135"/>
        <v>25.996017623997396</v>
      </c>
      <c r="W350" s="402">
        <f t="shared" si="136"/>
        <v>6.6532361394365607</v>
      </c>
      <c r="X350" s="157">
        <f t="shared" si="137"/>
        <v>45262</v>
      </c>
      <c r="Y350" s="385">
        <f t="shared" si="138"/>
        <v>6.0815399163059594</v>
      </c>
      <c r="Z350" s="385">
        <f t="shared" si="139"/>
        <v>6.3565114043539239</v>
      </c>
      <c r="AA350" s="386">
        <f t="shared" si="140"/>
        <v>7.2089538392851029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0.11824773107656825</v>
      </c>
      <c r="AD350" s="231">
        <f>(INDEX(Models!$BJ350:$BT350,,AH350)*(1-AF350)+INDEX(Models!$BJ350:$BT350,,AH350+1)*AF350-ERP_i)*AE350*Ramure*Pc/MaxiM</f>
        <v>7.3039228132494903E-3</v>
      </c>
      <c r="AE350" s="305">
        <f t="shared" si="142"/>
        <v>0.7</v>
      </c>
      <c r="AF350" s="177">
        <f t="shared" si="143"/>
        <v>0.9998263315590129</v>
      </c>
      <c r="AG350" s="919">
        <f t="shared" si="149"/>
        <v>0</v>
      </c>
      <c r="AH350" s="176">
        <f t="shared" si="144"/>
        <v>6</v>
      </c>
      <c r="AI350" s="225">
        <f t="shared" si="145"/>
        <v>0.9998263315590129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1090">
        <f>IF(t&gt;Tmaj,'2022'!Wh/'2022'!Env_an*'2023'!Env_an,0.001*'[14]mon-tableau (2)'!$B$40)</f>
        <v>7.4878928695707003</v>
      </c>
      <c r="C351" s="953"/>
      <c r="D351" s="393">
        <f t="shared" si="127"/>
        <v>7.8266227948233213</v>
      </c>
      <c r="E351" s="385">
        <f t="shared" si="125"/>
        <v>8.1143506771804983</v>
      </c>
      <c r="F351" s="385">
        <f t="shared" si="128"/>
        <v>8.1143506771804983</v>
      </c>
      <c r="G351" s="110">
        <f t="shared" si="126"/>
        <v>0.28810210165192812</v>
      </c>
      <c r="H351" s="412" t="b">
        <f>Wh_hp&gt;='2022'!Maxi_hp</f>
        <v>0</v>
      </c>
      <c r="I351" s="390">
        <f>IF(H351,Wh_hp,'2022'!Maxi_hp)</f>
        <v>16.674095051480148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4.3279193865924381E-2</v>
      </c>
      <c r="M351" s="957"/>
      <c r="N351" s="957"/>
      <c r="O351" s="48">
        <f>IF(t&lt;Tnet,'2022'!Resal+('2022'!Salim-'2022'!Resal)*(1-EXP(('2022'!Tnet-t)/('2022'!Tau_j))),Resal+(Salim-Resal)*(1-EXP((Tnet-t)/(Tau_j))))*Salcycl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7.3687022573261877E-3</v>
      </c>
      <c r="Q351" s="305">
        <f t="shared" si="130"/>
        <v>0.7</v>
      </c>
      <c r="R351" s="177">
        <f t="shared" si="131"/>
        <v>0.9998414892081755</v>
      </c>
      <c r="S351" s="919">
        <f t="shared" si="132"/>
        <v>0</v>
      </c>
      <c r="T351" s="176">
        <f t="shared" si="133"/>
        <v>6</v>
      </c>
      <c r="U351" s="251">
        <f t="shared" si="134"/>
        <v>0.9998414892081755</v>
      </c>
      <c r="V351" s="383">
        <f t="shared" si="135"/>
        <v>25.798898285927635</v>
      </c>
      <c r="W351" s="402">
        <f t="shared" si="136"/>
        <v>7.4878928695707003</v>
      </c>
      <c r="X351" s="157">
        <f t="shared" si="137"/>
        <v>45263</v>
      </c>
      <c r="Y351" s="385">
        <f t="shared" si="138"/>
        <v>6.8453081721773215</v>
      </c>
      <c r="Z351" s="385">
        <f t="shared" si="139"/>
        <v>7.1549694835611364</v>
      </c>
      <c r="AA351" s="386">
        <f t="shared" si="140"/>
        <v>8.1143506771804983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0.11823265123571407</v>
      </c>
      <c r="AD351" s="231">
        <f>(INDEX(Models!$BJ351:$BT351,,AH351)*(1-AF351)+INDEX(Models!$BJ351:$BT351,,AH351+1)*AF351-ERP_i)*AE351*Ramure*Pc/MaxiM</f>
        <v>7.3687022573261877E-3</v>
      </c>
      <c r="AE351" s="305">
        <f t="shared" si="142"/>
        <v>0.7</v>
      </c>
      <c r="AF351" s="177">
        <f t="shared" si="143"/>
        <v>0.9998414892081755</v>
      </c>
      <c r="AG351" s="919">
        <f t="shared" si="149"/>
        <v>0</v>
      </c>
      <c r="AH351" s="176">
        <f t="shared" si="144"/>
        <v>6</v>
      </c>
      <c r="AI351" s="225">
        <f t="shared" si="145"/>
        <v>0.9998414892081755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1090">
        <f>IF(t&gt;Tmaj,'2022'!Wh/'2022'!Env_an*'2023'!Env_an,0.001*'[14]mon-tableau (2)'!$B$41)</f>
        <v>20.752388810723438</v>
      </c>
      <c r="C352" s="953"/>
      <c r="D352" s="393">
        <f t="shared" si="127"/>
        <v>21.691640046077641</v>
      </c>
      <c r="E352" s="385">
        <f t="shared" si="125"/>
        <v>22.491441142897511</v>
      </c>
      <c r="F352" s="385">
        <f t="shared" si="128"/>
        <v>22.613642671378063</v>
      </c>
      <c r="G352" s="110">
        <f t="shared" si="126"/>
        <v>0.80862976856598323</v>
      </c>
      <c r="H352" s="412" t="b">
        <f>Wh_hp&gt;='2022'!Maxi_hp</f>
        <v>0</v>
      </c>
      <c r="I352" s="390">
        <f>IF(H352,Wh_hp,'2022'!Maxi_hp)</f>
        <v>22.627987820591123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4.3300148506937863E-2</v>
      </c>
      <c r="M352" s="957"/>
      <c r="N352" s="957"/>
      <c r="O352" s="48">
        <f>IF(t&lt;Tnet,'2022'!Resal+('2022'!Salim-'2022'!Resal)*(1-EXP(('2022'!Tnet-t)/('2022'!Tau_j))),Resal+(Salim-Resal)*(1-EXP((Tnet-t)/(Tau_j))))*Salcycl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7.413220453559969E-3</v>
      </c>
      <c r="Q352" s="305">
        <f t="shared" si="130"/>
        <v>0.7</v>
      </c>
      <c r="R352" s="177">
        <f t="shared" si="131"/>
        <v>0.99985603742981044</v>
      </c>
      <c r="S352" s="919">
        <f t="shared" si="132"/>
        <v>0</v>
      </c>
      <c r="T352" s="176">
        <f t="shared" si="133"/>
        <v>6</v>
      </c>
      <c r="U352" s="251">
        <f t="shared" si="134"/>
        <v>0.99985603742981044</v>
      </c>
      <c r="V352" s="383">
        <f t="shared" si="135"/>
        <v>25.6117998009763</v>
      </c>
      <c r="W352" s="402">
        <f t="shared" si="136"/>
        <v>20.752388810723438</v>
      </c>
      <c r="X352" s="157">
        <f t="shared" si="137"/>
        <v>45264</v>
      </c>
      <c r="Y352" s="385">
        <f t="shared" si="138"/>
        <v>18.973761820131102</v>
      </c>
      <c r="Z352" s="385">
        <f t="shared" si="139"/>
        <v>19.832512559210635</v>
      </c>
      <c r="AA352" s="386">
        <f t="shared" si="140"/>
        <v>22.491441142897511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0.11821957369443756</v>
      </c>
      <c r="AD352" s="231">
        <f>(INDEX(Models!$BJ352:$BT352,,AH352)*(1-AF352)+INDEX(Models!$BJ352:$BT352,,AH352+1)*AF352-ERP_i)*AE352*Ramure*Pc/MaxiM</f>
        <v>7.413220453559969E-3</v>
      </c>
      <c r="AE352" s="305">
        <f t="shared" si="142"/>
        <v>0.7</v>
      </c>
      <c r="AF352" s="177">
        <f t="shared" si="143"/>
        <v>0.99985603742981044</v>
      </c>
      <c r="AG352" s="919">
        <f t="shared" si="149"/>
        <v>0</v>
      </c>
      <c r="AH352" s="176">
        <f t="shared" si="144"/>
        <v>6</v>
      </c>
      <c r="AI352" s="225">
        <f t="shared" si="145"/>
        <v>0.99985603742981044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1090">
        <f>IF(t&gt;Tmaj,'2022'!Wh/'2022'!Env_an*'2023'!Env_an,0.001*'[14]mon-tableau (2)'!$B$42)</f>
        <v>26.349301587612157</v>
      </c>
      <c r="C353" s="953"/>
      <c r="D353" s="393">
        <f t="shared" si="127"/>
        <v>27.542471838433581</v>
      </c>
      <c r="E353" s="385">
        <f t="shared" si="125"/>
        <v>28.56100767586204</v>
      </c>
      <c r="F353" s="385">
        <f t="shared" si="128"/>
        <v>28.775249573433712</v>
      </c>
      <c r="G353" s="110">
        <f t="shared" si="126"/>
        <v>1.0358984992438316</v>
      </c>
      <c r="H353" s="412" t="b">
        <f>Wh_hp&gt;='2022'!Maxi_hp</f>
        <v>1</v>
      </c>
      <c r="I353" s="390">
        <f>IF(H353,Wh_hp,'2022'!Maxi_hp)</f>
        <v>28.775249573433712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4.3321102688991031E-2</v>
      </c>
      <c r="M353" s="957"/>
      <c r="N353" s="957"/>
      <c r="O353" s="48">
        <f>IF(t&lt;Tnet,'2022'!Resal+('2022'!Salim-'2022'!Resal)*(1-EXP(('2022'!Tnet-t)/('2022'!Tau_j))),Resal+(Salim-Resal)*(1-EXP((Tnet-t)/(Tau_j))))*Salcycl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7.4453532375081712E-3</v>
      </c>
      <c r="Q353" s="305">
        <f t="shared" si="130"/>
        <v>0.7</v>
      </c>
      <c r="R353" s="177">
        <f t="shared" si="131"/>
        <v>0.99987000069317944</v>
      </c>
      <c r="S353" s="919">
        <f t="shared" si="132"/>
        <v>0</v>
      </c>
      <c r="T353" s="176">
        <f t="shared" si="133"/>
        <v>6</v>
      </c>
      <c r="U353" s="251">
        <f t="shared" si="134"/>
        <v>0.99987000069317944</v>
      </c>
      <c r="V353" s="383">
        <f t="shared" si="135"/>
        <v>25.436180867957809</v>
      </c>
      <c r="W353" s="402">
        <f t="shared" si="136"/>
        <v>26.349301587612157</v>
      </c>
      <c r="X353" s="157">
        <f t="shared" si="137"/>
        <v>45265</v>
      </c>
      <c r="Y353" s="385">
        <f t="shared" si="138"/>
        <v>24.093819243780764</v>
      </c>
      <c r="Z353" s="385">
        <f t="shared" si="139"/>
        <v>25.184854930429232</v>
      </c>
      <c r="AA353" s="386">
        <f t="shared" si="140"/>
        <v>28.56100767586204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0.11820846042088767</v>
      </c>
      <c r="AD353" s="231">
        <f>(INDEX(Models!$BJ353:$BT353,,AH353)*(1-AF353)+INDEX(Models!$BJ353:$BT353,,AH353+1)*AF353-ERP_i)*AE353*Ramure*Pc/MaxiM</f>
        <v>7.4453532375081712E-3</v>
      </c>
      <c r="AE353" s="305">
        <f t="shared" si="142"/>
        <v>0.7</v>
      </c>
      <c r="AF353" s="177">
        <f t="shared" si="143"/>
        <v>0.99987000069317944</v>
      </c>
      <c r="AG353" s="919">
        <f t="shared" si="149"/>
        <v>0</v>
      </c>
      <c r="AH353" s="176">
        <f t="shared" si="144"/>
        <v>6</v>
      </c>
      <c r="AI353" s="225">
        <f t="shared" si="145"/>
        <v>0.99987000069317944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1090">
        <f>IF(t&gt;Tmaj,'2022'!Wh/'2022'!Env_an*'2023'!Env_an,0.001*'[14]mon-tableau (2)'!$B$43)</f>
        <v>11.497152304720023</v>
      </c>
      <c r="C354" s="953"/>
      <c r="D354" s="393">
        <f t="shared" si="127"/>
        <v>12.018038821274432</v>
      </c>
      <c r="E354" s="385">
        <f t="shared" si="125"/>
        <v>12.463789908910188</v>
      </c>
      <c r="F354" s="385">
        <f t="shared" si="128"/>
        <v>12.484412002826835</v>
      </c>
      <c r="G354" s="110">
        <f t="shared" si="126"/>
        <v>0.4522568059807891</v>
      </c>
      <c r="H354" s="412" t="b">
        <f>Wh_hp&gt;='2022'!Maxi_hp</f>
        <v>0</v>
      </c>
      <c r="I354" s="390">
        <f>IF(H354,Wh_hp,'2022'!Maxi_hp)</f>
        <v>23.022498392650729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4.3342056412093766E-2</v>
      </c>
      <c r="M354" s="957"/>
      <c r="N354" s="957"/>
      <c r="O354" s="48">
        <f>IF(t&lt;Tnet,'2022'!Resal+('2022'!Salim-'2022'!Resal)*(1-EXP(('2022'!Tnet-t)/('2022'!Tau_j))),Resal+(Salim-Resal)*(1-EXP((Tnet-t)/(Tau_j))))*Salcycl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7.4644232509469572E-3</v>
      </c>
      <c r="Q354" s="305">
        <f t="shared" si="130"/>
        <v>0.7</v>
      </c>
      <c r="R354" s="177">
        <f t="shared" si="131"/>
        <v>0.99988340248770236</v>
      </c>
      <c r="S354" s="919">
        <f t="shared" si="132"/>
        <v>0</v>
      </c>
      <c r="T354" s="176">
        <f t="shared" si="133"/>
        <v>6</v>
      </c>
      <c r="U354" s="251">
        <f t="shared" si="134"/>
        <v>0.99988340248770236</v>
      </c>
      <c r="V354" s="383">
        <f t="shared" si="135"/>
        <v>25.273723429712607</v>
      </c>
      <c r="W354" s="402">
        <f t="shared" si="136"/>
        <v>11.497152304720023</v>
      </c>
      <c r="X354" s="157">
        <f t="shared" si="137"/>
        <v>45266</v>
      </c>
      <c r="Y354" s="385">
        <f t="shared" si="138"/>
        <v>10.514224768628477</v>
      </c>
      <c r="Z354" s="385">
        <f t="shared" si="139"/>
        <v>10.990579066531669</v>
      </c>
      <c r="AA354" s="386">
        <f t="shared" si="140"/>
        <v>12.463789908910188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0.1181992678908477</v>
      </c>
      <c r="AD354" s="231">
        <f>(INDEX(Models!$BJ354:$BT354,,AH354)*(1-AF354)+INDEX(Models!$BJ354:$BT354,,AH354+1)*AF354-ERP_i)*AE354*Ramure*Pc/MaxiM</f>
        <v>7.4644232509469572E-3</v>
      </c>
      <c r="AE354" s="305">
        <f t="shared" si="142"/>
        <v>0.7</v>
      </c>
      <c r="AF354" s="177">
        <f t="shared" si="143"/>
        <v>0.99988340248770236</v>
      </c>
      <c r="AG354" s="919">
        <f t="shared" si="149"/>
        <v>0</v>
      </c>
      <c r="AH354" s="176">
        <f t="shared" si="144"/>
        <v>6</v>
      </c>
      <c r="AI354" s="225">
        <f t="shared" si="145"/>
        <v>0.99988340248770236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1090">
        <f>IF(t&gt;Tmaj,'2022'!Wh/'2022'!Env_an*'2023'!Env_an,0.001*'[14]mon-tableau (2)'!$B$44)</f>
        <v>20.653841120323605</v>
      </c>
      <c r="C355" s="953"/>
      <c r="D355" s="393">
        <f t="shared" si="127"/>
        <v>21.590050697636062</v>
      </c>
      <c r="E355" s="385">
        <f t="shared" si="125"/>
        <v>22.393205674832046</v>
      </c>
      <c r="F355" s="385">
        <f t="shared" si="128"/>
        <v>22.51864297409514</v>
      </c>
      <c r="G355" s="110">
        <f t="shared" si="126"/>
        <v>0.82043709891887651</v>
      </c>
      <c r="H355" s="412" t="b">
        <f>Wh_hp&gt;='2022'!Maxi_hp</f>
        <v>0</v>
      </c>
      <c r="I355" s="390">
        <f>IF(H355,Wh_hp,'2022'!Maxi_hp)</f>
        <v>23.615013833101326</v>
      </c>
      <c r="J355" s="85">
        <f>IF(H355,An,'2022'!An_max)</f>
        <v>2018</v>
      </c>
      <c r="K355" s="197">
        <f t="shared" si="129"/>
        <v>45267</v>
      </c>
      <c r="L355" s="147">
        <f>IF(t&lt;Tvie,1-EXP((T0-t)*PertePVj)+'2022'!Pspv,1-EXP((T0-t)*PertePVj)+Pspv)</f>
        <v>4.3363009676256281E-2</v>
      </c>
      <c r="M355" s="957"/>
      <c r="N355" s="957"/>
      <c r="O355" s="48">
        <f>IF(t&lt;Tnet,'2022'!Resal+('2022'!Salim-'2022'!Resal)*(1-EXP(('2022'!Tnet-t)/('2022'!Tau_j))),Resal+(Salim-Resal)*(1-EXP((Tnet-t)/(Tau_j))))*Salcycl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7.4697501001983E-3</v>
      </c>
      <c r="Q355" s="305">
        <f t="shared" si="130"/>
        <v>0.7</v>
      </c>
      <c r="R355" s="177">
        <f t="shared" si="131"/>
        <v>0.99989626536198739</v>
      </c>
      <c r="S355" s="919">
        <f t="shared" si="132"/>
        <v>0</v>
      </c>
      <c r="T355" s="176">
        <f t="shared" si="133"/>
        <v>6</v>
      </c>
      <c r="U355" s="251">
        <f t="shared" si="134"/>
        <v>0.99989626536198739</v>
      </c>
      <c r="V355" s="383">
        <f t="shared" si="135"/>
        <v>25.126109023823602</v>
      </c>
      <c r="W355" s="402">
        <f t="shared" si="136"/>
        <v>20.653841120323605</v>
      </c>
      <c r="X355" s="157">
        <f t="shared" si="137"/>
        <v>45267</v>
      </c>
      <c r="Y355" s="385">
        <f t="shared" si="138"/>
        <v>18.890241021026998</v>
      </c>
      <c r="Z355" s="385">
        <f t="shared" si="139"/>
        <v>19.746509085577163</v>
      </c>
      <c r="AA355" s="386">
        <f t="shared" si="140"/>
        <v>22.393205674832046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0.1181919474901055</v>
      </c>
      <c r="AD355" s="231">
        <f>(INDEX(Models!$BJ355:$BT355,,AH355)*(1-AF355)+INDEX(Models!$BJ355:$BT355,,AH355+1)*AF355-ERP_i)*AE355*Ramure*Pc/MaxiM</f>
        <v>7.4697501001983E-3</v>
      </c>
      <c r="AE355" s="305">
        <f t="shared" si="142"/>
        <v>0.7</v>
      </c>
      <c r="AF355" s="177">
        <f t="shared" si="143"/>
        <v>0.99989626536198739</v>
      </c>
      <c r="AG355" s="919">
        <f t="shared" si="149"/>
        <v>0</v>
      </c>
      <c r="AH355" s="176">
        <f t="shared" si="144"/>
        <v>6</v>
      </c>
      <c r="AI355" s="225">
        <f t="shared" si="145"/>
        <v>0.99989626536198739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1090">
        <f>IF(t&gt;Tmaj,'2022'!Wh/'2022'!Env_an*'2023'!Env_an,0.001*'[14]mon-tableau (2)'!$B$45)</f>
        <v>4.7369015532763434</v>
      </c>
      <c r="C356" s="953"/>
      <c r="D356" s="393">
        <f t="shared" si="127"/>
        <v>4.9517270958199671</v>
      </c>
      <c r="E356" s="385">
        <f t="shared" si="125"/>
        <v>5.1364797113981355</v>
      </c>
      <c r="F356" s="385">
        <f t="shared" si="128"/>
        <v>5.1364797113981355</v>
      </c>
      <c r="G356" s="110">
        <f t="shared" si="126"/>
        <v>0.18809992361549602</v>
      </c>
      <c r="H356" s="412" t="b">
        <f>Wh_hp&gt;='2022'!Maxi_hp</f>
        <v>0</v>
      </c>
      <c r="I356" s="390">
        <f>IF(H356,Wh_hp,'2022'!Maxi_hp)</f>
        <v>18.625313050324355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4.3383962481488458E-2</v>
      </c>
      <c r="M356" s="957"/>
      <c r="N356" s="957"/>
      <c r="O356" s="48">
        <f>IF(t&lt;Tnet,'2022'!Resal+('2022'!Salim-'2022'!Resal)*(1-EXP(('2022'!Tnet-t)/('2022'!Tau_j))),Resal+(Salim-Resal)*(1-EXP((Tnet-t)/(Tau_j))))*Salcycl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7.4606636976717496E-3</v>
      </c>
      <c r="Q356" s="305">
        <f t="shared" si="130"/>
        <v>0.7</v>
      </c>
      <c r="R356" s="177">
        <f t="shared" si="131"/>
        <v>0.99990861096132155</v>
      </c>
      <c r="S356" s="919">
        <f t="shared" si="132"/>
        <v>0</v>
      </c>
      <c r="T356" s="176">
        <f t="shared" si="133"/>
        <v>6</v>
      </c>
      <c r="U356" s="251">
        <f t="shared" si="134"/>
        <v>0.99990861096132155</v>
      </c>
      <c r="V356" s="383">
        <f t="shared" si="135"/>
        <v>24.995018782830844</v>
      </c>
      <c r="W356" s="402">
        <f t="shared" si="136"/>
        <v>4.7369015532763434</v>
      </c>
      <c r="X356" s="157">
        <f t="shared" si="137"/>
        <v>45268</v>
      </c>
      <c r="Y356" s="385">
        <f t="shared" si="138"/>
        <v>4.3329133538321649</v>
      </c>
      <c r="Z356" s="385">
        <f t="shared" si="139"/>
        <v>4.5294174296636944</v>
      </c>
      <c r="AA356" s="386">
        <f t="shared" si="140"/>
        <v>5.1364797113981355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0.11818644594026841</v>
      </c>
      <c r="AD356" s="231">
        <f>(INDEX(Models!$BJ356:$BT356,,AH356)*(1-AF356)+INDEX(Models!$BJ356:$BT356,,AH356+1)*AF356-ERP_i)*AE356*Ramure*Pc/MaxiM</f>
        <v>7.4606636976717496E-3</v>
      </c>
      <c r="AE356" s="305">
        <f t="shared" si="142"/>
        <v>0.7</v>
      </c>
      <c r="AF356" s="177">
        <f t="shared" si="143"/>
        <v>0.99990861096132155</v>
      </c>
      <c r="AG356" s="919">
        <f t="shared" si="149"/>
        <v>0</v>
      </c>
      <c r="AH356" s="176">
        <f t="shared" si="144"/>
        <v>6</v>
      </c>
      <c r="AI356" s="225">
        <f t="shared" si="145"/>
        <v>0.99990861096132155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1090">
        <f>IF(t&gt;Tmaj,'2022'!Wh/'2022'!Env_an*'2023'!Env_an,0.001*'[14]mon-tableau (2)'!$B$46)</f>
        <v>5.7678098341856936</v>
      </c>
      <c r="C357" s="953"/>
      <c r="D357" s="393">
        <f t="shared" si="127"/>
        <v>6.0295206651071318</v>
      </c>
      <c r="E357" s="385">
        <f t="shared" si="125"/>
        <v>6.2551554355018242</v>
      </c>
      <c r="F357" s="385">
        <f t="shared" si="128"/>
        <v>6.2551554355018242</v>
      </c>
      <c r="G357" s="110">
        <f t="shared" si="126"/>
        <v>0.23008145304322547</v>
      </c>
      <c r="H357" s="412" t="b">
        <f>Wh_hp&gt;='2022'!Maxi_hp</f>
        <v>0</v>
      </c>
      <c r="I357" s="390">
        <f>IF(H357,Wh_hp,'2022'!Maxi_hp)</f>
        <v>9.4747658981708156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4.3404914827800511E-2</v>
      </c>
      <c r="M357" s="957"/>
      <c r="N357" s="957"/>
      <c r="O357" s="48">
        <f>IF(t&lt;Tnet,'2022'!Resal+('2022'!Salim-'2022'!Resal)*(1-EXP(('2022'!Tnet-t)/('2022'!Tau_j))),Resal+(Salim-Resal)*(1-EXP((Tnet-t)/(Tau_j))))*Salcycl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7.4365190158267981E-3</v>
      </c>
      <c r="Q357" s="305">
        <f t="shared" si="130"/>
        <v>0.7</v>
      </c>
      <c r="R357" s="177">
        <f t="shared" si="131"/>
        <v>0.99992046006368152</v>
      </c>
      <c r="S357" s="919">
        <f t="shared" si="132"/>
        <v>0</v>
      </c>
      <c r="T357" s="176">
        <f t="shared" si="133"/>
        <v>6</v>
      </c>
      <c r="U357" s="251">
        <f t="shared" si="134"/>
        <v>0.99992046006368152</v>
      </c>
      <c r="V357" s="383">
        <f t="shared" si="135"/>
        <v>24.882133396465282</v>
      </c>
      <c r="W357" s="402">
        <f t="shared" si="136"/>
        <v>5.7678098341856936</v>
      </c>
      <c r="X357" s="157">
        <f t="shared" si="137"/>
        <v>45269</v>
      </c>
      <c r="Y357" s="385">
        <f t="shared" si="138"/>
        <v>5.2764868874906741</v>
      </c>
      <c r="Z357" s="385">
        <f t="shared" si="139"/>
        <v>5.5159042412818149</v>
      </c>
      <c r="AA357" s="386">
        <f t="shared" si="140"/>
        <v>6.2551554355018242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0.11818270574449792</v>
      </c>
      <c r="AD357" s="231">
        <f>(INDEX(Models!$BJ357:$BT357,,AH357)*(1-AF357)+INDEX(Models!$BJ357:$BT357,,AH357+1)*AF357-ERP_i)*AE357*Ramure*Pc/MaxiM</f>
        <v>7.4365190158267981E-3</v>
      </c>
      <c r="AE357" s="305">
        <f t="shared" si="142"/>
        <v>0.7</v>
      </c>
      <c r="AF357" s="177">
        <f t="shared" si="143"/>
        <v>0.99992046006368152</v>
      </c>
      <c r="AG357" s="919">
        <f t="shared" si="149"/>
        <v>0</v>
      </c>
      <c r="AH357" s="176">
        <f t="shared" si="144"/>
        <v>6</v>
      </c>
      <c r="AI357" s="225">
        <f t="shared" si="145"/>
        <v>0.99992046006368152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1090">
        <f>IF(t&gt;Tmaj,'2022'!Wh/'2022'!Env_an*'2023'!Env_an,0.001*'[14]mon-tableau (2)'!$B$47)</f>
        <v>14.371240723891097</v>
      </c>
      <c r="C358" s="953"/>
      <c r="D358" s="393">
        <f t="shared" si="127"/>
        <v>15.023656007236394</v>
      </c>
      <c r="E358" s="385">
        <f t="shared" si="125"/>
        <v>15.587539217899298</v>
      </c>
      <c r="F358" s="385">
        <f t="shared" si="128"/>
        <v>15.633751534724134</v>
      </c>
      <c r="G358" s="110">
        <f t="shared" si="126"/>
        <v>0.57715741706411205</v>
      </c>
      <c r="H358" s="412" t="b">
        <f>Wh_hp&gt;='2022'!Maxi_hp</f>
        <v>0</v>
      </c>
      <c r="I358" s="390">
        <f>IF(H358,Wh_hp,'2022'!Maxi_hp)</f>
        <v>22.134135091685113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4.3425866715202321E-2</v>
      </c>
      <c r="M358" s="957"/>
      <c r="N358" s="957"/>
      <c r="O358" s="48">
        <f>IF(t&lt;Tnet,'2022'!Resal+('2022'!Salim-'2022'!Resal)*(1-EXP(('2022'!Tnet-t)/('2022'!Tau_j))),Resal+(Salim-Resal)*(1-EXP((Tnet-t)/(Tau_j))))*Salcycl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7.3967120533252164E-3</v>
      </c>
      <c r="Q358" s="305">
        <f t="shared" si="130"/>
        <v>0.7</v>
      </c>
      <c r="R358" s="177">
        <f t="shared" si="131"/>
        <v>0.99993183261432605</v>
      </c>
      <c r="S358" s="919">
        <f t="shared" si="132"/>
        <v>0</v>
      </c>
      <c r="T358" s="176">
        <f t="shared" si="133"/>
        <v>6</v>
      </c>
      <c r="U358" s="251">
        <f t="shared" si="134"/>
        <v>0.99993183261432605</v>
      </c>
      <c r="V358" s="383">
        <f t="shared" si="135"/>
        <v>24.789133061157195</v>
      </c>
      <c r="W358" s="402">
        <f t="shared" si="136"/>
        <v>14.371240723891097</v>
      </c>
      <c r="X358" s="157">
        <f t="shared" si="137"/>
        <v>45270</v>
      </c>
      <c r="Y358" s="385">
        <f t="shared" si="138"/>
        <v>13.148487833065669</v>
      </c>
      <c r="Z358" s="385">
        <f t="shared" si="139"/>
        <v>13.745393457289957</v>
      </c>
      <c r="AA358" s="386">
        <f t="shared" si="140"/>
        <v>15.587539217899298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0.11818066564952019</v>
      </c>
      <c r="AD358" s="231">
        <f>(INDEX(Models!$BJ358:$BT358,,AH358)*(1-AF358)+INDEX(Models!$BJ358:$BT358,,AH358+1)*AF358-ERP_i)*AE358*Ramure*Pc/MaxiM</f>
        <v>7.3967120533252164E-3</v>
      </c>
      <c r="AE358" s="305">
        <f t="shared" si="142"/>
        <v>0.7</v>
      </c>
      <c r="AF358" s="177">
        <f t="shared" si="143"/>
        <v>0.99993183261432605</v>
      </c>
      <c r="AG358" s="919">
        <f t="shared" si="149"/>
        <v>0</v>
      </c>
      <c r="AH358" s="176">
        <f t="shared" si="144"/>
        <v>6</v>
      </c>
      <c r="AI358" s="225">
        <f t="shared" si="145"/>
        <v>0.99993183261432605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1090">
        <f>IF(t&gt;Tmaj,'2022'!Wh/'2022'!Env_an*'2023'!Env_an,0.001*'[14]mon-tableau (2)'!$B$48)</f>
        <v>17.521265499948505</v>
      </c>
      <c r="C359" s="953"/>
      <c r="D359" s="393">
        <f t="shared" si="127"/>
        <v>18.317084540920742</v>
      </c>
      <c r="E359" s="385">
        <f t="shared" si="125"/>
        <v>19.006626861992437</v>
      </c>
      <c r="F359" s="385">
        <f t="shared" si="128"/>
        <v>19.0884984270022</v>
      </c>
      <c r="G359" s="110">
        <f t="shared" si="126"/>
        <v>0.70677305620240649</v>
      </c>
      <c r="H359" s="412" t="b">
        <f>Wh_hp&gt;='2022'!Maxi_hp</f>
        <v>0</v>
      </c>
      <c r="I359" s="390">
        <f>IF(H359,Wh_hp,'2022'!Maxi_hp)</f>
        <v>23.016717284204159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4.3446818143704102E-2</v>
      </c>
      <c r="M359" s="957"/>
      <c r="N359" s="957"/>
      <c r="O359" s="48">
        <f>IF(t&lt;Tnet,'2022'!Resal+('2022'!Salim-'2022'!Resal)*(1-EXP(('2022'!Tnet-t)/('2022'!Tau_j))),Resal+(Salim-Resal)*(1-EXP((Tnet-t)/(Tau_j))))*Salcycl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7.3416364203099512E-3</v>
      </c>
      <c r="Q359" s="305">
        <f t="shared" si="130"/>
        <v>0.7</v>
      </c>
      <c r="R359" s="177">
        <f t="shared" si="131"/>
        <v>0.99994274775901748</v>
      </c>
      <c r="S359" s="919">
        <f t="shared" si="132"/>
        <v>0</v>
      </c>
      <c r="T359" s="176">
        <f t="shared" si="133"/>
        <v>6</v>
      </c>
      <c r="U359" s="251">
        <f t="shared" si="134"/>
        <v>0.99994274775901748</v>
      </c>
      <c r="V359" s="383">
        <f t="shared" si="135"/>
        <v>24.714510291959371</v>
      </c>
      <c r="W359" s="402">
        <f t="shared" si="136"/>
        <v>17.521265499948505</v>
      </c>
      <c r="X359" s="157">
        <f t="shared" si="137"/>
        <v>45271</v>
      </c>
      <c r="Y359" s="385">
        <f t="shared" si="138"/>
        <v>16.032231871574407</v>
      </c>
      <c r="Z359" s="385">
        <f t="shared" si="139"/>
        <v>16.760418736428338</v>
      </c>
      <c r="AA359" s="386">
        <f t="shared" si="140"/>
        <v>19.006626861992437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0.11818026112018028</v>
      </c>
      <c r="AD359" s="231">
        <f>(INDEX(Models!$BJ359:$BT359,,AH359)*(1-AF359)+INDEX(Models!$BJ359:$BT359,,AH359+1)*AF359-ERP_i)*AE359*Ramure*Pc/MaxiM</f>
        <v>7.3416364203099512E-3</v>
      </c>
      <c r="AE359" s="305">
        <f t="shared" si="142"/>
        <v>0.7</v>
      </c>
      <c r="AF359" s="177">
        <f t="shared" si="143"/>
        <v>0.99994274775901748</v>
      </c>
      <c r="AG359" s="919">
        <f t="shared" si="149"/>
        <v>0</v>
      </c>
      <c r="AH359" s="176">
        <f t="shared" si="144"/>
        <v>6</v>
      </c>
      <c r="AI359" s="225">
        <f t="shared" si="145"/>
        <v>0.99994274775901748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1090">
        <f>IF(t&gt;Tmaj,'2022'!Wh/'2022'!Env_an*'2023'!Env_an,0.001*'[14]mon-tableau (2)'!$B$49)</f>
        <v>5.1742378304106902</v>
      </c>
      <c r="C360" s="953"/>
      <c r="D360" s="393">
        <f t="shared" si="127"/>
        <v>5.4093711255440766</v>
      </c>
      <c r="E360" s="385">
        <f t="shared" si="125"/>
        <v>5.6136121274304891</v>
      </c>
      <c r="F360" s="385">
        <f t="shared" si="128"/>
        <v>5.6136121274304891</v>
      </c>
      <c r="G360" s="110">
        <f t="shared" si="126"/>
        <v>0.20833681119495528</v>
      </c>
      <c r="H360" s="412" t="b">
        <f>Wh_hp&gt;='2022'!Maxi_hp</f>
        <v>0</v>
      </c>
      <c r="I360" s="390">
        <f>IF(H360,Wh_hp,'2022'!Maxi_hp)</f>
        <v>26.632515874966092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4.3467769113315735E-2</v>
      </c>
      <c r="M360" s="957"/>
      <c r="N360" s="957"/>
      <c r="O360" s="48">
        <f>IF(t&lt;Tnet,'2022'!Resal+('2022'!Salim-'2022'!Resal)*(1-EXP(('2022'!Tnet-t)/('2022'!Tau_j))),Resal+(Salim-Resal)*(1-EXP((Tnet-t)/(Tau_j))))*Salcycl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7.2721546795207976E-3</v>
      </c>
      <c r="Q360" s="305">
        <f t="shared" si="130"/>
        <v>0.7</v>
      </c>
      <c r="R360" s="177">
        <f t="shared" si="131"/>
        <v>0.99995322387593211</v>
      </c>
      <c r="S360" s="919">
        <f t="shared" si="132"/>
        <v>0</v>
      </c>
      <c r="T360" s="176">
        <f t="shared" si="133"/>
        <v>6</v>
      </c>
      <c r="U360" s="251">
        <f t="shared" si="134"/>
        <v>0.99995322387593211</v>
      </c>
      <c r="V360" s="383">
        <f t="shared" si="135"/>
        <v>24.655316278949048</v>
      </c>
      <c r="W360" s="402">
        <f t="shared" si="136"/>
        <v>5.1742378304106902</v>
      </c>
      <c r="X360" s="157">
        <f t="shared" si="137"/>
        <v>45272</v>
      </c>
      <c r="Y360" s="385">
        <f t="shared" si="138"/>
        <v>4.7350138427594919</v>
      </c>
      <c r="Z360" s="385">
        <f t="shared" si="139"/>
        <v>4.9501874478084638</v>
      </c>
      <c r="AA360" s="386">
        <f t="shared" si="140"/>
        <v>5.6136121274304891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0.11818142482275371</v>
      </c>
      <c r="AD360" s="231">
        <f>(INDEX(Models!$BJ360:$BT360,,AH360)*(1-AF360)+INDEX(Models!$BJ360:$BT360,,AH360+1)*AF360-ERP_i)*AE360*Ramure*Pc/MaxiM</f>
        <v>7.2721546795207976E-3</v>
      </c>
      <c r="AE360" s="305">
        <f t="shared" si="142"/>
        <v>0.7</v>
      </c>
      <c r="AF360" s="177">
        <f t="shared" si="143"/>
        <v>0.99995322387593211</v>
      </c>
      <c r="AG360" s="919">
        <f t="shared" si="149"/>
        <v>0</v>
      </c>
      <c r="AH360" s="176">
        <f t="shared" si="144"/>
        <v>6</v>
      </c>
      <c r="AI360" s="225">
        <f t="shared" si="145"/>
        <v>0.99995322387593211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1090">
        <f>IF(t&gt;Tmaj,'2022'!Wh/'2022'!Env_an*'2023'!Env_an,0.001*'[14]mon-tableau (2)'!$B$50)</f>
        <v>5.6730950989755469</v>
      </c>
      <c r="C361" s="953"/>
      <c r="D361" s="393">
        <f t="shared" si="127"/>
        <v>5.9310279087830118</v>
      </c>
      <c r="E361" s="385">
        <f t="shared" ref="E361:E379" si="150">Wh_pvt/(1-Psa)</f>
        <v>6.1556321781665462</v>
      </c>
      <c r="F361" s="385">
        <f t="shared" si="128"/>
        <v>6.1556321781665462</v>
      </c>
      <c r="G361" s="110">
        <f t="shared" ref="G361:G379" si="151">+Wh_hp/MaxiM</f>
        <v>0.22885289415066426</v>
      </c>
      <c r="H361" s="412" t="b">
        <f>Wh_hp&gt;='2022'!Maxi_hp</f>
        <v>0</v>
      </c>
      <c r="I361" s="390">
        <f>IF(H361,Wh_hp,'2022'!Maxi_hp)</f>
        <v>27.848923412804474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4.3488719624047434E-2</v>
      </c>
      <c r="M361" s="957"/>
      <c r="N361" s="957"/>
      <c r="O361" s="48">
        <f>IF(t&lt;Tnet,'2022'!Resal+('2022'!Salim-'2022'!Resal)*(1-EXP(('2022'!Tnet-t)/('2022'!Tau_j))),Resal+(Salim-Resal)*(1-EXP((Tnet-t)/(Tau_j))))*Salcycl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7.2032782806026752E-3</v>
      </c>
      <c r="Q361" s="305">
        <f t="shared" si="130"/>
        <v>0.7</v>
      </c>
      <c r="R361" s="177">
        <f t="shared" si="131"/>
        <v>0.99996327860630807</v>
      </c>
      <c r="S361" s="919">
        <f t="shared" si="132"/>
        <v>0</v>
      </c>
      <c r="T361" s="176">
        <f t="shared" si="133"/>
        <v>6</v>
      </c>
      <c r="U361" s="251">
        <f t="shared" si="134"/>
        <v>0.99996327860630807</v>
      </c>
      <c r="V361" s="383">
        <f t="shared" si="135"/>
        <v>24.610701285505048</v>
      </c>
      <c r="W361" s="402">
        <f t="shared" si="136"/>
        <v>5.6730950989755469</v>
      </c>
      <c r="X361" s="157">
        <f t="shared" si="137"/>
        <v>45273</v>
      </c>
      <c r="Y361" s="385">
        <f t="shared" si="138"/>
        <v>5.1920717932086315</v>
      </c>
      <c r="Z361" s="385">
        <f t="shared" si="139"/>
        <v>5.4281344085852394</v>
      </c>
      <c r="AA361" s="386">
        <f t="shared" si="140"/>
        <v>6.1556321781665462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0.11818408711320885</v>
      </c>
      <c r="AD361" s="231">
        <f>(INDEX(Models!$BJ361:$BT361,,AH361)*(1-AF361)+INDEX(Models!$BJ361:$BT361,,AH361+1)*AF361-ERP_i)*AE361*Ramure*Pc/MaxiM</f>
        <v>7.2032782806026752E-3</v>
      </c>
      <c r="AE361" s="305">
        <f t="shared" si="142"/>
        <v>0.7</v>
      </c>
      <c r="AF361" s="177">
        <f t="shared" si="143"/>
        <v>0.99996327860630807</v>
      </c>
      <c r="AG361" s="919">
        <f t="shared" si="149"/>
        <v>0</v>
      </c>
      <c r="AH361" s="176">
        <f t="shared" si="144"/>
        <v>6</v>
      </c>
      <c r="AI361" s="225">
        <f t="shared" si="145"/>
        <v>0.99996327860630807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1090">
        <f>IF(t&gt;Tmaj,'2022'!Wh/'2022'!Env_an*'2023'!Env_an,0.001*'[14]mon-tableau (2)'!$B$51)</f>
        <v>17.4302311115176</v>
      </c>
      <c r="C362" s="953"/>
      <c r="D362" s="393">
        <f t="shared" si="127"/>
        <v>18.223112726724228</v>
      </c>
      <c r="E362" s="385">
        <f t="shared" si="150"/>
        <v>18.915266456932677</v>
      </c>
      <c r="F362" s="385">
        <f t="shared" si="128"/>
        <v>18.994476676835991</v>
      </c>
      <c r="G362" s="110">
        <f t="shared" si="151"/>
        <v>0.70700578598779207</v>
      </c>
      <c r="H362" s="412" t="b">
        <f>Wh_hp&gt;='2022'!Maxi_hp</f>
        <v>0</v>
      </c>
      <c r="I362" s="390">
        <f>IF(H362,Wh_hp,'2022'!Maxi_hp)</f>
        <v>27.918333223458241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4.3509669675909191E-2</v>
      </c>
      <c r="M362" s="957"/>
      <c r="N362" s="957"/>
      <c r="O362" s="48">
        <f>IF(t&lt;Tnet,'2022'!Resal+('2022'!Salim-'2022'!Resal)*(1-EXP(('2022'!Tnet-t)/('2022'!Tau_j))),Resal+(Salim-Resal)*(1-EXP((Tnet-t)/(Tau_j))))*Salcycl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7.1351691205889323E-3</v>
      </c>
      <c r="Q362" s="305">
        <f t="shared" si="130"/>
        <v>0.7</v>
      </c>
      <c r="R362" s="177">
        <f t="shared" si="131"/>
        <v>0.99997292888387745</v>
      </c>
      <c r="S362" s="919">
        <f t="shared" si="132"/>
        <v>0</v>
      </c>
      <c r="T362" s="176">
        <f t="shared" si="133"/>
        <v>6</v>
      </c>
      <c r="U362" s="251">
        <f t="shared" si="134"/>
        <v>0.99997292888387745</v>
      </c>
      <c r="V362" s="383">
        <f t="shared" si="135"/>
        <v>24.580186524310168</v>
      </c>
      <c r="W362" s="402">
        <f t="shared" si="136"/>
        <v>17.4302311115176</v>
      </c>
      <c r="X362" s="157">
        <f t="shared" si="137"/>
        <v>45274</v>
      </c>
      <c r="Y362" s="385">
        <f t="shared" si="138"/>
        <v>15.953977124669647</v>
      </c>
      <c r="Z362" s="385">
        <f t="shared" si="139"/>
        <v>16.679705605872574</v>
      </c>
      <c r="AA362" s="386">
        <f t="shared" si="140"/>
        <v>18.915266456932677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0.11818817652662478</v>
      </c>
      <c r="AD362" s="231">
        <f>(INDEX(Models!$BJ362:$BT362,,AH362)*(1-AF362)+INDEX(Models!$BJ362:$BT362,,AH362+1)*AF362-ERP_i)*AE362*Ramure*Pc/MaxiM</f>
        <v>7.1351691205889323E-3</v>
      </c>
      <c r="AE362" s="305">
        <f t="shared" si="142"/>
        <v>0.7</v>
      </c>
      <c r="AF362" s="177">
        <f t="shared" si="143"/>
        <v>0.99997292888387745</v>
      </c>
      <c r="AG362" s="919">
        <f t="shared" si="149"/>
        <v>0</v>
      </c>
      <c r="AH362" s="176">
        <f t="shared" si="144"/>
        <v>6</v>
      </c>
      <c r="AI362" s="225">
        <f t="shared" si="145"/>
        <v>0.99997292888387745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1090">
        <f>IF(t&gt;Tmaj,'2022'!Wh/'2022'!Env_an*'2023'!Env_an,0.001*'[14]mon-tableau (2)'!$B$52)</f>
        <v>7.3003019164468821</v>
      </c>
      <c r="C363" s="953"/>
      <c r="D363" s="393">
        <f t="shared" si="127"/>
        <v>7.6325516148429209</v>
      </c>
      <c r="E363" s="385">
        <f t="shared" si="150"/>
        <v>7.9233162295047865</v>
      </c>
      <c r="F363" s="385">
        <f t="shared" si="128"/>
        <v>7.9233162295047865</v>
      </c>
      <c r="G363" s="110">
        <f t="shared" si="151"/>
        <v>0.2951030785053223</v>
      </c>
      <c r="H363" s="412" t="b">
        <f>Wh_hp&gt;='2022'!Maxi_hp</f>
        <v>0</v>
      </c>
      <c r="I363" s="390">
        <f>IF(H363,Wh_hp,'2022'!Maxi_hp)</f>
        <v>27.64680505166011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4.3530619268910997E-2</v>
      </c>
      <c r="M363" s="957"/>
      <c r="N363" s="957"/>
      <c r="O363" s="48">
        <f>IF(t&lt;Tnet,'2022'!Resal+('2022'!Salim-'2022'!Resal)*(1-EXP(('2022'!Tnet-t)/('2022'!Tau_j))),Resal+(Salim-Resal)*(1-EXP((Tnet-t)/(Tau_j))))*Salcycl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7.0679862833915447E-3</v>
      </c>
      <c r="Q363" s="305">
        <f t="shared" si="130"/>
        <v>0.7</v>
      </c>
      <c r="R363" s="177">
        <f t="shared" si="131"/>
        <v>0.9999821909631339</v>
      </c>
      <c r="S363" s="919">
        <f t="shared" si="132"/>
        <v>0</v>
      </c>
      <c r="T363" s="176">
        <f t="shared" si="133"/>
        <v>6</v>
      </c>
      <c r="U363" s="251">
        <f t="shared" si="134"/>
        <v>0.9999821909631339</v>
      </c>
      <c r="V363" s="383">
        <f t="shared" si="135"/>
        <v>24.563293339232601</v>
      </c>
      <c r="W363" s="402">
        <f t="shared" si="136"/>
        <v>7.3003019164468821</v>
      </c>
      <c r="X363" s="157">
        <f t="shared" si="137"/>
        <v>45275</v>
      </c>
      <c r="Y363" s="385">
        <f t="shared" si="138"/>
        <v>6.682689728398719</v>
      </c>
      <c r="Z363" s="385">
        <f t="shared" si="139"/>
        <v>6.9868307998429851</v>
      </c>
      <c r="AA363" s="386">
        <f t="shared" si="140"/>
        <v>7.9233162295047865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0.11819362026401575</v>
      </c>
      <c r="AD363" s="231">
        <f>(INDEX(Models!$BJ363:$BT363,,AH363)*(1-AF363)+INDEX(Models!$BJ363:$BT363,,AH363+1)*AF363-ERP_i)*AE363*Ramure*Pc/MaxiM</f>
        <v>7.0679862833915447E-3</v>
      </c>
      <c r="AE363" s="305">
        <f t="shared" si="142"/>
        <v>0.7</v>
      </c>
      <c r="AF363" s="177">
        <f t="shared" si="143"/>
        <v>0.9999821909631339</v>
      </c>
      <c r="AG363" s="919">
        <f t="shared" si="149"/>
        <v>0</v>
      </c>
      <c r="AH363" s="176">
        <f t="shared" si="144"/>
        <v>6</v>
      </c>
      <c r="AI363" s="225">
        <f t="shared" si="145"/>
        <v>0.9999821909631339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1090">
        <f>IF(t&gt;Tmaj,'2022'!Wh/'2022'!Env_an*'2023'!Env_an,0.001*'[14]mon-tableau (2)'!$B$53)</f>
        <v>4.9591807617991357</v>
      </c>
      <c r="C364" s="953"/>
      <c r="D364" s="393">
        <f t="shared" si="127"/>
        <v>5.1849954456185623</v>
      </c>
      <c r="E364" s="385">
        <f t="shared" si="150"/>
        <v>5.3831078092768143</v>
      </c>
      <c r="F364" s="385">
        <f t="shared" si="128"/>
        <v>5.3831078092768143</v>
      </c>
      <c r="G364" s="110">
        <f t="shared" si="151"/>
        <v>0.20051094219492971</v>
      </c>
      <c r="H364" s="412" t="b">
        <f>Wh_hp&gt;='2022'!Maxi_hp</f>
        <v>0</v>
      </c>
      <c r="I364" s="390">
        <f>IF(H364,Wh_hp,'2022'!Maxi_hp)</f>
        <v>27.611155388131891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4.3551568403062957E-2</v>
      </c>
      <c r="M364" s="957"/>
      <c r="N364" s="957"/>
      <c r="O364" s="48">
        <f>IF(t&lt;Tnet,'2022'!Resal+('2022'!Salim-'2022'!Resal)*(1-EXP(('2022'!Tnet-t)/('2022'!Tau_j))),Resal+(Salim-Resal)*(1-EXP((Tnet-t)/(Tau_j))))*Salcycl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7.0018855046242775E-3</v>
      </c>
      <c r="Q364" s="305">
        <f t="shared" si="130"/>
        <v>0.7</v>
      </c>
      <c r="R364" s="177">
        <f t="shared" si="131"/>
        <v>0.99999108044647911</v>
      </c>
      <c r="S364" s="919">
        <f t="shared" si="132"/>
        <v>0</v>
      </c>
      <c r="T364" s="176">
        <f t="shared" si="133"/>
        <v>6</v>
      </c>
      <c r="U364" s="251">
        <f t="shared" si="134"/>
        <v>0.99999108044647911</v>
      </c>
      <c r="V364" s="383">
        <f t="shared" si="135"/>
        <v>24.559543195008768</v>
      </c>
      <c r="W364" s="402">
        <f t="shared" si="136"/>
        <v>4.9591807617991357</v>
      </c>
      <c r="X364" s="157">
        <f t="shared" si="137"/>
        <v>45276</v>
      </c>
      <c r="Y364" s="385">
        <f t="shared" si="138"/>
        <v>4.5400910411771171</v>
      </c>
      <c r="Z364" s="385">
        <f t="shared" si="139"/>
        <v>4.7468226108089695</v>
      </c>
      <c r="AA364" s="386">
        <f t="shared" si="140"/>
        <v>5.3831078092768143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0.11820034467289001</v>
      </c>
      <c r="AD364" s="231">
        <f>(INDEX(Models!$BJ364:$BT364,,AH364)*(1-AF364)+INDEX(Models!$BJ364:$BT364,,AH364+1)*AF364-ERP_i)*AE364*Ramure*Pc/MaxiM</f>
        <v>7.0018855046242775E-3</v>
      </c>
      <c r="AE364" s="305">
        <f t="shared" si="142"/>
        <v>0.7</v>
      </c>
      <c r="AF364" s="177">
        <f t="shared" si="143"/>
        <v>0.99999108044647911</v>
      </c>
      <c r="AG364" s="919">
        <f t="shared" si="149"/>
        <v>0</v>
      </c>
      <c r="AH364" s="176">
        <f t="shared" si="144"/>
        <v>6</v>
      </c>
      <c r="AI364" s="225">
        <f t="shared" si="145"/>
        <v>0.99999108044647911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1090">
        <f>IF(t&gt;Tmaj,'2022'!Wh/'2022'!Env_an*'2023'!Env_an,0.001*'[14]mon-tableau (2)'!$B$54)</f>
        <v>2.7738597864253109</v>
      </c>
      <c r="C365" s="953"/>
      <c r="D365" s="393">
        <f t="shared" si="127"/>
        <v>2.9002301125349579</v>
      </c>
      <c r="E365" s="385">
        <f t="shared" si="150"/>
        <v>3.0113742109949642</v>
      </c>
      <c r="F365" s="385">
        <f t="shared" si="128"/>
        <v>3.0113742109949642</v>
      </c>
      <c r="G365" s="110">
        <f t="shared" si="151"/>
        <v>0.11212008114068912</v>
      </c>
      <c r="H365" s="412" t="b">
        <f>Wh_hp&gt;='2022'!Maxi_hp</f>
        <v>0</v>
      </c>
      <c r="I365" s="390">
        <f>IF(H365,Wh_hp,'2022'!Maxi_hp)</f>
        <v>27.969819213232515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4.3572517078375061E-2</v>
      </c>
      <c r="M365" s="957"/>
      <c r="N365" s="957"/>
      <c r="O365" s="48">
        <f>IF(t&lt;Tnet,'2022'!Resal+('2022'!Salim-'2022'!Resal)*(1-EXP(('2022'!Tnet-t)/('2022'!Tau_j))),Resal+(Salim-Resal)*(1-EXP((Tnet-t)/(Tau_j))))*Salcycl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6.9370186815999315E-3</v>
      </c>
      <c r="Q365" s="305">
        <f t="shared" si="130"/>
        <v>0.7</v>
      </c>
      <c r="R365" s="177">
        <f t="shared" si="131"/>
        <v>0.99999961231029155</v>
      </c>
      <c r="S365" s="919">
        <f t="shared" si="132"/>
        <v>0</v>
      </c>
      <c r="T365" s="176">
        <f t="shared" si="133"/>
        <v>6</v>
      </c>
      <c r="U365" s="251">
        <f t="shared" si="134"/>
        <v>0.99999961231029155</v>
      </c>
      <c r="V365" s="383">
        <f t="shared" si="135"/>
        <v>24.568457686096618</v>
      </c>
      <c r="W365" s="402">
        <f t="shared" si="136"/>
        <v>2.7738597864253109</v>
      </c>
      <c r="X365" s="157">
        <f t="shared" si="137"/>
        <v>45277</v>
      </c>
      <c r="Y365" s="385">
        <f t="shared" si="138"/>
        <v>2.5397021844476857</v>
      </c>
      <c r="Z365" s="385">
        <f t="shared" si="139"/>
        <v>2.6554048579716558</v>
      </c>
      <c r="AA365" s="386">
        <f t="shared" si="140"/>
        <v>3.0113742109949642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0.11820827571798029</v>
      </c>
      <c r="AD365" s="231">
        <f>(INDEX(Models!$BJ365:$BT365,,AH365)*(1-AF365)+INDEX(Models!$BJ365:$BT365,,AH365+1)*AF365-ERP_i)*AE365*Ramure*Pc/MaxiM</f>
        <v>6.9370186815999315E-3</v>
      </c>
      <c r="AE365" s="305">
        <f t="shared" si="142"/>
        <v>0.7</v>
      </c>
      <c r="AF365" s="177">
        <f t="shared" si="143"/>
        <v>0.99999961231029155</v>
      </c>
      <c r="AG365" s="919">
        <f t="shared" si="149"/>
        <v>0</v>
      </c>
      <c r="AH365" s="176">
        <f t="shared" si="144"/>
        <v>6</v>
      </c>
      <c r="AI365" s="225">
        <f t="shared" si="145"/>
        <v>0.99999961231029155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1090">
        <f>IF(t&gt;Tmaj,'2022'!Wh/'2022'!Env_an*'2023'!Env_an,0.001*'[14]mon-tableau (2)'!$B$55)</f>
        <v>21.868203570783276</v>
      </c>
      <c r="C366" s="953"/>
      <c r="D366" s="393">
        <f t="shared" si="127"/>
        <v>22.864966703228543</v>
      </c>
      <c r="E366" s="385">
        <f t="shared" si="150"/>
        <v>23.743815942327522</v>
      </c>
      <c r="F366" s="385">
        <f t="shared" si="128"/>
        <v>23.882123665837071</v>
      </c>
      <c r="G366" s="110">
        <f t="shared" si="151"/>
        <v>0.88836074184067948</v>
      </c>
      <c r="H366" s="412" t="b">
        <f>Wh_hp&gt;='2022'!Maxi_hp</f>
        <v>0</v>
      </c>
      <c r="I366" s="390">
        <f>IF(H366,Wh_hp,'2022'!Maxi_hp)</f>
        <v>28.032685021410803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4.3593465294857525E-2</v>
      </c>
      <c r="M366" s="957"/>
      <c r="N366" s="957"/>
      <c r="O366" s="48">
        <f>IF(t&lt;Tnet,'2022'!Resal+('2022'!Salim-'2022'!Resal)*(1-EXP(('2022'!Tnet-t)/('2022'!Tau_j))),Resal+(Salim-Resal)*(1-EXP((Tnet-t)/(Tau_j))))*Salcycl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6.8787635908606707E-3</v>
      </c>
      <c r="Q366" s="305">
        <f t="shared" si="130"/>
        <v>0.7</v>
      </c>
      <c r="R366" s="177">
        <f t="shared" si="131"/>
        <v>7.8009299608883254E-6</v>
      </c>
      <c r="S366" s="919">
        <f t="shared" si="132"/>
        <v>1</v>
      </c>
      <c r="T366" s="176">
        <f t="shared" si="133"/>
        <v>7</v>
      </c>
      <c r="U366" s="251">
        <f t="shared" si="134"/>
        <v>1.0000078009299609</v>
      </c>
      <c r="V366" s="383">
        <f t="shared" si="135"/>
        <v>24.589429033287733</v>
      </c>
      <c r="W366" s="402">
        <f t="shared" si="136"/>
        <v>21.868203570783276</v>
      </c>
      <c r="X366" s="157">
        <f t="shared" si="137"/>
        <v>45278</v>
      </c>
      <c r="Y366" s="385">
        <f t="shared" si="138"/>
        <v>20.024173815437461</v>
      </c>
      <c r="Z366" s="385">
        <f t="shared" si="139"/>
        <v>20.936885193502842</v>
      </c>
      <c r="AA366" s="386">
        <f t="shared" si="140"/>
        <v>23.743815942327522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0.11821733943872234</v>
      </c>
      <c r="AD366" s="231">
        <f>(INDEX(Models!$BJ366:$BT366,,AH366)*(1-AF366)+INDEX(Models!$BJ366:$BT366,,AH366+1)*AF366-ERP_i)*AE366*Ramure*Pc/MaxiM</f>
        <v>6.8787635908606707E-3</v>
      </c>
      <c r="AE366" s="305">
        <f t="shared" si="142"/>
        <v>0.7</v>
      </c>
      <c r="AF366" s="177">
        <f t="shared" si="143"/>
        <v>7.8009299608883254E-6</v>
      </c>
      <c r="AG366" s="919">
        <f t="shared" si="149"/>
        <v>1</v>
      </c>
      <c r="AH366" s="176">
        <f t="shared" si="144"/>
        <v>7</v>
      </c>
      <c r="AI366" s="225">
        <f t="shared" si="145"/>
        <v>1.0000078009299609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1090">
        <f>IF(t&gt;Tmaj,'2022'!Wh/'2022'!Env_an*'2023'!Env_an,0.001*'[14]mon-tableau (2)'!$B$56)</f>
        <v>18.510913904004784</v>
      </c>
      <c r="C367" s="953"/>
      <c r="D367" s="393">
        <f t="shared" si="127"/>
        <v>19.355074100485496</v>
      </c>
      <c r="E367" s="385">
        <f t="shared" si="150"/>
        <v>20.101226206247556</v>
      </c>
      <c r="F367" s="385">
        <f t="shared" si="128"/>
        <v>20.190216675222679</v>
      </c>
      <c r="G367" s="110">
        <f t="shared" si="151"/>
        <v>0.74997731967931558</v>
      </c>
      <c r="H367" s="412" t="b">
        <f>Wh_hp&gt;='2022'!Maxi_hp</f>
        <v>0</v>
      </c>
      <c r="I367" s="390">
        <f>IF(H367,Wh_hp,'2022'!Maxi_hp)</f>
        <v>27.478360183893841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4.3614413052520229E-2</v>
      </c>
      <c r="M367" s="957"/>
      <c r="N367" s="957"/>
      <c r="O367" s="48">
        <f>IF(t&lt;Tnet,'2022'!Resal+('2022'!Salim-'2022'!Resal)*(1-EXP(('2022'!Tnet-t)/('2022'!Tau_j))),Resal+(Salim-Resal)*(1-EXP((Tnet-t)/(Tau_j))))*Salcycl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6.8288700697573803E-3</v>
      </c>
      <c r="Q367" s="305">
        <f t="shared" si="130"/>
        <v>0.7</v>
      </c>
      <c r="R367" s="177">
        <f t="shared" si="131"/>
        <v>1.5660103926951052E-5</v>
      </c>
      <c r="S367" s="919">
        <f t="shared" si="132"/>
        <v>1</v>
      </c>
      <c r="T367" s="176">
        <f t="shared" si="133"/>
        <v>7</v>
      </c>
      <c r="U367" s="251">
        <f t="shared" si="134"/>
        <v>1.000015660103927</v>
      </c>
      <c r="V367" s="383">
        <f t="shared" si="135"/>
        <v>24.621938742775814</v>
      </c>
      <c r="W367" s="402">
        <f t="shared" si="136"/>
        <v>18.510913904004784</v>
      </c>
      <c r="X367" s="157">
        <f t="shared" si="137"/>
        <v>45279</v>
      </c>
      <c r="Y367" s="385">
        <f t="shared" si="138"/>
        <v>16.951656450880368</v>
      </c>
      <c r="Z367" s="385">
        <f t="shared" si="139"/>
        <v>17.724709240951029</v>
      </c>
      <c r="AA367" s="386">
        <f t="shared" si="140"/>
        <v>20.101226206247556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0.11822746239022448</v>
      </c>
      <c r="AD367" s="231">
        <f>(INDEX(Models!$BJ367:$BT367,,AH367)*(1-AF367)+INDEX(Models!$BJ367:$BT367,,AH367+1)*AF367-ERP_i)*AE367*Ramure*Pc/MaxiM</f>
        <v>6.8288700697573803E-3</v>
      </c>
      <c r="AE367" s="305">
        <f t="shared" si="142"/>
        <v>0.7</v>
      </c>
      <c r="AF367" s="177">
        <f t="shared" si="143"/>
        <v>1.5660103926951052E-5</v>
      </c>
      <c r="AG367" s="919">
        <f t="shared" si="149"/>
        <v>1</v>
      </c>
      <c r="AH367" s="176">
        <f t="shared" si="144"/>
        <v>7</v>
      </c>
      <c r="AI367" s="225">
        <f t="shared" si="145"/>
        <v>1.000015660103927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1090">
        <f>IF(t&gt;Tmaj,'2022'!Wh/'2022'!Env_an*'2023'!Env_an,0.001*'[14]mon-tableau (2)'!$B$57)</f>
        <v>4.5098230021142376</v>
      </c>
      <c r="C368" s="953"/>
      <c r="D368" s="393">
        <f t="shared" si="127"/>
        <v>4.7155894468987993</v>
      </c>
      <c r="E368" s="385">
        <f t="shared" si="150"/>
        <v>4.8979184954906749</v>
      </c>
      <c r="F368" s="385">
        <f t="shared" si="128"/>
        <v>4.8979184954906749</v>
      </c>
      <c r="G368" s="110">
        <f t="shared" si="151"/>
        <v>0.181598235882621</v>
      </c>
      <c r="H368" s="412" t="b">
        <f>Wh_hp&gt;='2022'!Maxi_hp</f>
        <v>0</v>
      </c>
      <c r="I368" s="390">
        <f>IF(H368,Wh_hp,'2022'!Maxi_hp)</f>
        <v>28.081044157306998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4.3635360351373276E-2</v>
      </c>
      <c r="M368" s="957"/>
      <c r="N368" s="957"/>
      <c r="O368" s="48">
        <f>IF(t&lt;Tnet,'2022'!Resal+('2022'!Salim-'2022'!Resal)*(1-EXP(('2022'!Tnet-t)/('2022'!Tau_j))),Resal+(Salim-Resal)*(1-EXP((Tnet-t)/(Tau_j))))*Salcycl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6.787408384032142E-3</v>
      </c>
      <c r="Q368" s="305">
        <f t="shared" si="130"/>
        <v>0.7</v>
      </c>
      <c r="R368" s="177">
        <f t="shared" si="131"/>
        <v>2.3203076765287989E-5</v>
      </c>
      <c r="S368" s="919">
        <f t="shared" si="132"/>
        <v>1</v>
      </c>
      <c r="T368" s="176">
        <f t="shared" si="133"/>
        <v>7</v>
      </c>
      <c r="U368" s="251">
        <f t="shared" si="134"/>
        <v>1.0000232030767653</v>
      </c>
      <c r="V368" s="383">
        <f t="shared" si="135"/>
        <v>24.665509386084562</v>
      </c>
      <c r="W368" s="402">
        <f t="shared" si="136"/>
        <v>4.5098230021142376</v>
      </c>
      <c r="X368" s="157">
        <f t="shared" si="137"/>
        <v>45280</v>
      </c>
      <c r="Y368" s="385">
        <f t="shared" si="138"/>
        <v>4.1303434039214126</v>
      </c>
      <c r="Z368" s="385">
        <f t="shared" si="139"/>
        <v>4.3187956064947386</v>
      </c>
      <c r="AA368" s="386">
        <f t="shared" si="140"/>
        <v>4.8979184954906749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0.11823857206466636</v>
      </c>
      <c r="AD368" s="231">
        <f>(INDEX(Models!$BJ368:$BT368,,AH368)*(1-AF368)+INDEX(Models!$BJ368:$BT368,,AH368+1)*AF368-ERP_i)*AE368*Ramure*Pc/MaxiM</f>
        <v>6.787408384032142E-3</v>
      </c>
      <c r="AE368" s="305">
        <f t="shared" si="142"/>
        <v>0.7</v>
      </c>
      <c r="AF368" s="177">
        <f t="shared" si="143"/>
        <v>2.3203076765287989E-5</v>
      </c>
      <c r="AG368" s="919">
        <f t="shared" si="149"/>
        <v>1</v>
      </c>
      <c r="AH368" s="176">
        <f t="shared" si="144"/>
        <v>7</v>
      </c>
      <c r="AI368" s="225">
        <f t="shared" si="145"/>
        <v>1.0000232030767653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1090">
        <f>IF(t&gt;Tmaj,'2022'!Wh/'2022'!Env_an*'2023'!Env_an,0.001*'[14]mon-tableau (2)'!$B$58)</f>
        <v>22.791474117903476</v>
      </c>
      <c r="C369" s="953"/>
      <c r="D369" s="393">
        <f t="shared" si="127"/>
        <v>23.831886265668651</v>
      </c>
      <c r="E369" s="385">
        <f t="shared" si="150"/>
        <v>24.756082158659908</v>
      </c>
      <c r="F369" s="385">
        <f t="shared" si="128"/>
        <v>24.905559697496194</v>
      </c>
      <c r="G369" s="110">
        <f t="shared" si="151"/>
        <v>0.92129960956880397</v>
      </c>
      <c r="H369" s="412" t="b">
        <f>Wh_hp&gt;='2022'!Maxi_hp</f>
        <v>0</v>
      </c>
      <c r="I369" s="390">
        <f>IF(H369,Wh_hp,'2022'!Maxi_hp)</f>
        <v>24.910992289500552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4.3656307191426769E-2</v>
      </c>
      <c r="M369" s="957"/>
      <c r="N369" s="957"/>
      <c r="O369" s="48">
        <f>IF(t&lt;Tnet,'2022'!Resal+('2022'!Salim-'2022'!Resal)*(1-EXP(('2022'!Tnet-t)/('2022'!Tau_j))),Resal+(Salim-Resal)*(1-EXP((Tnet-t)/(Tau_j))))*Salcycl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6.7544324001468665E-3</v>
      </c>
      <c r="Q369" s="305">
        <f t="shared" si="130"/>
        <v>0.7</v>
      </c>
      <c r="R369" s="177">
        <f t="shared" si="131"/>
        <v>3.0442561352206354E-5</v>
      </c>
      <c r="S369" s="919">
        <f t="shared" si="132"/>
        <v>1</v>
      </c>
      <c r="T369" s="176">
        <f t="shared" si="133"/>
        <v>7</v>
      </c>
      <c r="U369" s="251">
        <f t="shared" si="134"/>
        <v>1.0000304425613522</v>
      </c>
      <c r="V369" s="383">
        <f t="shared" si="135"/>
        <v>24.719663514460755</v>
      </c>
      <c r="W369" s="402">
        <f t="shared" si="136"/>
        <v>22.791474117903476</v>
      </c>
      <c r="X369" s="157">
        <f t="shared" si="137"/>
        <v>45281</v>
      </c>
      <c r="Y369" s="385">
        <f t="shared" si="138"/>
        <v>20.875701941619013</v>
      </c>
      <c r="Z369" s="385">
        <f t="shared" si="139"/>
        <v>21.82866065683104</v>
      </c>
      <c r="AA369" s="386">
        <f t="shared" si="140"/>
        <v>24.756082158659908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0.11825059729028363</v>
      </c>
      <c r="AD369" s="231">
        <f>(INDEX(Models!$BJ369:$BT369,,AH369)*(1-AF369)+INDEX(Models!$BJ369:$BT369,,AH369+1)*AF369-ERP_i)*AE369*Ramure*Pc/MaxiM</f>
        <v>6.7544324001468665E-3</v>
      </c>
      <c r="AE369" s="305">
        <f t="shared" si="142"/>
        <v>0.7</v>
      </c>
      <c r="AF369" s="177">
        <f t="shared" si="143"/>
        <v>3.0442561352206354E-5</v>
      </c>
      <c r="AG369" s="919">
        <f t="shared" si="149"/>
        <v>1</v>
      </c>
      <c r="AH369" s="176">
        <f t="shared" si="144"/>
        <v>7</v>
      </c>
      <c r="AI369" s="225">
        <f t="shared" si="145"/>
        <v>1.0000304425613522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1090">
        <f>IF(t&gt;Tmaj,'2022'!Wh/'2022'!Env_an*'2023'!Env_an,0.001*'[14]mon-tableau (2)'!$B$59)</f>
        <v>17.624132326961654</v>
      </c>
      <c r="C370" s="953"/>
      <c r="D370" s="393">
        <f t="shared" si="127"/>
        <v>18.429063193156278</v>
      </c>
      <c r="E370" s="385">
        <f t="shared" si="150"/>
        <v>19.145854574070757</v>
      </c>
      <c r="F370" s="385">
        <f t="shared" si="128"/>
        <v>19.221829461347003</v>
      </c>
      <c r="G370" s="110">
        <f t="shared" si="151"/>
        <v>0.70912855409262032</v>
      </c>
      <c r="H370" s="412" t="b">
        <f>Wh_hp&gt;='2022'!Maxi_hp</f>
        <v>0</v>
      </c>
      <c r="I370" s="390">
        <f>IF(H370,Wh_hp,'2022'!Maxi_hp)</f>
        <v>27.058641236912877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4.3677253572690589E-2</v>
      </c>
      <c r="M370" s="957"/>
      <c r="N370" s="957"/>
      <c r="O370" s="48">
        <f>IF(t&lt;Tnet,'2022'!Resal+('2022'!Salim-'2022'!Resal)*(1-EXP(('2022'!Tnet-t)/('2022'!Tau_j))),Resal+(Salim-Resal)*(1-EXP((Tnet-t)/(Tau_j))))*Salcycl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6.72998031151412E-3</v>
      </c>
      <c r="Q370" s="305">
        <f t="shared" si="130"/>
        <v>0.7</v>
      </c>
      <c r="R370" s="177">
        <f t="shared" si="131"/>
        <v>3.7390760149635938E-5</v>
      </c>
      <c r="S370" s="919">
        <f t="shared" si="132"/>
        <v>1</v>
      </c>
      <c r="T370" s="176">
        <f t="shared" si="133"/>
        <v>7</v>
      </c>
      <c r="U370" s="251">
        <f t="shared" si="134"/>
        <v>1.0000373907601496</v>
      </c>
      <c r="V370" s="383">
        <f t="shared" si="135"/>
        <v>24.783923671170459</v>
      </c>
      <c r="W370" s="402">
        <f t="shared" si="136"/>
        <v>17.624132326961654</v>
      </c>
      <c r="X370" s="157">
        <f t="shared" si="137"/>
        <v>45282</v>
      </c>
      <c r="Y370" s="385">
        <f t="shared" si="138"/>
        <v>16.144257504902285</v>
      </c>
      <c r="Z370" s="385">
        <f t="shared" si="139"/>
        <v>16.881599402727808</v>
      </c>
      <c r="AA370" s="386">
        <f t="shared" si="140"/>
        <v>19.145854574070757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0.11826346860533622</v>
      </c>
      <c r="AD370" s="231">
        <f>(INDEX(Models!$BJ370:$BT370,,AH370)*(1-AF370)+INDEX(Models!$BJ370:$BT370,,AH370+1)*AF370-ERP_i)*AE370*Ramure*Pc/MaxiM</f>
        <v>6.72998031151412E-3</v>
      </c>
      <c r="AE370" s="305">
        <f t="shared" si="142"/>
        <v>0.7</v>
      </c>
      <c r="AF370" s="177">
        <f t="shared" si="143"/>
        <v>3.7390760149635938E-5</v>
      </c>
      <c r="AG370" s="919">
        <f t="shared" si="149"/>
        <v>1</v>
      </c>
      <c r="AH370" s="176">
        <f t="shared" si="144"/>
        <v>7</v>
      </c>
      <c r="AI370" s="225">
        <f t="shared" si="145"/>
        <v>1.0000373907601496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1090">
        <f>IF(t&gt;Tmaj,'2022'!Wh/'2022'!Env_an*'2023'!Env_an,0.001*'[14]mon-tableau (2)'!$B$60)</f>
        <v>18.179439572107761</v>
      </c>
      <c r="C371" s="953"/>
      <c r="D371" s="393">
        <f t="shared" si="127"/>
        <v>19.010148848941792</v>
      </c>
      <c r="E371" s="385">
        <f t="shared" si="150"/>
        <v>19.751726904899289</v>
      </c>
      <c r="F371" s="385">
        <f t="shared" si="128"/>
        <v>19.833782587676385</v>
      </c>
      <c r="G371" s="110">
        <f t="shared" si="151"/>
        <v>0.72944464768041373</v>
      </c>
      <c r="H371" s="412" t="b">
        <f>Wh_hp&gt;='2022'!Maxi_hp</f>
        <v>0</v>
      </c>
      <c r="I371" s="390">
        <f>IF(H371,Wh_hp,'2022'!Maxi_hp)</f>
        <v>22.375250435644084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4.3698199495175061E-2</v>
      </c>
      <c r="M371" s="957"/>
      <c r="N371" s="957"/>
      <c r="O371" s="48">
        <f>IF(t&lt;Tnet,'2022'!Resal+('2022'!Salim-'2022'!Resal)*(1-EXP(('2022'!Tnet-t)/('2022'!Tau_j))),Resal+(Salim-Resal)*(1-EXP((Tnet-t)/(Tau_j))))*Salcycl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6.7140473090833317E-3</v>
      </c>
      <c r="Q371" s="305">
        <f t="shared" si="130"/>
        <v>0.7</v>
      </c>
      <c r="R371" s="177">
        <f t="shared" si="131"/>
        <v>3.7390760149635938E-5</v>
      </c>
      <c r="S371" s="919">
        <f t="shared" si="132"/>
        <v>1</v>
      </c>
      <c r="T371" s="176">
        <f t="shared" si="133"/>
        <v>7</v>
      </c>
      <c r="U371" s="251">
        <f t="shared" si="134"/>
        <v>1.0000373907601496</v>
      </c>
      <c r="V371" s="383">
        <f t="shared" si="135"/>
        <v>24.857813111682805</v>
      </c>
      <c r="W371" s="402">
        <f t="shared" si="136"/>
        <v>18.179439572107761</v>
      </c>
      <c r="X371" s="157">
        <f t="shared" si="137"/>
        <v>45283</v>
      </c>
      <c r="Y371" s="385">
        <f t="shared" si="138"/>
        <v>16.654521400167926</v>
      </c>
      <c r="Z371" s="385">
        <f t="shared" si="139"/>
        <v>17.415549559120482</v>
      </c>
      <c r="AA371" s="386">
        <f t="shared" si="140"/>
        <v>19.751726904899289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0.11827711860471966</v>
      </c>
      <c r="AD371" s="231">
        <f>(INDEX(Models!$BJ371:$BT371,,AH371)*(1-AF371)+INDEX(Models!$BJ371:$BT371,,AH371+1)*AF371-ERP_i)*AE371*Ramure*Pc/MaxiM</f>
        <v>6.7140473090833317E-3</v>
      </c>
      <c r="AE371" s="305">
        <f t="shared" si="142"/>
        <v>0.7</v>
      </c>
      <c r="AF371" s="177">
        <f t="shared" si="143"/>
        <v>3.7390760149635938E-5</v>
      </c>
      <c r="AG371" s="919">
        <f t="shared" si="149"/>
        <v>1</v>
      </c>
      <c r="AH371" s="176">
        <f t="shared" si="144"/>
        <v>7</v>
      </c>
      <c r="AI371" s="225">
        <f t="shared" si="145"/>
        <v>1.0000373907601496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1090">
        <f>IF(t&gt;Tmaj,'2022'!Wh/'2022'!Env_an*'2023'!Env_an,0.001*'[14]mon-tableau (2)'!$B$61)</f>
        <v>23.827344450905859</v>
      </c>
      <c r="C372" s="953"/>
      <c r="D372" s="393">
        <f t="shared" si="127"/>
        <v>24.916680413811623</v>
      </c>
      <c r="E372" s="385">
        <f t="shared" si="150"/>
        <v>25.891537825070877</v>
      </c>
      <c r="F372" s="385">
        <f t="shared" si="128"/>
        <v>26.055135751735055</v>
      </c>
      <c r="G372" s="110">
        <f t="shared" si="151"/>
        <v>0.95494276060946304</v>
      </c>
      <c r="H372" s="412" t="b">
        <f>Wh_hp&gt;='2022'!Maxi_hp</f>
        <v>0</v>
      </c>
      <c r="I372" s="390">
        <f>IF(H372,Wh_hp,'2022'!Maxi_hp)</f>
        <v>26.058366760207068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4.3719144958889955E-2</v>
      </c>
      <c r="M372" s="957"/>
      <c r="N372" s="957"/>
      <c r="O372" s="48">
        <f>IF(t&lt;Tnet,'2022'!Resal+('2022'!Salim-'2022'!Resal)*(1-EXP(('2022'!Tnet-t)/('2022'!Tau_j))),Resal+(Salim-Resal)*(1-EXP((Tnet-t)/(Tau_j))))*Salcycl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6.7066639078642307E-3</v>
      </c>
      <c r="Q372" s="305">
        <f t="shared" si="130"/>
        <v>0.7</v>
      </c>
      <c r="R372" s="177">
        <f t="shared" si="131"/>
        <v>3.7390760149635938E-5</v>
      </c>
      <c r="S372" s="919">
        <f t="shared" si="132"/>
        <v>1</v>
      </c>
      <c r="T372" s="176">
        <f t="shared" si="133"/>
        <v>7</v>
      </c>
      <c r="U372" s="251">
        <f t="shared" si="134"/>
        <v>1.0000373907601496</v>
      </c>
      <c r="V372" s="383">
        <f t="shared" si="135"/>
        <v>24.940853903928804</v>
      </c>
      <c r="W372" s="402">
        <f t="shared" si="136"/>
        <v>23.827344450905859</v>
      </c>
      <c r="X372" s="157">
        <f t="shared" si="137"/>
        <v>45284</v>
      </c>
      <c r="Y372" s="385">
        <f t="shared" si="138"/>
        <v>21.830734283157692</v>
      </c>
      <c r="Z372" s="385">
        <f t="shared" si="139"/>
        <v>22.828789437825982</v>
      </c>
      <c r="AA372" s="386">
        <f t="shared" si="140"/>
        <v>25.891537825070877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0.1182914822571576</v>
      </c>
      <c r="AD372" s="231">
        <f>(INDEX(Models!$BJ372:$BT372,,AH372)*(1-AF372)+INDEX(Models!$BJ372:$BT372,,AH372+1)*AF372-ERP_i)*AE372*Ramure*Pc/MaxiM</f>
        <v>6.7066639078642307E-3</v>
      </c>
      <c r="AE372" s="305">
        <f t="shared" si="142"/>
        <v>0.7</v>
      </c>
      <c r="AF372" s="177">
        <f t="shared" si="143"/>
        <v>3.7390760149635938E-5</v>
      </c>
      <c r="AG372" s="919">
        <f t="shared" si="149"/>
        <v>1</v>
      </c>
      <c r="AH372" s="176">
        <f t="shared" si="144"/>
        <v>7</v>
      </c>
      <c r="AI372" s="225">
        <f t="shared" si="145"/>
        <v>1.0000373907601496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1090">
        <f>IF(t&gt;Tmaj,'2022'!Wh/'2022'!Env_an*'2023'!Env_an,0.001*'[14]mon-tableau (2)'!$B$62)</f>
        <v>13.956833470241014</v>
      </c>
      <c r="C373" s="953"/>
      <c r="D373" s="393">
        <f t="shared" si="127"/>
        <v>14.595230150047104</v>
      </c>
      <c r="E373" s="385">
        <f t="shared" si="150"/>
        <v>15.167945665607293</v>
      </c>
      <c r="F373" s="385">
        <f t="shared" si="128"/>
        <v>15.205450599618148</v>
      </c>
      <c r="G373" s="110">
        <f t="shared" si="151"/>
        <v>0.55507621942694474</v>
      </c>
      <c r="H373" s="412" t="b">
        <f>Wh_hp&gt;='2022'!Maxi_hp</f>
        <v>0</v>
      </c>
      <c r="I373" s="390">
        <f>IF(H373,Wh_hp,'2022'!Maxi_hp)</f>
        <v>18.791308820692279</v>
      </c>
      <c r="J373" s="85">
        <f>IF(H373,An,'2022'!An_max)</f>
        <v>2019</v>
      </c>
      <c r="K373" s="197">
        <f t="shared" si="129"/>
        <v>45285</v>
      </c>
      <c r="L373" s="147">
        <f>IF(t&lt;Tvie,1-EXP((T0-t)*PertePVj)+'2022'!Pspv,1-EXP((T0-t)*PertePVj)+Pspv)</f>
        <v>4.3740089963845485E-2</v>
      </c>
      <c r="M373" s="957"/>
      <c r="N373" s="957"/>
      <c r="O373" s="48">
        <f>IF(t&lt;Tnet,'2022'!Resal+('2022'!Salim-'2022'!Resal)*(1-EXP(('2022'!Tnet-t)/('2022'!Tau_j))),Resal+(Salim-Resal)*(1-EXP((Tnet-t)/(Tau_j))))*Salcycl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6.7065872930140253E-3</v>
      </c>
      <c r="Q373" s="305">
        <f t="shared" si="130"/>
        <v>0.7</v>
      </c>
      <c r="R373" s="177">
        <f t="shared" si="131"/>
        <v>3.7390760149635938E-5</v>
      </c>
      <c r="S373" s="919">
        <f t="shared" si="132"/>
        <v>1</v>
      </c>
      <c r="T373" s="176">
        <f t="shared" si="133"/>
        <v>7</v>
      </c>
      <c r="U373" s="251">
        <f t="shared" si="134"/>
        <v>1.0000373907601496</v>
      </c>
      <c r="V373" s="383">
        <f t="shared" si="135"/>
        <v>25.037119408081626</v>
      </c>
      <c r="W373" s="402">
        <f t="shared" si="136"/>
        <v>13.956833470241014</v>
      </c>
      <c r="X373" s="157">
        <f t="shared" si="137"/>
        <v>45285</v>
      </c>
      <c r="Y373" s="385">
        <f t="shared" si="138"/>
        <v>12.788521963420465</v>
      </c>
      <c r="Z373" s="385">
        <f t="shared" si="139"/>
        <v>13.373479144322753</v>
      </c>
      <c r="AA373" s="386">
        <f t="shared" si="140"/>
        <v>15.167945665607293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0.11830649719120649</v>
      </c>
      <c r="AD373" s="231">
        <f>(INDEX(Models!$BJ373:$BT373,,AH373)*(1-AF373)+INDEX(Models!$BJ373:$BT373,,AH373+1)*AF373-ERP_i)*AE373*Ramure*Pc/MaxiM</f>
        <v>6.7065872930140253E-3</v>
      </c>
      <c r="AE373" s="305">
        <f t="shared" si="142"/>
        <v>0.7</v>
      </c>
      <c r="AF373" s="177">
        <f t="shared" si="143"/>
        <v>3.7390760149635938E-5</v>
      </c>
      <c r="AG373" s="919">
        <f t="shared" si="149"/>
        <v>1</v>
      </c>
      <c r="AH373" s="176">
        <f t="shared" si="144"/>
        <v>7</v>
      </c>
      <c r="AI373" s="225">
        <f t="shared" si="145"/>
        <v>1.0000373907601496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1090">
        <f>IF(t&gt;Tmaj,'2022'!Wh/'2022'!Env_an*'2023'!Env_an,0.001*'[14]mon-tableau (2)'!$B$63)</f>
        <v>23.040934728855365</v>
      </c>
      <c r="C374" s="953"/>
      <c r="D374" s="393">
        <f t="shared" si="127"/>
        <v>24.095373186397897</v>
      </c>
      <c r="E374" s="385">
        <f t="shared" si="150"/>
        <v>25.043652055100509</v>
      </c>
      <c r="F374" s="385">
        <f t="shared" si="128"/>
        <v>25.192503355496594</v>
      </c>
      <c r="G374" s="110">
        <f t="shared" si="151"/>
        <v>0.91539805644558836</v>
      </c>
      <c r="H374" s="412" t="b">
        <f>Wh_hp&gt;='2022'!Maxi_hp</f>
        <v>0</v>
      </c>
      <c r="I374" s="390">
        <f>IF(H374,Wh_hp,'2022'!Maxi_hp)</f>
        <v>26.329619230701343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4.3761034510051644E-2</v>
      </c>
      <c r="M374" s="957"/>
      <c r="N374" s="957"/>
      <c r="O374" s="48">
        <f>IF(t&lt;Tnet,'2022'!Resal+('2022'!Salim-'2022'!Resal)*(1-EXP(('2022'!Tnet-t)/('2022'!Tau_j))),Resal+(Salim-Resal)*(1-EXP((Tnet-t)/(Tau_j))))*Salcycl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6.7127506377805454E-3</v>
      </c>
      <c r="Q374" s="305">
        <f t="shared" si="130"/>
        <v>0.7</v>
      </c>
      <c r="R374" s="177">
        <f t="shared" si="131"/>
        <v>3.7390760149635938E-5</v>
      </c>
      <c r="S374" s="919">
        <f t="shared" si="132"/>
        <v>1</v>
      </c>
      <c r="T374" s="176">
        <f t="shared" si="133"/>
        <v>7</v>
      </c>
      <c r="U374" s="251">
        <f t="shared" si="134"/>
        <v>1.0000373907601496</v>
      </c>
      <c r="V374" s="383">
        <f t="shared" si="135"/>
        <v>25.150037213601884</v>
      </c>
      <c r="W374" s="402">
        <f t="shared" si="136"/>
        <v>23.040934728855365</v>
      </c>
      <c r="X374" s="157">
        <f t="shared" si="137"/>
        <v>45286</v>
      </c>
      <c r="Y374" s="385">
        <f t="shared" si="138"/>
        <v>21.114171799272643</v>
      </c>
      <c r="Z374" s="385">
        <f t="shared" si="139"/>
        <v>22.080434453384118</v>
      </c>
      <c r="AA374" s="386">
        <f t="shared" si="140"/>
        <v>25.043652055100509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0.11832210394860875</v>
      </c>
      <c r="AD374" s="231">
        <f>(INDEX(Models!$BJ374:$BT374,,AH374)*(1-AF374)+INDEX(Models!$BJ374:$BT374,,AH374+1)*AF374-ERP_i)*AE374*Ramure*Pc/MaxiM</f>
        <v>6.7127506377805454E-3</v>
      </c>
      <c r="AE374" s="305">
        <f t="shared" si="142"/>
        <v>0.7</v>
      </c>
      <c r="AF374" s="177">
        <f t="shared" si="143"/>
        <v>3.7390760149635938E-5</v>
      </c>
      <c r="AG374" s="919">
        <f t="shared" si="149"/>
        <v>1</v>
      </c>
      <c r="AH374" s="176">
        <f t="shared" si="144"/>
        <v>7</v>
      </c>
      <c r="AI374" s="225">
        <f t="shared" si="145"/>
        <v>1.0000373907601496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1090">
        <f>IF(t&gt;Tmaj,'2022'!Wh/'2022'!Env_an*'2023'!Env_an,0.001*'[14]mon-tableau (2)'!$B$64)</f>
        <v>6.2574010667189617</v>
      </c>
      <c r="C375" s="953"/>
      <c r="D375" s="393">
        <f t="shared" si="127"/>
        <v>6.5439062291895036</v>
      </c>
      <c r="E375" s="385">
        <f t="shared" si="150"/>
        <v>6.8021982835792185</v>
      </c>
      <c r="F375" s="385">
        <f t="shared" si="128"/>
        <v>6.8021982835792185</v>
      </c>
      <c r="G375" s="110">
        <f t="shared" si="151"/>
        <v>0.24587695914360086</v>
      </c>
      <c r="H375" s="412" t="b">
        <f>Wh_hp&gt;='2022'!Maxi_hp</f>
        <v>0</v>
      </c>
      <c r="I375" s="390">
        <f>IF(H375,Wh_hp,'2022'!Maxi_hp)</f>
        <v>27.615988001355355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4.3781978597518423E-2</v>
      </c>
      <c r="M375" s="957"/>
      <c r="N375" s="957"/>
      <c r="O375" s="48">
        <f>IF(t&lt;Tnet,'2022'!Resal+('2022'!Salim-'2022'!Resal)*(1-EXP(('2022'!Tnet-t)/('2022'!Tau_j))),Resal+(Salim-Resal)*(1-EXP((Tnet-t)/(Tau_j))))*Salcycl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6.7237688766459925E-3</v>
      </c>
      <c r="Q375" s="305">
        <f t="shared" si="130"/>
        <v>0.7</v>
      </c>
      <c r="R375" s="177">
        <f t="shared" si="131"/>
        <v>3.7390760149635938E-5</v>
      </c>
      <c r="S375" s="919">
        <f t="shared" si="132"/>
        <v>1</v>
      </c>
      <c r="T375" s="176">
        <f t="shared" si="133"/>
        <v>7</v>
      </c>
      <c r="U375" s="251">
        <f t="shared" si="134"/>
        <v>1.0000373907601496</v>
      </c>
      <c r="V375" s="383">
        <f t="shared" si="135"/>
        <v>25.27820325184636</v>
      </c>
      <c r="W375" s="402">
        <f t="shared" si="136"/>
        <v>6.2574010667189617</v>
      </c>
      <c r="X375" s="157">
        <f t="shared" si="137"/>
        <v>45287</v>
      </c>
      <c r="Y375" s="385">
        <f t="shared" si="138"/>
        <v>5.7346671196160681</v>
      </c>
      <c r="Z375" s="385">
        <f t="shared" si="139"/>
        <v>5.9972380683696507</v>
      </c>
      <c r="AA375" s="386">
        <f t="shared" si="140"/>
        <v>6.8021982835792185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0.11833824620384482</v>
      </c>
      <c r="AD375" s="231">
        <f>(INDEX(Models!$BJ375:$BT375,,AH375)*(1-AF375)+INDEX(Models!$BJ375:$BT375,,AH375+1)*AF375-ERP_i)*AE375*Ramure*Pc/MaxiM</f>
        <v>6.7237688766459925E-3</v>
      </c>
      <c r="AE375" s="305">
        <f t="shared" si="142"/>
        <v>0.7</v>
      </c>
      <c r="AF375" s="177">
        <f t="shared" si="143"/>
        <v>3.7390760149635938E-5</v>
      </c>
      <c r="AG375" s="919">
        <f t="shared" si="149"/>
        <v>1</v>
      </c>
      <c r="AH375" s="176">
        <f t="shared" si="144"/>
        <v>7</v>
      </c>
      <c r="AI375" s="225">
        <f t="shared" si="145"/>
        <v>1.0000373907601496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1090">
        <f>IF(t&gt;Tmaj,'2022'!Wh/'2022'!Env_an*'2023'!Env_an,0.001*'[14]mon-tableau (2)'!$B$65)</f>
        <v>24.393186999369583</v>
      </c>
      <c r="C376" s="953"/>
      <c r="D376" s="393">
        <f t="shared" si="127"/>
        <v>25.510627010242249</v>
      </c>
      <c r="E376" s="385">
        <f t="shared" si="150"/>
        <v>26.520492787147752</v>
      </c>
      <c r="F376" s="385">
        <f t="shared" si="128"/>
        <v>26.68986981309903</v>
      </c>
      <c r="G376" s="110">
        <f t="shared" si="151"/>
        <v>0.95921930111205156</v>
      </c>
      <c r="H376" s="412" t="b">
        <f>Wh_hp&gt;='2022'!Maxi_hp</f>
        <v>0</v>
      </c>
      <c r="I376" s="390">
        <f>IF(H376,Wh_hp,'2022'!Maxi_hp)</f>
        <v>26.692887258732487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4.3802922226256036E-2</v>
      </c>
      <c r="M376" s="957"/>
      <c r="N376" s="957"/>
      <c r="O376" s="48">
        <f>IF(t&lt;Tnet,'2022'!Resal+('2022'!Salim-'2022'!Resal)*(1-EXP(('2022'!Tnet-t)/('2022'!Tau_j))),Resal+(Salim-Resal)*(1-EXP((Tnet-t)/(Tau_j))))*Salcycl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6.7348652969749546E-3</v>
      </c>
      <c r="Q376" s="305">
        <f t="shared" si="130"/>
        <v>0.7</v>
      </c>
      <c r="R376" s="177">
        <f t="shared" si="131"/>
        <v>3.7390760149635938E-5</v>
      </c>
      <c r="S376" s="919">
        <f t="shared" si="132"/>
        <v>1</v>
      </c>
      <c r="T376" s="176">
        <f t="shared" si="133"/>
        <v>7</v>
      </c>
      <c r="U376" s="251">
        <f t="shared" si="134"/>
        <v>1.0000373907601496</v>
      </c>
      <c r="V376" s="383">
        <f t="shared" si="135"/>
        <v>25.420301268010583</v>
      </c>
      <c r="W376" s="402">
        <f t="shared" si="136"/>
        <v>24.393186999369583</v>
      </c>
      <c r="X376" s="157">
        <f t="shared" si="137"/>
        <v>45288</v>
      </c>
      <c r="Y376" s="385">
        <f t="shared" si="138"/>
        <v>22.357478107390314</v>
      </c>
      <c r="Z376" s="385">
        <f t="shared" si="139"/>
        <v>23.381663285819574</v>
      </c>
      <c r="AA376" s="386">
        <f t="shared" si="140"/>
        <v>26.520492787147752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0.11835487094905357</v>
      </c>
      <c r="AD376" s="231">
        <f>(INDEX(Models!$BJ376:$BT376,,AH376)*(1-AF376)+INDEX(Models!$BJ376:$BT376,,AH376+1)*AF376-ERP_i)*AE376*Ramure*Pc/MaxiM</f>
        <v>6.7348652969749546E-3</v>
      </c>
      <c r="AE376" s="305">
        <f t="shared" si="142"/>
        <v>0.7</v>
      </c>
      <c r="AF376" s="177">
        <f t="shared" si="143"/>
        <v>3.7390760149635938E-5</v>
      </c>
      <c r="AG376" s="919">
        <f t="shared" si="149"/>
        <v>1</v>
      </c>
      <c r="AH376" s="176">
        <f t="shared" si="144"/>
        <v>7</v>
      </c>
      <c r="AI376" s="225">
        <f t="shared" si="145"/>
        <v>1.0000373907601496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1090">
        <f>IF(t&gt;Tmaj,'2022'!Wh/'2022'!Env_an*'2023'!Env_an,0.001*'[14]mon-tableau (2)'!$B$66)</f>
        <v>10.621116821112839</v>
      </c>
      <c r="C377" s="953"/>
      <c r="D377" s="393">
        <f t="shared" si="127"/>
        <v>11.107908299253483</v>
      </c>
      <c r="E377" s="385">
        <f t="shared" si="150"/>
        <v>11.548909908071074</v>
      </c>
      <c r="F377" s="385">
        <f t="shared" si="128"/>
        <v>11.561756985810826</v>
      </c>
      <c r="G377" s="110">
        <f t="shared" si="151"/>
        <v>0.41295189944439104</v>
      </c>
      <c r="H377" s="412" t="b">
        <f>Wh_hp&gt;='2022'!Maxi_hp</f>
        <v>0</v>
      </c>
      <c r="I377" s="390">
        <f>IF(H377,Wh_hp,'2022'!Maxi_hp)</f>
        <v>27.222037432287717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4.3823865396274364E-2</v>
      </c>
      <c r="M377" s="957"/>
      <c r="N377" s="957"/>
      <c r="O377" s="48">
        <f>IF(t&lt;Tnet,'2022'!Resal+('2022'!Salim-'2022'!Resal)*(1-EXP(('2022'!Tnet-t)/('2022'!Tau_j))),Resal+(Salim-Resal)*(1-EXP((Tnet-t)/(Tau_j))))*Salcycl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6.7463515761197242E-3</v>
      </c>
      <c r="Q377" s="305">
        <f t="shared" si="130"/>
        <v>0.7</v>
      </c>
      <c r="R377" s="177">
        <f t="shared" si="131"/>
        <v>3.7390760149635938E-5</v>
      </c>
      <c r="S377" s="919">
        <f t="shared" si="132"/>
        <v>1</v>
      </c>
      <c r="T377" s="176">
        <f t="shared" si="133"/>
        <v>7</v>
      </c>
      <c r="U377" s="251">
        <f t="shared" si="134"/>
        <v>1.0000373907601496</v>
      </c>
      <c r="V377" s="383">
        <f t="shared" si="135"/>
        <v>25.57488737565615</v>
      </c>
      <c r="W377" s="402">
        <f t="shared" si="136"/>
        <v>10.621116821112839</v>
      </c>
      <c r="X377" s="157">
        <f t="shared" si="137"/>
        <v>45289</v>
      </c>
      <c r="Y377" s="385">
        <f t="shared" si="138"/>
        <v>9.7356354440159123</v>
      </c>
      <c r="Z377" s="385">
        <f t="shared" si="139"/>
        <v>10.181843168519068</v>
      </c>
      <c r="AA377" s="386">
        <f t="shared" si="140"/>
        <v>11.548909908071074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0.11837192864381228</v>
      </c>
      <c r="AD377" s="231">
        <f>(INDEX(Models!$BJ377:$BT377,,AH377)*(1-AF377)+INDEX(Models!$BJ377:$BT377,,AH377+1)*AF377-ERP_i)*AE377*Ramure*Pc/MaxiM</f>
        <v>6.7463515761197242E-3</v>
      </c>
      <c r="AE377" s="305">
        <f t="shared" si="142"/>
        <v>0.7</v>
      </c>
      <c r="AF377" s="177">
        <f t="shared" si="143"/>
        <v>3.7390760149635938E-5</v>
      </c>
      <c r="AG377" s="919">
        <f t="shared" si="149"/>
        <v>1</v>
      </c>
      <c r="AH377" s="176">
        <f t="shared" si="144"/>
        <v>7</v>
      </c>
      <c r="AI377" s="225">
        <f t="shared" si="145"/>
        <v>1.0000373907601496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1090">
        <f>IF(t&gt;Tmaj,'2022'!Wh/'2022'!Env_an*'2023'!Env_an,0.001*'[14]mon-tableau (2)'!$B$67)</f>
        <v>15.253823263090654</v>
      </c>
      <c r="C378" s="953"/>
      <c r="D378" s="393">
        <f t="shared" si="127"/>
        <v>15.953292302790704</v>
      </c>
      <c r="E378" s="385">
        <f t="shared" si="150"/>
        <v>16.588506590321018</v>
      </c>
      <c r="F378" s="385">
        <f t="shared" si="128"/>
        <v>16.635502967970048</v>
      </c>
      <c r="G378" s="110">
        <f t="shared" si="151"/>
        <v>0.59026211462876355</v>
      </c>
      <c r="H378" s="412" t="b">
        <f>Wh_hp&gt;='2022'!Maxi_hp</f>
        <v>0</v>
      </c>
      <c r="I378" s="390">
        <f>IF(H378,Wh_hp,'2022'!Maxi_hp)</f>
        <v>27.784365944966957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4.3844808107583622E-2</v>
      </c>
      <c r="M378" s="957"/>
      <c r="N378" s="957"/>
      <c r="O378" s="48">
        <f>IF(t&lt;Tnet,'2022'!Resal+('2022'!Salim-'2022'!Resal)*(1-EXP(('2022'!Tnet-t)/('2022'!Tau_j))),Resal+(Salim-Resal)*(1-EXP((Tnet-t)/(Tau_j))))*Salcycl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6.7585358867621164E-3</v>
      </c>
      <c r="Q378" s="305">
        <f t="shared" si="130"/>
        <v>0.7</v>
      </c>
      <c r="R378" s="177">
        <f t="shared" si="131"/>
        <v>3.7390760149635938E-5</v>
      </c>
      <c r="S378" s="919">
        <f t="shared" si="132"/>
        <v>1</v>
      </c>
      <c r="T378" s="176">
        <f t="shared" si="133"/>
        <v>7</v>
      </c>
      <c r="U378" s="251">
        <f t="shared" si="134"/>
        <v>1.0000373907601496</v>
      </c>
      <c r="V378" s="383">
        <f t="shared" si="135"/>
        <v>25.740518376146813</v>
      </c>
      <c r="W378" s="402">
        <f t="shared" si="136"/>
        <v>15.253823263090654</v>
      </c>
      <c r="X378" s="157">
        <f t="shared" si="137"/>
        <v>45290</v>
      </c>
      <c r="Y378" s="385">
        <f t="shared" si="138"/>
        <v>13.983390748154465</v>
      </c>
      <c r="Z378" s="385">
        <f t="shared" si="139"/>
        <v>14.62460369061912</v>
      </c>
      <c r="AA378" s="386">
        <f t="shared" si="140"/>
        <v>16.588506590321018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0.11838937332959114</v>
      </c>
      <c r="AD378" s="231">
        <f>(INDEX(Models!$BJ378:$BT378,,AH378)*(1-AF378)+INDEX(Models!$BJ378:$BT378,,AH378+1)*AF378-ERP_i)*AE378*Ramure*Pc/MaxiM</f>
        <v>6.7585358867621164E-3</v>
      </c>
      <c r="AE378" s="305">
        <f t="shared" si="142"/>
        <v>0.7</v>
      </c>
      <c r="AF378" s="177">
        <f t="shared" si="143"/>
        <v>3.7390760149635938E-5</v>
      </c>
      <c r="AG378" s="919">
        <f t="shared" si="149"/>
        <v>1</v>
      </c>
      <c r="AH378" s="176">
        <f t="shared" si="144"/>
        <v>7</v>
      </c>
      <c r="AI378" s="225">
        <f t="shared" si="145"/>
        <v>1.0000373907601496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1090">
        <f>IF(t&gt;Tmaj,'2022'!Wh/'2022'!Env_an*'2023'!Env_an,0.001*'[14]mon-tableau (2)'!$B$68)</f>
        <v>11.53500659389135</v>
      </c>
      <c r="C379" s="953"/>
      <c r="D379" s="393">
        <f t="shared" si="127"/>
        <v>12.064212319804255</v>
      </c>
      <c r="E379" s="385">
        <f t="shared" si="150"/>
        <v>12.545968734832586</v>
      </c>
      <c r="F379" s="385">
        <f t="shared" si="128"/>
        <v>12.56360358563024</v>
      </c>
      <c r="G379" s="110">
        <f t="shared" si="151"/>
        <v>0.44270368364373225</v>
      </c>
      <c r="H379" s="412" t="b">
        <f>Wh_hp&gt;='2022'!Maxi_hp</f>
        <v>0</v>
      </c>
      <c r="I379" s="390">
        <f>IF(H379,Wh_hp,'2022'!Maxi_hp)</f>
        <v>28.039920073924794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4.3865750360193578E-2</v>
      </c>
      <c r="M379" s="957"/>
      <c r="N379" s="957"/>
      <c r="O379" s="48">
        <f>IF(t&lt;Tnet,'2022'!Resal+('2022'!Salim-'2022'!Resal)*(1-EXP(('2022'!Tnet-t)/('2022'!Tau_j))),Resal+(Salim-Resal)*(1-EXP((Tnet-t)/(Tau_j))))*Salcycl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6.7717218008055153E-3</v>
      </c>
      <c r="Q379" s="306">
        <f t="shared" si="130"/>
        <v>0.7</v>
      </c>
      <c r="R379" s="177">
        <f t="shared" si="131"/>
        <v>3.7390760149635938E-5</v>
      </c>
      <c r="S379" s="919">
        <f t="shared" si="132"/>
        <v>1</v>
      </c>
      <c r="T379" s="176">
        <f t="shared" si="133"/>
        <v>7</v>
      </c>
      <c r="U379" s="307">
        <f t="shared" si="134"/>
        <v>1.0000373907601496</v>
      </c>
      <c r="V379" s="383">
        <f t="shared" si="135"/>
        <v>25.915751754400141</v>
      </c>
      <c r="W379" s="402">
        <f t="shared" si="136"/>
        <v>11.53500659389135</v>
      </c>
      <c r="X379" s="157">
        <f t="shared" si="137"/>
        <v>45291</v>
      </c>
      <c r="Y379" s="385">
        <f t="shared" si="138"/>
        <v>10.575261841443243</v>
      </c>
      <c r="Z379" s="385">
        <f t="shared" si="139"/>
        <v>11.060436173505071</v>
      </c>
      <c r="AA379" s="386">
        <f t="shared" si="140"/>
        <v>12.545968734832586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0.11840716270901329</v>
      </c>
      <c r="AD379" s="231">
        <f>(INDEX(Models!$BJ379:$BT379,,AH379)*(1-AF379)+INDEX(Models!$BJ379:$BT379,,AH379+1)*AF379-ERP_i)*AE379*Ramure*Pc/MaxiM</f>
        <v>6.7717218008055153E-3</v>
      </c>
      <c r="AE379" s="306">
        <f t="shared" si="142"/>
        <v>0.7</v>
      </c>
      <c r="AF379" s="177">
        <f t="shared" si="143"/>
        <v>3.7390760149635938E-5</v>
      </c>
      <c r="AG379" s="919">
        <f t="shared" si="149"/>
        <v>1</v>
      </c>
      <c r="AH379" s="176">
        <f t="shared" si="144"/>
        <v>7</v>
      </c>
      <c r="AI379" s="222">
        <f t="shared" si="145"/>
        <v>1.0000373907601496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961"/>
      <c r="D380" s="401"/>
      <c r="E380" s="387"/>
      <c r="F380" s="387"/>
      <c r="G380" s="122"/>
      <c r="H380" s="412" t="b">
        <f>Wh_hp&gt;='2022'!Maxi_hp</f>
        <v>0</v>
      </c>
      <c r="I380" s="390">
        <f>IF(H380,Wh_hp,'2022'!Maxi_hp)</f>
        <v>15.624559392660943</v>
      </c>
      <c r="J380" s="85">
        <f>IF(H380,An,'2022'!An_max)</f>
        <v>2020</v>
      </c>
      <c r="K380" s="234"/>
      <c r="L380" s="214"/>
      <c r="M380" s="962"/>
      <c r="N380" s="962"/>
      <c r="O380" s="153"/>
      <c r="P380" s="322"/>
      <c r="Q380" s="229"/>
      <c r="R380" s="229"/>
      <c r="S380" s="229"/>
      <c r="T380" s="229"/>
      <c r="U380" s="323"/>
      <c r="V380" s="383">
        <f>(V379+V15)/2</f>
        <v>25.329554612632911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3.6212385741528186E-2</v>
      </c>
      <c r="M381" s="959"/>
      <c r="N381" s="959"/>
      <c r="O381" s="47">
        <f t="shared" si="152"/>
        <v>8.0885102312609237E-3</v>
      </c>
      <c r="P381" s="168">
        <f t="shared" si="152"/>
        <v>5.1172337414572325E-4</v>
      </c>
      <c r="Q381" s="310">
        <f t="shared" si="152"/>
        <v>0.7</v>
      </c>
      <c r="R381" s="311">
        <f t="shared" si="152"/>
        <v>7.8009299608883254E-6</v>
      </c>
      <c r="S381" s="919">
        <f t="shared" si="152"/>
        <v>0</v>
      </c>
      <c r="T381" s="176">
        <f t="shared" si="152"/>
        <v>6</v>
      </c>
      <c r="U381" s="252">
        <f>+MIN(U15:U380)</f>
        <v>0.50003866379632067</v>
      </c>
      <c r="V381" s="57">
        <f>MIN(V15:V380)</f>
        <v>24.559543195008768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0.11309609894694805</v>
      </c>
      <c r="AD381" s="168">
        <f t="shared" si="153"/>
        <v>5.1172337414572325E-4</v>
      </c>
      <c r="AE381" s="310">
        <f t="shared" si="153"/>
        <v>0.7</v>
      </c>
      <c r="AF381" s="311">
        <f t="shared" si="153"/>
        <v>7.8009299608883254E-6</v>
      </c>
      <c r="AG381" s="919">
        <f t="shared" si="153"/>
        <v>0</v>
      </c>
      <c r="AH381" s="176">
        <f t="shared" si="153"/>
        <v>6</v>
      </c>
      <c r="AI381" s="226">
        <f>MIN(AI15:AI380)</f>
        <v>0.50003866379632067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29.600645567027687</v>
      </c>
      <c r="C382" s="375"/>
      <c r="D382" s="375">
        <f>AVERAGE(D15:D380)</f>
        <v>30.834764356719816</v>
      </c>
      <c r="E382" s="375">
        <f>AVERAGE(E15:E380)</f>
        <v>32.253928884991282</v>
      </c>
      <c r="F382" s="376">
        <f>AVERAGE(F15:F380)</f>
        <v>32.331061741553519</v>
      </c>
      <c r="G382" s="126">
        <f>AVERAGE(G15:G380)</f>
        <v>0.66967021573658114</v>
      </c>
      <c r="H382" s="94"/>
      <c r="I382" s="376">
        <f>AVERAGE(I15:I380)</f>
        <v>44.05063002718434</v>
      </c>
      <c r="J382" s="59">
        <f>AVERAGE(J15:J380)</f>
        <v>2020.2513661202186</v>
      </c>
      <c r="K382" s="200" t="s">
        <v>8</v>
      </c>
      <c r="L382" s="147">
        <f t="shared" ref="L382:V382" si="154">AVERAGE(L15:L380)</f>
        <v>4.004413885791254E-2</v>
      </c>
      <c r="M382" s="957"/>
      <c r="N382" s="957"/>
      <c r="O382" s="48">
        <f t="shared" si="154"/>
        <v>5.0769603751172801E-2</v>
      </c>
      <c r="P382" s="169">
        <f t="shared" si="154"/>
        <v>3.2979569465412021E-3</v>
      </c>
      <c r="Q382" s="312">
        <f t="shared" si="154"/>
        <v>0.69999999999999529</v>
      </c>
      <c r="R382" s="177">
        <f t="shared" si="154"/>
        <v>0.7415660964119023</v>
      </c>
      <c r="S382" s="919">
        <f t="shared" si="154"/>
        <v>3.8356164383561646E-2</v>
      </c>
      <c r="T382" s="176">
        <f t="shared" si="154"/>
        <v>6.0383561643835613</v>
      </c>
      <c r="U382" s="251">
        <f t="shared" si="154"/>
        <v>0.77992226079546401</v>
      </c>
      <c r="V382" s="59">
        <f t="shared" si="154"/>
        <v>42.452752182073226</v>
      </c>
      <c r="X382" s="112" t="s">
        <v>8</v>
      </c>
      <c r="Y382" s="375">
        <f>AVERAGE(Y15:Y380)</f>
        <v>27.141373619253276</v>
      </c>
      <c r="Z382" s="375">
        <f>AVERAGE(Z15:Z380)</f>
        <v>28.271929929776391</v>
      </c>
      <c r="AA382" s="375">
        <f>AVERAGE(AA15:AA380)</f>
        <v>32.253928884991282</v>
      </c>
      <c r="AB382" s="200" t="s">
        <v>8</v>
      </c>
      <c r="AC382" s="48">
        <f t="shared" ref="AC382:AH382" si="155">AVERAGE(AC15:AC380)</f>
        <v>0.12436121612173433</v>
      </c>
      <c r="AD382" s="169">
        <f t="shared" si="155"/>
        <v>3.2979569465412021E-3</v>
      </c>
      <c r="AE382" s="312">
        <f t="shared" si="155"/>
        <v>0.69999999999999529</v>
      </c>
      <c r="AF382" s="177">
        <f t="shared" si="155"/>
        <v>0.7415660964119023</v>
      </c>
      <c r="AG382" s="919">
        <f t="shared" si="155"/>
        <v>3.8356164383561646E-2</v>
      </c>
      <c r="AH382" s="176">
        <f t="shared" si="155"/>
        <v>6.0383561643835613</v>
      </c>
      <c r="AI382" s="225">
        <f>AVERAGE(AI15:AI380)</f>
        <v>0.77992226079546401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56.915508196123945</v>
      </c>
      <c r="C383" s="377"/>
      <c r="D383" s="377">
        <f>MAX(D15:D380)</f>
        <v>59.245735154528219</v>
      </c>
      <c r="E383" s="377">
        <f>MAX(E15:E380)</f>
        <v>59.988686119707182</v>
      </c>
      <c r="F383" s="378">
        <f>MAX(F15:F380)</f>
        <v>60.258802059722235</v>
      </c>
      <c r="G383" s="127">
        <f>+MAX(G15:G380)</f>
        <v>1.0454659363283156</v>
      </c>
      <c r="H383" s="94"/>
      <c r="I383" s="378">
        <f>MAX(I15:I380)</f>
        <v>61.987907498178245</v>
      </c>
      <c r="J383" s="60">
        <f>MAX(J15:J380)</f>
        <v>2023</v>
      </c>
      <c r="K383" s="200" t="s">
        <v>9</v>
      </c>
      <c r="L383" s="148">
        <f t="shared" ref="L383:T383" si="156">MAX(L15:L380)</f>
        <v>4.3865750360193578E-2</v>
      </c>
      <c r="M383" s="960"/>
      <c r="N383" s="960"/>
      <c r="O383" s="49">
        <f t="shared" si="156"/>
        <v>0.11292846769042036</v>
      </c>
      <c r="P383" s="170">
        <f t="shared" si="156"/>
        <v>7.4697501001983E-3</v>
      </c>
      <c r="Q383" s="313">
        <f t="shared" si="156"/>
        <v>0.7</v>
      </c>
      <c r="R383" s="314">
        <f t="shared" si="156"/>
        <v>0.99999961231029155</v>
      </c>
      <c r="S383" s="920">
        <f t="shared" si="156"/>
        <v>1</v>
      </c>
      <c r="T383" s="233">
        <f t="shared" si="156"/>
        <v>7</v>
      </c>
      <c r="U383" s="253">
        <f>+MAX(U15:U380)</f>
        <v>1.0000373907601496</v>
      </c>
      <c r="V383" s="60">
        <f>MAX(V15:V380)</f>
        <v>56.638605636614301</v>
      </c>
      <c r="X383" s="112" t="s">
        <v>9</v>
      </c>
      <c r="Y383" s="377">
        <f>MAX(Y15:Y380)</f>
        <v>50.938266578063534</v>
      </c>
      <c r="Z383" s="377">
        <f>MAX(Z15:Z380)</f>
        <v>53.023774127000266</v>
      </c>
      <c r="AA383" s="377">
        <f>MAX(AA15:AA380)</f>
        <v>59.988686119707182</v>
      </c>
      <c r="AB383" s="200" t="s">
        <v>9</v>
      </c>
      <c r="AC383" s="49">
        <f t="shared" ref="AC383:AH383" si="157">MAX(AC15:AC380)</f>
        <v>0.14103160882687626</v>
      </c>
      <c r="AD383" s="170">
        <f t="shared" si="157"/>
        <v>7.4697501001983E-3</v>
      </c>
      <c r="AE383" s="313">
        <f t="shared" si="157"/>
        <v>0.7</v>
      </c>
      <c r="AF383" s="314">
        <f t="shared" si="157"/>
        <v>0.99999961231029155</v>
      </c>
      <c r="AG383" s="920">
        <f t="shared" si="157"/>
        <v>1</v>
      </c>
      <c r="AH383" s="233">
        <f t="shared" si="157"/>
        <v>7</v>
      </c>
      <c r="AI383" s="227">
        <f>MAX(AI15:AI380)</f>
        <v>1.0000373907601496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  <row r="385" spans="2:2" x14ac:dyDescent="0.25">
      <c r="B385" s="600" t="s">
        <v>336</v>
      </c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'2023'!An+1</f>
        <v>2024</v>
      </c>
      <c r="K1" s="1213"/>
      <c r="L1" s="113" t="str">
        <f>"Calcul pertes et enveloppes en "&amp;TEXT(An,0)</f>
        <v>Calcul pertes et enveloppes en 2024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223.25125203305615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327.95734032538201</v>
      </c>
      <c r="AK4" s="946">
        <f>AM12-AK12</f>
        <v>-1.6684058828595845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550.92987324325168</v>
      </c>
      <c r="AA5" s="237">
        <f>Wh_Pvg_s-Wh_Pvg</f>
        <v>-1.6684058828595845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2863.624291149079</v>
      </c>
      <c r="AK5" s="515">
        <f>SUMIF(AK15:AK380,"VRAI",Wh)</f>
        <v>0</v>
      </c>
      <c r="AL5" s="515">
        <f>SUMIF(AJ15:AJ380,"VRAI",Wh_s)</f>
        <v>2640.3678014303473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8039.4341513966074</v>
      </c>
      <c r="AK6" s="515">
        <f>SUMIF(AK15:AK380,"FAUX",Wh)</f>
        <v>10903.058442545682</v>
      </c>
      <c r="AL6" s="515">
        <f>SUMIF(AJ15:AJ380,"FAUX",Wh_s)</f>
        <v>7711.4479050604623</v>
      </c>
      <c r="AM6" s="515">
        <f>SUMIF(AK15:AK380,"FAUX",Wh_s)</f>
        <v>10351.815706490801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AND(YEAR(Tnet)=An,Resal_2024="I")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2999.5954213811888</v>
      </c>
      <c r="AK7" s="515">
        <f>SUMIF(AK15:AK380,"VRAI",Wh_sa)</f>
        <v>0</v>
      </c>
      <c r="AL7" s="515">
        <f>SUMIF(AJ15:AJ380,"VRAI",Wh_pvt_s)</f>
        <v>2765.7430535672265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AND(YEAR(Tnet)=An,Resal_2024&lt;&gt;"I")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8448.8036034119414</v>
      </c>
      <c r="AK8" s="515">
        <f>SUMIF(AK15:AK380,"FAUX",Wh_sa)</f>
        <v>11779.939237506589</v>
      </c>
      <c r="AL8" s="515">
        <f>SUMIF(AJ15:AJ380,"FAUX",Wh_pvt_s)</f>
        <v>8104.1447429565405</v>
      </c>
      <c r="AM8" s="515">
        <f>SUMIF(AK15:AK380,"FAUX",Wh_sa_s)</f>
        <v>11779.939237506589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11448.399024793131</v>
      </c>
      <c r="E9" s="184">
        <f>SUM(E$15:E$380)</f>
        <v>11779.939237506589</v>
      </c>
      <c r="F9" s="184">
        <f>SUM(F$15:F$380)</f>
        <v>11815.592713984559</v>
      </c>
      <c r="H9" s="1214">
        <f>+SUM(Wh)</f>
        <v>10903.058442545682</v>
      </c>
      <c r="I9" s="1215"/>
      <c r="J9" s="1216"/>
      <c r="K9" s="191"/>
      <c r="L9" s="232"/>
      <c r="M9" s="232"/>
      <c r="N9" s="232"/>
      <c r="O9" s="223">
        <f>Tnet_2024</f>
        <v>45412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10351.815706490801</v>
      </c>
      <c r="Y9" s="1209"/>
      <c r="Z9" s="515">
        <f>SUM(Z$15:Z$380)</f>
        <v>10869.887796523777</v>
      </c>
      <c r="AA9" s="515">
        <f>SUM(AA$15:AA$380)</f>
        <v>11779.939237506589</v>
      </c>
      <c r="AB9" s="515">
        <f>F9</f>
        <v>11815.592713984559</v>
      </c>
      <c r="AC9" s="325">
        <f>IF(An_Tnet,Tnet,'2023'!Tnet_s)</f>
        <v>45412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3143.4096406194899</v>
      </c>
      <c r="AK9" s="515">
        <f>SUMIF(AK15:AK380,"VRAI",Wh_hp)</f>
        <v>0</v>
      </c>
      <c r="AL9" s="515">
        <f>SUMIF(AJ15:AJ380,"VRAI",Wh_sa_s)</f>
        <v>3143.4096406194899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8.0000000000000002E-3</v>
      </c>
      <c r="P10" s="420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IF(OR(Inflex,GainD),'2023'!Resal_s+('2023'!Salim-'2023'!Resal_s)*(1-EXP(('2023'!Tnet_s-Tnet)/('2023'!Tau_j))),IF(Acti_net,'2023'!Resal+('2023'!Salim-'2023'!Resal)*(1-EXP(('2023'!Tnet-Tnet)/'2023'!Tau_j)),'2023'!Resal_s))</f>
        <v>5.0689049419023934E-2</v>
      </c>
      <c r="AD10" s="427"/>
      <c r="AE10" s="427"/>
      <c r="AF10" s="260"/>
      <c r="AG10" s="261"/>
      <c r="AH10" s="262"/>
      <c r="AI10" s="472"/>
      <c r="AJ10" s="515">
        <f>SUMIF(AJ15:AJ380,"FAUX",Wh_sa)</f>
        <v>8636.5295968870887</v>
      </c>
      <c r="AK10" s="515">
        <f>SUMIF(AK15:AK380,"FAUX",Wh_hp)</f>
        <v>11815.592713984559</v>
      </c>
      <c r="AL10" s="515">
        <f>SUMIF(AJ15:AJ380,"FAUX",Wh_sa_s)</f>
        <v>8636.5295968870887</v>
      </c>
      <c r="AM10" s="515">
        <f>SUMIF(AK15:AK380,"FAUX",Wh_hp)</f>
        <v>11815.592713984559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545.34058224744876</v>
      </c>
      <c r="E11" s="51">
        <f>(E$9-D$9)*Prod_an/D$9</f>
        <v>315.74740777644956</v>
      </c>
      <c r="F11" s="186">
        <f>(F$9-E$9)*Prod_an/E$9</f>
        <v>32.999485810719236</v>
      </c>
      <c r="G11" s="185" t="s">
        <v>6</v>
      </c>
      <c r="K11" s="194"/>
      <c r="L11" s="211">
        <f>Tvie_2024</f>
        <v>43243</v>
      </c>
      <c r="M11" s="956"/>
      <c r="N11" s="956"/>
      <c r="O11" s="202">
        <f>IF(An_Tnet,Salim_2024,'2023'!Salim)</f>
        <v>0.13999999999999999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1.5000373907601496</v>
      </c>
      <c r="V11" s="427"/>
      <c r="W11" s="518"/>
      <c r="X11" s="525" t="s">
        <v>44</v>
      </c>
      <c r="Y11" s="50">
        <f>Z$9-Prod_an_s</f>
        <v>518.07209003297612</v>
      </c>
      <c r="Z11" s="51">
        <f>(AA$9-Z$9)*Prod_an_s/Z$9</f>
        <v>866.67728101970124</v>
      </c>
      <c r="AA11" s="186">
        <f>(AB$9-AA$9)*Prod_an_s/AA$9</f>
        <v>31.331079927859651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137.29514610133916</v>
      </c>
      <c r="AK11" s="946">
        <f>IF($AK7=0,0,($AK9-$AK7)*$AK5/$AK7)</f>
        <v>0</v>
      </c>
      <c r="AL11" s="945">
        <f>IF($AL7=0,0,($AL9-$AL7)*$AL5/$AL7)</f>
        <v>360.5463981343953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Pspv_2024</f>
        <v>0</v>
      </c>
      <c r="M12" s="212"/>
      <c r="N12" s="212"/>
      <c r="O12" s="205">
        <f>IF(An_Tnet,Tau_2024*365,'2023'!Tau_j)</f>
        <v>936.83333333333337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1.0000373907601496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'2023'!Df_s</f>
        <v>0.7</v>
      </c>
      <c r="AF12" s="203"/>
      <c r="AG12" s="203"/>
      <c r="AH12" s="203"/>
      <c r="AI12" s="297">
        <f>'2023'!Hdf_s</f>
        <v>1.0000373907601496</v>
      </c>
      <c r="AJ12" s="945">
        <f>IF($AJ8=0,0,($AJ10-$AJ8)*$AJ6/$AJ8)</f>
        <v>178.63011544492295</v>
      </c>
      <c r="AK12" s="946">
        <f>IF($AK8=0,0,($AK10-$AK8)*$AK6/$AK8)</f>
        <v>32.999485810719236</v>
      </c>
      <c r="AL12" s="945">
        <f>IF($AL8=0,0,($AL10-$AL8)*$AL6/$AL8)</f>
        <v>506.58745577030493</v>
      </c>
      <c r="AM12" s="946">
        <f>IF($AM8=0,0,($AM10-$AM8)*$AM6/$AM8)</f>
        <v>31.331079927859651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315.92526154626211</v>
      </c>
      <c r="AK13" s="73">
        <f>+AK11+AK12</f>
        <v>32.999485810719236</v>
      </c>
      <c r="AL13" s="73">
        <f>+AL11+AL12</f>
        <v>867.13385390470023</v>
      </c>
      <c r="AM13" s="73">
        <f>+AM11+AM12</f>
        <v>31.331079927859651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8" t="s">
        <v>337</v>
      </c>
      <c r="C14" s="414"/>
      <c r="D14" s="53" t="s">
        <v>31</v>
      </c>
      <c r="E14" s="162" t="s">
        <v>30</v>
      </c>
      <c r="F14" s="162" t="str">
        <f>"Hors pertes "&amp; TEXT(An,0)</f>
        <v>Hors pertes 2024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2024</v>
      </c>
      <c r="W14" s="950" t="s">
        <v>119</v>
      </c>
      <c r="X14" s="258" t="s">
        <v>2</v>
      </c>
      <c r="Y14" s="107" t="str">
        <f>"Wh / Jour "&amp; TEXT(An,0)</f>
        <v>Wh / Jour 2024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1089">
        <f>IF(t&gt;Tmaj,'2023'!Wh/'2023'!Env_an*'2024'!Env_an,0.001*'[3]mon-tableau (2)'!$B$38)</f>
        <v>8.7379136703256215</v>
      </c>
      <c r="C15" s="953"/>
      <c r="D15" s="393">
        <f t="shared" ref="D15:D78" si="0">Wh/(1-Ppv)</f>
        <v>9.1389938813968197</v>
      </c>
      <c r="E15" s="400">
        <f t="shared" ref="E15:E79" si="1">Wh_pvt/(1-Psa)</f>
        <v>9.5049946162394328</v>
      </c>
      <c r="F15" s="400">
        <f t="shared" ref="F15:F78" si="2">Wh_sa/(1-Pvg*MEDIAN((-Sdif+Wh/Env_an)/Csdif,0,1))</f>
        <v>9.5082021317689378</v>
      </c>
      <c r="G15" s="123">
        <f>+Wh_hp/MaxiM</f>
        <v>0.33263713416134832</v>
      </c>
      <c r="H15" s="412" t="b">
        <f>Wh_hp&gt;='2023'!Maxi_hp</f>
        <v>0</v>
      </c>
      <c r="I15" s="396">
        <f>IF(H15,Wh_hp,'2023'!Maxi_hp)</f>
        <v>28.078120973122783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4.3886692154114559E-2</v>
      </c>
      <c r="M15" s="957"/>
      <c r="N15" s="957"/>
      <c r="O15" s="48">
        <f>IF(t&lt;Tnet,'2023'!Resal+('2023'!Salim-'2023'!Resal)*(1-EXP(('2023'!Tnet-t)/('2023'!Tau_j))),Resal+(Salim-Resal)*(1-EXP((Tnet-t)/(Tau_j))))*Salcycl</f>
        <v>3.8506148569226441E-2</v>
      </c>
      <c r="P15" s="302">
        <f>(INDEX(Models!$BJ15:$BT15,,T15)*(1-R15)+INDEX(Models!$BJ15:$BT15,,T15+1)*R15-ERP_i)*Q15*Ramure*Pc/MaxiM</f>
        <v>6.7862137167437357E-3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3.8586258378936478E-5</v>
      </c>
      <c r="S15" s="91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1.0000385862583789</v>
      </c>
      <c r="V15" s="382">
        <f t="shared" ref="V15:V78" si="9">MaxiM*(1-Ppv)*(1-Pvg)*(1-Psa)</f>
        <v>26.099145520814922</v>
      </c>
      <c r="W15" s="402">
        <f t="shared" ref="W15:W78" si="10">Wh*(A15&gt;Tmaj)</f>
        <v>8.7379136703256215</v>
      </c>
      <c r="X15" s="156">
        <f t="shared" ref="X15:X78" si="11">t</f>
        <v>45292</v>
      </c>
      <c r="Y15" s="385">
        <f t="shared" ref="Y15:Y78" si="12">Wh_pvt_s*(1-Ppv)</f>
        <v>8.0116206426170749</v>
      </c>
      <c r="Z15" s="385">
        <f>Wh_sa_s*(1-Psa_s)</f>
        <v>8.3793631747132391</v>
      </c>
      <c r="AA15" s="386">
        <f t="shared" ref="AA15:AA78" si="13">Wh_hp*(1-Pvg_s*MEDIAN((-Sdif+Wh/Env_an)/Csdif,0,1))</f>
        <v>9.5049946162394328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0.11842525819036592</v>
      </c>
      <c r="AD15" s="231">
        <f>(INDEX(Models!$BJ15:$BT15,,AH15)*(1-AF15)+INDEX(Models!$BJ15:$BT15,,AH15+1)*AF15-ERP_i)*AE15*Ramure*Pc/MaxiM</f>
        <v>6.7862137167437357E-3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3.8586258378936478E-5</v>
      </c>
      <c r="AG15" s="91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1.0000385862583789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1090">
        <f>IF(t&gt;Tmaj,'2023'!Wh/'2023'!Env_an*'2024'!Env_an,0.001*'[3]mon-tableau (2)'!$B$39)</f>
        <v>2.9482076688576537</v>
      </c>
      <c r="C16" s="953"/>
      <c r="D16" s="393">
        <f t="shared" si="0"/>
        <v>3.083601304775017</v>
      </c>
      <c r="E16" s="385">
        <f t="shared" si="1"/>
        <v>3.2074504927299974</v>
      </c>
      <c r="F16" s="385">
        <f t="shared" si="2"/>
        <v>3.2074504927299974</v>
      </c>
      <c r="G16" s="110">
        <f t="shared" ref="G16:G79" si="21">+Wh_hp/MaxiM</f>
        <v>0.11138210912423445</v>
      </c>
      <c r="H16" s="412" t="b">
        <f>Wh_hp&gt;='2023'!Maxi_hp</f>
        <v>0</v>
      </c>
      <c r="I16" s="390">
        <f>IF(H16,Wh_hp,'2023'!Maxi_hp)</f>
        <v>25.967841110496515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4.3907633489356557E-2</v>
      </c>
      <c r="M16" s="957"/>
      <c r="N16" s="957"/>
      <c r="O16" s="48">
        <f>IF(t&lt;Tnet,'2023'!Resal+('2023'!Salim-'2023'!Resal)*(1-EXP(('2023'!Tnet-t)/('2023'!Tau_j))),Resal+(Salim-Resal)*(1-EXP((Tnet-t)/(Tau_j))))*Salcycl</f>
        <v>3.8612969470829532E-2</v>
      </c>
      <c r="P16" s="169">
        <f>(INDEX(Models!$BJ16:$BT16,,T16)*(1-R16)+INDEX(Models!$BJ16:$BT16,,T16+1)*R16-ERP_i)*Q16*Ramure*Pc/MaxiM</f>
        <v>6.7888162487055245E-3</v>
      </c>
      <c r="Q16" s="305">
        <f t="shared" si="4"/>
        <v>0.7</v>
      </c>
      <c r="R16" s="177">
        <f t="shared" si="5"/>
        <v>6.7800872373346976E-5</v>
      </c>
      <c r="S16" s="919">
        <f t="shared" si="6"/>
        <v>1</v>
      </c>
      <c r="T16" s="176">
        <f t="shared" si="7"/>
        <v>7</v>
      </c>
      <c r="U16" s="251">
        <f t="shared" si="8"/>
        <v>1.0000678008723733</v>
      </c>
      <c r="V16" s="383">
        <f t="shared" si="9"/>
        <v>26.289615556342884</v>
      </c>
      <c r="W16" s="402">
        <f t="shared" si="10"/>
        <v>2.9482076688576537</v>
      </c>
      <c r="X16" s="157">
        <f t="shared" si="11"/>
        <v>45293</v>
      </c>
      <c r="Y16" s="385">
        <f t="shared" si="12"/>
        <v>2.7033974695656044</v>
      </c>
      <c r="Z16" s="385">
        <f t="shared" ref="Z16:Z78" si="22">Wh_sa_s*(1-Psa_s)</f>
        <v>2.827548429689831</v>
      </c>
      <c r="AA16" s="386">
        <f t="shared" si="13"/>
        <v>3.2074504927299974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0.11844362489810888</v>
      </c>
      <c r="AD16" s="231">
        <f>(INDEX(Models!$BJ16:$BT16,,AH16)*(1-AF16)+INDEX(Models!$BJ16:$BT16,,AH16+1)*AF16-ERP_i)*AE16*Ramure*Pc/MaxiM</f>
        <v>6.7888162487055245E-3</v>
      </c>
      <c r="AE16" s="305">
        <f t="shared" si="15"/>
        <v>0.7</v>
      </c>
      <c r="AF16" s="177">
        <f t="shared" ref="AF16:AF78" si="23">(Hp_vg_s-AG16)/(INDEX(Echel_vg,AH16+1)-AG16)</f>
        <v>6.7800872373346976E-5</v>
      </c>
      <c r="AG16" s="919">
        <f t="shared" ref="AG16:AG79" si="24">INDEX(Echel_vg,AH16)</f>
        <v>1</v>
      </c>
      <c r="AH16" s="176">
        <f t="shared" si="16"/>
        <v>7</v>
      </c>
      <c r="AI16" s="225">
        <f t="shared" si="17"/>
        <v>1.0000678008723733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1090">
        <f>IF(t&gt;Tmaj,'2023'!Wh/'2023'!Env_an*'2024'!Env_an,0.001*'[3]mon-tableau (2)'!$B$40)</f>
        <v>16.206506378782052</v>
      </c>
      <c r="C17" s="953"/>
      <c r="D17" s="393">
        <f t="shared" si="0"/>
        <v>16.951146059023603</v>
      </c>
      <c r="E17" s="385">
        <f t="shared" si="1"/>
        <v>17.633927375386456</v>
      </c>
      <c r="F17" s="385">
        <f t="shared" si="2"/>
        <v>17.687359643618006</v>
      </c>
      <c r="G17" s="110">
        <f t="shared" si="21"/>
        <v>0.60958877616011542</v>
      </c>
      <c r="H17" s="412" t="b">
        <f>Wh_hp&gt;='2023'!Maxi_hp</f>
        <v>0</v>
      </c>
      <c r="I17" s="390">
        <f>IF(H17,Wh_hp,'2023'!Maxi_hp)</f>
        <v>30.270872638205173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4.3928574365929451E-2</v>
      </c>
      <c r="M17" s="957"/>
      <c r="N17" s="957"/>
      <c r="O17" s="48">
        <f>IF(t&lt;Tnet,'2023'!Resal+('2023'!Salim-'2023'!Resal)*(1-EXP(('2023'!Tnet-t)/('2023'!Tau_j))),Resal+(Salim-Resal)*(1-EXP((Tnet-t)/(Tau_j))))*Salcycl</f>
        <v>3.8719753225018E-2</v>
      </c>
      <c r="P17" s="169">
        <f>(INDEX(Models!$BJ17:$BT17,,T17)*(1-R17)+INDEX(Models!$BJ17:$BT17,,T17+1)*R17-ERP_i)*Q17*Ramure*Pc/MaxiM</f>
        <v>6.7799888551745568E-3</v>
      </c>
      <c r="Q17" s="305">
        <f t="shared" si="4"/>
        <v>0.7</v>
      </c>
      <c r="R17" s="177">
        <f t="shared" si="5"/>
        <v>9.8237467862860584E-5</v>
      </c>
      <c r="S17" s="919">
        <f t="shared" si="6"/>
        <v>1</v>
      </c>
      <c r="T17" s="176">
        <f t="shared" si="7"/>
        <v>7</v>
      </c>
      <c r="U17" s="251">
        <f t="shared" si="8"/>
        <v>1.0000982374678629</v>
      </c>
      <c r="V17" s="383">
        <f t="shared" si="9"/>
        <v>26.485724796751921</v>
      </c>
      <c r="W17" s="402">
        <f t="shared" si="10"/>
        <v>16.206506378782052</v>
      </c>
      <c r="X17" s="157">
        <f t="shared" si="11"/>
        <v>45294</v>
      </c>
      <c r="Y17" s="385">
        <f t="shared" si="12"/>
        <v>14.862104483916434</v>
      </c>
      <c r="Z17" s="385">
        <f t="shared" si="22"/>
        <v>15.544972985736734</v>
      </c>
      <c r="AA17" s="386">
        <f t="shared" si="13"/>
        <v>17.633927375386456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0.11846223165042043</v>
      </c>
      <c r="AD17" s="231">
        <f>(INDEX(Models!$BJ17:$BT17,,AH17)*(1-AF17)+INDEX(Models!$BJ17:$BT17,,AH17+1)*AF17-ERP_i)*AE17*Ramure*Pc/MaxiM</f>
        <v>6.7799888551745568E-3</v>
      </c>
      <c r="AE17" s="305">
        <f t="shared" si="15"/>
        <v>0.7</v>
      </c>
      <c r="AF17" s="177">
        <f>(Hp_vg_s-AG17)/(INDEX(Echel_vg,AH17+1)-AG17)</f>
        <v>9.8237467862860584E-5</v>
      </c>
      <c r="AG17" s="919">
        <f>INDEX(Echel_vg,AH17)</f>
        <v>1</v>
      </c>
      <c r="AH17" s="176">
        <f t="shared" si="16"/>
        <v>7</v>
      </c>
      <c r="AI17" s="225">
        <f t="shared" si="17"/>
        <v>1.0000982374678629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1090">
        <f>IF(t&gt;Tmaj,'2023'!Wh/'2023'!Env_an*'2024'!Env_an,0.001*'[3]mon-tableau (2)'!$B$41)</f>
        <v>24.833475396830352</v>
      </c>
      <c r="C18" s="953"/>
      <c r="D18" s="393">
        <f t="shared" si="0"/>
        <v>25.975066987404617</v>
      </c>
      <c r="E18" s="385">
        <f t="shared" si="1"/>
        <v>27.024326784645019</v>
      </c>
      <c r="F18" s="385">
        <f t="shared" si="2"/>
        <v>27.189910265720222</v>
      </c>
      <c r="G18" s="110">
        <f t="shared" si="21"/>
        <v>0.92995177630582171</v>
      </c>
      <c r="H18" s="412" t="b">
        <f>Wh_hp&gt;='2023'!Maxi_hp</f>
        <v>0</v>
      </c>
      <c r="I18" s="390">
        <f>IF(H18,Wh_hp,'2023'!Maxi_hp)</f>
        <v>27.195397538007867</v>
      </c>
      <c r="J18" s="85">
        <f>IF(H18,An,'2023'!An_max)</f>
        <v>2023</v>
      </c>
      <c r="K18" s="197">
        <f t="shared" si="3"/>
        <v>45295</v>
      </c>
      <c r="L18" s="147">
        <f>IF(t&lt;Tvie,1-EXP((T0-t)*PertePVj)+'2023'!Pspv,1-EXP((T0-t)*PertePVj)+Pspv)</f>
        <v>4.3949514783843568E-2</v>
      </c>
      <c r="M18" s="957"/>
      <c r="N18" s="957"/>
      <c r="O18" s="48">
        <f>IF(t&lt;Tnet,'2023'!Resal+('2023'!Salim-'2023'!Resal)*(1-EXP(('2023'!Tnet-t)/('2023'!Tau_j))),Resal+(Salim-Resal)*(1-EXP((Tnet-t)/(Tau_j))))*Salcycl</f>
        <v>3.8826491612608156E-2</v>
      </c>
      <c r="P18" s="169">
        <f>(INDEX(Models!$BJ18:$BT18,,T18)*(1-R18)+INDEX(Models!$BJ18:$BT18,,T18+1)*R18-ERP_i)*Q18*Ramure*Pc/MaxiM</f>
        <v>6.7603227651604168E-3</v>
      </c>
      <c r="Q18" s="305">
        <f t="shared" si="4"/>
        <v>0.7</v>
      </c>
      <c r="R18" s="177">
        <f t="shared" si="5"/>
        <v>1.2994699915802599E-4</v>
      </c>
      <c r="S18" s="919">
        <f t="shared" si="6"/>
        <v>1</v>
      </c>
      <c r="T18" s="176">
        <f t="shared" si="7"/>
        <v>7</v>
      </c>
      <c r="U18" s="251">
        <f t="shared" si="8"/>
        <v>1.000129946999158</v>
      </c>
      <c r="V18" s="383">
        <f t="shared" si="9"/>
        <v>26.686033368362828</v>
      </c>
      <c r="W18" s="402">
        <f t="shared" si="10"/>
        <v>24.833475396830352</v>
      </c>
      <c r="X18" s="157">
        <f t="shared" si="11"/>
        <v>45295</v>
      </c>
      <c r="Y18" s="385">
        <f t="shared" si="12"/>
        <v>22.775470758568854</v>
      </c>
      <c r="Z18" s="385">
        <f>Wh_sa_s*(1-Psa_s)</f>
        <v>23.822456147197578</v>
      </c>
      <c r="AA18" s="386">
        <f t="shared" si="13"/>
        <v>27.024326784645019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0.11848105090509475</v>
      </c>
      <c r="AD18" s="231">
        <f>(INDEX(Models!$BJ18:$BT18,,AH18)*(1-AF18)+INDEX(Models!$BJ18:$BT18,,AH18+1)*AF18-ERP_i)*AE18*Ramure*Pc/MaxiM</f>
        <v>6.7603227651604168E-3</v>
      </c>
      <c r="AE18" s="305">
        <f t="shared" si="15"/>
        <v>0.7</v>
      </c>
      <c r="AF18" s="177">
        <f t="shared" si="23"/>
        <v>1.2994699915802599E-4</v>
      </c>
      <c r="AG18" s="919">
        <f t="shared" si="24"/>
        <v>1</v>
      </c>
      <c r="AH18" s="176">
        <f t="shared" si="16"/>
        <v>7</v>
      </c>
      <c r="AI18" s="225">
        <f t="shared" si="17"/>
        <v>1.000129946999158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1090">
        <f>IF(t&gt;Tmaj,'2023'!Wh/'2023'!Env_an*'2024'!Env_an,0.001*'[3]mon-tableau (2)'!$B$42)</f>
        <v>10.420111187197701</v>
      </c>
      <c r="C19" s="953"/>
      <c r="D19" s="393">
        <f t="shared" si="0"/>
        <v>10.899361048928409</v>
      </c>
      <c r="E19" s="385">
        <f t="shared" si="1"/>
        <v>11.340898253493048</v>
      </c>
      <c r="F19" s="385">
        <f t="shared" si="2"/>
        <v>11.350449754999275</v>
      </c>
      <c r="G19" s="110">
        <f t="shared" si="21"/>
        <v>0.38523772818883678</v>
      </c>
      <c r="H19" s="412" t="b">
        <f>Wh_hp&gt;='2023'!Maxi_hp</f>
        <v>0</v>
      </c>
      <c r="I19" s="390">
        <f>IF(H19,Wh_hp,'2023'!Maxi_hp)</f>
        <v>29.868700088933423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4.3970454743108678E-2</v>
      </c>
      <c r="M19" s="957"/>
      <c r="N19" s="957"/>
      <c r="O19" s="48">
        <f>IF(t&lt;Tnet,'2023'!Resal+('2023'!Salim-'2023'!Resal)*(1-EXP(('2023'!Tnet-t)/('2023'!Tau_j))),Resal+(Salim-Resal)*(1-EXP((Tnet-t)/(Tau_j))))*Salcycl</f>
        <v>3.8933177486945837E-2</v>
      </c>
      <c r="P19" s="169">
        <f>(INDEX(Models!$BJ19:$BT19,,T19)*(1-R19)+INDEX(Models!$BJ19:$BT19,,T19+1)*R19-ERP_i)*Q19*Ramure*Pc/MaxiM</f>
        <v>6.7303982044212458E-3</v>
      </c>
      <c r="Q19" s="305">
        <f t="shared" si="4"/>
        <v>0.7</v>
      </c>
      <c r="R19" s="177">
        <f t="shared" si="5"/>
        <v>1.6298253171953547E-4</v>
      </c>
      <c r="S19" s="919">
        <f t="shared" si="6"/>
        <v>1</v>
      </c>
      <c r="T19" s="176">
        <f t="shared" si="7"/>
        <v>7</v>
      </c>
      <c r="U19" s="251">
        <f t="shared" si="8"/>
        <v>1.0001629825317195</v>
      </c>
      <c r="V19" s="383">
        <f t="shared" si="9"/>
        <v>26.889102142079921</v>
      </c>
      <c r="W19" s="402">
        <f t="shared" si="10"/>
        <v>10.420111187197701</v>
      </c>
      <c r="X19" s="157">
        <f t="shared" si="11"/>
        <v>45296</v>
      </c>
      <c r="Y19" s="385">
        <f t="shared" si="12"/>
        <v>9.5574284586087312</v>
      </c>
      <c r="Z19" s="385">
        <f t="shared" si="22"/>
        <v>9.9970011450227609</v>
      </c>
      <c r="AA19" s="386">
        <f t="shared" si="13"/>
        <v>11.340898253493048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0.11850005867536635</v>
      </c>
      <c r="AD19" s="231">
        <f>(INDEX(Models!$BJ19:$BT19,,AH19)*(1-AF19)+INDEX(Models!$BJ19:$BT19,,AH19+1)*AF19-ERP_i)*AE19*Ramure*Pc/MaxiM</f>
        <v>6.7303982044212458E-3</v>
      </c>
      <c r="AE19" s="305">
        <f t="shared" si="15"/>
        <v>0.7</v>
      </c>
      <c r="AF19" s="177">
        <f t="shared" si="23"/>
        <v>1.6298253171953547E-4</v>
      </c>
      <c r="AG19" s="919">
        <f t="shared" si="24"/>
        <v>1</v>
      </c>
      <c r="AH19" s="176">
        <f t="shared" si="16"/>
        <v>7</v>
      </c>
      <c r="AI19" s="225">
        <f t="shared" si="17"/>
        <v>1.0001629825317195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1090">
        <f>IF(t&gt;Tmaj,'2023'!Wh/'2023'!Env_an*'2024'!Env_an,0.001*'[3]mon-tableau (2)'!$B$43)</f>
        <v>6.1606346646288772</v>
      </c>
      <c r="C20" s="953"/>
      <c r="D20" s="393">
        <f t="shared" si="0"/>
        <v>6.4441205105632013</v>
      </c>
      <c r="E20" s="385">
        <f t="shared" si="1"/>
        <v>6.7059182497168015</v>
      </c>
      <c r="F20" s="385">
        <f t="shared" si="2"/>
        <v>6.7059182497168015</v>
      </c>
      <c r="G20" s="110">
        <f t="shared" si="21"/>
        <v>0.22586291418622603</v>
      </c>
      <c r="H20" s="412" t="b">
        <f>Wh_hp&gt;='2023'!Maxi_hp</f>
        <v>0</v>
      </c>
      <c r="I20" s="390">
        <f>IF(H20,Wh_hp,'2023'!Maxi_hp)</f>
        <v>28.521480989437787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4.3991394243734883E-2</v>
      </c>
      <c r="M20" s="957"/>
      <c r="N20" s="957"/>
      <c r="O20" s="48">
        <f>IF(t&lt;Tnet,'2023'!Resal+('2023'!Salim-'2023'!Resal)*(1-EXP(('2023'!Tnet-t)/('2023'!Tau_j))),Resal+(Salim-Resal)*(1-EXP((Tnet-t)/(Tau_j))))*Salcycl</f>
        <v>3.9039804752265851E-2</v>
      </c>
      <c r="P20" s="169">
        <f>(INDEX(Models!$BJ20:$BT20,,T20)*(1-R20)+INDEX(Models!$BJ20:$BT20,,T20+1)*R20-ERP_i)*Q20*Ramure*Pc/MaxiM</f>
        <v>6.6907790524340996E-3</v>
      </c>
      <c r="Q20" s="305">
        <f t="shared" si="4"/>
        <v>0.7</v>
      </c>
      <c r="R20" s="177">
        <f t="shared" si="5"/>
        <v>1.9739932847029351E-4</v>
      </c>
      <c r="S20" s="919">
        <f t="shared" si="6"/>
        <v>1</v>
      </c>
      <c r="T20" s="176">
        <f t="shared" si="7"/>
        <v>7</v>
      </c>
      <c r="U20" s="251">
        <f t="shared" si="8"/>
        <v>1.0001973993284703</v>
      </c>
      <c r="V20" s="383">
        <f t="shared" si="9"/>
        <v>27.093492711333589</v>
      </c>
      <c r="W20" s="402">
        <f t="shared" si="10"/>
        <v>6.1606346646288772</v>
      </c>
      <c r="X20" s="157">
        <f t="shared" si="11"/>
        <v>45297</v>
      </c>
      <c r="Y20" s="385">
        <f t="shared" si="12"/>
        <v>5.6510987525881067</v>
      </c>
      <c r="Z20" s="385">
        <f t="shared" si="22"/>
        <v>5.9111379526941805</v>
      </c>
      <c r="AA20" s="386">
        <f t="shared" si="13"/>
        <v>6.7059182497168015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0.11851923441747671</v>
      </c>
      <c r="AD20" s="231">
        <f>(INDEX(Models!$BJ20:$BT20,,AH20)*(1-AF20)+INDEX(Models!$BJ20:$BT20,,AH20+1)*AF20-ERP_i)*AE20*Ramure*Pc/MaxiM</f>
        <v>6.6907790524340996E-3</v>
      </c>
      <c r="AE20" s="305">
        <f t="shared" si="15"/>
        <v>0.7</v>
      </c>
      <c r="AF20" s="177">
        <f t="shared" si="23"/>
        <v>1.9739932847029351E-4</v>
      </c>
      <c r="AG20" s="919">
        <f t="shared" si="24"/>
        <v>1</v>
      </c>
      <c r="AH20" s="176">
        <f t="shared" si="16"/>
        <v>7</v>
      </c>
      <c r="AI20" s="225">
        <f t="shared" si="17"/>
        <v>1.0001973993284703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1090">
        <f>IF(t&gt;Tmaj,'2023'!Wh/'2023'!Env_an*'2024'!Env_an,0.001*'[3]mon-tableau (2)'!$B$44)</f>
        <v>16.839781102579209</v>
      </c>
      <c r="C21" s="953"/>
      <c r="D21" s="393">
        <f t="shared" si="0"/>
        <v>17.615061039916537</v>
      </c>
      <c r="E21" s="385">
        <f t="shared" si="1"/>
        <v>18.332720467894148</v>
      </c>
      <c r="F21" s="385">
        <f t="shared" si="2"/>
        <v>18.388010613596474</v>
      </c>
      <c r="G21" s="110">
        <f t="shared" si="21"/>
        <v>0.61464298965264497</v>
      </c>
      <c r="H21" s="412" t="b">
        <f>Wh_hp&gt;='2023'!Maxi_hp</f>
        <v>0</v>
      </c>
      <c r="I21" s="390">
        <f>IF(H21,Wh_hp,'2023'!Maxi_hp)</f>
        <v>18.408769498568571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4.4012333285732397E-2</v>
      </c>
      <c r="M21" s="957"/>
      <c r="N21" s="957"/>
      <c r="O21" s="48">
        <f>IF(t&lt;Tnet,'2023'!Resal+('2023'!Salim-'2023'!Resal)*(1-EXP(('2023'!Tnet-t)/('2023'!Tau_j))),Resal+(Salim-Resal)*(1-EXP((Tnet-t)/(Tau_j))))*Salcycl</f>
        <v>3.9146368332754568E-2</v>
      </c>
      <c r="P21" s="169">
        <f>(INDEX(Models!$BJ21:$BT21,,T21)*(1-R21)+INDEX(Models!$BJ21:$BT21,,T21+1)*R21-ERP_i)*Q21*Ramure*Pc/MaxiM</f>
        <v>6.6420082776242123E-3</v>
      </c>
      <c r="Q21" s="305">
        <f t="shared" si="4"/>
        <v>0.7</v>
      </c>
      <c r="R21" s="177">
        <f t="shared" si="5"/>
        <v>2.3325493953341159E-4</v>
      </c>
      <c r="S21" s="919">
        <f t="shared" si="6"/>
        <v>1</v>
      </c>
      <c r="T21" s="176">
        <f t="shared" si="7"/>
        <v>7</v>
      </c>
      <c r="U21" s="251">
        <f t="shared" si="8"/>
        <v>1.0002332549395334</v>
      </c>
      <c r="V21" s="383">
        <f t="shared" si="9"/>
        <v>27.297767383464503</v>
      </c>
      <c r="W21" s="402">
        <f t="shared" si="10"/>
        <v>16.839781102579209</v>
      </c>
      <c r="X21" s="157">
        <f t="shared" si="11"/>
        <v>45298</v>
      </c>
      <c r="Y21" s="385">
        <f t="shared" si="12"/>
        <v>15.448365074279476</v>
      </c>
      <c r="Z21" s="385">
        <f t="shared" si="22"/>
        <v>16.159586166394334</v>
      </c>
      <c r="AA21" s="386">
        <f t="shared" si="13"/>
        <v>18.332720467894148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0.11853856089201795</v>
      </c>
      <c r="AD21" s="231">
        <f>(INDEX(Models!$BJ21:$BT21,,AH21)*(1-AF21)+INDEX(Models!$BJ21:$BT21,,AH21+1)*AF21-ERP_i)*AE21*Ramure*Pc/MaxiM</f>
        <v>6.6420082776242123E-3</v>
      </c>
      <c r="AE21" s="305">
        <f t="shared" si="15"/>
        <v>0.7</v>
      </c>
      <c r="AF21" s="177">
        <f t="shared" si="23"/>
        <v>2.3325493953341159E-4</v>
      </c>
      <c r="AG21" s="919">
        <f t="shared" si="24"/>
        <v>1</v>
      </c>
      <c r="AH21" s="176">
        <f t="shared" si="16"/>
        <v>7</v>
      </c>
      <c r="AI21" s="225">
        <f t="shared" si="17"/>
        <v>1.0002332549395334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1090">
        <f>IF(t&gt;Tmaj,'2023'!Wh/'2023'!Env_an*'2024'!Env_an,0.001*'[3]mon-tableau (2)'!$B$45)</f>
        <v>6.887758510042663</v>
      </c>
      <c r="C22" s="953"/>
      <c r="D22" s="393">
        <f t="shared" si="0"/>
        <v>7.2050190737387316</v>
      </c>
      <c r="E22" s="385">
        <f t="shared" si="1"/>
        <v>7.4993916762874617</v>
      </c>
      <c r="F22" s="385">
        <f t="shared" si="2"/>
        <v>7.4993916762874617</v>
      </c>
      <c r="G22" s="110">
        <f t="shared" si="21"/>
        <v>0.24881031407590395</v>
      </c>
      <c r="H22" s="412" t="b">
        <f>Wh_hp&gt;='2023'!Maxi_hp</f>
        <v>0</v>
      </c>
      <c r="I22" s="390">
        <f>IF(H22,Wh_hp,'2023'!Maxi_hp)</f>
        <v>20.926751067686602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4.4033271869111101E-2</v>
      </c>
      <c r="M22" s="957"/>
      <c r="N22" s="957"/>
      <c r="O22" s="48">
        <f>IF(t&lt;Tnet,'2023'!Resal+('2023'!Salim-'2023'!Resal)*(1-EXP(('2023'!Tnet-t)/('2023'!Tau_j))),Resal+(Salim-Resal)*(1-EXP((Tnet-t)/(Tau_j))))*Salcycl</f>
        <v>3.9252864132902278E-2</v>
      </c>
      <c r="P22" s="169">
        <f>(INDEX(Models!$BJ22:$BT22,,T22)*(1-R22)+INDEX(Models!$BJ22:$BT22,,T22+1)*R22-ERP_i)*Q22*Ramure*Pc/MaxiM</f>
        <v>6.5846040910573986E-3</v>
      </c>
      <c r="Q22" s="305">
        <f t="shared" si="4"/>
        <v>0.7</v>
      </c>
      <c r="R22" s="177">
        <f t="shared" si="5"/>
        <v>2.7060929553068824E-4</v>
      </c>
      <c r="S22" s="919">
        <f t="shared" si="6"/>
        <v>1</v>
      </c>
      <c r="T22" s="176">
        <f t="shared" si="7"/>
        <v>7</v>
      </c>
      <c r="U22" s="251">
        <f t="shared" si="8"/>
        <v>1.0002706092955307</v>
      </c>
      <c r="V22" s="383">
        <f t="shared" si="9"/>
        <v>27.500489168193504</v>
      </c>
      <c r="W22" s="402">
        <f t="shared" si="10"/>
        <v>6.887758510042663</v>
      </c>
      <c r="X22" s="157">
        <f t="shared" si="11"/>
        <v>45299</v>
      </c>
      <c r="Y22" s="385">
        <f t="shared" si="12"/>
        <v>6.31920642242103</v>
      </c>
      <c r="Z22" s="385">
        <f t="shared" si="22"/>
        <v>6.6102786179351396</v>
      </c>
      <c r="AA22" s="386">
        <f t="shared" si="13"/>
        <v>7.4993916762874617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0.11855802400128443</v>
      </c>
      <c r="AD22" s="231">
        <f>(INDEX(Models!$BJ22:$BT22,,AH22)*(1-AF22)+INDEX(Models!$BJ22:$BT22,,AH22+1)*AF22-ERP_i)*AE22*Ramure*Pc/MaxiM</f>
        <v>6.5846040910573986E-3</v>
      </c>
      <c r="AE22" s="305">
        <f t="shared" si="15"/>
        <v>0.7</v>
      </c>
      <c r="AF22" s="177">
        <f t="shared" si="23"/>
        <v>2.7060929553068824E-4</v>
      </c>
      <c r="AG22" s="919">
        <f t="shared" si="24"/>
        <v>1</v>
      </c>
      <c r="AH22" s="176">
        <f t="shared" si="16"/>
        <v>7</v>
      </c>
      <c r="AI22" s="225">
        <f t="shared" si="17"/>
        <v>1.0002706092955307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1090">
        <f>IF(t&gt;Tmaj,'2023'!Wh/'2023'!Env_an*'2024'!Env_an,0.001*'[3]mon-tableau (2)'!$B$46)</f>
        <v>6.9701947781596125</v>
      </c>
      <c r="C23" s="953"/>
      <c r="D23" s="393">
        <f t="shared" si="0"/>
        <v>7.2914121815579076</v>
      </c>
      <c r="E23" s="385">
        <f t="shared" si="1"/>
        <v>7.5901552973851922</v>
      </c>
      <c r="F23" s="385">
        <f t="shared" si="2"/>
        <v>7.5901552973851922</v>
      </c>
      <c r="G23" s="110">
        <f t="shared" si="21"/>
        <v>0.24996128883971244</v>
      </c>
      <c r="H23" s="412" t="b">
        <f>Wh_hp&gt;='2023'!Maxi_hp</f>
        <v>0</v>
      </c>
      <c r="I23" s="390">
        <f>IF(H23,Wh_hp,'2023'!Maxi_hp)</f>
        <v>27.858667670277544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4.4054209993881099E-2</v>
      </c>
      <c r="M23" s="957"/>
      <c r="N23" s="957"/>
      <c r="O23" s="48">
        <f>IF(t&lt;Tnet,'2023'!Resal+('2023'!Salim-'2023'!Resal)*(1-EXP(('2023'!Tnet-t)/('2023'!Tau_j))),Resal+(Salim-Resal)*(1-EXP((Tnet-t)/(Tau_j))))*Salcycl</f>
        <v>3.9359288989805258E-2</v>
      </c>
      <c r="P23" s="169">
        <f>(INDEX(Models!$BJ23:$BT23,,T23)*(1-R23)+INDEX(Models!$BJ23:$BT23,,T23+1)*R23-ERP_i)*Q23*Ramure*Pc/MaxiM</f>
        <v>6.518329458067542E-3</v>
      </c>
      <c r="Q23" s="305">
        <f t="shared" si="4"/>
        <v>0.7</v>
      </c>
      <c r="R23" s="177">
        <f t="shared" si="5"/>
        <v>3.0952480456569731E-4</v>
      </c>
      <c r="S23" s="919">
        <f t="shared" si="6"/>
        <v>1</v>
      </c>
      <c r="T23" s="176">
        <f t="shared" si="7"/>
        <v>7</v>
      </c>
      <c r="U23" s="251">
        <f t="shared" si="8"/>
        <v>1.0003095248045657</v>
      </c>
      <c r="V23" s="383">
        <f t="shared" si="9"/>
        <v>27.703332721448582</v>
      </c>
      <c r="W23" s="402">
        <f t="shared" si="10"/>
        <v>6.9701947781596125</v>
      </c>
      <c r="X23" s="157">
        <f t="shared" si="11"/>
        <v>45300</v>
      </c>
      <c r="Y23" s="385">
        <f t="shared" si="12"/>
        <v>6.3954042875330144</v>
      </c>
      <c r="Z23" s="385">
        <f t="shared" si="22"/>
        <v>6.6901328029197957</v>
      </c>
      <c r="AA23" s="386">
        <f t="shared" si="13"/>
        <v>7.5901552973851922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0.11857761260503506</v>
      </c>
      <c r="AD23" s="231">
        <f>(INDEX(Models!$BJ23:$BT23,,AH23)*(1-AF23)+INDEX(Models!$BJ23:$BT23,,AH23+1)*AF23-ERP_i)*AE23*Ramure*Pc/MaxiM</f>
        <v>6.518329458067542E-3</v>
      </c>
      <c r="AE23" s="305">
        <f t="shared" si="15"/>
        <v>0.7</v>
      </c>
      <c r="AF23" s="177">
        <f t="shared" si="23"/>
        <v>3.0952480456569731E-4</v>
      </c>
      <c r="AG23" s="919">
        <f t="shared" si="24"/>
        <v>1</v>
      </c>
      <c r="AH23" s="176">
        <f t="shared" si="16"/>
        <v>7</v>
      </c>
      <c r="AI23" s="225">
        <f t="shared" si="17"/>
        <v>1.0003095248045657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1090">
        <f>IF(t&gt;Tmaj,'2023'!Wh/'2023'!Env_an*'2024'!Env_an,0.001*'[3]mon-tableau (2)'!$B$47)</f>
        <v>23.964311446364807</v>
      </c>
      <c r="C24" s="953"/>
      <c r="D24" s="393">
        <f t="shared" si="0"/>
        <v>25.069241988744295</v>
      </c>
      <c r="E24" s="385">
        <f t="shared" si="1"/>
        <v>26.099266251003623</v>
      </c>
      <c r="F24" s="385">
        <f t="shared" si="2"/>
        <v>26.23399648475748</v>
      </c>
      <c r="G24" s="110">
        <f t="shared" si="21"/>
        <v>0.85752616873439147</v>
      </c>
      <c r="H24" s="412" t="b">
        <f>Wh_hp&gt;='2023'!Maxi_hp</f>
        <v>0</v>
      </c>
      <c r="I24" s="390">
        <f>IF(H24,Wh_hp,'2023'!Maxi_hp)</f>
        <v>26.245078874612297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4.4075147660052383E-2</v>
      </c>
      <c r="M24" s="957"/>
      <c r="N24" s="957"/>
      <c r="O24" s="48">
        <f>IF(t&lt;Tnet,'2023'!Resal+('2023'!Salim-'2023'!Resal)*(1-EXP(('2023'!Tnet-t)/('2023'!Tau_j))),Resal+(Salim-Resal)*(1-EXP((Tnet-t)/(Tau_j))))*Salcycl</f>
        <v>3.9465640618142631E-2</v>
      </c>
      <c r="P24" s="169">
        <f>(INDEX(Models!$BJ24:$BT24,,T24)*(1-R24)+INDEX(Models!$BJ24:$BT24,,T24+1)*R24-ERP_i)*Q24*Ramure*Pc/MaxiM</f>
        <v>6.4351788526326162E-3</v>
      </c>
      <c r="Q24" s="305">
        <f t="shared" si="4"/>
        <v>0.7</v>
      </c>
      <c r="R24" s="177">
        <f t="shared" si="5"/>
        <v>3.5006645303536921E-4</v>
      </c>
      <c r="S24" s="919">
        <f t="shared" si="6"/>
        <v>1</v>
      </c>
      <c r="T24" s="176">
        <f t="shared" si="7"/>
        <v>7</v>
      </c>
      <c r="U24" s="251">
        <f t="shared" si="8"/>
        <v>1.0003500664530354</v>
      </c>
      <c r="V24" s="383">
        <f t="shared" si="9"/>
        <v>27.909363841325053</v>
      </c>
      <c r="W24" s="402">
        <f t="shared" si="10"/>
        <v>23.964311446364807</v>
      </c>
      <c r="X24" s="157">
        <f t="shared" si="11"/>
        <v>45301</v>
      </c>
      <c r="Y24" s="385">
        <f t="shared" si="12"/>
        <v>21.990060185978564</v>
      </c>
      <c r="Z24" s="385">
        <f t="shared" si="22"/>
        <v>23.003963263587607</v>
      </c>
      <c r="AA24" s="386">
        <f t="shared" si="13"/>
        <v>26.099266251003623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0.1185973183172146</v>
      </c>
      <c r="AD24" s="231">
        <f>(INDEX(Models!$BJ24:$BT24,,AH24)*(1-AF24)+INDEX(Models!$BJ24:$BT24,,AH24+1)*AF24-ERP_i)*AE24*Ramure*Pc/MaxiM</f>
        <v>6.4351788526326162E-3</v>
      </c>
      <c r="AE24" s="305">
        <f t="shared" si="15"/>
        <v>0.7</v>
      </c>
      <c r="AF24" s="177">
        <f t="shared" si="23"/>
        <v>3.5006645303536921E-4</v>
      </c>
      <c r="AG24" s="919">
        <f t="shared" si="24"/>
        <v>1</v>
      </c>
      <c r="AH24" s="176">
        <f t="shared" si="16"/>
        <v>7</v>
      </c>
      <c r="AI24" s="225">
        <f t="shared" si="17"/>
        <v>1.0003500664530354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1090">
        <f>IF(t&gt;Tmaj,'2023'!Wh/'2023'!Env_an*'2024'!Env_an,0.001*'[3]mon-tableau (2)'!$B$48)</f>
        <v>4.8383850301072311</v>
      </c>
      <c r="C25" s="953"/>
      <c r="D25" s="393">
        <f t="shared" si="0"/>
        <v>5.0615809324698242</v>
      </c>
      <c r="E25" s="385">
        <f t="shared" si="1"/>
        <v>5.270130085691255</v>
      </c>
      <c r="F25" s="385">
        <f t="shared" si="2"/>
        <v>5.270130085691255</v>
      </c>
      <c r="G25" s="110">
        <f t="shared" si="21"/>
        <v>0.17097855889397515</v>
      </c>
      <c r="H25" s="412" t="b">
        <f>Wh_hp&gt;='2023'!Maxi_hp</f>
        <v>0</v>
      </c>
      <c r="I25" s="390">
        <f>IF(H25,Wh_hp,'2023'!Maxi_hp)</f>
        <v>30.384642936610089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4.4096084867635166E-2</v>
      </c>
      <c r="M25" s="957"/>
      <c r="N25" s="957"/>
      <c r="O25" s="48">
        <f>IF(t&lt;Tnet,'2023'!Resal+('2023'!Salim-'2023'!Resal)*(1-EXP(('2023'!Tnet-t)/('2023'!Tau_j))),Resal+(Salim-Resal)*(1-EXP((Tnet-t)/(Tau_j))))*Salcycl</f>
        <v>3.9571917548611474E-2</v>
      </c>
      <c r="P25" s="169">
        <f>(INDEX(Models!$BJ25:$BT25,,T25)*(1-R25)+INDEX(Models!$BJ25:$BT25,,T25+1)*R25-ERP_i)*Q25*Ramure*Pc/MaxiM</f>
        <v>6.3368890719621923E-3</v>
      </c>
      <c r="Q25" s="305">
        <f t="shared" si="4"/>
        <v>0.7</v>
      </c>
      <c r="R25" s="177">
        <f t="shared" si="5"/>
        <v>3.923019104012937E-4</v>
      </c>
      <c r="S25" s="919">
        <f t="shared" si="6"/>
        <v>1</v>
      </c>
      <c r="T25" s="176">
        <f t="shared" si="7"/>
        <v>7</v>
      </c>
      <c r="U25" s="251">
        <f t="shared" si="8"/>
        <v>1.0003923019104013</v>
      </c>
      <c r="V25" s="383">
        <f t="shared" si="9"/>
        <v>28.118874974641109</v>
      </c>
      <c r="W25" s="402">
        <f t="shared" si="10"/>
        <v>4.8383850301072311</v>
      </c>
      <c r="X25" s="157">
        <f t="shared" si="11"/>
        <v>45302</v>
      </c>
      <c r="Y25" s="385">
        <f t="shared" si="12"/>
        <v>4.4401759344012381</v>
      </c>
      <c r="Z25" s="385">
        <f t="shared" si="22"/>
        <v>4.6450023523404056</v>
      </c>
      <c r="AA25" s="386">
        <f t="shared" si="13"/>
        <v>5.270130085691255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0.11861713528630186</v>
      </c>
      <c r="AD25" s="231">
        <f>(INDEX(Models!$BJ25:$BT25,,AH25)*(1-AF25)+INDEX(Models!$BJ25:$BT25,,AH25+1)*AF25-ERP_i)*AE25*Ramure*Pc/MaxiM</f>
        <v>6.3368890719621923E-3</v>
      </c>
      <c r="AE25" s="305">
        <f t="shared" si="15"/>
        <v>0.7</v>
      </c>
      <c r="AF25" s="177">
        <f t="shared" si="23"/>
        <v>3.923019104012937E-4</v>
      </c>
      <c r="AG25" s="919">
        <f t="shared" si="24"/>
        <v>1</v>
      </c>
      <c r="AH25" s="176">
        <f t="shared" si="16"/>
        <v>7</v>
      </c>
      <c r="AI25" s="225">
        <f t="shared" si="17"/>
        <v>1.0003923019104013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1090">
        <f>IF(t&gt;Tmaj,'2023'!Wh/'2023'!Env_an*'2024'!Env_an,0.001*'[3]mon-tableau (2)'!$B$49)</f>
        <v>23.272828996264007</v>
      </c>
      <c r="C26" s="953"/>
      <c r="D26" s="393">
        <f t="shared" si="0"/>
        <v>24.346943634904171</v>
      </c>
      <c r="E26" s="385">
        <f t="shared" si="1"/>
        <v>25.352898979130789</v>
      </c>
      <c r="F26" s="385">
        <f t="shared" si="2"/>
        <v>25.470983275846212</v>
      </c>
      <c r="G26" s="110">
        <f t="shared" si="21"/>
        <v>0.82011659412618754</v>
      </c>
      <c r="H26" s="412" t="b">
        <f>Wh_hp&gt;='2023'!Maxi_hp</f>
        <v>0</v>
      </c>
      <c r="I26" s="390">
        <f>IF(H26,Wh_hp,'2023'!Maxi_hp)</f>
        <v>30.267889314428743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4.4117021616639218E-2</v>
      </c>
      <c r="M26" s="957"/>
      <c r="N26" s="957"/>
      <c r="O26" s="48">
        <f>IF(t&lt;Tnet,'2023'!Resal+('2023'!Salim-'2023'!Resal)*(1-EXP(('2023'!Tnet-t)/('2023'!Tau_j))),Resal+(Salim-Resal)*(1-EXP((Tnet-t)/(Tau_j))))*Salcycl</f>
        <v>3.9678119060651322E-2</v>
      </c>
      <c r="P26" s="169">
        <f>(INDEX(Models!$BJ26:$BT26,,T26)*(1-R26)+INDEX(Models!$BJ26:$BT26,,T26+1)*R26-ERP_i)*Q26*Ramure*Pc/MaxiM</f>
        <v>6.2237349035998805E-3</v>
      </c>
      <c r="Q26" s="305">
        <f t="shared" si="4"/>
        <v>0.7</v>
      </c>
      <c r="R26" s="177">
        <f t="shared" si="5"/>
        <v>4.3630163807240052E-4</v>
      </c>
      <c r="S26" s="919">
        <f t="shared" si="6"/>
        <v>1</v>
      </c>
      <c r="T26" s="176">
        <f t="shared" si="7"/>
        <v>7</v>
      </c>
      <c r="U26" s="251">
        <f t="shared" si="8"/>
        <v>1.0004363016380724</v>
      </c>
      <c r="V26" s="383">
        <f t="shared" si="9"/>
        <v>28.332199014879635</v>
      </c>
      <c r="W26" s="402">
        <f t="shared" si="10"/>
        <v>23.272828996264007</v>
      </c>
      <c r="X26" s="157">
        <f t="shared" si="11"/>
        <v>45303</v>
      </c>
      <c r="Y26" s="385">
        <f t="shared" si="12"/>
        <v>21.359306076712546</v>
      </c>
      <c r="Z26" s="385">
        <f t="shared" si="22"/>
        <v>22.345105582732021</v>
      </c>
      <c r="AA26" s="386">
        <f t="shared" si="13"/>
        <v>25.352898979130789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0.11863705996204332</v>
      </c>
      <c r="AD26" s="231">
        <f>(INDEX(Models!$BJ26:$BT26,,AH26)*(1-AF26)+INDEX(Models!$BJ26:$BT26,,AH26+1)*AF26-ERP_i)*AE26*Ramure*Pc/MaxiM</f>
        <v>6.2237349035998805E-3</v>
      </c>
      <c r="AE26" s="305">
        <f t="shared" si="15"/>
        <v>0.7</v>
      </c>
      <c r="AF26" s="177">
        <f t="shared" si="23"/>
        <v>4.3630163807240052E-4</v>
      </c>
      <c r="AG26" s="919">
        <f t="shared" si="24"/>
        <v>1</v>
      </c>
      <c r="AH26" s="176">
        <f t="shared" si="16"/>
        <v>7</v>
      </c>
      <c r="AI26" s="225">
        <f t="shared" si="17"/>
        <v>1.0004363016380724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1090">
        <f>IF(t&gt;Tmaj,'2023'!Wh/'2023'!Env_an*'2024'!Env_an,0.001*'[3]mon-tableau (2)'!$B$50)</f>
        <v>12.865087773950528</v>
      </c>
      <c r="C27" s="953"/>
      <c r="D27" s="393">
        <f t="shared" si="0"/>
        <v>13.459147039442575</v>
      </c>
      <c r="E27" s="385">
        <f t="shared" si="1"/>
        <v>14.016794632774028</v>
      </c>
      <c r="F27" s="385">
        <f t="shared" si="2"/>
        <v>14.035204557578629</v>
      </c>
      <c r="G27" s="110">
        <f t="shared" si="21"/>
        <v>0.44846252393450903</v>
      </c>
      <c r="H27" s="412" t="b">
        <f>Wh_hp&gt;='2023'!Maxi_hp</f>
        <v>0</v>
      </c>
      <c r="I27" s="390">
        <f>IF(H27,Wh_hp,'2023'!Maxi_hp)</f>
        <v>17.075177344016367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4.4137957907074865E-2</v>
      </c>
      <c r="M27" s="957"/>
      <c r="N27" s="957"/>
      <c r="O27" s="48">
        <f>IF(t&lt;Tnet,'2023'!Resal+('2023'!Salim-'2023'!Resal)*(1-EXP(('2023'!Tnet-t)/('2023'!Tau_j))),Resal+(Salim-Resal)*(1-EXP((Tnet-t)/(Tau_j))))*Salcycl</f>
        <v>3.9784245110330928E-2</v>
      </c>
      <c r="P27" s="169">
        <f>(INDEX(Models!$BJ27:$BT27,,T27)*(1-R27)+INDEX(Models!$BJ27:$BT27,,T27+1)*R27-ERP_i)*Q27*Ramure*Pc/MaxiM</f>
        <v>6.0960008291829097E-3</v>
      </c>
      <c r="Q27" s="305">
        <f t="shared" si="4"/>
        <v>0.7</v>
      </c>
      <c r="R27" s="177">
        <f t="shared" si="5"/>
        <v>4.821390025415706E-4</v>
      </c>
      <c r="S27" s="919">
        <f t="shared" si="6"/>
        <v>1</v>
      </c>
      <c r="T27" s="176">
        <f t="shared" si="7"/>
        <v>7</v>
      </c>
      <c r="U27" s="251">
        <f t="shared" si="8"/>
        <v>1.0004821390025416</v>
      </c>
      <c r="V27" s="383">
        <f t="shared" si="9"/>
        <v>28.549668590648505</v>
      </c>
      <c r="W27" s="402">
        <f t="shared" si="10"/>
        <v>12.865087773950528</v>
      </c>
      <c r="X27" s="157">
        <f t="shared" si="11"/>
        <v>45304</v>
      </c>
      <c r="Y27" s="385">
        <f t="shared" si="12"/>
        <v>11.808339768855946</v>
      </c>
      <c r="Z27" s="385">
        <f t="shared" si="22"/>
        <v>12.353602558587619</v>
      </c>
      <c r="AA27" s="386">
        <f t="shared" si="13"/>
        <v>14.016794632774028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0.11865709085139463</v>
      </c>
      <c r="AD27" s="231">
        <f>(INDEX(Models!$BJ27:$BT27,,AH27)*(1-AF27)+INDEX(Models!$BJ27:$BT27,,AH27+1)*AF27-ERP_i)*AE27*Ramure*Pc/MaxiM</f>
        <v>6.0960008291829097E-3</v>
      </c>
      <c r="AE27" s="305">
        <f t="shared" si="15"/>
        <v>0.7</v>
      </c>
      <c r="AF27" s="177">
        <f t="shared" si="23"/>
        <v>4.821390025415706E-4</v>
      </c>
      <c r="AG27" s="919">
        <f t="shared" si="24"/>
        <v>1</v>
      </c>
      <c r="AH27" s="176">
        <f t="shared" si="16"/>
        <v>7</v>
      </c>
      <c r="AI27" s="225">
        <f t="shared" si="17"/>
        <v>1.0004821390025416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1090">
        <f>IF(t&gt;Tmaj,'2023'!Wh/'2023'!Env_an*'2024'!Env_an,0.001*'[3]mon-tableau (2)'!$B$51)</f>
        <v>18.410661043912476</v>
      </c>
      <c r="C28" s="953"/>
      <c r="D28" s="393">
        <f t="shared" si="0"/>
        <v>19.261214989936178</v>
      </c>
      <c r="E28" s="385">
        <f t="shared" si="1"/>
        <v>20.061473094993133</v>
      </c>
      <c r="F28" s="385">
        <f t="shared" si="2"/>
        <v>20.119638892591627</v>
      </c>
      <c r="G28" s="110">
        <f t="shared" si="21"/>
        <v>0.63792405339731484</v>
      </c>
      <c r="H28" s="412" t="b">
        <f>Wh_hp&gt;='2023'!Maxi_hp</f>
        <v>0</v>
      </c>
      <c r="I28" s="390">
        <f>IF(H28,Wh_hp,'2023'!Maxi_hp)</f>
        <v>31.541619457007879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4.4158893738951988E-2</v>
      </c>
      <c r="M28" s="957"/>
      <c r="N28" s="957"/>
      <c r="O28" s="48">
        <f>IF(t&lt;Tnet,'2023'!Resal+('2023'!Salim-'2023'!Resal)*(1-EXP(('2023'!Tnet-t)/('2023'!Tau_j))),Resal+(Salim-Resal)*(1-EXP((Tnet-t)/(Tau_j))))*Salcycl</f>
        <v>3.9890296254300399E-2</v>
      </c>
      <c r="P28" s="169">
        <f>(INDEX(Models!$BJ28:$BT28,,T28)*(1-R28)+INDEX(Models!$BJ28:$BT28,,T28+1)*R28-ERP_i)*Q28*Ramure*Pc/MaxiM</f>
        <v>5.9539821746315289E-3</v>
      </c>
      <c r="Q28" s="305">
        <f t="shared" si="4"/>
        <v>0.7</v>
      </c>
      <c r="R28" s="177">
        <f t="shared" si="5"/>
        <v>5.2989039293116491E-4</v>
      </c>
      <c r="S28" s="919">
        <f t="shared" si="6"/>
        <v>1</v>
      </c>
      <c r="T28" s="176">
        <f t="shared" si="7"/>
        <v>7</v>
      </c>
      <c r="U28" s="251">
        <f t="shared" si="8"/>
        <v>1.0005298903929312</v>
      </c>
      <c r="V28" s="383">
        <f t="shared" si="9"/>
        <v>28.771616068116181</v>
      </c>
      <c r="W28" s="402">
        <f t="shared" si="10"/>
        <v>18.410661043912476</v>
      </c>
      <c r="X28" s="157">
        <f t="shared" si="11"/>
        <v>45305</v>
      </c>
      <c r="Y28" s="385">
        <f t="shared" si="12"/>
        <v>16.899875876021845</v>
      </c>
      <c r="Z28" s="385">
        <f t="shared" si="22"/>
        <v>17.680633073135851</v>
      </c>
      <c r="AA28" s="386">
        <f t="shared" si="13"/>
        <v>20.061473094993133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0.11867722826652657</v>
      </c>
      <c r="AD28" s="231">
        <f>(INDEX(Models!$BJ28:$BT28,,AH28)*(1-AF28)+INDEX(Models!$BJ28:$BT28,,AH28+1)*AF28-ERP_i)*AE28*Ramure*Pc/MaxiM</f>
        <v>5.9539821746315289E-3</v>
      </c>
      <c r="AE28" s="305">
        <f t="shared" si="15"/>
        <v>0.7</v>
      </c>
      <c r="AF28" s="177">
        <f t="shared" si="23"/>
        <v>5.2989039293116491E-4</v>
      </c>
      <c r="AG28" s="919">
        <f t="shared" si="24"/>
        <v>1</v>
      </c>
      <c r="AH28" s="176">
        <f t="shared" si="16"/>
        <v>7</v>
      </c>
      <c r="AI28" s="225">
        <f t="shared" si="17"/>
        <v>1.0005298903929312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1090">
        <f>IF(t&gt;Tmaj,'2023'!Wh/'2023'!Env_an*'2024'!Env_an,0.001*'[3]mon-tableau (2)'!$B$52)</f>
        <v>6.5466547349753359</v>
      </c>
      <c r="C29" s="953"/>
      <c r="D29" s="393">
        <f t="shared" si="0"/>
        <v>6.8492535880416927</v>
      </c>
      <c r="E29" s="385">
        <f t="shared" si="1"/>
        <v>7.1346114598091068</v>
      </c>
      <c r="F29" s="385">
        <f t="shared" si="2"/>
        <v>7.1346114598091068</v>
      </c>
      <c r="G29" s="110">
        <f t="shared" si="21"/>
        <v>0.22445042689351041</v>
      </c>
      <c r="H29" s="412" t="b">
        <f>Wh_hp&gt;='2023'!Maxi_hp</f>
        <v>0</v>
      </c>
      <c r="I29" s="390">
        <f>IF(H29,Wh_hp,'2023'!Maxi_hp)</f>
        <v>31.364833627737337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4.4179829112280578E-2</v>
      </c>
      <c r="M29" s="957"/>
      <c r="N29" s="957"/>
      <c r="O29" s="48">
        <f>IF(t&lt;Tnet,'2023'!Resal+('2023'!Salim-'2023'!Resal)*(1-EXP(('2023'!Tnet-t)/('2023'!Tau_j))),Resal+(Salim-Resal)*(1-EXP((Tnet-t)/(Tau_j))))*Salcycl</f>
        <v>3.9996273570733307E-2</v>
      </c>
      <c r="P29" s="169">
        <f>(INDEX(Models!$BJ29:$BT29,,T29)*(1-R29)+INDEX(Models!$BJ29:$BT29,,T29+1)*R29-ERP_i)*Q29*Ramure*Pc/MaxiM</f>
        <v>5.7979860851751289E-3</v>
      </c>
      <c r="Q29" s="305">
        <f t="shared" si="4"/>
        <v>0.7</v>
      </c>
      <c r="R29" s="177">
        <f t="shared" si="5"/>
        <v>5.796353431033463E-4</v>
      </c>
      <c r="S29" s="919">
        <f t="shared" si="6"/>
        <v>1</v>
      </c>
      <c r="T29" s="176">
        <f t="shared" si="7"/>
        <v>7</v>
      </c>
      <c r="U29" s="251">
        <f t="shared" si="8"/>
        <v>1.0005796353431033</v>
      </c>
      <c r="V29" s="383">
        <f t="shared" si="9"/>
        <v>28.998373547338041</v>
      </c>
      <c r="W29" s="402">
        <f t="shared" si="10"/>
        <v>6.5466547349753359</v>
      </c>
      <c r="X29" s="157">
        <f t="shared" si="11"/>
        <v>45306</v>
      </c>
      <c r="Y29" s="385">
        <f t="shared" si="12"/>
        <v>6.0099593319288314</v>
      </c>
      <c r="Z29" s="385">
        <f t="shared" si="22"/>
        <v>6.287751101074873</v>
      </c>
      <c r="AA29" s="386">
        <f t="shared" si="13"/>
        <v>7.1346114598091068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0.11869747406775986</v>
      </c>
      <c r="AD29" s="231">
        <f>(INDEX(Models!$BJ29:$BT29,,AH29)*(1-AF29)+INDEX(Models!$BJ29:$BT29,,AH29+1)*AF29-ERP_i)*AE29*Ramure*Pc/MaxiM</f>
        <v>5.7979860851751289E-3</v>
      </c>
      <c r="AE29" s="305">
        <f t="shared" si="15"/>
        <v>0.7</v>
      </c>
      <c r="AF29" s="177">
        <f t="shared" si="23"/>
        <v>5.796353431033463E-4</v>
      </c>
      <c r="AG29" s="919">
        <f t="shared" si="24"/>
        <v>1</v>
      </c>
      <c r="AH29" s="176">
        <f t="shared" si="16"/>
        <v>7</v>
      </c>
      <c r="AI29" s="225">
        <f t="shared" si="17"/>
        <v>1.0005796353431033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1090">
        <f>IF(t&gt;Tmaj,'2023'!Wh/'2023'!Env_an*'2024'!Env_an,0.001*'[3]mon-tableau (2)'!$B$53)</f>
        <v>3.3073088294953039</v>
      </c>
      <c r="C30" s="953"/>
      <c r="D30" s="393">
        <f t="shared" si="0"/>
        <v>3.4602547323954713</v>
      </c>
      <c r="E30" s="385">
        <f t="shared" si="1"/>
        <v>3.6048156951436061</v>
      </c>
      <c r="F30" s="385">
        <f t="shared" si="2"/>
        <v>3.6048156951436061</v>
      </c>
      <c r="G30" s="110">
        <f t="shared" si="21"/>
        <v>0.11250986989194392</v>
      </c>
      <c r="H30" s="412" t="b">
        <f>Wh_hp&gt;='2023'!Maxi_hp</f>
        <v>0</v>
      </c>
      <c r="I30" s="390">
        <f>IF(H30,Wh_hp,'2023'!Maxi_hp)</f>
        <v>32.204114318448951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4.4200764027070849E-2</v>
      </c>
      <c r="M30" s="957"/>
      <c r="N30" s="957"/>
      <c r="O30" s="48">
        <f>IF(t&lt;Tnet,'2023'!Resal+('2023'!Salim-'2023'!Resal)*(1-EXP(('2023'!Tnet-t)/('2023'!Tau_j))),Resal+(Salim-Resal)*(1-EXP((Tnet-t)/(Tau_j))))*Salcycl</f>
        <v>4.0102178578196666E-2</v>
      </c>
      <c r="P30" s="169">
        <f>(INDEX(Models!$BJ30:$BT30,,T30)*(1-R30)+INDEX(Models!$BJ30:$BT30,,T30+1)*R30-ERP_i)*Q30*Ramure*Pc/MaxiM</f>
        <v>5.6246493204868617E-3</v>
      </c>
      <c r="Q30" s="305">
        <f t="shared" si="4"/>
        <v>0.7</v>
      </c>
      <c r="R30" s="177">
        <f t="shared" si="5"/>
        <v>6.314566584966208E-4</v>
      </c>
      <c r="S30" s="919">
        <f t="shared" si="6"/>
        <v>1</v>
      </c>
      <c r="T30" s="176">
        <f t="shared" si="7"/>
        <v>7</v>
      </c>
      <c r="U30" s="251">
        <f t="shared" si="8"/>
        <v>1.0006314566584966</v>
      </c>
      <c r="V30" s="383">
        <f t="shared" si="9"/>
        <v>29.230381123837077</v>
      </c>
      <c r="W30" s="402">
        <f t="shared" si="10"/>
        <v>3.3073088294953039</v>
      </c>
      <c r="X30" s="157">
        <f t="shared" si="11"/>
        <v>45307</v>
      </c>
      <c r="Y30" s="385">
        <f t="shared" si="12"/>
        <v>3.036440163137573</v>
      </c>
      <c r="Z30" s="385">
        <f t="shared" si="22"/>
        <v>3.1768597932040756</v>
      </c>
      <c r="AA30" s="386">
        <f t="shared" si="13"/>
        <v>3.6048156951436061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0.11871783140427149</v>
      </c>
      <c r="AD30" s="231">
        <f>(INDEX(Models!$BJ30:$BT30,,AH30)*(1-AF30)+INDEX(Models!$BJ30:$BT30,,AH30+1)*AF30-ERP_i)*AE30*Ramure*Pc/MaxiM</f>
        <v>5.6246493204868617E-3</v>
      </c>
      <c r="AE30" s="305">
        <f t="shared" si="15"/>
        <v>0.7</v>
      </c>
      <c r="AF30" s="177">
        <f t="shared" si="23"/>
        <v>6.314566584966208E-4</v>
      </c>
      <c r="AG30" s="919">
        <f t="shared" si="24"/>
        <v>1</v>
      </c>
      <c r="AH30" s="176">
        <f t="shared" si="16"/>
        <v>7</v>
      </c>
      <c r="AI30" s="225">
        <f t="shared" si="17"/>
        <v>1.0006314566584966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1090">
        <f>IF(t&gt;Tmaj,'2023'!Wh/'2023'!Env_an*'2024'!Env_an,0.001*'[3]mon-tableau (2)'!$B$54)</f>
        <v>5.9924306282261188</v>
      </c>
      <c r="C31" s="953"/>
      <c r="D31" s="393">
        <f t="shared" si="0"/>
        <v>6.2696868287521168</v>
      </c>
      <c r="E31" s="385">
        <f t="shared" si="1"/>
        <v>6.5323392096146975</v>
      </c>
      <c r="F31" s="385">
        <f t="shared" si="2"/>
        <v>6.5323392096146975</v>
      </c>
      <c r="G31" s="110">
        <f t="shared" si="21"/>
        <v>0.20224892784593326</v>
      </c>
      <c r="H31" s="412" t="b">
        <f>Wh_hp&gt;='2023'!Maxi_hp</f>
        <v>0</v>
      </c>
      <c r="I31" s="390">
        <f>IF(H31,Wh_hp,'2023'!Maxi_hp)</f>
        <v>21.487958895001182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4.4221698483332683E-2</v>
      </c>
      <c r="M31" s="957"/>
      <c r="N31" s="957"/>
      <c r="O31" s="48">
        <f>IF(t&lt;Tnet,'2023'!Resal+('2023'!Salim-'2023'!Resal)*(1-EXP(('2023'!Tnet-t)/('2023'!Tau_j))),Resal+(Salim-Resal)*(1-EXP((Tnet-t)/(Tau_j))))*Salcycl</f>
        <v>4.0208013153388199E-2</v>
      </c>
      <c r="P31" s="169">
        <f>(INDEX(Models!$BJ31:$BT31,,T31)*(1-R31)+INDEX(Models!$BJ31:$BT31,,T31+1)*R31-ERP_i)*Q31*Ramure*Pc/MaxiM</f>
        <v>5.4422394596690231E-3</v>
      </c>
      <c r="Q31" s="305">
        <f t="shared" si="4"/>
        <v>0.7</v>
      </c>
      <c r="R31" s="177">
        <f t="shared" si="5"/>
        <v>6.8544054785069086E-4</v>
      </c>
      <c r="S31" s="919">
        <f t="shared" si="6"/>
        <v>1</v>
      </c>
      <c r="T31" s="176">
        <f t="shared" si="7"/>
        <v>7</v>
      </c>
      <c r="U31" s="251">
        <f t="shared" si="8"/>
        <v>1.0006854405478507</v>
      </c>
      <c r="V31" s="383">
        <f t="shared" si="9"/>
        <v>29.467737847994204</v>
      </c>
      <c r="W31" s="402">
        <f t="shared" si="10"/>
        <v>5.9924306282261188</v>
      </c>
      <c r="X31" s="157">
        <f t="shared" si="11"/>
        <v>45308</v>
      </c>
      <c r="Y31" s="385">
        <f t="shared" si="12"/>
        <v>5.5021292615856163</v>
      </c>
      <c r="Z31" s="385">
        <f t="shared" si="22"/>
        <v>5.7567003277377369</v>
      </c>
      <c r="AA31" s="386">
        <f t="shared" si="13"/>
        <v>6.5323392096146975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0.11873830445536689</v>
      </c>
      <c r="AD31" s="231">
        <f>(INDEX(Models!$BJ31:$BT31,,AH31)*(1-AF31)+INDEX(Models!$BJ31:$BT31,,AH31+1)*AF31-ERP_i)*AE31*Ramure*Pc/MaxiM</f>
        <v>5.4422394596690231E-3</v>
      </c>
      <c r="AE31" s="305">
        <f t="shared" si="15"/>
        <v>0.7</v>
      </c>
      <c r="AF31" s="177">
        <f t="shared" si="23"/>
        <v>6.8544054785069086E-4</v>
      </c>
      <c r="AG31" s="919">
        <f t="shared" si="24"/>
        <v>1</v>
      </c>
      <c r="AH31" s="176">
        <f t="shared" si="16"/>
        <v>7</v>
      </c>
      <c r="AI31" s="225">
        <f t="shared" si="17"/>
        <v>1.0006854405478507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1090">
        <f>IF(t&gt;Tmaj,'2023'!Wh/'2023'!Env_an*'2024'!Env_an,0.001*'[3]mon-tableau (2)'!$B$55)</f>
        <v>20.895008268660494</v>
      </c>
      <c r="C32" s="953"/>
      <c r="D32" s="393">
        <f t="shared" si="0"/>
        <v>21.862251842120148</v>
      </c>
      <c r="E32" s="385">
        <f t="shared" si="1"/>
        <v>22.780624931303706</v>
      </c>
      <c r="F32" s="385">
        <f t="shared" si="2"/>
        <v>22.849749541954303</v>
      </c>
      <c r="G32" s="110">
        <f t="shared" si="21"/>
        <v>0.70171035722962583</v>
      </c>
      <c r="H32" s="412" t="b">
        <f>Wh_hp&gt;='2023'!Maxi_hp</f>
        <v>0</v>
      </c>
      <c r="I32" s="390">
        <f>IF(H32,Wh_hp,'2023'!Maxi_hp)</f>
        <v>30.961638796552403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4.4242632481076294E-2</v>
      </c>
      <c r="M32" s="957"/>
      <c r="N32" s="957"/>
      <c r="O32" s="48">
        <f>IF(t&lt;Tnet,'2023'!Resal+('2023'!Salim-'2023'!Resal)*(1-EXP(('2023'!Tnet-t)/('2023'!Tau_j))),Resal+(Salim-Resal)*(1-EXP((Tnet-t)/(Tau_j))))*Salcycl</f>
        <v>4.0313779448674598E-2</v>
      </c>
      <c r="P32" s="169">
        <f>(INDEX(Models!$BJ32:$BT32,,T32)*(1-R32)+INDEX(Models!$BJ32:$BT32,,T32+1)*R32-ERP_i)*Q32*Ramure*Pc/MaxiM</f>
        <v>5.2510008561403605E-3</v>
      </c>
      <c r="Q32" s="305">
        <f t="shared" si="4"/>
        <v>0.7</v>
      </c>
      <c r="R32" s="177">
        <f t="shared" si="5"/>
        <v>7.4167675999237126E-4</v>
      </c>
      <c r="S32" s="919">
        <f t="shared" si="6"/>
        <v>1</v>
      </c>
      <c r="T32" s="176">
        <f t="shared" si="7"/>
        <v>7</v>
      </c>
      <c r="U32" s="251">
        <f t="shared" si="8"/>
        <v>1.0007416767599924</v>
      </c>
      <c r="V32" s="383">
        <f t="shared" si="9"/>
        <v>29.710775093887364</v>
      </c>
      <c r="W32" s="402">
        <f t="shared" si="10"/>
        <v>20.895008268660494</v>
      </c>
      <c r="X32" s="157">
        <f t="shared" si="11"/>
        <v>45309</v>
      </c>
      <c r="Y32" s="385">
        <f t="shared" si="12"/>
        <v>19.187042300907223</v>
      </c>
      <c r="Z32" s="385">
        <f t="shared" si="22"/>
        <v>20.075223014723267</v>
      </c>
      <c r="AA32" s="386">
        <f t="shared" si="13"/>
        <v>22.780624931303706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0.11875889817503837</v>
      </c>
      <c r="AD32" s="231">
        <f>(INDEX(Models!$BJ32:$BT32,,AH32)*(1-AF32)+INDEX(Models!$BJ32:$BT32,,AH32+1)*AF32-ERP_i)*AE32*Ramure*Pc/MaxiM</f>
        <v>5.2510008561403605E-3</v>
      </c>
      <c r="AE32" s="305">
        <f t="shared" si="15"/>
        <v>0.7</v>
      </c>
      <c r="AF32" s="177">
        <f t="shared" si="23"/>
        <v>7.4167675999237126E-4</v>
      </c>
      <c r="AG32" s="919">
        <f t="shared" si="24"/>
        <v>1</v>
      </c>
      <c r="AH32" s="176">
        <f t="shared" si="16"/>
        <v>7</v>
      </c>
      <c r="AI32" s="225">
        <f t="shared" si="17"/>
        <v>1.0007416767599924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1090">
        <f>IF(t&gt;Tmaj,'2023'!Wh/'2023'!Env_an*'2024'!Env_an,0.001*'[3]mon-tableau (2)'!$B$56)</f>
        <v>9.3997478027469032</v>
      </c>
      <c r="C33" s="953"/>
      <c r="D33" s="393">
        <f t="shared" si="0"/>
        <v>9.835083678463878</v>
      </c>
      <c r="E33" s="385">
        <f t="shared" si="1"/>
        <v>10.249357371823333</v>
      </c>
      <c r="F33" s="385">
        <f t="shared" si="2"/>
        <v>10.250374049110862</v>
      </c>
      <c r="G33" s="110">
        <f t="shared" si="21"/>
        <v>0.31219127270250513</v>
      </c>
      <c r="H33" s="412" t="b">
        <f>Wh_hp&gt;='2023'!Maxi_hp</f>
        <v>0</v>
      </c>
      <c r="I33" s="390">
        <f>IF(H33,Wh_hp,'2023'!Maxi_hp)</f>
        <v>32.578902251016416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4.4263566020311562E-2</v>
      </c>
      <c r="M33" s="957"/>
      <c r="N33" s="957"/>
      <c r="O33" s="48">
        <f>IF(t&lt;Tnet,'2023'!Resal+('2023'!Salim-'2023'!Resal)*(1-EXP(('2023'!Tnet-t)/('2023'!Tau_j))),Resal+(Salim-Resal)*(1-EXP((Tnet-t)/(Tau_j))))*Salcycl</f>
        <v>4.0419479810348151E-2</v>
      </c>
      <c r="P33" s="169">
        <f>(INDEX(Models!$BJ33:$BT33,,T33)*(1-R33)+INDEX(Models!$BJ33:$BT33,,T33+1)*R33-ERP_i)*Q33*Ramure*Pc/MaxiM</f>
        <v>5.0511902099187262E-3</v>
      </c>
      <c r="Q33" s="305">
        <f t="shared" si="4"/>
        <v>0.7</v>
      </c>
      <c r="R33" s="177">
        <f t="shared" si="5"/>
        <v>8.0025872585332003E-4</v>
      </c>
      <c r="S33" s="919">
        <f t="shared" si="6"/>
        <v>1</v>
      </c>
      <c r="T33" s="176">
        <f t="shared" si="7"/>
        <v>7</v>
      </c>
      <c r="U33" s="251">
        <f t="shared" si="8"/>
        <v>1.0008002587258533</v>
      </c>
      <c r="V33" s="383">
        <f t="shared" si="9"/>
        <v>29.959823985068738</v>
      </c>
      <c r="W33" s="402">
        <f t="shared" si="10"/>
        <v>9.3997478027469032</v>
      </c>
      <c r="X33" s="157">
        <f t="shared" si="11"/>
        <v>45310</v>
      </c>
      <c r="Y33" s="385">
        <f t="shared" si="12"/>
        <v>8.6321566296534904</v>
      </c>
      <c r="Z33" s="385">
        <f t="shared" si="22"/>
        <v>9.0319426180177871</v>
      </c>
      <c r="AA33" s="386">
        <f t="shared" si="13"/>
        <v>10.249357371823333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0.11877961804243051</v>
      </c>
      <c r="AD33" s="231">
        <f>(INDEX(Models!$BJ33:$BT33,,AH33)*(1-AF33)+INDEX(Models!$BJ33:$BT33,,AH33+1)*AF33-ERP_i)*AE33*Ramure*Pc/MaxiM</f>
        <v>5.0511902099187262E-3</v>
      </c>
      <c r="AE33" s="305">
        <f t="shared" si="15"/>
        <v>0.7</v>
      </c>
      <c r="AF33" s="177">
        <f t="shared" si="23"/>
        <v>8.0025872585332003E-4</v>
      </c>
      <c r="AG33" s="919">
        <f t="shared" si="24"/>
        <v>1</v>
      </c>
      <c r="AH33" s="176">
        <f t="shared" si="16"/>
        <v>7</v>
      </c>
      <c r="AI33" s="225">
        <f t="shared" si="17"/>
        <v>1.0008002587258533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1090">
        <f>IF(t&gt;Tmaj,'2023'!Wh/'2023'!Env_an*'2024'!Env_an,0.001*'[3]mon-tableau (2)'!$B$57)</f>
        <v>18.077155215122197</v>
      </c>
      <c r="C34" s="953"/>
      <c r="D34" s="393">
        <f t="shared" si="0"/>
        <v>18.914787086867086</v>
      </c>
      <c r="E34" s="385">
        <f t="shared" si="1"/>
        <v>19.713686534224056</v>
      </c>
      <c r="F34" s="385">
        <f t="shared" si="2"/>
        <v>19.7544540946318</v>
      </c>
      <c r="G34" s="110">
        <f t="shared" si="21"/>
        <v>0.5966135976788226</v>
      </c>
      <c r="H34" s="412" t="b">
        <f>Wh_hp&gt;='2023'!Maxi_hp</f>
        <v>0</v>
      </c>
      <c r="I34" s="390">
        <f>IF(H34,Wh_hp,'2023'!Maxi_hp)</f>
        <v>19.774595283033769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4.4284499101048591E-2</v>
      </c>
      <c r="M34" s="957"/>
      <c r="N34" s="957"/>
      <c r="O34" s="48">
        <f>IF(t&lt;Tnet,'2023'!Resal+('2023'!Salim-'2023'!Resal)*(1-EXP(('2023'!Tnet-t)/('2023'!Tau_j))),Resal+(Salim-Resal)*(1-EXP((Tnet-t)/(Tau_j))))*Salcycl</f>
        <v>4.0525116698494491E-2</v>
      </c>
      <c r="P34" s="169">
        <f>(INDEX(Models!$BJ34:$BT34,,T34)*(1-R34)+INDEX(Models!$BJ34:$BT34,,T34+1)*R34-ERP_i)*Q34*Ramure*Pc/MaxiM</f>
        <v>4.8431035886779498E-3</v>
      </c>
      <c r="Q34" s="305">
        <f t="shared" si="4"/>
        <v>0.7</v>
      </c>
      <c r="R34" s="177">
        <f t="shared" si="5"/>
        <v>8.6128370589610981E-4</v>
      </c>
      <c r="S34" s="919">
        <f t="shared" si="6"/>
        <v>1</v>
      </c>
      <c r="T34" s="176">
        <f t="shared" si="7"/>
        <v>7</v>
      </c>
      <c r="U34" s="251">
        <f t="shared" si="8"/>
        <v>1.0008612837058961</v>
      </c>
      <c r="V34" s="383">
        <f t="shared" si="9"/>
        <v>30.215214573033649</v>
      </c>
      <c r="W34" s="402">
        <f t="shared" si="10"/>
        <v>18.077155215122197</v>
      </c>
      <c r="X34" s="157">
        <f t="shared" si="11"/>
        <v>45311</v>
      </c>
      <c r="Y34" s="385">
        <f t="shared" si="12"/>
        <v>16.602394663767427</v>
      </c>
      <c r="Z34" s="385">
        <f t="shared" si="22"/>
        <v>17.371691312060044</v>
      </c>
      <c r="AA34" s="386">
        <f t="shared" si="13"/>
        <v>19.713686534224056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0.11880046982070951</v>
      </c>
      <c r="AD34" s="231">
        <f>(INDEX(Models!$BJ34:$BT34,,AH34)*(1-AF34)+INDEX(Models!$BJ34:$BT34,,AH34+1)*AF34-ERP_i)*AE34*Ramure*Pc/MaxiM</f>
        <v>4.8431035886779498E-3</v>
      </c>
      <c r="AE34" s="305">
        <f t="shared" si="15"/>
        <v>0.7</v>
      </c>
      <c r="AF34" s="177">
        <f t="shared" si="23"/>
        <v>8.6128370589610981E-4</v>
      </c>
      <c r="AG34" s="919">
        <f t="shared" si="24"/>
        <v>1</v>
      </c>
      <c r="AH34" s="176">
        <f t="shared" si="16"/>
        <v>7</v>
      </c>
      <c r="AI34" s="225">
        <f t="shared" si="17"/>
        <v>1.0008612837058961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1090">
        <f>IF(t&gt;Tmaj,'2023'!Wh/'2023'!Env_an*'2024'!Env_an,0.001*'[3]mon-tableau (2)'!$B$58)</f>
        <v>5.0339289059709591</v>
      </c>
      <c r="C35" s="953"/>
      <c r="D35" s="393">
        <f t="shared" si="0"/>
        <v>5.2672988557924754</v>
      </c>
      <c r="E35" s="385">
        <f t="shared" si="1"/>
        <v>5.4903766622664678</v>
      </c>
      <c r="F35" s="385">
        <f t="shared" si="2"/>
        <v>5.4903766622664678</v>
      </c>
      <c r="G35" s="110">
        <f t="shared" si="21"/>
        <v>0.16440565634943585</v>
      </c>
      <c r="H35" s="412" t="b">
        <f>Wh_hp&gt;='2023'!Maxi_hp</f>
        <v>0</v>
      </c>
      <c r="I35" s="390">
        <f>IF(H35,Wh_hp,'2023'!Maxi_hp)</f>
        <v>18.089681774090039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4.4305431723297484E-2</v>
      </c>
      <c r="M35" s="957"/>
      <c r="N35" s="957"/>
      <c r="O35" s="48">
        <f>IF(t&lt;Tnet,'2023'!Resal+('2023'!Salim-'2023'!Resal)*(1-EXP(('2023'!Tnet-t)/('2023'!Tau_j))),Resal+(Salim-Resal)*(1-EXP((Tnet-t)/(Tau_j))))*Salcycl</f>
        <v>4.0630692609330804E-2</v>
      </c>
      <c r="P35" s="169">
        <f>(INDEX(Models!$BJ35:$BT35,,T35)*(1-R35)+INDEX(Models!$BJ35:$BT35,,T35+1)*R35-ERP_i)*Q35*Ramure*Pc/MaxiM</f>
        <v>4.6270561895476294E-3</v>
      </c>
      <c r="Q35" s="305">
        <f t="shared" si="4"/>
        <v>0.7</v>
      </c>
      <c r="R35" s="177">
        <f t="shared" si="5"/>
        <v>9.2485294313227051E-4</v>
      </c>
      <c r="S35" s="919">
        <f t="shared" si="6"/>
        <v>1</v>
      </c>
      <c r="T35" s="176">
        <f t="shared" si="7"/>
        <v>7</v>
      </c>
      <c r="U35" s="251">
        <f t="shared" si="8"/>
        <v>1.0009248529431323</v>
      </c>
      <c r="V35" s="383">
        <f t="shared" si="9"/>
        <v>30.477276423014242</v>
      </c>
      <c r="W35" s="402">
        <f t="shared" si="10"/>
        <v>5.0339289059709591</v>
      </c>
      <c r="X35" s="157">
        <f t="shared" si="11"/>
        <v>45312</v>
      </c>
      <c r="Y35" s="385">
        <f t="shared" si="12"/>
        <v>4.6236523235054561</v>
      </c>
      <c r="Z35" s="385">
        <f t="shared" si="22"/>
        <v>4.8380020950027713</v>
      </c>
      <c r="AA35" s="386">
        <f t="shared" si="13"/>
        <v>5.4903766622664678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0.11882145932668871</v>
      </c>
      <c r="AD35" s="231">
        <f>(INDEX(Models!$BJ35:$BT35,,AH35)*(1-AF35)+INDEX(Models!$BJ35:$BT35,,AH35+1)*AF35-ERP_i)*AE35*Ramure*Pc/MaxiM</f>
        <v>4.6270561895476294E-3</v>
      </c>
      <c r="AE35" s="305">
        <f t="shared" si="15"/>
        <v>0.7</v>
      </c>
      <c r="AF35" s="177">
        <f t="shared" si="23"/>
        <v>9.2485294313227051E-4</v>
      </c>
      <c r="AG35" s="919">
        <f t="shared" si="24"/>
        <v>1</v>
      </c>
      <c r="AH35" s="176">
        <f t="shared" si="16"/>
        <v>7</v>
      </c>
      <c r="AI35" s="225">
        <f t="shared" si="17"/>
        <v>1.0009248529431323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1090">
        <f>IF(t&gt;Tmaj,'2023'!Wh/'2023'!Env_an*'2024'!Env_an,0.001*'[3]mon-tableau (2)'!$B$59)</f>
        <v>29.851938592371123</v>
      </c>
      <c r="C36" s="953"/>
      <c r="D36" s="393">
        <f t="shared" si="0"/>
        <v>31.236540869527058</v>
      </c>
      <c r="E36" s="385">
        <f t="shared" si="1"/>
        <v>32.563035522850448</v>
      </c>
      <c r="F36" s="385">
        <f t="shared" si="2"/>
        <v>32.701045718072059</v>
      </c>
      <c r="G36" s="110">
        <f t="shared" si="21"/>
        <v>0.97073190602702608</v>
      </c>
      <c r="H36" s="412" t="b">
        <f>Wh_hp&gt;='2023'!Maxi_hp</f>
        <v>0</v>
      </c>
      <c r="I36" s="390">
        <f>IF(H36,Wh_hp,'2023'!Maxi_hp)</f>
        <v>32.705445690362119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4.4326363887068232E-2</v>
      </c>
      <c r="M36" s="957"/>
      <c r="N36" s="957"/>
      <c r="O36" s="48">
        <f>IF(t&lt;Tnet,'2023'!Resal+('2023'!Salim-'2023'!Resal)*(1-EXP(('2023'!Tnet-t)/('2023'!Tau_j))),Resal+(Salim-Resal)*(1-EXP((Tnet-t)/(Tau_j))))*Salcycl</f>
        <v>4.0736210000832135E-2</v>
      </c>
      <c r="P36" s="169">
        <f>(INDEX(Models!$BJ36:$BT36,,T36)*(1-R36)+INDEX(Models!$BJ36:$BT36,,T36+1)*R36-ERP_i)*Q36*Ramure*Pc/MaxiM</f>
        <v>4.4033488595638173E-3</v>
      </c>
      <c r="Q36" s="305">
        <f t="shared" si="4"/>
        <v>0.7</v>
      </c>
      <c r="R36" s="177">
        <f t="shared" si="5"/>
        <v>9.9107182191437992E-4</v>
      </c>
      <c r="S36" s="919">
        <f t="shared" si="6"/>
        <v>1</v>
      </c>
      <c r="T36" s="176">
        <f t="shared" si="7"/>
        <v>7</v>
      </c>
      <c r="U36" s="251">
        <f t="shared" si="8"/>
        <v>1.0009910718219144</v>
      </c>
      <c r="V36" s="383">
        <f t="shared" si="9"/>
        <v>30.746339635301194</v>
      </c>
      <c r="W36" s="402">
        <f t="shared" si="10"/>
        <v>29.851938592371123</v>
      </c>
      <c r="X36" s="157">
        <f t="shared" si="11"/>
        <v>45313</v>
      </c>
      <c r="Y36" s="385">
        <f t="shared" si="12"/>
        <v>27.421296521034566</v>
      </c>
      <c r="Z36" s="385">
        <f t="shared" si="22"/>
        <v>28.693159970977998</v>
      </c>
      <c r="AA36" s="386">
        <f t="shared" si="13"/>
        <v>32.563035522850448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0.11884259221339626</v>
      </c>
      <c r="AD36" s="231">
        <f>(INDEX(Models!$BJ36:$BT36,,AH36)*(1-AF36)+INDEX(Models!$BJ36:$BT36,,AH36+1)*AF36-ERP_i)*AE36*Ramure*Pc/MaxiM</f>
        <v>4.4033488595638173E-3</v>
      </c>
      <c r="AE36" s="305">
        <f t="shared" si="15"/>
        <v>0.7</v>
      </c>
      <c r="AF36" s="177">
        <f t="shared" si="23"/>
        <v>9.9107182191437992E-4</v>
      </c>
      <c r="AG36" s="919">
        <f t="shared" si="24"/>
        <v>1</v>
      </c>
      <c r="AH36" s="176">
        <f t="shared" si="16"/>
        <v>7</v>
      </c>
      <c r="AI36" s="225">
        <f t="shared" si="17"/>
        <v>1.0009910718219144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1090">
        <f>IF(t&gt;Tmaj,'2023'!Wh/'2023'!Env_an*'2024'!Env_an,0.001*'[3]mon-tableau (2)'!$B$60)</f>
        <v>29.916807404091067</v>
      </c>
      <c r="C37" s="953"/>
      <c r="D37" s="393">
        <f t="shared" si="0"/>
        <v>31.30510410958895</v>
      </c>
      <c r="E37" s="385">
        <f t="shared" si="1"/>
        <v>32.638098602017287</v>
      </c>
      <c r="F37" s="385">
        <f t="shared" si="2"/>
        <v>32.767837391683948</v>
      </c>
      <c r="G37" s="110">
        <f t="shared" si="21"/>
        <v>0.96409787064886887</v>
      </c>
      <c r="H37" s="412" t="b">
        <f>Wh_hp&gt;='2023'!Maxi_hp</f>
        <v>0</v>
      </c>
      <c r="I37" s="390">
        <f>IF(H37,Wh_hp,'2023'!Maxi_hp)</f>
        <v>32.772948392052989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4.4347295592370828E-2</v>
      </c>
      <c r="M37" s="957"/>
      <c r="N37" s="957"/>
      <c r="O37" s="48">
        <f>IF(t&lt;Tnet,'2023'!Resal+('2023'!Salim-'2023'!Resal)*(1-EXP(('2023'!Tnet-t)/('2023'!Tau_j))),Resal+(Salim-Resal)*(1-EXP((Tnet-t)/(Tau_j))))*Salcycl</f>
        <v>4.0841671222414534E-2</v>
      </c>
      <c r="P37" s="169">
        <f>(INDEX(Models!$BJ37:$BT37,,T37)*(1-R37)+INDEX(Models!$BJ37:$BT37,,T37+1)*R37-ERP_i)*Q37*Ramure*Pc/MaxiM</f>
        <v>4.1720868066199221E-3</v>
      </c>
      <c r="Q37" s="305">
        <f t="shared" si="4"/>
        <v>0.7</v>
      </c>
      <c r="R37" s="177">
        <f t="shared" si="5"/>
        <v>1.0600500326916062E-3</v>
      </c>
      <c r="S37" s="919">
        <f t="shared" si="6"/>
        <v>1</v>
      </c>
      <c r="T37" s="176">
        <f t="shared" si="7"/>
        <v>7</v>
      </c>
      <c r="U37" s="251">
        <f t="shared" si="8"/>
        <v>1.0010600500326916</v>
      </c>
      <c r="V37" s="383">
        <f t="shared" si="9"/>
        <v>31.024253976663626</v>
      </c>
      <c r="W37" s="402">
        <f t="shared" si="10"/>
        <v>29.916807404091067</v>
      </c>
      <c r="X37" s="157">
        <f t="shared" si="11"/>
        <v>45314</v>
      </c>
      <c r="Y37" s="385">
        <f t="shared" si="12"/>
        <v>27.483241290181855</v>
      </c>
      <c r="Z37" s="385">
        <f t="shared" si="22"/>
        <v>28.758607769773032</v>
      </c>
      <c r="AA37" s="386">
        <f t="shared" si="13"/>
        <v>32.638098602017287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0.11886387376758746</v>
      </c>
      <c r="AD37" s="231">
        <f>(INDEX(Models!$BJ37:$BT37,,AH37)*(1-AF37)+INDEX(Models!$BJ37:$BT37,,AH37+1)*AF37-ERP_i)*AE37*Ramure*Pc/MaxiM</f>
        <v>4.1720868066199221E-3</v>
      </c>
      <c r="AE37" s="305">
        <f t="shared" si="15"/>
        <v>0.7</v>
      </c>
      <c r="AF37" s="177">
        <f t="shared" si="23"/>
        <v>1.0600500326916062E-3</v>
      </c>
      <c r="AG37" s="919">
        <f t="shared" si="24"/>
        <v>1</v>
      </c>
      <c r="AH37" s="176">
        <f t="shared" si="16"/>
        <v>7</v>
      </c>
      <c r="AI37" s="225">
        <f t="shared" si="17"/>
        <v>1.0010600500326916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1090">
        <f>IF(t&gt;Tmaj,'2023'!Wh/'2023'!Env_an*'2024'!Env_an,0.001*'[3]mon-tableau (2)'!$B$61)</f>
        <v>30.203719117507664</v>
      </c>
      <c r="C38" s="953"/>
      <c r="D38" s="393">
        <f t="shared" si="0"/>
        <v>31.606022283675053</v>
      </c>
      <c r="E38" s="385">
        <f t="shared" si="1"/>
        <v>32.955451751894898</v>
      </c>
      <c r="F38" s="385">
        <f t="shared" si="2"/>
        <v>33.079233974317354</v>
      </c>
      <c r="G38" s="110">
        <f t="shared" si="21"/>
        <v>0.9644221467563513</v>
      </c>
      <c r="H38" s="412" t="b">
        <f>Wh_hp&gt;='2023'!Maxi_hp</f>
        <v>0</v>
      </c>
      <c r="I38" s="390">
        <f>IF(H38,Wh_hp,'2023'!Maxi_hp)</f>
        <v>33.084036887792983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4.4368226839215374E-2</v>
      </c>
      <c r="M38" s="957"/>
      <c r="N38" s="957"/>
      <c r="O38" s="48">
        <f>IF(t&lt;Tnet,'2023'!Resal+('2023'!Salim-'2023'!Resal)*(1-EXP(('2023'!Tnet-t)/('2023'!Tau_j))),Resal+(Salim-Resal)*(1-EXP((Tnet-t)/(Tau_j))))*Salcycl</f>
        <v>4.0947078449387525E-2</v>
      </c>
      <c r="P38" s="169">
        <f>(INDEX(Models!$BJ38:$BT38,,T38)*(1-R38)+INDEX(Models!$BJ38:$BT38,,T38+1)*R38-ERP_i)*Q38*Ramure*Pc/MaxiM</f>
        <v>3.941220219953627E-3</v>
      </c>
      <c r="Q38" s="305">
        <f t="shared" si="4"/>
        <v>0.7</v>
      </c>
      <c r="R38" s="177">
        <f t="shared" si="5"/>
        <v>1.1319017429209932E-3</v>
      </c>
      <c r="S38" s="919">
        <f t="shared" si="6"/>
        <v>1</v>
      </c>
      <c r="T38" s="176">
        <f t="shared" si="7"/>
        <v>7</v>
      </c>
      <c r="U38" s="251">
        <f t="shared" si="8"/>
        <v>1.001131901742921</v>
      </c>
      <c r="V38" s="383">
        <f t="shared" si="9"/>
        <v>31.311681485312032</v>
      </c>
      <c r="W38" s="402">
        <f t="shared" si="10"/>
        <v>30.203719117507664</v>
      </c>
      <c r="X38" s="157">
        <f t="shared" si="11"/>
        <v>45315</v>
      </c>
      <c r="Y38" s="385">
        <f t="shared" si="12"/>
        <v>27.749188858714309</v>
      </c>
      <c r="Z38" s="385">
        <f t="shared" si="22"/>
        <v>29.037532696231857</v>
      </c>
      <c r="AA38" s="386">
        <f t="shared" si="13"/>
        <v>32.955451751894898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0.11888530872400394</v>
      </c>
      <c r="AD38" s="231">
        <f>(INDEX(Models!$BJ38:$BT38,,AH38)*(1-AF38)+INDEX(Models!$BJ38:$BT38,,AH38+1)*AF38-ERP_i)*AE38*Ramure*Pc/MaxiM</f>
        <v>3.941220219953627E-3</v>
      </c>
      <c r="AE38" s="305">
        <f t="shared" si="15"/>
        <v>0.7</v>
      </c>
      <c r="AF38" s="177">
        <f t="shared" si="23"/>
        <v>1.1319017429209932E-3</v>
      </c>
      <c r="AG38" s="919">
        <f t="shared" si="24"/>
        <v>1</v>
      </c>
      <c r="AH38" s="176">
        <f t="shared" si="16"/>
        <v>7</v>
      </c>
      <c r="AI38" s="225">
        <f t="shared" si="17"/>
        <v>1.001131901742921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1090">
        <f>IF(t&gt;Tmaj,'2023'!Wh/'2023'!Env_an*'2024'!Env_an,0.001*'[3]mon-tableau (2)'!$B$62)</f>
        <v>29.754799495248509</v>
      </c>
      <c r="C39" s="953"/>
      <c r="D39" s="393">
        <f t="shared" si="0"/>
        <v>31.136942127382728</v>
      </c>
      <c r="E39" s="385">
        <f t="shared" si="1"/>
        <v>32.469910993168845</v>
      </c>
      <c r="F39" s="385">
        <f t="shared" si="2"/>
        <v>32.580895909930774</v>
      </c>
      <c r="G39" s="110">
        <f t="shared" si="21"/>
        <v>0.9410954163392673</v>
      </c>
      <c r="H39" s="412" t="b">
        <f>Wh_hp&gt;='2023'!Maxi_hp</f>
        <v>0</v>
      </c>
      <c r="I39" s="390">
        <f>IF(H39,Wh_hp,'2023'!Maxi_hp)</f>
        <v>32.588227286146612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4.4389157627611864E-2</v>
      </c>
      <c r="M39" s="957"/>
      <c r="N39" s="957"/>
      <c r="O39" s="48">
        <f>IF(t&lt;Tnet,'2023'!Resal+('2023'!Salim-'2023'!Resal)*(1-EXP(('2023'!Tnet-t)/('2023'!Tau_j))),Resal+(Salim-Resal)*(1-EXP((Tnet-t)/(Tau_j))))*Salcycl</f>
        <v>4.1052433622825658E-2</v>
      </c>
      <c r="P39" s="169">
        <f>(INDEX(Models!$BJ39:$BT39,,T39)*(1-R39)+INDEX(Models!$BJ39:$BT39,,T39+1)*R39-ERP_i)*Q39*Ramure*Pc/MaxiM</f>
        <v>3.7177241454869905E-3</v>
      </c>
      <c r="Q39" s="305">
        <f t="shared" si="4"/>
        <v>0.7</v>
      </c>
      <c r="R39" s="177">
        <f t="shared" si="5"/>
        <v>1.2067457743292209E-3</v>
      </c>
      <c r="S39" s="919">
        <f t="shared" si="6"/>
        <v>1</v>
      </c>
      <c r="T39" s="176">
        <f t="shared" si="7"/>
        <v>7</v>
      </c>
      <c r="U39" s="251">
        <f t="shared" si="8"/>
        <v>1.0012067457743292</v>
      </c>
      <c r="V39" s="383">
        <f t="shared" si="9"/>
        <v>31.607321816723026</v>
      </c>
      <c r="W39" s="402">
        <f t="shared" si="10"/>
        <v>29.754799495248509</v>
      </c>
      <c r="X39" s="157">
        <f t="shared" si="11"/>
        <v>45316</v>
      </c>
      <c r="Y39" s="385">
        <f t="shared" si="12"/>
        <v>27.339084443919983</v>
      </c>
      <c r="Z39" s="385">
        <f t="shared" si="22"/>
        <v>28.609014498044306</v>
      </c>
      <c r="AA39" s="386">
        <f t="shared" si="13"/>
        <v>32.469910993168845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0.11890690109796762</v>
      </c>
      <c r="AD39" s="231">
        <f>(INDEX(Models!$BJ39:$BT39,,AH39)*(1-AF39)+INDEX(Models!$BJ39:$BT39,,AH39+1)*AF39-ERP_i)*AE39*Ramure*Pc/MaxiM</f>
        <v>3.7177241454869905E-3</v>
      </c>
      <c r="AE39" s="305">
        <f t="shared" si="15"/>
        <v>0.7</v>
      </c>
      <c r="AF39" s="177">
        <f t="shared" si="23"/>
        <v>1.2067457743292209E-3</v>
      </c>
      <c r="AG39" s="919">
        <f t="shared" si="24"/>
        <v>1</v>
      </c>
      <c r="AH39" s="176">
        <f t="shared" si="16"/>
        <v>7</v>
      </c>
      <c r="AI39" s="225">
        <f t="shared" si="17"/>
        <v>1.0012067457743292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1090">
        <f>IF(t&gt;Tmaj,'2023'!Wh/'2023'!Env_an*'2024'!Env_an,0.001*'[3]mon-tableau (2)'!$B$63)</f>
        <v>30.526641338063278</v>
      </c>
      <c r="C40" s="953"/>
      <c r="D40" s="393">
        <f t="shared" si="0"/>
        <v>31.945336543807979</v>
      </c>
      <c r="E40" s="385">
        <f t="shared" si="1"/>
        <v>33.316571268301814</v>
      </c>
      <c r="F40" s="385">
        <f t="shared" si="2"/>
        <v>33.426370683502753</v>
      </c>
      <c r="G40" s="110">
        <f t="shared" si="21"/>
        <v>0.95643736945532642</v>
      </c>
      <c r="H40" s="412" t="b">
        <f>Wh_hp&gt;='2023'!Maxi_hp</f>
        <v>0</v>
      </c>
      <c r="I40" s="390">
        <f>IF(H40,Wh_hp,'2023'!Maxi_hp)</f>
        <v>33.431556002273844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4.4410087957570399E-2</v>
      </c>
      <c r="M40" s="957"/>
      <c r="N40" s="957"/>
      <c r="O40" s="48">
        <f>IF(t&lt;Tnet,'2023'!Resal+('2023'!Salim-'2023'!Resal)*(1-EXP(('2023'!Tnet-t)/('2023'!Tau_j))),Resal+(Salim-Resal)*(1-EXP((Tnet-t)/(Tau_j))))*Salcycl</f>
        <v>4.1157738395441033E-2</v>
      </c>
      <c r="P40" s="169">
        <f>(INDEX(Models!$BJ40:$BT40,,T40)*(1-R40)+INDEX(Models!$BJ40:$BT40,,T40+1)*R40-ERP_i)*Q40*Ramure*Pc/MaxiM</f>
        <v>3.5016912529343184E-3</v>
      </c>
      <c r="Q40" s="305">
        <f t="shared" si="4"/>
        <v>0.7</v>
      </c>
      <c r="R40" s="177">
        <f t="shared" si="5"/>
        <v>1.284705786722018E-3</v>
      </c>
      <c r="S40" s="919">
        <f t="shared" si="6"/>
        <v>1</v>
      </c>
      <c r="T40" s="176">
        <f t="shared" si="7"/>
        <v>7</v>
      </c>
      <c r="U40" s="251">
        <f t="shared" si="8"/>
        <v>1.001284705786722</v>
      </c>
      <c r="V40" s="383">
        <f t="shared" si="9"/>
        <v>31.910086289122912</v>
      </c>
      <c r="W40" s="402">
        <f t="shared" si="10"/>
        <v>30.526641338063278</v>
      </c>
      <c r="X40" s="157">
        <f t="shared" si="11"/>
        <v>45317</v>
      </c>
      <c r="Y40" s="385">
        <f t="shared" si="12"/>
        <v>28.050650298233329</v>
      </c>
      <c r="Z40" s="385">
        <f t="shared" si="22"/>
        <v>29.354276290212489</v>
      </c>
      <c r="AA40" s="386">
        <f t="shared" si="13"/>
        <v>33.316571268301814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0.11892865403767253</v>
      </c>
      <c r="AD40" s="231">
        <f>(INDEX(Models!$BJ40:$BT40,,AH40)*(1-AF40)+INDEX(Models!$BJ40:$BT40,,AH40+1)*AF40-ERP_i)*AE40*Ramure*Pc/MaxiM</f>
        <v>3.5016912529343184E-3</v>
      </c>
      <c r="AE40" s="305">
        <f t="shared" si="15"/>
        <v>0.7</v>
      </c>
      <c r="AF40" s="177">
        <f t="shared" si="23"/>
        <v>1.284705786722018E-3</v>
      </c>
      <c r="AG40" s="919">
        <f t="shared" si="24"/>
        <v>1</v>
      </c>
      <c r="AH40" s="176">
        <f t="shared" si="16"/>
        <v>7</v>
      </c>
      <c r="AI40" s="225">
        <f t="shared" si="17"/>
        <v>1.001284705786722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1090">
        <f>IF(t&gt;Tmaj,'2023'!Wh/'2023'!Env_an*'2024'!Env_an,0.001*'[3]mon-tableau (2)'!$B$64)</f>
        <v>30.251489265808225</v>
      </c>
      <c r="C41" s="953"/>
      <c r="D41" s="393">
        <f t="shared" si="0"/>
        <v>31.658090446889251</v>
      </c>
      <c r="E41" s="385">
        <f t="shared" si="1"/>
        <v>33.020620098669518</v>
      </c>
      <c r="F41" s="385">
        <f t="shared" si="2"/>
        <v>33.120175847725633</v>
      </c>
      <c r="G41" s="110">
        <f t="shared" si="21"/>
        <v>0.93866596633182686</v>
      </c>
      <c r="H41" s="412" t="b">
        <f>Wh_hp&gt;='2023'!Maxi_hp</f>
        <v>0</v>
      </c>
      <c r="I41" s="390">
        <f>IF(H41,Wh_hp,'2023'!Maxi_hp)</f>
        <v>33.12688956731003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4.4431017829100972E-2</v>
      </c>
      <c r="M41" s="957"/>
      <c r="N41" s="957"/>
      <c r="O41" s="48">
        <f>IF(t&lt;Tnet,'2023'!Resal+('2023'!Salim-'2023'!Resal)*(1-EXP(('2023'!Tnet-t)/('2023'!Tau_j))),Resal+(Salim-Resal)*(1-EXP((Tnet-t)/(Tau_j))))*Salcycl</f>
        <v>4.1262994083965256E-2</v>
      </c>
      <c r="P41" s="169">
        <f>(INDEX(Models!$BJ41:$BT41,,T41)*(1-R41)+INDEX(Models!$BJ41:$BT41,,T41+1)*R41-ERP_i)*Q41*Ramure*Pc/MaxiM</f>
        <v>3.2931691893725453E-3</v>
      </c>
      <c r="Q41" s="305">
        <f t="shared" si="4"/>
        <v>0.7</v>
      </c>
      <c r="R41" s="177">
        <f t="shared" si="5"/>
        <v>1.3659104685437296E-3</v>
      </c>
      <c r="S41" s="919">
        <f t="shared" si="6"/>
        <v>1</v>
      </c>
      <c r="T41" s="176">
        <f t="shared" si="7"/>
        <v>7</v>
      </c>
      <c r="U41" s="251">
        <f t="shared" si="8"/>
        <v>1.0013659104685437</v>
      </c>
      <c r="V41" s="383">
        <f t="shared" si="9"/>
        <v>32.218886863930948</v>
      </c>
      <c r="W41" s="402">
        <f t="shared" si="10"/>
        <v>30.251489265808225</v>
      </c>
      <c r="X41" s="157">
        <f t="shared" si="11"/>
        <v>45318</v>
      </c>
      <c r="Y41" s="385">
        <f t="shared" si="12"/>
        <v>27.800175876159685</v>
      </c>
      <c r="Z41" s="385">
        <f t="shared" si="22"/>
        <v>29.09279852617459</v>
      </c>
      <c r="AA41" s="386">
        <f t="shared" si="13"/>
        <v>33.020620098669518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0.11895056969730221</v>
      </c>
      <c r="AD41" s="231">
        <f>(INDEX(Models!$BJ41:$BT41,,AH41)*(1-AF41)+INDEX(Models!$BJ41:$BT41,,AH41+1)*AF41-ERP_i)*AE41*Ramure*Pc/MaxiM</f>
        <v>3.2931691893725453E-3</v>
      </c>
      <c r="AE41" s="305">
        <f t="shared" si="15"/>
        <v>0.7</v>
      </c>
      <c r="AF41" s="177">
        <f t="shared" si="23"/>
        <v>1.3659104685437296E-3</v>
      </c>
      <c r="AG41" s="919">
        <f t="shared" si="24"/>
        <v>1</v>
      </c>
      <c r="AH41" s="176">
        <f t="shared" si="16"/>
        <v>7</v>
      </c>
      <c r="AI41" s="225">
        <f t="shared" si="17"/>
        <v>1.0013659104685437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1090">
        <f>IF(t&gt;Tmaj,'2023'!Wh/'2023'!Env_an*'2024'!Env_an,0.001*'[3]mon-tableau (2)'!$B$65)</f>
        <v>4.0989439987062202</v>
      </c>
      <c r="C42" s="953"/>
      <c r="D42" s="393">
        <f t="shared" si="0"/>
        <v>4.2896262379231977</v>
      </c>
      <c r="E42" s="385">
        <f t="shared" si="1"/>
        <v>4.4747381061322891</v>
      </c>
      <c r="F42" s="385">
        <f t="shared" si="2"/>
        <v>4.4747381061322891</v>
      </c>
      <c r="G42" s="110">
        <f t="shared" si="21"/>
        <v>0.12560523431715165</v>
      </c>
      <c r="H42" s="412" t="b">
        <f>Wh_hp&gt;='2023'!Maxi_hp</f>
        <v>0</v>
      </c>
      <c r="I42" s="390">
        <f>IF(H42,Wh_hp,'2023'!Maxi_hp)</f>
        <v>17.427879917759782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4.4451947242213685E-2</v>
      </c>
      <c r="M42" s="957"/>
      <c r="N42" s="957"/>
      <c r="O42" s="48">
        <f>IF(t&lt;Tnet,'2023'!Resal+('2023'!Salim-'2023'!Resal)*(1-EXP(('2023'!Tnet-t)/('2023'!Tau_j))),Resal+(Salim-Resal)*(1-EXP((Tnet-t)/(Tau_j))))*Salcycl</f>
        <v>4.1368201628472899E-2</v>
      </c>
      <c r="P42" s="169">
        <f>(INDEX(Models!$BJ42:$BT42,,T42)*(1-R42)+INDEX(Models!$BJ42:$BT42,,T42+1)*R42-ERP_i)*Q42*Ramure*Pc/MaxiM</f>
        <v>3.0921651339755373E-3</v>
      </c>
      <c r="Q42" s="305">
        <f t="shared" si="4"/>
        <v>0.7</v>
      </c>
      <c r="R42" s="177">
        <f t="shared" si="5"/>
        <v>1.4504937343897684E-3</v>
      </c>
      <c r="S42" s="919">
        <f t="shared" si="6"/>
        <v>1</v>
      </c>
      <c r="T42" s="176">
        <f t="shared" si="7"/>
        <v>7</v>
      </c>
      <c r="U42" s="251">
        <f t="shared" si="8"/>
        <v>1.0014504937343898</v>
      </c>
      <c r="V42" s="383">
        <f t="shared" si="9"/>
        <v>32.532636153279434</v>
      </c>
      <c r="W42" s="402">
        <f t="shared" si="10"/>
        <v>4.0989439987062202</v>
      </c>
      <c r="X42" s="157">
        <f t="shared" si="11"/>
        <v>45319</v>
      </c>
      <c r="Y42" s="385">
        <f t="shared" si="12"/>
        <v>3.7671207847180264</v>
      </c>
      <c r="Z42" s="385">
        <f t="shared" si="22"/>
        <v>3.9423666594744469</v>
      </c>
      <c r="AA42" s="386">
        <f t="shared" si="13"/>
        <v>4.4747381061322891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0.11897264913186031</v>
      </c>
      <c r="AD42" s="231">
        <f>(INDEX(Models!$BJ42:$BT42,,AH42)*(1-AF42)+INDEX(Models!$BJ42:$BT42,,AH42+1)*AF42-ERP_i)*AE42*Ramure*Pc/MaxiM</f>
        <v>3.0921651339755373E-3</v>
      </c>
      <c r="AE42" s="305">
        <f t="shared" si="15"/>
        <v>0.7</v>
      </c>
      <c r="AF42" s="177">
        <f t="shared" si="23"/>
        <v>1.4504937343897684E-3</v>
      </c>
      <c r="AG42" s="919">
        <f t="shared" si="24"/>
        <v>1</v>
      </c>
      <c r="AH42" s="176">
        <f t="shared" si="16"/>
        <v>7</v>
      </c>
      <c r="AI42" s="225">
        <f t="shared" si="17"/>
        <v>1.0014504937343898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1090">
        <f>IF(t&gt;Tmaj,'2023'!Wh/'2023'!Env_an*'2024'!Env_an,0.001*'[3]mon-tableau (2)'!$B$66)</f>
        <v>6.0945098810934342</v>
      </c>
      <c r="C43" s="953"/>
      <c r="D43" s="393">
        <f t="shared" si="0"/>
        <v>6.378165233904352</v>
      </c>
      <c r="E43" s="385">
        <f t="shared" si="1"/>
        <v>6.6541345624761457</v>
      </c>
      <c r="F43" s="385">
        <f t="shared" si="2"/>
        <v>6.6541345624761457</v>
      </c>
      <c r="G43" s="110">
        <f t="shared" si="21"/>
        <v>0.18498624846040179</v>
      </c>
      <c r="H43" s="412" t="b">
        <f>Wh_hp&gt;='2023'!Maxi_hp</f>
        <v>0</v>
      </c>
      <c r="I43" s="390">
        <f>IF(H43,Wh_hp,'2023'!Maxi_hp)</f>
        <v>22.511927090396647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4.4472876196918532E-2</v>
      </c>
      <c r="M43" s="957"/>
      <c r="N43" s="957"/>
      <c r="O43" s="48">
        <f>IF(t&lt;Tnet,'2023'!Resal+('2023'!Salim-'2023'!Resal)*(1-EXP(('2023'!Tnet-t)/('2023'!Tau_j))),Resal+(Salim-Resal)*(1-EXP((Tnet-t)/(Tau_j))))*Salcycl</f>
        <v>4.1473361558997349E-2</v>
      </c>
      <c r="P43" s="169">
        <f>(INDEX(Models!$BJ43:$BT43,,T43)*(1-R43)+INDEX(Models!$BJ43:$BT43,,T43+1)*R43-ERP_i)*Q43*Ramure*Pc/MaxiM</f>
        <v>2.898650246920066E-3</v>
      </c>
      <c r="Q43" s="305">
        <f t="shared" si="4"/>
        <v>0.7</v>
      </c>
      <c r="R43" s="177">
        <f t="shared" si="5"/>
        <v>1.5385949296748969E-3</v>
      </c>
      <c r="S43" s="919">
        <f t="shared" si="6"/>
        <v>1</v>
      </c>
      <c r="T43" s="176">
        <f t="shared" si="7"/>
        <v>7</v>
      </c>
      <c r="U43" s="251">
        <f t="shared" si="8"/>
        <v>1.0015385949296749</v>
      </c>
      <c r="V43" s="383">
        <f t="shared" si="9"/>
        <v>32.850247405404062</v>
      </c>
      <c r="W43" s="402">
        <f t="shared" si="10"/>
        <v>6.0945098810934342</v>
      </c>
      <c r="X43" s="157">
        <f t="shared" si="11"/>
        <v>45320</v>
      </c>
      <c r="Y43" s="385">
        <f t="shared" si="12"/>
        <v>5.6016120151092403</v>
      </c>
      <c r="Z43" s="385">
        <f t="shared" si="22"/>
        <v>5.8623265374344742</v>
      </c>
      <c r="AA43" s="386">
        <f t="shared" si="13"/>
        <v>6.6541345624761457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0.11899489221435625</v>
      </c>
      <c r="AD43" s="231">
        <f>(INDEX(Models!$BJ43:$BT43,,AH43)*(1-AF43)+INDEX(Models!$BJ43:$BT43,,AH43+1)*AF43-ERP_i)*AE43*Ramure*Pc/MaxiM</f>
        <v>2.898650246920066E-3</v>
      </c>
      <c r="AE43" s="305">
        <f t="shared" si="15"/>
        <v>0.7</v>
      </c>
      <c r="AF43" s="177">
        <f t="shared" si="23"/>
        <v>1.5385949296748969E-3</v>
      </c>
      <c r="AG43" s="919">
        <f t="shared" si="24"/>
        <v>1</v>
      </c>
      <c r="AH43" s="176">
        <f t="shared" si="16"/>
        <v>7</v>
      </c>
      <c r="AI43" s="225">
        <f t="shared" si="17"/>
        <v>1.0015385949296749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1090">
        <f>IF(t&gt;Tmaj,'2023'!Wh/'2023'!Env_an*'2024'!Env_an,0.001*'[3]mon-tableau (2)'!$B$67)</f>
        <v>4.9980314439359548</v>
      </c>
      <c r="C44" s="953"/>
      <c r="D44" s="393">
        <f t="shared" si="0"/>
        <v>5.230768223675712</v>
      </c>
      <c r="E44" s="385">
        <f t="shared" si="1"/>
        <v>5.4576906732689441</v>
      </c>
      <c r="F44" s="385">
        <f t="shared" si="2"/>
        <v>5.4576906732689441</v>
      </c>
      <c r="G44" s="110">
        <f t="shared" si="21"/>
        <v>0.15026767010798264</v>
      </c>
      <c r="H44" s="412" t="b">
        <f>Wh_hp&gt;='2023'!Maxi_hp</f>
        <v>0</v>
      </c>
      <c r="I44" s="390">
        <f>IF(H44,Wh_hp,'2023'!Maxi_hp)</f>
        <v>10.423685229998675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4.4493804693225503E-2</v>
      </c>
      <c r="M44" s="957"/>
      <c r="N44" s="957"/>
      <c r="O44" s="48">
        <f>IF(t&lt;Tnet,'2023'!Resal+('2023'!Salim-'2023'!Resal)*(1-EXP(('2023'!Tnet-t)/('2023'!Tau_j))),Resal+(Salim-Resal)*(1-EXP((Tnet-t)/(Tau_j))))*Salcycl</f>
        <v>4.1578473969708117E-2</v>
      </c>
      <c r="P44" s="169">
        <f>(INDEX(Models!$BJ44:$BT44,,T44)*(1-R44)+INDEX(Models!$BJ44:$BT44,,T44+1)*R44-ERP_i)*Q44*Ramure*Pc/MaxiM</f>
        <v>2.7201677094868476E-3</v>
      </c>
      <c r="Q44" s="305">
        <f t="shared" si="4"/>
        <v>0.7</v>
      </c>
      <c r="R44" s="177">
        <f t="shared" si="5"/>
        <v>1.6303590426685055E-3</v>
      </c>
      <c r="S44" s="919">
        <f t="shared" si="6"/>
        <v>1</v>
      </c>
      <c r="T44" s="176">
        <f t="shared" si="7"/>
        <v>7</v>
      </c>
      <c r="U44" s="251">
        <f t="shared" si="8"/>
        <v>1.0016303590426685</v>
      </c>
      <c r="V44" s="383">
        <f t="shared" si="9"/>
        <v>33.170381603769698</v>
      </c>
      <c r="W44" s="402">
        <f t="shared" si="10"/>
        <v>4.9980314439359548</v>
      </c>
      <c r="X44" s="157">
        <f t="shared" si="11"/>
        <v>45321</v>
      </c>
      <c r="Y44" s="385">
        <f t="shared" si="12"/>
        <v>4.5941990331934051</v>
      </c>
      <c r="Z44" s="385">
        <f t="shared" si="22"/>
        <v>4.8081310783321429</v>
      </c>
      <c r="AA44" s="386">
        <f t="shared" si="13"/>
        <v>5.4576906732689441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0.11901729757574198</v>
      </c>
      <c r="AD44" s="231">
        <f>(INDEX(Models!$BJ44:$BT44,,AH44)*(1-AF44)+INDEX(Models!$BJ44:$BT44,,AH44+1)*AF44-ERP_i)*AE44*Ramure*Pc/MaxiM</f>
        <v>2.7201677094868476E-3</v>
      </c>
      <c r="AE44" s="305">
        <f t="shared" si="15"/>
        <v>0.7</v>
      </c>
      <c r="AF44" s="177">
        <f t="shared" si="23"/>
        <v>1.6303590426685055E-3</v>
      </c>
      <c r="AG44" s="919">
        <f t="shared" si="24"/>
        <v>1</v>
      </c>
      <c r="AH44" s="176">
        <f t="shared" si="16"/>
        <v>7</v>
      </c>
      <c r="AI44" s="225">
        <f t="shared" si="17"/>
        <v>1.0016303590426685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1090">
        <f>IF(t&gt;Tmaj,'2023'!Wh/'2023'!Env_an*'2024'!Env_an,0.001*'[3]mon-tableau (2)'!$B$68)</f>
        <v>6.8587804245178186</v>
      </c>
      <c r="C45" s="953"/>
      <c r="D45" s="393">
        <f t="shared" si="0"/>
        <v>7.1783214869684526</v>
      </c>
      <c r="E45" s="385">
        <f t="shared" si="1"/>
        <v>7.4905542953304485</v>
      </c>
      <c r="F45" s="385">
        <f t="shared" si="2"/>
        <v>7.4905542953304485</v>
      </c>
      <c r="G45" s="110">
        <f t="shared" si="21"/>
        <v>0.20426537939155709</v>
      </c>
      <c r="H45" s="412" t="b">
        <f>Wh_hp&gt;='2023'!Maxi_hp</f>
        <v>0</v>
      </c>
      <c r="I45" s="390">
        <f>IF(H45,Wh_hp,'2023'!Maxi_hp)</f>
        <v>26.210661022055326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4.4514732731144702E-2</v>
      </c>
      <c r="M45" s="957"/>
      <c r="N45" s="957"/>
      <c r="O45" s="48">
        <f>IF(t&lt;Tnet,'2023'!Resal+('2023'!Salim-'2023'!Resal)*(1-EXP(('2023'!Tnet-t)/('2023'!Tau_j))),Resal+(Salim-Resal)*(1-EXP((Tnet-t)/(Tau_j))))*Salcycl</f>
        <v>4.1683538500834207E-2</v>
      </c>
      <c r="P45" s="169">
        <f>(INDEX(Models!$BJ45:$BT45,,T45)*(1-R45)+INDEX(Models!$BJ45:$BT45,,T45+1)*R45-ERP_i)*Q45*Ramure*Pc/MaxiM</f>
        <v>2.5596387971334104E-3</v>
      </c>
      <c r="Q45" s="305">
        <f t="shared" si="4"/>
        <v>0.7</v>
      </c>
      <c r="R45" s="177">
        <f t="shared" si="5"/>
        <v>1.7259369240985034E-3</v>
      </c>
      <c r="S45" s="919">
        <f t="shared" si="6"/>
        <v>1</v>
      </c>
      <c r="T45" s="176">
        <f t="shared" si="7"/>
        <v>7</v>
      </c>
      <c r="U45" s="251">
        <f t="shared" si="8"/>
        <v>1.0017259369240985</v>
      </c>
      <c r="V45" s="383">
        <f t="shared" si="9"/>
        <v>33.4918449931167</v>
      </c>
      <c r="W45" s="402">
        <f t="shared" si="10"/>
        <v>6.8587804245178186</v>
      </c>
      <c r="X45" s="157">
        <f t="shared" si="11"/>
        <v>45322</v>
      </c>
      <c r="Y45" s="385">
        <f t="shared" si="12"/>
        <v>6.3051323734420688</v>
      </c>
      <c r="Z45" s="385">
        <f t="shared" si="22"/>
        <v>6.5988797414580382</v>
      </c>
      <c r="AA45" s="386">
        <f t="shared" si="13"/>
        <v>7.4905542953304485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0.11903986256775054</v>
      </c>
      <c r="AD45" s="231">
        <f>(INDEX(Models!$BJ45:$BT45,,AH45)*(1-AF45)+INDEX(Models!$BJ45:$BT45,,AH45+1)*AF45-ERP_i)*AE45*Ramure*Pc/MaxiM</f>
        <v>2.5596387971334104E-3</v>
      </c>
      <c r="AE45" s="305">
        <f t="shared" si="15"/>
        <v>0.7</v>
      </c>
      <c r="AF45" s="177">
        <f t="shared" si="23"/>
        <v>1.7259369240985034E-3</v>
      </c>
      <c r="AG45" s="919">
        <f t="shared" si="24"/>
        <v>1</v>
      </c>
      <c r="AH45" s="176">
        <f t="shared" si="16"/>
        <v>7</v>
      </c>
      <c r="AI45" s="225">
        <f t="shared" si="17"/>
        <v>1.0017259369240985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1090">
        <f>IF(t&gt;Tmaj,'2023'!Wh/'2023'!Env_an*'2024'!Env_an,0.001*'[4]mon-tableau'!$B$35)</f>
        <v>14.191245378651182</v>
      </c>
      <c r="C46" s="953"/>
      <c r="D46" s="393">
        <f t="shared" si="0"/>
        <v>14.852721121194033</v>
      </c>
      <c r="E46" s="385">
        <f t="shared" si="1"/>
        <v>15.500463064062492</v>
      </c>
      <c r="F46" s="385">
        <f t="shared" si="2"/>
        <v>15.506870762087612</v>
      </c>
      <c r="G46" s="110">
        <f t="shared" si="21"/>
        <v>0.4188498761882159</v>
      </c>
      <c r="H46" s="412" t="b">
        <f>Wh_hp&gt;='2023'!Maxi_hp</f>
        <v>0</v>
      </c>
      <c r="I46" s="390">
        <f>IF(H46,Wh_hp,'2023'!Maxi_hp)</f>
        <v>29.47119267155292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4.4535660310686231E-2</v>
      </c>
      <c r="M46" s="957"/>
      <c r="N46" s="957"/>
      <c r="O46" s="48">
        <f>IF(t&lt;Tnet,'2023'!Resal+('2023'!Salim-'2023'!Resal)*(1-EXP(('2023'!Tnet-t)/('2023'!Tau_j))),Resal+(Salim-Resal)*(1-EXP((Tnet-t)/(Tau_j))))*Salcycl</f>
        <v>4.1788554328433876E-2</v>
      </c>
      <c r="P46" s="169">
        <f>(INDEX(Models!$BJ46:$BT46,,T46)*(1-R46)+INDEX(Models!$BJ46:$BT46,,T46+1)*R46-ERP_i)*Q46*Ramure*Pc/MaxiM</f>
        <v>2.4166526887052205E-3</v>
      </c>
      <c r="Q46" s="305">
        <f t="shared" si="4"/>
        <v>0.7</v>
      </c>
      <c r="R46" s="177">
        <f t="shared" si="5"/>
        <v>1.8254855145389826E-3</v>
      </c>
      <c r="S46" s="919">
        <f t="shared" si="6"/>
        <v>1</v>
      </c>
      <c r="T46" s="176">
        <f t="shared" si="7"/>
        <v>7</v>
      </c>
      <c r="U46" s="251">
        <f t="shared" si="8"/>
        <v>1.001825485514539</v>
      </c>
      <c r="V46" s="383">
        <f t="shared" si="9"/>
        <v>33.813552728621019</v>
      </c>
      <c r="W46" s="402">
        <f t="shared" si="10"/>
        <v>14.191245378651182</v>
      </c>
      <c r="X46" s="157">
        <f t="shared" si="11"/>
        <v>45323</v>
      </c>
      <c r="Y46" s="385">
        <f t="shared" si="12"/>
        <v>13.046806214669243</v>
      </c>
      <c r="Z46" s="385">
        <f t="shared" si="22"/>
        <v>13.654937890106547</v>
      </c>
      <c r="AA46" s="386">
        <f t="shared" si="13"/>
        <v>15.500463064062492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0.11906258324854541</v>
      </c>
      <c r="AD46" s="231">
        <f>(INDEX(Models!$BJ46:$BT46,,AH46)*(1-AF46)+INDEX(Models!$BJ46:$BT46,,AH46+1)*AF46-ERP_i)*AE46*Ramure*Pc/MaxiM</f>
        <v>2.4166526887052205E-3</v>
      </c>
      <c r="AE46" s="305">
        <f t="shared" si="15"/>
        <v>0.7</v>
      </c>
      <c r="AF46" s="177">
        <f t="shared" si="23"/>
        <v>1.8254855145389826E-3</v>
      </c>
      <c r="AG46" s="919">
        <f t="shared" si="24"/>
        <v>1</v>
      </c>
      <c r="AH46" s="176">
        <f t="shared" si="16"/>
        <v>7</v>
      </c>
      <c r="AI46" s="225">
        <f t="shared" si="17"/>
        <v>1.001825485514539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1090">
        <f>IF(t&gt;Tmaj,'2023'!Wh/'2023'!Env_an*'2024'!Env_an,0.001*'[4]mon-tableau'!$B$36)</f>
        <v>5.3408981641223461</v>
      </c>
      <c r="C47" s="953"/>
      <c r="D47" s="393">
        <f t="shared" si="0"/>
        <v>5.5899680649495771</v>
      </c>
      <c r="E47" s="385">
        <f t="shared" si="1"/>
        <v>5.8343912525201818</v>
      </c>
      <c r="F47" s="385">
        <f t="shared" si="2"/>
        <v>5.8343912525201818</v>
      </c>
      <c r="G47" s="110">
        <f t="shared" si="21"/>
        <v>0.15610820953403862</v>
      </c>
      <c r="H47" s="412" t="b">
        <f>Wh_hp&gt;='2023'!Maxi_hp</f>
        <v>0</v>
      </c>
      <c r="I47" s="390">
        <f>IF(H47,Wh_hp,'2023'!Maxi_hp)</f>
        <v>31.55257955620117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4.4556587431859973E-2</v>
      </c>
      <c r="M47" s="957"/>
      <c r="N47" s="957"/>
      <c r="O47" s="48">
        <f>IF(t&lt;Tnet,'2023'!Resal+('2023'!Salim-'2023'!Resal)*(1-EXP(('2023'!Tnet-t)/('2023'!Tau_j))),Resal+(Salim-Resal)*(1-EXP((Tnet-t)/(Tau_j))))*Salcycl</f>
        <v>4.1893520162026424E-2</v>
      </c>
      <c r="P47" s="169">
        <f>(INDEX(Models!$BJ47:$BT47,,T47)*(1-R47)+INDEX(Models!$BJ47:$BT47,,T47+1)*R47-ERP_i)*Q47*Ramure*Pc/MaxiM</f>
        <v>2.2907918899703738E-3</v>
      </c>
      <c r="Q47" s="305">
        <f t="shared" si="4"/>
        <v>0.7</v>
      </c>
      <c r="R47" s="177">
        <f t="shared" si="5"/>
        <v>1.9291680797837163E-3</v>
      </c>
      <c r="S47" s="919">
        <f t="shared" si="6"/>
        <v>1</v>
      </c>
      <c r="T47" s="176">
        <f t="shared" si="7"/>
        <v>7</v>
      </c>
      <c r="U47" s="251">
        <f t="shared" si="8"/>
        <v>1.0019291680797837</v>
      </c>
      <c r="V47" s="383">
        <f t="shared" si="9"/>
        <v>34.134420565248547</v>
      </c>
      <c r="W47" s="402">
        <f t="shared" si="10"/>
        <v>5.3408981641223461</v>
      </c>
      <c r="X47" s="157">
        <f t="shared" si="11"/>
        <v>45324</v>
      </c>
      <c r="Y47" s="385">
        <f t="shared" si="12"/>
        <v>4.9105970770474343</v>
      </c>
      <c r="Z47" s="385">
        <f t="shared" si="22"/>
        <v>5.1396001191197929</v>
      </c>
      <c r="AA47" s="386">
        <f t="shared" si="13"/>
        <v>5.8343912525201818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0.11908545439085388</v>
      </c>
      <c r="AD47" s="231">
        <f>(INDEX(Models!$BJ47:$BT47,,AH47)*(1-AF47)+INDEX(Models!$BJ47:$BT47,,AH47+1)*AF47-ERP_i)*AE47*Ramure*Pc/MaxiM</f>
        <v>2.2907918899703738E-3</v>
      </c>
      <c r="AE47" s="305">
        <f t="shared" si="15"/>
        <v>0.7</v>
      </c>
      <c r="AF47" s="177">
        <f t="shared" si="23"/>
        <v>1.9291680797837163E-3</v>
      </c>
      <c r="AG47" s="919">
        <f t="shared" si="24"/>
        <v>1</v>
      </c>
      <c r="AH47" s="176">
        <f t="shared" si="16"/>
        <v>7</v>
      </c>
      <c r="AI47" s="225">
        <f t="shared" si="17"/>
        <v>1.0019291680797837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1090">
        <f>IF(t&gt;Tmaj,'2023'!Wh/'2023'!Env_an*'2024'!Env_an,0.001*'[4]mon-tableau'!$B$37)</f>
        <v>11.682706512587696</v>
      </c>
      <c r="C48" s="953"/>
      <c r="D48" s="393">
        <f t="shared" si="0"/>
        <v>12.227791040020987</v>
      </c>
      <c r="E48" s="385">
        <f t="shared" si="1"/>
        <v>12.763852875802291</v>
      </c>
      <c r="F48" s="385">
        <f t="shared" si="2"/>
        <v>12.765407973411889</v>
      </c>
      <c r="G48" s="110">
        <f t="shared" si="21"/>
        <v>0.33838899027644742</v>
      </c>
      <c r="H48" s="412" t="b">
        <f>Wh_hp&gt;='2023'!Maxi_hp</f>
        <v>0</v>
      </c>
      <c r="I48" s="390">
        <f>IF(H48,Wh_hp,'2023'!Maxi_hp)</f>
        <v>28.70079034414249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4.4577514094676141E-2</v>
      </c>
      <c r="M48" s="957"/>
      <c r="N48" s="957"/>
      <c r="O48" s="48">
        <f>IF(t&lt;Tnet,'2023'!Resal+('2023'!Salim-'2023'!Resal)*(1-EXP(('2023'!Tnet-t)/('2023'!Tau_j))),Resal+(Salim-Resal)*(1-EXP((Tnet-t)/(Tau_j))))*Salcycl</f>
        <v>4.1998434250019333E-2</v>
      </c>
      <c r="P48" s="169">
        <f>(INDEX(Models!$BJ48:$BT48,,T48)*(1-R48)+INDEX(Models!$BJ48:$BT48,,T48+1)*R48-ERP_i)*Q48*Ramure*Pc/MaxiM</f>
        <v>2.1816381870522808E-3</v>
      </c>
      <c r="Q48" s="305">
        <f t="shared" si="4"/>
        <v>0.7</v>
      </c>
      <c r="R48" s="177">
        <f t="shared" si="5"/>
        <v>2.0371544544168785E-3</v>
      </c>
      <c r="S48" s="919">
        <f t="shared" si="6"/>
        <v>1</v>
      </c>
      <c r="T48" s="176">
        <f t="shared" si="7"/>
        <v>7</v>
      </c>
      <c r="U48" s="251">
        <f t="shared" si="8"/>
        <v>1.0020371544544169</v>
      </c>
      <c r="V48" s="383">
        <f t="shared" si="9"/>
        <v>34.453364851228947</v>
      </c>
      <c r="W48" s="402">
        <f t="shared" si="10"/>
        <v>11.682706512587696</v>
      </c>
      <c r="X48" s="157">
        <f t="shared" si="11"/>
        <v>45325</v>
      </c>
      <c r="Y48" s="385">
        <f t="shared" si="12"/>
        <v>10.742359499233777</v>
      </c>
      <c r="Z48" s="385">
        <f t="shared" si="22"/>
        <v>11.24356989468874</v>
      </c>
      <c r="AA48" s="386">
        <f t="shared" si="13"/>
        <v>12.763852875802291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0.11910846951203134</v>
      </c>
      <c r="AD48" s="231">
        <f>(INDEX(Models!$BJ48:$BT48,,AH48)*(1-AF48)+INDEX(Models!$BJ48:$BT48,,AH48+1)*AF48-ERP_i)*AE48*Ramure*Pc/MaxiM</f>
        <v>2.1816381870522808E-3</v>
      </c>
      <c r="AE48" s="305">
        <f t="shared" si="15"/>
        <v>0.7</v>
      </c>
      <c r="AF48" s="177">
        <f t="shared" si="23"/>
        <v>2.0371544544168785E-3</v>
      </c>
      <c r="AG48" s="919">
        <f t="shared" si="24"/>
        <v>1</v>
      </c>
      <c r="AH48" s="176">
        <f t="shared" si="16"/>
        <v>7</v>
      </c>
      <c r="AI48" s="225">
        <f t="shared" si="17"/>
        <v>1.0020371544544169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1090">
        <f>IF(t&gt;Tmaj,'2023'!Wh/'2023'!Env_an*'2024'!Env_an,0.001*'[4]mon-tableau'!$B$38)</f>
        <v>11.204975903381273</v>
      </c>
      <c r="C49" s="953"/>
      <c r="D49" s="393">
        <f t="shared" si="0"/>
        <v>11.728027644093075</v>
      </c>
      <c r="E49" s="385">
        <f t="shared" si="1"/>
        <v>12.243520178575613</v>
      </c>
      <c r="F49" s="385">
        <f t="shared" si="2"/>
        <v>12.244333717345571</v>
      </c>
      <c r="G49" s="110">
        <f t="shared" si="21"/>
        <v>0.3216145668933299</v>
      </c>
      <c r="H49" s="412" t="b">
        <f>Wh_hp&gt;='2023'!Maxi_hp</f>
        <v>0</v>
      </c>
      <c r="I49" s="390">
        <f>IF(H49,Wh_hp,'2023'!Maxi_hp)</f>
        <v>29.923583051666235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4.4598440299144615E-2</v>
      </c>
      <c r="M49" s="957"/>
      <c r="N49" s="957"/>
      <c r="O49" s="48">
        <f>IF(t&lt;Tnet,'2023'!Resal+('2023'!Salim-'2023'!Resal)*(1-EXP(('2023'!Tnet-t)/('2023'!Tau_j))),Resal+(Salim-Resal)*(1-EXP((Tnet-t)/(Tau_j))))*Salcycl</f>
        <v>4.2103294392782251E-2</v>
      </c>
      <c r="P49" s="169">
        <f>(INDEX(Models!$BJ49:$BT49,,T49)*(1-R49)+INDEX(Models!$BJ49:$BT49,,T49+1)*R49-ERP_i)*Q49*Ramure*Pc/MaxiM</f>
        <v>2.0887779826072369E-3</v>
      </c>
      <c r="Q49" s="305">
        <f t="shared" si="4"/>
        <v>0.7</v>
      </c>
      <c r="R49" s="177">
        <f t="shared" si="5"/>
        <v>2.1496212937828219E-3</v>
      </c>
      <c r="S49" s="919">
        <f t="shared" si="6"/>
        <v>1</v>
      </c>
      <c r="T49" s="176">
        <f t="shared" si="7"/>
        <v>7</v>
      </c>
      <c r="U49" s="251">
        <f t="shared" si="8"/>
        <v>1.0021496212937828</v>
      </c>
      <c r="V49" s="383">
        <f t="shared" si="9"/>
        <v>34.769302523942784</v>
      </c>
      <c r="W49" s="402">
        <f t="shared" si="10"/>
        <v>11.204975903381273</v>
      </c>
      <c r="X49" s="157">
        <f t="shared" si="11"/>
        <v>45326</v>
      </c>
      <c r="Y49" s="385">
        <f t="shared" si="12"/>
        <v>10.303938727220039</v>
      </c>
      <c r="Z49" s="385">
        <f t="shared" si="22"/>
        <v>10.784929773870468</v>
      </c>
      <c r="AA49" s="386">
        <f t="shared" si="13"/>
        <v>12.243520178575613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0.11913162092528488</v>
      </c>
      <c r="AD49" s="231">
        <f>(INDEX(Models!$BJ49:$BT49,,AH49)*(1-AF49)+INDEX(Models!$BJ49:$BT49,,AH49+1)*AF49-ERP_i)*AE49*Ramure*Pc/MaxiM</f>
        <v>2.0887779826072369E-3</v>
      </c>
      <c r="AE49" s="305">
        <f t="shared" si="15"/>
        <v>0.7</v>
      </c>
      <c r="AF49" s="177">
        <f t="shared" si="23"/>
        <v>2.1496212937828219E-3</v>
      </c>
      <c r="AG49" s="919">
        <f t="shared" si="24"/>
        <v>1</v>
      </c>
      <c r="AH49" s="176">
        <f t="shared" si="16"/>
        <v>7</v>
      </c>
      <c r="AI49" s="225">
        <f t="shared" si="17"/>
        <v>1.0021496212937828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1090">
        <f>IF(t&gt;Tmaj,'2023'!Wh/'2023'!Env_an*'2024'!Env_an,0.001*'[4]mon-tableau'!$B$39)</f>
        <v>10.586704345405286</v>
      </c>
      <c r="C50" s="953"/>
      <c r="D50" s="393">
        <f t="shared" si="0"/>
        <v>11.081137683922313</v>
      </c>
      <c r="E50" s="385">
        <f t="shared" si="1"/>
        <v>11.569462698898334</v>
      </c>
      <c r="F50" s="385">
        <f t="shared" si="2"/>
        <v>11.569521804562319</v>
      </c>
      <c r="G50" s="110">
        <f t="shared" si="21"/>
        <v>0.30117198502020304</v>
      </c>
      <c r="H50" s="412" t="b">
        <f>Wh_hp&gt;='2023'!Maxi_hp</f>
        <v>0</v>
      </c>
      <c r="I50" s="390">
        <f>IF(H50,Wh_hp,'2023'!Maxi_hp)</f>
        <v>37.591562892350396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4.4619366045275499E-2</v>
      </c>
      <c r="M50" s="957"/>
      <c r="N50" s="957"/>
      <c r="O50" s="48">
        <f>IF(t&lt;Tnet,'2023'!Resal+('2023'!Salim-'2023'!Resal)*(1-EXP(('2023'!Tnet-t)/('2023'!Tau_j))),Resal+(Salim-Resal)*(1-EXP((Tnet-t)/(Tau_j))))*Salcycl</f>
        <v>4.2208097963142288E-2</v>
      </c>
      <c r="P50" s="169">
        <f>(INDEX(Models!$BJ50:$BT50,,T50)*(1-R50)+INDEX(Models!$BJ50:$BT50,,T50+1)*R50-ERP_i)*Q50*Ramure*Pc/MaxiM</f>
        <v>2.0118070587738491E-3</v>
      </c>
      <c r="Q50" s="305">
        <f t="shared" si="4"/>
        <v>0.7</v>
      </c>
      <c r="R50" s="177">
        <f t="shared" si="5"/>
        <v>2.2667523345636376E-3</v>
      </c>
      <c r="S50" s="919">
        <f t="shared" si="6"/>
        <v>1</v>
      </c>
      <c r="T50" s="176">
        <f t="shared" si="7"/>
        <v>7</v>
      </c>
      <c r="U50" s="251">
        <f t="shared" si="8"/>
        <v>1.0022667523345636</v>
      </c>
      <c r="V50" s="383">
        <f t="shared" si="9"/>
        <v>35.081151104872646</v>
      </c>
      <c r="W50" s="402">
        <f t="shared" si="10"/>
        <v>10.586704345405286</v>
      </c>
      <c r="X50" s="157">
        <f t="shared" si="11"/>
        <v>45327</v>
      </c>
      <c r="Y50" s="385">
        <f t="shared" si="12"/>
        <v>9.7361928305801388</v>
      </c>
      <c r="Z50" s="385">
        <f t="shared" si="22"/>
        <v>10.190904530143047</v>
      </c>
      <c r="AA50" s="386">
        <f t="shared" si="13"/>
        <v>11.569462698898334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0.11915489981108246</v>
      </c>
      <c r="AD50" s="231">
        <f>(INDEX(Models!$BJ50:$BT50,,AH50)*(1-AF50)+INDEX(Models!$BJ50:$BT50,,AH50+1)*AF50-ERP_i)*AE50*Ramure*Pc/MaxiM</f>
        <v>2.0118070587738491E-3</v>
      </c>
      <c r="AE50" s="305">
        <f t="shared" si="15"/>
        <v>0.7</v>
      </c>
      <c r="AF50" s="177">
        <f t="shared" si="23"/>
        <v>2.2667523345636376E-3</v>
      </c>
      <c r="AG50" s="919">
        <f t="shared" si="24"/>
        <v>1</v>
      </c>
      <c r="AH50" s="176">
        <f t="shared" si="16"/>
        <v>7</v>
      </c>
      <c r="AI50" s="225">
        <f t="shared" si="17"/>
        <v>1.0022667523345636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1090">
        <f>IF(t&gt;Tmaj,'2023'!Wh/'2023'!Env_an*'2024'!Env_an,0.001*'[4]mon-tableau'!$B$40)</f>
        <v>23.362691723806549</v>
      </c>
      <c r="C51" s="953"/>
      <c r="D51" s="393">
        <f t="shared" si="0"/>
        <v>24.454340613135251</v>
      </c>
      <c r="E51" s="385">
        <f t="shared" si="1"/>
        <v>25.534790152683602</v>
      </c>
      <c r="F51" s="385">
        <f t="shared" si="2"/>
        <v>25.560433801758805</v>
      </c>
      <c r="G51" s="110">
        <f t="shared" si="21"/>
        <v>0.65949390031684718</v>
      </c>
      <c r="H51" s="412" t="b">
        <f>Wh_hp&gt;='2023'!Maxi_hp</f>
        <v>0</v>
      </c>
      <c r="I51" s="390">
        <f>IF(H51,Wh_hp,'2023'!Maxi_hp)</f>
        <v>39.747861870771352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4.4640291333078896E-2</v>
      </c>
      <c r="M51" s="957"/>
      <c r="N51" s="957"/>
      <c r="O51" s="48">
        <f>IF(t&lt;Tnet,'2023'!Resal+('2023'!Salim-'2023'!Resal)*(1-EXP(('2023'!Tnet-t)/('2023'!Tau_j))),Resal+(Salim-Resal)*(1-EXP((Tnet-t)/(Tau_j))))*Salcycl</f>
        <v>4.2312841933999659E-2</v>
      </c>
      <c r="P51" s="169">
        <f>(INDEX(Models!$BJ51:$BT51,,T51)*(1-R51)+INDEX(Models!$BJ51:$BT51,,T51+1)*R51-ERP_i)*Q51*Ramure*Pc/MaxiM</f>
        <v>1.950127085149763E-3</v>
      </c>
      <c r="Q51" s="305">
        <f t="shared" si="4"/>
        <v>0.7</v>
      </c>
      <c r="R51" s="177">
        <f t="shared" si="5"/>
        <v>2.3887386641576747E-3</v>
      </c>
      <c r="S51" s="919">
        <f t="shared" si="6"/>
        <v>1</v>
      </c>
      <c r="T51" s="176">
        <f t="shared" si="7"/>
        <v>7</v>
      </c>
      <c r="U51" s="251">
        <f t="shared" si="8"/>
        <v>1.0023887386641577</v>
      </c>
      <c r="V51" s="383">
        <f t="shared" si="9"/>
        <v>35.391605640132056</v>
      </c>
      <c r="W51" s="402">
        <f t="shared" si="10"/>
        <v>23.362691723806549</v>
      </c>
      <c r="X51" s="157">
        <f t="shared" si="11"/>
        <v>45328</v>
      </c>
      <c r="Y51" s="385">
        <f t="shared" si="12"/>
        <v>21.487565906763308</v>
      </c>
      <c r="Z51" s="385">
        <f t="shared" si="22"/>
        <v>22.49159736571514</v>
      </c>
      <c r="AA51" s="386">
        <f t="shared" si="13"/>
        <v>25.534790152683602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0.11917829630758224</v>
      </c>
      <c r="AD51" s="231">
        <f>(INDEX(Models!$BJ51:$BT51,,AH51)*(1-AF51)+INDEX(Models!$BJ51:$BT51,,AH51+1)*AF51-ERP_i)*AE51*Ramure*Pc/MaxiM</f>
        <v>1.950127085149763E-3</v>
      </c>
      <c r="AE51" s="305">
        <f t="shared" si="15"/>
        <v>0.7</v>
      </c>
      <c r="AF51" s="177">
        <f t="shared" si="23"/>
        <v>2.3887386641576747E-3</v>
      </c>
      <c r="AG51" s="919">
        <f t="shared" si="24"/>
        <v>1</v>
      </c>
      <c r="AH51" s="176">
        <f t="shared" si="16"/>
        <v>7</v>
      </c>
      <c r="AI51" s="225">
        <f t="shared" si="17"/>
        <v>1.0023887386641577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1090">
        <f>IF(t&gt;Tmaj,'2023'!Wh/'2023'!Env_an*'2024'!Env_an,0.001*'[4]mon-tableau'!$B$41)</f>
        <v>9.2009494172208228</v>
      </c>
      <c r="C52" s="953"/>
      <c r="D52" s="393">
        <f t="shared" si="0"/>
        <v>9.6310854043443701</v>
      </c>
      <c r="E52" s="385">
        <f t="shared" si="1"/>
        <v>10.057708484431954</v>
      </c>
      <c r="F52" s="385">
        <f t="shared" si="2"/>
        <v>10.057708484431954</v>
      </c>
      <c r="G52" s="110">
        <f t="shared" si="21"/>
        <v>0.25721212824966777</v>
      </c>
      <c r="H52" s="412" t="b">
        <f>Wh_hp&gt;='2023'!Maxi_hp</f>
        <v>0</v>
      </c>
      <c r="I52" s="390">
        <f>IF(H52,Wh_hp,'2023'!Maxi_hp)</f>
        <v>25.290736794333089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4.4661216162564799E-2</v>
      </c>
      <c r="M52" s="957"/>
      <c r="N52" s="957"/>
      <c r="O52" s="48">
        <f>IF(t&lt;Tnet,'2023'!Resal+('2023'!Salim-'2023'!Resal)*(1-EXP(('2023'!Tnet-t)/('2023'!Tau_j))),Resal+(Salim-Resal)*(1-EXP((Tnet-t)/(Tau_j))))*Salcycl</f>
        <v>4.2417522912693399E-2</v>
      </c>
      <c r="P52" s="169">
        <f>(INDEX(Models!$BJ52:$BT52,,T52)*(1-R52)+INDEX(Models!$BJ52:$BT52,,T52+1)*R52-ERP_i)*Q52*Ramure*Pc/MaxiM</f>
        <v>1.9034911488221328E-3</v>
      </c>
      <c r="Q52" s="305">
        <f t="shared" si="4"/>
        <v>0.7</v>
      </c>
      <c r="R52" s="177">
        <f t="shared" si="5"/>
        <v>2.5157789990593038E-3</v>
      </c>
      <c r="S52" s="919">
        <f t="shared" si="6"/>
        <v>1</v>
      </c>
      <c r="T52" s="176">
        <f t="shared" si="7"/>
        <v>7</v>
      </c>
      <c r="U52" s="251">
        <f t="shared" si="8"/>
        <v>1.0025157789990593</v>
      </c>
      <c r="V52" s="383">
        <f t="shared" si="9"/>
        <v>35.703742097768853</v>
      </c>
      <c r="W52" s="402">
        <f t="shared" si="10"/>
        <v>9.2009494172208228</v>
      </c>
      <c r="X52" s="157">
        <f t="shared" si="11"/>
        <v>45329</v>
      </c>
      <c r="Y52" s="385">
        <f t="shared" si="12"/>
        <v>8.4631662362261224</v>
      </c>
      <c r="Z52" s="385">
        <f t="shared" si="22"/>
        <v>8.8588115330469552</v>
      </c>
      <c r="AA52" s="386">
        <f t="shared" si="13"/>
        <v>10.057708484431954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0.11920179961874401</v>
      </c>
      <c r="AD52" s="231">
        <f>(INDEX(Models!$BJ52:$BT52,,AH52)*(1-AF52)+INDEX(Models!$BJ52:$BT52,,AH52+1)*AF52-ERP_i)*AE52*Ramure*Pc/MaxiM</f>
        <v>1.9034911488221328E-3</v>
      </c>
      <c r="AE52" s="305">
        <f t="shared" si="15"/>
        <v>0.7</v>
      </c>
      <c r="AF52" s="177">
        <f t="shared" si="23"/>
        <v>2.5157789990593038E-3</v>
      </c>
      <c r="AG52" s="919">
        <f t="shared" si="24"/>
        <v>1</v>
      </c>
      <c r="AH52" s="176">
        <f t="shared" si="16"/>
        <v>7</v>
      </c>
      <c r="AI52" s="225">
        <f t="shared" si="17"/>
        <v>1.0025157789990593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1090">
        <f>IF(t&gt;Tmaj,'2023'!Wh/'2023'!Env_an*'2024'!Env_an,0.001*'[4]mon-tableau'!$B$42)</f>
        <v>35.537726201880922</v>
      </c>
      <c r="C53" s="953"/>
      <c r="D53" s="393">
        <f t="shared" si="0"/>
        <v>37.199897238115192</v>
      </c>
      <c r="E53" s="385">
        <f t="shared" si="1"/>
        <v>38.851965860200664</v>
      </c>
      <c r="F53" s="385">
        <f t="shared" si="2"/>
        <v>38.923172648782767</v>
      </c>
      <c r="G53" s="110">
        <f t="shared" si="21"/>
        <v>0.98664963880492229</v>
      </c>
      <c r="H53" s="412" t="b">
        <f>Wh_hp&gt;='2023'!Maxi_hp</f>
        <v>0</v>
      </c>
      <c r="I53" s="390">
        <f>IF(H53,Wh_hp,'2023'!Maxi_hp)</f>
        <v>38.92391427435124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4.4682140533743198E-2</v>
      </c>
      <c r="M53" s="957"/>
      <c r="N53" s="957"/>
      <c r="O53" s="48">
        <f>IF(t&lt;Tnet,'2023'!Resal+('2023'!Salim-'2023'!Resal)*(1-EXP(('2023'!Tnet-t)/('2023'!Tau_j))),Resal+(Salim-Resal)*(1-EXP((Tnet-t)/(Tau_j))))*Salcycl</f>
        <v>4.2522137181681879E-2</v>
      </c>
      <c r="P53" s="169">
        <f>(INDEX(Models!$BJ53:$BT53,,T53)*(1-R53)+INDEX(Models!$BJ53:$BT53,,T53+1)*R53-ERP_i)*Q53*Ramure*Pc/MaxiM</f>
        <v>1.864892632609138E-3</v>
      </c>
      <c r="Q53" s="305">
        <f t="shared" si="4"/>
        <v>0.7</v>
      </c>
      <c r="R53" s="177">
        <f t="shared" si="5"/>
        <v>2.6480799724255544E-3</v>
      </c>
      <c r="S53" s="919">
        <f t="shared" si="6"/>
        <v>1</v>
      </c>
      <c r="T53" s="176">
        <f t="shared" si="7"/>
        <v>7</v>
      </c>
      <c r="U53" s="251">
        <f t="shared" si="8"/>
        <v>1.0026480799724256</v>
      </c>
      <c r="V53" s="383">
        <f t="shared" si="9"/>
        <v>36.017307298108015</v>
      </c>
      <c r="W53" s="402">
        <f t="shared" si="10"/>
        <v>35.537726201880922</v>
      </c>
      <c r="X53" s="157">
        <f t="shared" si="11"/>
        <v>45330</v>
      </c>
      <c r="Y53" s="385">
        <f t="shared" si="12"/>
        <v>32.690809742991867</v>
      </c>
      <c r="Z53" s="385">
        <f t="shared" si="22"/>
        <v>34.219824762049846</v>
      </c>
      <c r="AA53" s="386">
        <f t="shared" si="13"/>
        <v>38.851965860200664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0.11922539813862822</v>
      </c>
      <c r="AD53" s="231">
        <f>(INDEX(Models!$BJ53:$BT53,,AH53)*(1-AF53)+INDEX(Models!$BJ53:$BT53,,AH53+1)*AF53-ERP_i)*AE53*Ramure*Pc/MaxiM</f>
        <v>1.864892632609138E-3</v>
      </c>
      <c r="AE53" s="305">
        <f t="shared" si="15"/>
        <v>0.7</v>
      </c>
      <c r="AF53" s="177">
        <f t="shared" si="23"/>
        <v>2.6480799724255544E-3</v>
      </c>
      <c r="AG53" s="919">
        <f t="shared" si="24"/>
        <v>1</v>
      </c>
      <c r="AH53" s="176">
        <f t="shared" si="16"/>
        <v>7</v>
      </c>
      <c r="AI53" s="225">
        <f t="shared" si="17"/>
        <v>1.0026480799724256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1090">
        <f>IF(t&gt;Tmaj,'2023'!Wh/'2023'!Env_an*'2024'!Env_an,0.001*'[4]mon-tableau'!$B$43)</f>
        <v>35.616785660155017</v>
      </c>
      <c r="C54" s="953"/>
      <c r="D54" s="393">
        <f t="shared" si="0"/>
        <v>37.283471070200015</v>
      </c>
      <c r="E54" s="385">
        <f t="shared" si="1"/>
        <v>38.943503354798516</v>
      </c>
      <c r="F54" s="385">
        <f t="shared" si="2"/>
        <v>39.013047594648221</v>
      </c>
      <c r="G54" s="110">
        <f t="shared" si="21"/>
        <v>0.98026901058502391</v>
      </c>
      <c r="H54" s="412" t="b">
        <f>Wh_hp&gt;='2023'!Maxi_hp</f>
        <v>0</v>
      </c>
      <c r="I54" s="390">
        <f>IF(H54,Wh_hp,'2023'!Maxi_hp)</f>
        <v>39.014114888067162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4.4703064446624086E-2</v>
      </c>
      <c r="M54" s="957"/>
      <c r="N54" s="957"/>
      <c r="O54" s="48">
        <f>IF(t&lt;Tnet,'2023'!Resal+('2023'!Salim-'2023'!Resal)*(1-EXP(('2023'!Tnet-t)/('2023'!Tau_j))),Resal+(Salim-Resal)*(1-EXP((Tnet-t)/(Tau_j))))*Salcycl</f>
        <v>4.262668074504284E-2</v>
      </c>
      <c r="P54" s="169">
        <f>(INDEX(Models!$BJ54:$BT54,,T54)*(1-R54)+INDEX(Models!$BJ54:$BT54,,T54+1)*R54-ERP_i)*Q54*Ramure*Pc/MaxiM</f>
        <v>1.8341561652630968E-3</v>
      </c>
      <c r="Q54" s="305">
        <f t="shared" si="4"/>
        <v>0.7</v>
      </c>
      <c r="R54" s="177">
        <f t="shared" si="5"/>
        <v>2.7858564310165868E-3</v>
      </c>
      <c r="S54" s="919">
        <f t="shared" si="6"/>
        <v>1</v>
      </c>
      <c r="T54" s="176">
        <f t="shared" si="7"/>
        <v>7</v>
      </c>
      <c r="U54" s="251">
        <f t="shared" si="8"/>
        <v>1.0027858564310166</v>
      </c>
      <c r="V54" s="383">
        <f t="shared" si="9"/>
        <v>36.331808257249158</v>
      </c>
      <c r="W54" s="402">
        <f t="shared" si="10"/>
        <v>35.616785660155017</v>
      </c>
      <c r="X54" s="157">
        <f t="shared" si="11"/>
        <v>45331</v>
      </c>
      <c r="Y54" s="385">
        <f t="shared" si="12"/>
        <v>32.76623248351077</v>
      </c>
      <c r="Z54" s="385">
        <f t="shared" si="22"/>
        <v>34.299526423718966</v>
      </c>
      <c r="AA54" s="386">
        <f t="shared" si="13"/>
        <v>38.943503354798516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0.11924907959025033</v>
      </c>
      <c r="AD54" s="231">
        <f>(INDEX(Models!$BJ54:$BT54,,AH54)*(1-AF54)+INDEX(Models!$BJ54:$BT54,,AH54+1)*AF54-ERP_i)*AE54*Ramure*Pc/MaxiM</f>
        <v>1.8341561652630968E-3</v>
      </c>
      <c r="AE54" s="305">
        <f t="shared" si="15"/>
        <v>0.7</v>
      </c>
      <c r="AF54" s="177">
        <f t="shared" si="23"/>
        <v>2.7858564310165868E-3</v>
      </c>
      <c r="AG54" s="919">
        <f t="shared" si="24"/>
        <v>1</v>
      </c>
      <c r="AH54" s="176">
        <f t="shared" si="16"/>
        <v>7</v>
      </c>
      <c r="AI54" s="225">
        <f t="shared" si="17"/>
        <v>1.0027858564310166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1090">
        <f>IF(t&gt;Tmaj,'2023'!Wh/'2023'!Env_an*'2024'!Env_an,0.001*'[4]mon-tableau'!$B$44)</f>
        <v>33.092867706177103</v>
      </c>
      <c r="C55" s="953"/>
      <c r="D55" s="393">
        <f t="shared" si="0"/>
        <v>34.642205275803647</v>
      </c>
      <c r="E55" s="385">
        <f t="shared" si="1"/>
        <v>36.188585112088028</v>
      </c>
      <c r="F55" s="385">
        <f t="shared" si="2"/>
        <v>36.245134830581364</v>
      </c>
      <c r="G55" s="110">
        <f t="shared" si="21"/>
        <v>0.90279627645272342</v>
      </c>
      <c r="H55" s="412" t="b">
        <f>Wh_hp&gt;='2023'!Maxi_hp</f>
        <v>0</v>
      </c>
      <c r="I55" s="390">
        <f>IF(H55,Wh_hp,'2023'!Maxi_hp)</f>
        <v>36.249913549485477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4.4723987901217677E-2</v>
      </c>
      <c r="M55" s="957"/>
      <c r="N55" s="957"/>
      <c r="O55" s="48">
        <f>IF(t&lt;Tnet,'2023'!Resal+('2023'!Salim-'2023'!Resal)*(1-EXP(('2023'!Tnet-t)/('2023'!Tau_j))),Resal+(Salim-Resal)*(1-EXP((Tnet-t)/(Tau_j))))*Salcycl</f>
        <v>4.2731149380246053E-2</v>
      </c>
      <c r="P55" s="169">
        <f>(INDEX(Models!$BJ55:$BT55,,T55)*(1-R55)+INDEX(Models!$BJ55:$BT55,,T55+1)*R55-ERP_i)*Q55*Ramure*Pc/MaxiM</f>
        <v>1.8111096399660949E-3</v>
      </c>
      <c r="Q55" s="305">
        <f t="shared" si="4"/>
        <v>0.7</v>
      </c>
      <c r="R55" s="177">
        <f t="shared" si="5"/>
        <v>2.9293317416791975E-3</v>
      </c>
      <c r="S55" s="919">
        <f t="shared" si="6"/>
        <v>1</v>
      </c>
      <c r="T55" s="176">
        <f t="shared" si="7"/>
        <v>7</v>
      </c>
      <c r="U55" s="251">
        <f t="shared" si="8"/>
        <v>1.0029293317416792</v>
      </c>
      <c r="V55" s="383">
        <f t="shared" si="9"/>
        <v>36.646752239195784</v>
      </c>
      <c r="W55" s="402">
        <f t="shared" si="10"/>
        <v>33.092867706177103</v>
      </c>
      <c r="X55" s="157">
        <f t="shared" si="11"/>
        <v>45332</v>
      </c>
      <c r="Y55" s="385">
        <f t="shared" si="12"/>
        <v>30.44681508671038</v>
      </c>
      <c r="Z55" s="385">
        <f t="shared" si="22"/>
        <v>31.872270109470691</v>
      </c>
      <c r="AA55" s="386">
        <f t="shared" si="13"/>
        <v>36.188585112088028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0.11927283117724215</v>
      </c>
      <c r="AD55" s="231">
        <f>(INDEX(Models!$BJ55:$BT55,,AH55)*(1-AF55)+INDEX(Models!$BJ55:$BT55,,AH55+1)*AF55-ERP_i)*AE55*Ramure*Pc/MaxiM</f>
        <v>1.8111096399660949E-3</v>
      </c>
      <c r="AE55" s="305">
        <f t="shared" si="15"/>
        <v>0.7</v>
      </c>
      <c r="AF55" s="177">
        <f t="shared" si="23"/>
        <v>2.9293317416791975E-3</v>
      </c>
      <c r="AG55" s="919">
        <f t="shared" si="24"/>
        <v>1</v>
      </c>
      <c r="AH55" s="176">
        <f t="shared" si="16"/>
        <v>7</v>
      </c>
      <c r="AI55" s="225">
        <f t="shared" si="17"/>
        <v>1.0029293317416792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1090">
        <f>IF(t&gt;Tmaj,'2023'!Wh/'2023'!Env_an*'2024'!Env_an,0.001*'[4]mon-tableau'!$B$45)</f>
        <v>16.65863792988965</v>
      </c>
      <c r="C56" s="953"/>
      <c r="D56" s="393">
        <f t="shared" si="0"/>
        <v>17.438941828136915</v>
      </c>
      <c r="E56" s="385">
        <f t="shared" si="1"/>
        <v>18.219378730749575</v>
      </c>
      <c r="F56" s="385">
        <f t="shared" si="2"/>
        <v>18.226424437470303</v>
      </c>
      <c r="G56" s="110">
        <f t="shared" si="21"/>
        <v>0.45006535060182234</v>
      </c>
      <c r="H56" s="412" t="b">
        <f>Wh_hp&gt;='2023'!Maxi_hp</f>
        <v>0</v>
      </c>
      <c r="I56" s="390">
        <f>IF(H56,Wh_hp,'2023'!Maxi_hp)</f>
        <v>32.069160070810902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4.4744910897533963E-2</v>
      </c>
      <c r="M56" s="957"/>
      <c r="N56" s="957"/>
      <c r="O56" s="48">
        <f>IF(t&lt;Tnet,'2023'!Resal+('2023'!Salim-'2023'!Resal)*(1-EXP(('2023'!Tnet-t)/('2023'!Tau_j))),Resal+(Salim-Resal)*(1-EXP((Tnet-t)/(Tau_j))))*Salcycl</f>
        <v>4.2835538694603548E-2</v>
      </c>
      <c r="P56" s="169">
        <f>(INDEX(Models!$BJ56:$BT56,,T56)*(1-R56)+INDEX(Models!$BJ56:$BT56,,T56+1)*R56-ERP_i)*Q56*Ramure*Pc/MaxiM</f>
        <v>1.7955852075799926E-3</v>
      </c>
      <c r="Q56" s="305">
        <f t="shared" si="4"/>
        <v>0.7</v>
      </c>
      <c r="R56" s="177">
        <f t="shared" si="5"/>
        <v>3.0787381075403353E-3</v>
      </c>
      <c r="S56" s="919">
        <f t="shared" si="6"/>
        <v>1</v>
      </c>
      <c r="T56" s="176">
        <f t="shared" si="7"/>
        <v>7</v>
      </c>
      <c r="U56" s="251">
        <f t="shared" si="8"/>
        <v>1.0030787381075403</v>
      </c>
      <c r="V56" s="383">
        <f t="shared" si="9"/>
        <v>36.96164675029906</v>
      </c>
      <c r="W56" s="402">
        <f t="shared" si="10"/>
        <v>16.65863792988965</v>
      </c>
      <c r="X56" s="157">
        <f t="shared" si="11"/>
        <v>45333</v>
      </c>
      <c r="Y56" s="385">
        <f t="shared" si="12"/>
        <v>15.327897132841398</v>
      </c>
      <c r="Z56" s="385">
        <f t="shared" si="22"/>
        <v>16.045868069902784</v>
      </c>
      <c r="AA56" s="386">
        <f t="shared" si="13"/>
        <v>18.219378730749575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0.11929663974647328</v>
      </c>
      <c r="AD56" s="231">
        <f>(INDEX(Models!$BJ56:$BT56,,AH56)*(1-AF56)+INDEX(Models!$BJ56:$BT56,,AH56+1)*AF56-ERP_i)*AE56*Ramure*Pc/MaxiM</f>
        <v>1.7955852075799926E-3</v>
      </c>
      <c r="AE56" s="305">
        <f t="shared" si="15"/>
        <v>0.7</v>
      </c>
      <c r="AF56" s="177">
        <f t="shared" si="23"/>
        <v>3.0787381075403353E-3</v>
      </c>
      <c r="AG56" s="919">
        <f t="shared" si="24"/>
        <v>1</v>
      </c>
      <c r="AH56" s="176">
        <f t="shared" si="16"/>
        <v>7</v>
      </c>
      <c r="AI56" s="225">
        <f t="shared" si="17"/>
        <v>1.0030787381075403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1090">
        <f>IF(t&gt;Tmaj,'2023'!Wh/'2023'!Env_an*'2024'!Env_an,0.001*'[4]mon-tableau'!$B$46)</f>
        <v>27.706578774002534</v>
      </c>
      <c r="C57" s="953"/>
      <c r="D57" s="393">
        <f t="shared" si="0"/>
        <v>29.005012324518976</v>
      </c>
      <c r="E57" s="385">
        <f t="shared" si="1"/>
        <v>30.306362821929891</v>
      </c>
      <c r="F57" s="385">
        <f t="shared" si="2"/>
        <v>30.340705516526505</v>
      </c>
      <c r="G57" s="110">
        <f t="shared" si="21"/>
        <v>0.74279419363191379</v>
      </c>
      <c r="H57" s="412" t="b">
        <f>Wh_hp&gt;='2023'!Maxi_hp</f>
        <v>0</v>
      </c>
      <c r="I57" s="390">
        <f>IF(H57,Wh_hp,'2023'!Maxi_hp)</f>
        <v>40.986650074876621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4.4765833435582825E-2</v>
      </c>
      <c r="M57" s="957"/>
      <c r="N57" s="957"/>
      <c r="O57" s="48">
        <f>IF(t&lt;Tnet,'2023'!Resal+('2023'!Salim-'2023'!Resal)*(1-EXP(('2023'!Tnet-t)/('2023'!Tau_j))),Resal+(Salim-Resal)*(1-EXP((Tnet-t)/(Tau_j))))*Salcycl</f>
        <v>4.2939844185764409E-2</v>
      </c>
      <c r="P57" s="169">
        <f>(INDEX(Models!$BJ57:$BT57,,T57)*(1-R57)+INDEX(Models!$BJ57:$BT57,,T57+1)*R57-ERP_i)*Q57*Ramure*Pc/MaxiM</f>
        <v>1.7874201711016436E-3</v>
      </c>
      <c r="Q57" s="305">
        <f t="shared" si="4"/>
        <v>0.7</v>
      </c>
      <c r="R57" s="177">
        <f t="shared" si="5"/>
        <v>3.2343168940631717E-3</v>
      </c>
      <c r="S57" s="919">
        <f t="shared" si="6"/>
        <v>1</v>
      </c>
      <c r="T57" s="176">
        <f t="shared" si="7"/>
        <v>7</v>
      </c>
      <c r="U57" s="251">
        <f t="shared" si="8"/>
        <v>1.0032343168940632</v>
      </c>
      <c r="V57" s="383">
        <f t="shared" si="9"/>
        <v>37.275999536221576</v>
      </c>
      <c r="W57" s="402">
        <f t="shared" si="10"/>
        <v>27.706578774002534</v>
      </c>
      <c r="X57" s="157">
        <f t="shared" si="11"/>
        <v>45334</v>
      </c>
      <c r="Y57" s="385">
        <f t="shared" si="12"/>
        <v>25.495383979713143</v>
      </c>
      <c r="Z57" s="385">
        <f t="shared" si="22"/>
        <v>26.69019270050768</v>
      </c>
      <c r="AA57" s="386">
        <f t="shared" si="13"/>
        <v>30.306362821929891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0.11932049195971239</v>
      </c>
      <c r="AD57" s="231">
        <f>(INDEX(Models!$BJ57:$BT57,,AH57)*(1-AF57)+INDEX(Models!$BJ57:$BT57,,AH57+1)*AF57-ERP_i)*AE57*Ramure*Pc/MaxiM</f>
        <v>1.7874201711016436E-3</v>
      </c>
      <c r="AE57" s="305">
        <f t="shared" si="15"/>
        <v>0.7</v>
      </c>
      <c r="AF57" s="177">
        <f t="shared" si="23"/>
        <v>3.2343168940631717E-3</v>
      </c>
      <c r="AG57" s="919">
        <f t="shared" si="24"/>
        <v>1</v>
      </c>
      <c r="AH57" s="176">
        <f t="shared" si="16"/>
        <v>7</v>
      </c>
      <c r="AI57" s="225">
        <f t="shared" si="17"/>
        <v>1.0032343168940632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1090">
        <f>IF(t&gt;Tmaj,'2023'!Wh/'2023'!Env_an*'2024'!Env_an,0.001*'[4]mon-tableau'!$B$47)</f>
        <v>33.857818729836879</v>
      </c>
      <c r="C58" s="953"/>
      <c r="D58" s="393">
        <f t="shared" si="0"/>
        <v>35.445298654861595</v>
      </c>
      <c r="E58" s="385">
        <f t="shared" si="1"/>
        <v>37.03963497339295</v>
      </c>
      <c r="F58" s="385">
        <f t="shared" si="2"/>
        <v>37.096499782883463</v>
      </c>
      <c r="G58" s="110">
        <f t="shared" si="21"/>
        <v>0.90050103428293138</v>
      </c>
      <c r="H58" s="412" t="b">
        <f>Wh_hp&gt;='2023'!Maxi_hp</f>
        <v>0</v>
      </c>
      <c r="I58" s="390">
        <f>IF(H58,Wh_hp,'2023'!Maxi_hp)</f>
        <v>42.930559585857665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4.4786755515374477E-2</v>
      </c>
      <c r="M58" s="957"/>
      <c r="N58" s="957"/>
      <c r="O58" s="48">
        <f>IF(t&lt;Tnet,'2023'!Resal+('2023'!Salim-'2023'!Resal)*(1-EXP(('2023'!Tnet-t)/('2023'!Tau_j))),Resal+(Salim-Resal)*(1-EXP((Tnet-t)/(Tau_j))))*Salcycl</f>
        <v>4.3044061305588723E-2</v>
      </c>
      <c r="P58" s="169">
        <f>(INDEX(Models!$BJ58:$BT58,,T58)*(1-R58)+INDEX(Models!$BJ58:$BT58,,T58+1)*R58-ERP_i)*Q58*Ramure*Pc/MaxiM</f>
        <v>1.7861984184277986E-3</v>
      </c>
      <c r="Q58" s="305">
        <f t="shared" si="4"/>
        <v>0.7</v>
      </c>
      <c r="R58" s="177">
        <f t="shared" si="5"/>
        <v>3.3963189651022851E-3</v>
      </c>
      <c r="S58" s="919">
        <f t="shared" si="6"/>
        <v>1</v>
      </c>
      <c r="T58" s="176">
        <f t="shared" si="7"/>
        <v>7</v>
      </c>
      <c r="U58" s="251">
        <f t="shared" si="8"/>
        <v>1.0033963189651023</v>
      </c>
      <c r="V58" s="383">
        <f t="shared" si="9"/>
        <v>37.589328344349227</v>
      </c>
      <c r="W58" s="402">
        <f t="shared" si="10"/>
        <v>33.857818729836879</v>
      </c>
      <c r="X58" s="157">
        <f t="shared" si="11"/>
        <v>45335</v>
      </c>
      <c r="Y58" s="385">
        <f t="shared" si="12"/>
        <v>31.158256432585631</v>
      </c>
      <c r="Z58" s="385">
        <f t="shared" si="22"/>
        <v>32.619162906809059</v>
      </c>
      <c r="AA58" s="386">
        <f t="shared" si="13"/>
        <v>37.03963497339295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0.11934437447235344</v>
      </c>
      <c r="AD58" s="231">
        <f>(INDEX(Models!$BJ58:$BT58,,AH58)*(1-AF58)+INDEX(Models!$BJ58:$BT58,,AH58+1)*AF58-ERP_i)*AE58*Ramure*Pc/MaxiM</f>
        <v>1.7861984184277986E-3</v>
      </c>
      <c r="AE58" s="305">
        <f t="shared" si="15"/>
        <v>0.7</v>
      </c>
      <c r="AF58" s="177">
        <f t="shared" si="23"/>
        <v>3.3963189651022851E-3</v>
      </c>
      <c r="AG58" s="919">
        <f t="shared" si="24"/>
        <v>1</v>
      </c>
      <c r="AH58" s="176">
        <f t="shared" si="16"/>
        <v>7</v>
      </c>
      <c r="AI58" s="225">
        <f t="shared" si="17"/>
        <v>1.0033963189651023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1090">
        <f>IF(t&gt;Tmaj,'2023'!Wh/'2023'!Env_an*'2024'!Env_an,0.001*'[4]mon-tableau'!$B$48)</f>
        <v>18.78226518675493</v>
      </c>
      <c r="C59" s="953"/>
      <c r="D59" s="393">
        <f t="shared" si="0"/>
        <v>19.663333484985735</v>
      </c>
      <c r="E59" s="385">
        <f t="shared" si="1"/>
        <v>20.550029991644685</v>
      </c>
      <c r="F59" s="385">
        <f t="shared" si="2"/>
        <v>20.560283403226173</v>
      </c>
      <c r="G59" s="110">
        <f t="shared" si="21"/>
        <v>0.49491823941415114</v>
      </c>
      <c r="H59" s="412" t="b">
        <f>Wh_hp&gt;='2023'!Maxi_hp</f>
        <v>0</v>
      </c>
      <c r="I59" s="390">
        <f>IF(H59,Wh_hp,'2023'!Maxi_hp)</f>
        <v>42.898613753230741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4.48076771369188E-2</v>
      </c>
      <c r="M59" s="957"/>
      <c r="N59" s="957"/>
      <c r="O59" s="48">
        <f>IF(t&lt;Tnet,'2023'!Resal+('2023'!Salim-'2023'!Resal)*(1-EXP(('2023'!Tnet-t)/('2023'!Tau_j))),Resal+(Salim-Resal)*(1-EXP((Tnet-t)/(Tau_j))))*Salcycl</f>
        <v>4.3148185526710521E-2</v>
      </c>
      <c r="P59" s="169">
        <f>(INDEX(Models!$BJ59:$BT59,,T59)*(1-R59)+INDEX(Models!$BJ59:$BT59,,T59+1)*R59-ERP_i)*Q59*Ramure*Pc/MaxiM</f>
        <v>1.7851145177304351E-3</v>
      </c>
      <c r="Q59" s="305">
        <f t="shared" si="4"/>
        <v>0.7</v>
      </c>
      <c r="R59" s="177">
        <f t="shared" si="5"/>
        <v>3.5650050290840785E-3</v>
      </c>
      <c r="S59" s="919">
        <f t="shared" si="6"/>
        <v>1</v>
      </c>
      <c r="T59" s="176">
        <f t="shared" si="7"/>
        <v>7</v>
      </c>
      <c r="U59" s="251">
        <f t="shared" si="8"/>
        <v>1.0035650050290841</v>
      </c>
      <c r="V59" s="383">
        <f t="shared" si="9"/>
        <v>37.901394325772458</v>
      </c>
      <c r="W59" s="402">
        <f t="shared" si="10"/>
        <v>18.78226518675493</v>
      </c>
      <c r="X59" s="157">
        <f t="shared" si="11"/>
        <v>45336</v>
      </c>
      <c r="Y59" s="385">
        <f t="shared" si="12"/>
        <v>17.286123469918067</v>
      </c>
      <c r="Z59" s="385">
        <f t="shared" si="22"/>
        <v>18.097008378485352</v>
      </c>
      <c r="AA59" s="386">
        <f t="shared" si="13"/>
        <v>20.550029991644685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0.11936827411720045</v>
      </c>
      <c r="AD59" s="231">
        <f>(INDEX(Models!$BJ59:$BT59,,AH59)*(1-AF59)+INDEX(Models!$BJ59:$BT59,,AH59+1)*AF59-ERP_i)*AE59*Ramure*Pc/MaxiM</f>
        <v>1.7851145177304351E-3</v>
      </c>
      <c r="AE59" s="305">
        <f t="shared" si="15"/>
        <v>0.7</v>
      </c>
      <c r="AF59" s="177">
        <f t="shared" si="23"/>
        <v>3.5650050290840785E-3</v>
      </c>
      <c r="AG59" s="919">
        <f t="shared" si="24"/>
        <v>1</v>
      </c>
      <c r="AH59" s="176">
        <f t="shared" si="16"/>
        <v>7</v>
      </c>
      <c r="AI59" s="225">
        <f t="shared" si="17"/>
        <v>1.0035650050290841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1090">
        <f>IF(t&gt;Tmaj,'2023'!Wh/'2023'!Env_an*'2024'!Env_an,0.001*'[4]mon-tableau'!$B$49)</f>
        <v>18.508759824014245</v>
      </c>
      <c r="C60" s="953"/>
      <c r="D60" s="393">
        <f t="shared" si="0"/>
        <v>19.377422513987547</v>
      </c>
      <c r="E60" s="385">
        <f t="shared" si="1"/>
        <v>20.253428087688871</v>
      </c>
      <c r="F60" s="385">
        <f t="shared" si="2"/>
        <v>20.262950484278086</v>
      </c>
      <c r="G60" s="110">
        <f t="shared" si="21"/>
        <v>0.48373718874659699</v>
      </c>
      <c r="H60" s="412" t="b">
        <f>Wh_hp&gt;='2023'!Maxi_hp</f>
        <v>0</v>
      </c>
      <c r="I60" s="390">
        <f>IF(H60,Wh_hp,'2023'!Maxi_hp)</f>
        <v>43.307632323541206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4.4828598300226008E-2</v>
      </c>
      <c r="M60" s="957"/>
      <c r="N60" s="957"/>
      <c r="O60" s="48">
        <f>IF(t&lt;Tnet,'2023'!Resal+('2023'!Salim-'2023'!Resal)*(1-EXP(('2023'!Tnet-t)/('2023'!Tau_j))),Resal+(Salim-Resal)*(1-EXP((Tnet-t)/(Tau_j))))*Salcycl</f>
        <v>4.325221241108361E-2</v>
      </c>
      <c r="P60" s="169">
        <f>(INDEX(Models!$BJ60:$BT60,,T60)*(1-R60)+INDEX(Models!$BJ60:$BT60,,T60+1)*R60-ERP_i)*Q60*Ramure*Pc/MaxiM</f>
        <v>1.7841927150572888E-3</v>
      </c>
      <c r="Q60" s="305">
        <f t="shared" si="4"/>
        <v>0.7</v>
      </c>
      <c r="R60" s="177">
        <f t="shared" si="5"/>
        <v>3.740645995414571E-3</v>
      </c>
      <c r="S60" s="919">
        <f t="shared" si="6"/>
        <v>1</v>
      </c>
      <c r="T60" s="176">
        <f t="shared" si="7"/>
        <v>7</v>
      </c>
      <c r="U60" s="251">
        <f t="shared" si="8"/>
        <v>1.0037406459954146</v>
      </c>
      <c r="V60" s="383">
        <f t="shared" si="9"/>
        <v>38.211705969317251</v>
      </c>
      <c r="W60" s="402">
        <f t="shared" si="10"/>
        <v>18.508759824014245</v>
      </c>
      <c r="X60" s="157">
        <f t="shared" si="11"/>
        <v>45337</v>
      </c>
      <c r="Y60" s="385">
        <f t="shared" si="12"/>
        <v>17.035794476129652</v>
      </c>
      <c r="Z60" s="385">
        <f t="shared" si="22"/>
        <v>17.835327194484286</v>
      </c>
      <c r="AA60" s="386">
        <f t="shared" si="13"/>
        <v>20.253428087688871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0.11939217809129503</v>
      </c>
      <c r="AD60" s="231">
        <f>(INDEX(Models!$BJ60:$BT60,,AH60)*(1-AF60)+INDEX(Models!$BJ60:$BT60,,AH60+1)*AF60-ERP_i)*AE60*Ramure*Pc/MaxiM</f>
        <v>1.7841927150572888E-3</v>
      </c>
      <c r="AE60" s="305">
        <f t="shared" si="15"/>
        <v>0.7</v>
      </c>
      <c r="AF60" s="177">
        <f t="shared" si="23"/>
        <v>3.740645995414571E-3</v>
      </c>
      <c r="AG60" s="919">
        <f t="shared" si="24"/>
        <v>1</v>
      </c>
      <c r="AH60" s="176">
        <f t="shared" si="16"/>
        <v>7</v>
      </c>
      <c r="AI60" s="225">
        <f t="shared" si="17"/>
        <v>1.0037406459954146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1090">
        <f>IF(t&gt;Tmaj,'2023'!Wh/'2023'!Env_an*'2024'!Env_an,0.001*'[4]mon-tableau'!$B$50)</f>
        <v>8.0498703347854086</v>
      </c>
      <c r="C61" s="953"/>
      <c r="D61" s="393">
        <f t="shared" si="0"/>
        <v>8.427855604911878</v>
      </c>
      <c r="E61" s="385">
        <f t="shared" si="1"/>
        <v>8.8098151641001472</v>
      </c>
      <c r="F61" s="385">
        <f t="shared" si="2"/>
        <v>8.8098151641001472</v>
      </c>
      <c r="G61" s="110">
        <f t="shared" si="21"/>
        <v>0.2086075103858134</v>
      </c>
      <c r="H61" s="412" t="b">
        <f>Wh_hp&gt;='2023'!Maxi_hp</f>
        <v>0</v>
      </c>
      <c r="I61" s="390">
        <f>IF(H61,Wh_hp,'2023'!Maxi_hp)</f>
        <v>43.625435149292962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4.4849519005305982E-2</v>
      </c>
      <c r="M61" s="957"/>
      <c r="N61" s="957"/>
      <c r="O61" s="48">
        <f>IF(t&lt;Tnet,'2023'!Resal+('2023'!Salim-'2023'!Resal)*(1-EXP(('2023'!Tnet-t)/('2023'!Tau_j))),Resal+(Salim-Resal)*(1-EXP((Tnet-t)/(Tau_j))))*Salcycl</f>
        <v>4.335613767979473E-2</v>
      </c>
      <c r="P61" s="169">
        <f>(INDEX(Models!$BJ61:$BT61,,T61)*(1-R61)+INDEX(Models!$BJ61:$BT61,,T61+1)*R61-ERP_i)*Q61*Ramure*Pc/MaxiM</f>
        <v>1.7834569876767218E-3</v>
      </c>
      <c r="Q61" s="305">
        <f t="shared" si="4"/>
        <v>0.7</v>
      </c>
      <c r="R61" s="177">
        <f t="shared" si="5"/>
        <v>3.923523341202495E-3</v>
      </c>
      <c r="S61" s="919">
        <f t="shared" si="6"/>
        <v>1</v>
      </c>
      <c r="T61" s="176">
        <f t="shared" si="7"/>
        <v>7</v>
      </c>
      <c r="U61" s="251">
        <f t="shared" si="8"/>
        <v>1.0039235233412025</v>
      </c>
      <c r="V61" s="383">
        <f t="shared" si="9"/>
        <v>38.519771998742989</v>
      </c>
      <c r="W61" s="402">
        <f t="shared" si="10"/>
        <v>8.0498703347854086</v>
      </c>
      <c r="X61" s="157">
        <f t="shared" si="11"/>
        <v>45338</v>
      </c>
      <c r="Y61" s="385">
        <f t="shared" si="12"/>
        <v>7.4098488489190526</v>
      </c>
      <c r="Z61" s="385">
        <f t="shared" si="22"/>
        <v>7.7577816232709571</v>
      </c>
      <c r="AA61" s="386">
        <f t="shared" si="13"/>
        <v>8.8098151641001472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0.11941607414378104</v>
      </c>
      <c r="AD61" s="231">
        <f>(INDEX(Models!$BJ61:$BT61,,AH61)*(1-AF61)+INDEX(Models!$BJ61:$BT61,,AH61+1)*AF61-ERP_i)*AE61*Ramure*Pc/MaxiM</f>
        <v>1.7834569876767218E-3</v>
      </c>
      <c r="AE61" s="305">
        <f t="shared" si="15"/>
        <v>0.7</v>
      </c>
      <c r="AF61" s="177">
        <f t="shared" si="23"/>
        <v>3.923523341202495E-3</v>
      </c>
      <c r="AG61" s="919">
        <f t="shared" si="24"/>
        <v>1</v>
      </c>
      <c r="AH61" s="176">
        <f t="shared" si="16"/>
        <v>7</v>
      </c>
      <c r="AI61" s="225">
        <f t="shared" si="17"/>
        <v>1.0039235233412025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1090">
        <f>IF(t&gt;Tmaj,'2023'!Wh/'2023'!Env_an*'2024'!Env_an,0.001*'[4]mon-tableau'!$B$51)</f>
        <v>9.406922118138926</v>
      </c>
      <c r="C62" s="953"/>
      <c r="D62" s="393">
        <f t="shared" si="0"/>
        <v>9.8488440780470192</v>
      </c>
      <c r="E62" s="385">
        <f t="shared" si="1"/>
        <v>10.296321782908654</v>
      </c>
      <c r="F62" s="385">
        <f t="shared" si="2"/>
        <v>10.296321782908654</v>
      </c>
      <c r="G62" s="110">
        <f t="shared" si="21"/>
        <v>0.24185771300949846</v>
      </c>
      <c r="H62" s="412" t="b">
        <f>Wh_hp&gt;='2023'!Maxi_hp</f>
        <v>0</v>
      </c>
      <c r="I62" s="390">
        <f>IF(H62,Wh_hp,'2023'!Maxi_hp)</f>
        <v>44.343925318135149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4.4870439252168937E-2</v>
      </c>
      <c r="M62" s="957"/>
      <c r="N62" s="957"/>
      <c r="O62" s="48">
        <f>IF(t&lt;Tnet,'2023'!Resal+('2023'!Salim-'2023'!Resal)*(1-EXP(('2023'!Tnet-t)/('2023'!Tau_j))),Resal+(Salim-Resal)*(1-EXP((Tnet-t)/(Tau_j))))*Salcycl</f>
        <v>4.345995728342756E-2</v>
      </c>
      <c r="P62" s="169">
        <f>(INDEX(Models!$BJ62:$BT62,,T62)*(1-R62)+INDEX(Models!$BJ62:$BT62,,T62+1)*R62-ERP_i)*Q62*Ramure*Pc/MaxiM</f>
        <v>1.7829311604449778E-3</v>
      </c>
      <c r="Q62" s="305">
        <f t="shared" si="4"/>
        <v>0.7</v>
      </c>
      <c r="R62" s="177">
        <f t="shared" si="5"/>
        <v>4.1139294883589805E-3</v>
      </c>
      <c r="S62" s="919">
        <f t="shared" si="6"/>
        <v>1</v>
      </c>
      <c r="T62" s="176">
        <f t="shared" si="7"/>
        <v>7</v>
      </c>
      <c r="U62" s="251">
        <f t="shared" si="8"/>
        <v>1.004113929488359</v>
      </c>
      <c r="V62" s="383">
        <f t="shared" si="9"/>
        <v>38.82510136528844</v>
      </c>
      <c r="W62" s="402">
        <f t="shared" si="10"/>
        <v>9.406922118138926</v>
      </c>
      <c r="X62" s="157">
        <f t="shared" si="11"/>
        <v>45339</v>
      </c>
      <c r="Y62" s="385">
        <f t="shared" si="12"/>
        <v>8.659710449751655</v>
      </c>
      <c r="Z62" s="385">
        <f t="shared" si="22"/>
        <v>9.0665296161197464</v>
      </c>
      <c r="AA62" s="386">
        <f t="shared" si="13"/>
        <v>10.296321782908654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0.1194399507628343</v>
      </c>
      <c r="AD62" s="231">
        <f>(INDEX(Models!$BJ62:$BT62,,AH62)*(1-AF62)+INDEX(Models!$BJ62:$BT62,,AH62+1)*AF62-ERP_i)*AE62*Ramure*Pc/MaxiM</f>
        <v>1.7829311604449778E-3</v>
      </c>
      <c r="AE62" s="305">
        <f t="shared" si="15"/>
        <v>0.7</v>
      </c>
      <c r="AF62" s="177">
        <f t="shared" si="23"/>
        <v>4.1139294883589805E-3</v>
      </c>
      <c r="AG62" s="919">
        <f t="shared" si="24"/>
        <v>1</v>
      </c>
      <c r="AH62" s="176">
        <f t="shared" si="16"/>
        <v>7</v>
      </c>
      <c r="AI62" s="225">
        <f t="shared" si="17"/>
        <v>1.004113929488359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1090">
        <f>IF(t&gt;Tmaj,'2023'!Wh/'2023'!Env_an*'2024'!Env_an,0.001*'[4]mon-tableau'!$B$52)</f>
        <v>30.829661294434452</v>
      </c>
      <c r="C63" s="953"/>
      <c r="D63" s="393">
        <f t="shared" si="0"/>
        <v>32.278695817759036</v>
      </c>
      <c r="E63" s="385">
        <f t="shared" si="1"/>
        <v>33.748922662160687</v>
      </c>
      <c r="F63" s="385">
        <f t="shared" si="2"/>
        <v>33.790910790928486</v>
      </c>
      <c r="G63" s="110">
        <f t="shared" si="21"/>
        <v>0.78750813727054114</v>
      </c>
      <c r="H63" s="412" t="b">
        <f>Wh_hp&gt;='2023'!Maxi_hp</f>
        <v>0</v>
      </c>
      <c r="I63" s="390">
        <f>IF(H63,Wh_hp,'2023'!Maxi_hp)</f>
        <v>43.682090944826165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4.4891359040824641E-2</v>
      </c>
      <c r="M63" s="957"/>
      <c r="N63" s="957"/>
      <c r="O63" s="48">
        <f>IF(t&lt;Tnet,'2023'!Resal+('2023'!Salim-'2023'!Resal)*(1-EXP(('2023'!Tnet-t)/('2023'!Tau_j))),Resal+(Salim-Resal)*(1-EXP((Tnet-t)/(Tau_j))))*Salcycl</f>
        <v>4.3563667472267718E-2</v>
      </c>
      <c r="P63" s="169">
        <f>(INDEX(Models!$BJ63:$BT63,,T63)*(1-R63)+INDEX(Models!$BJ63:$BT63,,T63+1)*R63-ERP_i)*Q63*Ramure*Pc/MaxiM</f>
        <v>1.7826390251613916E-3</v>
      </c>
      <c r="Q63" s="305">
        <f t="shared" si="4"/>
        <v>0.7</v>
      </c>
      <c r="R63" s="177">
        <f t="shared" si="5"/>
        <v>4.3121681911071352E-3</v>
      </c>
      <c r="S63" s="919">
        <f t="shared" si="6"/>
        <v>1</v>
      </c>
      <c r="T63" s="176">
        <f t="shared" si="7"/>
        <v>7</v>
      </c>
      <c r="U63" s="251">
        <f t="shared" si="8"/>
        <v>1.0043121681911071</v>
      </c>
      <c r="V63" s="383">
        <f t="shared" si="9"/>
        <v>39.127203243527092</v>
      </c>
      <c r="W63" s="402">
        <f t="shared" si="10"/>
        <v>30.829661294434452</v>
      </c>
      <c r="X63" s="157">
        <f t="shared" si="11"/>
        <v>45340</v>
      </c>
      <c r="Y63" s="385">
        <f t="shared" si="12"/>
        <v>28.383105034437502</v>
      </c>
      <c r="Z63" s="385">
        <f t="shared" si="22"/>
        <v>29.717148204138898</v>
      </c>
      <c r="AA63" s="386">
        <f t="shared" si="13"/>
        <v>33.748922662160687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0.11946379735973671</v>
      </c>
      <c r="AD63" s="231">
        <f>(INDEX(Models!$BJ63:$BT63,,AH63)*(1-AF63)+INDEX(Models!$BJ63:$BT63,,AH63+1)*AF63-ERP_i)*AE63*Ramure*Pc/MaxiM</f>
        <v>1.7826390251613916E-3</v>
      </c>
      <c r="AE63" s="305">
        <f t="shared" si="15"/>
        <v>0.7</v>
      </c>
      <c r="AF63" s="177">
        <f t="shared" si="23"/>
        <v>4.3121681911071352E-3</v>
      </c>
      <c r="AG63" s="919">
        <f t="shared" si="24"/>
        <v>1</v>
      </c>
      <c r="AH63" s="176">
        <f t="shared" si="16"/>
        <v>7</v>
      </c>
      <c r="AI63" s="225">
        <f t="shared" si="17"/>
        <v>1.0043121681911071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1090">
        <f>IF(t&gt;Tmaj,'2023'!Wh/'2023'!Env_an*'2024'!Env_an,0.001*'[4]mon-tableau'!$B$53)</f>
        <v>18.797881898100428</v>
      </c>
      <c r="C64" s="953"/>
      <c r="D64" s="393">
        <f t="shared" si="0"/>
        <v>19.681838089222101</v>
      </c>
      <c r="E64" s="385">
        <f t="shared" si="1"/>
        <v>20.580533705621985</v>
      </c>
      <c r="F64" s="385">
        <f t="shared" si="2"/>
        <v>20.589803638437445</v>
      </c>
      <c r="G64" s="110">
        <f t="shared" si="21"/>
        <v>0.47615840427142059</v>
      </c>
      <c r="H64" s="412" t="b">
        <f>Wh_hp&gt;='2023'!Maxi_hp</f>
        <v>0</v>
      </c>
      <c r="I64" s="390">
        <f>IF(H64,Wh_hp,'2023'!Maxi_hp)</f>
        <v>40.826390842051637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4.4912278371283421E-2</v>
      </c>
      <c r="M64" s="957"/>
      <c r="N64" s="957"/>
      <c r="O64" s="48">
        <f>IF(t&lt;Tnet,'2023'!Resal+('2023'!Salim-'2023'!Resal)*(1-EXP(('2023'!Tnet-t)/('2023'!Tau_j))),Resal+(Salim-Resal)*(1-EXP((Tnet-t)/(Tau_j))))*Salcycl</f>
        <v>4.3667264865652491E-2</v>
      </c>
      <c r="P64" s="169">
        <f>(INDEX(Models!$BJ64:$BT64,,T64)*(1-R64)+INDEX(Models!$BJ64:$BT64,,T64+1)*R64-ERP_i)*Q64*Ramure*Pc/MaxiM</f>
        <v>1.7826044630965014E-3</v>
      </c>
      <c r="Q64" s="305">
        <f t="shared" si="4"/>
        <v>0.7</v>
      </c>
      <c r="R64" s="177">
        <f t="shared" si="5"/>
        <v>4.5185549339161746E-3</v>
      </c>
      <c r="S64" s="919">
        <f t="shared" si="6"/>
        <v>1</v>
      </c>
      <c r="T64" s="176">
        <f t="shared" si="7"/>
        <v>7</v>
      </c>
      <c r="U64" s="251">
        <f t="shared" si="8"/>
        <v>1.0045185549339162</v>
      </c>
      <c r="V64" s="383">
        <f t="shared" si="9"/>
        <v>39.425587020621919</v>
      </c>
      <c r="W64" s="402">
        <f t="shared" si="10"/>
        <v>18.797881898100428</v>
      </c>
      <c r="X64" s="157">
        <f t="shared" si="11"/>
        <v>45341</v>
      </c>
      <c r="Y64" s="385">
        <f t="shared" si="12"/>
        <v>17.307540998343168</v>
      </c>
      <c r="Z64" s="385">
        <f t="shared" si="22"/>
        <v>18.121415034870846</v>
      </c>
      <c r="AA64" s="386">
        <f t="shared" si="13"/>
        <v>20.580533705621985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0.11948760444824522</v>
      </c>
      <c r="AD64" s="231">
        <f>(INDEX(Models!$BJ64:$BT64,,AH64)*(1-AF64)+INDEX(Models!$BJ64:$BT64,,AH64+1)*AF64-ERP_i)*AE64*Ramure*Pc/MaxiM</f>
        <v>1.7826044630965014E-3</v>
      </c>
      <c r="AE64" s="305">
        <f t="shared" si="15"/>
        <v>0.7</v>
      </c>
      <c r="AF64" s="177">
        <f t="shared" si="23"/>
        <v>4.5185549339161746E-3</v>
      </c>
      <c r="AG64" s="919">
        <f t="shared" si="24"/>
        <v>1</v>
      </c>
      <c r="AH64" s="176">
        <f t="shared" si="16"/>
        <v>7</v>
      </c>
      <c r="AI64" s="225">
        <f t="shared" si="17"/>
        <v>1.0045185549339162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1090">
        <f>IF(t&gt;Tmaj,'2023'!Wh/'2023'!Env_an*'2024'!Env_an,0.001*'[4]mon-tableau'!$B$54)</f>
        <v>22.156713992310657</v>
      </c>
      <c r="C65" s="953"/>
      <c r="D65" s="393">
        <f t="shared" si="0"/>
        <v>23.199124844841791</v>
      </c>
      <c r="E65" s="385">
        <f t="shared" si="1"/>
        <v>24.261049074171535</v>
      </c>
      <c r="F65" s="385">
        <f t="shared" si="2"/>
        <v>24.276989630262051</v>
      </c>
      <c r="G65" s="110">
        <f t="shared" si="21"/>
        <v>0.5571830571225217</v>
      </c>
      <c r="H65" s="412" t="b">
        <f>Wh_hp&gt;='2023'!Maxi_hp</f>
        <v>0</v>
      </c>
      <c r="I65" s="390">
        <f>IF(H65,Wh_hp,'2023'!Maxi_hp)</f>
        <v>43.218540620250515</v>
      </c>
      <c r="J65" s="85">
        <f>IF(H65,An,'2023'!An_max)</f>
        <v>2019</v>
      </c>
      <c r="K65" s="197">
        <f t="shared" si="3"/>
        <v>45342</v>
      </c>
      <c r="L65" s="147">
        <f>IF(t&lt;Tvie,1-EXP((T0-t)*PertePVj)+'2023'!Pspv,1-EXP((T0-t)*PertePVj)+Pspv)</f>
        <v>4.4933197243555045E-2</v>
      </c>
      <c r="M65" s="957"/>
      <c r="N65" s="957"/>
      <c r="O65" s="48">
        <f>IF(t&lt;Tnet,'2023'!Resal+('2023'!Salim-'2023'!Resal)*(1-EXP(('2023'!Tnet-t)/('2023'!Tau_j))),Resal+(Salim-Resal)*(1-EXP((Tnet-t)/(Tau_j))))*Salcycl</f>
        <v>4.3770746519789842E-2</v>
      </c>
      <c r="P65" s="169">
        <f>(INDEX(Models!$BJ65:$BT65,,T65)*(1-R65)+INDEX(Models!$BJ65:$BT65,,T65+1)*R65-ERP_i)*Q65*Ramure*Pc/MaxiM</f>
        <v>1.7828060361911643E-3</v>
      </c>
      <c r="Q65" s="305">
        <f t="shared" si="4"/>
        <v>0.7</v>
      </c>
      <c r="R65" s="177">
        <f t="shared" si="5"/>
        <v>4.7334173398263513E-3</v>
      </c>
      <c r="S65" s="919">
        <f t="shared" si="6"/>
        <v>1</v>
      </c>
      <c r="T65" s="176">
        <f t="shared" si="7"/>
        <v>7</v>
      </c>
      <c r="U65" s="251">
        <f t="shared" si="8"/>
        <v>1.0047334173398264</v>
      </c>
      <c r="V65" s="383">
        <f t="shared" si="9"/>
        <v>39.720778564870841</v>
      </c>
      <c r="W65" s="402">
        <f t="shared" si="10"/>
        <v>22.156713992310657</v>
      </c>
      <c r="X65" s="157">
        <f t="shared" si="11"/>
        <v>45342</v>
      </c>
      <c r="Y65" s="385">
        <f t="shared" si="12"/>
        <v>20.401734013441967</v>
      </c>
      <c r="Z65" s="385">
        <f t="shared" si="22"/>
        <v>21.361578011674109</v>
      </c>
      <c r="AA65" s="386">
        <f t="shared" si="13"/>
        <v>24.261049074171535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0.11951136381749547</v>
      </c>
      <c r="AD65" s="231">
        <f>(INDEX(Models!$BJ65:$BT65,,AH65)*(1-AF65)+INDEX(Models!$BJ65:$BT65,,AH65+1)*AF65-ERP_i)*AE65*Ramure*Pc/MaxiM</f>
        <v>1.7828060361911643E-3</v>
      </c>
      <c r="AE65" s="305">
        <f t="shared" si="15"/>
        <v>0.7</v>
      </c>
      <c r="AF65" s="177">
        <f t="shared" si="23"/>
        <v>4.7334173398263513E-3</v>
      </c>
      <c r="AG65" s="919">
        <f t="shared" si="24"/>
        <v>1</v>
      </c>
      <c r="AH65" s="176">
        <f t="shared" si="16"/>
        <v>7</v>
      </c>
      <c r="AI65" s="225">
        <f t="shared" si="17"/>
        <v>1.0047334173398264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1090">
        <f>IF(t&gt;Tmaj,'2023'!Wh/'2023'!Env_an*'2024'!Env_an,0.001*'[4]mon-tableau'!$B$55)</f>
        <v>21.815601585941558</v>
      </c>
      <c r="C66" s="953"/>
      <c r="D66" s="393">
        <f t="shared" si="0"/>
        <v>22.842464371189767</v>
      </c>
      <c r="E66" s="385">
        <f t="shared" si="1"/>
        <v>23.890645164970991</v>
      </c>
      <c r="F66" s="385">
        <f t="shared" si="2"/>
        <v>23.905570694733402</v>
      </c>
      <c r="G66" s="110">
        <f t="shared" si="21"/>
        <v>0.54457114651430871</v>
      </c>
      <c r="H66" s="412" t="b">
        <f>Wh_hp&gt;='2023'!Maxi_hp</f>
        <v>0</v>
      </c>
      <c r="I66" s="390">
        <f>IF(H66,Wh_hp,'2023'!Maxi_hp)</f>
        <v>42.441850727741603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4.4954115657649729E-2</v>
      </c>
      <c r="M66" s="957"/>
      <c r="N66" s="957"/>
      <c r="O66" s="48">
        <f>IF(t&lt;Tnet,'2023'!Resal+('2023'!Salim-'2023'!Resal)*(1-EXP(('2023'!Tnet-t)/('2023'!Tau_j))),Resal+(Salim-Resal)*(1-EXP((Tnet-t)/(Tau_j))))*Salcycl</f>
        <v>4.3874109993399898E-2</v>
      </c>
      <c r="P66" s="169">
        <f>(INDEX(Models!$BJ66:$BT66,,T66)*(1-R66)+INDEX(Models!$BJ66:$BT66,,T66+1)*R66-ERP_i)*Q66*Ramure*Pc/MaxiM</f>
        <v>1.7823913467261508E-3</v>
      </c>
      <c r="Q66" s="305">
        <f t="shared" si="4"/>
        <v>0.7</v>
      </c>
      <c r="R66" s="177">
        <f t="shared" si="5"/>
        <v>4.9570955891131696E-3</v>
      </c>
      <c r="S66" s="919">
        <f t="shared" si="6"/>
        <v>1</v>
      </c>
      <c r="T66" s="176">
        <f t="shared" si="7"/>
        <v>7</v>
      </c>
      <c r="U66" s="251">
        <f t="shared" si="8"/>
        <v>1.0049570955891132</v>
      </c>
      <c r="V66" s="383">
        <f t="shared" si="9"/>
        <v>40.013729432445274</v>
      </c>
      <c r="W66" s="402">
        <f t="shared" si="10"/>
        <v>21.815601585941558</v>
      </c>
      <c r="X66" s="157">
        <f t="shared" si="11"/>
        <v>45343</v>
      </c>
      <c r="Y66" s="385">
        <f t="shared" si="12"/>
        <v>20.089271038954656</v>
      </c>
      <c r="Z66" s="385">
        <f t="shared" si="22"/>
        <v>21.034875253965662</v>
      </c>
      <c r="AA66" s="386">
        <f t="shared" si="13"/>
        <v>23.890645164970991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0.11953506869678522</v>
      </c>
      <c r="AD66" s="231">
        <f>(INDEX(Models!$BJ66:$BT66,,AH66)*(1-AF66)+INDEX(Models!$BJ66:$BT66,,AH66+1)*AF66-ERP_i)*AE66*Ramure*Pc/MaxiM</f>
        <v>1.7823913467261508E-3</v>
      </c>
      <c r="AE66" s="305">
        <f t="shared" si="15"/>
        <v>0.7</v>
      </c>
      <c r="AF66" s="177">
        <f t="shared" si="23"/>
        <v>4.9570955891131696E-3</v>
      </c>
      <c r="AG66" s="919">
        <f t="shared" si="24"/>
        <v>1</v>
      </c>
      <c r="AH66" s="176">
        <f t="shared" si="16"/>
        <v>7</v>
      </c>
      <c r="AI66" s="225">
        <f t="shared" si="17"/>
        <v>1.0049570955891132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1090">
        <f>IF(t&gt;Tmaj,'2023'!Wh/'2023'!Env_an*'2024'!Env_an,0.001*'[4]mon-tableau'!$B$56)</f>
        <v>35.722232202780432</v>
      </c>
      <c r="C67" s="953"/>
      <c r="D67" s="393">
        <f t="shared" si="0"/>
        <v>37.404500887494592</v>
      </c>
      <c r="E67" s="385">
        <f t="shared" si="1"/>
        <v>39.125120122345784</v>
      </c>
      <c r="F67" s="385">
        <f t="shared" si="2"/>
        <v>39.183573335793405</v>
      </c>
      <c r="G67" s="110">
        <f t="shared" si="21"/>
        <v>0.88605087180803266</v>
      </c>
      <c r="H67" s="412" t="b">
        <f>Wh_hp&gt;='2023'!Maxi_hp</f>
        <v>0</v>
      </c>
      <c r="I67" s="390">
        <f>IF(H67,Wh_hp,'2023'!Maxi_hp)</f>
        <v>42.464770609772728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4.4975033613577575E-2</v>
      </c>
      <c r="M67" s="957"/>
      <c r="N67" s="957"/>
      <c r="O67" s="48">
        <f>IF(t&lt;Tnet,'2023'!Resal+('2023'!Salim-'2023'!Resal)*(1-EXP(('2023'!Tnet-t)/('2023'!Tau_j))),Resal+(Salim-Resal)*(1-EXP((Tnet-t)/(Tau_j))))*Salcycl</f>
        <v>4.3977353410564607E-2</v>
      </c>
      <c r="P67" s="169">
        <f>(INDEX(Models!$BJ67:$BT67,,T67)*(1-R67)+INDEX(Models!$BJ67:$BT67,,T67+1)*R67-ERP_i)*Q67*Ramure*Pc/MaxiM</f>
        <v>1.7810529801471249E-3</v>
      </c>
      <c r="Q67" s="305">
        <f t="shared" si="4"/>
        <v>0.7</v>
      </c>
      <c r="R67" s="177">
        <f t="shared" si="5"/>
        <v>5.1899428481823051E-3</v>
      </c>
      <c r="S67" s="919">
        <f t="shared" si="6"/>
        <v>1</v>
      </c>
      <c r="T67" s="176">
        <f t="shared" si="7"/>
        <v>7</v>
      </c>
      <c r="U67" s="251">
        <f t="shared" si="8"/>
        <v>1.0051899428481823</v>
      </c>
      <c r="V67" s="383">
        <f t="shared" si="9"/>
        <v>40.304551771928978</v>
      </c>
      <c r="W67" s="402">
        <f t="shared" si="10"/>
        <v>35.722232202780432</v>
      </c>
      <c r="X67" s="157">
        <f t="shared" si="11"/>
        <v>45344</v>
      </c>
      <c r="Y67" s="385">
        <f t="shared" si="12"/>
        <v>32.898099406742709</v>
      </c>
      <c r="Z67" s="385">
        <f t="shared" si="22"/>
        <v>34.447371078916355</v>
      </c>
      <c r="AA67" s="386">
        <f t="shared" si="13"/>
        <v>39.125120122345784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0.11955871391070307</v>
      </c>
      <c r="AD67" s="231">
        <f>(INDEX(Models!$BJ67:$BT67,,AH67)*(1-AF67)+INDEX(Models!$BJ67:$BT67,,AH67+1)*AF67-ERP_i)*AE67*Ramure*Pc/MaxiM</f>
        <v>1.7810529801471249E-3</v>
      </c>
      <c r="AE67" s="305">
        <f t="shared" si="15"/>
        <v>0.7</v>
      </c>
      <c r="AF67" s="177">
        <f t="shared" si="23"/>
        <v>5.1899428481823051E-3</v>
      </c>
      <c r="AG67" s="919">
        <f t="shared" si="24"/>
        <v>1</v>
      </c>
      <c r="AH67" s="176">
        <f t="shared" si="16"/>
        <v>7</v>
      </c>
      <c r="AI67" s="225">
        <f t="shared" si="17"/>
        <v>1.0051899428481823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1090">
        <f>IF(t&gt;Tmaj,'2023'!Wh/'2023'!Env_an*'2024'!Env_an,0.001*'[4]mon-tableau'!$B$57)</f>
        <v>37.260592729800209</v>
      </c>
      <c r="C68" s="953"/>
      <c r="D68" s="393">
        <f t="shared" si="0"/>
        <v>39.016162049952307</v>
      </c>
      <c r="E68" s="385">
        <f t="shared" si="1"/>
        <v>40.815320799295272</v>
      </c>
      <c r="F68" s="385">
        <f t="shared" si="2"/>
        <v>40.879508486733926</v>
      </c>
      <c r="G68" s="110">
        <f t="shared" si="21"/>
        <v>0.91770724046896568</v>
      </c>
      <c r="H68" s="412" t="b">
        <f>Wh_hp&gt;='2023'!Maxi_hp</f>
        <v>0</v>
      </c>
      <c r="I68" s="390">
        <f>IF(H68,Wh_hp,'2023'!Maxi_hp)</f>
        <v>43.491209699160983</v>
      </c>
      <c r="J68" s="85">
        <f>IF(H68,An,'2023'!An_max)</f>
        <v>2019</v>
      </c>
      <c r="K68" s="197">
        <f t="shared" si="3"/>
        <v>45345</v>
      </c>
      <c r="L68" s="147">
        <f>IF(t&lt;Tvie,1-EXP((T0-t)*PertePVj)+'2023'!Pspv,1-EXP((T0-t)*PertePVj)+Pspv)</f>
        <v>4.4995951111348353E-2</v>
      </c>
      <c r="M68" s="957"/>
      <c r="N68" s="957"/>
      <c r="O68" s="48">
        <f>IF(t&lt;Tnet,'2023'!Resal+('2023'!Salim-'2023'!Resal)*(1-EXP(('2023'!Tnet-t)/('2023'!Tau_j))),Resal+(Salim-Resal)*(1-EXP((Tnet-t)/(Tau_j))))*Salcycl</f>
        <v>4.4080475520212783E-2</v>
      </c>
      <c r="P68" s="169">
        <f>(INDEX(Models!$BJ68:$BT68,,T68)*(1-R68)+INDEX(Models!$BJ68:$BT68,,T68+1)*R68-ERP_i)*Q68*Ramure*Pc/MaxiM</f>
        <v>1.7787977900513416E-3</v>
      </c>
      <c r="Q68" s="305">
        <f t="shared" si="4"/>
        <v>0.7</v>
      </c>
      <c r="R68" s="177">
        <f t="shared" si="5"/>
        <v>5.4323257085602261E-3</v>
      </c>
      <c r="S68" s="919">
        <f t="shared" si="6"/>
        <v>1</v>
      </c>
      <c r="T68" s="176">
        <f t="shared" si="7"/>
        <v>7</v>
      </c>
      <c r="U68" s="251">
        <f t="shared" si="8"/>
        <v>1.0054323257085602</v>
      </c>
      <c r="V68" s="383">
        <f t="shared" si="9"/>
        <v>40.593345224206239</v>
      </c>
      <c r="W68" s="402">
        <f t="shared" si="10"/>
        <v>37.260592729800209</v>
      </c>
      <c r="X68" s="157">
        <f t="shared" si="11"/>
        <v>45345</v>
      </c>
      <c r="Y68" s="385">
        <f t="shared" si="12"/>
        <v>34.317622623973229</v>
      </c>
      <c r="Z68" s="385">
        <f t="shared" si="22"/>
        <v>35.934531025192001</v>
      </c>
      <c r="AA68" s="386">
        <f t="shared" si="13"/>
        <v>40.815320799295272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0.11958229602320178</v>
      </c>
      <c r="AD68" s="231">
        <f>(INDEX(Models!$BJ68:$BT68,,AH68)*(1-AF68)+INDEX(Models!$BJ68:$BT68,,AH68+1)*AF68-ERP_i)*AE68*Ramure*Pc/MaxiM</f>
        <v>1.7787977900513416E-3</v>
      </c>
      <c r="AE68" s="305">
        <f t="shared" si="15"/>
        <v>0.7</v>
      </c>
      <c r="AF68" s="177">
        <f t="shared" si="23"/>
        <v>5.4323257085602261E-3</v>
      </c>
      <c r="AG68" s="919">
        <f t="shared" si="24"/>
        <v>1</v>
      </c>
      <c r="AH68" s="176">
        <f t="shared" si="16"/>
        <v>7</v>
      </c>
      <c r="AI68" s="225">
        <f t="shared" si="17"/>
        <v>1.0054323257085602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1090">
        <f>IF(t&gt;Tmaj,'2023'!Wh/'2023'!Env_an*'2024'!Env_an,0.001*'[4]mon-tableau'!$B$58)</f>
        <v>21.194726643849393</v>
      </c>
      <c r="C69" s="953"/>
      <c r="D69" s="393">
        <f t="shared" si="0"/>
        <v>22.193823049850522</v>
      </c>
      <c r="E69" s="385">
        <f t="shared" si="1"/>
        <v>23.219752417761434</v>
      </c>
      <c r="F69" s="385">
        <f t="shared" si="2"/>
        <v>23.232626792203764</v>
      </c>
      <c r="G69" s="110">
        <f t="shared" si="21"/>
        <v>0.51782570731848665</v>
      </c>
      <c r="H69" s="412" t="b">
        <f>Wh_hp&gt;='2023'!Maxi_hp</f>
        <v>0</v>
      </c>
      <c r="I69" s="390">
        <f>IF(H69,Wh_hp,'2023'!Maxi_hp)</f>
        <v>44.144707241290959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4.5016868150972278E-2</v>
      </c>
      <c r="M69" s="957"/>
      <c r="N69" s="957"/>
      <c r="O69" s="48">
        <f>IF(t&lt;Tnet,'2023'!Resal+('2023'!Salim-'2023'!Resal)*(1-EXP(('2023'!Tnet-t)/('2023'!Tau_j))),Resal+(Salim-Resal)*(1-EXP((Tnet-t)/(Tau_j))))*Salcycl</f>
        <v>4.4183475751711658E-2</v>
      </c>
      <c r="P69" s="169">
        <f>(INDEX(Models!$BJ69:$BT69,,T69)*(1-R69)+INDEX(Models!$BJ69:$BT69,,T69+1)*R69-ERP_i)*Q69*Ramure*Pc/MaxiM</f>
        <v>1.775641225863285E-3</v>
      </c>
      <c r="Q69" s="305">
        <f t="shared" si="4"/>
        <v>0.7</v>
      </c>
      <c r="R69" s="177">
        <f t="shared" si="5"/>
        <v>5.6846246357784569E-3</v>
      </c>
      <c r="S69" s="919">
        <f t="shared" si="6"/>
        <v>1</v>
      </c>
      <c r="T69" s="176">
        <f t="shared" si="7"/>
        <v>7</v>
      </c>
      <c r="U69" s="251">
        <f t="shared" si="8"/>
        <v>1.0056846246357785</v>
      </c>
      <c r="V69" s="383">
        <f t="shared" si="9"/>
        <v>40.880208978890863</v>
      </c>
      <c r="W69" s="402">
        <f t="shared" si="10"/>
        <v>21.194726643849393</v>
      </c>
      <c r="X69" s="157">
        <f t="shared" si="11"/>
        <v>45346</v>
      </c>
      <c r="Y69" s="385">
        <f t="shared" si="12"/>
        <v>19.522276136653097</v>
      </c>
      <c r="Z69" s="385">
        <f t="shared" si="22"/>
        <v>20.442535041277935</v>
      </c>
      <c r="AA69" s="386">
        <f t="shared" si="13"/>
        <v>23.219752417761434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0.11960581346936018</v>
      </c>
      <c r="AD69" s="231">
        <f>(INDEX(Models!$BJ69:$BT69,,AH69)*(1-AF69)+INDEX(Models!$BJ69:$BT69,,AH69+1)*AF69-ERP_i)*AE69*Ramure*Pc/MaxiM</f>
        <v>1.775641225863285E-3</v>
      </c>
      <c r="AE69" s="305">
        <f t="shared" si="15"/>
        <v>0.7</v>
      </c>
      <c r="AF69" s="177">
        <f t="shared" si="23"/>
        <v>5.6846246357784569E-3</v>
      </c>
      <c r="AG69" s="919">
        <f t="shared" si="24"/>
        <v>1</v>
      </c>
      <c r="AH69" s="176">
        <f t="shared" si="16"/>
        <v>7</v>
      </c>
      <c r="AI69" s="225">
        <f t="shared" si="17"/>
        <v>1.0056846246357785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1090">
        <f>IF(t&gt;Tmaj,'2023'!Wh/'2023'!Env_an*'2024'!Env_an,0.001*'[4]mon-tableau'!$B$59)</f>
        <v>30.824929605829709</v>
      </c>
      <c r="C70" s="953"/>
      <c r="D70" s="393">
        <f t="shared" si="0"/>
        <v>32.278690311525935</v>
      </c>
      <c r="E70" s="385">
        <f t="shared" si="1"/>
        <v>33.774436993351088</v>
      </c>
      <c r="F70" s="385">
        <f t="shared" si="2"/>
        <v>33.812844060913889</v>
      </c>
      <c r="G70" s="110">
        <f t="shared" si="21"/>
        <v>0.74833304778569143</v>
      </c>
      <c r="H70" s="412" t="b">
        <f>Wh_hp&gt;='2023'!Maxi_hp</f>
        <v>0</v>
      </c>
      <c r="I70" s="390">
        <f>IF(H70,Wh_hp,'2023'!Maxi_hp)</f>
        <v>44.223095559004854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4.5037784732459341E-2</v>
      </c>
      <c r="M70" s="957"/>
      <c r="N70" s="957"/>
      <c r="O70" s="48">
        <f>IF(t&lt;Tnet,'2023'!Resal+('2023'!Salim-'2023'!Resal)*(1-EXP(('2023'!Tnet-t)/('2023'!Tau_j))),Resal+(Salim-Resal)*(1-EXP((Tnet-t)/(Tau_j))))*Salcycl</f>
        <v>4.4286354266086188E-2</v>
      </c>
      <c r="P70" s="169">
        <f>(INDEX(Models!$BJ70:$BT70,,T70)*(1-R70)+INDEX(Models!$BJ70:$BT70,,T70+1)*R70-ERP_i)*Q70*Ramure*Pc/MaxiM</f>
        <v>1.7715985803959677E-3</v>
      </c>
      <c r="Q70" s="305">
        <f t="shared" si="4"/>
        <v>0.7</v>
      </c>
      <c r="R70" s="177">
        <f t="shared" si="5"/>
        <v>5.9472344279145606E-3</v>
      </c>
      <c r="S70" s="919">
        <f t="shared" si="6"/>
        <v>1</v>
      </c>
      <c r="T70" s="176">
        <f t="shared" si="7"/>
        <v>7</v>
      </c>
      <c r="U70" s="251">
        <f t="shared" si="8"/>
        <v>1.0059472344279146</v>
      </c>
      <c r="V70" s="383">
        <f t="shared" si="9"/>
        <v>41.165242120618871</v>
      </c>
      <c r="W70" s="402">
        <f t="shared" si="10"/>
        <v>30.824929605829709</v>
      </c>
      <c r="X70" s="157">
        <f t="shared" si="11"/>
        <v>45347</v>
      </c>
      <c r="Y70" s="385">
        <f t="shared" si="12"/>
        <v>28.394871207447768</v>
      </c>
      <c r="Z70" s="385">
        <f t="shared" si="22"/>
        <v>29.734025863518283</v>
      </c>
      <c r="AA70" s="386">
        <f t="shared" si="13"/>
        <v>33.774436993351088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0.11962926667373337</v>
      </c>
      <c r="AD70" s="231">
        <f>(INDEX(Models!$BJ70:$BT70,,AH70)*(1-AF70)+INDEX(Models!$BJ70:$BT70,,AH70+1)*AF70-ERP_i)*AE70*Ramure*Pc/MaxiM</f>
        <v>1.7715985803959677E-3</v>
      </c>
      <c r="AE70" s="305">
        <f t="shared" si="15"/>
        <v>0.7</v>
      </c>
      <c r="AF70" s="177">
        <f t="shared" si="23"/>
        <v>5.9472344279145606E-3</v>
      </c>
      <c r="AG70" s="919">
        <f t="shared" si="24"/>
        <v>1</v>
      </c>
      <c r="AH70" s="176">
        <f t="shared" si="16"/>
        <v>7</v>
      </c>
      <c r="AI70" s="225">
        <f t="shared" si="17"/>
        <v>1.0059472344279146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1090">
        <f>IF(t&gt;Tmaj,'2023'!Wh/'2023'!Env_an*'2024'!Env_an,0.001*'[4]mon-tableau'!$B$60)</f>
        <v>41.604237208367437</v>
      </c>
      <c r="C71" s="953"/>
      <c r="D71" s="393">
        <f t="shared" si="0"/>
        <v>43.567324238309943</v>
      </c>
      <c r="E71" s="385">
        <f t="shared" si="1"/>
        <v>45.591071413599522</v>
      </c>
      <c r="F71" s="385">
        <f t="shared" si="2"/>
        <v>45.671759028125564</v>
      </c>
      <c r="G71" s="110">
        <f t="shared" si="21"/>
        <v>1.0037563100773257</v>
      </c>
      <c r="H71" s="412" t="b">
        <f>Wh_hp&gt;='2023'!Maxi_hp</f>
        <v>1</v>
      </c>
      <c r="I71" s="390">
        <f>IF(H71,Wh_hp,'2023'!Maxi_hp)</f>
        <v>45.671759028125564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4.5058700855819644E-2</v>
      </c>
      <c r="M71" s="957"/>
      <c r="N71" s="957"/>
      <c r="O71" s="48">
        <f>IF(t&lt;Tnet,'2023'!Resal+('2023'!Salim-'2023'!Resal)*(1-EXP(('2023'!Tnet-t)/('2023'!Tau_j))),Resal+(Salim-Resal)*(1-EXP((Tnet-t)/(Tau_j))))*Salcycl</f>
        <v>4.4389112002441528E-2</v>
      </c>
      <c r="P71" s="169">
        <f>(INDEX(Models!$BJ71:$BT71,,T71)*(1-R71)+INDEX(Models!$BJ71:$BT71,,T71+1)*R71-ERP_i)*Q71*Ramure*Pc/MaxiM</f>
        <v>1.7666850640974193E-3</v>
      </c>
      <c r="Q71" s="305">
        <f t="shared" si="4"/>
        <v>0.7</v>
      </c>
      <c r="R71" s="177">
        <f t="shared" si="5"/>
        <v>6.2205646834798678E-3</v>
      </c>
      <c r="S71" s="919">
        <f t="shared" si="6"/>
        <v>1</v>
      </c>
      <c r="T71" s="176">
        <f t="shared" si="7"/>
        <v>7</v>
      </c>
      <c r="U71" s="251">
        <f t="shared" si="8"/>
        <v>1.0062205646834799</v>
      </c>
      <c r="V71" s="383">
        <f t="shared" si="9"/>
        <v>41.44854362625366</v>
      </c>
      <c r="W71" s="402">
        <f t="shared" si="10"/>
        <v>41.604237208367437</v>
      </c>
      <c r="X71" s="157">
        <f t="shared" si="11"/>
        <v>45348</v>
      </c>
      <c r="Y71" s="385">
        <f t="shared" si="12"/>
        <v>38.327503480679923</v>
      </c>
      <c r="Z71" s="385">
        <f t="shared" si="22"/>
        <v>40.135978530857429</v>
      </c>
      <c r="AA71" s="386">
        <f t="shared" si="13"/>
        <v>45.591071413599522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0.11965265815435244</v>
      </c>
      <c r="AD71" s="231">
        <f>(INDEX(Models!$BJ71:$BT71,,AH71)*(1-AF71)+INDEX(Models!$BJ71:$BT71,,AH71+1)*AF71-ERP_i)*AE71*Ramure*Pc/MaxiM</f>
        <v>1.7666850640974193E-3</v>
      </c>
      <c r="AE71" s="305">
        <f t="shared" si="15"/>
        <v>0.7</v>
      </c>
      <c r="AF71" s="177">
        <f t="shared" si="23"/>
        <v>6.2205646834798678E-3</v>
      </c>
      <c r="AG71" s="919">
        <f t="shared" si="24"/>
        <v>1</v>
      </c>
      <c r="AH71" s="176">
        <f t="shared" si="16"/>
        <v>7</v>
      </c>
      <c r="AI71" s="225">
        <f t="shared" si="17"/>
        <v>1.0062205646834799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1090">
        <f>IF(t&gt;Tmaj,'2023'!Wh/'2023'!Env_an*'2024'!Env_an,0.001*'[4]mon-tableau'!$B$61)</f>
        <v>28.71196672321204</v>
      </c>
      <c r="C72" s="953"/>
      <c r="D72" s="393">
        <f t="shared" si="0"/>
        <v>30.067393282159795</v>
      </c>
      <c r="E72" s="385">
        <f t="shared" si="1"/>
        <v>31.467434535276716</v>
      </c>
      <c r="F72" s="385">
        <f t="shared" si="2"/>
        <v>31.498151292989476</v>
      </c>
      <c r="G72" s="110">
        <f t="shared" si="21"/>
        <v>0.68749674190580889</v>
      </c>
      <c r="H72" s="412" t="b">
        <f>Wh_hp&gt;='2023'!Maxi_hp</f>
        <v>0</v>
      </c>
      <c r="I72" s="390">
        <f>IF(H72,Wh_hp,'2023'!Maxi_hp)</f>
        <v>44.962572405256154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4.5079616521063182E-2</v>
      </c>
      <c r="M72" s="957"/>
      <c r="N72" s="957"/>
      <c r="O72" s="48">
        <f>IF(t&lt;Tnet,'2023'!Resal+('2023'!Salim-'2023'!Resal)*(1-EXP(('2023'!Tnet-t)/('2023'!Tau_j))),Resal+(Salim-Resal)*(1-EXP((Tnet-t)/(Tau_j))))*Salcycl</f>
        <v>4.4491750719220471E-2</v>
      </c>
      <c r="P72" s="169">
        <f>(INDEX(Models!$BJ72:$BT72,,T72)*(1-R72)+INDEX(Models!$BJ72:$BT72,,T72+1)*R72-ERP_i)*Q72*Ramure*Pc/MaxiM</f>
        <v>1.7592013517420024E-3</v>
      </c>
      <c r="Q72" s="305">
        <f t="shared" si="4"/>
        <v>0.7</v>
      </c>
      <c r="R72" s="177">
        <f t="shared" si="5"/>
        <v>6.5050402782900196E-3</v>
      </c>
      <c r="S72" s="919">
        <f t="shared" si="6"/>
        <v>1</v>
      </c>
      <c r="T72" s="176">
        <f t="shared" si="7"/>
        <v>7</v>
      </c>
      <c r="U72" s="251">
        <f t="shared" si="8"/>
        <v>1.00650504027829</v>
      </c>
      <c r="V72" s="383">
        <f t="shared" si="9"/>
        <v>41.730284031998742</v>
      </c>
      <c r="W72" s="402">
        <f t="shared" si="10"/>
        <v>28.71196672321204</v>
      </c>
      <c r="X72" s="157">
        <f t="shared" si="11"/>
        <v>45349</v>
      </c>
      <c r="Y72" s="385">
        <f t="shared" si="12"/>
        <v>26.45276335898269</v>
      </c>
      <c r="Z72" s="385">
        <f t="shared" si="22"/>
        <v>27.701538072326816</v>
      </c>
      <c r="AA72" s="386">
        <f t="shared" si="13"/>
        <v>31.467434535276716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0.11967599261160382</v>
      </c>
      <c r="AD72" s="231">
        <f>(INDEX(Models!$BJ72:$BT72,,AH72)*(1-AF72)+INDEX(Models!$BJ72:$BT72,,AH72+1)*AF72-ERP_i)*AE72*Ramure*Pc/MaxiM</f>
        <v>1.7592013517420024E-3</v>
      </c>
      <c r="AE72" s="305">
        <f t="shared" si="15"/>
        <v>0.7</v>
      </c>
      <c r="AF72" s="177">
        <f t="shared" si="23"/>
        <v>6.5050402782900196E-3</v>
      </c>
      <c r="AG72" s="919">
        <f t="shared" si="24"/>
        <v>1</v>
      </c>
      <c r="AH72" s="176">
        <f t="shared" si="16"/>
        <v>7</v>
      </c>
      <c r="AI72" s="225">
        <f t="shared" si="17"/>
        <v>1.00650504027829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1090">
        <f>IF(t&gt;Tmaj,'2023'!Wh/'2023'!Env_an*'2024'!Env_an,0.001*'[4]mon-tableau'!$B$62)</f>
        <v>33.265189808080073</v>
      </c>
      <c r="C73" s="953"/>
      <c r="D73" s="393">
        <f t="shared" si="0"/>
        <v>34.8363266640877</v>
      </c>
      <c r="E73" s="385">
        <f t="shared" si="1"/>
        <v>36.462338125780491</v>
      </c>
      <c r="F73" s="385">
        <f t="shared" si="2"/>
        <v>36.507211614764991</v>
      </c>
      <c r="G73" s="110">
        <f t="shared" si="21"/>
        <v>0.79141691995995034</v>
      </c>
      <c r="H73" s="412" t="b">
        <f>Wh_hp&gt;='2023'!Maxi_hp</f>
        <v>0</v>
      </c>
      <c r="I73" s="390">
        <f>IF(H73,Wh_hp,'2023'!Maxi_hp)</f>
        <v>37.080698817786207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4.5100531728199944E-2</v>
      </c>
      <c r="M73" s="957"/>
      <c r="N73" s="957"/>
      <c r="O73" s="48">
        <f>IF(t&lt;Tnet,'2023'!Resal+('2023'!Salim-'2023'!Resal)*(1-EXP(('2023'!Tnet-t)/('2023'!Tau_j))),Resal+(Salim-Resal)*(1-EXP((Tnet-t)/(Tau_j))))*Salcycl</f>
        <v>4.4594273029987877E-2</v>
      </c>
      <c r="P73" s="169">
        <f>(INDEX(Models!$BJ73:$BT73,,T73)*(1-R73)+INDEX(Models!$BJ73:$BT73,,T73+1)*R73-ERP_i)*Q73*Ramure*Pc/MaxiM</f>
        <v>1.7494226553895695E-3</v>
      </c>
      <c r="Q73" s="305">
        <f t="shared" si="4"/>
        <v>0.7</v>
      </c>
      <c r="R73" s="177">
        <f t="shared" si="5"/>
        <v>6.8011018508775667E-3</v>
      </c>
      <c r="S73" s="919">
        <f t="shared" si="6"/>
        <v>1</v>
      </c>
      <c r="T73" s="176">
        <f t="shared" si="7"/>
        <v>7</v>
      </c>
      <c r="U73" s="251">
        <f t="shared" si="8"/>
        <v>1.0068011018508776</v>
      </c>
      <c r="V73" s="383">
        <f t="shared" si="9"/>
        <v>42.010552585392041</v>
      </c>
      <c r="W73" s="402">
        <f t="shared" si="10"/>
        <v>33.265189808080073</v>
      </c>
      <c r="X73" s="157">
        <f t="shared" si="11"/>
        <v>45350</v>
      </c>
      <c r="Y73" s="385">
        <f t="shared" si="12"/>
        <v>30.650193747119975</v>
      </c>
      <c r="Z73" s="385">
        <f t="shared" si="22"/>
        <v>32.097822614344345</v>
      </c>
      <c r="AA73" s="386">
        <f t="shared" si="13"/>
        <v>36.462338125780491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0.11969927700138999</v>
      </c>
      <c r="AD73" s="231">
        <f>(INDEX(Models!$BJ73:$BT73,,AH73)*(1-AF73)+INDEX(Models!$BJ73:$BT73,,AH73+1)*AF73-ERP_i)*AE73*Ramure*Pc/MaxiM</f>
        <v>1.7494226553895695E-3</v>
      </c>
      <c r="AE73" s="305">
        <f t="shared" si="15"/>
        <v>0.7</v>
      </c>
      <c r="AF73" s="177">
        <f t="shared" si="23"/>
        <v>6.8011018508775667E-3</v>
      </c>
      <c r="AG73" s="919">
        <f t="shared" si="24"/>
        <v>1</v>
      </c>
      <c r="AH73" s="176">
        <f t="shared" si="16"/>
        <v>7</v>
      </c>
      <c r="AI73" s="225">
        <f t="shared" si="17"/>
        <v>1.0068011018508776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1090">
        <f>IF(t&gt;Tmaj,'2023'!Wh/'2023'!Env_an*'2024'!Env_an,0.001*'[5]mon-tableau'!$B$38)</f>
        <v>42.517274157886646</v>
      </c>
      <c r="C74" s="953"/>
      <c r="D74" s="393">
        <f t="shared" si="0"/>
        <v>44.526368302053633</v>
      </c>
      <c r="E74" s="385">
        <f t="shared" si="1"/>
        <v>46.609665729496292</v>
      </c>
      <c r="F74" s="385">
        <f t="shared" si="2"/>
        <v>46.690785858346977</v>
      </c>
      <c r="G74" s="110">
        <f t="shared" si="21"/>
        <v>1.0053873048316824</v>
      </c>
      <c r="H74" s="412" t="b">
        <f>Wh_hp&gt;='2023'!Maxi_hp</f>
        <v>1</v>
      </c>
      <c r="I74" s="390">
        <f>IF(H74,Wh_hp,'2023'!Maxi_hp)</f>
        <v>46.690785858346977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4.5121446477239924E-2</v>
      </c>
      <c r="M74" s="957"/>
      <c r="N74" s="957"/>
      <c r="O74" s="48">
        <f>IF(t&lt;Tnet,'2023'!Resal+('2023'!Salim-'2023'!Resal)*(1-EXP(('2023'!Tnet-t)/('2023'!Tau_j))),Resal+(Salim-Resal)*(1-EXP((Tnet-t)/(Tau_j))))*Salcycl</f>
        <v>4.4696682433495095E-2</v>
      </c>
      <c r="P74" s="169">
        <f>(INDEX(Models!$BJ74:$BT74,,T74)*(1-R74)+INDEX(Models!$BJ74:$BT74,,T74+1)*R74-ERP_i)*Q74*Ramure*Pc/MaxiM</f>
        <v>1.7373905227638191E-3</v>
      </c>
      <c r="Q74" s="305">
        <f t="shared" si="4"/>
        <v>0.7</v>
      </c>
      <c r="R74" s="177">
        <f t="shared" si="5"/>
        <v>7.1092062959363655E-3</v>
      </c>
      <c r="S74" s="919">
        <f t="shared" si="6"/>
        <v>1</v>
      </c>
      <c r="T74" s="176">
        <f t="shared" si="7"/>
        <v>7</v>
      </c>
      <c r="U74" s="251">
        <f t="shared" si="8"/>
        <v>1.0071092062959364</v>
      </c>
      <c r="V74" s="383">
        <f t="shared" si="9"/>
        <v>42.289448010291629</v>
      </c>
      <c r="W74" s="402">
        <f t="shared" si="10"/>
        <v>42.517274157886646</v>
      </c>
      <c r="X74" s="157">
        <f t="shared" si="11"/>
        <v>45351</v>
      </c>
      <c r="Y74" s="385">
        <f t="shared" si="12"/>
        <v>39.178131425667956</v>
      </c>
      <c r="Z74" s="385">
        <f t="shared" si="22"/>
        <v>41.029439064403618</v>
      </c>
      <c r="AA74" s="386">
        <f t="shared" si="13"/>
        <v>46.609665729496292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0.11972252059214628</v>
      </c>
      <c r="AD74" s="231">
        <f>(INDEX(Models!$BJ74:$BT74,,AH74)*(1-AF74)+INDEX(Models!$BJ74:$BT74,,AH74+1)*AF74-ERP_i)*AE74*Ramure*Pc/MaxiM</f>
        <v>1.7373905227638191E-3</v>
      </c>
      <c r="AE74" s="305">
        <f t="shared" si="15"/>
        <v>0.7</v>
      </c>
      <c r="AF74" s="177">
        <f t="shared" si="23"/>
        <v>7.1092062959363655E-3</v>
      </c>
      <c r="AG74" s="919">
        <f t="shared" si="24"/>
        <v>1</v>
      </c>
      <c r="AH74" s="176">
        <f t="shared" si="16"/>
        <v>7</v>
      </c>
      <c r="AI74" s="225">
        <f t="shared" si="17"/>
        <v>1.0071092062959364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1090">
        <f>IF(t&gt;Tmaj,'2023'!Wh/'2023'!Env_an*'2024'!Env_an,0.001*'[5]mon-tableau'!$B$39)</f>
        <v>10.72237799186269</v>
      </c>
      <c r="C75" s="953"/>
      <c r="D75" s="393">
        <f t="shared" si="0"/>
        <v>11.229294872153883</v>
      </c>
      <c r="E75" s="385">
        <f t="shared" si="1"/>
        <v>11.755949455951555</v>
      </c>
      <c r="F75" s="385">
        <f t="shared" si="2"/>
        <v>11.755949455951555</v>
      </c>
      <c r="G75" s="110">
        <f t="shared" si="21"/>
        <v>0.25145968579657718</v>
      </c>
      <c r="H75" s="412" t="b">
        <f>Wh_hp&gt;='2023'!Maxi_hp</f>
        <v>0</v>
      </c>
      <c r="I75" s="390">
        <f>IF(H75,Wh_hp,'2023'!Maxi_hp)</f>
        <v>32.956677810715547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4.5142360768193335E-2</v>
      </c>
      <c r="M75" s="957"/>
      <c r="N75" s="957"/>
      <c r="O75" s="48">
        <f>IF(t&lt;Tnet,'2023'!Resal+('2023'!Salim-'2023'!Resal)*(1-EXP(('2023'!Tnet-t)/('2023'!Tau_j))),Resal+(Salim-Resal)*(1-EXP((Tnet-t)/(Tau_j))))*Salcycl</f>
        <v>4.4798983337840777E-2</v>
      </c>
      <c r="P75" s="169">
        <f>(INDEX(Models!$BJ75:$BT75,,T75)*(1-R75)+INDEX(Models!$BJ75:$BT75,,T75+1)*R75-ERP_i)*Q75*Ramure*Pc/MaxiM</f>
        <v>1.7231454994357566E-3</v>
      </c>
      <c r="Q75" s="305">
        <f t="shared" si="4"/>
        <v>0.7</v>
      </c>
      <c r="R75" s="177">
        <f t="shared" si="5"/>
        <v>7.4298272651980302E-3</v>
      </c>
      <c r="S75" s="919">
        <f t="shared" si="6"/>
        <v>1</v>
      </c>
      <c r="T75" s="176">
        <f t="shared" si="7"/>
        <v>7</v>
      </c>
      <c r="U75" s="251">
        <f t="shared" si="8"/>
        <v>1.007429827265198</v>
      </c>
      <c r="V75" s="383">
        <f t="shared" si="9"/>
        <v>42.567068914346272</v>
      </c>
      <c r="W75" s="402">
        <f t="shared" si="10"/>
        <v>10.72237799186269</v>
      </c>
      <c r="X75" s="157">
        <f t="shared" si="11"/>
        <v>45352</v>
      </c>
      <c r="Y75" s="385">
        <f t="shared" si="12"/>
        <v>9.881081357306515</v>
      </c>
      <c r="Z75" s="385">
        <f t="shared" si="22"/>
        <v>10.348224647661564</v>
      </c>
      <c r="AA75" s="386">
        <f t="shared" si="13"/>
        <v>11.755949455951555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0.11974573500546297</v>
      </c>
      <c r="AD75" s="231">
        <f>(INDEX(Models!$BJ75:$BT75,,AH75)*(1-AF75)+INDEX(Models!$BJ75:$BT75,,AH75+1)*AF75-ERP_i)*AE75*Ramure*Pc/MaxiM</f>
        <v>1.7231454994357566E-3</v>
      </c>
      <c r="AE75" s="305">
        <f t="shared" si="15"/>
        <v>0.7</v>
      </c>
      <c r="AF75" s="177">
        <f t="shared" si="23"/>
        <v>7.4298272651980302E-3</v>
      </c>
      <c r="AG75" s="919">
        <f t="shared" si="24"/>
        <v>1</v>
      </c>
      <c r="AH75" s="176">
        <f t="shared" si="16"/>
        <v>7</v>
      </c>
      <c r="AI75" s="225">
        <f t="shared" si="17"/>
        <v>1.007429827265198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1090">
        <f>IF(t&gt;Tmaj,'2023'!Wh/'2023'!Env_an*'2024'!Env_an,0.001*'[5]mon-tableau'!$B$40)</f>
        <v>40.200747882409033</v>
      </c>
      <c r="C76" s="953"/>
      <c r="D76" s="393">
        <f t="shared" si="0"/>
        <v>42.102222100446753</v>
      </c>
      <c r="E76" s="385">
        <f t="shared" si="1"/>
        <v>44.081535089733826</v>
      </c>
      <c r="F76" s="385">
        <f t="shared" si="2"/>
        <v>44.150247445594189</v>
      </c>
      <c r="G76" s="110">
        <f t="shared" si="21"/>
        <v>0.93817450586913953</v>
      </c>
      <c r="H76" s="412" t="b">
        <f>Wh_hp&gt;='2023'!Maxi_hp</f>
        <v>0</v>
      </c>
      <c r="I76" s="390">
        <f>IF(H76,Wh_hp,'2023'!Maxi_hp)</f>
        <v>44.153749243212872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4.5163274601070058E-2</v>
      </c>
      <c r="M76" s="957"/>
      <c r="N76" s="957"/>
      <c r="O76" s="48">
        <f>IF(t&lt;Tnet,'2023'!Resal+('2023'!Salim-'2023'!Resal)*(1-EXP(('2023'!Tnet-t)/('2023'!Tau_j))),Resal+(Salim-Resal)*(1-EXP((Tnet-t)/(Tau_j))))*Salcycl</f>
        <v>4.4901181078606266E-2</v>
      </c>
      <c r="P76" s="169">
        <f>(INDEX(Models!$BJ76:$BT76,,T76)*(1-R76)+INDEX(Models!$BJ76:$BT76,,T76+1)*R76-ERP_i)*Q76*Ramure*Pc/MaxiM</f>
        <v>1.7067272054699261E-3</v>
      </c>
      <c r="Q76" s="305">
        <f t="shared" si="4"/>
        <v>0.7</v>
      </c>
      <c r="R76" s="177">
        <f t="shared" si="5"/>
        <v>7.7634556750558747E-3</v>
      </c>
      <c r="S76" s="919">
        <f t="shared" si="6"/>
        <v>1</v>
      </c>
      <c r="T76" s="176">
        <f t="shared" si="7"/>
        <v>7</v>
      </c>
      <c r="U76" s="251">
        <f t="shared" si="8"/>
        <v>1.0077634556750559</v>
      </c>
      <c r="V76" s="383">
        <f t="shared" si="9"/>
        <v>42.84351378937999</v>
      </c>
      <c r="W76" s="402">
        <f t="shared" si="10"/>
        <v>40.200747882409033</v>
      </c>
      <c r="X76" s="157">
        <f t="shared" si="11"/>
        <v>45353</v>
      </c>
      <c r="Y76" s="385">
        <f t="shared" si="12"/>
        <v>37.049514094085602</v>
      </c>
      <c r="Z76" s="385">
        <f t="shared" si="22"/>
        <v>38.801936612363072</v>
      </c>
      <c r="AA76" s="386">
        <f t="shared" si="13"/>
        <v>44.081535089733826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0.11976893424023068</v>
      </c>
      <c r="AD76" s="231">
        <f>(INDEX(Models!$BJ76:$BT76,,AH76)*(1-AF76)+INDEX(Models!$BJ76:$BT76,,AH76+1)*AF76-ERP_i)*AE76*Ramure*Pc/MaxiM</f>
        <v>1.7067272054699261E-3</v>
      </c>
      <c r="AE76" s="305">
        <f t="shared" si="15"/>
        <v>0.7</v>
      </c>
      <c r="AF76" s="177">
        <f t="shared" si="23"/>
        <v>7.7634556750558747E-3</v>
      </c>
      <c r="AG76" s="919">
        <f t="shared" si="24"/>
        <v>1</v>
      </c>
      <c r="AH76" s="176">
        <f t="shared" si="16"/>
        <v>7</v>
      </c>
      <c r="AI76" s="225">
        <f t="shared" si="17"/>
        <v>1.0077634556750559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1090">
        <f>IF(t&gt;Tmaj,'2023'!Wh/'2023'!Env_an*'2024'!Env_an,0.001*'[5]mon-tableau'!$B$41)</f>
        <v>4.2981102096511465</v>
      </c>
      <c r="C77" s="953"/>
      <c r="D77" s="393">
        <f t="shared" si="0"/>
        <v>4.5015071551229928</v>
      </c>
      <c r="E77" s="385">
        <f t="shared" si="1"/>
        <v>4.7136362564937277</v>
      </c>
      <c r="F77" s="385">
        <f t="shared" si="2"/>
        <v>4.7136362564937277</v>
      </c>
      <c r="G77" s="110">
        <f t="shared" si="21"/>
        <v>9.951218931577771E-2</v>
      </c>
      <c r="H77" s="412" t="b">
        <f>Wh_hp&gt;='2023'!Maxi_hp</f>
        <v>0</v>
      </c>
      <c r="I77" s="390">
        <f>IF(H77,Wh_hp,'2023'!Maxi_hp)</f>
        <v>33.323703114447028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4.5184187975880086E-2</v>
      </c>
      <c r="M77" s="957"/>
      <c r="N77" s="957"/>
      <c r="O77" s="48">
        <f>IF(t&lt;Tnet,'2023'!Resal+('2023'!Salim-'2023'!Resal)*(1-EXP(('2023'!Tnet-t)/('2023'!Tau_j))),Resal+(Salim-Resal)*(1-EXP((Tnet-t)/(Tau_j))))*Salcycl</f>
        <v>4.5003281930907614E-2</v>
      </c>
      <c r="P77" s="169">
        <f>(INDEX(Models!$BJ77:$BT77,,T77)*(1-R77)+INDEX(Models!$BJ77:$BT77,,T77+1)*R77-ERP_i)*Q77*Ramure*Pc/MaxiM</f>
        <v>1.6881743942863193E-3</v>
      </c>
      <c r="Q77" s="305">
        <f t="shared" si="4"/>
        <v>0.7</v>
      </c>
      <c r="R77" s="177">
        <f t="shared" si="5"/>
        <v>8.110600220154085E-3</v>
      </c>
      <c r="S77" s="919">
        <f t="shared" si="6"/>
        <v>1</v>
      </c>
      <c r="T77" s="176">
        <f t="shared" si="7"/>
        <v>7</v>
      </c>
      <c r="U77" s="251">
        <f t="shared" si="8"/>
        <v>1.0081106002201541</v>
      </c>
      <c r="V77" s="383">
        <f t="shared" si="9"/>
        <v>43.118881008992886</v>
      </c>
      <c r="W77" s="402">
        <f t="shared" si="10"/>
        <v>4.2981102096511465</v>
      </c>
      <c r="X77" s="157">
        <f t="shared" si="11"/>
        <v>45354</v>
      </c>
      <c r="Y77" s="385">
        <f t="shared" si="12"/>
        <v>3.9615114282222312</v>
      </c>
      <c r="Z77" s="385">
        <f t="shared" si="22"/>
        <v>4.1489797072214367</v>
      </c>
      <c r="AA77" s="386">
        <f t="shared" si="13"/>
        <v>4.7136362564937277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0.11979213468039537</v>
      </c>
      <c r="AD77" s="231">
        <f>(INDEX(Models!$BJ77:$BT77,,AH77)*(1-AF77)+INDEX(Models!$BJ77:$BT77,,AH77+1)*AF77-ERP_i)*AE77*Ramure*Pc/MaxiM</f>
        <v>1.6881743942863193E-3</v>
      </c>
      <c r="AE77" s="305">
        <f t="shared" si="15"/>
        <v>0.7</v>
      </c>
      <c r="AF77" s="177">
        <f t="shared" si="23"/>
        <v>8.110600220154085E-3</v>
      </c>
      <c r="AG77" s="919">
        <f t="shared" si="24"/>
        <v>1</v>
      </c>
      <c r="AH77" s="176">
        <f t="shared" si="16"/>
        <v>7</v>
      </c>
      <c r="AI77" s="225">
        <f t="shared" si="17"/>
        <v>1.0081106002201541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1090">
        <f>IF(t&gt;Tmaj,'2023'!Wh/'2023'!Env_an*'2024'!Env_an,0.001*'[5]mon-tableau'!$B$42)</f>
        <v>15.280954893571424</v>
      </c>
      <c r="C78" s="953"/>
      <c r="D78" s="393">
        <f t="shared" si="0"/>
        <v>16.004437086810501</v>
      </c>
      <c r="E78" s="385">
        <f t="shared" si="1"/>
        <v>16.760420778773984</v>
      </c>
      <c r="F78" s="385">
        <f t="shared" si="2"/>
        <v>16.762503208864153</v>
      </c>
      <c r="G78" s="110">
        <f t="shared" si="21"/>
        <v>0.35160681312638498</v>
      </c>
      <c r="H78" s="412" t="b">
        <f>Wh_hp&gt;='2023'!Maxi_hp</f>
        <v>0</v>
      </c>
      <c r="I78" s="390">
        <f>IF(H78,Wh_hp,'2023'!Maxi_hp)</f>
        <v>47.032781812856342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4.5205100892633632E-2</v>
      </c>
      <c r="M78" s="957"/>
      <c r="N78" s="957"/>
      <c r="O78" s="48">
        <f>IF(t&lt;Tnet,'2023'!Resal+('2023'!Salim-'2023'!Resal)*(1-EXP(('2023'!Tnet-t)/('2023'!Tau_j))),Resal+(Salim-Resal)*(1-EXP((Tnet-t)/(Tau_j))))*Salcycl</f>
        <v>4.5105293115366638E-2</v>
      </c>
      <c r="P78" s="169">
        <f>(INDEX(Models!$BJ78:$BT78,,T78)*(1-R78)+INDEX(Models!$BJ78:$BT78,,T78+1)*R78-ERP_i)*Q78*Ramure*Pc/MaxiM</f>
        <v>1.6675249944452066E-3</v>
      </c>
      <c r="Q78" s="305">
        <f t="shared" si="4"/>
        <v>0.7</v>
      </c>
      <c r="R78" s="177">
        <f t="shared" si="5"/>
        <v>8.4717878920497203E-3</v>
      </c>
      <c r="S78" s="919">
        <f t="shared" si="6"/>
        <v>1</v>
      </c>
      <c r="T78" s="176">
        <f t="shared" si="7"/>
        <v>7</v>
      </c>
      <c r="U78" s="251">
        <f t="shared" si="8"/>
        <v>1.0084717878920497</v>
      </c>
      <c r="V78" s="383">
        <f t="shared" si="9"/>
        <v>43.393268829926527</v>
      </c>
      <c r="W78" s="402">
        <f t="shared" si="10"/>
        <v>15.280954893571424</v>
      </c>
      <c r="X78" s="157">
        <f t="shared" si="11"/>
        <v>45355</v>
      </c>
      <c r="Y78" s="385">
        <f t="shared" si="12"/>
        <v>14.085387383513178</v>
      </c>
      <c r="Z78" s="385">
        <f t="shared" si="22"/>
        <v>14.752265011764878</v>
      </c>
      <c r="AA78" s="386">
        <f t="shared" si="13"/>
        <v>16.760420778773984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0.11981535508656849</v>
      </c>
      <c r="AD78" s="231">
        <f>(INDEX(Models!$BJ78:$BT78,,AH78)*(1-AF78)+INDEX(Models!$BJ78:$BT78,,AH78+1)*AF78-ERP_i)*AE78*Ramure*Pc/MaxiM</f>
        <v>1.6675249944452066E-3</v>
      </c>
      <c r="AE78" s="305">
        <f t="shared" si="15"/>
        <v>0.7</v>
      </c>
      <c r="AF78" s="177">
        <f t="shared" si="23"/>
        <v>8.4717878920497203E-3</v>
      </c>
      <c r="AG78" s="919">
        <f t="shared" si="24"/>
        <v>1</v>
      </c>
      <c r="AH78" s="176">
        <f t="shared" si="16"/>
        <v>7</v>
      </c>
      <c r="AI78" s="225">
        <f t="shared" si="17"/>
        <v>1.0084717878920497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1090">
        <f>IF(t&gt;Tmaj,'2023'!Wh/'2023'!Env_an*'2024'!Env_an,0.001*'[5]mon-tableau'!$B$43)</f>
        <v>21.634808631723757</v>
      </c>
      <c r="C79" s="953"/>
      <c r="D79" s="393">
        <f t="shared" ref="D79:D142" si="25">Wh/(1-Ppv)</f>
        <v>22.659612572462134</v>
      </c>
      <c r="E79" s="385">
        <f t="shared" si="1"/>
        <v>23.732492655492386</v>
      </c>
      <c r="F79" s="385">
        <f t="shared" ref="F79:F142" si="26">Wh_sa/(1-Pvg*MEDIAN((-Sdif+Wh/Env_an)/Csdif,0,1))</f>
        <v>23.743396744144171</v>
      </c>
      <c r="G79" s="110">
        <f t="shared" si="21"/>
        <v>0.49486029344544075</v>
      </c>
      <c r="H79" s="412" t="b">
        <f>Wh_hp&gt;='2023'!Maxi_hp</f>
        <v>0</v>
      </c>
      <c r="I79" s="390">
        <f>IF(H79,Wh_hp,'2023'!Maxi_hp)</f>
        <v>24.181479709212134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4.5226013351340577E-2</v>
      </c>
      <c r="M79" s="957"/>
      <c r="N79" s="957"/>
      <c r="O79" s="48">
        <f>IF(t&lt;Tnet,'2023'!Resal+('2023'!Salim-'2023'!Resal)*(1-EXP(('2023'!Tnet-t)/('2023'!Tau_j))),Resal+(Salim-Resal)*(1-EXP((Tnet-t)/(Tau_j))))*Salcycl</f>
        <v>4.5207222798063697E-2</v>
      </c>
      <c r="P79" s="169">
        <f>(INDEX(Models!$BJ79:$BT79,,T79)*(1-R79)+INDEX(Models!$BJ79:$BT79,,T79+1)*R79-ERP_i)*Q79*Ramure*Pc/MaxiM</f>
        <v>1.6448013685335554E-3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8.8475645019479021E-3</v>
      </c>
      <c r="S79" s="91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1.0088475645019479</v>
      </c>
      <c r="V79" s="383">
        <f t="shared" ref="V79:V142" si="33">MaxiM*(1-Ppv)*(1-Pvg)*(1-Psa)</f>
        <v>43.66716807914063</v>
      </c>
      <c r="W79" s="402">
        <f t="shared" ref="W79:W142" si="34">Wh*(A79&gt;Tmaj)</f>
        <v>21.634808631723757</v>
      </c>
      <c r="X79" s="157">
        <f t="shared" ref="X79:X142" si="35">t</f>
        <v>45356</v>
      </c>
      <c r="Y79" s="385">
        <f t="shared" ref="Y79:Y142" si="36">Wh_pvt_s*(1-Ppv)</f>
        <v>19.943723444687318</v>
      </c>
      <c r="Z79" s="385">
        <f t="shared" ref="Z79:Z142" si="37">Wh_sa_s*(1-Psa_s)</f>
        <v>20.888423567855614</v>
      </c>
      <c r="AA79" s="386">
        <f t="shared" ref="AA79:AA142" si="38">Wh_hp*(1-Pvg_s*MEDIAN((-Sdif+Wh/Env_an)/Csdif,0,1))</f>
        <v>23.732492655492386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0.11983861657189095</v>
      </c>
      <c r="AD79" s="231">
        <f>(INDEX(Models!$BJ79:$BT79,,AH79)*(1-AF79)+INDEX(Models!$BJ79:$BT79,,AH79+1)*AF79-ERP_i)*AE79*Ramure*Pc/MaxiM</f>
        <v>1.6448013685335554E-3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8.8475645019479021E-3</v>
      </c>
      <c r="AG79" s="91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1.0088475645019479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1090">
        <f>IF(t&gt;Tmaj,'2023'!Wh/'2023'!Env_an*'2024'!Env_an,0.001*'[5]mon-tableau'!$B$44)</f>
        <v>32.826448005082703</v>
      </c>
      <c r="C80" s="953"/>
      <c r="D80" s="393">
        <f t="shared" si="25"/>
        <v>34.382133848781365</v>
      </c>
      <c r="E80" s="385">
        <f t="shared" ref="E80:E143" si="47">Wh_pvt/(1-Psa)</f>
        <v>36.01389007850608</v>
      </c>
      <c r="F80" s="385">
        <f t="shared" si="26"/>
        <v>36.051173706962601</v>
      </c>
      <c r="G80" s="110">
        <f t="shared" ref="G80:G143" si="48">+Wh_hp/MaxiM</f>
        <v>0.74662252672621843</v>
      </c>
      <c r="H80" s="412" t="b">
        <f>Wh_hp&gt;='2023'!Maxi_hp</f>
        <v>0</v>
      </c>
      <c r="I80" s="390">
        <f>IF(H80,Wh_hp,'2023'!Maxi_hp)</f>
        <v>43.018931785268983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4.5246925352011025E-2</v>
      </c>
      <c r="M80" s="957"/>
      <c r="N80" s="957"/>
      <c r="O80" s="48">
        <f>IF(t&lt;Tnet,'2023'!Resal+('2023'!Salim-'2023'!Resal)*(1-EXP(('2023'!Tnet-t)/('2023'!Tau_j))),Resal+(Salim-Resal)*(1-EXP((Tnet-t)/(Tau_j))))*Salcycl</f>
        <v>4.5309080084591738E-2</v>
      </c>
      <c r="P80" s="169">
        <f>(INDEX(Models!$BJ80:$BT80,,T80)*(1-R80)+INDEX(Models!$BJ80:$BT80,,T80+1)*R80-ERP_i)*Q80*Ramure*Pc/MaxiM</f>
        <v>1.6193133183433042E-3</v>
      </c>
      <c r="Q80" s="305">
        <f t="shared" si="28"/>
        <v>0.7</v>
      </c>
      <c r="R80" s="177">
        <f t="shared" si="29"/>
        <v>9.2384952063835346E-3</v>
      </c>
      <c r="S80" s="919">
        <f t="shared" si="30"/>
        <v>1</v>
      </c>
      <c r="T80" s="176">
        <f t="shared" si="31"/>
        <v>7</v>
      </c>
      <c r="U80" s="251">
        <f t="shared" si="32"/>
        <v>1.0092384952063835</v>
      </c>
      <c r="V80" s="383">
        <f t="shared" si="33"/>
        <v>43.940839316876037</v>
      </c>
      <c r="W80" s="402">
        <f t="shared" si="34"/>
        <v>32.826448005082703</v>
      </c>
      <c r="X80" s="157">
        <f t="shared" si="35"/>
        <v>45357</v>
      </c>
      <c r="Y80" s="385">
        <f t="shared" si="36"/>
        <v>30.262994626910512</v>
      </c>
      <c r="Z80" s="385">
        <f t="shared" si="37"/>
        <v>31.69719525445705</v>
      </c>
      <c r="AA80" s="386">
        <f t="shared" si="38"/>
        <v>36.01389007850608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0.11986194256269291</v>
      </c>
      <c r="AD80" s="231">
        <f>(INDEX(Models!$BJ80:$BT80,,AH80)*(1-AF80)+INDEX(Models!$BJ80:$BT80,,AH80+1)*AF80-ERP_i)*AE80*Ramure*Pc/MaxiM</f>
        <v>1.6193133183433042E-3</v>
      </c>
      <c r="AE80" s="305">
        <f t="shared" si="40"/>
        <v>0.7</v>
      </c>
      <c r="AF80" s="177">
        <f t="shared" si="41"/>
        <v>9.2384952063835346E-3</v>
      </c>
      <c r="AG80" s="919">
        <f t="shared" ref="AG80:AG143" si="49">INDEX(Echel_vg,AH80)</f>
        <v>1</v>
      </c>
      <c r="AH80" s="176">
        <f t="shared" si="42"/>
        <v>7</v>
      </c>
      <c r="AI80" s="225">
        <f t="shared" si="43"/>
        <v>1.0092384952063835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1090">
        <f>IF(t&gt;Tmaj,'2023'!Wh/'2023'!Env_an*'2024'!Env_an,0.001*'[5]mon-tableau'!$B$45)</f>
        <v>31.490114414358924</v>
      </c>
      <c r="C81" s="953"/>
      <c r="D81" s="393">
        <f t="shared" si="25"/>
        <v>32.983192178144215</v>
      </c>
      <c r="E81" s="385">
        <f t="shared" si="47"/>
        <v>34.552239612444708</v>
      </c>
      <c r="F81" s="385">
        <f t="shared" si="26"/>
        <v>34.584660239862885</v>
      </c>
      <c r="G81" s="110">
        <f t="shared" si="48"/>
        <v>0.71175462227326425</v>
      </c>
      <c r="H81" s="412" t="b">
        <f>Wh_hp&gt;='2023'!Maxi_hp</f>
        <v>0</v>
      </c>
      <c r="I81" s="390">
        <f>IF(H81,Wh_hp,'2023'!Maxi_hp)</f>
        <v>34.596892262682907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4.5267836894654967E-2</v>
      </c>
      <c r="M81" s="957"/>
      <c r="N81" s="957"/>
      <c r="O81" s="48">
        <f>IF(t&lt;Tnet,'2023'!Resal+('2023'!Salim-'2023'!Resal)*(1-EXP(('2023'!Tnet-t)/('2023'!Tau_j))),Resal+(Salim-Resal)*(1-EXP((Tnet-t)/(Tau_j))))*Salcycl</f>
        <v>4.541087500838497E-2</v>
      </c>
      <c r="P81" s="169">
        <f>(INDEX(Models!$BJ81:$BT81,,T81)*(1-R81)+INDEX(Models!$BJ81:$BT81,,T81+1)*R81-ERP_i)*Q81*Ramure*Pc/MaxiM</f>
        <v>1.5918628902898671E-3</v>
      </c>
      <c r="Q81" s="305">
        <f t="shared" si="28"/>
        <v>0.7</v>
      </c>
      <c r="R81" s="177">
        <f t="shared" si="29"/>
        <v>9.6451650345936724E-3</v>
      </c>
      <c r="S81" s="919">
        <f t="shared" si="30"/>
        <v>1</v>
      </c>
      <c r="T81" s="176">
        <f t="shared" si="31"/>
        <v>7</v>
      </c>
      <c r="U81" s="251">
        <f t="shared" si="32"/>
        <v>1.0096451650345937</v>
      </c>
      <c r="V81" s="383">
        <f t="shared" si="33"/>
        <v>44.213955008943685</v>
      </c>
      <c r="W81" s="402">
        <f t="shared" si="34"/>
        <v>31.490114414358924</v>
      </c>
      <c r="X81" s="157">
        <f t="shared" si="35"/>
        <v>45358</v>
      </c>
      <c r="Y81" s="385">
        <f t="shared" si="36"/>
        <v>29.033340130632354</v>
      </c>
      <c r="Z81" s="385">
        <f t="shared" si="37"/>
        <v>30.409931971076603</v>
      </c>
      <c r="AA81" s="386">
        <f t="shared" si="38"/>
        <v>34.552239612444708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0.11988535874462294</v>
      </c>
      <c r="AD81" s="231">
        <f>(INDEX(Models!$BJ81:$BT81,,AH81)*(1-AF81)+INDEX(Models!$BJ81:$BT81,,AH81+1)*AF81-ERP_i)*AE81*Ramure*Pc/MaxiM</f>
        <v>1.5918628902898671E-3</v>
      </c>
      <c r="AE81" s="305">
        <f t="shared" si="40"/>
        <v>0.7</v>
      </c>
      <c r="AF81" s="177">
        <f t="shared" si="41"/>
        <v>9.6451650345936724E-3</v>
      </c>
      <c r="AG81" s="919">
        <f t="shared" si="49"/>
        <v>1</v>
      </c>
      <c r="AH81" s="176">
        <f t="shared" si="42"/>
        <v>7</v>
      </c>
      <c r="AI81" s="225">
        <f t="shared" si="43"/>
        <v>1.0096451650345937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1090">
        <f>IF(t&gt;Tmaj,'2023'!Wh/'2023'!Env_an*'2024'!Env_an,0.001*'[5]mon-tableau'!$B$46)</f>
        <v>33.238587200336532</v>
      </c>
      <c r="C82" s="953"/>
      <c r="D82" s="393">
        <f t="shared" si="25"/>
        <v>34.815329902087761</v>
      </c>
      <c r="E82" s="385">
        <f t="shared" si="47"/>
        <v>36.475421862433365</v>
      </c>
      <c r="F82" s="385">
        <f t="shared" si="26"/>
        <v>36.511865692135999</v>
      </c>
      <c r="G82" s="110">
        <f t="shared" si="48"/>
        <v>0.74674381370783949</v>
      </c>
      <c r="H82" s="412" t="b">
        <f>Wh_hp&gt;='2023'!Maxi_hp</f>
        <v>0</v>
      </c>
      <c r="I82" s="390">
        <f>IF(H82,Wh_hp,'2023'!Maxi_hp)</f>
        <v>44.616353864796501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4.5288747979282507E-2</v>
      </c>
      <c r="M82" s="957"/>
      <c r="N82" s="957"/>
      <c r="O82" s="48">
        <f>IF(t&lt;Tnet,'2023'!Resal+('2023'!Salim-'2023'!Resal)*(1-EXP(('2023'!Tnet-t)/('2023'!Tau_j))),Resal+(Salim-Resal)*(1-EXP((Tnet-t)/(Tau_j))))*Salcycl</f>
        <v>4.5512618513546474E-2</v>
      </c>
      <c r="P82" s="169">
        <f>(INDEX(Models!$BJ82:$BT82,,T82)*(1-R82)+INDEX(Models!$BJ82:$BT82,,T82+1)*R82-ERP_i)*Q82*Ramure*Pc/MaxiM</f>
        <v>1.5624975304767668E-3</v>
      </c>
      <c r="Q82" s="305">
        <f t="shared" si="28"/>
        <v>0.7</v>
      </c>
      <c r="R82" s="177">
        <f t="shared" si="29"/>
        <v>1.0068179416180545E-2</v>
      </c>
      <c r="S82" s="919">
        <f t="shared" si="30"/>
        <v>1</v>
      </c>
      <c r="T82" s="176">
        <f t="shared" si="31"/>
        <v>7</v>
      </c>
      <c r="U82" s="251">
        <f t="shared" si="32"/>
        <v>1.0100681794161805</v>
      </c>
      <c r="V82" s="383">
        <f t="shared" si="33"/>
        <v>44.486220425820818</v>
      </c>
      <c r="W82" s="402">
        <f t="shared" si="34"/>
        <v>33.238587200336532</v>
      </c>
      <c r="X82" s="157">
        <f t="shared" si="35"/>
        <v>45359</v>
      </c>
      <c r="Y82" s="385">
        <f t="shared" si="36"/>
        <v>30.647848857748553</v>
      </c>
      <c r="Z82" s="385">
        <f t="shared" si="37"/>
        <v>32.101694405381835</v>
      </c>
      <c r="AA82" s="386">
        <f t="shared" si="38"/>
        <v>36.475421862433365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0.11990889299504173</v>
      </c>
      <c r="AD82" s="231">
        <f>(INDEX(Models!$BJ82:$BT82,,AH82)*(1-AF82)+INDEX(Models!$BJ82:$BT82,,AH82+1)*AF82-ERP_i)*AE82*Ramure*Pc/MaxiM</f>
        <v>1.5624975304767668E-3</v>
      </c>
      <c r="AE82" s="305">
        <f t="shared" si="40"/>
        <v>0.7</v>
      </c>
      <c r="AF82" s="177">
        <f t="shared" si="41"/>
        <v>1.0068179416180545E-2</v>
      </c>
      <c r="AG82" s="919">
        <f t="shared" si="49"/>
        <v>1</v>
      </c>
      <c r="AH82" s="176">
        <f t="shared" si="42"/>
        <v>7</v>
      </c>
      <c r="AI82" s="225">
        <f t="shared" si="43"/>
        <v>1.0100681794161805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1090">
        <f>IF(t&gt;Tmaj,'2023'!Wh/'2023'!Env_an*'2024'!Env_an,0.001*'[5]mon-tableau'!$B$47)</f>
        <v>24.056203934081889</v>
      </c>
      <c r="C83" s="953"/>
      <c r="D83" s="393">
        <f t="shared" si="25"/>
        <v>25.197912758762772</v>
      </c>
      <c r="E83" s="385">
        <f t="shared" si="47"/>
        <v>26.40223271474979</v>
      </c>
      <c r="F83" s="385">
        <f t="shared" si="26"/>
        <v>26.415955621231376</v>
      </c>
      <c r="G83" s="110">
        <f t="shared" si="48"/>
        <v>0.53693654379487976</v>
      </c>
      <c r="H83" s="412" t="b">
        <f>Wh_hp&gt;='2023'!Maxi_hp</f>
        <v>0</v>
      </c>
      <c r="I83" s="390">
        <f>IF(H83,Wh_hp,'2023'!Maxi_hp)</f>
        <v>45.293809105395539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4.5309658605903635E-2</v>
      </c>
      <c r="M83" s="957"/>
      <c r="N83" s="957"/>
      <c r="O83" s="48">
        <f>IF(t&lt;Tnet,'2023'!Resal+('2023'!Salim-'2023'!Resal)*(1-EXP(('2023'!Tnet-t)/('2023'!Tau_j))),Resal+(Salim-Resal)*(1-EXP((Tnet-t)/(Tau_j))))*Salcycl</f>
        <v>4.5614322432443982E-2</v>
      </c>
      <c r="P83" s="169">
        <f>(INDEX(Models!$BJ83:$BT83,,T83)*(1-R83)+INDEX(Models!$BJ83:$BT83,,T83+1)*R83-ERP_i)*Q83*Ramure*Pc/MaxiM</f>
        <v>1.5312624044274926E-3</v>
      </c>
      <c r="Q83" s="305">
        <f t="shared" si="28"/>
        <v>0.7</v>
      </c>
      <c r="R83" s="177">
        <f t="shared" si="29"/>
        <v>1.0508164707517142E-2</v>
      </c>
      <c r="S83" s="919">
        <f t="shared" si="30"/>
        <v>1</v>
      </c>
      <c r="T83" s="176">
        <f t="shared" si="31"/>
        <v>7</v>
      </c>
      <c r="U83" s="251">
        <f t="shared" si="32"/>
        <v>1.0105081647075171</v>
      </c>
      <c r="V83" s="383">
        <f t="shared" si="33"/>
        <v>44.757340941352517</v>
      </c>
      <c r="W83" s="402">
        <f t="shared" si="34"/>
        <v>24.056203934081889</v>
      </c>
      <c r="X83" s="157">
        <f t="shared" si="35"/>
        <v>45360</v>
      </c>
      <c r="Y83" s="385">
        <f t="shared" si="36"/>
        <v>22.182941280324044</v>
      </c>
      <c r="Z83" s="385">
        <f t="shared" si="37"/>
        <v>23.2357449515318</v>
      </c>
      <c r="AA83" s="386">
        <f t="shared" si="38"/>
        <v>26.40223271474979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0.11993257530258074</v>
      </c>
      <c r="AD83" s="231">
        <f>(INDEX(Models!$BJ83:$BT83,,AH83)*(1-AF83)+INDEX(Models!$BJ83:$BT83,,AH83+1)*AF83-ERP_i)*AE83*Ramure*Pc/MaxiM</f>
        <v>1.5312624044274926E-3</v>
      </c>
      <c r="AE83" s="305">
        <f t="shared" si="40"/>
        <v>0.7</v>
      </c>
      <c r="AF83" s="177">
        <f t="shared" si="41"/>
        <v>1.0508164707517142E-2</v>
      </c>
      <c r="AG83" s="919">
        <f t="shared" si="49"/>
        <v>1</v>
      </c>
      <c r="AH83" s="176">
        <f t="shared" si="42"/>
        <v>7</v>
      </c>
      <c r="AI83" s="225">
        <f t="shared" si="43"/>
        <v>1.0105081647075171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1090">
        <f>IF(t&gt;Tmaj,'2023'!Wh/'2023'!Env_an*'2024'!Env_an,0.001*'[5]mon-tableau'!$B$48)</f>
        <v>16.039242906793259</v>
      </c>
      <c r="C84" s="953"/>
      <c r="D84" s="393">
        <f t="shared" si="25"/>
        <v>16.800834280620375</v>
      </c>
      <c r="E84" s="385">
        <f t="shared" si="47"/>
        <v>17.605696282327767</v>
      </c>
      <c r="F84" s="385">
        <f t="shared" si="26"/>
        <v>17.60781473901627</v>
      </c>
      <c r="G84" s="110">
        <f t="shared" si="48"/>
        <v>0.3557228362350332</v>
      </c>
      <c r="H84" s="412" t="b">
        <f>Wh_hp&gt;='2023'!Maxi_hp</f>
        <v>0</v>
      </c>
      <c r="I84" s="390">
        <f>IF(H84,Wh_hp,'2023'!Maxi_hp)</f>
        <v>36.273412618426136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4.5330568774528346E-2</v>
      </c>
      <c r="M84" s="957"/>
      <c r="N84" s="957"/>
      <c r="O84" s="48">
        <f>IF(t&lt;Tnet,'2023'!Resal+('2023'!Salim-'2023'!Resal)*(1-EXP(('2023'!Tnet-t)/('2023'!Tau_j))),Resal+(Salim-Resal)*(1-EXP((Tnet-t)/(Tau_j))))*Salcycl</f>
        <v>4.5715999458385344E-2</v>
      </c>
      <c r="P84" s="169">
        <f>(INDEX(Models!$BJ84:$BT84,,T84)*(1-R84)+INDEX(Models!$BJ84:$BT84,,T84+1)*R84-ERP_i)*Q84*Ramure*Pc/MaxiM</f>
        <v>1.4982002410540195E-3</v>
      </c>
      <c r="Q84" s="305">
        <f t="shared" si="28"/>
        <v>0.7</v>
      </c>
      <c r="R84" s="177">
        <f t="shared" si="29"/>
        <v>1.0965768715182067E-2</v>
      </c>
      <c r="S84" s="919">
        <f t="shared" si="30"/>
        <v>1</v>
      </c>
      <c r="T84" s="176">
        <f t="shared" si="31"/>
        <v>7</v>
      </c>
      <c r="U84" s="251">
        <f t="shared" si="32"/>
        <v>1.0109657687151821</v>
      </c>
      <c r="V84" s="383">
        <f t="shared" si="33"/>
        <v>45.027022037361888</v>
      </c>
      <c r="W84" s="402">
        <f t="shared" si="34"/>
        <v>16.039242906793259</v>
      </c>
      <c r="X84" s="157">
        <f t="shared" si="35"/>
        <v>45361</v>
      </c>
      <c r="Y84" s="385">
        <f t="shared" si="36"/>
        <v>14.791437828446572</v>
      </c>
      <c r="Z84" s="385">
        <f t="shared" si="37"/>
        <v>15.493779673514197</v>
      </c>
      <c r="AA84" s="386">
        <f t="shared" si="38"/>
        <v>17.605696282327767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0.11995643767486021</v>
      </c>
      <c r="AD84" s="231">
        <f>(INDEX(Models!$BJ84:$BT84,,AH84)*(1-AF84)+INDEX(Models!$BJ84:$BT84,,AH84+1)*AF84-ERP_i)*AE84*Ramure*Pc/MaxiM</f>
        <v>1.4982002410540195E-3</v>
      </c>
      <c r="AE84" s="305">
        <f t="shared" si="40"/>
        <v>0.7</v>
      </c>
      <c r="AF84" s="177">
        <f t="shared" si="41"/>
        <v>1.0965768715182067E-2</v>
      </c>
      <c r="AG84" s="919">
        <f t="shared" si="49"/>
        <v>1</v>
      </c>
      <c r="AH84" s="176">
        <f t="shared" si="42"/>
        <v>7</v>
      </c>
      <c r="AI84" s="225">
        <f t="shared" si="43"/>
        <v>1.0109657687151821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1090">
        <f>IF(t&gt;Tmaj,'2023'!Wh/'2023'!Env_an*'2024'!Env_an,0.001*'[5]mon-tableau'!$B$49)</f>
        <v>13.244529366535453</v>
      </c>
      <c r="C85" s="953"/>
      <c r="D85" s="393">
        <f t="shared" si="25"/>
        <v>13.873723226972659</v>
      </c>
      <c r="E85" s="385">
        <f t="shared" si="47"/>
        <v>14.53990782542242</v>
      </c>
      <c r="F85" s="385">
        <f t="shared" si="26"/>
        <v>14.53990782542242</v>
      </c>
      <c r="G85" s="110">
        <f t="shared" si="48"/>
        <v>0.29197829628286587</v>
      </c>
      <c r="H85" s="412" t="b">
        <f>Wh_hp&gt;='2023'!Maxi_hp</f>
        <v>0</v>
      </c>
      <c r="I85" s="390">
        <f>IF(H85,Wh_hp,'2023'!Maxi_hp)</f>
        <v>43.935491435363161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4.535147848516663E-2</v>
      </c>
      <c r="M85" s="957"/>
      <c r="N85" s="957"/>
      <c r="O85" s="48">
        <f>IF(t&lt;Tnet,'2023'!Resal+('2023'!Salim-'2023'!Resal)*(1-EXP(('2023'!Tnet-t)/('2023'!Tau_j))),Resal+(Salim-Resal)*(1-EXP((Tnet-t)/(Tau_j))))*Salcycl</f>
        <v>4.5817663113721062E-2</v>
      </c>
      <c r="P85" s="169">
        <f>(INDEX(Models!$BJ85:$BT85,,T85)*(1-R85)+INDEX(Models!$BJ85:$BT85,,T85+1)*R85-ERP_i)*Q85*Ramure*Pc/MaxiM</f>
        <v>1.4633511786395765E-3</v>
      </c>
      <c r="Q85" s="305">
        <f t="shared" si="28"/>
        <v>0.7</v>
      </c>
      <c r="R85" s="177">
        <f t="shared" si="29"/>
        <v>1.144166121453738E-2</v>
      </c>
      <c r="S85" s="919">
        <f t="shared" si="30"/>
        <v>1</v>
      </c>
      <c r="T85" s="176">
        <f t="shared" si="31"/>
        <v>7</v>
      </c>
      <c r="U85" s="251">
        <f t="shared" si="32"/>
        <v>1.0114416612145374</v>
      </c>
      <c r="V85" s="383">
        <f t="shared" si="33"/>
        <v>45.294969308485882</v>
      </c>
      <c r="W85" s="402">
        <f t="shared" si="34"/>
        <v>13.244529366535453</v>
      </c>
      <c r="X85" s="157">
        <f t="shared" si="35"/>
        <v>45362</v>
      </c>
      <c r="Y85" s="385">
        <f t="shared" si="36"/>
        <v>12.21511180244179</v>
      </c>
      <c r="Z85" s="385">
        <f t="shared" si="37"/>
        <v>12.795402210500351</v>
      </c>
      <c r="AA85" s="386">
        <f t="shared" si="38"/>
        <v>14.53990782542242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0.11998051403543801</v>
      </c>
      <c r="AD85" s="231">
        <f>(INDEX(Models!$BJ85:$BT85,,AH85)*(1-AF85)+INDEX(Models!$BJ85:$BT85,,AH85+1)*AF85-ERP_i)*AE85*Ramure*Pc/MaxiM</f>
        <v>1.4633511786395765E-3</v>
      </c>
      <c r="AE85" s="305">
        <f t="shared" si="40"/>
        <v>0.7</v>
      </c>
      <c r="AF85" s="177">
        <f t="shared" si="41"/>
        <v>1.144166121453738E-2</v>
      </c>
      <c r="AG85" s="919">
        <f t="shared" si="49"/>
        <v>1</v>
      </c>
      <c r="AH85" s="176">
        <f t="shared" si="42"/>
        <v>7</v>
      </c>
      <c r="AI85" s="225">
        <f t="shared" si="43"/>
        <v>1.0114416612145374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1090">
        <f>IF(t&gt;Tmaj,'2023'!Wh/'2023'!Env_an*'2024'!Env_an,0.001*'[5]mon-tableau'!$B$50)</f>
        <v>12.467199731657781</v>
      </c>
      <c r="C86" s="953"/>
      <c r="D86" s="393">
        <f t="shared" si="25"/>
        <v>13.05975185665789</v>
      </c>
      <c r="E86" s="385">
        <f t="shared" si="47"/>
        <v>13.688309842146799</v>
      </c>
      <c r="F86" s="385">
        <f t="shared" si="26"/>
        <v>13.688309842146799</v>
      </c>
      <c r="G86" s="110">
        <f t="shared" si="48"/>
        <v>0.27324779081498884</v>
      </c>
      <c r="H86" s="412" t="b">
        <f>Wh_hp&gt;='2023'!Maxi_hp</f>
        <v>0</v>
      </c>
      <c r="I86" s="390">
        <f>IF(H86,Wh_hp,'2023'!Maxi_hp)</f>
        <v>42.800557177693996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4.5372387737828701E-2</v>
      </c>
      <c r="M86" s="957"/>
      <c r="N86" s="957"/>
      <c r="O86" s="48">
        <f>IF(t&lt;Tnet,'2023'!Resal+('2023'!Salim-'2023'!Resal)*(1-EXP(('2023'!Tnet-t)/('2023'!Tau_j))),Resal+(Salim-Resal)*(1-EXP((Tnet-t)/(Tau_j))))*Salcycl</f>
        <v>4.5919327713751457E-2</v>
      </c>
      <c r="P86" s="169">
        <f>(INDEX(Models!$BJ86:$BT86,,T86)*(1-R86)+INDEX(Models!$BJ86:$BT86,,T86+1)*R86-ERP_i)*Q86*Ramure*Pc/MaxiM</f>
        <v>1.4273132260198677E-3</v>
      </c>
      <c r="Q86" s="305">
        <f t="shared" si="28"/>
        <v>0.7</v>
      </c>
      <c r="R86" s="177">
        <f t="shared" si="29"/>
        <v>1.1936534461383097E-2</v>
      </c>
      <c r="S86" s="919">
        <f t="shared" si="30"/>
        <v>1</v>
      </c>
      <c r="T86" s="176">
        <f t="shared" si="31"/>
        <v>7</v>
      </c>
      <c r="U86" s="251">
        <f t="shared" si="32"/>
        <v>1.0119365344613831</v>
      </c>
      <c r="V86" s="383">
        <f t="shared" si="33"/>
        <v>45.560862890996333</v>
      </c>
      <c r="W86" s="402">
        <f t="shared" si="34"/>
        <v>12.467199731657781</v>
      </c>
      <c r="X86" s="157">
        <f t="shared" si="35"/>
        <v>45363</v>
      </c>
      <c r="Y86" s="385">
        <f t="shared" si="36"/>
        <v>11.499106668765169</v>
      </c>
      <c r="Z86" s="385">
        <f t="shared" si="37"/>
        <v>12.045646408148464</v>
      </c>
      <c r="AA86" s="386">
        <f t="shared" si="38"/>
        <v>13.688309842146799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0.12000484011112275</v>
      </c>
      <c r="AD86" s="231">
        <f>(INDEX(Models!$BJ86:$BT86,,AH86)*(1-AF86)+INDEX(Models!$BJ86:$BT86,,AH86+1)*AF86-ERP_i)*AE86*Ramure*Pc/MaxiM</f>
        <v>1.4273132260198677E-3</v>
      </c>
      <c r="AE86" s="305">
        <f t="shared" si="40"/>
        <v>0.7</v>
      </c>
      <c r="AF86" s="177">
        <f t="shared" si="41"/>
        <v>1.1936534461383097E-2</v>
      </c>
      <c r="AG86" s="919">
        <f t="shared" si="49"/>
        <v>1</v>
      </c>
      <c r="AH86" s="176">
        <f t="shared" si="42"/>
        <v>7</v>
      </c>
      <c r="AI86" s="225">
        <f t="shared" si="43"/>
        <v>1.0119365344613831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1090">
        <f>IF(t&gt;Tmaj,'2023'!Wh/'2023'!Env_an*'2024'!Env_an,0.001*'[5]mon-tableau'!$B$51)</f>
        <v>13.171189534381282</v>
      </c>
      <c r="C87" s="953"/>
      <c r="D87" s="393">
        <f t="shared" si="25"/>
        <v>13.797503711778658</v>
      </c>
      <c r="E87" s="385">
        <f t="shared" si="47"/>
        <v>14.463110647310575</v>
      </c>
      <c r="F87" s="385">
        <f t="shared" si="26"/>
        <v>14.463110647310575</v>
      </c>
      <c r="G87" s="110">
        <f t="shared" si="48"/>
        <v>0.28702782008793176</v>
      </c>
      <c r="H87" s="412" t="b">
        <f>Wh_hp&gt;='2023'!Maxi_hp</f>
        <v>0</v>
      </c>
      <c r="I87" s="390">
        <f>IF(H87,Wh_hp,'2023'!Maxi_hp)</f>
        <v>36.891466840324576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4.5393296532524441E-2</v>
      </c>
      <c r="M87" s="957"/>
      <c r="N87" s="957"/>
      <c r="O87" s="48">
        <f>IF(t&lt;Tnet,'2023'!Resal+('2023'!Salim-'2023'!Resal)*(1-EXP(('2023'!Tnet-t)/('2023'!Tau_j))),Resal+(Salim-Resal)*(1-EXP((Tnet-t)/(Tau_j))))*Salcycl</f>
        <v>4.6021008326841951E-2</v>
      </c>
      <c r="P87" s="169">
        <f>(INDEX(Models!$BJ87:$BT87,,T87)*(1-R87)+INDEX(Models!$BJ87:$BT87,,T87+1)*R87-ERP_i)*Q87*Ramure*Pc/MaxiM</f>
        <v>1.3916785582537416E-3</v>
      </c>
      <c r="Q87" s="305">
        <f t="shared" si="28"/>
        <v>0.7</v>
      </c>
      <c r="R87" s="177">
        <f t="shared" si="29"/>
        <v>1.2451103694420818E-2</v>
      </c>
      <c r="S87" s="919">
        <f t="shared" si="30"/>
        <v>1</v>
      </c>
      <c r="T87" s="176">
        <f t="shared" si="31"/>
        <v>7</v>
      </c>
      <c r="U87" s="251">
        <f t="shared" si="32"/>
        <v>1.0124511036944208</v>
      </c>
      <c r="V87" s="383">
        <f t="shared" si="33"/>
        <v>45.824336708163592</v>
      </c>
      <c r="W87" s="402">
        <f t="shared" si="34"/>
        <v>13.171189534381282</v>
      </c>
      <c r="X87" s="157">
        <f t="shared" si="35"/>
        <v>45364</v>
      </c>
      <c r="Y87" s="385">
        <f t="shared" si="36"/>
        <v>12.149385842122495</v>
      </c>
      <c r="Z87" s="385">
        <f t="shared" si="37"/>
        <v>12.727111383139828</v>
      </c>
      <c r="AA87" s="386">
        <f t="shared" si="38"/>
        <v>14.463110647310575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0.12002945331083098</v>
      </c>
      <c r="AD87" s="231">
        <f>(INDEX(Models!$BJ87:$BT87,,AH87)*(1-AF87)+INDEX(Models!$BJ87:$BT87,,AH87+1)*AF87-ERP_i)*AE87*Ramure*Pc/MaxiM</f>
        <v>1.3916785582537416E-3</v>
      </c>
      <c r="AE87" s="305">
        <f t="shared" si="40"/>
        <v>0.7</v>
      </c>
      <c r="AF87" s="177">
        <f t="shared" si="41"/>
        <v>1.2451103694420818E-2</v>
      </c>
      <c r="AG87" s="919">
        <f t="shared" si="49"/>
        <v>1</v>
      </c>
      <c r="AH87" s="176">
        <f t="shared" si="42"/>
        <v>7</v>
      </c>
      <c r="AI87" s="225">
        <f t="shared" si="43"/>
        <v>1.0124511036944208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1090">
        <f>IF(t&gt;Tmaj,'2023'!Wh/'2023'!Env_an*'2024'!Env_an,0.001*'[5]mon-tableau'!$B$52)</f>
        <v>14.953158507823613</v>
      </c>
      <c r="C88" s="953"/>
      <c r="D88" s="393">
        <f t="shared" si="25"/>
        <v>15.664551666386036</v>
      </c>
      <c r="E88" s="385">
        <f t="shared" si="47"/>
        <v>16.421977970156981</v>
      </c>
      <c r="F88" s="385">
        <f t="shared" si="26"/>
        <v>16.422756645017238</v>
      </c>
      <c r="G88" s="110">
        <f t="shared" si="48"/>
        <v>0.32404366106738319</v>
      </c>
      <c r="H88" s="412" t="b">
        <f>Wh_hp&gt;='2023'!Maxi_hp</f>
        <v>0</v>
      </c>
      <c r="I88" s="390">
        <f>IF(H88,Wh_hp,'2023'!Maxi_hp)</f>
        <v>34.951737117929945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4.5414204869263841E-2</v>
      </c>
      <c r="M88" s="957"/>
      <c r="N88" s="957"/>
      <c r="O88" s="48">
        <f>IF(t&lt;Tnet,'2023'!Resal+('2023'!Salim-'2023'!Resal)*(1-EXP(('2023'!Tnet-t)/('2023'!Tau_j))),Resal+(Salim-Resal)*(1-EXP((Tnet-t)/(Tau_j))))*Salcycl</f>
        <v>4.612272073116809E-2</v>
      </c>
      <c r="P88" s="169">
        <f>(INDEX(Models!$BJ88:$BT88,,T88)*(1-R88)+INDEX(Models!$BJ88:$BT88,,T88+1)*R88-ERP_i)*Q88*Ramure*Pc/MaxiM</f>
        <v>1.3564450464588758E-3</v>
      </c>
      <c r="Q88" s="305">
        <f t="shared" si="28"/>
        <v>0.7</v>
      </c>
      <c r="R88" s="177">
        <f t="shared" si="29"/>
        <v>1.2986107626052457E-2</v>
      </c>
      <c r="S88" s="919">
        <f t="shared" si="30"/>
        <v>1</v>
      </c>
      <c r="T88" s="176">
        <f t="shared" si="31"/>
        <v>7</v>
      </c>
      <c r="U88" s="251">
        <f t="shared" si="32"/>
        <v>1.0129861076260525</v>
      </c>
      <c r="V88" s="383">
        <f t="shared" si="33"/>
        <v>46.085096642467583</v>
      </c>
      <c r="W88" s="402">
        <f t="shared" si="34"/>
        <v>14.953158507823613</v>
      </c>
      <c r="X88" s="157">
        <f t="shared" si="35"/>
        <v>45365</v>
      </c>
      <c r="Y88" s="385">
        <f t="shared" si="36"/>
        <v>13.794191801950767</v>
      </c>
      <c r="Z88" s="385">
        <f t="shared" si="37"/>
        <v>14.450447379705217</v>
      </c>
      <c r="AA88" s="386">
        <f t="shared" si="38"/>
        <v>16.421977970156981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0.12005439259719805</v>
      </c>
      <c r="AD88" s="231">
        <f>(INDEX(Models!$BJ88:$BT88,,AH88)*(1-AF88)+INDEX(Models!$BJ88:$BT88,,AH88+1)*AF88-ERP_i)*AE88*Ramure*Pc/MaxiM</f>
        <v>1.3564450464588758E-3</v>
      </c>
      <c r="AE88" s="305">
        <f t="shared" si="40"/>
        <v>0.7</v>
      </c>
      <c r="AF88" s="177">
        <f t="shared" si="41"/>
        <v>1.2986107626052457E-2</v>
      </c>
      <c r="AG88" s="919">
        <f t="shared" si="49"/>
        <v>1</v>
      </c>
      <c r="AH88" s="176">
        <f t="shared" si="42"/>
        <v>7</v>
      </c>
      <c r="AI88" s="225">
        <f t="shared" si="43"/>
        <v>1.0129861076260525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1090">
        <f>IF(t&gt;Tmaj,'2023'!Wh/'2023'!Env_an*'2024'!Env_an,0.001*'[5]mon-tableau'!$B$53)</f>
        <v>10.264039666290428</v>
      </c>
      <c r="C89" s="953"/>
      <c r="D89" s="393">
        <f t="shared" si="25"/>
        <v>10.752584558016945</v>
      </c>
      <c r="E89" s="385">
        <f t="shared" si="47"/>
        <v>11.273705759868211</v>
      </c>
      <c r="F89" s="385">
        <f t="shared" si="26"/>
        <v>11.273705759868211</v>
      </c>
      <c r="G89" s="110">
        <f t="shared" si="48"/>
        <v>0.22118784025766575</v>
      </c>
      <c r="H89" s="412" t="b">
        <f>Wh_hp&gt;='2023'!Maxi_hp</f>
        <v>0</v>
      </c>
      <c r="I89" s="390">
        <f>IF(H89,Wh_hp,'2023'!Maxi_hp)</f>
        <v>52.275659986289419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4.5435112748057116E-2</v>
      </c>
      <c r="M89" s="957"/>
      <c r="N89" s="957"/>
      <c r="O89" s="48">
        <f>IF(t&lt;Tnet,'2023'!Resal+('2023'!Salim-'2023'!Resal)*(1-EXP(('2023'!Tnet-t)/('2023'!Tau_j))),Resal+(Salim-Resal)*(1-EXP((Tnet-t)/(Tau_j))))*Salcycl</f>
        <v>4.6224481368525451E-2</v>
      </c>
      <c r="P89" s="169">
        <f>(INDEX(Models!$BJ89:$BT89,,T89)*(1-R89)+INDEX(Models!$BJ89:$BT89,,T89+1)*R89-ERP_i)*Q89*Ramure*Pc/MaxiM</f>
        <v>1.3216094833955745E-3</v>
      </c>
      <c r="Q89" s="305">
        <f t="shared" si="28"/>
        <v>0.7</v>
      </c>
      <c r="R89" s="177">
        <f t="shared" si="29"/>
        <v>1.3542308918824242E-2</v>
      </c>
      <c r="S89" s="919">
        <f t="shared" si="30"/>
        <v>1</v>
      </c>
      <c r="T89" s="176">
        <f t="shared" si="31"/>
        <v>7</v>
      </c>
      <c r="U89" s="251">
        <f t="shared" si="32"/>
        <v>1.0135423089188242</v>
      </c>
      <c r="V89" s="383">
        <f t="shared" si="33"/>
        <v>46.34284869452383</v>
      </c>
      <c r="W89" s="402">
        <f t="shared" si="34"/>
        <v>10.264039666290428</v>
      </c>
      <c r="X89" s="157">
        <f t="shared" si="35"/>
        <v>45366</v>
      </c>
      <c r="Y89" s="385">
        <f t="shared" si="36"/>
        <v>9.469247954955387</v>
      </c>
      <c r="Z89" s="385">
        <f t="shared" si="37"/>
        <v>9.9199625729121568</v>
      </c>
      <c r="AA89" s="386">
        <f t="shared" si="38"/>
        <v>11.273705759868211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0.12007969835216625</v>
      </c>
      <c r="AD89" s="231">
        <f>(INDEX(Models!$BJ89:$BT89,,AH89)*(1-AF89)+INDEX(Models!$BJ89:$BT89,,AH89+1)*AF89-ERP_i)*AE89*Ramure*Pc/MaxiM</f>
        <v>1.3216094833955745E-3</v>
      </c>
      <c r="AE89" s="305">
        <f t="shared" si="40"/>
        <v>0.7</v>
      </c>
      <c r="AF89" s="177">
        <f t="shared" si="41"/>
        <v>1.3542308918824242E-2</v>
      </c>
      <c r="AG89" s="919">
        <f t="shared" si="49"/>
        <v>1</v>
      </c>
      <c r="AH89" s="176">
        <f t="shared" si="42"/>
        <v>7</v>
      </c>
      <c r="AI89" s="225">
        <f t="shared" si="43"/>
        <v>1.0135423089188242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1090">
        <f>IF(t&gt;Tmaj,'2023'!Wh/'2023'!Env_an*'2024'!Env_an,0.001*'[5]mon-tableau'!$B$54)</f>
        <v>11.114847609301222</v>
      </c>
      <c r="C90" s="953"/>
      <c r="D90" s="393">
        <f t="shared" si="25"/>
        <v>11.644144056377668</v>
      </c>
      <c r="E90" s="385">
        <f t="shared" si="47"/>
        <v>12.209777983240903</v>
      </c>
      <c r="F90" s="385">
        <f t="shared" si="26"/>
        <v>12.209777983240903</v>
      </c>
      <c r="G90" s="110">
        <f t="shared" si="48"/>
        <v>0.23822284076529363</v>
      </c>
      <c r="H90" s="412" t="b">
        <f>Wh_hp&gt;='2023'!Maxi_hp</f>
        <v>0</v>
      </c>
      <c r="I90" s="390">
        <f>IF(H90,Wh_hp,'2023'!Maxi_hp)</f>
        <v>27.107916637934526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4.5456020168914146E-2</v>
      </c>
      <c r="M90" s="957"/>
      <c r="N90" s="957"/>
      <c r="O90" s="48">
        <f>IF(t&lt;Tnet,'2023'!Resal+('2023'!Salim-'2023'!Resal)*(1-EXP(('2023'!Tnet-t)/('2023'!Tau_j))),Resal+(Salim-Resal)*(1-EXP((Tnet-t)/(Tau_j))))*Salcycl</f>
        <v>4.6326307295646366E-2</v>
      </c>
      <c r="P90" s="169">
        <f>(INDEX(Models!$BJ90:$BT90,,T90)*(1-R90)+INDEX(Models!$BJ90:$BT90,,T90+1)*R90-ERP_i)*Q90*Ramure*Pc/MaxiM</f>
        <v>1.2871675828641247E-3</v>
      </c>
      <c r="Q90" s="305">
        <f t="shared" si="28"/>
        <v>0.7</v>
      </c>
      <c r="R90" s="177">
        <f t="shared" si="29"/>
        <v>1.4120494644588533E-2</v>
      </c>
      <c r="S90" s="919">
        <f t="shared" si="30"/>
        <v>1</v>
      </c>
      <c r="T90" s="176">
        <f t="shared" si="31"/>
        <v>7</v>
      </c>
      <c r="U90" s="251">
        <f t="shared" si="32"/>
        <v>1.0141204946445885</v>
      </c>
      <c r="V90" s="383">
        <f t="shared" si="33"/>
        <v>46.597298991605669</v>
      </c>
      <c r="W90" s="402">
        <f t="shared" si="34"/>
        <v>11.114847609301222</v>
      </c>
      <c r="X90" s="157">
        <f t="shared" si="35"/>
        <v>45367</v>
      </c>
      <c r="Y90" s="385">
        <f t="shared" si="36"/>
        <v>10.254969105305848</v>
      </c>
      <c r="Z90" s="385">
        <f t="shared" si="37"/>
        <v>10.743317565232088</v>
      </c>
      <c r="AA90" s="386">
        <f t="shared" si="38"/>
        <v>12.209777983240903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0.12010541223777149</v>
      </c>
      <c r="AD90" s="231">
        <f>(INDEX(Models!$BJ90:$BT90,,AH90)*(1-AF90)+INDEX(Models!$BJ90:$BT90,,AH90+1)*AF90-ERP_i)*AE90*Ramure*Pc/MaxiM</f>
        <v>1.2871675828641247E-3</v>
      </c>
      <c r="AE90" s="305">
        <f t="shared" si="40"/>
        <v>0.7</v>
      </c>
      <c r="AF90" s="177">
        <f t="shared" si="41"/>
        <v>1.4120494644588533E-2</v>
      </c>
      <c r="AG90" s="919">
        <f t="shared" si="49"/>
        <v>1</v>
      </c>
      <c r="AH90" s="176">
        <f t="shared" si="42"/>
        <v>7</v>
      </c>
      <c r="AI90" s="225">
        <f t="shared" si="43"/>
        <v>1.0141204946445885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1090">
        <f>IF(t&gt;Tmaj,'2023'!Wh/'2023'!Env_an*'2024'!Env_an,0.001*'[5]mon-tableau'!$B$55)</f>
        <v>13.632488584019557</v>
      </c>
      <c r="C91" s="953"/>
      <c r="D91" s="393">
        <f t="shared" si="25"/>
        <v>14.281989583611212</v>
      </c>
      <c r="E91" s="385">
        <f t="shared" si="47"/>
        <v>14.977361773122878</v>
      </c>
      <c r="F91" s="385">
        <f t="shared" si="26"/>
        <v>14.977361773122878</v>
      </c>
      <c r="G91" s="110">
        <f t="shared" si="48"/>
        <v>0.29062843296833363</v>
      </c>
      <c r="H91" s="412" t="b">
        <f>Wh_hp&gt;='2023'!Maxi_hp</f>
        <v>0</v>
      </c>
      <c r="I91" s="390">
        <f>IF(H91,Wh_hp,'2023'!Maxi_hp)</f>
        <v>38.270489516966428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4.5476927131844924E-2</v>
      </c>
      <c r="M91" s="957"/>
      <c r="N91" s="957"/>
      <c r="O91" s="48">
        <f>IF(t&lt;Tnet,'2023'!Resal+('2023'!Salim-'2023'!Resal)*(1-EXP(('2023'!Tnet-t)/('2023'!Tau_j))),Resal+(Salim-Resal)*(1-EXP((Tnet-t)/(Tau_j))))*Salcycl</f>
        <v>4.6428216133466392E-2</v>
      </c>
      <c r="P91" s="169">
        <f>(INDEX(Models!$BJ91:$BT91,,T91)*(1-R91)+INDEX(Models!$BJ91:$BT91,,T91+1)*R91-ERP_i)*Q91*Ramure*Pc/MaxiM</f>
        <v>1.2531139791971922E-3</v>
      </c>
      <c r="Q91" s="305">
        <f t="shared" si="28"/>
        <v>0.7</v>
      </c>
      <c r="R91" s="177">
        <f t="shared" si="29"/>
        <v>1.4721476723214E-2</v>
      </c>
      <c r="S91" s="919">
        <f t="shared" si="30"/>
        <v>1</v>
      </c>
      <c r="T91" s="176">
        <f t="shared" si="31"/>
        <v>7</v>
      </c>
      <c r="U91" s="251">
        <f t="shared" si="32"/>
        <v>1.014721476723214</v>
      </c>
      <c r="V91" s="383">
        <f t="shared" si="33"/>
        <v>46.848153785033105</v>
      </c>
      <c r="W91" s="402">
        <f t="shared" si="34"/>
        <v>13.632488584019557</v>
      </c>
      <c r="X91" s="157">
        <f t="shared" si="35"/>
        <v>45368</v>
      </c>
      <c r="Y91" s="385">
        <f t="shared" si="36"/>
        <v>12.578807840373953</v>
      </c>
      <c r="Z91" s="385">
        <f t="shared" si="37"/>
        <v>13.178107683219324</v>
      </c>
      <c r="AA91" s="386">
        <f t="shared" si="38"/>
        <v>14.977361773122878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0.12013157705333304</v>
      </c>
      <c r="AD91" s="231">
        <f>(INDEX(Models!$BJ91:$BT91,,AH91)*(1-AF91)+INDEX(Models!$BJ91:$BT91,,AH91+1)*AF91-ERP_i)*AE91*Ramure*Pc/MaxiM</f>
        <v>1.2531139791971922E-3</v>
      </c>
      <c r="AE91" s="305">
        <f t="shared" si="40"/>
        <v>0.7</v>
      </c>
      <c r="AF91" s="177">
        <f t="shared" si="41"/>
        <v>1.4721476723214E-2</v>
      </c>
      <c r="AG91" s="919">
        <f t="shared" si="49"/>
        <v>1</v>
      </c>
      <c r="AH91" s="176">
        <f t="shared" si="42"/>
        <v>7</v>
      </c>
      <c r="AI91" s="225">
        <f t="shared" si="43"/>
        <v>1.014721476723214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1090">
        <f>IF(t&gt;Tmaj,'2023'!Wh/'2023'!Env_an*'2024'!Env_an,0.001*'[5]mon-tableau'!$B$56)</f>
        <v>31.237022835321</v>
      </c>
      <c r="C92" s="953"/>
      <c r="D92" s="393">
        <f t="shared" si="25"/>
        <v>32.725984221011053</v>
      </c>
      <c r="E92" s="385">
        <f t="shared" si="47"/>
        <v>34.323043177578775</v>
      </c>
      <c r="F92" s="385">
        <f t="shared" si="26"/>
        <v>34.344778175666804</v>
      </c>
      <c r="G92" s="110">
        <f t="shared" si="48"/>
        <v>0.66288583844085947</v>
      </c>
      <c r="H92" s="412" t="b">
        <f>Wh_hp&gt;='2023'!Maxi_hp</f>
        <v>0</v>
      </c>
      <c r="I92" s="390">
        <f>IF(H92,Wh_hp,'2023'!Maxi_hp)</f>
        <v>46.831517578729603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4.5497833636859664E-2</v>
      </c>
      <c r="M92" s="957"/>
      <c r="N92" s="957"/>
      <c r="O92" s="48">
        <f>IF(t&lt;Tnet,'2023'!Resal+('2023'!Salim-'2023'!Resal)*(1-EXP(('2023'!Tnet-t)/('2023'!Tau_j))),Resal+(Salim-Resal)*(1-EXP((Tnet-t)/(Tau_j))))*Salcycl</f>
        <v>4.6530226014777978E-2</v>
      </c>
      <c r="P92" s="169">
        <f>(INDEX(Models!$BJ92:$BT92,,T92)*(1-R92)+INDEX(Models!$BJ92:$BT92,,T92+1)*R92-ERP_i)*Q92*Ramure*Pc/MaxiM</f>
        <v>1.2194422261303395E-3</v>
      </c>
      <c r="Q92" s="305">
        <f t="shared" si="28"/>
        <v>0.7</v>
      </c>
      <c r="R92" s="177">
        <f t="shared" si="29"/>
        <v>1.5346092337420458E-2</v>
      </c>
      <c r="S92" s="919">
        <f t="shared" si="30"/>
        <v>1</v>
      </c>
      <c r="T92" s="176">
        <f t="shared" si="31"/>
        <v>7</v>
      </c>
      <c r="U92" s="251">
        <f t="shared" si="32"/>
        <v>1.0153460923374205</v>
      </c>
      <c r="V92" s="383">
        <f t="shared" si="33"/>
        <v>47.095119462009805</v>
      </c>
      <c r="W92" s="402">
        <f t="shared" si="34"/>
        <v>31.237022835321</v>
      </c>
      <c r="X92" s="157">
        <f t="shared" si="35"/>
        <v>45369</v>
      </c>
      <c r="Y92" s="385">
        <f t="shared" si="36"/>
        <v>28.824864725629407</v>
      </c>
      <c r="Z92" s="385">
        <f t="shared" si="37"/>
        <v>30.198846834951013</v>
      </c>
      <c r="AA92" s="386">
        <f t="shared" si="38"/>
        <v>34.323043177578775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0.12015823659021752</v>
      </c>
      <c r="AD92" s="231">
        <f>(INDEX(Models!$BJ92:$BT92,,AH92)*(1-AF92)+INDEX(Models!$BJ92:$BT92,,AH92+1)*AF92-ERP_i)*AE92*Ramure*Pc/MaxiM</f>
        <v>1.2194422261303395E-3</v>
      </c>
      <c r="AE92" s="305">
        <f t="shared" si="40"/>
        <v>0.7</v>
      </c>
      <c r="AF92" s="177">
        <f t="shared" si="41"/>
        <v>1.5346092337420458E-2</v>
      </c>
      <c r="AG92" s="919">
        <f t="shared" si="49"/>
        <v>1</v>
      </c>
      <c r="AH92" s="176">
        <f t="shared" si="42"/>
        <v>7</v>
      </c>
      <c r="AI92" s="225">
        <f t="shared" si="43"/>
        <v>1.0153460923374205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1090">
        <f>IF(t&gt;Tmaj,'2023'!Wh/'2023'!Env_an*'2024'!Env_an,0.001*'[5]mon-tableau'!$B$57)</f>
        <v>32.206273096472003</v>
      </c>
      <c r="C93" s="953"/>
      <c r="D93" s="393">
        <f t="shared" si="25"/>
        <v>33.742174346941503</v>
      </c>
      <c r="E93" s="385">
        <f t="shared" si="47"/>
        <v>35.392615370038413</v>
      </c>
      <c r="F93" s="385">
        <f t="shared" si="26"/>
        <v>35.415437556427761</v>
      </c>
      <c r="G93" s="110">
        <f t="shared" si="48"/>
        <v>0.67994787379591748</v>
      </c>
      <c r="H93" s="412" t="b">
        <f>Wh_hp&gt;='2023'!Maxi_hp</f>
        <v>0</v>
      </c>
      <c r="I93" s="390">
        <f>IF(H93,Wh_hp,'2023'!Maxi_hp)</f>
        <v>53.139538604347429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4.5518739683968246E-2</v>
      </c>
      <c r="M93" s="957"/>
      <c r="N93" s="957"/>
      <c r="O93" s="48">
        <f>IF(t&lt;Tnet,'2023'!Resal+('2023'!Salim-'2023'!Resal)*(1-EXP(('2023'!Tnet-t)/('2023'!Tau_j))),Resal+(Salim-Resal)*(1-EXP((Tnet-t)/(Tau_j))))*Salcycl</f>
        <v>4.6632355530698853E-2</v>
      </c>
      <c r="P93" s="169">
        <f>(INDEX(Models!$BJ93:$BT93,,T93)*(1-R93)+INDEX(Models!$BJ93:$BT93,,T93+1)*R93-ERP_i)*Q93*Ramure*Pc/MaxiM</f>
        <v>1.1860892469891535E-3</v>
      </c>
      <c r="Q93" s="305">
        <f t="shared" si="28"/>
        <v>0.7</v>
      </c>
      <c r="R93" s="177">
        <f t="shared" si="29"/>
        <v>1.5995204320041978E-2</v>
      </c>
      <c r="S93" s="919">
        <f t="shared" si="30"/>
        <v>1</v>
      </c>
      <c r="T93" s="176">
        <f t="shared" si="31"/>
        <v>7</v>
      </c>
      <c r="U93" s="251">
        <f t="shared" si="32"/>
        <v>1.015995204320042</v>
      </c>
      <c r="V93" s="383">
        <f t="shared" si="33"/>
        <v>47.340123752065594</v>
      </c>
      <c r="W93" s="402">
        <f t="shared" si="34"/>
        <v>32.206273096472003</v>
      </c>
      <c r="X93" s="157">
        <f t="shared" si="35"/>
        <v>45370</v>
      </c>
      <c r="Y93" s="385">
        <f t="shared" si="36"/>
        <v>29.721533244173706</v>
      </c>
      <c r="Z93" s="385">
        <f t="shared" si="37"/>
        <v>31.138938478826514</v>
      </c>
      <c r="AA93" s="386">
        <f t="shared" si="38"/>
        <v>35.392615370038413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0.12018543548530308</v>
      </c>
      <c r="AD93" s="231">
        <f>(INDEX(Models!$BJ93:$BT93,,AH93)*(1-AF93)+INDEX(Models!$BJ93:$BT93,,AH93+1)*AF93-ERP_i)*AE93*Ramure*Pc/MaxiM</f>
        <v>1.1860892469891535E-3</v>
      </c>
      <c r="AE93" s="305">
        <f t="shared" si="40"/>
        <v>0.7</v>
      </c>
      <c r="AF93" s="177">
        <f t="shared" si="41"/>
        <v>1.5995204320041978E-2</v>
      </c>
      <c r="AG93" s="919">
        <f t="shared" si="49"/>
        <v>1</v>
      </c>
      <c r="AH93" s="176">
        <f t="shared" si="42"/>
        <v>7</v>
      </c>
      <c r="AI93" s="225">
        <f t="shared" si="43"/>
        <v>1.015995204320042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1090">
        <f>IF(t&gt;Tmaj,'2023'!Wh/'2023'!Env_an*'2024'!Env_an,0.001*'[5]mon-tableau'!$B$58)</f>
        <v>46.44195457854341</v>
      </c>
      <c r="C94" s="953"/>
      <c r="D94" s="393">
        <f t="shared" si="25"/>
        <v>48.657814175881398</v>
      </c>
      <c r="E94" s="385">
        <f t="shared" si="47"/>
        <v>51.043303768710501</v>
      </c>
      <c r="F94" s="385">
        <f t="shared" si="26"/>
        <v>51.100209897346367</v>
      </c>
      <c r="G94" s="110">
        <f t="shared" si="48"/>
        <v>0.97594383169425025</v>
      </c>
      <c r="H94" s="412" t="b">
        <f>Wh_hp&gt;='2023'!Maxi_hp</f>
        <v>0</v>
      </c>
      <c r="I94" s="390">
        <f>IF(H94,Wh_hp,'2023'!Maxi_hp)</f>
        <v>53.219933275475654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4.5539645273180773E-2</v>
      </c>
      <c r="M94" s="957"/>
      <c r="N94" s="957"/>
      <c r="O94" s="48">
        <f>IF(t&lt;Tnet,'2023'!Resal+('2023'!Salim-'2023'!Resal)*(1-EXP(('2023'!Tnet-t)/('2023'!Tau_j))),Resal+(Salim-Resal)*(1-EXP((Tnet-t)/(Tau_j))))*Salcycl</f>
        <v>4.673462367636573E-2</v>
      </c>
      <c r="P94" s="169">
        <f>(INDEX(Models!$BJ94:$BT94,,T94)*(1-R94)+INDEX(Models!$BJ94:$BT94,,T94+1)*R94-ERP_i)*Q94*Ramure*Pc/MaxiM</f>
        <v>1.1531849079202416E-3</v>
      </c>
      <c r="Q94" s="305">
        <f t="shared" si="28"/>
        <v>0.7</v>
      </c>
      <c r="R94" s="177">
        <f t="shared" si="29"/>
        <v>1.6669701509742341E-2</v>
      </c>
      <c r="S94" s="919">
        <f t="shared" si="30"/>
        <v>1</v>
      </c>
      <c r="T94" s="176">
        <f t="shared" si="31"/>
        <v>7</v>
      </c>
      <c r="U94" s="251">
        <f t="shared" si="32"/>
        <v>1.0166697015097423</v>
      </c>
      <c r="V94" s="383">
        <f t="shared" si="33"/>
        <v>47.58482350207138</v>
      </c>
      <c r="W94" s="402">
        <f t="shared" si="34"/>
        <v>46.44195457854341</v>
      </c>
      <c r="X94" s="157">
        <f t="shared" si="35"/>
        <v>45371</v>
      </c>
      <c r="Y94" s="385">
        <f t="shared" si="36"/>
        <v>42.862164863404011</v>
      </c>
      <c r="Z94" s="385">
        <f t="shared" si="37"/>
        <v>44.907223910491076</v>
      </c>
      <c r="AA94" s="386">
        <f t="shared" si="38"/>
        <v>51.043303768710501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0.12021321907420952</v>
      </c>
      <c r="AD94" s="231">
        <f>(INDEX(Models!$BJ94:$BT94,,AH94)*(1-AF94)+INDEX(Models!$BJ94:$BT94,,AH94+1)*AF94-ERP_i)*AE94*Ramure*Pc/MaxiM</f>
        <v>1.1531849079202416E-3</v>
      </c>
      <c r="AE94" s="305">
        <f t="shared" si="40"/>
        <v>0.7</v>
      </c>
      <c r="AF94" s="177">
        <f t="shared" si="41"/>
        <v>1.6669701509742341E-2</v>
      </c>
      <c r="AG94" s="919">
        <f t="shared" si="49"/>
        <v>1</v>
      </c>
      <c r="AH94" s="176">
        <f t="shared" si="42"/>
        <v>7</v>
      </c>
      <c r="AI94" s="225">
        <f t="shared" si="43"/>
        <v>1.0166697015097423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1090">
        <f>IF(t&gt;Tmaj,'2023'!Wh/'2023'!Env_an*'2024'!Env_an,0.001*'[5]mon-tableau'!$B$59)</f>
        <v>40.983127319891082</v>
      </c>
      <c r="C95" s="953"/>
      <c r="D95" s="393">
        <f t="shared" si="25"/>
        <v>42.939473360264401</v>
      </c>
      <c r="E95" s="385">
        <f t="shared" si="47"/>
        <v>45.04945702210231</v>
      </c>
      <c r="F95" s="385">
        <f t="shared" si="26"/>
        <v>45.089682688686068</v>
      </c>
      <c r="G95" s="110">
        <f t="shared" si="48"/>
        <v>0.85668006216236381</v>
      </c>
      <c r="H95" s="412" t="b">
        <f>Wh_hp&gt;='2023'!Maxi_hp</f>
        <v>0</v>
      </c>
      <c r="I95" s="390">
        <f>IF(H95,Wh_hp,'2023'!Maxi_hp)</f>
        <v>52.117627843898426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4.5560550404507238E-2</v>
      </c>
      <c r="M95" s="957"/>
      <c r="N95" s="957"/>
      <c r="O95" s="48">
        <f>IF(t&lt;Tnet,'2023'!Resal+('2023'!Salim-'2023'!Resal)*(1-EXP(('2023'!Tnet-t)/('2023'!Tau_j))),Resal+(Salim-Resal)*(1-EXP((Tnet-t)/(Tau_j))))*Salcycl</f>
        <v>4.68370497962428E-2</v>
      </c>
      <c r="P95" s="169">
        <f>(INDEX(Models!$BJ95:$BT95,,T95)*(1-R95)+INDEX(Models!$BJ95:$BT95,,T95+1)*R95-ERP_i)*Q95*Ramure*Pc/MaxiM</f>
        <v>1.121411634801507E-3</v>
      </c>
      <c r="Q95" s="305">
        <f t="shared" si="28"/>
        <v>0.7</v>
      </c>
      <c r="R95" s="177">
        <f t="shared" si="29"/>
        <v>1.7370499070916923E-2</v>
      </c>
      <c r="S95" s="919">
        <f t="shared" si="30"/>
        <v>1</v>
      </c>
      <c r="T95" s="176">
        <f t="shared" si="31"/>
        <v>7</v>
      </c>
      <c r="U95" s="251">
        <f t="shared" si="32"/>
        <v>1.0173704990709169</v>
      </c>
      <c r="V95" s="383">
        <f t="shared" si="33"/>
        <v>47.828499676802942</v>
      </c>
      <c r="W95" s="402">
        <f t="shared" si="34"/>
        <v>40.983127319891082</v>
      </c>
      <c r="X95" s="157">
        <f t="shared" si="35"/>
        <v>45372</v>
      </c>
      <c r="Y95" s="385">
        <f t="shared" si="36"/>
        <v>37.826951989416123</v>
      </c>
      <c r="Z95" s="385">
        <f t="shared" si="37"/>
        <v>39.632636732951276</v>
      </c>
      <c r="AA95" s="386">
        <f t="shared" si="38"/>
        <v>45.04945702210231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0.12024163324528901</v>
      </c>
      <c r="AD95" s="231">
        <f>(INDEX(Models!$BJ95:$BT95,,AH95)*(1-AF95)+INDEX(Models!$BJ95:$BT95,,AH95+1)*AF95-ERP_i)*AE95*Ramure*Pc/MaxiM</f>
        <v>1.121411634801507E-3</v>
      </c>
      <c r="AE95" s="305">
        <f t="shared" si="40"/>
        <v>0.7</v>
      </c>
      <c r="AF95" s="177">
        <f t="shared" si="41"/>
        <v>1.7370499070916923E-2</v>
      </c>
      <c r="AG95" s="919">
        <f t="shared" si="49"/>
        <v>1</v>
      </c>
      <c r="AH95" s="176">
        <f t="shared" si="42"/>
        <v>7</v>
      </c>
      <c r="AI95" s="225">
        <f t="shared" si="43"/>
        <v>1.0173704990709169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1090">
        <f>IF(t&gt;Tmaj,'2023'!Wh/'2023'!Env_an*'2024'!Env_an,0.001*'[5]mon-tableau'!$B$60)</f>
        <v>48.259953917902479</v>
      </c>
      <c r="C96" s="953"/>
      <c r="D96" s="393">
        <f t="shared" si="25"/>
        <v>50.564769696343639</v>
      </c>
      <c r="E96" s="385">
        <f t="shared" si="47"/>
        <v>53.055160550532818</v>
      </c>
      <c r="F96" s="385">
        <f t="shared" si="26"/>
        <v>53.113094499750893</v>
      </c>
      <c r="G96" s="110">
        <f t="shared" si="48"/>
        <v>1.0039418816445129</v>
      </c>
      <c r="H96" s="412" t="b">
        <f>Wh_hp&gt;='2023'!Maxi_hp</f>
        <v>1</v>
      </c>
      <c r="I96" s="390">
        <f>IF(H96,Wh_hp,'2023'!Maxi_hp)</f>
        <v>53.113094499750893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4.5581455077957633E-2</v>
      </c>
      <c r="M96" s="957"/>
      <c r="N96" s="957"/>
      <c r="O96" s="48">
        <f>IF(t&lt;Tnet,'2023'!Resal+('2023'!Salim-'2023'!Resal)*(1-EXP(('2023'!Tnet-t)/('2023'!Tau_j))),Resal+(Salim-Resal)*(1-EXP((Tnet-t)/(Tau_j))))*Salcycl</f>
        <v>4.6939653529408987E-2</v>
      </c>
      <c r="P96" s="169">
        <f>(INDEX(Models!$BJ96:$BT96,,T96)*(1-R96)+INDEX(Models!$BJ96:$BT96,,T96+1)*R96-ERP_i)*Q96*Ramure*Pc/MaxiM</f>
        <v>1.0907658415261314E-3</v>
      </c>
      <c r="Q96" s="305">
        <f t="shared" si="28"/>
        <v>0.7</v>
      </c>
      <c r="R96" s="177">
        <f t="shared" si="29"/>
        <v>1.8098538773211548E-2</v>
      </c>
      <c r="S96" s="919">
        <f t="shared" si="30"/>
        <v>1</v>
      </c>
      <c r="T96" s="176">
        <f t="shared" si="31"/>
        <v>7</v>
      </c>
      <c r="U96" s="251">
        <f t="shared" si="32"/>
        <v>1.0180985387732115</v>
      </c>
      <c r="V96" s="383">
        <f t="shared" si="33"/>
        <v>48.070465831000071</v>
      </c>
      <c r="W96" s="402">
        <f t="shared" si="34"/>
        <v>48.259953917902479</v>
      </c>
      <c r="X96" s="157">
        <f t="shared" si="35"/>
        <v>45373</v>
      </c>
      <c r="Y96" s="385">
        <f t="shared" si="36"/>
        <v>44.546701017372676</v>
      </c>
      <c r="Z96" s="385">
        <f t="shared" si="37"/>
        <v>46.674177963517344</v>
      </c>
      <c r="AA96" s="386">
        <f t="shared" si="38"/>
        <v>53.055160550532818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0.12027072429528995</v>
      </c>
      <c r="AD96" s="231">
        <f>(INDEX(Models!$BJ96:$BT96,,AH96)*(1-AF96)+INDEX(Models!$BJ96:$BT96,,AH96+1)*AF96-ERP_i)*AE96*Ramure*Pc/MaxiM</f>
        <v>1.0907658415261314E-3</v>
      </c>
      <c r="AE96" s="305">
        <f t="shared" si="40"/>
        <v>0.7</v>
      </c>
      <c r="AF96" s="177">
        <f t="shared" si="41"/>
        <v>1.8098538773211548E-2</v>
      </c>
      <c r="AG96" s="919">
        <f t="shared" si="49"/>
        <v>1</v>
      </c>
      <c r="AH96" s="176">
        <f t="shared" si="42"/>
        <v>7</v>
      </c>
      <c r="AI96" s="225">
        <f t="shared" si="43"/>
        <v>1.0180985387732115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1090">
        <f>IF(t&gt;Tmaj,'2023'!Wh/'2023'!Env_an*'2024'!Env_an,0.001*'[5]mon-tableau'!$B$61)</f>
        <v>45.424596876194187</v>
      </c>
      <c r="C97" s="953"/>
      <c r="D97" s="393">
        <f t="shared" si="25"/>
        <v>47.595043133772094</v>
      </c>
      <c r="E97" s="385">
        <f t="shared" si="47"/>
        <v>49.944557731103863</v>
      </c>
      <c r="F97" s="385">
        <f t="shared" si="26"/>
        <v>49.99308560453651</v>
      </c>
      <c r="G97" s="110">
        <f t="shared" si="48"/>
        <v>0.94018724795295605</v>
      </c>
      <c r="H97" s="412" t="b">
        <f>Wh_hp&gt;='2023'!Maxi_hp</f>
        <v>0</v>
      </c>
      <c r="I97" s="390">
        <f>IF(H97,Wh_hp,'2023'!Maxi_hp)</f>
        <v>52.635831121779191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4.5602359293542061E-2</v>
      </c>
      <c r="M97" s="957"/>
      <c r="N97" s="957"/>
      <c r="O97" s="48">
        <f>IF(t&lt;Tnet,'2023'!Resal+('2023'!Salim-'2023'!Resal)*(1-EXP(('2023'!Tnet-t)/('2023'!Tau_j))),Resal+(Salim-Resal)*(1-EXP((Tnet-t)/(Tau_j))))*Salcycl</f>
        <v>4.7042454755156768E-2</v>
      </c>
      <c r="P97" s="169">
        <f>(INDEX(Models!$BJ97:$BT97,,T97)*(1-R97)+INDEX(Models!$BJ97:$BT97,,T97+1)*R97-ERP_i)*Q97*Ramure*Pc/MaxiM</f>
        <v>1.0612422387532173E-3</v>
      </c>
      <c r="Q97" s="305">
        <f t="shared" si="28"/>
        <v>0.7</v>
      </c>
      <c r="R97" s="177">
        <f t="shared" si="29"/>
        <v>1.8854789225771329E-2</v>
      </c>
      <c r="S97" s="919">
        <f t="shared" si="30"/>
        <v>1</v>
      </c>
      <c r="T97" s="176">
        <f t="shared" si="31"/>
        <v>7</v>
      </c>
      <c r="U97" s="251">
        <f t="shared" si="32"/>
        <v>1.0188547892257713</v>
      </c>
      <c r="V97" s="383">
        <f t="shared" si="33"/>
        <v>48.310035854007047</v>
      </c>
      <c r="W97" s="402">
        <f t="shared" si="34"/>
        <v>45.424596876194187</v>
      </c>
      <c r="X97" s="157">
        <f t="shared" si="35"/>
        <v>45374</v>
      </c>
      <c r="Y97" s="385">
        <f t="shared" si="36"/>
        <v>41.93260612414317</v>
      </c>
      <c r="Z97" s="385">
        <f t="shared" si="37"/>
        <v>43.936200526547921</v>
      </c>
      <c r="AA97" s="386">
        <f t="shared" si="38"/>
        <v>49.944557731103863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0.12030053878751498</v>
      </c>
      <c r="AD97" s="231">
        <f>(INDEX(Models!$BJ97:$BT97,,AH97)*(1-AF97)+INDEX(Models!$BJ97:$BT97,,AH97+1)*AF97-ERP_i)*AE97*Ramure*Pc/MaxiM</f>
        <v>1.0612422387532173E-3</v>
      </c>
      <c r="AE97" s="305">
        <f t="shared" si="40"/>
        <v>0.7</v>
      </c>
      <c r="AF97" s="177">
        <f t="shared" si="41"/>
        <v>1.8854789225771329E-2</v>
      </c>
      <c r="AG97" s="919">
        <f t="shared" si="49"/>
        <v>1</v>
      </c>
      <c r="AH97" s="176">
        <f t="shared" si="42"/>
        <v>7</v>
      </c>
      <c r="AI97" s="225">
        <f t="shared" si="43"/>
        <v>1.0188547892257713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1090">
        <f>IF(t&gt;Tmaj,'2023'!Wh/'2023'!Env_an*'2024'!Env_an,0.001*'[5]mon-tableau'!$B$62)</f>
        <v>41.353406492791912</v>
      </c>
      <c r="C98" s="953"/>
      <c r="D98" s="393">
        <f t="shared" si="25"/>
        <v>43.330275028501113</v>
      </c>
      <c r="E98" s="385">
        <f t="shared" si="47"/>
        <v>45.474176619009626</v>
      </c>
      <c r="F98" s="385">
        <f t="shared" si="26"/>
        <v>45.511232466229593</v>
      </c>
      <c r="G98" s="110">
        <f t="shared" si="48"/>
        <v>0.85164405246038155</v>
      </c>
      <c r="H98" s="412" t="b">
        <f>Wh_hp&gt;='2023'!Maxi_hp</f>
        <v>0</v>
      </c>
      <c r="I98" s="390">
        <f>IF(H98,Wh_hp,'2023'!Maxi_hp)</f>
        <v>47.578792902284313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4.5623263051270513E-2</v>
      </c>
      <c r="M98" s="957"/>
      <c r="N98" s="957"/>
      <c r="O98" s="48">
        <f>IF(t&lt;Tnet,'2023'!Resal+('2023'!Salim-'2023'!Resal)*(1-EXP(('2023'!Tnet-t)/('2023'!Tau_j))),Resal+(Salim-Resal)*(1-EXP((Tnet-t)/(Tau_j))))*Salcycl</f>
        <v>4.7145473539201899E-2</v>
      </c>
      <c r="P98" s="169">
        <f>(INDEX(Models!$BJ98:$BT98,,T98)*(1-R98)+INDEX(Models!$BJ98:$BT98,,T98+1)*R98-ERP_i)*Q98*Ramure*Pc/MaxiM</f>
        <v>1.0328340414224842E-3</v>
      </c>
      <c r="Q98" s="305">
        <f t="shared" si="28"/>
        <v>0.7</v>
      </c>
      <c r="R98" s="177">
        <f t="shared" si="29"/>
        <v>1.9640246061018551E-2</v>
      </c>
      <c r="S98" s="919">
        <f t="shared" si="30"/>
        <v>1</v>
      </c>
      <c r="T98" s="176">
        <f t="shared" si="31"/>
        <v>7</v>
      </c>
      <c r="U98" s="251">
        <f t="shared" si="32"/>
        <v>1.0196402460610186</v>
      </c>
      <c r="V98" s="383">
        <f t="shared" si="33"/>
        <v>48.546523974028581</v>
      </c>
      <c r="W98" s="402">
        <f t="shared" si="34"/>
        <v>41.353406492791912</v>
      </c>
      <c r="X98" s="157">
        <f t="shared" si="35"/>
        <v>45375</v>
      </c>
      <c r="Y98" s="385">
        <f t="shared" si="36"/>
        <v>38.177186152086122</v>
      </c>
      <c r="Z98" s="385">
        <f t="shared" si="37"/>
        <v>40.002217860154168</v>
      </c>
      <c r="AA98" s="386">
        <f t="shared" si="38"/>
        <v>45.474176619009626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0.12033112341319462</v>
      </c>
      <c r="AD98" s="231">
        <f>(INDEX(Models!$BJ98:$BT98,,AH98)*(1-AF98)+INDEX(Models!$BJ98:$BT98,,AH98+1)*AF98-ERP_i)*AE98*Ramure*Pc/MaxiM</f>
        <v>1.0328340414224842E-3</v>
      </c>
      <c r="AE98" s="305">
        <f t="shared" si="40"/>
        <v>0.7</v>
      </c>
      <c r="AF98" s="177">
        <f t="shared" si="41"/>
        <v>1.9640246061018551E-2</v>
      </c>
      <c r="AG98" s="919">
        <f t="shared" si="49"/>
        <v>1</v>
      </c>
      <c r="AH98" s="176">
        <f t="shared" si="42"/>
        <v>7</v>
      </c>
      <c r="AI98" s="225">
        <f t="shared" si="43"/>
        <v>1.0196402460610186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1090">
        <f>IF(t&gt;Tmaj,'2023'!Wh/'2023'!Env_an*'2024'!Env_an,0.001*'[5]mon-tableau'!$B$63)</f>
        <v>44.91850990520097</v>
      </c>
      <c r="C99" s="953"/>
      <c r="D99" s="393">
        <f t="shared" si="25"/>
        <v>47.066836416204723</v>
      </c>
      <c r="E99" s="385">
        <f t="shared" si="47"/>
        <v>49.400969489334457</v>
      </c>
      <c r="F99" s="385">
        <f t="shared" si="26"/>
        <v>49.445066591863771</v>
      </c>
      <c r="G99" s="110">
        <f t="shared" si="48"/>
        <v>0.92074813065638406</v>
      </c>
      <c r="H99" s="412" t="b">
        <f>Wh_hp&gt;='2023'!Maxi_hp</f>
        <v>0</v>
      </c>
      <c r="I99" s="390">
        <f>IF(H99,Wh_hp,'2023'!Maxi_hp)</f>
        <v>56.081839676566283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4.5644166351152982E-2</v>
      </c>
      <c r="M99" s="957"/>
      <c r="N99" s="957"/>
      <c r="O99" s="48">
        <f>IF(t&lt;Tnet,'2023'!Resal+('2023'!Salim-'2023'!Resal)*(1-EXP(('2023'!Tnet-t)/('2023'!Tau_j))),Resal+(Salim-Resal)*(1-EXP((Tnet-t)/(Tau_j))))*Salcycl</f>
        <v>4.7248730080766382E-2</v>
      </c>
      <c r="P99" s="169">
        <f>(INDEX(Models!$BJ99:$BT99,,T99)*(1-R99)+INDEX(Models!$BJ99:$BT99,,T99+1)*R99-ERP_i)*Q99*Ramure*Pc/MaxiM</f>
        <v>1.0055331695810908E-3</v>
      </c>
      <c r="Q99" s="305">
        <f t="shared" si="28"/>
        <v>0.7</v>
      </c>
      <c r="R99" s="177">
        <f t="shared" si="29"/>
        <v>2.0455932062422244E-2</v>
      </c>
      <c r="S99" s="919">
        <f t="shared" si="30"/>
        <v>1</v>
      </c>
      <c r="T99" s="176">
        <f t="shared" si="31"/>
        <v>7</v>
      </c>
      <c r="U99" s="251">
        <f t="shared" si="32"/>
        <v>1.0204559320624222</v>
      </c>
      <c r="V99" s="383">
        <f t="shared" si="33"/>
        <v>48.779244764611597</v>
      </c>
      <c r="W99" s="402">
        <f t="shared" si="34"/>
        <v>44.91850990520097</v>
      </c>
      <c r="X99" s="157">
        <f t="shared" si="35"/>
        <v>45376</v>
      </c>
      <c r="Y99" s="385">
        <f t="shared" si="36"/>
        <v>41.471479375262476</v>
      </c>
      <c r="Z99" s="385">
        <f t="shared" si="37"/>
        <v>43.454944071229733</v>
      </c>
      <c r="AA99" s="386">
        <f t="shared" si="38"/>
        <v>49.400969489334457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0.12036252485669255</v>
      </c>
      <c r="AD99" s="231">
        <f>(INDEX(Models!$BJ99:$BT99,,AH99)*(1-AF99)+INDEX(Models!$BJ99:$BT99,,AH99+1)*AF99-ERP_i)*AE99*Ramure*Pc/MaxiM</f>
        <v>1.0055331695810908E-3</v>
      </c>
      <c r="AE99" s="305">
        <f t="shared" si="40"/>
        <v>0.7</v>
      </c>
      <c r="AF99" s="177">
        <f t="shared" si="41"/>
        <v>2.0455932062422244E-2</v>
      </c>
      <c r="AG99" s="919">
        <f t="shared" si="49"/>
        <v>1</v>
      </c>
      <c r="AH99" s="176">
        <f t="shared" si="42"/>
        <v>7</v>
      </c>
      <c r="AI99" s="225">
        <f t="shared" si="43"/>
        <v>1.0204559320624222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1090">
        <f>IF(t&gt;Tmaj,'2023'!Wh/'2023'!Env_an*'2024'!Env_an,0.001*'[5]mon-tableau'!$B$64)</f>
        <v>45.65751234042974</v>
      </c>
      <c r="C100" s="953"/>
      <c r="D100" s="393">
        <f t="shared" si="25"/>
        <v>47.842231135593671</v>
      </c>
      <c r="E100" s="385">
        <f t="shared" si="47"/>
        <v>50.220273828868422</v>
      </c>
      <c r="F100" s="385">
        <f t="shared" si="26"/>
        <v>50.264712498820863</v>
      </c>
      <c r="G100" s="110">
        <f t="shared" si="48"/>
        <v>0.93155431176756687</v>
      </c>
      <c r="H100" s="412" t="b">
        <f>Wh_hp&gt;='2023'!Maxi_hp</f>
        <v>0</v>
      </c>
      <c r="I100" s="390">
        <f>IF(H100,Wh_hp,'2023'!Maxi_hp)</f>
        <v>55.275486537639232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4.566506919319957E-2</v>
      </c>
      <c r="M100" s="957"/>
      <c r="N100" s="957"/>
      <c r="O100" s="48">
        <f>IF(t&lt;Tnet,'2023'!Resal+('2023'!Salim-'2023'!Resal)*(1-EXP(('2023'!Tnet-t)/('2023'!Tau_j))),Resal+(Salim-Resal)*(1-EXP((Tnet-t)/(Tau_j))))*Salcycl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9.7976932723584662E-4</v>
      </c>
      <c r="Q100" s="305">
        <f t="shared" si="28"/>
        <v>0.7</v>
      </c>
      <c r="R100" s="177">
        <f t="shared" si="29"/>
        <v>2.1302897230386808E-2</v>
      </c>
      <c r="S100" s="919">
        <f t="shared" si="30"/>
        <v>1</v>
      </c>
      <c r="T100" s="176">
        <f t="shared" si="31"/>
        <v>7</v>
      </c>
      <c r="U100" s="251">
        <f t="shared" si="32"/>
        <v>1.0213028972303868</v>
      </c>
      <c r="V100" s="383">
        <f t="shared" si="33"/>
        <v>49.007491614436049</v>
      </c>
      <c r="W100" s="402">
        <f t="shared" si="34"/>
        <v>45.65751234042974</v>
      </c>
      <c r="X100" s="157">
        <f t="shared" si="35"/>
        <v>45377</v>
      </c>
      <c r="Y100" s="385">
        <f t="shared" si="36"/>
        <v>42.156805094526192</v>
      </c>
      <c r="Z100" s="385">
        <f t="shared" si="37"/>
        <v>44.174014524320697</v>
      </c>
      <c r="AA100" s="386">
        <f t="shared" si="38"/>
        <v>50.220273828868422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0.12039478966504788</v>
      </c>
      <c r="AD100" s="231">
        <f>(INDEX(Models!$BJ100:$BT100,,AH100)*(1-AF100)+INDEX(Models!$BJ100:$BT100,,AH100+1)*AF100-ERP_i)*AE100*Ramure*Pc/MaxiM</f>
        <v>9.7976932723584662E-4</v>
      </c>
      <c r="AE100" s="305">
        <f t="shared" si="40"/>
        <v>0.7</v>
      </c>
      <c r="AF100" s="177">
        <f t="shared" si="41"/>
        <v>2.1302897230386808E-2</v>
      </c>
      <c r="AG100" s="919">
        <f t="shared" si="49"/>
        <v>1</v>
      </c>
      <c r="AH100" s="176">
        <f t="shared" si="42"/>
        <v>7</v>
      </c>
      <c r="AI100" s="225">
        <f t="shared" si="43"/>
        <v>1.0213028972303868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1090">
        <f>IF(t&gt;Tmaj,'2023'!Wh/'2023'!Env_an*'2024'!Env_an,0.001*'[5]mon-tableau'!$B$65)</f>
        <v>35.027949880675216</v>
      </c>
      <c r="C101" s="953"/>
      <c r="D101" s="393">
        <f t="shared" si="25"/>
        <v>36.704846452455683</v>
      </c>
      <c r="E101" s="385">
        <f t="shared" si="47"/>
        <v>38.533493361961767</v>
      </c>
      <c r="F101" s="385">
        <f t="shared" si="26"/>
        <v>38.555138906030002</v>
      </c>
      <c r="G101" s="110">
        <f t="shared" si="48"/>
        <v>0.71122740083797387</v>
      </c>
      <c r="H101" s="412" t="b">
        <f>Wh_hp&gt;='2023'!Maxi_hp</f>
        <v>0</v>
      </c>
      <c r="I101" s="390">
        <f>IF(H101,Wh_hp,'2023'!Maxi_hp)</f>
        <v>54.062253279945516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4.568597157742027E-2</v>
      </c>
      <c r="M101" s="957"/>
      <c r="N101" s="957"/>
      <c r="O101" s="48">
        <f>IF(t&lt;Tnet,'2023'!Resal+('2023'!Salim-'2023'!Resal)*(1-EXP(('2023'!Tnet-t)/('2023'!Tau_j))),Resal+(Salim-Resal)*(1-EXP((Tnet-t)/(Tau_j))))*Salcycl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9.5500669082412186E-4</v>
      </c>
      <c r="Q101" s="305">
        <f t="shared" si="28"/>
        <v>0.7</v>
      </c>
      <c r="R101" s="177">
        <f t="shared" si="29"/>
        <v>2.2182218780051111E-2</v>
      </c>
      <c r="S101" s="919">
        <f t="shared" si="30"/>
        <v>1</v>
      </c>
      <c r="T101" s="176">
        <f t="shared" si="31"/>
        <v>7</v>
      </c>
      <c r="U101" s="251">
        <f t="shared" si="32"/>
        <v>1.0221822187800511</v>
      </c>
      <c r="V101" s="383">
        <f t="shared" si="33"/>
        <v>49.230605409228367</v>
      </c>
      <c r="W101" s="402">
        <f t="shared" si="34"/>
        <v>35.027949880675216</v>
      </c>
      <c r="X101" s="157">
        <f t="shared" si="35"/>
        <v>45378</v>
      </c>
      <c r="Y101" s="385">
        <f t="shared" si="36"/>
        <v>32.344549338445596</v>
      </c>
      <c r="Z101" s="385">
        <f t="shared" si="37"/>
        <v>33.89298320586262</v>
      </c>
      <c r="AA101" s="386">
        <f t="shared" si="38"/>
        <v>38.533493361961767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0.12042796412224634</v>
      </c>
      <c r="AD101" s="231">
        <f>(INDEX(Models!$BJ101:$BT101,,AH101)*(1-AF101)+INDEX(Models!$BJ101:$BT101,,AH101+1)*AF101-ERP_i)*AE101*Ramure*Pc/MaxiM</f>
        <v>9.5500669082412186E-4</v>
      </c>
      <c r="AE101" s="305">
        <f t="shared" si="40"/>
        <v>0.7</v>
      </c>
      <c r="AF101" s="177">
        <f t="shared" si="41"/>
        <v>2.2182218780051111E-2</v>
      </c>
      <c r="AG101" s="919">
        <f t="shared" si="49"/>
        <v>1</v>
      </c>
      <c r="AH101" s="176">
        <f t="shared" si="42"/>
        <v>7</v>
      </c>
      <c r="AI101" s="225">
        <f t="shared" si="43"/>
        <v>1.0221822187800511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1090">
        <f>IF(t&gt;Tmaj,'2023'!Wh/'2023'!Env_an*'2024'!Env_an,0.001*'[5]mon-tableau'!$B$66)</f>
        <v>27.605330707627235</v>
      </c>
      <c r="C102" s="953"/>
      <c r="D102" s="393">
        <f t="shared" si="25"/>
        <v>28.92751707117937</v>
      </c>
      <c r="E102" s="385">
        <f t="shared" si="47"/>
        <v>30.372013979060803</v>
      </c>
      <c r="F102" s="385">
        <f t="shared" si="26"/>
        <v>30.382453012492316</v>
      </c>
      <c r="G102" s="110">
        <f t="shared" si="48"/>
        <v>0.55794284326224108</v>
      </c>
      <c r="H102" s="412" t="b">
        <f>Wh_hp&gt;='2023'!Maxi_hp</f>
        <v>0</v>
      </c>
      <c r="I102" s="390">
        <f>IF(H102,Wh_hp,'2023'!Maxi_hp)</f>
        <v>54.934926813744624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4.5706873503825074E-2</v>
      </c>
      <c r="M102" s="957"/>
      <c r="N102" s="957"/>
      <c r="O102" s="48">
        <f>IF(t&lt;Tnet,'2023'!Resal+('2023'!Salim-'2023'!Resal)*(1-EXP(('2023'!Tnet-t)/('2023'!Tau_j))),Resal+(Salim-Resal)*(1-EXP((Tnet-t)/(Tau_j))))*Salcycl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9.3123611527624374E-4</v>
      </c>
      <c r="Q102" s="305">
        <f t="shared" si="28"/>
        <v>0.7</v>
      </c>
      <c r="R102" s="177">
        <f t="shared" si="29"/>
        <v>2.3095001064437515E-2</v>
      </c>
      <c r="S102" s="919">
        <f t="shared" si="30"/>
        <v>1</v>
      </c>
      <c r="T102" s="176">
        <f t="shared" si="31"/>
        <v>7</v>
      </c>
      <c r="U102" s="251">
        <f t="shared" si="32"/>
        <v>1.0230950010644375</v>
      </c>
      <c r="V102" s="383">
        <f t="shared" si="33"/>
        <v>49.447901757140762</v>
      </c>
      <c r="W102" s="402">
        <f t="shared" si="34"/>
        <v>27.605330707627235</v>
      </c>
      <c r="X102" s="157">
        <f t="shared" si="35"/>
        <v>45379</v>
      </c>
      <c r="Y102" s="385">
        <f t="shared" si="36"/>
        <v>25.492354430963641</v>
      </c>
      <c r="Z102" s="385">
        <f t="shared" si="37"/>
        <v>26.713337572243134</v>
      </c>
      <c r="AA102" s="386">
        <f t="shared" si="38"/>
        <v>30.372013979060803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0.12046209412849758</v>
      </c>
      <c r="AD102" s="231">
        <f>(INDEX(Models!$BJ102:$BT102,,AH102)*(1-AF102)+INDEX(Models!$BJ102:$BT102,,AH102+1)*AF102-ERP_i)*AE102*Ramure*Pc/MaxiM</f>
        <v>9.3123611527624374E-4</v>
      </c>
      <c r="AE102" s="305">
        <f t="shared" si="40"/>
        <v>0.7</v>
      </c>
      <c r="AF102" s="177">
        <f t="shared" si="41"/>
        <v>2.3095001064437515E-2</v>
      </c>
      <c r="AG102" s="919">
        <f t="shared" si="49"/>
        <v>1</v>
      </c>
      <c r="AH102" s="176">
        <f t="shared" si="42"/>
        <v>7</v>
      </c>
      <c r="AI102" s="225">
        <f t="shared" si="43"/>
        <v>1.0230950010644375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1090">
        <f>IF(t&gt;Tmaj,'2023'!Wh/'2023'!Env_an*'2024'!Env_an,0.001*'[5]mon-tableau'!$B$67)</f>
        <v>7.2060113929297058</v>
      </c>
      <c r="C103" s="953"/>
      <c r="D103" s="393">
        <f t="shared" si="25"/>
        <v>7.5513162847440851</v>
      </c>
      <c r="E103" s="385">
        <f t="shared" si="47"/>
        <v>7.929260852771562</v>
      </c>
      <c r="F103" s="385">
        <f t="shared" si="26"/>
        <v>7.929260852771562</v>
      </c>
      <c r="G103" s="110">
        <f t="shared" si="48"/>
        <v>0.14497893815812166</v>
      </c>
      <c r="H103" s="412" t="b">
        <f>Wh_hp&gt;='2023'!Maxi_hp</f>
        <v>0</v>
      </c>
      <c r="I103" s="390">
        <f>IF(H103,Wh_hp,'2023'!Maxi_hp)</f>
        <v>56.1503147173473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4.5727774972424085E-2</v>
      </c>
      <c r="M103" s="957"/>
      <c r="N103" s="957"/>
      <c r="O103" s="48">
        <f>IF(t&lt;Tnet,'2023'!Resal+('2023'!Salim-'2023'!Resal)*(1-EXP(('2023'!Tnet-t)/('2023'!Tau_j))),Resal+(Salim-Resal)*(1-EXP((Tnet-t)/(Tau_j))))*Salcycl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9.0844781803676165E-4</v>
      </c>
      <c r="Q103" s="305">
        <f t="shared" si="28"/>
        <v>0.7</v>
      </c>
      <c r="R103" s="177">
        <f t="shared" si="29"/>
        <v>2.4042375416055695E-2</v>
      </c>
      <c r="S103" s="919">
        <f t="shared" si="30"/>
        <v>1</v>
      </c>
      <c r="T103" s="176">
        <f t="shared" si="31"/>
        <v>7</v>
      </c>
      <c r="U103" s="251">
        <f t="shared" si="32"/>
        <v>1.0240423754160557</v>
      </c>
      <c r="V103" s="383">
        <f t="shared" si="33"/>
        <v>49.658696629098877</v>
      </c>
      <c r="W103" s="402">
        <f t="shared" si="34"/>
        <v>7.2060113929297058</v>
      </c>
      <c r="X103" s="157">
        <f t="shared" si="35"/>
        <v>45380</v>
      </c>
      <c r="Y103" s="385">
        <f t="shared" si="36"/>
        <v>6.6549102493620902</v>
      </c>
      <c r="Z103" s="385">
        <f t="shared" si="37"/>
        <v>6.9738069230399962</v>
      </c>
      <c r="AA103" s="386">
        <f t="shared" si="38"/>
        <v>7.929260852771562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0.12049722508468121</v>
      </c>
      <c r="AD103" s="231">
        <f>(INDEX(Models!$BJ103:$BT103,,AH103)*(1-AF103)+INDEX(Models!$BJ103:$BT103,,AH103+1)*AF103-ERP_i)*AE103*Ramure*Pc/MaxiM</f>
        <v>9.0844781803676165E-4</v>
      </c>
      <c r="AE103" s="305">
        <f t="shared" si="40"/>
        <v>0.7</v>
      </c>
      <c r="AF103" s="177">
        <f t="shared" si="41"/>
        <v>2.4042375416055695E-2</v>
      </c>
      <c r="AG103" s="919">
        <f t="shared" si="49"/>
        <v>1</v>
      </c>
      <c r="AH103" s="176">
        <f t="shared" si="42"/>
        <v>7</v>
      </c>
      <c r="AI103" s="225">
        <f t="shared" si="43"/>
        <v>1.0240423754160557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1090">
        <f>IF(t&gt;Tmaj,'2023'!Wh/'2023'!Env_an*'2024'!Env_an,0.001*'[5]mon-tableau'!$B$68)</f>
        <v>21.450022340993566</v>
      </c>
      <c r="C104" s="953"/>
      <c r="D104" s="393">
        <f t="shared" si="25"/>
        <v>22.47837839061415</v>
      </c>
      <c r="E104" s="385">
        <f t="shared" si="47"/>
        <v>23.60602124271761</v>
      </c>
      <c r="F104" s="385">
        <f t="shared" si="26"/>
        <v>23.609914390589779</v>
      </c>
      <c r="G104" s="110">
        <f t="shared" si="48"/>
        <v>0.42987459024378055</v>
      </c>
      <c r="H104" s="412" t="b">
        <f>Wh_hp&gt;='2023'!Maxi_hp</f>
        <v>0</v>
      </c>
      <c r="I104" s="390">
        <f>IF(H104,Wh_hp,'2023'!Maxi_hp)</f>
        <v>49.506417533337903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4.5748675983227294E-2</v>
      </c>
      <c r="M104" s="957"/>
      <c r="N104" s="957"/>
      <c r="O104" s="48">
        <f>IF(t&lt;Tnet,'2023'!Resal+('2023'!Salim-'2023'!Resal)*(1-EXP(('2023'!Tnet-t)/('2023'!Tau_j))),Resal+(Salim-Resal)*(1-EXP((Tnet-t)/(Tau_j))))*Salcycl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8.8663153361494729E-4</v>
      </c>
      <c r="Q104" s="305">
        <f t="shared" si="28"/>
        <v>0.7</v>
      </c>
      <c r="R104" s="177">
        <f t="shared" si="29"/>
        <v>2.5025499899720138E-2</v>
      </c>
      <c r="S104" s="919">
        <f t="shared" si="30"/>
        <v>1</v>
      </c>
      <c r="T104" s="176">
        <f t="shared" si="31"/>
        <v>7</v>
      </c>
      <c r="U104" s="251">
        <f t="shared" si="32"/>
        <v>1.0250254998997201</v>
      </c>
      <c r="V104" s="383">
        <f t="shared" si="33"/>
        <v>49.862306359458586</v>
      </c>
      <c r="W104" s="402">
        <f t="shared" si="34"/>
        <v>21.450022340993566</v>
      </c>
      <c r="X104" s="157">
        <f t="shared" si="35"/>
        <v>45381</v>
      </c>
      <c r="Y104" s="385">
        <f t="shared" si="36"/>
        <v>19.810932332928374</v>
      </c>
      <c r="Z104" s="385">
        <f t="shared" si="37"/>
        <v>20.760707199794425</v>
      </c>
      <c r="AA104" s="386">
        <f t="shared" si="38"/>
        <v>23.60602124271761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0.12053340178201165</v>
      </c>
      <c r="AD104" s="231">
        <f>(INDEX(Models!$BJ104:$BT104,,AH104)*(1-AF104)+INDEX(Models!$BJ104:$BT104,,AH104+1)*AF104-ERP_i)*AE104*Ramure*Pc/MaxiM</f>
        <v>8.8663153361494729E-4</v>
      </c>
      <c r="AE104" s="305">
        <f t="shared" si="40"/>
        <v>0.7</v>
      </c>
      <c r="AF104" s="177">
        <f t="shared" si="41"/>
        <v>2.5025499899720138E-2</v>
      </c>
      <c r="AG104" s="919">
        <f t="shared" si="49"/>
        <v>1</v>
      </c>
      <c r="AH104" s="176">
        <f t="shared" si="42"/>
        <v>7</v>
      </c>
      <c r="AI104" s="225">
        <f t="shared" si="43"/>
        <v>1.0250254998997201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1090">
        <f>IF(t&gt;Tmaj,'2023'!Wh/'2023'!Env_an*'2024'!Env_an,0.001*'[6]mon-tableau'!$B$37)</f>
        <v>31.951572158829055</v>
      </c>
      <c r="C105" s="953"/>
      <c r="D105" s="393">
        <f t="shared" si="25"/>
        <v>33.484126446994047</v>
      </c>
      <c r="E105" s="385">
        <f t="shared" si="47"/>
        <v>35.167761855100821</v>
      </c>
      <c r="F105" s="385">
        <f t="shared" si="26"/>
        <v>35.182482404191411</v>
      </c>
      <c r="G105" s="110">
        <f t="shared" si="48"/>
        <v>0.63800474572105204</v>
      </c>
      <c r="H105" s="412" t="b">
        <f>Wh_hp&gt;='2023'!Maxi_hp</f>
        <v>0</v>
      </c>
      <c r="I105" s="390">
        <f>IF(H105,Wh_hp,'2023'!Maxi_hp)</f>
        <v>49.445909039564896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4.5769576536244805E-2</v>
      </c>
      <c r="M105" s="957"/>
      <c r="N105" s="957"/>
      <c r="O105" s="48">
        <f>IF(t&lt;Tnet,'2023'!Resal+('2023'!Salim-'2023'!Resal)*(1-EXP(('2023'!Tnet-t)/('2023'!Tau_j))),Resal+(Salim-Resal)*(1-EXP((Tnet-t)/(Tau_j))))*Salcycl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8.6577666107009522E-4</v>
      </c>
      <c r="Q105" s="305">
        <f t="shared" si="28"/>
        <v>0.7</v>
      </c>
      <c r="R105" s="177">
        <f t="shared" si="29"/>
        <v>2.60455589690054E-2</v>
      </c>
      <c r="S105" s="919">
        <f t="shared" si="30"/>
        <v>1</v>
      </c>
      <c r="T105" s="176">
        <f t="shared" si="31"/>
        <v>7</v>
      </c>
      <c r="U105" s="251">
        <f t="shared" si="32"/>
        <v>1.0260455589690054</v>
      </c>
      <c r="V105" s="383">
        <f t="shared" si="33"/>
        <v>50.058047659212882</v>
      </c>
      <c r="W105" s="402">
        <f t="shared" si="34"/>
        <v>31.951572158829055</v>
      </c>
      <c r="X105" s="157">
        <f t="shared" si="35"/>
        <v>45382</v>
      </c>
      <c r="Y105" s="385">
        <f t="shared" si="36"/>
        <v>29.512019921464532</v>
      </c>
      <c r="Z105" s="385">
        <f t="shared" si="37"/>
        <v>30.927561305726378</v>
      </c>
      <c r="AA105" s="386">
        <f t="shared" si="38"/>
        <v>35.167761855100821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0.12057066829686321</v>
      </c>
      <c r="AD105" s="231">
        <f>(INDEX(Models!$BJ105:$BT105,,AH105)*(1-AF105)+INDEX(Models!$BJ105:$BT105,,AH105+1)*AF105-ERP_i)*AE105*Ramure*Pc/MaxiM</f>
        <v>8.6577666107009522E-4</v>
      </c>
      <c r="AE105" s="305">
        <f t="shared" si="40"/>
        <v>0.7</v>
      </c>
      <c r="AF105" s="177">
        <f t="shared" si="41"/>
        <v>2.60455589690054E-2</v>
      </c>
      <c r="AG105" s="919">
        <f t="shared" si="49"/>
        <v>1</v>
      </c>
      <c r="AH105" s="176">
        <f t="shared" si="42"/>
        <v>7</v>
      </c>
      <c r="AI105" s="225">
        <f t="shared" si="43"/>
        <v>1.0260455589690054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1090">
        <f>IF(t&gt;Tmaj,'2023'!Wh/'2023'!Env_an*'2024'!Env_an,0.001*'[6]mon-tableau'!$B$38)</f>
        <v>19.599011245957215</v>
      </c>
      <c r="C106" s="953"/>
      <c r="D106" s="393">
        <f t="shared" si="25"/>
        <v>20.539525927984396</v>
      </c>
      <c r="E106" s="385">
        <f t="shared" si="47"/>
        <v>21.574676411151842</v>
      </c>
      <c r="F106" s="385">
        <f t="shared" si="26"/>
        <v>21.577024769022522</v>
      </c>
      <c r="G106" s="110">
        <f t="shared" si="48"/>
        <v>0.38977951782846049</v>
      </c>
      <c r="H106" s="412" t="b">
        <f>Wh_hp&gt;='2023'!Maxi_hp</f>
        <v>0</v>
      </c>
      <c r="I106" s="390">
        <f>IF(H106,Wh_hp,'2023'!Maxi_hp)</f>
        <v>44.480418756560418</v>
      </c>
      <c r="J106" s="85">
        <f>IF(H106,An,'2023'!An_max)</f>
        <v>2020</v>
      </c>
      <c r="K106" s="197">
        <f t="shared" si="27"/>
        <v>45383</v>
      </c>
      <c r="L106" s="147">
        <f>IF(t&lt;Tvie,1-EXP((T0-t)*PertePVj)+'2023'!Pspv,1-EXP((T0-t)*PertePVj)+Pspv)</f>
        <v>4.5790476631486499E-2</v>
      </c>
      <c r="M106" s="957"/>
      <c r="N106" s="957"/>
      <c r="O106" s="48">
        <f>IF(t&lt;Tnet,'2023'!Resal+('2023'!Salim-'2023'!Resal)*(1-EXP(('2023'!Tnet-t)/('2023'!Tau_j))),Resal+(Salim-Resal)*(1-EXP((Tnet-t)/(Tau_j))))*Salcycl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8.4587240514548943E-4</v>
      </c>
      <c r="Q106" s="305">
        <f t="shared" si="28"/>
        <v>0.7</v>
      </c>
      <c r="R106" s="177">
        <f t="shared" si="29"/>
        <v>2.7103763018444749E-2</v>
      </c>
      <c r="S106" s="919">
        <f t="shared" si="30"/>
        <v>1</v>
      </c>
      <c r="T106" s="176">
        <f t="shared" si="31"/>
        <v>7</v>
      </c>
      <c r="U106" s="251">
        <f t="shared" si="32"/>
        <v>1.0271037630184447</v>
      </c>
      <c r="V106" s="383">
        <f t="shared" si="33"/>
        <v>50.2452376119587</v>
      </c>
      <c r="W106" s="402">
        <f t="shared" si="34"/>
        <v>19.599011245957215</v>
      </c>
      <c r="X106" s="157">
        <f t="shared" si="35"/>
        <v>45383</v>
      </c>
      <c r="Y106" s="385">
        <f t="shared" si="36"/>
        <v>18.103811556181512</v>
      </c>
      <c r="Z106" s="385">
        <f t="shared" si="37"/>
        <v>18.972574799161652</v>
      </c>
      <c r="AA106" s="386">
        <f t="shared" si="38"/>
        <v>21.574676411151842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0.1206090678905931</v>
      </c>
      <c r="AD106" s="231">
        <f>(INDEX(Models!$BJ106:$BT106,,AH106)*(1-AF106)+INDEX(Models!$BJ106:$BT106,,AH106+1)*AF106-ERP_i)*AE106*Ramure*Pc/MaxiM</f>
        <v>8.4587240514548943E-4</v>
      </c>
      <c r="AE106" s="305">
        <f t="shared" si="40"/>
        <v>0.7</v>
      </c>
      <c r="AF106" s="177">
        <f t="shared" si="41"/>
        <v>2.7103763018444749E-2</v>
      </c>
      <c r="AG106" s="919">
        <f t="shared" si="49"/>
        <v>1</v>
      </c>
      <c r="AH106" s="176">
        <f t="shared" si="42"/>
        <v>7</v>
      </c>
      <c r="AI106" s="225">
        <f t="shared" si="43"/>
        <v>1.0271037630184447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1090">
        <f>IF(t&gt;Tmaj,'2023'!Wh/'2023'!Env_an*'2024'!Env_an,0.001*'[6]mon-tableau'!$B$39)</f>
        <v>25.029532297876852</v>
      </c>
      <c r="C107" s="953"/>
      <c r="D107" s="393">
        <f t="shared" si="25"/>
        <v>26.231220615487093</v>
      </c>
      <c r="E107" s="385">
        <f t="shared" si="47"/>
        <v>27.556285834605912</v>
      </c>
      <c r="F107" s="385">
        <f t="shared" si="26"/>
        <v>27.562679920938816</v>
      </c>
      <c r="G107" s="110">
        <f t="shared" si="48"/>
        <v>0.49608747686866372</v>
      </c>
      <c r="H107" s="412" t="b">
        <f>Wh_hp&gt;='2023'!Maxi_hp</f>
        <v>0</v>
      </c>
      <c r="I107" s="390">
        <f>IF(H107,Wh_hp,'2023'!Maxi_hp)</f>
        <v>52.947397962650761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4.5811376268962367E-2</v>
      </c>
      <c r="M107" s="957"/>
      <c r="N107" s="957"/>
      <c r="O107" s="48">
        <f>IF(t&lt;Tnet,'2023'!Resal+('2023'!Salim-'2023'!Resal)*(1-EXP(('2023'!Tnet-t)/('2023'!Tau_j))),Resal+(Salim-Resal)*(1-EXP((Tnet-t)/(Tau_j))))*Salcycl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8.2689722565322196E-4</v>
      </c>
      <c r="Q107" s="305">
        <f t="shared" si="28"/>
        <v>0.7</v>
      </c>
      <c r="R107" s="177">
        <f t="shared" si="29"/>
        <v>2.8201347823258338E-2</v>
      </c>
      <c r="S107" s="919">
        <f t="shared" si="30"/>
        <v>1</v>
      </c>
      <c r="T107" s="176">
        <f t="shared" si="31"/>
        <v>7</v>
      </c>
      <c r="U107" s="251">
        <f t="shared" si="32"/>
        <v>1.0282013478232583</v>
      </c>
      <c r="V107" s="383">
        <f t="shared" si="33"/>
        <v>50.423845785750842</v>
      </c>
      <c r="W107" s="402">
        <f t="shared" si="34"/>
        <v>25.029532297876852</v>
      </c>
      <c r="X107" s="157">
        <f t="shared" si="35"/>
        <v>45384</v>
      </c>
      <c r="Y107" s="385">
        <f t="shared" si="36"/>
        <v>23.121571772659451</v>
      </c>
      <c r="Z107" s="385">
        <f t="shared" si="37"/>
        <v>24.231657344907578</v>
      </c>
      <c r="AA107" s="386">
        <f t="shared" si="38"/>
        <v>27.556285834605912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0.12064864291410335</v>
      </c>
      <c r="AD107" s="231">
        <f>(INDEX(Models!$BJ107:$BT107,,AH107)*(1-AF107)+INDEX(Models!$BJ107:$BT107,,AH107+1)*AF107-ERP_i)*AE107*Ramure*Pc/MaxiM</f>
        <v>8.2689722565322196E-4</v>
      </c>
      <c r="AE107" s="305">
        <f t="shared" si="40"/>
        <v>0.7</v>
      </c>
      <c r="AF107" s="177">
        <f t="shared" si="41"/>
        <v>2.8201347823258338E-2</v>
      </c>
      <c r="AG107" s="919">
        <f t="shared" si="49"/>
        <v>1</v>
      </c>
      <c r="AH107" s="176">
        <f t="shared" si="42"/>
        <v>7</v>
      </c>
      <c r="AI107" s="225">
        <f t="shared" si="43"/>
        <v>1.0282013478232583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1090">
        <f>IF(t&gt;Tmaj,'2023'!Wh/'2023'!Env_an*'2024'!Env_an,0.001*'[6]mon-tableau'!$B$40)</f>
        <v>43.893911048533703</v>
      </c>
      <c r="C108" s="953"/>
      <c r="D108" s="393">
        <f t="shared" si="25"/>
        <v>46.002301187848431</v>
      </c>
      <c r="E108" s="385">
        <f t="shared" si="47"/>
        <v>48.331496163368236</v>
      </c>
      <c r="F108" s="385">
        <f t="shared" si="26"/>
        <v>48.363258034679852</v>
      </c>
      <c r="G108" s="110">
        <f t="shared" si="48"/>
        <v>0.86742874061438124</v>
      </c>
      <c r="H108" s="412" t="b">
        <f>Wh_hp&gt;='2023'!Maxi_hp</f>
        <v>0</v>
      </c>
      <c r="I108" s="390">
        <f>IF(H108,Wh_hp,'2023'!Maxi_hp)</f>
        <v>55.741875297523443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4.5832275448682624E-2</v>
      </c>
      <c r="M108" s="957"/>
      <c r="N108" s="957"/>
      <c r="O108" s="48">
        <f>IF(t&lt;Tnet,'2023'!Resal+('2023'!Salim-'2023'!Resal)*(1-EXP(('2023'!Tnet-t)/('2023'!Tau_j))),Resal+(Salim-Resal)*(1-EXP((Tnet-t)/(Tau_j))))*Salcycl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8.0998211754013995E-4</v>
      </c>
      <c r="Q108" s="305">
        <f t="shared" si="28"/>
        <v>0.7</v>
      </c>
      <c r="R108" s="177">
        <f t="shared" si="29"/>
        <v>2.9339573858110812E-2</v>
      </c>
      <c r="S108" s="919">
        <f t="shared" si="30"/>
        <v>1</v>
      </c>
      <c r="T108" s="176">
        <f t="shared" si="31"/>
        <v>7</v>
      </c>
      <c r="U108" s="251">
        <f t="shared" si="32"/>
        <v>1.0293395738581108</v>
      </c>
      <c r="V108" s="383">
        <f t="shared" si="33"/>
        <v>50.594565273633833</v>
      </c>
      <c r="W108" s="402">
        <f t="shared" si="34"/>
        <v>43.893911048533703</v>
      </c>
      <c r="X108" s="157">
        <f t="shared" si="35"/>
        <v>45385</v>
      </c>
      <c r="Y108" s="385">
        <f t="shared" si="36"/>
        <v>40.550597056893018</v>
      </c>
      <c r="Z108" s="385">
        <f t="shared" si="37"/>
        <v>42.498395212394456</v>
      </c>
      <c r="AA108" s="386">
        <f t="shared" si="38"/>
        <v>48.331496163368236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0.12068943471679336</v>
      </c>
      <c r="AD108" s="231">
        <f>(INDEX(Models!$BJ108:$BT108,,AH108)*(1-AF108)+INDEX(Models!$BJ108:$BT108,,AH108+1)*AF108-ERP_i)*AE108*Ramure*Pc/MaxiM</f>
        <v>8.0998211754013995E-4</v>
      </c>
      <c r="AE108" s="305">
        <f t="shared" si="40"/>
        <v>0.7</v>
      </c>
      <c r="AF108" s="177">
        <f t="shared" si="41"/>
        <v>2.9339573858110812E-2</v>
      </c>
      <c r="AG108" s="919">
        <f t="shared" si="49"/>
        <v>1</v>
      </c>
      <c r="AH108" s="176">
        <f t="shared" si="42"/>
        <v>7</v>
      </c>
      <c r="AI108" s="225">
        <f t="shared" si="43"/>
        <v>1.0293395738581108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1090">
        <f>IF(t&gt;Tmaj,'2023'!Wh/'2023'!Env_an*'2024'!Env_an,0.001*'[6]mon-tableau'!$B$41)</f>
        <v>50.583437431984073</v>
      </c>
      <c r="C109" s="953"/>
      <c r="D109" s="393">
        <f t="shared" si="25"/>
        <v>53.014311909508308</v>
      </c>
      <c r="E109" s="385">
        <f t="shared" si="47"/>
        <v>55.704786933789222</v>
      </c>
      <c r="F109" s="385">
        <f t="shared" si="26"/>
        <v>55.748885923652665</v>
      </c>
      <c r="G109" s="110">
        <f t="shared" si="48"/>
        <v>0.99655905551085699</v>
      </c>
      <c r="H109" s="412" t="b">
        <f>Wh_hp&gt;='2023'!Maxi_hp</f>
        <v>0</v>
      </c>
      <c r="I109" s="390">
        <f>IF(H109,Wh_hp,'2023'!Maxi_hp)</f>
        <v>58.256884739736201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4.5853174170657263E-2</v>
      </c>
      <c r="M109" s="957"/>
      <c r="N109" s="957"/>
      <c r="O109" s="48">
        <f>IF(t&lt;Tnet,'2023'!Resal+('2023'!Salim-'2023'!Resal)*(1-EXP(('2023'!Tnet-t)/('2023'!Tau_j))),Resal+(Salim-Resal)*(1-EXP((Tnet-t)/(Tau_j))))*Salcycl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7.9493225459288273E-4</v>
      </c>
      <c r="Q109" s="305">
        <f t="shared" si="28"/>
        <v>0.7</v>
      </c>
      <c r="R109" s="177">
        <f t="shared" si="29"/>
        <v>3.0519725486129579E-2</v>
      </c>
      <c r="S109" s="919">
        <f t="shared" si="30"/>
        <v>1</v>
      </c>
      <c r="T109" s="176">
        <f t="shared" si="31"/>
        <v>7</v>
      </c>
      <c r="U109" s="251">
        <f t="shared" si="32"/>
        <v>1.0305197254861296</v>
      </c>
      <c r="V109" s="383">
        <f t="shared" si="33"/>
        <v>50.757894938491688</v>
      </c>
      <c r="W109" s="402">
        <f t="shared" si="34"/>
        <v>50.583437431984073</v>
      </c>
      <c r="X109" s="157">
        <f t="shared" si="35"/>
        <v>45386</v>
      </c>
      <c r="Y109" s="385">
        <f t="shared" si="36"/>
        <v>46.733601409699638</v>
      </c>
      <c r="Z109" s="385">
        <f t="shared" si="37"/>
        <v>48.979465365908304</v>
      </c>
      <c r="AA109" s="386">
        <f t="shared" si="38"/>
        <v>55.704786933789222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0.12073148355947662</v>
      </c>
      <c r="AD109" s="231">
        <f>(INDEX(Models!$BJ109:$BT109,,AH109)*(1-AF109)+INDEX(Models!$BJ109:$BT109,,AH109+1)*AF109-ERP_i)*AE109*Ramure*Pc/MaxiM</f>
        <v>7.9493225459288273E-4</v>
      </c>
      <c r="AE109" s="305">
        <f t="shared" si="40"/>
        <v>0.7</v>
      </c>
      <c r="AF109" s="177">
        <f t="shared" si="41"/>
        <v>3.0519725486129579E-2</v>
      </c>
      <c r="AG109" s="919">
        <f t="shared" si="49"/>
        <v>1</v>
      </c>
      <c r="AH109" s="176">
        <f t="shared" si="42"/>
        <v>7</v>
      </c>
      <c r="AI109" s="225">
        <f t="shared" si="43"/>
        <v>1.0305197254861296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1090">
        <f>IF(t&gt;Tmaj,'2023'!Wh/'2023'!Env_an*'2024'!Env_an,0.001*'[6]mon-tableau'!$B$42)</f>
        <v>11.879761279867964</v>
      </c>
      <c r="C110" s="953"/>
      <c r="D110" s="393">
        <f t="shared" si="25"/>
        <v>12.450936439998754</v>
      </c>
      <c r="E110" s="385">
        <f t="shared" si="47"/>
        <v>13.084294897535152</v>
      </c>
      <c r="F110" s="385">
        <f t="shared" si="26"/>
        <v>13.084294897535152</v>
      </c>
      <c r="G110" s="110">
        <f t="shared" si="48"/>
        <v>0.23314606651149963</v>
      </c>
      <c r="H110" s="412" t="b">
        <f>Wh_hp&gt;='2023'!Maxi_hp</f>
        <v>0</v>
      </c>
      <c r="I110" s="390">
        <f>IF(H110,Wh_hp,'2023'!Maxi_hp)</f>
        <v>57.685469912803519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4.5874072434896163E-2</v>
      </c>
      <c r="M110" s="957"/>
      <c r="N110" s="957"/>
      <c r="O110" s="48">
        <f>IF(t&lt;Tnet,'2023'!Resal+('2023'!Salim-'2023'!Resal)*(1-EXP(('2023'!Tnet-t)/('2023'!Tau_j))),Resal+(Salim-Resal)*(1-EXP((Tnet-t)/(Tau_j))))*Salcycl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7.8172334869209366E-4</v>
      </c>
      <c r="Q110" s="305">
        <f t="shared" si="28"/>
        <v>0.7</v>
      </c>
      <c r="R110" s="177">
        <f t="shared" si="29"/>
        <v>3.174311000916985E-2</v>
      </c>
      <c r="S110" s="919">
        <f t="shared" si="30"/>
        <v>1</v>
      </c>
      <c r="T110" s="176">
        <f t="shared" si="31"/>
        <v>7</v>
      </c>
      <c r="U110" s="251">
        <f t="shared" si="32"/>
        <v>1.0317431100091699</v>
      </c>
      <c r="V110" s="383">
        <f t="shared" si="33"/>
        <v>50.914324958225734</v>
      </c>
      <c r="W110" s="402">
        <f t="shared" si="34"/>
        <v>11.879761279867964</v>
      </c>
      <c r="X110" s="157">
        <f t="shared" si="35"/>
        <v>45387</v>
      </c>
      <c r="Y110" s="385">
        <f t="shared" si="36"/>
        <v>10.976304195222257</v>
      </c>
      <c r="Z110" s="385">
        <f t="shared" si="37"/>
        <v>11.504041424839384</v>
      </c>
      <c r="AA110" s="386">
        <f t="shared" si="38"/>
        <v>13.084294897535152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0.1207748285307647</v>
      </c>
      <c r="AD110" s="231">
        <f>(INDEX(Models!$BJ110:$BT110,,AH110)*(1-AF110)+INDEX(Models!$BJ110:$BT110,,AH110+1)*AF110-ERP_i)*AE110*Ramure*Pc/MaxiM</f>
        <v>7.8172334869209366E-4</v>
      </c>
      <c r="AE110" s="305">
        <f t="shared" si="40"/>
        <v>0.7</v>
      </c>
      <c r="AF110" s="177">
        <f t="shared" si="41"/>
        <v>3.174311000916985E-2</v>
      </c>
      <c r="AG110" s="919">
        <f t="shared" si="49"/>
        <v>1</v>
      </c>
      <c r="AH110" s="176">
        <f t="shared" si="42"/>
        <v>7</v>
      </c>
      <c r="AI110" s="225">
        <f t="shared" si="43"/>
        <v>1.0317431100091699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1090">
        <f>IF(t&gt;Tmaj,'2023'!Wh/'2023'!Env_an*'2024'!Env_an,0.001*'[6]mon-tableau'!$B$43)</f>
        <v>39.130808846085671</v>
      </c>
      <c r="C111" s="953"/>
      <c r="D111" s="393">
        <f t="shared" si="25"/>
        <v>41.013104035293289</v>
      </c>
      <c r="E111" s="385">
        <f t="shared" si="47"/>
        <v>43.104249513419767</v>
      </c>
      <c r="F111" s="385">
        <f t="shared" si="26"/>
        <v>43.126380122363095</v>
      </c>
      <c r="G111" s="110">
        <f t="shared" si="48"/>
        <v>0.76610676099033526</v>
      </c>
      <c r="H111" s="412" t="b">
        <f>Wh_hp&gt;='2023'!Maxi_hp</f>
        <v>0</v>
      </c>
      <c r="I111" s="390">
        <f>IF(H111,Wh_hp,'2023'!Maxi_hp)</f>
        <v>56.268394657199678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4.5894970241409538E-2</v>
      </c>
      <c r="M111" s="957"/>
      <c r="N111" s="957"/>
      <c r="O111" s="48">
        <f>IF(t&lt;Tnet,'2023'!Resal+('2023'!Salim-'2023'!Resal)*(1-EXP(('2023'!Tnet-t)/('2023'!Tau_j))),Resal+(Salim-Resal)*(1-EXP((Tnet-t)/(Tau_j))))*Salcycl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7.7033443932215376E-4</v>
      </c>
      <c r="Q111" s="305">
        <f t="shared" si="28"/>
        <v>0.7</v>
      </c>
      <c r="R111" s="177">
        <f t="shared" si="29"/>
        <v>3.3011056570118935E-2</v>
      </c>
      <c r="S111" s="919">
        <f t="shared" si="30"/>
        <v>1</v>
      </c>
      <c r="T111" s="176">
        <f t="shared" si="31"/>
        <v>7</v>
      </c>
      <c r="U111" s="251">
        <f t="shared" si="32"/>
        <v>1.0330110565701189</v>
      </c>
      <c r="V111" s="383">
        <f t="shared" si="33"/>
        <v>51.064345225313751</v>
      </c>
      <c r="W111" s="402">
        <f t="shared" si="34"/>
        <v>39.130808846085671</v>
      </c>
      <c r="X111" s="157">
        <f t="shared" si="35"/>
        <v>45388</v>
      </c>
      <c r="Y111" s="385">
        <f t="shared" si="36"/>
        <v>36.157160464248221</v>
      </c>
      <c r="Z111" s="385">
        <f t="shared" si="37"/>
        <v>37.896415317501031</v>
      </c>
      <c r="AA111" s="386">
        <f t="shared" si="38"/>
        <v>43.104249513419767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0.12081950746636624</v>
      </c>
      <c r="AD111" s="231">
        <f>(INDEX(Models!$BJ111:$BT111,,AH111)*(1-AF111)+INDEX(Models!$BJ111:$BT111,,AH111+1)*AF111-ERP_i)*AE111*Ramure*Pc/MaxiM</f>
        <v>7.7033443932215376E-4</v>
      </c>
      <c r="AE111" s="305">
        <f t="shared" si="40"/>
        <v>0.7</v>
      </c>
      <c r="AF111" s="177">
        <f t="shared" si="41"/>
        <v>3.3011056570118935E-2</v>
      </c>
      <c r="AG111" s="919">
        <f t="shared" si="49"/>
        <v>1</v>
      </c>
      <c r="AH111" s="176">
        <f t="shared" si="42"/>
        <v>7</v>
      </c>
      <c r="AI111" s="225">
        <f t="shared" si="43"/>
        <v>1.0330110565701189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1090">
        <f>IF(t&gt;Tmaj,'2023'!Wh/'2023'!Env_an*'2024'!Env_an,0.001*'[6]mon-tableau'!$B$44)</f>
        <v>31.749464856448853</v>
      </c>
      <c r="C112" s="953"/>
      <c r="D112" s="393">
        <f t="shared" si="25"/>
        <v>33.277426778136594</v>
      </c>
      <c r="E112" s="385">
        <f t="shared" si="47"/>
        <v>34.978127391212887</v>
      </c>
      <c r="F112" s="385">
        <f t="shared" si="26"/>
        <v>34.990296149584921</v>
      </c>
      <c r="G112" s="110">
        <f t="shared" si="48"/>
        <v>0.61974833301493315</v>
      </c>
      <c r="H112" s="412" t="b">
        <f>Wh_hp&gt;='2023'!Maxi_hp</f>
        <v>0</v>
      </c>
      <c r="I112" s="390">
        <f>IF(H112,Wh_hp,'2023'!Maxi_hp)</f>
        <v>56.211155978326396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4.5915867590207271E-2</v>
      </c>
      <c r="M112" s="957"/>
      <c r="N112" s="957"/>
      <c r="O112" s="48">
        <f>IF(t&lt;Tnet,'2023'!Resal+('2023'!Salim-'2023'!Resal)*(1-EXP(('2023'!Tnet-t)/('2023'!Tau_j))),Resal+(Salim-Resal)*(1-EXP((Tnet-t)/(Tau_j))))*Salcycl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7.6074770143158652E-4</v>
      </c>
      <c r="Q112" s="305">
        <f t="shared" si="28"/>
        <v>0.7</v>
      </c>
      <c r="R112" s="177">
        <f t="shared" si="29"/>
        <v>3.432491489786238E-2</v>
      </c>
      <c r="S112" s="919">
        <f t="shared" si="30"/>
        <v>1</v>
      </c>
      <c r="T112" s="176">
        <f t="shared" si="31"/>
        <v>7</v>
      </c>
      <c r="U112" s="251">
        <f t="shared" si="32"/>
        <v>1.0343249148978624</v>
      </c>
      <c r="V112" s="383">
        <f t="shared" si="33"/>
        <v>51.208445346950057</v>
      </c>
      <c r="W112" s="402">
        <f t="shared" si="34"/>
        <v>31.749464856448853</v>
      </c>
      <c r="X112" s="157">
        <f t="shared" si="35"/>
        <v>45389</v>
      </c>
      <c r="Y112" s="385">
        <f t="shared" si="36"/>
        <v>29.338541736367805</v>
      </c>
      <c r="Z112" s="385">
        <f t="shared" si="37"/>
        <v>30.750476545779595</v>
      </c>
      <c r="AA112" s="386">
        <f t="shared" si="38"/>
        <v>34.978127391212887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0.12086555687070182</v>
      </c>
      <c r="AD112" s="231">
        <f>(INDEX(Models!$BJ112:$BT112,,AH112)*(1-AF112)+INDEX(Models!$BJ112:$BT112,,AH112+1)*AF112-ERP_i)*AE112*Ramure*Pc/MaxiM</f>
        <v>7.6074770143158652E-4</v>
      </c>
      <c r="AE112" s="305">
        <f t="shared" si="40"/>
        <v>0.7</v>
      </c>
      <c r="AF112" s="177">
        <f t="shared" si="41"/>
        <v>3.432491489786238E-2</v>
      </c>
      <c r="AG112" s="919">
        <f t="shared" si="49"/>
        <v>1</v>
      </c>
      <c r="AH112" s="176">
        <f t="shared" si="42"/>
        <v>7</v>
      </c>
      <c r="AI112" s="225">
        <f t="shared" si="43"/>
        <v>1.0343249148978624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1090">
        <f>IF(t&gt;Tmaj,'2023'!Wh/'2023'!Env_an*'2024'!Env_an,0.001*'[6]mon-tableau'!$B$45)</f>
        <v>34.651255170893037</v>
      </c>
      <c r="C113" s="953"/>
      <c r="D113" s="393">
        <f t="shared" si="25"/>
        <v>36.319662975016541</v>
      </c>
      <c r="E113" s="385">
        <f t="shared" si="47"/>
        <v>38.180203281642463</v>
      </c>
      <c r="F113" s="385">
        <f t="shared" si="26"/>
        <v>38.195603617821675</v>
      </c>
      <c r="G113" s="110">
        <f t="shared" si="48"/>
        <v>0.67460715547830918</v>
      </c>
      <c r="H113" s="412" t="b">
        <f>Wh_hp&gt;='2023'!Maxi_hp</f>
        <v>0</v>
      </c>
      <c r="I113" s="390">
        <f>IF(H113,Wh_hp,'2023'!Maxi_hp)</f>
        <v>45.992596170964376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4.5936764481299353E-2</v>
      </c>
      <c r="M113" s="957"/>
      <c r="N113" s="957"/>
      <c r="O113" s="48">
        <f>IF(t&lt;Tnet,'2023'!Resal+('2023'!Salim-'2023'!Resal)*(1-EXP(('2023'!Tnet-t)/('2023'!Tau_j))),Resal+(Salim-Resal)*(1-EXP((Tnet-t)/(Tau_j))))*Salcycl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7.5294826373945099E-4</v>
      </c>
      <c r="Q113" s="305">
        <f t="shared" si="28"/>
        <v>0.7</v>
      </c>
      <c r="R113" s="177">
        <f t="shared" si="29"/>
        <v>3.5686053885428448E-2</v>
      </c>
      <c r="S113" s="919">
        <f t="shared" si="30"/>
        <v>1</v>
      </c>
      <c r="T113" s="176">
        <f t="shared" si="31"/>
        <v>7</v>
      </c>
      <c r="U113" s="251">
        <f t="shared" si="32"/>
        <v>1.0356860538854284</v>
      </c>
      <c r="V113" s="383">
        <f t="shared" si="33"/>
        <v>51.347114636711126</v>
      </c>
      <c r="W113" s="402">
        <f t="shared" si="34"/>
        <v>34.651255170893037</v>
      </c>
      <c r="X113" s="157">
        <f t="shared" si="35"/>
        <v>45390</v>
      </c>
      <c r="Y113" s="385">
        <f t="shared" si="36"/>
        <v>32.021911213557161</v>
      </c>
      <c r="Z113" s="385">
        <f t="shared" si="37"/>
        <v>33.56371991018775</v>
      </c>
      <c r="AA113" s="386">
        <f t="shared" si="38"/>
        <v>38.180203281642463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0.12091301184020607</v>
      </c>
      <c r="AD113" s="231">
        <f>(INDEX(Models!$BJ113:$BT113,,AH113)*(1-AF113)+INDEX(Models!$BJ113:$BT113,,AH113+1)*AF113-ERP_i)*AE113*Ramure*Pc/MaxiM</f>
        <v>7.5294826373945099E-4</v>
      </c>
      <c r="AE113" s="305">
        <f t="shared" si="40"/>
        <v>0.7</v>
      </c>
      <c r="AF113" s="177">
        <f t="shared" si="41"/>
        <v>3.5686053885428448E-2</v>
      </c>
      <c r="AG113" s="919">
        <f t="shared" si="49"/>
        <v>1</v>
      </c>
      <c r="AH113" s="176">
        <f t="shared" si="42"/>
        <v>7</v>
      </c>
      <c r="AI113" s="225">
        <f t="shared" si="43"/>
        <v>1.0356860538854284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1090">
        <f>IF(t&gt;Tmaj,'2023'!Wh/'2023'!Env_an*'2024'!Env_an,0.001*'[6]mon-tableau'!$B$46)</f>
        <v>52.972160232284573</v>
      </c>
      <c r="C114" s="953"/>
      <c r="D114" s="393">
        <f t="shared" si="25"/>
        <v>55.523909225110565</v>
      </c>
      <c r="E114" s="385">
        <f t="shared" si="47"/>
        <v>58.374922261724393</v>
      </c>
      <c r="F114" s="385">
        <f t="shared" si="26"/>
        <v>58.418678511810604</v>
      </c>
      <c r="G114" s="110">
        <f t="shared" si="48"/>
        <v>1.0289705588508635</v>
      </c>
      <c r="H114" s="412" t="b">
        <f>Wh_hp&gt;='2023'!Maxi_hp</f>
        <v>1</v>
      </c>
      <c r="I114" s="390">
        <f>IF(H114,Wh_hp,'2023'!Maxi_hp)</f>
        <v>58.418678511810604</v>
      </c>
      <c r="J114" s="85">
        <f>IF(H114,An,'2023'!An_max)</f>
        <v>2024</v>
      </c>
      <c r="K114" s="197">
        <f t="shared" si="27"/>
        <v>45391</v>
      </c>
      <c r="L114" s="147">
        <f>IF(t&lt;Tvie,1-EXP((T0-t)*PertePVj)+'2023'!Pspv,1-EXP((T0-t)*PertePVj)+Pspv)</f>
        <v>4.5957660914695997E-2</v>
      </c>
      <c r="M114" s="957"/>
      <c r="N114" s="957"/>
      <c r="O114" s="48">
        <f>IF(t&lt;Tnet,'2023'!Resal+('2023'!Salim-'2023'!Resal)*(1-EXP(('2023'!Tnet-t)/('2023'!Tau_j))),Resal+(Salim-Resal)*(1-EXP((Tnet-t)/(Tau_j))))*Salcycl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7.490112957171534E-4</v>
      </c>
      <c r="Q114" s="305">
        <f t="shared" si="28"/>
        <v>0.7</v>
      </c>
      <c r="R114" s="177">
        <f t="shared" si="29"/>
        <v>3.7095859991771007E-2</v>
      </c>
      <c r="S114" s="919">
        <f t="shared" si="30"/>
        <v>1</v>
      </c>
      <c r="T114" s="176">
        <f t="shared" si="31"/>
        <v>7</v>
      </c>
      <c r="U114" s="251">
        <f t="shared" si="32"/>
        <v>1.037095859991771</v>
      </c>
      <c r="V114" s="383">
        <f t="shared" si="33"/>
        <v>51.4807345814082</v>
      </c>
      <c r="W114" s="402">
        <f t="shared" si="34"/>
        <v>52.972160232284573</v>
      </c>
      <c r="X114" s="157">
        <f t="shared" si="35"/>
        <v>45391</v>
      </c>
      <c r="Y114" s="385">
        <f t="shared" si="36"/>
        <v>48.95551908304904</v>
      </c>
      <c r="Z114" s="385">
        <f t="shared" si="37"/>
        <v>51.313780403064236</v>
      </c>
      <c r="AA114" s="386">
        <f t="shared" si="38"/>
        <v>58.374922261724393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0.12096190598766847</v>
      </c>
      <c r="AD114" s="231">
        <f>(INDEX(Models!$BJ114:$BT114,,AH114)*(1-AF114)+INDEX(Models!$BJ114:$BT114,,AH114+1)*AF114-ERP_i)*AE114*Ramure*Pc/MaxiM</f>
        <v>7.490112957171534E-4</v>
      </c>
      <c r="AE114" s="305">
        <f t="shared" si="40"/>
        <v>0.7</v>
      </c>
      <c r="AF114" s="177">
        <f t="shared" si="41"/>
        <v>3.7095859991771007E-2</v>
      </c>
      <c r="AG114" s="919">
        <f t="shared" si="49"/>
        <v>1</v>
      </c>
      <c r="AH114" s="176">
        <f t="shared" si="42"/>
        <v>7</v>
      </c>
      <c r="AI114" s="225">
        <f t="shared" si="43"/>
        <v>1.037095859991771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1090">
        <f>IF(t&gt;Tmaj,'2023'!Wh/'2023'!Env_an*'2024'!Env_an,0.001*'[6]mon-tableau'!$B$47)</f>
        <v>43.71129529654398</v>
      </c>
      <c r="C115" s="953"/>
      <c r="D115" s="393">
        <f t="shared" si="25"/>
        <v>45.817937963814359</v>
      </c>
      <c r="E115" s="385">
        <f t="shared" si="47"/>
        <v>48.1761317193588</v>
      </c>
      <c r="F115" s="385">
        <f t="shared" si="26"/>
        <v>48.204324312683575</v>
      </c>
      <c r="G115" s="110">
        <f t="shared" si="48"/>
        <v>0.84681834029003977</v>
      </c>
      <c r="H115" s="412" t="b">
        <f>Wh_hp&gt;='2023'!Maxi_hp</f>
        <v>0</v>
      </c>
      <c r="I115" s="390">
        <f>IF(H115,Wh_hp,'2023'!Maxi_hp)</f>
        <v>56.926003902955259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4.5978556890407085E-2</v>
      </c>
      <c r="M115" s="957"/>
      <c r="N115" s="957"/>
      <c r="O115" s="48">
        <f>IF(t&lt;Tnet,'2023'!Resal+('2023'!Salim-'2023'!Resal)*(1-EXP(('2023'!Tnet-t)/('2023'!Tau_j))),Resal+(Salim-Resal)*(1-EXP((Tnet-t)/(Tau_j))))*Salcycl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7.485035481504973E-4</v>
      </c>
      <c r="Q115" s="305">
        <f t="shared" si="28"/>
        <v>0.7</v>
      </c>
      <c r="R115" s="177">
        <f t="shared" si="29"/>
        <v>3.8555735457667994E-2</v>
      </c>
      <c r="S115" s="919">
        <f t="shared" si="30"/>
        <v>1</v>
      </c>
      <c r="T115" s="176">
        <f t="shared" si="31"/>
        <v>7</v>
      </c>
      <c r="U115" s="251">
        <f t="shared" si="32"/>
        <v>1.038555735457668</v>
      </c>
      <c r="V115" s="383">
        <f t="shared" si="33"/>
        <v>51.609814985542471</v>
      </c>
      <c r="W115" s="402">
        <f t="shared" si="34"/>
        <v>43.71129529654398</v>
      </c>
      <c r="X115" s="157">
        <f t="shared" si="35"/>
        <v>45392</v>
      </c>
      <c r="Y115" s="385">
        <f t="shared" si="36"/>
        <v>40.399210113806951</v>
      </c>
      <c r="Z115" s="385">
        <f t="shared" si="37"/>
        <v>42.346228594325318</v>
      </c>
      <c r="AA115" s="386">
        <f t="shared" si="38"/>
        <v>48.1761317193588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0.12101227136696062</v>
      </c>
      <c r="AD115" s="231">
        <f>(INDEX(Models!$BJ115:$BT115,,AH115)*(1-AF115)+INDEX(Models!$BJ115:$BT115,,AH115+1)*AF115-ERP_i)*AE115*Ramure*Pc/MaxiM</f>
        <v>7.485035481504973E-4</v>
      </c>
      <c r="AE115" s="305">
        <f t="shared" si="40"/>
        <v>0.7</v>
      </c>
      <c r="AF115" s="177">
        <f t="shared" si="41"/>
        <v>3.8555735457667994E-2</v>
      </c>
      <c r="AG115" s="919">
        <f t="shared" si="49"/>
        <v>1</v>
      </c>
      <c r="AH115" s="176">
        <f t="shared" si="42"/>
        <v>7</v>
      </c>
      <c r="AI115" s="225">
        <f t="shared" si="43"/>
        <v>1.038555735457668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1090">
        <f>IF(t&gt;Tmaj,'2023'!Wh/'2023'!Env_an*'2024'!Env_an,0.001*'[6]mon-tableau'!$B$48)</f>
        <v>2.469834956334068</v>
      </c>
      <c r="C116" s="953"/>
      <c r="D116" s="393">
        <f t="shared" si="25"/>
        <v>2.5889240447181536</v>
      </c>
      <c r="E116" s="385">
        <f t="shared" si="47"/>
        <v>2.7224885432374712</v>
      </c>
      <c r="F116" s="385">
        <f t="shared" si="26"/>
        <v>2.7224885432374712</v>
      </c>
      <c r="G116" s="110">
        <f t="shared" si="48"/>
        <v>4.7704388421806611E-2</v>
      </c>
      <c r="H116" s="412" t="b">
        <f>Wh_hp&gt;='2023'!Maxi_hp</f>
        <v>0</v>
      </c>
      <c r="I116" s="390">
        <f>IF(H116,Wh_hp,'2023'!Maxi_hp)</f>
        <v>56.893751444283453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4.599945240844272E-2</v>
      </c>
      <c r="M116" s="957"/>
      <c r="N116" s="957"/>
      <c r="O116" s="48">
        <f>IF(t&lt;Tnet,'2023'!Resal+('2023'!Salim-'2023'!Resal)*(1-EXP(('2023'!Tnet-t)/('2023'!Tau_j))),Resal+(Salim-Resal)*(1-EXP((Tnet-t)/(Tau_j))))*Salcycl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7.5142521641704987E-4</v>
      </c>
      <c r="Q116" s="305">
        <f t="shared" si="28"/>
        <v>0.7</v>
      </c>
      <c r="R116" s="177">
        <f t="shared" si="29"/>
        <v>4.0067096326296348E-2</v>
      </c>
      <c r="S116" s="919">
        <f t="shared" si="30"/>
        <v>1</v>
      </c>
      <c r="T116" s="176">
        <f t="shared" si="31"/>
        <v>7</v>
      </c>
      <c r="U116" s="251">
        <f t="shared" si="32"/>
        <v>1.0400670963262963</v>
      </c>
      <c r="V116" s="383">
        <f t="shared" si="33"/>
        <v>51.734843307189927</v>
      </c>
      <c r="W116" s="402">
        <f t="shared" si="34"/>
        <v>2.469834956334068</v>
      </c>
      <c r="X116" s="157">
        <f t="shared" si="35"/>
        <v>45393</v>
      </c>
      <c r="Y116" s="385">
        <f t="shared" si="36"/>
        <v>2.2828210543623877</v>
      </c>
      <c r="Z116" s="385">
        <f t="shared" si="37"/>
        <v>2.3928928134533392</v>
      </c>
      <c r="AA116" s="386">
        <f t="shared" si="38"/>
        <v>2.7224885432374712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0.12106413839750843</v>
      </c>
      <c r="AD116" s="231">
        <f>(INDEX(Models!$BJ116:$BT116,,AH116)*(1-AF116)+INDEX(Models!$BJ116:$BT116,,AH116+1)*AF116-ERP_i)*AE116*Ramure*Pc/MaxiM</f>
        <v>7.5142521641704987E-4</v>
      </c>
      <c r="AE116" s="305">
        <f t="shared" si="40"/>
        <v>0.7</v>
      </c>
      <c r="AF116" s="177">
        <f t="shared" si="41"/>
        <v>4.0067096326296348E-2</v>
      </c>
      <c r="AG116" s="919">
        <f t="shared" si="49"/>
        <v>1</v>
      </c>
      <c r="AH116" s="176">
        <f t="shared" si="42"/>
        <v>7</v>
      </c>
      <c r="AI116" s="225">
        <f t="shared" si="43"/>
        <v>1.0400670963262963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1090">
        <f>IF(t&gt;Tmaj,'2023'!Wh/'2023'!Env_an*'2024'!Env_an,0.001*'[6]mon-tableau'!$B$49)</f>
        <v>0</v>
      </c>
      <c r="C117" s="953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2" t="b">
        <f>Wh_hp&gt;='2023'!Maxi_hp</f>
        <v>0</v>
      </c>
      <c r="I117" s="390">
        <f>IF(H117,Wh_hp,'2023'!Maxi_hp)</f>
        <v>58.336070770675065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4.6020347468812783E-2</v>
      </c>
      <c r="M117" s="957"/>
      <c r="N117" s="957"/>
      <c r="O117" s="48">
        <f>IF(t&lt;Tnet,'2023'!Resal+('2023'!Salim-'2023'!Resal)*(1-EXP(('2023'!Tnet-t)/('2023'!Tau_j))),Resal+(Salim-Resal)*(1-EXP((Tnet-t)/(Tau_j))))*Salcycl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7.5778106894158976E-4</v>
      </c>
      <c r="Q117" s="305">
        <f t="shared" si="28"/>
        <v>0.7</v>
      </c>
      <c r="R117" s="177">
        <f t="shared" si="29"/>
        <v>4.1631370259217926E-2</v>
      </c>
      <c r="S117" s="919">
        <f t="shared" si="30"/>
        <v>1</v>
      </c>
      <c r="T117" s="176">
        <f t="shared" si="31"/>
        <v>7</v>
      </c>
      <c r="U117" s="251">
        <f t="shared" si="32"/>
        <v>1.0416313702592179</v>
      </c>
      <c r="V117" s="383">
        <f t="shared" si="33"/>
        <v>51.85630660977494</v>
      </c>
      <c r="W117" s="402">
        <f t="shared" si="34"/>
        <v>0</v>
      </c>
      <c r="X117" s="157">
        <f t="shared" si="35"/>
        <v>45394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0.12111753578789002</v>
      </c>
      <c r="AD117" s="231">
        <f>(INDEX(Models!$BJ117:$BT117,,AH117)*(1-AF117)+INDEX(Models!$BJ117:$BT117,,AH117+1)*AF117-ERP_i)*AE117*Ramure*Pc/MaxiM</f>
        <v>7.5778106894158976E-4</v>
      </c>
      <c r="AE117" s="305">
        <f t="shared" si="40"/>
        <v>0.7</v>
      </c>
      <c r="AF117" s="177">
        <f t="shared" si="41"/>
        <v>4.1631370259217926E-2</v>
      </c>
      <c r="AG117" s="919">
        <f t="shared" si="49"/>
        <v>1</v>
      </c>
      <c r="AH117" s="176">
        <f t="shared" si="42"/>
        <v>7</v>
      </c>
      <c r="AI117" s="225">
        <f t="shared" si="43"/>
        <v>1.0416313702592179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1090">
        <f>IF(t&gt;Tmaj,'2023'!Wh/'2023'!Env_an*'2024'!Env_an,0.001*'[6]mon-tableau'!$B$50)</f>
        <v>41.483714695184005</v>
      </c>
      <c r="C118" s="953"/>
      <c r="D118" s="393">
        <f t="shared" si="25"/>
        <v>43.485857591229788</v>
      </c>
      <c r="E118" s="385">
        <f t="shared" si="47"/>
        <v>45.740017970570229</v>
      </c>
      <c r="F118" s="385">
        <f t="shared" si="26"/>
        <v>45.765016898629312</v>
      </c>
      <c r="G118" s="110">
        <f t="shared" si="48"/>
        <v>0.7979754499651972</v>
      </c>
      <c r="H118" s="412" t="b">
        <f>Wh_hp&gt;='2023'!Maxi_hp</f>
        <v>0</v>
      </c>
      <c r="I118" s="390">
        <f>IF(H118,Wh_hp,'2023'!Maxi_hp)</f>
        <v>56.615625243922842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4.6041242071527488E-2</v>
      </c>
      <c r="M118" s="957"/>
      <c r="N118" s="957"/>
      <c r="O118" s="48">
        <f>IF(t&lt;Tnet,'2023'!Resal+('2023'!Salim-'2023'!Resal)*(1-EXP(('2023'!Tnet-t)/('2023'!Tau_j))),Resal+(Salim-Resal)*(1-EXP((Tnet-t)/(Tau_j))))*Salcycl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7.6758016278558809E-4</v>
      </c>
      <c r="Q118" s="305">
        <f t="shared" si="28"/>
        <v>0.7</v>
      </c>
      <c r="R118" s="177">
        <f t="shared" si="29"/>
        <v>4.3249994138781611E-2</v>
      </c>
      <c r="S118" s="919">
        <f t="shared" si="30"/>
        <v>1</v>
      </c>
      <c r="T118" s="176">
        <f t="shared" si="31"/>
        <v>7</v>
      </c>
      <c r="U118" s="251">
        <f t="shared" si="32"/>
        <v>1.0432499941387816</v>
      </c>
      <c r="V118" s="383">
        <f t="shared" si="33"/>
        <v>51.974691563337366</v>
      </c>
      <c r="W118" s="402">
        <f t="shared" si="34"/>
        <v>41.483714695184005</v>
      </c>
      <c r="X118" s="157">
        <f t="shared" si="35"/>
        <v>45395</v>
      </c>
      <c r="Y118" s="385">
        <f t="shared" si="36"/>
        <v>38.34683928810697</v>
      </c>
      <c r="Z118" s="385">
        <f t="shared" si="37"/>
        <v>40.197586079483536</v>
      </c>
      <c r="AA118" s="386">
        <f t="shared" si="38"/>
        <v>45.740017970570229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0.12117249045797862</v>
      </c>
      <c r="AD118" s="231">
        <f>(INDEX(Models!$BJ118:$BT118,,AH118)*(1-AF118)+INDEX(Models!$BJ118:$BT118,,AH118+1)*AF118-ERP_i)*AE118*Ramure*Pc/MaxiM</f>
        <v>7.6758016278558809E-4</v>
      </c>
      <c r="AE118" s="305">
        <f t="shared" si="40"/>
        <v>0.7</v>
      </c>
      <c r="AF118" s="177">
        <f t="shared" si="41"/>
        <v>4.3249994138781611E-2</v>
      </c>
      <c r="AG118" s="919">
        <f t="shared" si="49"/>
        <v>1</v>
      </c>
      <c r="AH118" s="176">
        <f t="shared" si="42"/>
        <v>7</v>
      </c>
      <c r="AI118" s="225">
        <f t="shared" si="43"/>
        <v>1.0432499941387816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1090">
        <f>IF(t&gt;Tmaj,'2023'!Wh/'2023'!Env_an*'2024'!Env_an,0.001*'[6]mon-tableau'!$B$51)</f>
        <v>46.169733717402615</v>
      </c>
      <c r="C119" s="953"/>
      <c r="D119" s="393">
        <f t="shared" si="25"/>
        <v>48.399099637673778</v>
      </c>
      <c r="E119" s="385">
        <f t="shared" si="47"/>
        <v>50.913946395251408</v>
      </c>
      <c r="F119" s="385">
        <f t="shared" si="26"/>
        <v>50.947268305302231</v>
      </c>
      <c r="G119" s="110">
        <f t="shared" si="48"/>
        <v>0.88622474125086925</v>
      </c>
      <c r="H119" s="412" t="b">
        <f>Wh_hp&gt;='2023'!Maxi_hp</f>
        <v>0</v>
      </c>
      <c r="I119" s="390">
        <f>IF(H119,Wh_hp,'2023'!Maxi_hp)</f>
        <v>56.990205602590848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4.6062136216596716E-2</v>
      </c>
      <c r="M119" s="957"/>
      <c r="N119" s="957"/>
      <c r="O119" s="48">
        <f>IF(t&lt;Tnet,'2023'!Resal+('2023'!Salim-'2023'!Resal)*(1-EXP(('2023'!Tnet-t)/('2023'!Tau_j))),Resal+(Salim-Resal)*(1-EXP((Tnet-t)/(Tau_j))))*Salcycl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7.8083555738631529E-4</v>
      </c>
      <c r="Q119" s="305">
        <f t="shared" si="28"/>
        <v>0.7</v>
      </c>
      <c r="R119" s="177">
        <f t="shared" si="29"/>
        <v>4.492441144831294E-2</v>
      </c>
      <c r="S119" s="919">
        <f t="shared" si="30"/>
        <v>1</v>
      </c>
      <c r="T119" s="176">
        <f t="shared" si="31"/>
        <v>7</v>
      </c>
      <c r="U119" s="251">
        <f t="shared" si="32"/>
        <v>1.0449244114483129</v>
      </c>
      <c r="V119" s="383">
        <f t="shared" si="33"/>
        <v>52.090484439663406</v>
      </c>
      <c r="W119" s="402">
        <f t="shared" si="34"/>
        <v>46.169733717402615</v>
      </c>
      <c r="X119" s="157">
        <f t="shared" si="35"/>
        <v>45396</v>
      </c>
      <c r="Y119" s="385">
        <f t="shared" si="36"/>
        <v>42.680799993076761</v>
      </c>
      <c r="Z119" s="385">
        <f t="shared" si="37"/>
        <v>44.741698189650293</v>
      </c>
      <c r="AA119" s="386">
        <f t="shared" si="38"/>
        <v>50.913946395251408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0.1212290274591007</v>
      </c>
      <c r="AD119" s="231">
        <f>(INDEX(Models!$BJ119:$BT119,,AH119)*(1-AF119)+INDEX(Models!$BJ119:$BT119,,AH119+1)*AF119-ERP_i)*AE119*Ramure*Pc/MaxiM</f>
        <v>7.8083555738631529E-4</v>
      </c>
      <c r="AE119" s="305">
        <f t="shared" si="40"/>
        <v>0.7</v>
      </c>
      <c r="AF119" s="177">
        <f t="shared" si="41"/>
        <v>4.492441144831294E-2</v>
      </c>
      <c r="AG119" s="919">
        <f t="shared" si="49"/>
        <v>1</v>
      </c>
      <c r="AH119" s="176">
        <f t="shared" si="42"/>
        <v>7</v>
      </c>
      <c r="AI119" s="225">
        <f t="shared" si="43"/>
        <v>1.0449244114483129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1090">
        <f>IF(t&gt;Tmaj,'2023'!Wh/'2023'!Env_an*'2024'!Env_an,0.001*'[6]mon-tableau'!$B$52)</f>
        <v>41.539666851364707</v>
      </c>
      <c r="C120" s="953"/>
      <c r="D120" s="393">
        <f t="shared" si="25"/>
        <v>43.546417721435006</v>
      </c>
      <c r="E120" s="385">
        <f t="shared" si="47"/>
        <v>45.814545806553724</v>
      </c>
      <c r="F120" s="385">
        <f t="shared" si="26"/>
        <v>45.840436801537258</v>
      </c>
      <c r="G120" s="110">
        <f t="shared" si="48"/>
        <v>0.79553016272148402</v>
      </c>
      <c r="H120" s="412" t="b">
        <f>Wh_hp&gt;='2023'!Maxi_hp</f>
        <v>0</v>
      </c>
      <c r="I120" s="390">
        <f>IF(H120,Wh_hp,'2023'!Maxi_hp)</f>
        <v>53.394011325702145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4.608302990403057E-2</v>
      </c>
      <c r="M120" s="957"/>
      <c r="N120" s="957"/>
      <c r="O120" s="48">
        <f>IF(t&lt;Tnet,'2023'!Resal+('2023'!Salim-'2023'!Resal)*(1-EXP(('2023'!Tnet-t)/('2023'!Tau_j))),Resal+(Salim-Resal)*(1-EXP((Tnet-t)/(Tau_j))))*Salcycl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7.9756402402933772E-4</v>
      </c>
      <c r="Q120" s="305">
        <f t="shared" si="28"/>
        <v>0.7</v>
      </c>
      <c r="R120" s="177">
        <f t="shared" si="29"/>
        <v>4.6656069421955326E-2</v>
      </c>
      <c r="S120" s="919">
        <f t="shared" si="30"/>
        <v>1</v>
      </c>
      <c r="T120" s="176">
        <f t="shared" si="31"/>
        <v>7</v>
      </c>
      <c r="U120" s="251">
        <f t="shared" si="32"/>
        <v>1.0466560694219553</v>
      </c>
      <c r="V120" s="383">
        <f t="shared" si="33"/>
        <v>52.204171105059231</v>
      </c>
      <c r="W120" s="402">
        <f t="shared" si="34"/>
        <v>41.539666851364707</v>
      </c>
      <c r="X120" s="157">
        <f t="shared" si="35"/>
        <v>45397</v>
      </c>
      <c r="Y120" s="385">
        <f t="shared" si="36"/>
        <v>38.402626458638963</v>
      </c>
      <c r="Z120" s="385">
        <f t="shared" si="37"/>
        <v>40.257829205801258</v>
      </c>
      <c r="AA120" s="386">
        <f t="shared" si="38"/>
        <v>45.814545806553724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0.12128716989174185</v>
      </c>
      <c r="AD120" s="231">
        <f>(INDEX(Models!$BJ120:$BT120,,AH120)*(1-AF120)+INDEX(Models!$BJ120:$BT120,,AH120+1)*AF120-ERP_i)*AE120*Ramure*Pc/MaxiM</f>
        <v>7.9756402402933772E-4</v>
      </c>
      <c r="AE120" s="305">
        <f t="shared" si="40"/>
        <v>0.7</v>
      </c>
      <c r="AF120" s="177">
        <f t="shared" si="41"/>
        <v>4.6656069421955326E-2</v>
      </c>
      <c r="AG120" s="919">
        <f t="shared" si="49"/>
        <v>1</v>
      </c>
      <c r="AH120" s="176">
        <f t="shared" si="42"/>
        <v>7</v>
      </c>
      <c r="AI120" s="225">
        <f t="shared" si="43"/>
        <v>1.0466560694219553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1090">
        <f>IF(t&gt;Tmaj,'2023'!Wh/'2023'!Env_an*'2024'!Env_an,0.001*'[6]mon-tableau'!$B$53)</f>
        <v>52.454235975085737</v>
      </c>
      <c r="C121" s="953"/>
      <c r="D121" s="393">
        <f t="shared" si="25"/>
        <v>54.989466093008659</v>
      </c>
      <c r="E121" s="385">
        <f t="shared" si="47"/>
        <v>57.860504856240965</v>
      </c>
      <c r="F121" s="385">
        <f t="shared" si="26"/>
        <v>57.907861992961607</v>
      </c>
      <c r="G121" s="110">
        <f t="shared" si="48"/>
        <v>1.0026571186575353</v>
      </c>
      <c r="H121" s="412" t="b">
        <f>Wh_hp&gt;='2023'!Maxi_hp</f>
        <v>1</v>
      </c>
      <c r="I121" s="390">
        <f>IF(H121,Wh_hp,'2023'!Maxi_hp)</f>
        <v>57.907861992961607</v>
      </c>
      <c r="J121" s="85">
        <f>IF(H121,An,'2023'!An_max)</f>
        <v>2024</v>
      </c>
      <c r="K121" s="197">
        <f t="shared" si="27"/>
        <v>45398</v>
      </c>
      <c r="L121" s="147">
        <f>IF(t&lt;Tvie,1-EXP((T0-t)*PertePVj)+'2023'!Pspv,1-EXP((T0-t)*PertePVj)+Pspv)</f>
        <v>4.6103923133839042E-2</v>
      </c>
      <c r="M121" s="957"/>
      <c r="N121" s="957"/>
      <c r="O121" s="48">
        <f>IF(t&lt;Tnet,'2023'!Resal+('2023'!Salim-'2023'!Resal)*(1-EXP(('2023'!Tnet-t)/('2023'!Tau_j))),Resal+(Salim-Resal)*(1-EXP((Tnet-t)/(Tau_j))))*Salcycl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8.1780150554331961E-4</v>
      </c>
      <c r="Q121" s="305">
        <f t="shared" si="28"/>
        <v>0.7</v>
      </c>
      <c r="R121" s="177">
        <f t="shared" si="29"/>
        <v>4.8446415956632238E-2</v>
      </c>
      <c r="S121" s="919">
        <f t="shared" si="30"/>
        <v>1</v>
      </c>
      <c r="T121" s="176">
        <f t="shared" si="31"/>
        <v>7</v>
      </c>
      <c r="U121" s="251">
        <f t="shared" si="32"/>
        <v>1.0484464159566322</v>
      </c>
      <c r="V121" s="383">
        <f t="shared" si="33"/>
        <v>52.315228206145981</v>
      </c>
      <c r="W121" s="402">
        <f t="shared" si="34"/>
        <v>52.454235975085737</v>
      </c>
      <c r="X121" s="157">
        <f t="shared" si="35"/>
        <v>45398</v>
      </c>
      <c r="Y121" s="385">
        <f t="shared" si="36"/>
        <v>48.495418086131728</v>
      </c>
      <c r="Z121" s="385">
        <f t="shared" si="37"/>
        <v>50.839309713332653</v>
      </c>
      <c r="AA121" s="386">
        <f t="shared" si="38"/>
        <v>57.860504856240965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0.12134693882041005</v>
      </c>
      <c r="AD121" s="231">
        <f>(INDEX(Models!$BJ121:$BT121,,AH121)*(1-AF121)+INDEX(Models!$BJ121:$BT121,,AH121+1)*AF121-ERP_i)*AE121*Ramure*Pc/MaxiM</f>
        <v>8.1780150554331961E-4</v>
      </c>
      <c r="AE121" s="305">
        <f t="shared" si="40"/>
        <v>0.7</v>
      </c>
      <c r="AF121" s="177">
        <f t="shared" si="41"/>
        <v>4.8446415956632238E-2</v>
      </c>
      <c r="AG121" s="919">
        <f t="shared" si="49"/>
        <v>1</v>
      </c>
      <c r="AH121" s="176">
        <f t="shared" si="42"/>
        <v>7</v>
      </c>
      <c r="AI121" s="225">
        <f t="shared" si="43"/>
        <v>1.0484464159566322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1090">
        <f>IF(t&gt;Tmaj,'2023'!Wh/'2023'!Env_an*'2024'!Env_an,0.001*'[6]mon-tableau'!$B$54)</f>
        <v>37.403318294226601</v>
      </c>
      <c r="C122" s="953"/>
      <c r="D122" s="393">
        <f t="shared" si="25"/>
        <v>39.211962862577138</v>
      </c>
      <c r="E122" s="385">
        <f t="shared" si="47"/>
        <v>41.264193359540826</v>
      </c>
      <c r="F122" s="385">
        <f t="shared" si="26"/>
        <v>41.284765693355865</v>
      </c>
      <c r="G122" s="110">
        <f t="shared" si="48"/>
        <v>0.71324906228067675</v>
      </c>
      <c r="H122" s="412" t="b">
        <f>Wh_hp&gt;='2023'!Maxi_hp</f>
        <v>0</v>
      </c>
      <c r="I122" s="390">
        <f>IF(H122,Wh_hp,'2023'!Maxi_hp)</f>
        <v>42.269665111428111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4.6124815906032124E-2</v>
      </c>
      <c r="M122" s="957"/>
      <c r="N122" s="957"/>
      <c r="O122" s="48">
        <f>IF(t&lt;Tnet,'2023'!Resal+('2023'!Salim-'2023'!Resal)*(1-EXP(('2023'!Tnet-t)/('2023'!Tau_j))),Resal+(Salim-Resal)*(1-EXP((Tnet-t)/(Tau_j))))*Salcycl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8.4356967344464875E-4</v>
      </c>
      <c r="Q122" s="305">
        <f t="shared" si="28"/>
        <v>0.7</v>
      </c>
      <c r="R122" s="177">
        <f t="shared" si="29"/>
        <v>5.0296896279355074E-2</v>
      </c>
      <c r="S122" s="919">
        <f t="shared" si="30"/>
        <v>1</v>
      </c>
      <c r="T122" s="176">
        <f t="shared" si="31"/>
        <v>7</v>
      </c>
      <c r="U122" s="251">
        <f t="shared" si="32"/>
        <v>1.0502968962793551</v>
      </c>
      <c r="V122" s="383">
        <f t="shared" si="33"/>
        <v>52.422638492078022</v>
      </c>
      <c r="W122" s="402">
        <f t="shared" si="34"/>
        <v>37.403318294226601</v>
      </c>
      <c r="X122" s="157">
        <f t="shared" si="35"/>
        <v>45399</v>
      </c>
      <c r="Y122" s="385">
        <f t="shared" si="36"/>
        <v>34.582149197980264</v>
      </c>
      <c r="Z122" s="385">
        <f t="shared" si="37"/>
        <v>36.254375598237097</v>
      </c>
      <c r="AA122" s="386">
        <f t="shared" si="38"/>
        <v>41.264193359540826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0.12140835318535061</v>
      </c>
      <c r="AD122" s="231">
        <f>(INDEX(Models!$BJ122:$BT122,,AH122)*(1-AF122)+INDEX(Models!$BJ122:$BT122,,AH122+1)*AF122-ERP_i)*AE122*Ramure*Pc/MaxiM</f>
        <v>8.4356967344464875E-4</v>
      </c>
      <c r="AE122" s="305">
        <f t="shared" si="40"/>
        <v>0.7</v>
      </c>
      <c r="AF122" s="177">
        <f t="shared" si="41"/>
        <v>5.0296896279355074E-2</v>
      </c>
      <c r="AG122" s="919">
        <f t="shared" si="49"/>
        <v>1</v>
      </c>
      <c r="AH122" s="176">
        <f t="shared" si="42"/>
        <v>7</v>
      </c>
      <c r="AI122" s="225">
        <f t="shared" si="43"/>
        <v>1.0502968962793551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1090">
        <f>IF(t&gt;Tmaj,'2023'!Wh/'2023'!Env_an*'2024'!Env_an,0.001*'[6]mon-tableau'!$B$55)</f>
        <v>8.953077034354461</v>
      </c>
      <c r="C123" s="953"/>
      <c r="D123" s="393">
        <f t="shared" si="25"/>
        <v>9.3862103588723436</v>
      </c>
      <c r="E123" s="385">
        <f t="shared" si="47"/>
        <v>9.8786460219386374</v>
      </c>
      <c r="F123" s="385">
        <f t="shared" si="26"/>
        <v>9.8786460219386374</v>
      </c>
      <c r="G123" s="110">
        <f t="shared" si="48"/>
        <v>0.17030028147218237</v>
      </c>
      <c r="H123" s="412" t="b">
        <f>Wh_hp&gt;='2023'!Maxi_hp</f>
        <v>0</v>
      </c>
      <c r="I123" s="390">
        <f>IF(H123,Wh_hp,'2023'!Maxi_hp)</f>
        <v>56.035337326864806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4.6145708220619919E-2</v>
      </c>
      <c r="M123" s="957"/>
      <c r="N123" s="957"/>
      <c r="O123" s="48">
        <f>IF(t&lt;Tnet,'2023'!Resal+('2023'!Salim-'2023'!Resal)*(1-EXP(('2023'!Tnet-t)/('2023'!Tau_j))),Resal+(Salim-Resal)*(1-EXP((Tnet-t)/(Tau_j))))*Salcycl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8.7374073932286738E-4</v>
      </c>
      <c r="Q123" s="305">
        <f t="shared" si="28"/>
        <v>0.7</v>
      </c>
      <c r="R123" s="177">
        <f t="shared" si="29"/>
        <v>5.2208949363991897E-2</v>
      </c>
      <c r="S123" s="919">
        <f t="shared" si="30"/>
        <v>1</v>
      </c>
      <c r="T123" s="176">
        <f t="shared" si="31"/>
        <v>7</v>
      </c>
      <c r="U123" s="251">
        <f t="shared" si="32"/>
        <v>1.0522089493639919</v>
      </c>
      <c r="V123" s="383">
        <f t="shared" si="33"/>
        <v>52.526362780371606</v>
      </c>
      <c r="W123" s="402">
        <f t="shared" si="34"/>
        <v>8.953077034354461</v>
      </c>
      <c r="X123" s="157">
        <f t="shared" si="35"/>
        <v>45400</v>
      </c>
      <c r="Y123" s="385">
        <f t="shared" si="36"/>
        <v>8.2781892648416253</v>
      </c>
      <c r="Z123" s="385">
        <f t="shared" si="37"/>
        <v>8.6786727660458158</v>
      </c>
      <c r="AA123" s="386">
        <f t="shared" si="38"/>
        <v>9.8786460219386374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0.12147142971090404</v>
      </c>
      <c r="AD123" s="231">
        <f>(INDEX(Models!$BJ123:$BT123,,AH123)*(1-AF123)+INDEX(Models!$BJ123:$BT123,,AH123+1)*AF123-ERP_i)*AE123*Ramure*Pc/MaxiM</f>
        <v>8.7374073932286738E-4</v>
      </c>
      <c r="AE123" s="305">
        <f t="shared" si="40"/>
        <v>0.7</v>
      </c>
      <c r="AF123" s="177">
        <f t="shared" si="41"/>
        <v>5.2208949363991897E-2</v>
      </c>
      <c r="AG123" s="919">
        <f t="shared" si="49"/>
        <v>1</v>
      </c>
      <c r="AH123" s="176">
        <f t="shared" si="42"/>
        <v>7</v>
      </c>
      <c r="AI123" s="225">
        <f t="shared" si="43"/>
        <v>1.0522089493639919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1090">
        <f>IF(t&gt;Tmaj,'2023'!Wh/'2023'!Env_an*'2024'!Env_an,0.001*'[6]mon-tableau'!$B$56)</f>
        <v>10.101005928654041</v>
      </c>
      <c r="C124" s="953"/>
      <c r="D124" s="393">
        <f t="shared" si="25"/>
        <v>10.589905878192093</v>
      </c>
      <c r="E124" s="385">
        <f t="shared" si="47"/>
        <v>11.146843675927856</v>
      </c>
      <c r="F124" s="385">
        <f t="shared" si="26"/>
        <v>11.146843675927856</v>
      </c>
      <c r="G124" s="110">
        <f t="shared" si="48"/>
        <v>0.19176401203281085</v>
      </c>
      <c r="H124" s="412" t="b">
        <f>Wh_hp&gt;='2023'!Maxi_hp</f>
        <v>0</v>
      </c>
      <c r="I124" s="390">
        <f>IF(H124,Wh_hp,'2023'!Maxi_hp)</f>
        <v>54.638540839726012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4.6166600077612419E-2</v>
      </c>
      <c r="M124" s="957"/>
      <c r="N124" s="957"/>
      <c r="O124" s="48">
        <f>IF(t&lt;Tnet,'2023'!Resal+('2023'!Salim-'2023'!Resal)*(1-EXP(('2023'!Tnet-t)/('2023'!Tau_j))),Resal+(Salim-Resal)*(1-EXP((Tnet-t)/(Tau_j))))*Salcycl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9.0836607556323814E-4</v>
      </c>
      <c r="Q124" s="305">
        <f t="shared" si="28"/>
        <v>0.7</v>
      </c>
      <c r="R124" s="177">
        <f t="shared" si="29"/>
        <v>5.4184004092661109E-2</v>
      </c>
      <c r="S124" s="919">
        <f t="shared" si="30"/>
        <v>1</v>
      </c>
      <c r="T124" s="176">
        <f t="shared" si="31"/>
        <v>7</v>
      </c>
      <c r="U124" s="251">
        <f t="shared" si="32"/>
        <v>1.0541840040926611</v>
      </c>
      <c r="V124" s="383">
        <f t="shared" si="33"/>
        <v>52.62630047504782</v>
      </c>
      <c r="W124" s="402">
        <f t="shared" si="34"/>
        <v>10.101005928654041</v>
      </c>
      <c r="X124" s="157">
        <f t="shared" si="35"/>
        <v>45401</v>
      </c>
      <c r="Y124" s="385">
        <f t="shared" si="36"/>
        <v>9.3400309338658332</v>
      </c>
      <c r="Z124" s="385">
        <f t="shared" si="37"/>
        <v>9.7920988451713082</v>
      </c>
      <c r="AA124" s="386">
        <f t="shared" si="38"/>
        <v>11.146843675927856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0.12153618281040268</v>
      </c>
      <c r="AD124" s="231">
        <f>(INDEX(Models!$BJ124:$BT124,,AH124)*(1-AF124)+INDEX(Models!$BJ124:$BT124,,AH124+1)*AF124-ERP_i)*AE124*Ramure*Pc/MaxiM</f>
        <v>9.0836607556323814E-4</v>
      </c>
      <c r="AE124" s="305">
        <f t="shared" si="40"/>
        <v>0.7</v>
      </c>
      <c r="AF124" s="177">
        <f t="shared" si="41"/>
        <v>5.4184004092661109E-2</v>
      </c>
      <c r="AG124" s="919">
        <f t="shared" si="49"/>
        <v>1</v>
      </c>
      <c r="AH124" s="176">
        <f t="shared" si="42"/>
        <v>7</v>
      </c>
      <c r="AI124" s="225">
        <f t="shared" si="43"/>
        <v>1.0541840040926611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1090">
        <f>IF(t&gt;Tmaj,'2023'!Wh/'2023'!Env_an*'2024'!Env_an,0.001*'[6]mon-tableau'!$B$57)</f>
        <v>9.1222571153661942</v>
      </c>
      <c r="C125" s="953"/>
      <c r="D125" s="393">
        <f t="shared" si="25"/>
        <v>9.5639940070532319</v>
      </c>
      <c r="E125" s="385">
        <f t="shared" si="47"/>
        <v>10.068205841627613</v>
      </c>
      <c r="F125" s="385">
        <f t="shared" si="26"/>
        <v>10.068205841627613</v>
      </c>
      <c r="G125" s="110">
        <f t="shared" si="48"/>
        <v>0.17286053445239377</v>
      </c>
      <c r="H125" s="412" t="b">
        <f>Wh_hp&gt;='2023'!Maxi_hp</f>
        <v>0</v>
      </c>
      <c r="I125" s="390">
        <f>IF(H125,Wh_hp,'2023'!Maxi_hp)</f>
        <v>49.293646269634195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4.6187491477019615E-2</v>
      </c>
      <c r="M125" s="957"/>
      <c r="N125" s="957"/>
      <c r="O125" s="48">
        <f>IF(t&lt;Tnet,'2023'!Resal+('2023'!Salim-'2023'!Resal)*(1-EXP(('2023'!Tnet-t)/('2023'!Tau_j))),Resal+(Salim-Resal)*(1-EXP((Tnet-t)/(Tau_j))))*Salcycl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9.4750564096456296E-4</v>
      </c>
      <c r="Q125" s="305">
        <f t="shared" si="28"/>
        <v>0.7</v>
      </c>
      <c r="R125" s="177">
        <f t="shared" si="29"/>
        <v>5.6223475158134306E-2</v>
      </c>
      <c r="S125" s="919">
        <f t="shared" si="30"/>
        <v>1</v>
      </c>
      <c r="T125" s="176">
        <f t="shared" si="31"/>
        <v>7</v>
      </c>
      <c r="U125" s="251">
        <f t="shared" si="32"/>
        <v>1.0562234751581343</v>
      </c>
      <c r="V125" s="383">
        <f t="shared" si="33"/>
        <v>52.722350732989128</v>
      </c>
      <c r="W125" s="402">
        <f t="shared" si="34"/>
        <v>9.1222571153661942</v>
      </c>
      <c r="X125" s="157">
        <f t="shared" si="35"/>
        <v>45402</v>
      </c>
      <c r="Y125" s="385">
        <f t="shared" si="36"/>
        <v>8.4354086972122122</v>
      </c>
      <c r="Z125" s="385">
        <f t="shared" si="37"/>
        <v>8.8438855874041788</v>
      </c>
      <c r="AA125" s="386">
        <f t="shared" si="38"/>
        <v>10.068205841627613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0.12160262448761293</v>
      </c>
      <c r="AD125" s="231">
        <f>(INDEX(Models!$BJ125:$BT125,,AH125)*(1-AF125)+INDEX(Models!$BJ125:$BT125,,AH125+1)*AF125-ERP_i)*AE125*Ramure*Pc/MaxiM</f>
        <v>9.4750564096456296E-4</v>
      </c>
      <c r="AE125" s="305">
        <f t="shared" si="40"/>
        <v>0.7</v>
      </c>
      <c r="AF125" s="177">
        <f t="shared" si="41"/>
        <v>5.6223475158134306E-2</v>
      </c>
      <c r="AG125" s="919">
        <f t="shared" si="49"/>
        <v>1</v>
      </c>
      <c r="AH125" s="176">
        <f t="shared" si="42"/>
        <v>7</v>
      </c>
      <c r="AI125" s="225">
        <f t="shared" si="43"/>
        <v>1.0562234751581343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1090">
        <f>IF(t&gt;Tmaj,'2023'!Wh/'2023'!Env_an*'2024'!Env_an,0.001*'[6]mon-tableau'!$B$58)</f>
        <v>27.580479846462982</v>
      </c>
      <c r="C126" s="953"/>
      <c r="D126" s="393">
        <f t="shared" si="25"/>
        <v>28.916672507993013</v>
      </c>
      <c r="E126" s="385">
        <f t="shared" si="47"/>
        <v>30.444889454071411</v>
      </c>
      <c r="F126" s="385">
        <f t="shared" si="26"/>
        <v>30.454472401590682</v>
      </c>
      <c r="G126" s="110">
        <f t="shared" si="48"/>
        <v>0.52186160450305608</v>
      </c>
      <c r="H126" s="412" t="b">
        <f>Wh_hp&gt;='2023'!Maxi_hp</f>
        <v>0</v>
      </c>
      <c r="I126" s="390">
        <f>IF(H126,Wh_hp,'2023'!Maxi_hp)</f>
        <v>60.094501166563738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4.6208382418851501E-2</v>
      </c>
      <c r="M126" s="957"/>
      <c r="N126" s="957"/>
      <c r="O126" s="48">
        <f>IF(t&lt;Tnet,'2023'!Resal+('2023'!Salim-'2023'!Resal)*(1-EXP(('2023'!Tnet-t)/('2023'!Tau_j))),Resal+(Salim-Resal)*(1-EXP((Tnet-t)/(Tau_j))))*Salcycl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9.9122591330453214E-4</v>
      </c>
      <c r="Q126" s="305">
        <f t="shared" si="28"/>
        <v>0.7</v>
      </c>
      <c r="R126" s="177">
        <f t="shared" si="29"/>
        <v>5.8328758705016748E-2</v>
      </c>
      <c r="S126" s="919">
        <f t="shared" si="30"/>
        <v>1</v>
      </c>
      <c r="T126" s="176">
        <f t="shared" si="31"/>
        <v>7</v>
      </c>
      <c r="U126" s="251">
        <f t="shared" si="32"/>
        <v>1.0583287587050167</v>
      </c>
      <c r="V126" s="383">
        <f t="shared" si="33"/>
        <v>52.814412580580353</v>
      </c>
      <c r="W126" s="402">
        <f t="shared" si="34"/>
        <v>27.580479846462982</v>
      </c>
      <c r="X126" s="157">
        <f t="shared" si="35"/>
        <v>45403</v>
      </c>
      <c r="Y126" s="385">
        <f t="shared" si="36"/>
        <v>25.504994930227394</v>
      </c>
      <c r="Z126" s="385">
        <f t="shared" si="37"/>
        <v>26.740636487149072</v>
      </c>
      <c r="AA126" s="386">
        <f t="shared" si="38"/>
        <v>30.444889454071411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0.12167076423484822</v>
      </c>
      <c r="AD126" s="231">
        <f>(INDEX(Models!$BJ126:$BT126,,AH126)*(1-AF126)+INDEX(Models!$BJ126:$BT126,,AH126+1)*AF126-ERP_i)*AE126*Ramure*Pc/MaxiM</f>
        <v>9.9122591330453214E-4</v>
      </c>
      <c r="AE126" s="305">
        <f t="shared" si="40"/>
        <v>0.7</v>
      </c>
      <c r="AF126" s="177">
        <f t="shared" si="41"/>
        <v>5.8328758705016748E-2</v>
      </c>
      <c r="AG126" s="919">
        <f t="shared" si="49"/>
        <v>1</v>
      </c>
      <c r="AH126" s="176">
        <f t="shared" si="42"/>
        <v>7</v>
      </c>
      <c r="AI126" s="225">
        <f t="shared" si="43"/>
        <v>1.0583287587050167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1090">
        <f>IF(t&gt;Tmaj,'2023'!Wh/'2023'!Env_an*'2024'!Env_an,0.001*'[6]mon-tableau'!$B$59)</f>
        <v>9.4765764679952103</v>
      </c>
      <c r="C127" s="953"/>
      <c r="D127" s="393">
        <f t="shared" si="25"/>
        <v>9.935906186637034</v>
      </c>
      <c r="E127" s="385">
        <f t="shared" si="47"/>
        <v>10.46230023505264</v>
      </c>
      <c r="F127" s="385">
        <f t="shared" si="26"/>
        <v>10.46230023505264</v>
      </c>
      <c r="G127" s="110">
        <f t="shared" si="48"/>
        <v>0.17894702923496225</v>
      </c>
      <c r="H127" s="412" t="b">
        <f>Wh_hp&gt;='2023'!Maxi_hp</f>
        <v>0</v>
      </c>
      <c r="I127" s="390">
        <f>IF(H127,Wh_hp,'2023'!Maxi_hp)</f>
        <v>60.511949341362161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4.6229272903118179E-2</v>
      </c>
      <c r="M127" s="957"/>
      <c r="N127" s="957"/>
      <c r="O127" s="48">
        <f>IF(t&lt;Tnet,'2023'!Resal+('2023'!Salim-'2023'!Resal)*(1-EXP(('2023'!Tnet-t)/('2023'!Tau_j))),Resal+(Salim-Resal)*(1-EXP((Tnet-t)/(Tau_j))))*Salcycl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1.0395970934868192E-3</v>
      </c>
      <c r="Q127" s="305">
        <f t="shared" si="28"/>
        <v>0.7</v>
      </c>
      <c r="R127" s="177">
        <f t="shared" si="29"/>
        <v>6.0501227709050198E-2</v>
      </c>
      <c r="S127" s="919">
        <f t="shared" si="30"/>
        <v>1</v>
      </c>
      <c r="T127" s="176">
        <f t="shared" si="31"/>
        <v>7</v>
      </c>
      <c r="U127" s="251">
        <f t="shared" si="32"/>
        <v>1.0605012277090502</v>
      </c>
      <c r="V127" s="383">
        <f t="shared" si="33"/>
        <v>52.902385063977867</v>
      </c>
      <c r="W127" s="402">
        <f t="shared" si="34"/>
        <v>9.4765764679952103</v>
      </c>
      <c r="X127" s="157">
        <f t="shared" si="35"/>
        <v>45404</v>
      </c>
      <c r="Y127" s="385">
        <f t="shared" si="36"/>
        <v>8.7638305156243312</v>
      </c>
      <c r="Z127" s="385">
        <f t="shared" si="37"/>
        <v>9.1886134336497847</v>
      </c>
      <c r="AA127" s="386">
        <f t="shared" si="38"/>
        <v>10.46230023505264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0.12174060892799887</v>
      </c>
      <c r="AD127" s="231">
        <f>(INDEX(Models!$BJ127:$BT127,,AH127)*(1-AF127)+INDEX(Models!$BJ127:$BT127,,AH127+1)*AF127-ERP_i)*AE127*Ramure*Pc/MaxiM</f>
        <v>1.0395970934868192E-3</v>
      </c>
      <c r="AE127" s="305">
        <f t="shared" si="40"/>
        <v>0.7</v>
      </c>
      <c r="AF127" s="177">
        <f t="shared" si="41"/>
        <v>6.0501227709050198E-2</v>
      </c>
      <c r="AG127" s="919">
        <f t="shared" si="49"/>
        <v>1</v>
      </c>
      <c r="AH127" s="176">
        <f t="shared" si="42"/>
        <v>7</v>
      </c>
      <c r="AI127" s="225">
        <f t="shared" si="43"/>
        <v>1.0605012277090502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1090">
        <f>IF(t&gt;Tmaj,'2023'!Wh/'2023'!Env_an*'2024'!Env_an,0.001*'[6]mon-tableau'!$B$60)</f>
        <v>24.358663484859132</v>
      </c>
      <c r="C128" s="953"/>
      <c r="D128" s="393">
        <f t="shared" si="25"/>
        <v>25.53988744017682</v>
      </c>
      <c r="E128" s="385">
        <f t="shared" si="47"/>
        <v>26.896304108418114</v>
      </c>
      <c r="F128" s="385">
        <f t="shared" si="26"/>
        <v>26.903018639167311</v>
      </c>
      <c r="G128" s="110">
        <f t="shared" si="48"/>
        <v>0.45932971893099006</v>
      </c>
      <c r="H128" s="412" t="b">
        <f>Wh_hp&gt;='2023'!Maxi_hp</f>
        <v>0</v>
      </c>
      <c r="I128" s="390">
        <f>IF(H128,Wh_hp,'2023'!Maxi_hp)</f>
        <v>59.112989516648078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4.6250162929829641E-2</v>
      </c>
      <c r="M128" s="957"/>
      <c r="N128" s="957"/>
      <c r="O128" s="48">
        <f>IF(t&lt;Tnet,'2023'!Resal+('2023'!Salim-'2023'!Resal)*(1-EXP(('2023'!Tnet-t)/('2023'!Tau_j))),Resal+(Salim-Resal)*(1-EXP((Tnet-t)/(Tau_j))))*Salcycl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1.0938530671372878E-3</v>
      </c>
      <c r="Q128" s="305">
        <f t="shared" si="28"/>
        <v>0.7</v>
      </c>
      <c r="R128" s="177">
        <f t="shared" si="29"/>
        <v>6.2742227095631709E-2</v>
      </c>
      <c r="S128" s="919">
        <f t="shared" si="30"/>
        <v>1</v>
      </c>
      <c r="T128" s="176">
        <f t="shared" si="31"/>
        <v>7</v>
      </c>
      <c r="U128" s="251">
        <f t="shared" si="32"/>
        <v>1.0627422270956317</v>
      </c>
      <c r="V128" s="383">
        <f t="shared" si="33"/>
        <v>52.986105737236045</v>
      </c>
      <c r="W128" s="402">
        <f t="shared" si="34"/>
        <v>24.358663484859132</v>
      </c>
      <c r="X128" s="157">
        <f t="shared" si="35"/>
        <v>45405</v>
      </c>
      <c r="Y128" s="385">
        <f t="shared" si="36"/>
        <v>22.527577957392076</v>
      </c>
      <c r="Z128" s="385">
        <f t="shared" si="37"/>
        <v>23.620007135827851</v>
      </c>
      <c r="AA128" s="386">
        <f t="shared" si="38"/>
        <v>26.896304108418114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0.12181216271884851</v>
      </c>
      <c r="AD128" s="231">
        <f>(INDEX(Models!$BJ128:$BT128,,AH128)*(1-AF128)+INDEX(Models!$BJ128:$BT128,,AH128+1)*AF128-ERP_i)*AE128*Ramure*Pc/MaxiM</f>
        <v>1.0938530671372878E-3</v>
      </c>
      <c r="AE128" s="305">
        <f t="shared" si="40"/>
        <v>0.7</v>
      </c>
      <c r="AF128" s="177">
        <f t="shared" si="41"/>
        <v>6.2742227095631709E-2</v>
      </c>
      <c r="AG128" s="919">
        <f t="shared" si="49"/>
        <v>1</v>
      </c>
      <c r="AH128" s="176">
        <f t="shared" si="42"/>
        <v>7</v>
      </c>
      <c r="AI128" s="225">
        <f t="shared" si="43"/>
        <v>1.0627422270956317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1090">
        <f>IF(t&gt;Tmaj,'2023'!Wh/'2023'!Env_an*'2024'!Env_an,0.001*'[6]mon-tableau'!$B$61)</f>
        <v>46.196430586617787</v>
      </c>
      <c r="C129" s="953"/>
      <c r="D129" s="393">
        <f t="shared" si="25"/>
        <v>48.437693652544979</v>
      </c>
      <c r="E129" s="385">
        <f t="shared" si="47"/>
        <v>51.016579460371823</v>
      </c>
      <c r="F129" s="385">
        <f t="shared" si="26"/>
        <v>51.064524442797435</v>
      </c>
      <c r="G129" s="110">
        <f t="shared" si="48"/>
        <v>0.87036784090387054</v>
      </c>
      <c r="H129" s="412" t="b">
        <f>Wh_hp&gt;='2023'!Maxi_hp</f>
        <v>0</v>
      </c>
      <c r="I129" s="390">
        <f>IF(H129,Wh_hp,'2023'!Maxi_hp)</f>
        <v>55.415664195239167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4.627105249899599E-2</v>
      </c>
      <c r="M129" s="957"/>
      <c r="N129" s="957"/>
      <c r="O129" s="48">
        <f>IF(t&lt;Tnet,'2023'!Resal+('2023'!Salim-'2023'!Resal)*(1-EXP(('2023'!Tnet-t)/('2023'!Tau_j))),Resal+(Salim-Resal)*(1-EXP((Tnet-t)/(Tau_j))))*Salcycl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1.1519286212807464E-3</v>
      </c>
      <c r="Q129" s="305">
        <f t="shared" si="28"/>
        <v>0.7</v>
      </c>
      <c r="R129" s="177">
        <f t="shared" si="29"/>
        <v>6.5053068600597452E-2</v>
      </c>
      <c r="S129" s="919">
        <f t="shared" si="30"/>
        <v>1</v>
      </c>
      <c r="T129" s="176">
        <f t="shared" si="31"/>
        <v>7</v>
      </c>
      <c r="U129" s="251">
        <f t="shared" si="32"/>
        <v>1.0650530686005975</v>
      </c>
      <c r="V129" s="383">
        <f t="shared" si="33"/>
        <v>53.065587282309728</v>
      </c>
      <c r="W129" s="402">
        <f t="shared" si="34"/>
        <v>46.196430586617787</v>
      </c>
      <c r="X129" s="157">
        <f t="shared" si="35"/>
        <v>45406</v>
      </c>
      <c r="Y129" s="385">
        <f t="shared" si="36"/>
        <v>42.725532686739655</v>
      </c>
      <c r="Z129" s="385">
        <f t="shared" si="37"/>
        <v>44.798401892582461</v>
      </c>
      <c r="AA129" s="386">
        <f t="shared" si="38"/>
        <v>51.016579460371823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0.12188542692517172</v>
      </c>
      <c r="AD129" s="231">
        <f>(INDEX(Models!$BJ129:$BT129,,AH129)*(1-AF129)+INDEX(Models!$BJ129:$BT129,,AH129+1)*AF129-ERP_i)*AE129*Ramure*Pc/MaxiM</f>
        <v>1.1519286212807464E-3</v>
      </c>
      <c r="AE129" s="305">
        <f t="shared" si="40"/>
        <v>0.7</v>
      </c>
      <c r="AF129" s="177">
        <f t="shared" si="41"/>
        <v>6.5053068600597452E-2</v>
      </c>
      <c r="AG129" s="919">
        <f t="shared" si="49"/>
        <v>1</v>
      </c>
      <c r="AH129" s="176">
        <f t="shared" si="42"/>
        <v>7</v>
      </c>
      <c r="AI129" s="225">
        <f t="shared" si="43"/>
        <v>1.0650530686005975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1090">
        <f>IF(t&gt;Tmaj,'2023'!Wh/'2023'!Env_an*'2024'!Env_an,0.001*'[6]mon-tableau'!$B$62)</f>
        <v>51.664134682960707</v>
      </c>
      <c r="C130" s="953"/>
      <c r="D130" s="393">
        <f t="shared" si="25"/>
        <v>54.171855033091951</v>
      </c>
      <c r="E130" s="385">
        <f t="shared" si="47"/>
        <v>57.0632055456473</v>
      </c>
      <c r="F130" s="385">
        <f t="shared" si="26"/>
        <v>57.129802637140557</v>
      </c>
      <c r="G130" s="110">
        <f t="shared" si="48"/>
        <v>0.97216660266505572</v>
      </c>
      <c r="H130" s="412" t="b">
        <f>Wh_hp&gt;='2023'!Maxi_hp</f>
        <v>0</v>
      </c>
      <c r="I130" s="390">
        <f>IF(H130,Wh_hp,'2023'!Maxi_hp)</f>
        <v>57.131017764078706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4.6291941610626997E-2</v>
      </c>
      <c r="M130" s="957"/>
      <c r="N130" s="957"/>
      <c r="O130" s="48">
        <f>IF(t&lt;Tnet,'2023'!Resal+('2023'!Salim-'2023'!Resal)*(1-EXP(('2023'!Tnet-t)/('2023'!Tau_j))),Resal+(Salim-Resal)*(1-EXP((Tnet-t)/(Tau_j))))*Salcycl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1.2139012146954538E-3</v>
      </c>
      <c r="Q130" s="305">
        <f t="shared" si="28"/>
        <v>0.7</v>
      </c>
      <c r="R130" s="177">
        <f t="shared" si="29"/>
        <v>6.7435025378456359E-2</v>
      </c>
      <c r="S130" s="919">
        <f t="shared" si="30"/>
        <v>1</v>
      </c>
      <c r="T130" s="176">
        <f t="shared" si="31"/>
        <v>7</v>
      </c>
      <c r="U130" s="251">
        <f t="shared" si="32"/>
        <v>1.0674350253784564</v>
      </c>
      <c r="V130" s="383">
        <f t="shared" si="33"/>
        <v>53.140729334041595</v>
      </c>
      <c r="W130" s="402">
        <f t="shared" si="34"/>
        <v>51.664134682960707</v>
      </c>
      <c r="X130" s="157">
        <f t="shared" si="35"/>
        <v>45407</v>
      </c>
      <c r="Y130" s="385">
        <f t="shared" si="36"/>
        <v>47.784354113809265</v>
      </c>
      <c r="Z130" s="385">
        <f t="shared" si="37"/>
        <v>50.103754176626886</v>
      </c>
      <c r="AA130" s="386">
        <f t="shared" si="38"/>
        <v>57.0632055456473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0.12196039991923077</v>
      </c>
      <c r="AD130" s="231">
        <f>(INDEX(Models!$BJ130:$BT130,,AH130)*(1-AF130)+INDEX(Models!$BJ130:$BT130,,AH130+1)*AF130-ERP_i)*AE130*Ramure*Pc/MaxiM</f>
        <v>1.2139012146954538E-3</v>
      </c>
      <c r="AE130" s="305">
        <f t="shared" si="40"/>
        <v>0.7</v>
      </c>
      <c r="AF130" s="177">
        <f t="shared" si="41"/>
        <v>6.7435025378456359E-2</v>
      </c>
      <c r="AG130" s="919">
        <f t="shared" si="49"/>
        <v>1</v>
      </c>
      <c r="AH130" s="176">
        <f t="shared" si="42"/>
        <v>7</v>
      </c>
      <c r="AI130" s="225">
        <f t="shared" si="43"/>
        <v>1.0674350253784564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1090">
        <f>IF(t&gt;Tmaj,'2023'!Wh/'2023'!Env_an*'2024'!Env_an,0.001*'[6]mon-tableau'!$B$63)</f>
        <v>38.079997727106914</v>
      </c>
      <c r="C131" s="953"/>
      <c r="D131" s="393">
        <f t="shared" si="25"/>
        <v>39.929233542774305</v>
      </c>
      <c r="E131" s="385">
        <f t="shared" si="47"/>
        <v>42.065720459919696</v>
      </c>
      <c r="F131" s="385">
        <f t="shared" si="26"/>
        <v>42.097711869777228</v>
      </c>
      <c r="G131" s="110">
        <f t="shared" si="48"/>
        <v>0.71526329971215974</v>
      </c>
      <c r="H131" s="412" t="b">
        <f>Wh_hp&gt;='2023'!Maxi_hp</f>
        <v>0</v>
      </c>
      <c r="I131" s="390">
        <f>IF(H131,Wh_hp,'2023'!Maxi_hp)</f>
        <v>42.107137345692962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4.6312830264732985E-2</v>
      </c>
      <c r="M131" s="957"/>
      <c r="N131" s="957"/>
      <c r="O131" s="48">
        <f>IF(t&lt;Tnet,'2023'!Resal+('2023'!Salim-'2023'!Resal)*(1-EXP(('2023'!Tnet-t)/('2023'!Tau_j))),Resal+(Salim-Resal)*(1-EXP((Tnet-t)/(Tau_j))))*Salcycl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1.2798531177278859E-3</v>
      </c>
      <c r="Q131" s="305">
        <f t="shared" si="28"/>
        <v>0.7</v>
      </c>
      <c r="R131" s="177">
        <f t="shared" si="29"/>
        <v>6.9889326365591309E-2</v>
      </c>
      <c r="S131" s="919">
        <f t="shared" si="30"/>
        <v>1</v>
      </c>
      <c r="T131" s="176">
        <f t="shared" si="31"/>
        <v>7</v>
      </c>
      <c r="U131" s="251">
        <f t="shared" si="32"/>
        <v>1.0698893263655913</v>
      </c>
      <c r="V131" s="383">
        <f t="shared" si="33"/>
        <v>53.211431511726445</v>
      </c>
      <c r="W131" s="402">
        <f t="shared" si="34"/>
        <v>38.079997727106914</v>
      </c>
      <c r="X131" s="157">
        <f t="shared" si="35"/>
        <v>45408</v>
      </c>
      <c r="Y131" s="385">
        <f t="shared" si="36"/>
        <v>35.221710827353164</v>
      </c>
      <c r="Z131" s="385">
        <f t="shared" si="37"/>
        <v>36.932142892443778</v>
      </c>
      <c r="AA131" s="386">
        <f t="shared" si="38"/>
        <v>42.065720459919696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0.12203707701540967</v>
      </c>
      <c r="AD131" s="231">
        <f>(INDEX(Models!$BJ131:$BT131,,AH131)*(1-AF131)+INDEX(Models!$BJ131:$BT131,,AH131+1)*AF131-ERP_i)*AE131*Ramure*Pc/MaxiM</f>
        <v>1.2798531177278859E-3</v>
      </c>
      <c r="AE131" s="305">
        <f t="shared" si="40"/>
        <v>0.7</v>
      </c>
      <c r="AF131" s="177">
        <f t="shared" si="41"/>
        <v>6.9889326365591309E-2</v>
      </c>
      <c r="AG131" s="919">
        <f t="shared" si="49"/>
        <v>1</v>
      </c>
      <c r="AH131" s="176">
        <f t="shared" si="42"/>
        <v>7</v>
      </c>
      <c r="AI131" s="225">
        <f t="shared" si="43"/>
        <v>1.0698893263655913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1090">
        <f>IF(t&gt;Tmaj,'2023'!Wh/'2023'!Env_an*'2024'!Env_an,0.001*'[6]mon-tableau'!$B$64)</f>
        <v>20.478964571069504</v>
      </c>
      <c r="C132" s="953"/>
      <c r="D132" s="393">
        <f t="shared" si="25"/>
        <v>21.4739316755837</v>
      </c>
      <c r="E132" s="385">
        <f t="shared" si="47"/>
        <v>22.625810726921003</v>
      </c>
      <c r="F132" s="385">
        <f t="shared" si="26"/>
        <v>22.629493039097781</v>
      </c>
      <c r="G132" s="110">
        <f t="shared" si="48"/>
        <v>0.38392591902184714</v>
      </c>
      <c r="H132" s="412" t="b">
        <f>Wh_hp&gt;='2023'!Maxi_hp</f>
        <v>0</v>
      </c>
      <c r="I132" s="390">
        <f>IF(H132,Wh_hp,'2023'!Maxi_hp)</f>
        <v>44.927139058198264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4.6333718461323725E-2</v>
      </c>
      <c r="M132" s="957"/>
      <c r="N132" s="957"/>
      <c r="O132" s="48">
        <f>IF(t&lt;Tnet,'2023'!Resal+('2023'!Salim-'2023'!Resal)*(1-EXP(('2023'!Tnet-t)/('2023'!Tau_j))),Resal+(Salim-Resal)*(1-EXP((Tnet-t)/(Tau_j))))*Salcycl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1.3498713996918182E-3</v>
      </c>
      <c r="Q132" s="305">
        <f t="shared" si="28"/>
        <v>0.7</v>
      </c>
      <c r="R132" s="177">
        <f t="shared" si="29"/>
        <v>7.2417150408468745E-2</v>
      </c>
      <c r="S132" s="919">
        <f t="shared" si="30"/>
        <v>1</v>
      </c>
      <c r="T132" s="176">
        <f t="shared" si="31"/>
        <v>7</v>
      </c>
      <c r="U132" s="251">
        <f t="shared" si="32"/>
        <v>1.0724171504084687</v>
      </c>
      <c r="V132" s="383">
        <f t="shared" si="33"/>
        <v>53.27759342798295</v>
      </c>
      <c r="W132" s="402">
        <f t="shared" si="34"/>
        <v>20.478964571069504</v>
      </c>
      <c r="X132" s="157">
        <f t="shared" si="35"/>
        <v>45409</v>
      </c>
      <c r="Y132" s="385">
        <f t="shared" si="36"/>
        <v>18.942529976292235</v>
      </c>
      <c r="Z132" s="385">
        <f t="shared" si="37"/>
        <v>19.862849660291793</v>
      </c>
      <c r="AA132" s="386">
        <f t="shared" si="38"/>
        <v>22.625810726921003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0.12211545035784006</v>
      </c>
      <c r="AD132" s="231">
        <f>(INDEX(Models!$BJ132:$BT132,,AH132)*(1-AF132)+INDEX(Models!$BJ132:$BT132,,AH132+1)*AF132-ERP_i)*AE132*Ramure*Pc/MaxiM</f>
        <v>1.3498713996918182E-3</v>
      </c>
      <c r="AE132" s="305">
        <f t="shared" si="40"/>
        <v>0.7</v>
      </c>
      <c r="AF132" s="177">
        <f t="shared" si="41"/>
        <v>7.2417150408468745E-2</v>
      </c>
      <c r="AG132" s="919">
        <f t="shared" si="49"/>
        <v>1</v>
      </c>
      <c r="AH132" s="176">
        <f t="shared" si="42"/>
        <v>7</v>
      </c>
      <c r="AI132" s="225">
        <f t="shared" si="43"/>
        <v>1.0724171504084687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1090">
        <f>IF(t&gt;Tmaj,'2023'!Wh/'2023'!Env_an*'2024'!Env_an,0.001*'[6]mon-tableau'!$B$65)</f>
        <v>41.457150685323882</v>
      </c>
      <c r="C133" s="953"/>
      <c r="D133" s="393">
        <f t="shared" si="25"/>
        <v>43.472291645164844</v>
      </c>
      <c r="E133" s="385">
        <f t="shared" si="47"/>
        <v>45.810039561234547</v>
      </c>
      <c r="F133" s="385">
        <f t="shared" si="26"/>
        <v>45.854558363816246</v>
      </c>
      <c r="G133" s="110">
        <f t="shared" si="48"/>
        <v>0.77688475299951076</v>
      </c>
      <c r="H133" s="412" t="b">
        <f>Wh_hp&gt;='2023'!Maxi_hp</f>
        <v>0</v>
      </c>
      <c r="I133" s="390">
        <f>IF(H133,Wh_hp,'2023'!Maxi_hp)</f>
        <v>53.012856919854819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4.6354606200409432E-2</v>
      </c>
      <c r="M133" s="957"/>
      <c r="N133" s="957"/>
      <c r="O133" s="48">
        <f>IF(t&lt;Tnet,'2023'!Resal+('2023'!Salim-'2023'!Resal)*(1-EXP(('2023'!Tnet-t)/('2023'!Tau_j))),Resal+(Salim-Resal)*(1-EXP((Tnet-t)/(Tau_j))))*Salcycl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1.4240479054772252E-3</v>
      </c>
      <c r="Q133" s="305">
        <f t="shared" si="28"/>
        <v>0.7</v>
      </c>
      <c r="R133" s="177">
        <f t="shared" si="29"/>
        <v>7.5019620169600731E-2</v>
      </c>
      <c r="S133" s="919">
        <f t="shared" si="30"/>
        <v>1</v>
      </c>
      <c r="T133" s="176">
        <f t="shared" si="31"/>
        <v>7</v>
      </c>
      <c r="U133" s="251">
        <f t="shared" si="32"/>
        <v>1.0750196201696007</v>
      </c>
      <c r="V133" s="383">
        <f t="shared" si="33"/>
        <v>53.339114703180478</v>
      </c>
      <c r="W133" s="402">
        <f t="shared" si="34"/>
        <v>41.457150685323882</v>
      </c>
      <c r="X133" s="157">
        <f t="shared" si="35"/>
        <v>45410</v>
      </c>
      <c r="Y133" s="385">
        <f t="shared" si="36"/>
        <v>38.34823506275395</v>
      </c>
      <c r="Z133" s="385">
        <f t="shared" si="37"/>
        <v>40.212258468489878</v>
      </c>
      <c r="AA133" s="386">
        <f t="shared" si="38"/>
        <v>45.810039561234547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0.12219550880898246</v>
      </c>
      <c r="AD133" s="231">
        <f>(INDEX(Models!$BJ133:$BT133,,AH133)*(1-AF133)+INDEX(Models!$BJ133:$BT133,,AH133+1)*AF133-ERP_i)*AE133*Ramure*Pc/MaxiM</f>
        <v>1.4240479054772252E-3</v>
      </c>
      <c r="AE133" s="305">
        <f t="shared" si="40"/>
        <v>0.7</v>
      </c>
      <c r="AF133" s="177">
        <f t="shared" si="41"/>
        <v>7.5019620169600731E-2</v>
      </c>
      <c r="AG133" s="919">
        <f t="shared" si="49"/>
        <v>1</v>
      </c>
      <c r="AH133" s="176">
        <f t="shared" si="42"/>
        <v>7</v>
      </c>
      <c r="AI133" s="225">
        <f t="shared" si="43"/>
        <v>1.0750196201696007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1090">
        <f>IF(t&gt;Tmaj,'2023'!Wh/'2023'!Env_an*'2024'!Env_an,0.001*'[6]mon-tableau'!$B$66)</f>
        <v>40.422953152604912</v>
      </c>
      <c r="C134" s="953"/>
      <c r="D134" s="393">
        <f t="shared" si="25"/>
        <v>42.388752466316696</v>
      </c>
      <c r="E134" s="385">
        <f t="shared" si="47"/>
        <v>44.673979426113739</v>
      </c>
      <c r="F134" s="385">
        <f t="shared" si="26"/>
        <v>44.717847418217957</v>
      </c>
      <c r="G134" s="110">
        <f t="shared" si="48"/>
        <v>0.75664716443685209</v>
      </c>
      <c r="H134" s="412" t="b">
        <f>Wh_hp&gt;='2023'!Maxi_hp</f>
        <v>0</v>
      </c>
      <c r="I134" s="390">
        <f>IF(H134,Wh_hp,'2023'!Maxi_hp)</f>
        <v>59.629748537925202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4.6375493482000096E-2</v>
      </c>
      <c r="M134" s="957"/>
      <c r="N134" s="957"/>
      <c r="O134" s="48">
        <f>IF(t&lt;Tnet,'2023'!Resal+('2023'!Salim-'2023'!Resal)*(1-EXP(('2023'!Tnet-t)/('2023'!Tau_j))),Resal+(Salim-Resal)*(1-EXP((Tnet-t)/(Tau_j))))*Salcycl</f>
        <v>5.1153422845989734E-2</v>
      </c>
      <c r="P134" s="169">
        <f>(INDEX(Models!$BJ134:$BT134,,T134)*(1-R134)+INDEX(Models!$BJ134:$BT134,,T134+1)*R134-ERP_i)*Q134*Ramure*Pc/MaxiM</f>
        <v>1.5024792211972568E-3</v>
      </c>
      <c r="Q134" s="305">
        <f t="shared" si="28"/>
        <v>0.7</v>
      </c>
      <c r="R134" s="177">
        <f t="shared" si="29"/>
        <v>7.7697795826879856E-2</v>
      </c>
      <c r="S134" s="919">
        <f t="shared" si="30"/>
        <v>1</v>
      </c>
      <c r="T134" s="176">
        <f t="shared" si="31"/>
        <v>7</v>
      </c>
      <c r="U134" s="251">
        <f t="shared" si="32"/>
        <v>1.0776977958268799</v>
      </c>
      <c r="V134" s="383">
        <f t="shared" si="33"/>
        <v>53.395894977664888</v>
      </c>
      <c r="W134" s="402">
        <f t="shared" si="34"/>
        <v>40.422953152604912</v>
      </c>
      <c r="X134" s="157">
        <f t="shared" si="35"/>
        <v>45411</v>
      </c>
      <c r="Y134" s="385">
        <f t="shared" si="36"/>
        <v>37.392922048767133</v>
      </c>
      <c r="Z134" s="385">
        <f t="shared" si="37"/>
        <v>39.211368618557344</v>
      </c>
      <c r="AA134" s="386">
        <f t="shared" si="38"/>
        <v>44.673979426113739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0.12227723784022869</v>
      </c>
      <c r="AD134" s="231">
        <f>(INDEX(Models!$BJ134:$BT134,,AH134)*(1-AF134)+INDEX(Models!$BJ134:$BT134,,AH134+1)*AF134-ERP_i)*AE134*Ramure*Pc/MaxiM</f>
        <v>1.5024792211972568E-3</v>
      </c>
      <c r="AE134" s="305">
        <f t="shared" si="40"/>
        <v>0.7</v>
      </c>
      <c r="AF134" s="177">
        <f t="shared" si="41"/>
        <v>7.7697795826879856E-2</v>
      </c>
      <c r="AG134" s="919">
        <f t="shared" si="49"/>
        <v>1</v>
      </c>
      <c r="AH134" s="176">
        <f t="shared" si="42"/>
        <v>7</v>
      </c>
      <c r="AI134" s="225">
        <f t="shared" si="43"/>
        <v>1.0776977958268799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1090">
        <f>IF(t&gt;Tmaj,'2023'!Wh/'2023'!Env_an*'2024'!Env_an,0.001*[7]mois!$B$38)</f>
        <v>47.303999260499189</v>
      </c>
      <c r="C135" s="953"/>
      <c r="D135" s="393">
        <f t="shared" si="25"/>
        <v>49.605515628898004</v>
      </c>
      <c r="E135" s="385">
        <f t="shared" si="47"/>
        <v>50.010231685806303</v>
      </c>
      <c r="F135" s="385">
        <f t="shared" si="26"/>
        <v>50.072206314398564</v>
      </c>
      <c r="G135" s="110">
        <f t="shared" si="48"/>
        <v>0.84623007012585205</v>
      </c>
      <c r="H135" s="412" t="b">
        <f>Wh_hp&gt;='2023'!Maxi_hp</f>
        <v>0</v>
      </c>
      <c r="I135" s="390">
        <f>IF(H135,Wh_hp,'2023'!Maxi_hp)</f>
        <v>57.486763345827086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4.63963803061056E-2</v>
      </c>
      <c r="M135" s="957"/>
      <c r="N135" s="957"/>
      <c r="O135" s="48">
        <f>IF(t&lt;Tnet,'2023'!Resal+('2023'!Salim-'2023'!Resal)*(1-EXP(('2023'!Tnet-t)/('2023'!Tau_j))),Resal+(Salim-Resal)*(1-EXP((Tnet-t)/(Tau_j))))*Salcycl</f>
        <v>8.0926651060319096E-3</v>
      </c>
      <c r="P135" s="169">
        <f>(INDEX(Models!$BJ135:$BT135,,T135)*(1-R135)+INDEX(Models!$BJ135:$BT135,,T135+1)*R135-ERP_i)*Q135*Ramure*Pc/MaxiM</f>
        <v>1.5852781690906387E-3</v>
      </c>
      <c r="Q135" s="305">
        <f t="shared" si="28"/>
        <v>0.7</v>
      </c>
      <c r="R135" s="177">
        <f t="shared" si="29"/>
        <v>8.0452668584939824E-2</v>
      </c>
      <c r="S135" s="919">
        <f t="shared" si="30"/>
        <v>1</v>
      </c>
      <c r="T135" s="176">
        <f t="shared" si="31"/>
        <v>7</v>
      </c>
      <c r="U135" s="251">
        <f t="shared" si="32"/>
        <v>1.0804526685849398</v>
      </c>
      <c r="V135" s="383">
        <f t="shared" si="33"/>
        <v>55.880237493188297</v>
      </c>
      <c r="W135" s="402">
        <f t="shared" si="34"/>
        <v>47.303999260499189</v>
      </c>
      <c r="X135" s="157">
        <f t="shared" si="35"/>
        <v>45412</v>
      </c>
      <c r="Y135" s="385">
        <f t="shared" si="36"/>
        <v>45.244579747862751</v>
      </c>
      <c r="Z135" s="385">
        <f t="shared" si="37"/>
        <v>47.445897659644167</v>
      </c>
      <c r="AA135" s="386">
        <f t="shared" si="38"/>
        <v>50.010231685806303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5.1276187686407751E-2</v>
      </c>
      <c r="AD135" s="231">
        <f>(INDEX(Models!$BJ135:$BT135,,AH135)*(1-AF135)+INDEX(Models!$BJ135:$BT135,,AH135+1)*AF135-ERP_i)*AE135*Ramure*Pc/MaxiM</f>
        <v>1.5852781690906387E-3</v>
      </c>
      <c r="AE135" s="305">
        <f t="shared" si="40"/>
        <v>0.7</v>
      </c>
      <c r="AF135" s="177">
        <f t="shared" si="41"/>
        <v>8.0452668584939824E-2</v>
      </c>
      <c r="AG135" s="919">
        <f t="shared" si="49"/>
        <v>1</v>
      </c>
      <c r="AH135" s="176">
        <f t="shared" si="42"/>
        <v>7</v>
      </c>
      <c r="AI135" s="225">
        <f t="shared" si="43"/>
        <v>1.0804526685849398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1090">
        <f>IF(t&gt;Tmaj,'2023'!Wh/'2023'!Env_an*'2024'!Env_an,0.001*[7]mois!$B$39)</f>
        <v>27.707689556579837</v>
      </c>
      <c r="C136" s="953"/>
      <c r="D136" s="393">
        <f t="shared" si="25"/>
        <v>29.056408624243328</v>
      </c>
      <c r="E136" s="385">
        <f t="shared" si="47"/>
        <v>29.297806705488462</v>
      </c>
      <c r="F136" s="385">
        <f t="shared" si="26"/>
        <v>29.311502465549538</v>
      </c>
      <c r="G136" s="110">
        <f t="shared" si="48"/>
        <v>0.49482482471879768</v>
      </c>
      <c r="H136" s="412" t="b">
        <f>Wh_hp&gt;='2023'!Maxi_hp</f>
        <v>0</v>
      </c>
      <c r="I136" s="390">
        <f>IF(H136,Wh_hp,'2023'!Maxi_hp)</f>
        <v>52.039309618554178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4.6417266672736046E-2</v>
      </c>
      <c r="M136" s="957"/>
      <c r="N136" s="957"/>
      <c r="O136" s="48">
        <f>IF(t&lt;Tnet,'2023'!Resal+('2023'!Salim-'2023'!Resal)*(1-EXP(('2023'!Tnet-t)/('2023'!Tau_j))),Resal+(Salim-Resal)*(1-EXP((Tnet-t)/(Tau_j))))*Salcycl</f>
        <v>8.2394591401243888E-3</v>
      </c>
      <c r="P136" s="169">
        <f>(INDEX(Models!$BJ136:$BT136,,T136)*(1-R136)+INDEX(Models!$BJ136:$BT136,,T136+1)*R136-ERP_i)*Q136*Ramure*Pc/MaxiM</f>
        <v>1.6736740353624961E-3</v>
      </c>
      <c r="Q136" s="305">
        <f t="shared" si="28"/>
        <v>0.7</v>
      </c>
      <c r="R136" s="177">
        <f t="shared" si="29"/>
        <v>8.3285154020374952E-2</v>
      </c>
      <c r="S136" s="919">
        <f t="shared" si="30"/>
        <v>1</v>
      </c>
      <c r="T136" s="176">
        <f t="shared" si="31"/>
        <v>7</v>
      </c>
      <c r="U136" s="251">
        <f t="shared" si="32"/>
        <v>1.083285154020375</v>
      </c>
      <c r="V136" s="383">
        <f t="shared" si="33"/>
        <v>55.927361134743585</v>
      </c>
      <c r="W136" s="402">
        <f t="shared" si="34"/>
        <v>27.707689556579837</v>
      </c>
      <c r="X136" s="157">
        <f t="shared" si="35"/>
        <v>45413</v>
      </c>
      <c r="Y136" s="385">
        <f t="shared" si="36"/>
        <v>26.501885669988642</v>
      </c>
      <c r="Z136" s="385">
        <f t="shared" si="37"/>
        <v>27.791910175971434</v>
      </c>
      <c r="AA136" s="386">
        <f t="shared" si="38"/>
        <v>29.297806705488462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5.1399633585367498E-2</v>
      </c>
      <c r="AD136" s="231">
        <f>(INDEX(Models!$BJ136:$BT136,,AH136)*(1-AF136)+INDEX(Models!$BJ136:$BT136,,AH136+1)*AF136-ERP_i)*AE136*Ramure*Pc/MaxiM</f>
        <v>1.6736740353624961E-3</v>
      </c>
      <c r="AE136" s="305">
        <f t="shared" si="40"/>
        <v>0.7</v>
      </c>
      <c r="AF136" s="177">
        <f t="shared" si="41"/>
        <v>8.3285154020374952E-2</v>
      </c>
      <c r="AG136" s="919">
        <f t="shared" si="49"/>
        <v>1</v>
      </c>
      <c r="AH136" s="176">
        <f t="shared" si="42"/>
        <v>7</v>
      </c>
      <c r="AI136" s="225">
        <f t="shared" si="43"/>
        <v>1.083285154020375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1090">
        <f>IF(t&gt;Tmaj,'2023'!Wh/'2023'!Env_an*'2024'!Env_an,0.001*[7]mois!$B$40)</f>
        <v>31.644325059743057</v>
      </c>
      <c r="C137" s="953"/>
      <c r="D137" s="393">
        <f t="shared" si="25"/>
        <v>33.185393423011284</v>
      </c>
      <c r="E137" s="385">
        <f t="shared" si="47"/>
        <v>33.466051815511797</v>
      </c>
      <c r="F137" s="385">
        <f t="shared" si="26"/>
        <v>33.488469634638754</v>
      </c>
      <c r="G137" s="110">
        <f t="shared" si="48"/>
        <v>0.56476833050425235</v>
      </c>
      <c r="H137" s="412" t="b">
        <f>Wh_hp&gt;='2023'!Maxi_hp</f>
        <v>0</v>
      </c>
      <c r="I137" s="390">
        <f>IF(H137,Wh_hp,'2023'!Maxi_hp)</f>
        <v>59.632265422182535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4.6438152581901537E-2</v>
      </c>
      <c r="M137" s="957"/>
      <c r="N137" s="957"/>
      <c r="O137" s="48">
        <f>IF(t&lt;Tnet,'2023'!Resal+('2023'!Salim-'2023'!Resal)*(1-EXP(('2023'!Tnet-t)/('2023'!Tau_j))),Resal+(Salim-Resal)*(1-EXP((Tnet-t)/(Tau_j))))*Salcycl</f>
        <v>8.3863610218408713E-3</v>
      </c>
      <c r="P137" s="169">
        <f>(INDEX(Models!$BJ137:$BT137,,T137)*(1-R137)+INDEX(Models!$BJ137:$BT137,,T137+1)*R137-ERP_i)*Q137*Ramure*Pc/MaxiM</f>
        <v>1.7656877164118766E-3</v>
      </c>
      <c r="Q137" s="305">
        <f t="shared" si="28"/>
        <v>0.7</v>
      </c>
      <c r="R137" s="177">
        <f t="shared" si="29"/>
        <v>8.6196085285938695E-2</v>
      </c>
      <c r="S137" s="919">
        <f t="shared" si="30"/>
        <v>1</v>
      </c>
      <c r="T137" s="176">
        <f t="shared" si="31"/>
        <v>7</v>
      </c>
      <c r="U137" s="251">
        <f t="shared" si="32"/>
        <v>1.0861960852859387</v>
      </c>
      <c r="V137" s="383">
        <f t="shared" si="33"/>
        <v>55.969163693985315</v>
      </c>
      <c r="W137" s="402">
        <f t="shared" si="34"/>
        <v>31.644325059743057</v>
      </c>
      <c r="X137" s="157">
        <f t="shared" si="35"/>
        <v>45414</v>
      </c>
      <c r="Y137" s="385">
        <f t="shared" si="36"/>
        <v>30.267726743976446</v>
      </c>
      <c r="Z137" s="385">
        <f t="shared" si="37"/>
        <v>31.741755215910256</v>
      </c>
      <c r="AA137" s="386">
        <f t="shared" si="38"/>
        <v>33.466051815511797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5.1523753357792718E-2</v>
      </c>
      <c r="AD137" s="231">
        <f>(INDEX(Models!$BJ137:$BT137,,AH137)*(1-AF137)+INDEX(Models!$BJ137:$BT137,,AH137+1)*AF137-ERP_i)*AE137*Ramure*Pc/MaxiM</f>
        <v>1.7656877164118766E-3</v>
      </c>
      <c r="AE137" s="305">
        <f t="shared" si="40"/>
        <v>0.7</v>
      </c>
      <c r="AF137" s="177">
        <f t="shared" si="41"/>
        <v>8.6196085285938695E-2</v>
      </c>
      <c r="AG137" s="919">
        <f t="shared" si="49"/>
        <v>1</v>
      </c>
      <c r="AH137" s="176">
        <f t="shared" si="42"/>
        <v>7</v>
      </c>
      <c r="AI137" s="225">
        <f t="shared" si="43"/>
        <v>1.0861960852859387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1090">
        <f>IF(t&gt;Tmaj,'2023'!Wh/'2023'!Env_an*'2024'!Env_an,0.001*[7]mois!$B$41)</f>
        <v>18.663108364423707</v>
      </c>
      <c r="C138" s="953"/>
      <c r="D138" s="393">
        <f t="shared" si="25"/>
        <v>19.572424372768136</v>
      </c>
      <c r="E138" s="385">
        <f t="shared" si="47"/>
        <v>19.74088069452959</v>
      </c>
      <c r="F138" s="385">
        <f t="shared" si="26"/>
        <v>19.742625454734398</v>
      </c>
      <c r="G138" s="110">
        <f t="shared" si="48"/>
        <v>0.3326435082773001</v>
      </c>
      <c r="H138" s="412" t="b">
        <f>Wh_hp&gt;='2023'!Maxi_hp</f>
        <v>0</v>
      </c>
      <c r="I138" s="390">
        <f>IF(H138,Wh_hp,'2023'!Maxi_hp)</f>
        <v>56.02715044671482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4.6459038033611955E-2</v>
      </c>
      <c r="M138" s="957"/>
      <c r="N138" s="957"/>
      <c r="O138" s="48">
        <f>IF(t&lt;Tnet,'2023'!Resal+('2023'!Salim-'2023'!Resal)*(1-EXP(('2023'!Tnet-t)/('2023'!Tau_j))),Resal+(Salim-Resal)*(1-EXP((Tnet-t)/(Tau_j))))*Salcycl</f>
        <v>8.5333741877146041E-3</v>
      </c>
      <c r="P138" s="169">
        <f>(INDEX(Models!$BJ138:$BT138,,T138)*(1-R138)+INDEX(Models!$BJ138:$BT138,,T138+1)*R138-ERP_i)*Q138*Ramure*Pc/MaxiM</f>
        <v>1.8614059573418943E-3</v>
      </c>
      <c r="Q138" s="305">
        <f t="shared" si="28"/>
        <v>0.7</v>
      </c>
      <c r="R138" s="177">
        <f t="shared" si="29"/>
        <v>8.9186206202229057E-2</v>
      </c>
      <c r="S138" s="919">
        <f t="shared" si="30"/>
        <v>1</v>
      </c>
      <c r="T138" s="176">
        <f t="shared" si="31"/>
        <v>7</v>
      </c>
      <c r="U138" s="251">
        <f t="shared" si="32"/>
        <v>1.0891862062022291</v>
      </c>
      <c r="V138" s="383">
        <f t="shared" si="33"/>
        <v>56.005948448428867</v>
      </c>
      <c r="W138" s="402">
        <f t="shared" si="34"/>
        <v>18.663108364423707</v>
      </c>
      <c r="X138" s="157">
        <f t="shared" si="35"/>
        <v>45415</v>
      </c>
      <c r="Y138" s="385">
        <f t="shared" si="36"/>
        <v>17.851519798464853</v>
      </c>
      <c r="Z138" s="385">
        <f t="shared" si="37"/>
        <v>18.721293065010574</v>
      </c>
      <c r="AA138" s="386">
        <f t="shared" si="38"/>
        <v>19.74088069452959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5.1648538142553921E-2</v>
      </c>
      <c r="AD138" s="231">
        <f>(INDEX(Models!$BJ138:$BT138,,AH138)*(1-AF138)+INDEX(Models!$BJ138:$BT138,,AH138+1)*AF138-ERP_i)*AE138*Ramure*Pc/MaxiM</f>
        <v>1.8614059573418943E-3</v>
      </c>
      <c r="AE138" s="305">
        <f t="shared" si="40"/>
        <v>0.7</v>
      </c>
      <c r="AF138" s="177">
        <f t="shared" si="41"/>
        <v>8.9186206202229057E-2</v>
      </c>
      <c r="AG138" s="919">
        <f t="shared" si="49"/>
        <v>1</v>
      </c>
      <c r="AH138" s="176">
        <f t="shared" si="42"/>
        <v>7</v>
      </c>
      <c r="AI138" s="225">
        <f t="shared" si="43"/>
        <v>1.0891862062022291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1090">
        <f>IF(t&gt;Tmaj,'2023'!Wh/'2023'!Env_an*'2024'!Env_an,0.001*[7]mois!$B$42)</f>
        <v>39.191906822508763</v>
      </c>
      <c r="C139" s="953"/>
      <c r="D139" s="393">
        <f t="shared" si="25"/>
        <v>41.102340442543813</v>
      </c>
      <c r="E139" s="385">
        <f t="shared" si="47"/>
        <v>41.462253603441212</v>
      </c>
      <c r="F139" s="385">
        <f t="shared" si="26"/>
        <v>41.508693045495086</v>
      </c>
      <c r="G139" s="110">
        <f t="shared" si="48"/>
        <v>0.69879104142498716</v>
      </c>
      <c r="H139" s="412" t="b">
        <f>Wh_hp&gt;='2023'!Maxi_hp</f>
        <v>0</v>
      </c>
      <c r="I139" s="390">
        <f>IF(H139,Wh_hp,'2023'!Maxi_hp)</f>
        <v>58.496922298592779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4.6479923027877401E-2</v>
      </c>
      <c r="M139" s="957"/>
      <c r="N139" s="957"/>
      <c r="O139" s="48">
        <f>IF(t&lt;Tnet,'2023'!Resal+('2023'!Salim-'2023'!Resal)*(1-EXP(('2023'!Tnet-t)/('2023'!Tau_j))),Resal+(Salim-Resal)*(1-EXP((Tnet-t)/(Tau_j))))*Salcycl</f>
        <v>8.6805016519297326E-3</v>
      </c>
      <c r="P139" s="169">
        <f>(INDEX(Models!$BJ139:$BT139,,T139)*(1-R139)+INDEX(Models!$BJ139:$BT139,,T139+1)*R139-ERP_i)*Q139*Ramure*Pc/MaxiM</f>
        <v>1.9609157473711963E-3</v>
      </c>
      <c r="Q139" s="305">
        <f t="shared" si="28"/>
        <v>0.7</v>
      </c>
      <c r="R139" s="177">
        <f t="shared" si="29"/>
        <v>9.2256164268805563E-2</v>
      </c>
      <c r="S139" s="919">
        <f t="shared" si="30"/>
        <v>1</v>
      </c>
      <c r="T139" s="176">
        <f t="shared" si="31"/>
        <v>7</v>
      </c>
      <c r="U139" s="251">
        <f t="shared" si="32"/>
        <v>1.0922561642688056</v>
      </c>
      <c r="V139" s="383">
        <f t="shared" si="33"/>
        <v>56.038018457604146</v>
      </c>
      <c r="W139" s="402">
        <f t="shared" si="34"/>
        <v>39.191906822508763</v>
      </c>
      <c r="X139" s="157">
        <f t="shared" si="35"/>
        <v>45416</v>
      </c>
      <c r="Y139" s="385">
        <f t="shared" si="36"/>
        <v>37.488202328410104</v>
      </c>
      <c r="Z139" s="385">
        <f t="shared" si="37"/>
        <v>39.31558782427831</v>
      </c>
      <c r="AA139" s="386">
        <f t="shared" si="38"/>
        <v>41.462253603441212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5.1773977355266884E-2</v>
      </c>
      <c r="AD139" s="231">
        <f>(INDEX(Models!$BJ139:$BT139,,AH139)*(1-AF139)+INDEX(Models!$BJ139:$BT139,,AH139+1)*AF139-ERP_i)*AE139*Ramure*Pc/MaxiM</f>
        <v>1.9609157473711963E-3</v>
      </c>
      <c r="AE139" s="305">
        <f t="shared" si="40"/>
        <v>0.7</v>
      </c>
      <c r="AF139" s="177">
        <f t="shared" si="41"/>
        <v>9.2256164268805563E-2</v>
      </c>
      <c r="AG139" s="919">
        <f t="shared" si="49"/>
        <v>1</v>
      </c>
      <c r="AH139" s="176">
        <f t="shared" si="42"/>
        <v>7</v>
      </c>
      <c r="AI139" s="225">
        <f t="shared" si="43"/>
        <v>1.0922561642688056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1090">
        <f>IF(t&gt;Tmaj,'2023'!Wh/'2023'!Env_an*'2024'!Env_an,0.001*[7]mois!$B$43)</f>
        <v>36.598108565270998</v>
      </c>
      <c r="C140" s="953"/>
      <c r="D140" s="393">
        <f t="shared" si="25"/>
        <v>38.382946577854256</v>
      </c>
      <c r="E140" s="385">
        <f t="shared" si="47"/>
        <v>38.724799268911333</v>
      </c>
      <c r="F140" s="385">
        <f t="shared" si="26"/>
        <v>38.765127672568504</v>
      </c>
      <c r="G140" s="110">
        <f t="shared" si="48"/>
        <v>0.65210296469944085</v>
      </c>
      <c r="H140" s="412" t="b">
        <f>Wh_hp&gt;='2023'!Maxi_hp</f>
        <v>0</v>
      </c>
      <c r="I140" s="390">
        <f>IF(H140,Wh_hp,'2023'!Maxi_hp)</f>
        <v>61.787025291973102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4.6500807564707758E-2</v>
      </c>
      <c r="M140" s="957"/>
      <c r="N140" s="957"/>
      <c r="O140" s="48">
        <f>IF(t&lt;Tnet,'2023'!Resal+('2023'!Salim-'2023'!Resal)*(1-EXP(('2023'!Tnet-t)/('2023'!Tau_j))),Resal+(Salim-Resal)*(1-EXP((Tnet-t)/(Tau_j))))*Salcycl</f>
        <v>8.8277459796033513E-3</v>
      </c>
      <c r="P140" s="169">
        <f>(INDEX(Models!$BJ140:$BT140,,T140)*(1-R140)+INDEX(Models!$BJ140:$BT140,,T140+1)*R140-ERP_i)*Q140*Ramure*Pc/MaxiM</f>
        <v>2.064303940258081E-3</v>
      </c>
      <c r="Q140" s="305">
        <f t="shared" si="28"/>
        <v>0.7</v>
      </c>
      <c r="R140" s="177">
        <f t="shared" si="29"/>
        <v>9.5406503630147022E-2</v>
      </c>
      <c r="S140" s="919">
        <f t="shared" si="30"/>
        <v>1</v>
      </c>
      <c r="T140" s="176">
        <f t="shared" si="31"/>
        <v>7</v>
      </c>
      <c r="U140" s="251">
        <f t="shared" si="32"/>
        <v>1.095406503630147</v>
      </c>
      <c r="V140" s="383">
        <f t="shared" si="33"/>
        <v>56.065676576662213</v>
      </c>
      <c r="W140" s="402">
        <f t="shared" si="34"/>
        <v>36.598108565270998</v>
      </c>
      <c r="X140" s="157">
        <f t="shared" si="35"/>
        <v>45417</v>
      </c>
      <c r="Y140" s="385">
        <f t="shared" si="36"/>
        <v>35.00770370003081</v>
      </c>
      <c r="Z140" s="385">
        <f t="shared" si="37"/>
        <v>36.714979915839365</v>
      </c>
      <c r="AA140" s="386">
        <f t="shared" si="38"/>
        <v>38.724799268911333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5.1900058644990123E-2</v>
      </c>
      <c r="AD140" s="231">
        <f>(INDEX(Models!$BJ140:$BT140,,AH140)*(1-AF140)+INDEX(Models!$BJ140:$BT140,,AH140+1)*AF140-ERP_i)*AE140*Ramure*Pc/MaxiM</f>
        <v>2.064303940258081E-3</v>
      </c>
      <c r="AE140" s="305">
        <f t="shared" si="40"/>
        <v>0.7</v>
      </c>
      <c r="AF140" s="177">
        <f t="shared" si="41"/>
        <v>9.5406503630147022E-2</v>
      </c>
      <c r="AG140" s="919">
        <f t="shared" si="49"/>
        <v>1</v>
      </c>
      <c r="AH140" s="176">
        <f t="shared" si="42"/>
        <v>7</v>
      </c>
      <c r="AI140" s="225">
        <f t="shared" si="43"/>
        <v>1.095406503630147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1090">
        <f>IF(t&gt;Tmaj,'2023'!Wh/'2023'!Env_an*'2024'!Env_an,0.001*[7]mois!$B$44)</f>
        <v>47.353044138612198</v>
      </c>
      <c r="C141" s="953"/>
      <c r="D141" s="393">
        <f t="shared" si="25"/>
        <v>49.663472911370768</v>
      </c>
      <c r="E141" s="385">
        <f t="shared" si="47"/>
        <v>50.113244758476384</v>
      </c>
      <c r="F141" s="385">
        <f t="shared" si="26"/>
        <v>50.198001446863422</v>
      </c>
      <c r="G141" s="110">
        <f t="shared" si="48"/>
        <v>0.84383629128184989</v>
      </c>
      <c r="H141" s="412" t="b">
        <f>Wh_hp&gt;='2023'!Maxi_hp</f>
        <v>0</v>
      </c>
      <c r="I141" s="390">
        <f>IF(H141,Wh_hp,'2023'!Maxi_hp)</f>
        <v>57.268675300754929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4.652169164411335E-2</v>
      </c>
      <c r="M141" s="957"/>
      <c r="N141" s="957"/>
      <c r="O141" s="48">
        <f>IF(t&lt;Tnet,'2023'!Resal+('2023'!Salim-'2023'!Resal)*(1-EXP(('2023'!Tnet-t)/('2023'!Tau_j))),Resal+(Salim-Resal)*(1-EXP((Tnet-t)/(Tau_j))))*Salcycl</f>
        <v>8.9751092605021739E-3</v>
      </c>
      <c r="P141" s="169">
        <f>(INDEX(Models!$BJ141:$BT141,,T141)*(1-R141)+INDEX(Models!$BJ141:$BT141,,T141+1)*R141-ERP_i)*Q141*Ramure*Pc/MaxiM</f>
        <v>2.1716568503404423E-3</v>
      </c>
      <c r="Q141" s="305">
        <f t="shared" si="28"/>
        <v>0.7</v>
      </c>
      <c r="R141" s="177">
        <f t="shared" si="29"/>
        <v>9.8637658035299225E-2</v>
      </c>
      <c r="S141" s="919">
        <f t="shared" si="30"/>
        <v>1</v>
      </c>
      <c r="T141" s="176">
        <f t="shared" si="31"/>
        <v>7</v>
      </c>
      <c r="U141" s="251">
        <f t="shared" si="32"/>
        <v>1.0986376580352992</v>
      </c>
      <c r="V141" s="383">
        <f t="shared" si="33"/>
        <v>56.089225472880777</v>
      </c>
      <c r="W141" s="402">
        <f t="shared" si="34"/>
        <v>47.353044138612198</v>
      </c>
      <c r="X141" s="157">
        <f t="shared" si="35"/>
        <v>45418</v>
      </c>
      <c r="Y141" s="385">
        <f t="shared" si="36"/>
        <v>45.295954444157445</v>
      </c>
      <c r="Z141" s="385">
        <f t="shared" si="37"/>
        <v>47.506014606942365</v>
      </c>
      <c r="AA141" s="386">
        <f t="shared" si="38"/>
        <v>50.113244758476384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5.2026767855478356E-2</v>
      </c>
      <c r="AD141" s="231">
        <f>(INDEX(Models!$BJ141:$BT141,,AH141)*(1-AF141)+INDEX(Models!$BJ141:$BT141,,AH141+1)*AF141-ERP_i)*AE141*Ramure*Pc/MaxiM</f>
        <v>2.1716568503404423E-3</v>
      </c>
      <c r="AE141" s="305">
        <f t="shared" si="40"/>
        <v>0.7</v>
      </c>
      <c r="AF141" s="177">
        <f t="shared" si="41"/>
        <v>9.8637658035299225E-2</v>
      </c>
      <c r="AG141" s="919">
        <f t="shared" si="49"/>
        <v>1</v>
      </c>
      <c r="AH141" s="176">
        <f t="shared" si="42"/>
        <v>7</v>
      </c>
      <c r="AI141" s="225">
        <f t="shared" si="43"/>
        <v>1.0986376580352992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1090">
        <f>IF(t&gt;Tmaj,'2023'!Wh/'2023'!Env_an*'2024'!Env_an,0.001*[7]mois!$B$45)</f>
        <v>49.395995702806502</v>
      </c>
      <c r="C142" s="953"/>
      <c r="D142" s="393">
        <f t="shared" si="25"/>
        <v>51.807237975615543</v>
      </c>
      <c r="E142" s="385">
        <f t="shared" si="47"/>
        <v>52.284205507145664</v>
      </c>
      <c r="F142" s="385">
        <f t="shared" si="26"/>
        <v>52.383362980605114</v>
      </c>
      <c r="G142" s="110">
        <f t="shared" si="48"/>
        <v>0.88001419103196565</v>
      </c>
      <c r="H142" s="412" t="b">
        <f>Wh_hp&gt;='2023'!Maxi_hp</f>
        <v>0</v>
      </c>
      <c r="I142" s="390">
        <f>IF(H142,Wh_hp,'2023'!Maxi_hp)</f>
        <v>59.229596839292704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4.6542575266103836E-2</v>
      </c>
      <c r="M142" s="957"/>
      <c r="N142" s="957"/>
      <c r="O142" s="48">
        <f>IF(t&lt;Tnet,'2023'!Resal+('2023'!Salim-'2023'!Resal)*(1-EXP(('2023'!Tnet-t)/('2023'!Tau_j))),Resal+(Salim-Resal)*(1-EXP((Tnet-t)/(Tau_j))))*Salcycl</f>
        <v>9.1225930833918126E-3</v>
      </c>
      <c r="P142" s="169">
        <f>(INDEX(Models!$BJ142:$BT142,,T142)*(1-R142)+INDEX(Models!$BJ142:$BT142,,T142+1)*R142-ERP_i)*Q142*Ramure*Pc/MaxiM</f>
        <v>2.2831468936220668E-3</v>
      </c>
      <c r="Q142" s="305">
        <f t="shared" si="28"/>
        <v>0.7</v>
      </c>
      <c r="R142" s="177">
        <f t="shared" si="29"/>
        <v>0.10194994383343214</v>
      </c>
      <c r="S142" s="919">
        <f t="shared" si="30"/>
        <v>1</v>
      </c>
      <c r="T142" s="176">
        <f t="shared" si="31"/>
        <v>7</v>
      </c>
      <c r="U142" s="251">
        <f t="shared" si="32"/>
        <v>1.1019499438334321</v>
      </c>
      <c r="V142" s="383">
        <f t="shared" si="33"/>
        <v>56.108962746192518</v>
      </c>
      <c r="W142" s="402">
        <f t="shared" si="34"/>
        <v>49.395995702806502</v>
      </c>
      <c r="X142" s="157">
        <f t="shared" si="35"/>
        <v>45419</v>
      </c>
      <c r="Y142" s="385">
        <f t="shared" si="36"/>
        <v>47.250842758423495</v>
      </c>
      <c r="Z142" s="385">
        <f t="shared" si="37"/>
        <v>49.557370400268162</v>
      </c>
      <c r="AA142" s="386">
        <f t="shared" si="38"/>
        <v>52.284205507145664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5.2154088991652026E-2</v>
      </c>
      <c r="AD142" s="231">
        <f>(INDEX(Models!$BJ142:$BT142,,AH142)*(1-AF142)+INDEX(Models!$BJ142:$BT142,,AH142+1)*AF142-ERP_i)*AE142*Ramure*Pc/MaxiM</f>
        <v>2.2831468936220668E-3</v>
      </c>
      <c r="AE142" s="305">
        <f t="shared" si="40"/>
        <v>0.7</v>
      </c>
      <c r="AF142" s="177">
        <f t="shared" si="41"/>
        <v>0.10194994383343214</v>
      </c>
      <c r="AG142" s="919">
        <f t="shared" si="49"/>
        <v>1</v>
      </c>
      <c r="AH142" s="176">
        <f t="shared" si="42"/>
        <v>7</v>
      </c>
      <c r="AI142" s="225">
        <f t="shared" si="43"/>
        <v>1.1019499438334321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1090">
        <f>IF(t&gt;Tmaj,'2023'!Wh/'2023'!Env_an*'2024'!Env_an,0.001*[7]mois!$B$46)</f>
        <v>53.72970553518617</v>
      </c>
      <c r="C143" s="953"/>
      <c r="D143" s="393">
        <f t="shared" ref="D143:D206" si="50">Wh/(1-Ppv)</f>
        <v>56.353730104312632</v>
      </c>
      <c r="E143" s="385">
        <f t="shared" si="47"/>
        <v>56.881028530311404</v>
      </c>
      <c r="F143" s="385">
        <f t="shared" ref="F143:F206" si="51">Wh_sa/(1-Pvg*MEDIAN((-Sdif+Wh/Env_an)/Csdif,0,1))</f>
        <v>57.009379979332543</v>
      </c>
      <c r="G143" s="110">
        <f t="shared" si="48"/>
        <v>0.95717742034988029</v>
      </c>
      <c r="H143" s="412" t="b">
        <f>Wh_hp&gt;='2023'!Maxi_hp</f>
        <v>0</v>
      </c>
      <c r="I143" s="390">
        <f>IF(H143,Wh_hp,'2023'!Maxi_hp)</f>
        <v>57.01224461808134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4.6563458430689542E-2</v>
      </c>
      <c r="M143" s="957"/>
      <c r="N143" s="957"/>
      <c r="O143" s="48">
        <f>IF(t&lt;Tnet,'2023'!Resal+('2023'!Salim-'2023'!Resal)*(1-EXP(('2023'!Tnet-t)/('2023'!Tau_j))),Resal+(Salim-Resal)*(1-EXP((Tnet-t)/(Tau_j))))*Salcycl</f>
        <v>9.2701985112273663E-3</v>
      </c>
      <c r="P143" s="169">
        <f>(INDEX(Models!$BJ143:$BT143,,T143)*(1-R143)+INDEX(Models!$BJ143:$BT143,,T143+1)*R143-ERP_i)*Q143*Ramure*Pc/MaxiM</f>
        <v>2.3976024751456312E-3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0.10534355305077758</v>
      </c>
      <c r="S143" s="91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1.1053435530507776</v>
      </c>
      <c r="V143" s="383">
        <f t="shared" ref="V143:V206" si="58">MaxiM*(1-Ppv)*(1-Pvg)*(1-Psa)</f>
        <v>56.125261370527731</v>
      </c>
      <c r="W143" s="402">
        <f t="shared" ref="W143:W206" si="59">Wh*(A143&gt;Tmaj)</f>
        <v>53.72970553518617</v>
      </c>
      <c r="X143" s="157">
        <f t="shared" ref="X143:X206" si="60">t</f>
        <v>45420</v>
      </c>
      <c r="Y143" s="385">
        <f t="shared" ref="Y143:Y206" si="61">Wh_pvt_s*(1-Ppv)</f>
        <v>51.397069885901658</v>
      </c>
      <c r="Z143" s="385">
        <f t="shared" ref="Z143:Z206" si="62">Wh_sa_s*(1-Psa_s)</f>
        <v>53.907174358247865</v>
      </c>
      <c r="AA143" s="386">
        <f t="shared" ref="AA143:AA206" si="63">Wh_hp*(1-Pvg_s*MEDIAN((-Sdif+Wh/Env_an)/Csdif,0,1))</f>
        <v>56.881028530311404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5.2282004191939006E-2</v>
      </c>
      <c r="AD143" s="231">
        <f>(INDEX(Models!$BJ143:$BT143,,AH143)*(1-AF143)+INDEX(Models!$BJ143:$BT143,,AH143+1)*AF143-ERP_i)*AE143*Ramure*Pc/MaxiM</f>
        <v>2.3976024751456312E-3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0.10534355305077758</v>
      </c>
      <c r="AG143" s="91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1.1053435530507776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1090">
        <f>IF(t&gt;Tmaj,'2023'!Wh/'2023'!Env_an*'2024'!Env_an,0.001*[7]mois!$B$47)</f>
        <v>51.204555360314686</v>
      </c>
      <c r="C144" s="953"/>
      <c r="D144" s="393">
        <f t="shared" si="50"/>
        <v>53.706434212991816</v>
      </c>
      <c r="E144" s="385">
        <f t="shared" ref="E144:E169" si="72">Wh_pvt/(1-Psa)</f>
        <v>54.217046346534232</v>
      </c>
      <c r="F144" s="385">
        <f t="shared" si="51"/>
        <v>54.336548936471772</v>
      </c>
      <c r="G144" s="110">
        <f t="shared" ref="G144:G169" si="73">+Wh_hp/MaxiM</f>
        <v>0.91182377291073902</v>
      </c>
      <c r="H144" s="412" t="b">
        <f>Wh_hp&gt;='2023'!Maxi_hp</f>
        <v>0</v>
      </c>
      <c r="I144" s="390">
        <f>IF(H144,Wh_hp,'2023'!Maxi_hp)</f>
        <v>54.342369074324978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4.6584341137880236E-2</v>
      </c>
      <c r="M144" s="957"/>
      <c r="N144" s="957"/>
      <c r="O144" s="48">
        <f>IF(t&lt;Tnet,'2023'!Resal+('2023'!Salim-'2023'!Resal)*(1-EXP(('2023'!Tnet-t)/('2023'!Tau_j))),Resal+(Salim-Resal)*(1-EXP((Tnet-t)/(Tau_j))))*Salcycl</f>
        <v>9.4179260574023486E-3</v>
      </c>
      <c r="P144" s="169">
        <f>(INDEX(Models!$BJ144:$BT144,,T144)*(1-R144)+INDEX(Models!$BJ144:$BT144,,T144+1)*R144-ERP_i)*Q144*Ramure*Pc/MaxiM</f>
        <v>2.5150817476385493E-3</v>
      </c>
      <c r="Q144" s="305">
        <f t="shared" si="53"/>
        <v>0.7</v>
      </c>
      <c r="R144" s="177">
        <f t="shared" si="54"/>
        <v>0.10881854659749579</v>
      </c>
      <c r="S144" s="919">
        <f t="shared" si="55"/>
        <v>1</v>
      </c>
      <c r="T144" s="176">
        <f t="shared" si="56"/>
        <v>7</v>
      </c>
      <c r="U144" s="251">
        <f t="shared" si="57"/>
        <v>1.1088185465974958</v>
      </c>
      <c r="V144" s="383">
        <f t="shared" si="58"/>
        <v>56.138424970801097</v>
      </c>
      <c r="W144" s="402">
        <f t="shared" si="59"/>
        <v>51.204555360314686</v>
      </c>
      <c r="X144" s="157">
        <f t="shared" si="60"/>
        <v>45421</v>
      </c>
      <c r="Y144" s="385">
        <f t="shared" si="61"/>
        <v>48.982210167310228</v>
      </c>
      <c r="Z144" s="385">
        <f t="shared" si="62"/>
        <v>51.375504180169855</v>
      </c>
      <c r="AA144" s="386">
        <f t="shared" si="63"/>
        <v>54.217046346534232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5.2410493707133091E-2</v>
      </c>
      <c r="AD144" s="231">
        <f>(INDEX(Models!$BJ144:$BT144,,AH144)*(1-AF144)+INDEX(Models!$BJ144:$BT144,,AH144+1)*AF144-ERP_i)*AE144*Ramure*Pc/MaxiM</f>
        <v>2.5150817476385493E-3</v>
      </c>
      <c r="AE144" s="305">
        <f t="shared" si="65"/>
        <v>0.7</v>
      </c>
      <c r="AF144" s="177">
        <f t="shared" si="66"/>
        <v>0.10881854659749579</v>
      </c>
      <c r="AG144" s="919">
        <f t="shared" ref="AG144:AG207" si="74">INDEX(Echel_vg,AH144)</f>
        <v>1</v>
      </c>
      <c r="AH144" s="176">
        <f t="shared" si="67"/>
        <v>7</v>
      </c>
      <c r="AI144" s="225">
        <f t="shared" si="68"/>
        <v>1.1088185465974958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1090">
        <f>IF(t&gt;Tmaj,'2023'!Wh/'2023'!Env_an*'2024'!Env_an,0.001*[7]mois!$B$48)</f>
        <v>54.924314105540724</v>
      </c>
      <c r="C145" s="953"/>
      <c r="D145" s="393">
        <f t="shared" si="50"/>
        <v>57.609203923586222</v>
      </c>
      <c r="E145" s="385">
        <f t="shared" si="72"/>
        <v>58.165603033524299</v>
      </c>
      <c r="F145" s="385">
        <f t="shared" si="51"/>
        <v>58.314510951536548</v>
      </c>
      <c r="G145" s="110">
        <f t="shared" si="73"/>
        <v>0.97811235117157702</v>
      </c>
      <c r="H145" s="412" t="b">
        <f>Wh_hp&gt;='2023'!Maxi_hp</f>
        <v>0</v>
      </c>
      <c r="I145" s="390">
        <f>IF(H145,Wh_hp,'2023'!Maxi_hp)</f>
        <v>58.316115352484751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4.6605223387686134E-2</v>
      </c>
      <c r="M145" s="957"/>
      <c r="N145" s="957"/>
      <c r="O145" s="48">
        <f>IF(t&lt;Tnet,'2023'!Resal+('2023'!Salim-'2023'!Resal)*(1-EXP(('2023'!Tnet-t)/('2023'!Tau_j))),Resal+(Salim-Resal)*(1-EXP((Tnet-t)/(Tau_j))))*Salcycl</f>
        <v>9.5657756632797943E-3</v>
      </c>
      <c r="P145" s="169">
        <f>(INDEX(Models!$BJ145:$BT145,,T145)*(1-R145)+INDEX(Models!$BJ145:$BT145,,T145+1)*R145-ERP_i)*Q145*Ramure*Pc/MaxiM</f>
        <v>2.6356392790798391E-3</v>
      </c>
      <c r="Q145" s="305">
        <f t="shared" si="53"/>
        <v>0.7</v>
      </c>
      <c r="R145" s="177">
        <f t="shared" si="54"/>
        <v>0.11237484765586014</v>
      </c>
      <c r="S145" s="919">
        <f t="shared" si="55"/>
        <v>1</v>
      </c>
      <c r="T145" s="176">
        <f t="shared" si="56"/>
        <v>7</v>
      </c>
      <c r="U145" s="251">
        <f t="shared" si="57"/>
        <v>1.1123748476558601</v>
      </c>
      <c r="V145" s="383">
        <f t="shared" si="58"/>
        <v>56.148757103194953</v>
      </c>
      <c r="W145" s="402">
        <f t="shared" si="59"/>
        <v>54.924314105540724</v>
      </c>
      <c r="X145" s="157">
        <f t="shared" si="60"/>
        <v>45422</v>
      </c>
      <c r="Y145" s="385">
        <f t="shared" si="61"/>
        <v>52.541213595891911</v>
      </c>
      <c r="Z145" s="385">
        <f t="shared" si="62"/>
        <v>55.109609245590761</v>
      </c>
      <c r="AA145" s="386">
        <f t="shared" si="63"/>
        <v>58.165603033524299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5.253953588639295E-2</v>
      </c>
      <c r="AD145" s="231">
        <f>(INDEX(Models!$BJ145:$BT145,,AH145)*(1-AF145)+INDEX(Models!$BJ145:$BT145,,AH145+1)*AF145-ERP_i)*AE145*Ramure*Pc/MaxiM</f>
        <v>2.6356392790798391E-3</v>
      </c>
      <c r="AE145" s="305">
        <f t="shared" si="65"/>
        <v>0.7</v>
      </c>
      <c r="AF145" s="177">
        <f t="shared" si="66"/>
        <v>0.11237484765586014</v>
      </c>
      <c r="AG145" s="919">
        <f t="shared" si="74"/>
        <v>1</v>
      </c>
      <c r="AH145" s="176">
        <f t="shared" si="67"/>
        <v>7</v>
      </c>
      <c r="AI145" s="225">
        <f t="shared" si="68"/>
        <v>1.1123748476558601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1090">
        <f>IF(t&gt;Tmaj,'2023'!Wh/'2023'!Env_an*'2024'!Env_an,0.001*[7]mois!$B$49)</f>
        <v>42.27817630900757</v>
      </c>
      <c r="C146" s="953"/>
      <c r="D146" s="393">
        <f t="shared" si="50"/>
        <v>44.345850603550474</v>
      </c>
      <c r="E146" s="385">
        <f t="shared" si="72"/>
        <v>44.780840342632473</v>
      </c>
      <c r="F146" s="385">
        <f t="shared" si="51"/>
        <v>44.860923208746044</v>
      </c>
      <c r="G146" s="110">
        <f t="shared" si="73"/>
        <v>0.75212788579382628</v>
      </c>
      <c r="H146" s="412" t="b">
        <f>Wh_hp&gt;='2023'!Maxi_hp</f>
        <v>0</v>
      </c>
      <c r="I146" s="390">
        <f>IF(H146,Wh_hp,'2023'!Maxi_hp)</f>
        <v>54.342875304504368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4.6626105180117117E-2</v>
      </c>
      <c r="M146" s="957"/>
      <c r="N146" s="957"/>
      <c r="O146" s="48">
        <f>IF(t&lt;Tnet,'2023'!Resal+('2023'!Salim-'2023'!Resal)*(1-EXP(('2023'!Tnet-t)/('2023'!Tau_j))),Resal+(Salim-Resal)*(1-EXP((Tnet-t)/(Tau_j))))*Salcycl</f>
        <v>9.7137466772340853E-3</v>
      </c>
      <c r="P146" s="169">
        <f>(INDEX(Models!$BJ146:$BT146,,T146)*(1-R146)+INDEX(Models!$BJ146:$BT146,,T146+1)*R146-ERP_i)*Q146*Ramure*Pc/MaxiM</f>
        <v>2.7593256525980979E-3</v>
      </c>
      <c r="Q146" s="305">
        <f t="shared" si="53"/>
        <v>0.7</v>
      </c>
      <c r="R146" s="177">
        <f t="shared" si="54"/>
        <v>0.11601223530368876</v>
      </c>
      <c r="S146" s="919">
        <f t="shared" si="55"/>
        <v>1</v>
      </c>
      <c r="T146" s="176">
        <f t="shared" si="56"/>
        <v>7</v>
      </c>
      <c r="U146" s="251">
        <f t="shared" si="57"/>
        <v>1.1160122353036888</v>
      </c>
      <c r="V146" s="383">
        <f t="shared" si="58"/>
        <v>56.156561277944078</v>
      </c>
      <c r="W146" s="402">
        <f t="shared" si="59"/>
        <v>42.27817630900757</v>
      </c>
      <c r="X146" s="157">
        <f t="shared" si="60"/>
        <v>45423</v>
      </c>
      <c r="Y146" s="385">
        <f t="shared" si="61"/>
        <v>40.444288078934768</v>
      </c>
      <c r="Z146" s="385">
        <f t="shared" si="62"/>
        <v>42.422273463419877</v>
      </c>
      <c r="AA146" s="386">
        <f t="shared" si="63"/>
        <v>44.780840342632473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5.2669107170978689E-2</v>
      </c>
      <c r="AD146" s="231">
        <f>(INDEX(Models!$BJ146:$BT146,,AH146)*(1-AF146)+INDEX(Models!$BJ146:$BT146,,AH146+1)*AF146-ERP_i)*AE146*Ramure*Pc/MaxiM</f>
        <v>2.7593256525980979E-3</v>
      </c>
      <c r="AE146" s="305">
        <f t="shared" si="65"/>
        <v>0.7</v>
      </c>
      <c r="AF146" s="177">
        <f t="shared" si="66"/>
        <v>0.11601223530368876</v>
      </c>
      <c r="AG146" s="919">
        <f t="shared" si="74"/>
        <v>1</v>
      </c>
      <c r="AH146" s="176">
        <f t="shared" si="67"/>
        <v>7</v>
      </c>
      <c r="AI146" s="225">
        <f t="shared" si="68"/>
        <v>1.1160122353036888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1090">
        <f>IF(t&gt;Tmaj,'2023'!Wh/'2023'!Env_an*'2024'!Env_an,0.001*[7]mois!$B$50)</f>
        <v>38.709725061622095</v>
      </c>
      <c r="C147" s="953"/>
      <c r="D147" s="393">
        <f t="shared" si="50"/>
        <v>40.603768503469041</v>
      </c>
      <c r="E147" s="385">
        <f t="shared" si="72"/>
        <v>41.008184569620184</v>
      </c>
      <c r="F147" s="385">
        <f t="shared" si="51"/>
        <v>41.074105383525669</v>
      </c>
      <c r="G147" s="110">
        <f t="shared" si="73"/>
        <v>0.68836492558000784</v>
      </c>
      <c r="H147" s="412" t="b">
        <f>Wh_hp&gt;='2023'!Maxi_hp</f>
        <v>0</v>
      </c>
      <c r="I147" s="390">
        <f>IF(H147,Wh_hp,'2023'!Maxi_hp)</f>
        <v>61.987907498178245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4.6646986515183286E-2</v>
      </c>
      <c r="M147" s="957"/>
      <c r="N147" s="957"/>
      <c r="O147" s="48">
        <f>IF(t&lt;Tnet,'2023'!Resal+('2023'!Salim-'2023'!Resal)*(1-EXP(('2023'!Tnet-t)/('2023'!Tau_j))),Resal+(Salim-Resal)*(1-EXP((Tnet-t)/(Tau_j))))*Salcycl</f>
        <v>9.8618378354340848E-3</v>
      </c>
      <c r="P147" s="169">
        <f>(INDEX(Models!$BJ147:$BT147,,T147)*(1-R147)+INDEX(Models!$BJ147:$BT147,,T147+1)*R147-ERP_i)*Q147*Ramure*Pc/MaxiM</f>
        <v>2.8861870552653423E-3</v>
      </c>
      <c r="Q147" s="305">
        <f t="shared" si="53"/>
        <v>0.7</v>
      </c>
      <c r="R147" s="177">
        <f t="shared" si="54"/>
        <v>0.11973033842914083</v>
      </c>
      <c r="S147" s="919">
        <f t="shared" si="55"/>
        <v>1</v>
      </c>
      <c r="T147" s="176">
        <f t="shared" si="56"/>
        <v>7</v>
      </c>
      <c r="U147" s="251">
        <f t="shared" si="57"/>
        <v>1.1197303384291408</v>
      </c>
      <c r="V147" s="383">
        <f t="shared" si="58"/>
        <v>56.162140970692846</v>
      </c>
      <c r="W147" s="402">
        <f t="shared" si="59"/>
        <v>38.709725061622095</v>
      </c>
      <c r="X147" s="157">
        <f t="shared" si="60"/>
        <v>45424</v>
      </c>
      <c r="Y147" s="385">
        <f t="shared" si="61"/>
        <v>37.031077722567652</v>
      </c>
      <c r="Z147" s="385">
        <f t="shared" si="62"/>
        <v>38.842985965090691</v>
      </c>
      <c r="AA147" s="386">
        <f t="shared" si="63"/>
        <v>41.008184569620184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5.2799182096286174E-2</v>
      </c>
      <c r="AD147" s="231">
        <f>(INDEX(Models!$BJ147:$BT147,,AH147)*(1-AF147)+INDEX(Models!$BJ147:$BT147,,AH147+1)*AF147-ERP_i)*AE147*Ramure*Pc/MaxiM</f>
        <v>2.8861870552653423E-3</v>
      </c>
      <c r="AE147" s="305">
        <f t="shared" si="65"/>
        <v>0.7</v>
      </c>
      <c r="AF147" s="177">
        <f t="shared" si="66"/>
        <v>0.11973033842914083</v>
      </c>
      <c r="AG147" s="919">
        <f t="shared" si="74"/>
        <v>1</v>
      </c>
      <c r="AH147" s="176">
        <f t="shared" si="67"/>
        <v>7</v>
      </c>
      <c r="AI147" s="225">
        <f t="shared" si="68"/>
        <v>1.1197303384291408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1090">
        <f>IF(t&gt;Tmaj,'2023'!Wh/'2023'!Env_an*'2024'!Env_an,0.001*[7]mois!$B$51)</f>
        <v>50.51936699694653</v>
      </c>
      <c r="C148" s="953"/>
      <c r="D148" s="393">
        <f t="shared" si="50"/>
        <v>52.992409747891045</v>
      </c>
      <c r="E148" s="385">
        <f t="shared" si="72"/>
        <v>53.528229857686192</v>
      </c>
      <c r="F148" s="385">
        <f t="shared" si="51"/>
        <v>53.666855619122913</v>
      </c>
      <c r="G148" s="110">
        <f t="shared" si="73"/>
        <v>0.89907784454565309</v>
      </c>
      <c r="H148" s="412" t="b">
        <f>Wh_hp&gt;='2023'!Maxi_hp</f>
        <v>0</v>
      </c>
      <c r="I148" s="390">
        <f>IF(H148,Wh_hp,'2023'!Maxi_hp)</f>
        <v>60.924968033525275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4.6667867392894635E-2</v>
      </c>
      <c r="M148" s="957"/>
      <c r="N148" s="957"/>
      <c r="O148" s="48">
        <f>IF(t&lt;Tnet,'2023'!Resal+('2023'!Salim-'2023'!Resal)*(1-EXP(('2023'!Tnet-t)/('2023'!Tau_j))),Resal+(Salim-Resal)*(1-EXP((Tnet-t)/(Tau_j))))*Salcycl</f>
        <v>1.0010047244598126E-2</v>
      </c>
      <c r="P148" s="169">
        <f>(INDEX(Models!$BJ148:$BT148,,T148)*(1-R148)+INDEX(Models!$BJ148:$BT148,,T148+1)*R148-ERP_i)*Q148*Ramure*Pc/MaxiM</f>
        <v>3.0162648569064076E-3</v>
      </c>
      <c r="Q148" s="305">
        <f t="shared" si="53"/>
        <v>0.7</v>
      </c>
      <c r="R148" s="177">
        <f t="shared" si="54"/>
        <v>0.12352862999474334</v>
      </c>
      <c r="S148" s="919">
        <f t="shared" si="55"/>
        <v>1</v>
      </c>
      <c r="T148" s="176">
        <f t="shared" si="56"/>
        <v>7</v>
      </c>
      <c r="U148" s="251">
        <f t="shared" si="57"/>
        <v>1.1235286299947433</v>
      </c>
      <c r="V148" s="383">
        <f t="shared" si="58"/>
        <v>56.165799640805545</v>
      </c>
      <c r="W148" s="402">
        <f t="shared" si="59"/>
        <v>50.51936699694653</v>
      </c>
      <c r="X148" s="157">
        <f t="shared" si="60"/>
        <v>45425</v>
      </c>
      <c r="Y148" s="385">
        <f t="shared" si="61"/>
        <v>48.329167626409578</v>
      </c>
      <c r="Z148" s="385">
        <f t="shared" si="62"/>
        <v>50.694994927153445</v>
      </c>
      <c r="AA148" s="386">
        <f t="shared" si="63"/>
        <v>53.528229857686192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5.2929733302696159E-2</v>
      </c>
      <c r="AD148" s="231">
        <f>(INDEX(Models!$BJ148:$BT148,,AH148)*(1-AF148)+INDEX(Models!$BJ148:$BT148,,AH148+1)*AF148-ERP_i)*AE148*Ramure*Pc/MaxiM</f>
        <v>3.0162648569064076E-3</v>
      </c>
      <c r="AE148" s="305">
        <f t="shared" si="65"/>
        <v>0.7</v>
      </c>
      <c r="AF148" s="177">
        <f t="shared" si="66"/>
        <v>0.12352862999474334</v>
      </c>
      <c r="AG148" s="919">
        <f t="shared" si="74"/>
        <v>1</v>
      </c>
      <c r="AH148" s="176">
        <f t="shared" si="67"/>
        <v>7</v>
      </c>
      <c r="AI148" s="225">
        <f t="shared" si="68"/>
        <v>1.1235286299947433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1090">
        <f>IF(t&gt;Tmaj,'2023'!Wh/'2023'!Env_an*'2024'!Env_an,0.001*[7]mois!$B$52)</f>
        <v>51.536978183202031</v>
      </c>
      <c r="C149" s="953"/>
      <c r="D149" s="393">
        <f t="shared" si="50"/>
        <v>54.061019488634692</v>
      </c>
      <c r="E149" s="385">
        <f t="shared" si="72"/>
        <v>54.615827400497977</v>
      </c>
      <c r="F149" s="385">
        <f t="shared" si="51"/>
        <v>54.768014162388994</v>
      </c>
      <c r="G149" s="110">
        <f t="shared" si="73"/>
        <v>0.91722790668435139</v>
      </c>
      <c r="H149" s="412" t="b">
        <f>Wh_hp&gt;='2023'!Maxi_hp</f>
        <v>0</v>
      </c>
      <c r="I149" s="390">
        <f>IF(H149,Wh_hp,'2023'!Maxi_hp)</f>
        <v>61.115724809852011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4.6688747813261156E-2</v>
      </c>
      <c r="M149" s="957"/>
      <c r="N149" s="957"/>
      <c r="O149" s="48">
        <f>IF(t&lt;Tnet,'2023'!Resal+('2023'!Salim-'2023'!Resal)*(1-EXP(('2023'!Tnet-t)/('2023'!Tau_j))),Resal+(Salim-Resal)*(1-EXP((Tnet-t)/(Tau_j))))*Salcycl</f>
        <v>1.0158372366949171E-2</v>
      </c>
      <c r="P149" s="169">
        <f>(INDEX(Models!$BJ149:$BT149,,T149)*(1-R149)+INDEX(Models!$BJ149:$BT149,,T149+1)*R149-ERP_i)*Q149*Ramure*Pc/MaxiM</f>
        <v>3.1496500920379597E-3</v>
      </c>
      <c r="Q149" s="305">
        <f t="shared" si="53"/>
        <v>0.7</v>
      </c>
      <c r="R149" s="177">
        <f t="shared" si="54"/>
        <v>0.127406421709783</v>
      </c>
      <c r="S149" s="919">
        <f t="shared" si="55"/>
        <v>1</v>
      </c>
      <c r="T149" s="176">
        <f t="shared" si="56"/>
        <v>7</v>
      </c>
      <c r="U149" s="251">
        <f t="shared" si="57"/>
        <v>1.127406421709783</v>
      </c>
      <c r="V149" s="383">
        <f t="shared" si="58"/>
        <v>56.166858430991397</v>
      </c>
      <c r="W149" s="402">
        <f t="shared" si="59"/>
        <v>51.536978183202031</v>
      </c>
      <c r="X149" s="157">
        <f t="shared" si="60"/>
        <v>45426</v>
      </c>
      <c r="Y149" s="385">
        <f t="shared" si="61"/>
        <v>49.303228977477119</v>
      </c>
      <c r="Z149" s="385">
        <f t="shared" si="62"/>
        <v>51.717871644107461</v>
      </c>
      <c r="AA149" s="386">
        <f t="shared" si="63"/>
        <v>54.615827400497977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5.3060731555704593E-2</v>
      </c>
      <c r="AD149" s="231">
        <f>(INDEX(Models!$BJ149:$BT149,,AH149)*(1-AF149)+INDEX(Models!$BJ149:$BT149,,AH149+1)*AF149-ERP_i)*AE149*Ramure*Pc/MaxiM</f>
        <v>3.1496500920379597E-3</v>
      </c>
      <c r="AE149" s="305">
        <f t="shared" si="65"/>
        <v>0.7</v>
      </c>
      <c r="AF149" s="177">
        <f t="shared" si="66"/>
        <v>0.127406421709783</v>
      </c>
      <c r="AG149" s="919">
        <f t="shared" si="74"/>
        <v>1</v>
      </c>
      <c r="AH149" s="176">
        <f t="shared" si="67"/>
        <v>7</v>
      </c>
      <c r="AI149" s="225">
        <f t="shared" si="68"/>
        <v>1.127406421709783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1090">
        <f>IF(t&gt;Tmaj,'2023'!Wh/'2023'!Env_an*'2024'!Env_an,0.001*[7]mois!$B$53)</f>
        <v>49.62123781343459</v>
      </c>
      <c r="C150" s="953"/>
      <c r="D150" s="393">
        <f t="shared" si="50"/>
        <v>52.052595158057521</v>
      </c>
      <c r="E150" s="385">
        <f t="shared" si="72"/>
        <v>52.594678516942039</v>
      </c>
      <c r="F150" s="385">
        <f t="shared" si="51"/>
        <v>52.739141626291634</v>
      </c>
      <c r="G150" s="110">
        <f t="shared" si="73"/>
        <v>0.88301338038053356</v>
      </c>
      <c r="H150" s="412" t="b">
        <f>Wh_hp&gt;='2023'!Maxi_hp</f>
        <v>0</v>
      </c>
      <c r="I150" s="390">
        <f>IF(H150,Wh_hp,'2023'!Maxi_hp)</f>
        <v>53.059049152756259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4.6709627776292839E-2</v>
      </c>
      <c r="M150" s="957"/>
      <c r="N150" s="957"/>
      <c r="O150" s="48">
        <f>IF(t&lt;Tnet,'2023'!Resal+('2023'!Salim-'2023'!Resal)*(1-EXP(('2023'!Tnet-t)/('2023'!Tau_j))),Resal+(Salim-Resal)*(1-EXP((Tnet-t)/(Tau_j))))*Salcycl</f>
        <v>1.0306810007592374E-2</v>
      </c>
      <c r="P150" s="169">
        <f>(INDEX(Models!$BJ150:$BT150,,T150)*(1-R150)+INDEX(Models!$BJ150:$BT150,,T150+1)*R150-ERP_i)*Q150*Ramure*Pc/MaxiM</f>
        <v>3.2861141137036308E-3</v>
      </c>
      <c r="Q150" s="305">
        <f t="shared" si="53"/>
        <v>0.7</v>
      </c>
      <c r="R150" s="177">
        <f t="shared" si="54"/>
        <v>0.13136285917090906</v>
      </c>
      <c r="S150" s="919">
        <f t="shared" si="55"/>
        <v>1</v>
      </c>
      <c r="T150" s="176">
        <f t="shared" si="56"/>
        <v>7</v>
      </c>
      <c r="U150" s="251">
        <f t="shared" si="57"/>
        <v>1.1313628591709091</v>
      </c>
      <c r="V150" s="383">
        <f t="shared" si="58"/>
        <v>56.164522381587872</v>
      </c>
      <c r="W150" s="402">
        <f t="shared" si="59"/>
        <v>49.62123781343459</v>
      </c>
      <c r="X150" s="157">
        <f t="shared" si="60"/>
        <v>45427</v>
      </c>
      <c r="Y150" s="385">
        <f t="shared" si="61"/>
        <v>47.471052820369586</v>
      </c>
      <c r="Z150" s="385">
        <f t="shared" si="62"/>
        <v>49.797054710240616</v>
      </c>
      <c r="AA150" s="386">
        <f t="shared" si="63"/>
        <v>52.594678516942039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5.319214577574112E-2</v>
      </c>
      <c r="AD150" s="231">
        <f>(INDEX(Models!$BJ150:$BT150,,AH150)*(1-AF150)+INDEX(Models!$BJ150:$BT150,,AH150+1)*AF150-ERP_i)*AE150*Ramure*Pc/MaxiM</f>
        <v>3.2861141137036308E-3</v>
      </c>
      <c r="AE150" s="305">
        <f t="shared" si="65"/>
        <v>0.7</v>
      </c>
      <c r="AF150" s="177">
        <f t="shared" si="66"/>
        <v>0.13136285917090906</v>
      </c>
      <c r="AG150" s="919">
        <f t="shared" si="74"/>
        <v>1</v>
      </c>
      <c r="AH150" s="176">
        <f t="shared" si="67"/>
        <v>7</v>
      </c>
      <c r="AI150" s="225">
        <f t="shared" si="68"/>
        <v>1.1313628591709091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1090">
        <f>IF(t&gt;Tmaj,'2023'!Wh/'2023'!Env_an*'2024'!Env_an,0.001*[7]mois!$B$54)</f>
        <v>53.126673599910283</v>
      </c>
      <c r="C151" s="953"/>
      <c r="D151" s="393">
        <f t="shared" si="50"/>
        <v>55.731012065049285</v>
      </c>
      <c r="E151" s="385">
        <f t="shared" si="72"/>
        <v>56.31985622894279</v>
      </c>
      <c r="F151" s="385">
        <f t="shared" si="51"/>
        <v>56.49840891547283</v>
      </c>
      <c r="G151" s="110">
        <f t="shared" si="73"/>
        <v>0.94575456438260752</v>
      </c>
      <c r="H151" s="412" t="b">
        <f>Wh_hp&gt;='2023'!Maxi_hp</f>
        <v>0</v>
      </c>
      <c r="I151" s="390">
        <f>IF(H151,Wh_hp,'2023'!Maxi_hp)</f>
        <v>56.50310848003005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4.6730507281999789E-2</v>
      </c>
      <c r="M151" s="957"/>
      <c r="N151" s="957"/>
      <c r="O151" s="48">
        <f>IF(t&lt;Tnet,'2023'!Resal+('2023'!Salim-'2023'!Resal)*(1-EXP(('2023'!Tnet-t)/('2023'!Tau_j))),Resal+(Salim-Resal)*(1-EXP((Tnet-t)/(Tau_j))))*Salcycl</f>
        <v>1.0455356304530133E-2</v>
      </c>
      <c r="P151" s="169">
        <f>(INDEX(Models!$BJ151:$BT151,,T151)*(1-R151)+INDEX(Models!$BJ151:$BT151,,T151+1)*R151-ERP_i)*Q151*Ramure*Pc/MaxiM</f>
        <v>3.4244605700167294E-3</v>
      </c>
      <c r="Q151" s="305">
        <f t="shared" si="53"/>
        <v>0.7</v>
      </c>
      <c r="R151" s="177">
        <f t="shared" si="54"/>
        <v>0.1353969175308829</v>
      </c>
      <c r="S151" s="919">
        <f t="shared" si="55"/>
        <v>1</v>
      </c>
      <c r="T151" s="176">
        <f t="shared" si="56"/>
        <v>7</v>
      </c>
      <c r="U151" s="251">
        <f t="shared" si="57"/>
        <v>1.1353969175308829</v>
      </c>
      <c r="V151" s="383">
        <f t="shared" si="58"/>
        <v>56.158963283786925</v>
      </c>
      <c r="W151" s="402">
        <f t="shared" si="59"/>
        <v>53.126673599910283</v>
      </c>
      <c r="X151" s="157">
        <f t="shared" si="60"/>
        <v>45428</v>
      </c>
      <c r="Y151" s="385">
        <f t="shared" si="61"/>
        <v>50.825144879892832</v>
      </c>
      <c r="Z151" s="385">
        <f t="shared" si="62"/>
        <v>53.316659421228451</v>
      </c>
      <c r="AA151" s="386">
        <f t="shared" si="63"/>
        <v>56.31985622894279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5.3323943078018687E-2</v>
      </c>
      <c r="AD151" s="231">
        <f>(INDEX(Models!$BJ151:$BT151,,AH151)*(1-AF151)+INDEX(Models!$BJ151:$BT151,,AH151+1)*AF151-ERP_i)*AE151*Ramure*Pc/MaxiM</f>
        <v>3.4244605700167294E-3</v>
      </c>
      <c r="AE151" s="305">
        <f t="shared" si="65"/>
        <v>0.7</v>
      </c>
      <c r="AF151" s="177">
        <f t="shared" si="66"/>
        <v>0.1353969175308829</v>
      </c>
      <c r="AG151" s="919">
        <f t="shared" si="74"/>
        <v>1</v>
      </c>
      <c r="AH151" s="176">
        <f t="shared" si="67"/>
        <v>7</v>
      </c>
      <c r="AI151" s="225">
        <f t="shared" si="68"/>
        <v>1.1353969175308829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1090">
        <f>IF(t&gt;Tmaj,'2023'!Wh/'2023'!Env_an*'2024'!Env_an,0.001*[7]mois!$B$55)</f>
        <v>51.463812316985276</v>
      </c>
      <c r="C152" s="953"/>
      <c r="D152" s="393">
        <f t="shared" si="50"/>
        <v>53.987817636441292</v>
      </c>
      <c r="E152" s="385">
        <f t="shared" si="72"/>
        <v>54.566440538682841</v>
      </c>
      <c r="F152" s="385">
        <f t="shared" si="51"/>
        <v>54.738300830394671</v>
      </c>
      <c r="G152" s="110">
        <f t="shared" si="73"/>
        <v>0.91614619492235305</v>
      </c>
      <c r="H152" s="412" t="b">
        <f>Wh_hp&gt;='2023'!Maxi_hp</f>
        <v>0</v>
      </c>
      <c r="I152" s="390">
        <f>IF(H152,Wh_hp,'2023'!Maxi_hp)</f>
        <v>59.62470514235855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4.6751386330391997E-2</v>
      </c>
      <c r="M152" s="957"/>
      <c r="N152" s="957"/>
      <c r="O152" s="48">
        <f>IF(t&lt;Tnet,'2023'!Resal+('2023'!Salim-'2023'!Resal)*(1-EXP(('2023'!Tnet-t)/('2023'!Tau_j))),Resal+(Salim-Resal)*(1-EXP((Tnet-t)/(Tau_j))))*Salcycl</f>
        <v>1.0604006721518842E-2</v>
      </c>
      <c r="P152" s="169">
        <f>(INDEX(Models!$BJ152:$BT152,,T152)*(1-R152)+INDEX(Models!$BJ152:$BT152,,T152+1)*R152-ERP_i)*Q152*Ramure*Pc/MaxiM</f>
        <v>3.5647012938638911E-3</v>
      </c>
      <c r="Q152" s="305">
        <f t="shared" si="53"/>
        <v>0.7</v>
      </c>
      <c r="R152" s="177">
        <f t="shared" si="54"/>
        <v>0.13950739775484</v>
      </c>
      <c r="S152" s="919">
        <f t="shared" si="55"/>
        <v>1</v>
      </c>
      <c r="T152" s="176">
        <f t="shared" si="56"/>
        <v>7</v>
      </c>
      <c r="U152" s="251">
        <f t="shared" si="57"/>
        <v>1.13950739775484</v>
      </c>
      <c r="V152" s="383">
        <f t="shared" si="58"/>
        <v>56.150284817326821</v>
      </c>
      <c r="W152" s="402">
        <f t="shared" si="59"/>
        <v>51.463812316985276</v>
      </c>
      <c r="X152" s="157">
        <f t="shared" si="60"/>
        <v>45429</v>
      </c>
      <c r="Y152" s="385">
        <f t="shared" si="61"/>
        <v>49.234844820018907</v>
      </c>
      <c r="Z152" s="385">
        <f t="shared" si="62"/>
        <v>51.649532046509222</v>
      </c>
      <c r="AA152" s="386">
        <f t="shared" si="63"/>
        <v>54.566440538682841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5.3456088822685495E-2</v>
      </c>
      <c r="AD152" s="231">
        <f>(INDEX(Models!$BJ152:$BT152,,AH152)*(1-AF152)+INDEX(Models!$BJ152:$BT152,,AH152+1)*AF152-ERP_i)*AE152*Ramure*Pc/MaxiM</f>
        <v>3.5647012938638911E-3</v>
      </c>
      <c r="AE152" s="305">
        <f t="shared" si="65"/>
        <v>0.7</v>
      </c>
      <c r="AF152" s="177">
        <f t="shared" si="66"/>
        <v>0.13950739775484</v>
      </c>
      <c r="AG152" s="919">
        <f t="shared" si="74"/>
        <v>1</v>
      </c>
      <c r="AH152" s="176">
        <f t="shared" si="67"/>
        <v>7</v>
      </c>
      <c r="AI152" s="225">
        <f t="shared" si="68"/>
        <v>1.13950739775484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1090">
        <f>IF(t&gt;Tmaj,'2023'!Wh/'2023'!Env_an*'2024'!Env_an,0.001*[7]mois!$B$56)</f>
        <v>53.757428466948248</v>
      </c>
      <c r="C153" s="953"/>
      <c r="D153" s="393">
        <f t="shared" si="50"/>
        <v>56.3951577243187</v>
      </c>
      <c r="E153" s="385">
        <f t="shared" si="72"/>
        <v>57.008152480457831</v>
      </c>
      <c r="F153" s="385">
        <f t="shared" si="51"/>
        <v>57.207361703822393</v>
      </c>
      <c r="G153" s="110">
        <f t="shared" si="73"/>
        <v>0.95736837758592441</v>
      </c>
      <c r="H153" s="412" t="b">
        <f>Wh_hp&gt;='2023'!Maxi_hp</f>
        <v>0</v>
      </c>
      <c r="I153" s="390">
        <f>IF(H153,Wh_hp,'2023'!Maxi_hp)</f>
        <v>59.775748831066402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4.6772264921479456E-2</v>
      </c>
      <c r="M153" s="957"/>
      <c r="N153" s="957"/>
      <c r="O153" s="48">
        <f>IF(t&lt;Tnet,'2023'!Resal+('2023'!Salim-'2023'!Resal)*(1-EXP(('2023'!Tnet-t)/('2023'!Tau_j))),Resal+(Salim-Resal)*(1-EXP((Tnet-t)/(Tau_j))))*Salcycl</f>
        <v>1.0752756043958129E-2</v>
      </c>
      <c r="P153" s="169">
        <f>(INDEX(Models!$BJ153:$BT153,,T153)*(1-R153)+INDEX(Models!$BJ153:$BT153,,T153+1)*R153-ERP_i)*Q153*Ramure*Pc/MaxiM</f>
        <v>3.7068429270813298E-3</v>
      </c>
      <c r="Q153" s="305">
        <f t="shared" si="53"/>
        <v>0.7</v>
      </c>
      <c r="R153" s="177">
        <f t="shared" si="54"/>
        <v>0.14369292352213647</v>
      </c>
      <c r="S153" s="919">
        <f t="shared" si="55"/>
        <v>1</v>
      </c>
      <c r="T153" s="176">
        <f t="shared" si="56"/>
        <v>7</v>
      </c>
      <c r="U153" s="251">
        <f t="shared" si="57"/>
        <v>1.1436929235221365</v>
      </c>
      <c r="V153" s="383">
        <f t="shared" si="58"/>
        <v>56.13859090058623</v>
      </c>
      <c r="W153" s="402">
        <f t="shared" si="59"/>
        <v>53.757428466948248</v>
      </c>
      <c r="X153" s="157">
        <f t="shared" si="60"/>
        <v>45430</v>
      </c>
      <c r="Y153" s="385">
        <f t="shared" si="61"/>
        <v>51.429656552729824</v>
      </c>
      <c r="Z153" s="385">
        <f t="shared" si="62"/>
        <v>53.953168440376309</v>
      </c>
      <c r="AA153" s="386">
        <f t="shared" si="63"/>
        <v>57.008152480457831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5.3588546675473379E-2</v>
      </c>
      <c r="AD153" s="231">
        <f>(INDEX(Models!$BJ153:$BT153,,AH153)*(1-AF153)+INDEX(Models!$BJ153:$BT153,,AH153+1)*AF153-ERP_i)*AE153*Ramure*Pc/MaxiM</f>
        <v>3.7068429270813298E-3</v>
      </c>
      <c r="AE153" s="305">
        <f t="shared" si="65"/>
        <v>0.7</v>
      </c>
      <c r="AF153" s="177">
        <f t="shared" si="66"/>
        <v>0.14369292352213647</v>
      </c>
      <c r="AG153" s="919">
        <f t="shared" si="74"/>
        <v>1</v>
      </c>
      <c r="AH153" s="176">
        <f t="shared" si="67"/>
        <v>7</v>
      </c>
      <c r="AI153" s="225">
        <f t="shared" si="68"/>
        <v>1.1436929235221365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1090">
        <f>IF(t&gt;Tmaj,'2023'!Wh/'2023'!Env_an*'2024'!Env_an,0.001*[7]mois!$B$57)</f>
        <v>48.755551062111572</v>
      </c>
      <c r="C154" s="953"/>
      <c r="D154" s="393">
        <f t="shared" si="50"/>
        <v>51.148972237133925</v>
      </c>
      <c r="E154" s="385">
        <f t="shared" si="72"/>
        <v>51.712723580641978</v>
      </c>
      <c r="F154" s="385">
        <f t="shared" si="51"/>
        <v>51.875021517327106</v>
      </c>
      <c r="G154" s="110">
        <f t="shared" si="73"/>
        <v>0.86808208807513465</v>
      </c>
      <c r="H154" s="412" t="b">
        <f>Wh_hp&gt;='2023'!Maxi_hp</f>
        <v>0</v>
      </c>
      <c r="I154" s="390">
        <f>IF(H154,Wh_hp,'2023'!Maxi_hp)</f>
        <v>61.745336141235896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4.6793143055272157E-2</v>
      </c>
      <c r="M154" s="957"/>
      <c r="N154" s="957"/>
      <c r="O154" s="48">
        <f>IF(t&lt;Tnet,'2023'!Resal+('2023'!Salim-'2023'!Resal)*(1-EXP(('2023'!Tnet-t)/('2023'!Tau_j))),Resal+(Salim-Resal)*(1-EXP((Tnet-t)/(Tau_j))))*Salcycl</f>
        <v>1.0901598377987628E-2</v>
      </c>
      <c r="P154" s="169">
        <f>(INDEX(Models!$BJ154:$BT154,,T154)*(1-R154)+INDEX(Models!$BJ154:$BT154,,T154+1)*R154-ERP_i)*Q154*Ramure*Pc/MaxiM</f>
        <v>3.8508867661912311E-3</v>
      </c>
      <c r="Q154" s="305">
        <f t="shared" si="53"/>
        <v>0.7</v>
      </c>
      <c r="R154" s="177">
        <f t="shared" si="54"/>
        <v>0.14795193882979718</v>
      </c>
      <c r="S154" s="919">
        <f t="shared" si="55"/>
        <v>1</v>
      </c>
      <c r="T154" s="176">
        <f t="shared" si="56"/>
        <v>7</v>
      </c>
      <c r="U154" s="251">
        <f t="shared" si="57"/>
        <v>1.1479519388297972</v>
      </c>
      <c r="V154" s="383">
        <f t="shared" si="58"/>
        <v>56.123985697366408</v>
      </c>
      <c r="W154" s="402">
        <f t="shared" si="59"/>
        <v>48.755551062111572</v>
      </c>
      <c r="X154" s="157">
        <f t="shared" si="60"/>
        <v>45431</v>
      </c>
      <c r="Y154" s="385">
        <f t="shared" si="61"/>
        <v>46.644843870639505</v>
      </c>
      <c r="Z154" s="385">
        <f t="shared" si="62"/>
        <v>48.934649945918537</v>
      </c>
      <c r="AA154" s="386">
        <f t="shared" si="63"/>
        <v>51.712723580641978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5.3721278678954994E-2</v>
      </c>
      <c r="AD154" s="231">
        <f>(INDEX(Models!$BJ154:$BT154,,AH154)*(1-AF154)+INDEX(Models!$BJ154:$BT154,,AH154+1)*AF154-ERP_i)*AE154*Ramure*Pc/MaxiM</f>
        <v>3.8508867661912311E-3</v>
      </c>
      <c r="AE154" s="305">
        <f t="shared" si="65"/>
        <v>0.7</v>
      </c>
      <c r="AF154" s="177">
        <f t="shared" si="66"/>
        <v>0.14795193882979718</v>
      </c>
      <c r="AG154" s="919">
        <f t="shared" si="74"/>
        <v>1</v>
      </c>
      <c r="AH154" s="176">
        <f t="shared" si="67"/>
        <v>7</v>
      </c>
      <c r="AI154" s="225">
        <f t="shared" si="68"/>
        <v>1.1479519388297972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1090">
        <f>IF(t&gt;Tmaj,'2023'!Wh/'2023'!Env_an*'2024'!Env_an,0.001*[7]mois!$B$58)</f>
        <v>49.34811892651485</v>
      </c>
      <c r="C155" s="953"/>
      <c r="D155" s="393">
        <f t="shared" si="50"/>
        <v>51.771763328286049</v>
      </c>
      <c r="E155" s="385">
        <f t="shared" si="72"/>
        <v>52.350261312382443</v>
      </c>
      <c r="F155" s="385">
        <f t="shared" si="51"/>
        <v>52.524065866777185</v>
      </c>
      <c r="G155" s="110">
        <f t="shared" si="73"/>
        <v>0.87893560914725632</v>
      </c>
      <c r="H155" s="412" t="b">
        <f>Wh_hp&gt;='2023'!Maxi_hp</f>
        <v>0</v>
      </c>
      <c r="I155" s="390">
        <f>IF(H155,Wh_hp,'2023'!Maxi_hp)</f>
        <v>58.246676654523853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4.6814020731780204E-2</v>
      </c>
      <c r="M155" s="957"/>
      <c r="N155" s="957"/>
      <c r="O155" s="48">
        <f>IF(t&lt;Tnet,'2023'!Resal+('2023'!Salim-'2023'!Resal)*(1-EXP(('2023'!Tnet-t)/('2023'!Tau_j))),Resal+(Salim-Resal)*(1-EXP((Tnet-t)/(Tau_j))))*Salcycl</f>
        <v>1.1050527152947784E-2</v>
      </c>
      <c r="P155" s="169">
        <f>(INDEX(Models!$BJ155:$BT155,,T155)*(1-R155)+INDEX(Models!$BJ155:$BT155,,T155+1)*R155-ERP_i)*Q155*Ramure*Pc/MaxiM</f>
        <v>3.9968286220618968E-3</v>
      </c>
      <c r="Q155" s="305">
        <f t="shared" si="53"/>
        <v>0.7</v>
      </c>
      <c r="R155" s="177">
        <f t="shared" si="54"/>
        <v>0.15228270635073993</v>
      </c>
      <c r="S155" s="919">
        <f t="shared" si="55"/>
        <v>1</v>
      </c>
      <c r="T155" s="176">
        <f t="shared" si="56"/>
        <v>7</v>
      </c>
      <c r="U155" s="251">
        <f t="shared" si="57"/>
        <v>1.1522827063507399</v>
      </c>
      <c r="V155" s="383">
        <f t="shared" si="58"/>
        <v>56.106573626408832</v>
      </c>
      <c r="W155" s="402">
        <f t="shared" si="59"/>
        <v>49.34811892651485</v>
      </c>
      <c r="X155" s="157">
        <f t="shared" si="60"/>
        <v>45432</v>
      </c>
      <c r="Y155" s="385">
        <f t="shared" si="61"/>
        <v>47.212233288964406</v>
      </c>
      <c r="Z155" s="385">
        <f t="shared" si="62"/>
        <v>49.530977496343574</v>
      </c>
      <c r="AA155" s="386">
        <f t="shared" si="63"/>
        <v>52.350261312382443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5.3854245334435884E-2</v>
      </c>
      <c r="AD155" s="231">
        <f>(INDEX(Models!$BJ155:$BT155,,AH155)*(1-AF155)+INDEX(Models!$BJ155:$BT155,,AH155+1)*AF155-ERP_i)*AE155*Ramure*Pc/MaxiM</f>
        <v>3.9968286220618968E-3</v>
      </c>
      <c r="AE155" s="305">
        <f t="shared" si="65"/>
        <v>0.7</v>
      </c>
      <c r="AF155" s="177">
        <f t="shared" si="66"/>
        <v>0.15228270635073993</v>
      </c>
      <c r="AG155" s="919">
        <f t="shared" si="74"/>
        <v>1</v>
      </c>
      <c r="AH155" s="176">
        <f t="shared" si="67"/>
        <v>7</v>
      </c>
      <c r="AI155" s="225">
        <f t="shared" si="68"/>
        <v>1.1522827063507399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1090">
        <f>IF(t&gt;Tmaj,'2023'!Wh/'2023'!Env_an*'2024'!Env_an,0.001*[7]mois!$B$59)</f>
        <v>37.745520094447357</v>
      </c>
      <c r="C156" s="953"/>
      <c r="D156" s="393">
        <f t="shared" si="50"/>
        <v>39.600190998712712</v>
      </c>
      <c r="E156" s="385">
        <f t="shared" si="72"/>
        <v>40.048718023016434</v>
      </c>
      <c r="F156" s="385">
        <f t="shared" si="51"/>
        <v>40.137362673634968</v>
      </c>
      <c r="G156" s="110">
        <f t="shared" si="73"/>
        <v>0.67168223237049829</v>
      </c>
      <c r="H156" s="412" t="b">
        <f>Wh_hp&gt;='2023'!Maxi_hp</f>
        <v>0</v>
      </c>
      <c r="I156" s="390">
        <f>IF(H156,Wh_hp,'2023'!Maxi_hp)</f>
        <v>58.677512490213942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4.6834897951013477E-2</v>
      </c>
      <c r="M156" s="957"/>
      <c r="N156" s="957"/>
      <c r="O156" s="48">
        <f>IF(t&lt;Tnet,'2023'!Resal+('2023'!Salim-'2023'!Resal)*(1-EXP(('2023'!Tnet-t)/('2023'!Tau_j))),Resal+(Salim-Resal)*(1-EXP((Tnet-t)/(Tau_j))))*Salcycl</f>
        <v>1.1199535127340442E-2</v>
      </c>
      <c r="P156" s="169">
        <f>(INDEX(Models!$BJ156:$BT156,,T156)*(1-R156)+INDEX(Models!$BJ156:$BT156,,T156+1)*R156-ERP_i)*Q156*Ramure*Pc/MaxiM</f>
        <v>4.144829040041681E-3</v>
      </c>
      <c r="Q156" s="305">
        <f t="shared" si="53"/>
        <v>0.7</v>
      </c>
      <c r="R156" s="177">
        <f t="shared" si="54"/>
        <v>0.15668330659629559</v>
      </c>
      <c r="S156" s="919">
        <f t="shared" si="55"/>
        <v>1</v>
      </c>
      <c r="T156" s="176">
        <f t="shared" si="56"/>
        <v>7</v>
      </c>
      <c r="U156" s="251">
        <f t="shared" si="57"/>
        <v>1.1566833065962956</v>
      </c>
      <c r="V156" s="383">
        <f t="shared" si="58"/>
        <v>56.086449766785243</v>
      </c>
      <c r="W156" s="402">
        <f t="shared" si="59"/>
        <v>37.745520094447357</v>
      </c>
      <c r="X156" s="157">
        <f t="shared" si="60"/>
        <v>45433</v>
      </c>
      <c r="Y156" s="385">
        <f t="shared" si="61"/>
        <v>36.112176982603017</v>
      </c>
      <c r="Z156" s="385">
        <f t="shared" si="62"/>
        <v>37.886591635566496</v>
      </c>
      <c r="AA156" s="386">
        <f t="shared" si="63"/>
        <v>40.048718023016434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5.3987405694417935E-2</v>
      </c>
      <c r="AD156" s="231">
        <f>(INDEX(Models!$BJ156:$BT156,,AH156)*(1-AF156)+INDEX(Models!$BJ156:$BT156,,AH156+1)*AF156-ERP_i)*AE156*Ramure*Pc/MaxiM</f>
        <v>4.144829040041681E-3</v>
      </c>
      <c r="AE156" s="305">
        <f t="shared" si="65"/>
        <v>0.7</v>
      </c>
      <c r="AF156" s="177">
        <f t="shared" si="66"/>
        <v>0.15668330659629559</v>
      </c>
      <c r="AG156" s="919">
        <f t="shared" si="74"/>
        <v>1</v>
      </c>
      <c r="AH156" s="176">
        <f t="shared" si="67"/>
        <v>7</v>
      </c>
      <c r="AI156" s="225">
        <f t="shared" si="68"/>
        <v>1.1566833065962956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1090">
        <f>IF(t&gt;Tmaj,'2023'!Wh/'2023'!Env_an*'2024'!Env_an,0.001*[7]mois!$B$60)</f>
        <v>17.628111007870309</v>
      </c>
      <c r="C157" s="953"/>
      <c r="D157" s="393">
        <f t="shared" si="50"/>
        <v>18.49469423429807</v>
      </c>
      <c r="E157" s="385">
        <f t="shared" si="72"/>
        <v>18.70699268078603</v>
      </c>
      <c r="F157" s="385">
        <f t="shared" si="51"/>
        <v>18.708649002751862</v>
      </c>
      <c r="G157" s="110">
        <f t="shared" si="73"/>
        <v>0.31310720921151142</v>
      </c>
      <c r="H157" s="412" t="b">
        <f>Wh_hp&gt;='2023'!Maxi_hp</f>
        <v>0</v>
      </c>
      <c r="I157" s="390">
        <f>IF(H157,Wh_hp,'2023'!Maxi_hp)</f>
        <v>53.955691624579302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4.6855774712982079E-2</v>
      </c>
      <c r="M157" s="957"/>
      <c r="N157" s="957"/>
      <c r="O157" s="48">
        <f>IF(t&lt;Tnet,'2023'!Resal+('2023'!Salim-'2023'!Resal)*(1-EXP(('2023'!Tnet-t)/('2023'!Tau_j))),Resal+(Salim-Resal)*(1-EXP((Tnet-t)/(Tau_j))))*Salcycl</f>
        <v>1.1348614398401459E-2</v>
      </c>
      <c r="P157" s="169">
        <f>(INDEX(Models!$BJ157:$BT157,,T157)*(1-R157)+INDEX(Models!$BJ157:$BT157,,T157+1)*R157-ERP_i)*Q157*Ramure*Pc/MaxiM</f>
        <v>4.2947460308108342E-3</v>
      </c>
      <c r="Q157" s="305">
        <f t="shared" si="53"/>
        <v>0.7</v>
      </c>
      <c r="R157" s="177">
        <f t="shared" si="54"/>
        <v>0.16115163792806797</v>
      </c>
      <c r="S157" s="919">
        <f t="shared" si="55"/>
        <v>1</v>
      </c>
      <c r="T157" s="176">
        <f t="shared" si="56"/>
        <v>7</v>
      </c>
      <c r="U157" s="251">
        <f t="shared" si="57"/>
        <v>1.161151637928068</v>
      </c>
      <c r="V157" s="383">
        <f t="shared" si="58"/>
        <v>56.063726180463938</v>
      </c>
      <c r="W157" s="402">
        <f t="shared" si="59"/>
        <v>17.628111007870309</v>
      </c>
      <c r="X157" s="157">
        <f t="shared" si="60"/>
        <v>45434</v>
      </c>
      <c r="Y157" s="385">
        <f t="shared" si="61"/>
        <v>16.865464647497596</v>
      </c>
      <c r="Z157" s="385">
        <f t="shared" si="62"/>
        <v>17.694556815280439</v>
      </c>
      <c r="AA157" s="386">
        <f t="shared" si="63"/>
        <v>18.70699268078603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5.4120717465478356E-2</v>
      </c>
      <c r="AD157" s="231">
        <f>(INDEX(Models!$BJ157:$BT157,,AH157)*(1-AF157)+INDEX(Models!$BJ157:$BT157,,AH157+1)*AF157-ERP_i)*AE157*Ramure*Pc/MaxiM</f>
        <v>4.2947460308108342E-3</v>
      </c>
      <c r="AE157" s="305">
        <f t="shared" si="65"/>
        <v>0.7</v>
      </c>
      <c r="AF157" s="177">
        <f t="shared" si="66"/>
        <v>0.16115163792806797</v>
      </c>
      <c r="AG157" s="919">
        <f t="shared" si="74"/>
        <v>1</v>
      </c>
      <c r="AH157" s="176">
        <f t="shared" si="67"/>
        <v>7</v>
      </c>
      <c r="AI157" s="225">
        <f t="shared" si="68"/>
        <v>1.161151637928068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1090">
        <f>IF(t&gt;Tmaj,'2023'!Wh/'2023'!Env_an*'2024'!Env_an,0.001*[7]mois!$B$61)</f>
        <v>16.755754444397347</v>
      </c>
      <c r="C158" s="953"/>
      <c r="D158" s="393">
        <f t="shared" si="50"/>
        <v>17.579838393727609</v>
      </c>
      <c r="E158" s="385">
        <f t="shared" si="72"/>
        <v>17.784318151851078</v>
      </c>
      <c r="F158" s="385">
        <f t="shared" si="51"/>
        <v>17.784318151851078</v>
      </c>
      <c r="G158" s="110">
        <f t="shared" si="73"/>
        <v>0.29767475227745194</v>
      </c>
      <c r="H158" s="412" t="b">
        <f>Wh_hp&gt;='2023'!Maxi_hp</f>
        <v>0</v>
      </c>
      <c r="I158" s="390">
        <f>IF(H158,Wh_hp,'2023'!Maxi_hp)</f>
        <v>25.770368698840517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4.6876651017696003E-2</v>
      </c>
      <c r="M158" s="957"/>
      <c r="N158" s="957"/>
      <c r="O158" s="48">
        <f>IF(t&lt;Tnet,'2023'!Resal+('2023'!Salim-'2023'!Resal)*(1-EXP(('2023'!Tnet-t)/('2023'!Tau_j))),Resal+(Salim-Resal)*(1-EXP((Tnet-t)/(Tau_j))))*Salcycl</f>
        <v>1.149775641537234E-2</v>
      </c>
      <c r="P158" s="169">
        <f>(INDEX(Models!$BJ158:$BT158,,T158)*(1-R158)+INDEX(Models!$BJ158:$BT158,,T158+1)*R158-ERP_i)*Q158*Ramure*Pc/MaxiM</f>
        <v>4.4465328837899366E-3</v>
      </c>
      <c r="Q158" s="305">
        <f t="shared" si="53"/>
        <v>0.7</v>
      </c>
      <c r="R158" s="177">
        <f t="shared" si="54"/>
        <v>0.16568541745889731</v>
      </c>
      <c r="S158" s="919">
        <f t="shared" si="55"/>
        <v>1</v>
      </c>
      <c r="T158" s="176">
        <f t="shared" si="56"/>
        <v>7</v>
      </c>
      <c r="U158" s="251">
        <f t="shared" si="57"/>
        <v>1.1656854174588973</v>
      </c>
      <c r="V158" s="383">
        <f t="shared" si="58"/>
        <v>56.038509492802511</v>
      </c>
      <c r="W158" s="402">
        <f t="shared" si="59"/>
        <v>16.755754444397347</v>
      </c>
      <c r="X158" s="157">
        <f t="shared" si="60"/>
        <v>45435</v>
      </c>
      <c r="Y158" s="385">
        <f t="shared" si="61"/>
        <v>16.031006047831269</v>
      </c>
      <c r="Z158" s="385">
        <f t="shared" si="62"/>
        <v>16.819445316231473</v>
      </c>
      <c r="AA158" s="386">
        <f t="shared" si="63"/>
        <v>17.784318151851078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5.4254137121314251E-2</v>
      </c>
      <c r="AD158" s="231">
        <f>(INDEX(Models!$BJ158:$BT158,,AH158)*(1-AF158)+INDEX(Models!$BJ158:$BT158,,AH158+1)*AF158-ERP_i)*AE158*Ramure*Pc/MaxiM</f>
        <v>4.4465328837899366E-3</v>
      </c>
      <c r="AE158" s="305">
        <f t="shared" si="65"/>
        <v>0.7</v>
      </c>
      <c r="AF158" s="177">
        <f t="shared" si="66"/>
        <v>0.16568541745889731</v>
      </c>
      <c r="AG158" s="919">
        <f t="shared" si="74"/>
        <v>1</v>
      </c>
      <c r="AH158" s="176">
        <f t="shared" si="67"/>
        <v>7</v>
      </c>
      <c r="AI158" s="225">
        <f t="shared" si="68"/>
        <v>1.1656854174588973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1090">
        <f>IF(t&gt;Tmaj,'2023'!Wh/'2023'!Env_an*'2024'!Env_an,0.001*[7]mois!$B$62)</f>
        <v>39.028575607964108</v>
      </c>
      <c r="C159" s="953"/>
      <c r="D159" s="393">
        <f t="shared" si="50"/>
        <v>40.948981571305573</v>
      </c>
      <c r="E159" s="385">
        <f t="shared" si="72"/>
        <v>41.431532643142958</v>
      </c>
      <c r="F159" s="385">
        <f t="shared" si="51"/>
        <v>41.539854262714414</v>
      </c>
      <c r="G159" s="110">
        <f t="shared" si="73"/>
        <v>0.6954111430044928</v>
      </c>
      <c r="H159" s="412" t="b">
        <f>Wh_hp&gt;='2023'!Maxi_hp</f>
        <v>0</v>
      </c>
      <c r="I159" s="390">
        <f>IF(H159,Wh_hp,'2023'!Maxi_hp)</f>
        <v>55.122596698708996</v>
      </c>
      <c r="J159" s="85">
        <f>IF(H159,An,'2023'!An_max)</f>
        <v>2021</v>
      </c>
      <c r="K159" s="197">
        <f t="shared" si="52"/>
        <v>45436</v>
      </c>
      <c r="L159" s="147">
        <f>IF(t&lt;Tvie,1-EXP((T0-t)*PertePVj)+'2023'!Pspv,1-EXP((T0-t)*PertePVj)+Pspv)</f>
        <v>4.6897526865165351E-2</v>
      </c>
      <c r="M159" s="957"/>
      <c r="N159" s="957"/>
      <c r="O159" s="48">
        <f>IF(t&lt;Tnet,'2023'!Resal+('2023'!Salim-'2023'!Resal)*(1-EXP(('2023'!Tnet-t)/('2023'!Tau_j))),Resal+(Salim-Resal)*(1-EXP((Tnet-t)/(Tau_j))))*Salcycl</f>
        <v>1.1646951996530808E-2</v>
      </c>
      <c r="P159" s="169">
        <f>(INDEX(Models!$BJ159:$BT159,,T159)*(1-R159)+INDEX(Models!$BJ159:$BT159,,T159+1)*R159-ERP_i)*Q159*Ramure*Pc/MaxiM</f>
        <v>4.6001616884144367E-3</v>
      </c>
      <c r="Q159" s="305">
        <f t="shared" si="53"/>
        <v>0.7</v>
      </c>
      <c r="R159" s="177">
        <f t="shared" si="54"/>
        <v>0.17028218287661456</v>
      </c>
      <c r="S159" s="919">
        <f t="shared" si="55"/>
        <v>1</v>
      </c>
      <c r="T159" s="176">
        <f t="shared" si="56"/>
        <v>7</v>
      </c>
      <c r="U159" s="251">
        <f t="shared" si="57"/>
        <v>1.1702821828766146</v>
      </c>
      <c r="V159" s="383">
        <f t="shared" si="58"/>
        <v>56.010905201083418</v>
      </c>
      <c r="W159" s="402">
        <f t="shared" si="59"/>
        <v>39.028575607964108</v>
      </c>
      <c r="X159" s="157">
        <f t="shared" si="60"/>
        <v>45436</v>
      </c>
      <c r="Y159" s="385">
        <f t="shared" si="61"/>
        <v>37.340810899717965</v>
      </c>
      <c r="Z159" s="385">
        <f t="shared" si="62"/>
        <v>39.178170188669093</v>
      </c>
      <c r="AA159" s="386">
        <f t="shared" si="63"/>
        <v>41.431532643142958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5.4387620025608846E-2</v>
      </c>
      <c r="AD159" s="231">
        <f>(INDEX(Models!$BJ159:$BT159,,AH159)*(1-AF159)+INDEX(Models!$BJ159:$BT159,,AH159+1)*AF159-ERP_i)*AE159*Ramure*Pc/MaxiM</f>
        <v>4.6001616884144367E-3</v>
      </c>
      <c r="AE159" s="305">
        <f t="shared" si="65"/>
        <v>0.7</v>
      </c>
      <c r="AF159" s="177">
        <f t="shared" si="66"/>
        <v>0.17028218287661456</v>
      </c>
      <c r="AG159" s="919">
        <f t="shared" si="74"/>
        <v>1</v>
      </c>
      <c r="AH159" s="176">
        <f t="shared" si="67"/>
        <v>7</v>
      </c>
      <c r="AI159" s="225">
        <f t="shared" si="68"/>
        <v>1.1702821828766146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1090">
        <f>IF(t&gt;Tmaj,'2023'!Wh/'2023'!Env_an*'2024'!Env_an,0.001*[7]mois!$B$63)</f>
        <v>26.556631395436511</v>
      </c>
      <c r="C160" s="953"/>
      <c r="D160" s="393">
        <f t="shared" si="50"/>
        <v>27.863964070107844</v>
      </c>
      <c r="E160" s="385">
        <f t="shared" si="72"/>
        <v>28.19657627931381</v>
      </c>
      <c r="F160" s="385">
        <f t="shared" si="51"/>
        <v>28.230021256851991</v>
      </c>
      <c r="G160" s="110">
        <f t="shared" si="73"/>
        <v>0.47269037149158494</v>
      </c>
      <c r="H160" s="412" t="b">
        <f>Wh_hp&gt;='2023'!Maxi_hp</f>
        <v>0</v>
      </c>
      <c r="I160" s="390">
        <f>IF(H160,Wh_hp,'2023'!Maxi_hp)</f>
        <v>58.823190702914935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4.6918402255400005E-2</v>
      </c>
      <c r="M160" s="957"/>
      <c r="N160" s="957"/>
      <c r="O160" s="48">
        <f>IF(t&lt;Tnet,'2023'!Resal+('2023'!Salim-'2023'!Resal)*(1-EXP(('2023'!Tnet-t)/('2023'!Tau_j))),Resal+(Salim-Resal)*(1-EXP((Tnet-t)/(Tau_j))))*Salcycl</f>
        <v>1.1796191350011009E-2</v>
      </c>
      <c r="P160" s="169">
        <f>(INDEX(Models!$BJ160:$BT160,,T160)*(1-R160)+INDEX(Models!$BJ160:$BT160,,T160+1)*R160-ERP_i)*Q160*Ramure*Pc/MaxiM</f>
        <v>4.7555992591142415E-3</v>
      </c>
      <c r="Q160" s="305">
        <f t="shared" si="53"/>
        <v>0.7</v>
      </c>
      <c r="R160" s="177">
        <f t="shared" si="54"/>
        <v>0.17493929521744689</v>
      </c>
      <c r="S160" s="919">
        <f t="shared" si="55"/>
        <v>1</v>
      </c>
      <c r="T160" s="176">
        <f t="shared" si="56"/>
        <v>7</v>
      </c>
      <c r="U160" s="251">
        <f t="shared" si="57"/>
        <v>1.1749392952174469</v>
      </c>
      <c r="V160" s="383">
        <f t="shared" si="58"/>
        <v>55.981019022447605</v>
      </c>
      <c r="W160" s="402">
        <f t="shared" si="59"/>
        <v>26.556631395436511</v>
      </c>
      <c r="X160" s="157">
        <f t="shared" si="60"/>
        <v>45437</v>
      </c>
      <c r="Y160" s="385">
        <f t="shared" si="61"/>
        <v>25.408457115386419</v>
      </c>
      <c r="Z160" s="385">
        <f t="shared" si="62"/>
        <v>26.659267344489422</v>
      </c>
      <c r="AA160" s="386">
        <f t="shared" si="63"/>
        <v>28.19657627931381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5.4521120564280073E-2</v>
      </c>
      <c r="AD160" s="231">
        <f>(INDEX(Models!$BJ160:$BT160,,AH160)*(1-AF160)+INDEX(Models!$BJ160:$BT160,,AH160+1)*AF160-ERP_i)*AE160*Ramure*Pc/MaxiM</f>
        <v>4.7555992591142415E-3</v>
      </c>
      <c r="AE160" s="305">
        <f t="shared" si="65"/>
        <v>0.7</v>
      </c>
      <c r="AF160" s="177">
        <f t="shared" si="66"/>
        <v>0.17493929521744689</v>
      </c>
      <c r="AG160" s="919">
        <f t="shared" si="74"/>
        <v>1</v>
      </c>
      <c r="AH160" s="176">
        <f t="shared" si="67"/>
        <v>7</v>
      </c>
      <c r="AI160" s="225">
        <f t="shared" si="68"/>
        <v>1.1749392952174469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1090">
        <f>IF(t&gt;Tmaj,'2023'!Wh/'2023'!Env_an*'2024'!Env_an,0.001*[7]mois!$B$64)</f>
        <v>42.319427068352198</v>
      </c>
      <c r="C161" s="953"/>
      <c r="D161" s="393">
        <f t="shared" si="50"/>
        <v>44.403704879902286</v>
      </c>
      <c r="E161" s="385">
        <f t="shared" si="72"/>
        <v>44.940540492923802</v>
      </c>
      <c r="F161" s="385">
        <f t="shared" si="51"/>
        <v>45.084952311587024</v>
      </c>
      <c r="G161" s="110">
        <f t="shared" si="73"/>
        <v>0.75509613193202507</v>
      </c>
      <c r="H161" s="412" t="b">
        <f>Wh_hp&gt;='2023'!Maxi_hp</f>
        <v>0</v>
      </c>
      <c r="I161" s="390">
        <f>IF(H161,Wh_hp,'2023'!Maxi_hp)</f>
        <v>60.55384086599669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4.6939277188410067E-2</v>
      </c>
      <c r="M161" s="957"/>
      <c r="N161" s="957"/>
      <c r="O161" s="48">
        <f>IF(t&lt;Tnet,'2023'!Resal+('2023'!Salim-'2023'!Resal)*(1-EXP(('2023'!Tnet-t)/('2023'!Tau_j))),Resal+(Salim-Resal)*(1-EXP((Tnet-t)/(Tau_j))))*Salcycl</f>
        <v>1.1945464098413495E-2</v>
      </c>
      <c r="P161" s="169">
        <f>(INDEX(Models!$BJ161:$BT161,,T161)*(1-R161)+INDEX(Models!$BJ161:$BT161,,T161+1)*R161-ERP_i)*Q161*Ramure*Pc/MaxiM</f>
        <v>4.9128071515182146E-3</v>
      </c>
      <c r="Q161" s="305">
        <f t="shared" si="53"/>
        <v>0.7</v>
      </c>
      <c r="R161" s="177">
        <f t="shared" si="54"/>
        <v>0.17965394260842271</v>
      </c>
      <c r="S161" s="919">
        <f t="shared" si="55"/>
        <v>1</v>
      </c>
      <c r="T161" s="176">
        <f t="shared" si="56"/>
        <v>7</v>
      </c>
      <c r="U161" s="251">
        <f t="shared" si="57"/>
        <v>1.1796539426084227</v>
      </c>
      <c r="V161" s="383">
        <f t="shared" si="58"/>
        <v>55.948956892857936</v>
      </c>
      <c r="W161" s="402">
        <f t="shared" si="59"/>
        <v>42.319427068352198</v>
      </c>
      <c r="X161" s="157">
        <f t="shared" si="60"/>
        <v>45438</v>
      </c>
      <c r="Y161" s="385">
        <f t="shared" si="61"/>
        <v>40.490149665295952</v>
      </c>
      <c r="Z161" s="385">
        <f t="shared" si="62"/>
        <v>42.484333575144539</v>
      </c>
      <c r="AA161" s="386">
        <f t="shared" si="63"/>
        <v>44.940540492923802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5.4654592286579456E-2</v>
      </c>
      <c r="AD161" s="231">
        <f>(INDEX(Models!$BJ161:$BT161,,AH161)*(1-AF161)+INDEX(Models!$BJ161:$BT161,,AH161+1)*AF161-ERP_i)*AE161*Ramure*Pc/MaxiM</f>
        <v>4.9128071515182146E-3</v>
      </c>
      <c r="AE161" s="305">
        <f t="shared" si="65"/>
        <v>0.7</v>
      </c>
      <c r="AF161" s="177">
        <f t="shared" si="66"/>
        <v>0.17965394260842271</v>
      </c>
      <c r="AG161" s="919">
        <f t="shared" si="74"/>
        <v>1</v>
      </c>
      <c r="AH161" s="176">
        <f t="shared" si="67"/>
        <v>7</v>
      </c>
      <c r="AI161" s="225">
        <f t="shared" si="68"/>
        <v>1.1796539426084227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1090">
        <f>IF(t&gt;Tmaj,'2023'!Wh/'2023'!Env_an*'2024'!Env_an,0.001*[7]mois!$B$65)</f>
        <v>52.121227146434926</v>
      </c>
      <c r="C162" s="953"/>
      <c r="D162" s="393">
        <f t="shared" si="50"/>
        <v>54.689452112049054</v>
      </c>
      <c r="E162" s="385">
        <f t="shared" si="72"/>
        <v>55.359005964676228</v>
      </c>
      <c r="F162" s="385">
        <f t="shared" si="51"/>
        <v>55.613726505110286</v>
      </c>
      <c r="G162" s="110">
        <f t="shared" si="73"/>
        <v>0.93169366411601939</v>
      </c>
      <c r="H162" s="412" t="b">
        <f>Wh_hp&gt;='2023'!Maxi_hp</f>
        <v>0</v>
      </c>
      <c r="I162" s="390">
        <f>IF(H162,Wh_hp,'2023'!Maxi_hp)</f>
        <v>57.676626455771242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4.6960151664205529E-2</v>
      </c>
      <c r="M162" s="957"/>
      <c r="N162" s="957"/>
      <c r="O162" s="48">
        <f>IF(t&lt;Tnet,'2023'!Resal+('2023'!Salim-'2023'!Resal)*(1-EXP(('2023'!Tnet-t)/('2023'!Tau_j))),Resal+(Salim-Resal)*(1-EXP((Tnet-t)/(Tau_j))))*Salcycl</f>
        <v>1.2094759307174104E-2</v>
      </c>
      <c r="P162" s="169">
        <f>(INDEX(Models!$BJ162:$BT162,,T162)*(1-R162)+INDEX(Models!$BJ162:$BT162,,T162+1)*R162-ERP_i)*Q162*Ramure*Pc/MaxiM</f>
        <v>5.0717417066970969E-3</v>
      </c>
      <c r="Q162" s="305">
        <f t="shared" si="53"/>
        <v>0.7</v>
      </c>
      <c r="R162" s="177">
        <f t="shared" si="54"/>
        <v>0.18442314498996515</v>
      </c>
      <c r="S162" s="919">
        <f t="shared" si="55"/>
        <v>1</v>
      </c>
      <c r="T162" s="176">
        <f t="shared" si="56"/>
        <v>7</v>
      </c>
      <c r="U162" s="251">
        <f t="shared" si="57"/>
        <v>1.1844231449899651</v>
      </c>
      <c r="V162" s="383">
        <f t="shared" si="58"/>
        <v>55.914824956047127</v>
      </c>
      <c r="W162" s="402">
        <f t="shared" si="59"/>
        <v>52.121227146434926</v>
      </c>
      <c r="X162" s="157">
        <f t="shared" si="60"/>
        <v>45439</v>
      </c>
      <c r="Y162" s="385">
        <f t="shared" si="61"/>
        <v>49.86876063295712</v>
      </c>
      <c r="Z162" s="385">
        <f t="shared" si="62"/>
        <v>52.325997407179074</v>
      </c>
      <c r="AA162" s="386">
        <f t="shared" si="63"/>
        <v>55.359005964676228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5.4787988054418361E-2</v>
      </c>
      <c r="AD162" s="231">
        <f>(INDEX(Models!$BJ162:$BT162,,AH162)*(1-AF162)+INDEX(Models!$BJ162:$BT162,,AH162+1)*AF162-ERP_i)*AE162*Ramure*Pc/MaxiM</f>
        <v>5.0717417066970969E-3</v>
      </c>
      <c r="AE162" s="305">
        <f t="shared" si="65"/>
        <v>0.7</v>
      </c>
      <c r="AF162" s="177">
        <f t="shared" si="66"/>
        <v>0.18442314498996515</v>
      </c>
      <c r="AG162" s="919">
        <f t="shared" si="74"/>
        <v>1</v>
      </c>
      <c r="AH162" s="176">
        <f t="shared" si="67"/>
        <v>7</v>
      </c>
      <c r="AI162" s="225">
        <f t="shared" si="68"/>
        <v>1.1844231449899651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1090">
        <f>IF(t&gt;Tmaj,'2023'!Wh/'2023'!Env_an*'2024'!Env_an,0.001*[7]mois!$B$66)</f>
        <v>56.427828668764221</v>
      </c>
      <c r="C163" s="953"/>
      <c r="D163" s="393">
        <f t="shared" si="50"/>
        <v>59.209554258027538</v>
      </c>
      <c r="E163" s="385">
        <f t="shared" si="72"/>
        <v>59.943506478648516</v>
      </c>
      <c r="F163" s="385">
        <f t="shared" si="51"/>
        <v>60.258802059722228</v>
      </c>
      <c r="G163" s="110">
        <f t="shared" si="73"/>
        <v>1.0098272319624235</v>
      </c>
      <c r="H163" s="412" t="b">
        <f>Wh_hp&gt;='2023'!Maxi_hp</f>
        <v>1</v>
      </c>
      <c r="I163" s="390">
        <f>IF(H163,Wh_hp,'2023'!Maxi_hp)</f>
        <v>60.258802059722228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4.6981025682796385E-2</v>
      </c>
      <c r="M163" s="957"/>
      <c r="N163" s="957"/>
      <c r="O163" s="48">
        <f>IF(t&lt;Tnet,'2023'!Resal+('2023'!Salim-'2023'!Resal)*(1-EXP(('2023'!Tnet-t)/('2023'!Tau_j))),Resal+(Salim-Resal)*(1-EXP((Tnet-t)/(Tau_j))))*Salcycl</f>
        <v>1.2244065516627857E-2</v>
      </c>
      <c r="P163" s="169">
        <f>(INDEX(Models!$BJ163:$BT163,,T163)*(1-R163)+INDEX(Models!$BJ163:$BT163,,T163+1)*R163-ERP_i)*Q163*Ramure*Pc/MaxiM</f>
        <v>5.2323572705813334E-3</v>
      </c>
      <c r="Q163" s="305">
        <f t="shared" si="53"/>
        <v>0.7</v>
      </c>
      <c r="R163" s="177">
        <f t="shared" si="54"/>
        <v>0.18924375982118713</v>
      </c>
      <c r="S163" s="919">
        <f t="shared" si="55"/>
        <v>1</v>
      </c>
      <c r="T163" s="176">
        <f t="shared" si="56"/>
        <v>7</v>
      </c>
      <c r="U163" s="251">
        <f t="shared" si="57"/>
        <v>1.1892437598211871</v>
      </c>
      <c r="V163" s="383">
        <f t="shared" si="58"/>
        <v>55.878695763736303</v>
      </c>
      <c r="W163" s="402">
        <f t="shared" si="59"/>
        <v>56.427828668764221</v>
      </c>
      <c r="X163" s="157">
        <f t="shared" si="60"/>
        <v>45440</v>
      </c>
      <c r="Y163" s="385">
        <f t="shared" si="61"/>
        <v>53.989795805036799</v>
      </c>
      <c r="Z163" s="385">
        <f t="shared" si="62"/>
        <v>56.651333562081618</v>
      </c>
      <c r="AA163" s="386">
        <f t="shared" si="63"/>
        <v>59.943506478648516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5.4921260199210176E-2</v>
      </c>
      <c r="AD163" s="231">
        <f>(INDEX(Models!$BJ163:$BT163,,AH163)*(1-AF163)+INDEX(Models!$BJ163:$BT163,,AH163+1)*AF163-ERP_i)*AE163*Ramure*Pc/MaxiM</f>
        <v>5.2323572705813334E-3</v>
      </c>
      <c r="AE163" s="305">
        <f t="shared" si="65"/>
        <v>0.7</v>
      </c>
      <c r="AF163" s="177">
        <f t="shared" si="66"/>
        <v>0.18924375982118713</v>
      </c>
      <c r="AG163" s="919">
        <f t="shared" si="74"/>
        <v>1</v>
      </c>
      <c r="AH163" s="176">
        <f t="shared" si="67"/>
        <v>7</v>
      </c>
      <c r="AI163" s="225">
        <f t="shared" si="68"/>
        <v>1.1892437598211871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1090">
        <f>IF(t&gt;Tmaj,'2023'!Wh/'2023'!Env_an*'2024'!Env_an,0.001*[7]mois!$B$67)</f>
        <v>47.277116884346363</v>
      </c>
      <c r="C164" s="953"/>
      <c r="D164" s="393">
        <f t="shared" si="50"/>
        <v>49.608825921952672</v>
      </c>
      <c r="E164" s="385">
        <f t="shared" si="72"/>
        <v>50.231361813575674</v>
      </c>
      <c r="F164" s="385">
        <f t="shared" si="51"/>
        <v>50.443793814524334</v>
      </c>
      <c r="G164" s="110">
        <f t="shared" si="73"/>
        <v>0.84563943374010986</v>
      </c>
      <c r="H164" s="412" t="b">
        <f>Wh_hp&gt;='2023'!Maxi_hp</f>
        <v>0</v>
      </c>
      <c r="I164" s="390">
        <f>IF(H164,Wh_hp,'2023'!Maxi_hp)</f>
        <v>58.524365554999449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4.7001899244192624E-2</v>
      </c>
      <c r="M164" s="957"/>
      <c r="N164" s="957"/>
      <c r="O164" s="48">
        <f>IF(t&lt;Tnet,'2023'!Resal+('2023'!Salim-'2023'!Resal)*(1-EXP(('2023'!Tnet-t)/('2023'!Tau_j))),Resal+(Salim-Resal)*(1-EXP((Tnet-t)/(Tau_j))))*Salcycl</f>
        <v>1.2393370777671291E-2</v>
      </c>
      <c r="P164" s="169">
        <f>(INDEX(Models!$BJ164:$BT164,,T164)*(1-R164)+INDEX(Models!$BJ164:$BT164,,T164+1)*R164-ERP_i)*Q164*Ramure*Pc/MaxiM</f>
        <v>5.3926932733634938E-3</v>
      </c>
      <c r="Q164" s="305">
        <f t="shared" si="53"/>
        <v>0.7</v>
      </c>
      <c r="R164" s="177">
        <f t="shared" si="54"/>
        <v>0.19411248876127463</v>
      </c>
      <c r="S164" s="919">
        <f t="shared" si="55"/>
        <v>1</v>
      </c>
      <c r="T164" s="176">
        <f t="shared" si="56"/>
        <v>7</v>
      </c>
      <c r="U164" s="251">
        <f t="shared" si="57"/>
        <v>1.1941124887612746</v>
      </c>
      <c r="V164" s="383">
        <f t="shared" si="58"/>
        <v>55.840614916095817</v>
      </c>
      <c r="W164" s="402">
        <f t="shared" si="59"/>
        <v>47.277116884346363</v>
      </c>
      <c r="X164" s="157">
        <f t="shared" si="60"/>
        <v>45441</v>
      </c>
      <c r="Y164" s="385">
        <f t="shared" si="61"/>
        <v>45.23491855700285</v>
      </c>
      <c r="Z164" s="385">
        <f t="shared" si="62"/>
        <v>47.465906302570559</v>
      </c>
      <c r="AA164" s="386">
        <f t="shared" si="63"/>
        <v>50.231361813575674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5.505436068543363E-2</v>
      </c>
      <c r="AD164" s="231">
        <f>(INDEX(Models!$BJ164:$BT164,,AH164)*(1-AF164)+INDEX(Models!$BJ164:$BT164,,AH164+1)*AF164-ERP_i)*AE164*Ramure*Pc/MaxiM</f>
        <v>5.3926932733634938E-3</v>
      </c>
      <c r="AE164" s="305">
        <f t="shared" si="65"/>
        <v>0.7</v>
      </c>
      <c r="AF164" s="177">
        <f t="shared" si="66"/>
        <v>0.19411248876127463</v>
      </c>
      <c r="AG164" s="919">
        <f t="shared" si="74"/>
        <v>1</v>
      </c>
      <c r="AH164" s="176">
        <f t="shared" si="67"/>
        <v>7</v>
      </c>
      <c r="AI164" s="225">
        <f t="shared" si="68"/>
        <v>1.1941124887612746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1090">
        <f>IF(t&gt;Tmaj,'2023'!Wh/'2023'!Env_an*'2024'!Env_an,0.001*[7]mois!$B$68)</f>
        <v>52.52548226001948</v>
      </c>
      <c r="C165" s="953"/>
      <c r="D165" s="393">
        <f t="shared" si="50"/>
        <v>55.117248068410895</v>
      </c>
      <c r="E165" s="385">
        <f t="shared" si="72"/>
        <v>55.8173462142774</v>
      </c>
      <c r="F165" s="385">
        <f t="shared" si="51"/>
        <v>56.102766175130547</v>
      </c>
      <c r="G165" s="110">
        <f t="shared" si="73"/>
        <v>0.94086848529618039</v>
      </c>
      <c r="H165" s="412" t="b">
        <f>Wh_hp&gt;='2023'!Maxi_hp</f>
        <v>0</v>
      </c>
      <c r="I165" s="390">
        <f>IF(H165,Wh_hp,'2023'!Maxi_hp)</f>
        <v>59.313017833892296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4.7022772348404351E-2</v>
      </c>
      <c r="M165" s="957"/>
      <c r="N165" s="957"/>
      <c r="O165" s="48">
        <f>IF(t&lt;Tnet,'2023'!Resal+('2023'!Salim-'2023'!Resal)*(1-EXP(('2023'!Tnet-t)/('2023'!Tau_j))),Resal+(Salim-Resal)*(1-EXP((Tnet-t)/(Tau_j))))*Salcycl</f>
        <v>1.254266269089351E-2</v>
      </c>
      <c r="P165" s="169">
        <f>(INDEX(Models!$BJ165:$BT165,,T165)*(1-R165)+INDEX(Models!$BJ165:$BT165,,T165+1)*R165-ERP_i)*Q165*Ramure*Pc/MaxiM</f>
        <v>5.553039703639631E-3</v>
      </c>
      <c r="Q165" s="305">
        <f t="shared" si="53"/>
        <v>0.7</v>
      </c>
      <c r="R165" s="177">
        <f t="shared" si="54"/>
        <v>0.19902588531090126</v>
      </c>
      <c r="S165" s="919">
        <f t="shared" si="55"/>
        <v>1</v>
      </c>
      <c r="T165" s="176">
        <f t="shared" si="56"/>
        <v>7</v>
      </c>
      <c r="U165" s="251">
        <f t="shared" si="57"/>
        <v>1.1990258853109013</v>
      </c>
      <c r="V165" s="383">
        <f t="shared" si="58"/>
        <v>55.800468026943925</v>
      </c>
      <c r="W165" s="402">
        <f t="shared" si="59"/>
        <v>52.52548226001948</v>
      </c>
      <c r="X165" s="157">
        <f t="shared" si="60"/>
        <v>45442</v>
      </c>
      <c r="Y165" s="385">
        <f t="shared" si="61"/>
        <v>50.257103696673759</v>
      </c>
      <c r="Z165" s="385">
        <f t="shared" si="62"/>
        <v>52.736940861138329</v>
      </c>
      <c r="AA165" s="386">
        <f t="shared" si="63"/>
        <v>55.8173462142774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5.5187241280043764E-2</v>
      </c>
      <c r="AD165" s="231">
        <f>(INDEX(Models!$BJ165:$BT165,,AH165)*(1-AF165)+INDEX(Models!$BJ165:$BT165,,AH165+1)*AF165-ERP_i)*AE165*Ramure*Pc/MaxiM</f>
        <v>5.553039703639631E-3</v>
      </c>
      <c r="AE165" s="305">
        <f t="shared" si="65"/>
        <v>0.7</v>
      </c>
      <c r="AF165" s="177">
        <f t="shared" si="66"/>
        <v>0.19902588531090126</v>
      </c>
      <c r="AG165" s="919">
        <f t="shared" si="74"/>
        <v>1</v>
      </c>
      <c r="AH165" s="176">
        <f t="shared" si="67"/>
        <v>7</v>
      </c>
      <c r="AI165" s="225">
        <f t="shared" si="68"/>
        <v>1.1990258853109013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1090">
        <f>IF(t&gt;Tmaj,'2023'!Wh/'2023'!Env_an*'2024'!Env_an,0.001*'[8]mon-tableau'!$B$37)</f>
        <v>53.384528836749169</v>
      </c>
      <c r="C166" s="953"/>
      <c r="D166" s="393">
        <f t="shared" si="50"/>
        <v>56.019909575495511</v>
      </c>
      <c r="E166" s="385">
        <f t="shared" si="72"/>
        <v>56.740050233249335</v>
      </c>
      <c r="F166" s="385">
        <f t="shared" si="51"/>
        <v>57.046152503782231</v>
      </c>
      <c r="G166" s="110">
        <f t="shared" si="73"/>
        <v>0.95709540907187129</v>
      </c>
      <c r="H166" s="412" t="b">
        <f>Wh_hp&gt;='2023'!Maxi_hp</f>
        <v>0</v>
      </c>
      <c r="I166" s="390">
        <f>IF(H166,Wh_hp,'2023'!Maxi_hp)</f>
        <v>60.331915443766647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4.7043644995441447E-2</v>
      </c>
      <c r="M166" s="957"/>
      <c r="N166" s="957"/>
      <c r="O166" s="48">
        <f>IF(t&lt;Tnet,'2023'!Resal+('2023'!Salim-'2023'!Resal)*(1-EXP(('2023'!Tnet-t)/('2023'!Tau_j))),Resal+(Salim-Resal)*(1-EXP((Tnet-t)/(Tau_j))))*Salcycl</f>
        <v>1.2691928449013358E-2</v>
      </c>
      <c r="P166" s="169">
        <f>(INDEX(Models!$BJ166:$BT166,,T166)*(1-R166)+INDEX(Models!$BJ166:$BT166,,T166+1)*R166-ERP_i)*Q166*Ramure*Pc/MaxiM</f>
        <v>5.7133233411586961E-3</v>
      </c>
      <c r="Q166" s="305">
        <f t="shared" si="53"/>
        <v>0.7</v>
      </c>
      <c r="R166" s="177">
        <f t="shared" si="54"/>
        <v>0.20398036338798353</v>
      </c>
      <c r="S166" s="919">
        <f t="shared" si="55"/>
        <v>1</v>
      </c>
      <c r="T166" s="176">
        <f t="shared" si="56"/>
        <v>7</v>
      </c>
      <c r="U166" s="251">
        <f t="shared" si="57"/>
        <v>1.2039803633879835</v>
      </c>
      <c r="V166" s="383">
        <f t="shared" si="58"/>
        <v>55.758161267720908</v>
      </c>
      <c r="W166" s="402">
        <f t="shared" si="59"/>
        <v>53.384528836749169</v>
      </c>
      <c r="X166" s="157">
        <f t="shared" si="60"/>
        <v>45443</v>
      </c>
      <c r="Y166" s="385">
        <f t="shared" si="61"/>
        <v>51.079603178978509</v>
      </c>
      <c r="Z166" s="385">
        <f t="shared" si="62"/>
        <v>53.601198953895604</v>
      </c>
      <c r="AA166" s="386">
        <f t="shared" si="63"/>
        <v>56.740050233249335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5.5319853726784024E-2</v>
      </c>
      <c r="AD166" s="231">
        <f>(INDEX(Models!$BJ166:$BT166,,AH166)*(1-AF166)+INDEX(Models!$BJ166:$BT166,,AH166+1)*AF166-ERP_i)*AE166*Ramure*Pc/MaxiM</f>
        <v>5.7133233411586961E-3</v>
      </c>
      <c r="AE166" s="305">
        <f t="shared" si="65"/>
        <v>0.7</v>
      </c>
      <c r="AF166" s="177">
        <f t="shared" si="66"/>
        <v>0.20398036338798353</v>
      </c>
      <c r="AG166" s="919">
        <f t="shared" si="74"/>
        <v>1</v>
      </c>
      <c r="AH166" s="176">
        <f t="shared" si="67"/>
        <v>7</v>
      </c>
      <c r="AI166" s="225">
        <f t="shared" si="68"/>
        <v>1.2039803633879835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1090">
        <f>IF(t&gt;Tmaj,'2023'!Wh/'2023'!Env_an*'2024'!Env_an,0.001*'[8]mon-tableau'!$B$38)</f>
        <v>42.256103896343397</v>
      </c>
      <c r="C167" s="953"/>
      <c r="D167" s="393">
        <f t="shared" si="50"/>
        <v>44.343090018572433</v>
      </c>
      <c r="E167" s="385">
        <f t="shared" si="72"/>
        <v>44.919913586238572</v>
      </c>
      <c r="F167" s="385">
        <f t="shared" si="51"/>
        <v>45.093375231841321</v>
      </c>
      <c r="G167" s="110">
        <f t="shared" si="73"/>
        <v>0.7569090834978448</v>
      </c>
      <c r="H167" s="412" t="b">
        <f>Wh_hp&gt;='2023'!Maxi_hp</f>
        <v>0</v>
      </c>
      <c r="I167" s="390">
        <f>IF(H167,Wh_hp,'2023'!Maxi_hp)</f>
        <v>59.300139796564821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4.7064517185314125E-2</v>
      </c>
      <c r="M167" s="957"/>
      <c r="N167" s="957"/>
      <c r="O167" s="48">
        <f>IF(t&lt;Tnet,'2023'!Resal+('2023'!Salim-'2023'!Resal)*(1-EXP(('2023'!Tnet-t)/('2023'!Tau_j))),Resal+(Salim-Resal)*(1-EXP((Tnet-t)/(Tau_j))))*Salcycl</f>
        <v>1.2841154882427238E-2</v>
      </c>
      <c r="P167" s="169">
        <f>(INDEX(Models!$BJ167:$BT167,,T167)*(1-R167)+INDEX(Models!$BJ167:$BT167,,T167+1)*R167-ERP_i)*Q167*Ramure*Pc/MaxiM</f>
        <v>5.8734690873644985E-3</v>
      </c>
      <c r="Q167" s="305">
        <f t="shared" si="53"/>
        <v>0.7</v>
      </c>
      <c r="R167" s="177">
        <f t="shared" si="54"/>
        <v>0.20897220680239625</v>
      </c>
      <c r="S167" s="919">
        <f t="shared" si="55"/>
        <v>1</v>
      </c>
      <c r="T167" s="176">
        <f t="shared" si="56"/>
        <v>7</v>
      </c>
      <c r="U167" s="251">
        <f t="shared" si="57"/>
        <v>1.2089722068023963</v>
      </c>
      <c r="V167" s="383">
        <f t="shared" si="58"/>
        <v>55.713601057901791</v>
      </c>
      <c r="W167" s="402">
        <f t="shared" si="59"/>
        <v>42.256103896343397</v>
      </c>
      <c r="X167" s="157">
        <f t="shared" si="60"/>
        <v>45444</v>
      </c>
      <c r="Y167" s="385">
        <f t="shared" si="61"/>
        <v>40.432107036541993</v>
      </c>
      <c r="Z167" s="385">
        <f t="shared" si="62"/>
        <v>42.429007803463946</v>
      </c>
      <c r="AA167" s="386">
        <f t="shared" si="63"/>
        <v>44.919913586238572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5.5452149924387413E-2</v>
      </c>
      <c r="AD167" s="231">
        <f>(INDEX(Models!$BJ167:$BT167,,AH167)*(1-AF167)+INDEX(Models!$BJ167:$BT167,,AH167+1)*AF167-ERP_i)*AE167*Ramure*Pc/MaxiM</f>
        <v>5.8734690873644985E-3</v>
      </c>
      <c r="AE167" s="305">
        <f t="shared" si="65"/>
        <v>0.7</v>
      </c>
      <c r="AF167" s="177">
        <f t="shared" si="66"/>
        <v>0.20897220680239625</v>
      </c>
      <c r="AG167" s="919">
        <f t="shared" si="74"/>
        <v>1</v>
      </c>
      <c r="AH167" s="176">
        <f t="shared" si="67"/>
        <v>7</v>
      </c>
      <c r="AI167" s="225">
        <f t="shared" si="68"/>
        <v>1.2089722068023963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1090">
        <f>IF(t&gt;Tmaj,'2023'!Wh/'2023'!Env_an*'2024'!Env_an,0.001*'[8]mon-tableau'!$B$39)</f>
        <v>53.075339894657446</v>
      </c>
      <c r="C168" s="953"/>
      <c r="D168" s="393">
        <f t="shared" si="50"/>
        <v>55.697897038638239</v>
      </c>
      <c r="E168" s="385">
        <f t="shared" si="72"/>
        <v>56.430953664742709</v>
      </c>
      <c r="F168" s="385">
        <f t="shared" si="51"/>
        <v>56.750582503854027</v>
      </c>
      <c r="G168" s="110">
        <f t="shared" si="73"/>
        <v>0.95306402998615325</v>
      </c>
      <c r="H168" s="412" t="b">
        <f>Wh_hp&gt;='2023'!Maxi_hp</f>
        <v>0</v>
      </c>
      <c r="I168" s="390">
        <f>IF(H168,Wh_hp,'2023'!Maxi_hp)</f>
        <v>56.75691511591517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4.7085388918032156E-2</v>
      </c>
      <c r="M168" s="957"/>
      <c r="N168" s="957"/>
      <c r="O168" s="48">
        <f>IF(t&lt;Tnet,'2023'!Resal+('2023'!Salim-'2023'!Resal)*(1-EXP(('2023'!Tnet-t)/('2023'!Tau_j))),Resal+(Salim-Resal)*(1-EXP((Tnet-t)/(Tau_j))))*Salcycl</f>
        <v>1.2990328507640965E-2</v>
      </c>
      <c r="P168" s="169">
        <f>(INDEX(Models!$BJ168:$BT168,,T168)*(1-R168)+INDEX(Models!$BJ168:$BT168,,T168+1)*R168-ERP_i)*Q168*Ramure*Pc/MaxiM</f>
        <v>6.0334003168526391E-3</v>
      </c>
      <c r="Q168" s="305">
        <f t="shared" si="53"/>
        <v>0.7</v>
      </c>
      <c r="R168" s="177">
        <f t="shared" si="54"/>
        <v>0.21399757958466803</v>
      </c>
      <c r="S168" s="919">
        <f t="shared" si="55"/>
        <v>1</v>
      </c>
      <c r="T168" s="176">
        <f t="shared" si="56"/>
        <v>7</v>
      </c>
      <c r="U168" s="251">
        <f t="shared" si="57"/>
        <v>1.213997579584668</v>
      </c>
      <c r="V168" s="383">
        <f t="shared" si="58"/>
        <v>55.666694038712485</v>
      </c>
      <c r="W168" s="402">
        <f t="shared" si="59"/>
        <v>53.075339894657446</v>
      </c>
      <c r="X168" s="157">
        <f t="shared" si="60"/>
        <v>45445</v>
      </c>
      <c r="Y168" s="385">
        <f t="shared" si="61"/>
        <v>50.784908488561129</v>
      </c>
      <c r="Z168" s="385">
        <f t="shared" si="62"/>
        <v>53.294290902831705</v>
      </c>
      <c r="AA168" s="386">
        <f t="shared" si="63"/>
        <v>56.430953664742709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5.5584082107596036E-2</v>
      </c>
      <c r="AD168" s="231">
        <f>(INDEX(Models!$BJ168:$BT168,,AH168)*(1-AF168)+INDEX(Models!$BJ168:$BT168,,AH168+1)*AF168-ERP_i)*AE168*Ramure*Pc/MaxiM</f>
        <v>6.0334003168526391E-3</v>
      </c>
      <c r="AE168" s="305">
        <f t="shared" si="65"/>
        <v>0.7</v>
      </c>
      <c r="AF168" s="177">
        <f t="shared" si="66"/>
        <v>0.21399757958466803</v>
      </c>
      <c r="AG168" s="919">
        <f t="shared" si="74"/>
        <v>1</v>
      </c>
      <c r="AH168" s="176">
        <f t="shared" si="67"/>
        <v>7</v>
      </c>
      <c r="AI168" s="225">
        <f t="shared" si="68"/>
        <v>1.213997579584668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1090">
        <f>IF(t&gt;Tmaj,'2023'!Wh/'2023'!Env_an*'2024'!Env_an,0.001*'[8]mon-tableau'!$B$40)</f>
        <v>21.979825196016328</v>
      </c>
      <c r="C169" s="953"/>
      <c r="D169" s="393">
        <f t="shared" si="50"/>
        <v>23.06639688962813</v>
      </c>
      <c r="E169" s="385">
        <f t="shared" si="72"/>
        <v>23.373511640062031</v>
      </c>
      <c r="F169" s="385">
        <f t="shared" si="51"/>
        <v>23.39321409320349</v>
      </c>
      <c r="G169" s="110">
        <f t="shared" si="73"/>
        <v>0.39308088850067335</v>
      </c>
      <c r="H169" s="412" t="b">
        <f>Wh_hp&gt;='2023'!Maxi_hp</f>
        <v>0</v>
      </c>
      <c r="I169" s="390">
        <f>IF(H169,Wh_hp,'2023'!Maxi_hp)</f>
        <v>57.111684044434135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4.7106260193605753E-2</v>
      </c>
      <c r="M169" s="957"/>
      <c r="N169" s="957"/>
      <c r="O169" s="48">
        <f>IF(t&lt;Tnet,'2023'!Resal+('2023'!Salim-'2023'!Resal)*(1-EXP(('2023'!Tnet-t)/('2023'!Tau_j))),Resal+(Salim-Resal)*(1-EXP((Tnet-t)/(Tau_j))))*Salcycl</f>
        <v>1.313943557832834E-2</v>
      </c>
      <c r="P169" s="169">
        <f>(INDEX(Models!$BJ169:$BT169,,T169)*(1-R169)+INDEX(Models!$BJ169:$BT169,,T169+1)*R169-ERP_i)*Q169*Ramure*Pc/MaxiM</f>
        <v>6.1930392489071753E-3</v>
      </c>
      <c r="Q169" s="305">
        <f t="shared" si="53"/>
        <v>0.7</v>
      </c>
      <c r="R169" s="177">
        <f t="shared" si="54"/>
        <v>0.21905253711432793</v>
      </c>
      <c r="S169" s="919">
        <f t="shared" si="55"/>
        <v>1</v>
      </c>
      <c r="T169" s="176">
        <f t="shared" si="56"/>
        <v>7</v>
      </c>
      <c r="U169" s="251">
        <f t="shared" si="57"/>
        <v>1.2190525371143279</v>
      </c>
      <c r="V169" s="383">
        <f t="shared" si="58"/>
        <v>55.617347047135489</v>
      </c>
      <c r="W169" s="402">
        <f t="shared" si="59"/>
        <v>21.979825196016328</v>
      </c>
      <c r="X169" s="157">
        <f t="shared" si="60"/>
        <v>45446</v>
      </c>
      <c r="Y169" s="385">
        <f t="shared" si="61"/>
        <v>21.031548659452305</v>
      </c>
      <c r="Z169" s="385">
        <f t="shared" si="62"/>
        <v>22.071242344110082</v>
      </c>
      <c r="AA169" s="386">
        <f t="shared" si="63"/>
        <v>23.373511640062031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5.5715603029878769E-2</v>
      </c>
      <c r="AD169" s="231">
        <f>(INDEX(Models!$BJ169:$BT169,,AH169)*(1-AF169)+INDEX(Models!$BJ169:$BT169,,AH169+1)*AF169-ERP_i)*AE169*Ramure*Pc/MaxiM</f>
        <v>6.1930392489071753E-3</v>
      </c>
      <c r="AE169" s="305">
        <f t="shared" si="65"/>
        <v>0.7</v>
      </c>
      <c r="AF169" s="177">
        <f t="shared" si="66"/>
        <v>0.21905253711432793</v>
      </c>
      <c r="AG169" s="919">
        <f t="shared" si="74"/>
        <v>1</v>
      </c>
      <c r="AH169" s="176">
        <f t="shared" si="67"/>
        <v>7</v>
      </c>
      <c r="AI169" s="225">
        <f t="shared" si="68"/>
        <v>1.2190525371143279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1090">
        <f>IF(t&gt;Tmaj,'2023'!Wh/'2023'!Env_an*'2024'!Env_an,0.001*'[8]mon-tableau'!$B$41)</f>
        <v>31.0079804149062</v>
      </c>
      <c r="C170" s="953"/>
      <c r="D170" s="393">
        <f t="shared" si="50"/>
        <v>32.541571309339226</v>
      </c>
      <c r="E170" s="385">
        <f t="shared" ref="E170:E232" si="75">Wh_pvt/(1-Psa)</f>
        <v>32.97982243105637</v>
      </c>
      <c r="F170" s="385">
        <f t="shared" si="51"/>
        <v>33.057175849175252</v>
      </c>
      <c r="G170" s="110">
        <f t="shared" ref="G170:G232" si="76">+Wh_hp/MaxiM</f>
        <v>0.55579978582006262</v>
      </c>
      <c r="H170" s="412" t="b">
        <f>Wh_hp&gt;='2023'!Maxi_hp</f>
        <v>0</v>
      </c>
      <c r="I170" s="390">
        <f>IF(H170,Wh_hp,'2023'!Maxi_hp)</f>
        <v>42.716075181662134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4.7127131012044798E-2</v>
      </c>
      <c r="M170" s="957"/>
      <c r="N170" s="957"/>
      <c r="O170" s="48">
        <f>IF(t&lt;Tnet,'2023'!Resal+('2023'!Salim-'2023'!Resal)*(1-EXP(('2023'!Tnet-t)/('2023'!Tau_j))),Resal+(Salim-Resal)*(1-EXP((Tnet-t)/(Tau_j))))*Salcycl</f>
        <v>1.3288462138730389E-2</v>
      </c>
      <c r="P170" s="169">
        <f>(INDEX(Models!$BJ170:$BT170,,T170)*(1-R170)+INDEX(Models!$BJ170:$BT170,,T170+1)*R170-ERP_i)*Q170*Ramure*Pc/MaxiM</f>
        <v>6.3477843259120729E-3</v>
      </c>
      <c r="Q170" s="305">
        <f t="shared" si="53"/>
        <v>0.7</v>
      </c>
      <c r="R170" s="177">
        <f t="shared" si="54"/>
        <v>0.22413303798459983</v>
      </c>
      <c r="S170" s="919">
        <f t="shared" si="55"/>
        <v>1</v>
      </c>
      <c r="T170" s="176">
        <f t="shared" si="56"/>
        <v>7</v>
      </c>
      <c r="U170" s="251">
        <f t="shared" si="57"/>
        <v>1.2241330379845998</v>
      </c>
      <c r="V170" s="383">
        <f t="shared" si="58"/>
        <v>55.565720019548564</v>
      </c>
      <c r="W170" s="402">
        <f t="shared" si="59"/>
        <v>31.0079804149062</v>
      </c>
      <c r="X170" s="157">
        <f t="shared" si="60"/>
        <v>45447</v>
      </c>
      <c r="Y170" s="385">
        <f t="shared" si="61"/>
        <v>29.670564254522962</v>
      </c>
      <c r="Z170" s="385">
        <f t="shared" si="62"/>
        <v>31.138009298172193</v>
      </c>
      <c r="AA170" s="386">
        <f t="shared" si="63"/>
        <v>32.97982243105637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5.5846666146685521E-2</v>
      </c>
      <c r="AD170" s="231">
        <f>(INDEX(Models!$BJ170:$BT170,,AH170)*(1-AF170)+INDEX(Models!$BJ170:$BT170,,AH170+1)*AF170-ERP_i)*AE170*Ramure*Pc/MaxiM</f>
        <v>6.3477843259120729E-3</v>
      </c>
      <c r="AE170" s="305">
        <f t="shared" si="65"/>
        <v>0.7</v>
      </c>
      <c r="AF170" s="177">
        <f t="shared" si="66"/>
        <v>0.22413303798459983</v>
      </c>
      <c r="AG170" s="919">
        <f t="shared" si="74"/>
        <v>1</v>
      </c>
      <c r="AH170" s="176">
        <f t="shared" si="67"/>
        <v>7</v>
      </c>
      <c r="AI170" s="225">
        <f t="shared" si="68"/>
        <v>1.2241330379845998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1090">
        <f>IF(t&gt;Tmaj,'2023'!Wh/'2023'!Env_an*'2024'!Env_an,0.001*'[8]mon-tableau'!$B$42)</f>
        <v>46.452964657210771</v>
      </c>
      <c r="C171" s="953"/>
      <c r="D171" s="393">
        <f t="shared" si="50"/>
        <v>48.751500468240714</v>
      </c>
      <c r="E171" s="385">
        <f t="shared" si="75"/>
        <v>49.415516233491431</v>
      </c>
      <c r="F171" s="385">
        <f t="shared" si="51"/>
        <v>49.662968022150643</v>
      </c>
      <c r="G171" s="110">
        <f t="shared" si="76"/>
        <v>0.83553958482772528</v>
      </c>
      <c r="H171" s="412" t="b">
        <f>Wh_hp&gt;='2023'!Maxi_hp</f>
        <v>0</v>
      </c>
      <c r="I171" s="390">
        <f>IF(H171,Wh_hp,'2023'!Maxi_hp)</f>
        <v>56.000265625104696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4.7148001373359394E-2</v>
      </c>
      <c r="M171" s="957"/>
      <c r="N171" s="957"/>
      <c r="O171" s="48">
        <f>IF(t&lt;Tnet,'2023'!Resal+('2023'!Salim-'2023'!Resal)*(1-EXP(('2023'!Tnet-t)/('2023'!Tau_j))),Resal+(Salim-Resal)*(1-EXP((Tnet-t)/(Tau_j))))*Salcycl</f>
        <v>1.3437394079082369E-2</v>
      </c>
      <c r="P171" s="169">
        <f>(INDEX(Models!$BJ171:$BT171,,T171)*(1-R171)+INDEX(Models!$BJ171:$BT171,,T171+1)*R171-ERP_i)*Q171*Ramure*Pc/MaxiM</f>
        <v>6.4972951143552563E-3</v>
      </c>
      <c r="Q171" s="305">
        <f t="shared" si="53"/>
        <v>0.7</v>
      </c>
      <c r="R171" s="177">
        <f t="shared" si="54"/>
        <v>0.22923495653173975</v>
      </c>
      <c r="S171" s="919">
        <f t="shared" si="55"/>
        <v>1</v>
      </c>
      <c r="T171" s="176">
        <f t="shared" si="56"/>
        <v>7</v>
      </c>
      <c r="U171" s="251">
        <f t="shared" si="57"/>
        <v>1.2292349565317398</v>
      </c>
      <c r="V171" s="383">
        <f t="shared" si="58"/>
        <v>55.51173408993084</v>
      </c>
      <c r="W171" s="402">
        <f t="shared" si="59"/>
        <v>46.452964657210771</v>
      </c>
      <c r="X171" s="157">
        <f t="shared" si="60"/>
        <v>45448</v>
      </c>
      <c r="Y171" s="385">
        <f t="shared" si="61"/>
        <v>44.449948034134849</v>
      </c>
      <c r="Z171" s="385">
        <f t="shared" si="62"/>
        <v>46.649372723362291</v>
      </c>
      <c r="AA171" s="386">
        <f t="shared" si="63"/>
        <v>49.415516233491431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5.5977225798045649E-2</v>
      </c>
      <c r="AD171" s="231">
        <f>(INDEX(Models!$BJ171:$BT171,,AH171)*(1-AF171)+INDEX(Models!$BJ171:$BT171,,AH171+1)*AF171-ERP_i)*AE171*Ramure*Pc/MaxiM</f>
        <v>6.4972951143552563E-3</v>
      </c>
      <c r="AE171" s="305">
        <f t="shared" si="65"/>
        <v>0.7</v>
      </c>
      <c r="AF171" s="177">
        <f t="shared" si="66"/>
        <v>0.22923495653173975</v>
      </c>
      <c r="AG171" s="919">
        <f t="shared" si="74"/>
        <v>1</v>
      </c>
      <c r="AH171" s="176">
        <f t="shared" si="67"/>
        <v>7</v>
      </c>
      <c r="AI171" s="225">
        <f t="shared" si="68"/>
        <v>1.2292349565317398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1090">
        <f>IF(t&gt;Tmaj,'2023'!Wh/'2023'!Env_an*'2024'!Env_an,0.001*'[8]mon-tableau'!$B$43)</f>
        <v>27.194777446419668</v>
      </c>
      <c r="C172" s="953"/>
      <c r="D172" s="393">
        <f t="shared" si="50"/>
        <v>28.541025399624093</v>
      </c>
      <c r="E172" s="385">
        <f t="shared" si="75"/>
        <v>28.934130784748564</v>
      </c>
      <c r="F172" s="385">
        <f t="shared" si="51"/>
        <v>28.986491299297832</v>
      </c>
      <c r="G172" s="110">
        <f t="shared" si="76"/>
        <v>0.48801560255254128</v>
      </c>
      <c r="H172" s="412" t="b">
        <f>Wh_hp&gt;='2023'!Maxi_hp</f>
        <v>0</v>
      </c>
      <c r="I172" s="390">
        <f>IF(H172,Wh_hp,'2023'!Maxi_hp)</f>
        <v>55.156942491889488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4.7168871277559532E-2</v>
      </c>
      <c r="M172" s="957"/>
      <c r="N172" s="957"/>
      <c r="O172" s="48">
        <f>IF(t&lt;Tnet,'2023'!Resal+('2023'!Salim-'2023'!Resal)*(1-EXP(('2023'!Tnet-t)/('2023'!Tau_j))),Resal+(Salim-Resal)*(1-EXP((Tnet-t)/(Tau_j))))*Salcycl</f>
        <v>1.3586217192730735E-2</v>
      </c>
      <c r="P172" s="169">
        <f>(INDEX(Models!$BJ172:$BT172,,T172)*(1-R172)+INDEX(Models!$BJ172:$BT172,,T172+1)*R172-ERP_i)*Q172*Ramure*Pc/MaxiM</f>
        <v>6.6414055522008349E-3</v>
      </c>
      <c r="Q172" s="305">
        <f t="shared" si="53"/>
        <v>0.7</v>
      </c>
      <c r="R172" s="177">
        <f t="shared" si="54"/>
        <v>0.2343540959495658</v>
      </c>
      <c r="S172" s="919">
        <f t="shared" si="55"/>
        <v>1</v>
      </c>
      <c r="T172" s="176">
        <f t="shared" si="56"/>
        <v>7</v>
      </c>
      <c r="U172" s="251">
        <f t="shared" si="57"/>
        <v>1.2343540959495658</v>
      </c>
      <c r="V172" s="383">
        <f t="shared" si="58"/>
        <v>55.455300646155074</v>
      </c>
      <c r="W172" s="402">
        <f t="shared" si="59"/>
        <v>27.194777446419668</v>
      </c>
      <c r="X172" s="157">
        <f t="shared" si="60"/>
        <v>45449</v>
      </c>
      <c r="Y172" s="385">
        <f t="shared" si="61"/>
        <v>26.02250096245832</v>
      </c>
      <c r="Z172" s="385">
        <f t="shared" si="62"/>
        <v>27.310716640155729</v>
      </c>
      <c r="AA172" s="386">
        <f t="shared" si="63"/>
        <v>28.934130784748564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5.6107237389296391E-2</v>
      </c>
      <c r="AD172" s="231">
        <f>(INDEX(Models!$BJ172:$BT172,,AH172)*(1-AF172)+INDEX(Models!$BJ172:$BT172,,AH172+1)*AF172-ERP_i)*AE172*Ramure*Pc/MaxiM</f>
        <v>6.6414055522008349E-3</v>
      </c>
      <c r="AE172" s="305">
        <f t="shared" si="65"/>
        <v>0.7</v>
      </c>
      <c r="AF172" s="177">
        <f t="shared" si="66"/>
        <v>0.2343540959495658</v>
      </c>
      <c r="AG172" s="919">
        <f t="shared" si="74"/>
        <v>1</v>
      </c>
      <c r="AH172" s="176">
        <f t="shared" si="67"/>
        <v>7</v>
      </c>
      <c r="AI172" s="225">
        <f t="shared" si="68"/>
        <v>1.2343540959495658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1090">
        <f>IF(t&gt;Tmaj,'2023'!Wh/'2023'!Env_an*'2024'!Env_an,0.001*'[8]mon-tableau'!$B$44)</f>
        <v>20.218382671520157</v>
      </c>
      <c r="C173" s="953"/>
      <c r="D173" s="393">
        <f t="shared" si="50"/>
        <v>21.21973653694404</v>
      </c>
      <c r="E173" s="385">
        <f t="shared" si="75"/>
        <v>21.515246669227466</v>
      </c>
      <c r="F173" s="385">
        <f t="shared" si="51"/>
        <v>21.528795675644115</v>
      </c>
      <c r="G173" s="110">
        <f t="shared" si="76"/>
        <v>0.36273068379504569</v>
      </c>
      <c r="H173" s="412" t="b">
        <f>Wh_hp&gt;='2023'!Maxi_hp</f>
        <v>0</v>
      </c>
      <c r="I173" s="390">
        <f>IF(H173,Wh_hp,'2023'!Maxi_hp)</f>
        <v>61.487890344452325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4.7189740724655205E-2</v>
      </c>
      <c r="M173" s="957"/>
      <c r="N173" s="957"/>
      <c r="O173" s="48">
        <f>IF(t&lt;Tnet,'2023'!Resal+('2023'!Salim-'2023'!Resal)*(1-EXP(('2023'!Tnet-t)/('2023'!Tau_j))),Resal+(Salim-Resal)*(1-EXP((Tnet-t)/(Tau_j))))*Salcycl</f>
        <v>1.3734917234580498E-2</v>
      </c>
      <c r="P173" s="169">
        <f>(INDEX(Models!$BJ173:$BT173,,T173)*(1-R173)+INDEX(Models!$BJ173:$BT173,,T173+1)*R173-ERP_i)*Q173*Ramure*Pc/MaxiM</f>
        <v>6.7799514091348078E-3</v>
      </c>
      <c r="Q173" s="305">
        <f t="shared" si="53"/>
        <v>0.7</v>
      </c>
      <c r="R173" s="177">
        <f t="shared" si="54"/>
        <v>0.23948620190283232</v>
      </c>
      <c r="S173" s="919">
        <f t="shared" si="55"/>
        <v>1</v>
      </c>
      <c r="T173" s="176">
        <f t="shared" si="56"/>
        <v>7</v>
      </c>
      <c r="U173" s="251">
        <f t="shared" si="57"/>
        <v>1.2394862019028323</v>
      </c>
      <c r="V173" s="383">
        <f t="shared" si="58"/>
        <v>55.396330975592157</v>
      </c>
      <c r="W173" s="402">
        <f t="shared" si="59"/>
        <v>20.218382671520157</v>
      </c>
      <c r="X173" s="157">
        <f t="shared" si="60"/>
        <v>45450</v>
      </c>
      <c r="Y173" s="385">
        <f t="shared" si="61"/>
        <v>19.347099215076899</v>
      </c>
      <c r="Z173" s="385">
        <f t="shared" si="62"/>
        <v>20.305301109783642</v>
      </c>
      <c r="AA173" s="386">
        <f t="shared" si="63"/>
        <v>21.515246669227466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5.6236657568717E-2</v>
      </c>
      <c r="AD173" s="231">
        <f>(INDEX(Models!$BJ173:$BT173,,AH173)*(1-AF173)+INDEX(Models!$BJ173:$BT173,,AH173+1)*AF173-ERP_i)*AE173*Ramure*Pc/MaxiM</f>
        <v>6.7799514091348078E-3</v>
      </c>
      <c r="AE173" s="305">
        <f t="shared" si="65"/>
        <v>0.7</v>
      </c>
      <c r="AF173" s="177">
        <f t="shared" si="66"/>
        <v>0.23948620190283232</v>
      </c>
      <c r="AG173" s="919">
        <f t="shared" si="74"/>
        <v>1</v>
      </c>
      <c r="AH173" s="176">
        <f t="shared" si="67"/>
        <v>7</v>
      </c>
      <c r="AI173" s="225">
        <f t="shared" si="68"/>
        <v>1.2394862019028323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1090">
        <f>IF(t&gt;Tmaj,'2023'!Wh/'2023'!Env_an*'2024'!Env_an,0.001*'[8]mon-tableau'!$B$45)</f>
        <v>44.91841872645653</v>
      </c>
      <c r="C174" s="953"/>
      <c r="D174" s="393">
        <f t="shared" si="50"/>
        <v>47.144121444303927</v>
      </c>
      <c r="E174" s="385">
        <f t="shared" si="75"/>
        <v>47.80786092435747</v>
      </c>
      <c r="F174" s="385">
        <f t="shared" si="51"/>
        <v>48.050699982004588</v>
      </c>
      <c r="G174" s="110">
        <f t="shared" si="76"/>
        <v>0.81024137841120403</v>
      </c>
      <c r="H174" s="412" t="b">
        <f>Wh_hp&gt;='2023'!Maxi_hp</f>
        <v>0</v>
      </c>
      <c r="I174" s="390">
        <f>IF(H174,Wh_hp,'2023'!Maxi_hp)</f>
        <v>58.767455716335284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4.7210609714656404E-2</v>
      </c>
      <c r="M174" s="957"/>
      <c r="N174" s="957"/>
      <c r="O174" s="48">
        <f>IF(t&lt;Tnet,'2023'!Resal+('2023'!Salim-'2023'!Resal)*(1-EXP(('2023'!Tnet-t)/('2023'!Tau_j))),Resal+(Salim-Resal)*(1-EXP((Tnet-t)/(Tau_j))))*Salcycl</f>
        <v>1.3883479980493656E-2</v>
      </c>
      <c r="P174" s="169">
        <f>(INDEX(Models!$BJ174:$BT174,,T174)*(1-R174)+INDEX(Models!$BJ174:$BT174,,T174+1)*R174-ERP_i)*Q174*Ramure*Pc/MaxiM</f>
        <v>6.9127708330036326E-3</v>
      </c>
      <c r="Q174" s="305">
        <f t="shared" si="53"/>
        <v>0.7</v>
      </c>
      <c r="R174" s="177">
        <f t="shared" si="54"/>
        <v>0.24462697654713805</v>
      </c>
      <c r="S174" s="919">
        <f t="shared" si="55"/>
        <v>1</v>
      </c>
      <c r="T174" s="176">
        <f t="shared" si="56"/>
        <v>7</v>
      </c>
      <c r="U174" s="251">
        <f t="shared" si="57"/>
        <v>1.2446269765471381</v>
      </c>
      <c r="V174" s="383">
        <f t="shared" si="58"/>
        <v>55.33473622553629</v>
      </c>
      <c r="W174" s="402">
        <f t="shared" si="59"/>
        <v>44.91841872645653</v>
      </c>
      <c r="X174" s="157">
        <f t="shared" si="60"/>
        <v>45451</v>
      </c>
      <c r="Y174" s="385">
        <f t="shared" si="61"/>
        <v>42.983330298855755</v>
      </c>
      <c r="Z174" s="385">
        <f t="shared" si="62"/>
        <v>45.11314959750235</v>
      </c>
      <c r="AA174" s="386">
        <f t="shared" si="63"/>
        <v>47.80786092435747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5.6365444400843311E-2</v>
      </c>
      <c r="AD174" s="231">
        <f>(INDEX(Models!$BJ174:$BT174,,AH174)*(1-AF174)+INDEX(Models!$BJ174:$BT174,,AH174+1)*AF174-ERP_i)*AE174*Ramure*Pc/MaxiM</f>
        <v>6.9127708330036326E-3</v>
      </c>
      <c r="AE174" s="305">
        <f t="shared" si="65"/>
        <v>0.7</v>
      </c>
      <c r="AF174" s="177">
        <f t="shared" si="66"/>
        <v>0.24462697654713805</v>
      </c>
      <c r="AG174" s="919">
        <f t="shared" si="74"/>
        <v>1</v>
      </c>
      <c r="AH174" s="176">
        <f t="shared" si="67"/>
        <v>7</v>
      </c>
      <c r="AI174" s="225">
        <f t="shared" si="68"/>
        <v>1.2446269765471381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1090">
        <f>IF(t&gt;Tmaj,'2023'!Wh/'2023'!Env_an*'2024'!Env_an,0.001*'[8]mon-tableau'!$B$46)</f>
        <v>54.996453606171151</v>
      </c>
      <c r="C175" s="953"/>
      <c r="D175" s="393">
        <f t="shared" si="50"/>
        <v>57.722786123345251</v>
      </c>
      <c r="E175" s="385">
        <f t="shared" si="75"/>
        <v>58.544272997537405</v>
      </c>
      <c r="F175" s="385">
        <f t="shared" si="51"/>
        <v>58.956369413755667</v>
      </c>
      <c r="G175" s="110">
        <f t="shared" si="76"/>
        <v>0.99499307889777788</v>
      </c>
      <c r="H175" s="412" t="b">
        <f>Wh_hp&gt;='2023'!Maxi_hp</f>
        <v>0</v>
      </c>
      <c r="I175" s="390">
        <f>IF(H175,Wh_hp,'2023'!Maxi_hp)</f>
        <v>58.957156893344319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4.7231478247573122E-2</v>
      </c>
      <c r="M175" s="957"/>
      <c r="N175" s="957"/>
      <c r="O175" s="48">
        <f>IF(t&lt;Tnet,'2023'!Resal+('2023'!Salim-'2023'!Resal)*(1-EXP(('2023'!Tnet-t)/('2023'!Tau_j))),Resal+(Salim-Resal)*(1-EXP((Tnet-t)/(Tau_j))))*Salcycl</f>
        <v>1.4031891287243532E-2</v>
      </c>
      <c r="P175" s="169">
        <f>(INDEX(Models!$BJ175:$BT175,,T175)*(1-R175)+INDEX(Models!$BJ175:$BT175,,T175+1)*R175-ERP_i)*Q175*Ramure*Pc/MaxiM</f>
        <v>7.0397048753583933E-3</v>
      </c>
      <c r="Q175" s="305">
        <f t="shared" si="53"/>
        <v>0.7</v>
      </c>
      <c r="R175" s="177">
        <f t="shared" si="54"/>
        <v>0.24977209285814972</v>
      </c>
      <c r="S175" s="919">
        <f t="shared" si="55"/>
        <v>1</v>
      </c>
      <c r="T175" s="176">
        <f t="shared" si="56"/>
        <v>7</v>
      </c>
      <c r="U175" s="251">
        <f t="shared" si="57"/>
        <v>1.2497720928581497</v>
      </c>
      <c r="V175" s="383">
        <f t="shared" si="58"/>
        <v>55.270427356999917</v>
      </c>
      <c r="W175" s="402">
        <f t="shared" si="59"/>
        <v>54.996453606171151</v>
      </c>
      <c r="X175" s="157">
        <f t="shared" si="60"/>
        <v>45452</v>
      </c>
      <c r="Y175" s="385">
        <f t="shared" si="61"/>
        <v>52.627978361223342</v>
      </c>
      <c r="Z175" s="385">
        <f t="shared" si="62"/>
        <v>55.236898742650226</v>
      </c>
      <c r="AA175" s="386">
        <f t="shared" si="63"/>
        <v>58.544272997537405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5.6493557534249346E-2</v>
      </c>
      <c r="AD175" s="231">
        <f>(INDEX(Models!$BJ175:$BT175,,AH175)*(1-AF175)+INDEX(Models!$BJ175:$BT175,,AH175+1)*AF175-ERP_i)*AE175*Ramure*Pc/MaxiM</f>
        <v>7.0397048753583933E-3</v>
      </c>
      <c r="AE175" s="305">
        <f t="shared" si="65"/>
        <v>0.7</v>
      </c>
      <c r="AF175" s="177">
        <f t="shared" si="66"/>
        <v>0.24977209285814972</v>
      </c>
      <c r="AG175" s="919">
        <f t="shared" si="74"/>
        <v>1</v>
      </c>
      <c r="AH175" s="176">
        <f t="shared" si="67"/>
        <v>7</v>
      </c>
      <c r="AI175" s="225">
        <f t="shared" si="68"/>
        <v>1.2497720928581497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1090">
        <f>IF(t&gt;Tmaj,'2023'!Wh/'2023'!Env_an*'2024'!Env_an,0.001*'[8]mon-tableau'!$B$47)</f>
        <v>53.496202774529337</v>
      </c>
      <c r="C176" s="953"/>
      <c r="D176" s="393">
        <f t="shared" si="50"/>
        <v>56.149393355198875</v>
      </c>
      <c r="E176" s="385">
        <f t="shared" si="75"/>
        <v>56.957052166731884</v>
      </c>
      <c r="F176" s="385">
        <f t="shared" si="51"/>
        <v>57.34956765048053</v>
      </c>
      <c r="G176" s="110">
        <f t="shared" si="76"/>
        <v>0.96876724325475283</v>
      </c>
      <c r="H176" s="412" t="b">
        <f>Wh_hp&gt;='2023'!Maxi_hp</f>
        <v>0</v>
      </c>
      <c r="I176" s="390">
        <f>IF(H176,Wh_hp,'2023'!Maxi_hp)</f>
        <v>57.354410945411338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4.7252346323415462E-2</v>
      </c>
      <c r="M176" s="957"/>
      <c r="N176" s="957"/>
      <c r="O176" s="48">
        <f>IF(t&lt;Tnet,'2023'!Resal+('2023'!Salim-'2023'!Resal)*(1-EXP(('2023'!Tnet-t)/('2023'!Tau_j))),Resal+(Salim-Resal)*(1-EXP((Tnet-t)/(Tau_j))))*Salcycl</f>
        <v>1.4180137152616824E-2</v>
      </c>
      <c r="P176" s="169">
        <f>(INDEX(Models!$BJ176:$BT176,,T176)*(1-R176)+INDEX(Models!$BJ176:$BT176,,T176+1)*R176-ERP_i)*Q176*Ramure*Pc/MaxiM</f>
        <v>7.1605979889888764E-3</v>
      </c>
      <c r="Q176" s="305">
        <f t="shared" si="53"/>
        <v>0.7</v>
      </c>
      <c r="R176" s="177">
        <f t="shared" si="54"/>
        <v>0.25491720916916116</v>
      </c>
      <c r="S176" s="919">
        <f t="shared" si="55"/>
        <v>1</v>
      </c>
      <c r="T176" s="176">
        <f t="shared" si="56"/>
        <v>7</v>
      </c>
      <c r="U176" s="251">
        <f t="shared" si="57"/>
        <v>1.2549172091691612</v>
      </c>
      <c r="V176" s="383">
        <f t="shared" si="58"/>
        <v>55.203315106594474</v>
      </c>
      <c r="W176" s="402">
        <f t="shared" si="59"/>
        <v>53.496202774529337</v>
      </c>
      <c r="X176" s="157">
        <f t="shared" si="60"/>
        <v>45453</v>
      </c>
      <c r="Y176" s="385">
        <f t="shared" si="61"/>
        <v>51.193121995847058</v>
      </c>
      <c r="Z176" s="385">
        <f t="shared" si="62"/>
        <v>53.732089287542706</v>
      </c>
      <c r="AA176" s="386">
        <f t="shared" si="63"/>
        <v>56.957052166731884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5.6620958362603779E-2</v>
      </c>
      <c r="AD176" s="231">
        <f>(INDEX(Models!$BJ176:$BT176,,AH176)*(1-AF176)+INDEX(Models!$BJ176:$BT176,,AH176+1)*AF176-ERP_i)*AE176*Ramure*Pc/MaxiM</f>
        <v>7.1605979889888764E-3</v>
      </c>
      <c r="AE176" s="305">
        <f t="shared" si="65"/>
        <v>0.7</v>
      </c>
      <c r="AF176" s="177">
        <f t="shared" si="66"/>
        <v>0.25491720916916116</v>
      </c>
      <c r="AG176" s="919">
        <f t="shared" si="74"/>
        <v>1</v>
      </c>
      <c r="AH176" s="176">
        <f t="shared" si="67"/>
        <v>7</v>
      </c>
      <c r="AI176" s="225">
        <f t="shared" si="68"/>
        <v>1.2549172091691612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1090">
        <f>IF(t&gt;Tmaj,'2023'!Wh/'2023'!Env_an*'2024'!Env_an,0.001*'[8]mon-tableau'!$B$48)</f>
        <v>41.003176187599806</v>
      </c>
      <c r="C177" s="953"/>
      <c r="D177" s="393">
        <f t="shared" si="50"/>
        <v>43.037706914133032</v>
      </c>
      <c r="E177" s="385">
        <f t="shared" si="75"/>
        <v>43.663323916716308</v>
      </c>
      <c r="F177" s="385">
        <f t="shared" si="51"/>
        <v>43.865620742295391</v>
      </c>
      <c r="G177" s="110">
        <f t="shared" si="76"/>
        <v>0.7417279146811393</v>
      </c>
      <c r="H177" s="412" t="b">
        <f>Wh_hp&gt;='2023'!Maxi_hp</f>
        <v>0</v>
      </c>
      <c r="I177" s="390">
        <f>IF(H177,Wh_hp,'2023'!Maxi_hp)</f>
        <v>53.061432092137871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4.7273213942193415E-2</v>
      </c>
      <c r="M177" s="957"/>
      <c r="N177" s="957"/>
      <c r="O177" s="48">
        <f>IF(t&lt;Tnet,'2023'!Resal+('2023'!Salim-'2023'!Resal)*(1-EXP(('2023'!Tnet-t)/('2023'!Tau_j))),Resal+(Salim-Resal)*(1-EXP((Tnet-t)/(Tau_j))))*Salcycl</f>
        <v>1.4328203775245747E-2</v>
      </c>
      <c r="P177" s="169">
        <f>(INDEX(Models!$BJ177:$BT177,,T177)*(1-R177)+INDEX(Models!$BJ177:$BT177,,T177+1)*R177-ERP_i)*Q177*Ramure*Pc/MaxiM</f>
        <v>7.2753801893175058E-3</v>
      </c>
      <c r="Q177" s="305">
        <f t="shared" si="53"/>
        <v>0.7</v>
      </c>
      <c r="R177" s="177">
        <f t="shared" si="54"/>
        <v>0.26005798381346712</v>
      </c>
      <c r="S177" s="919">
        <f t="shared" si="55"/>
        <v>1</v>
      </c>
      <c r="T177" s="176">
        <f t="shared" si="56"/>
        <v>7</v>
      </c>
      <c r="U177" s="251">
        <f t="shared" si="57"/>
        <v>1.2600579838134671</v>
      </c>
      <c r="V177" s="383">
        <f t="shared" si="58"/>
        <v>55.132686314571416</v>
      </c>
      <c r="W177" s="402">
        <f t="shared" si="59"/>
        <v>41.003176187599806</v>
      </c>
      <c r="X177" s="157">
        <f t="shared" si="60"/>
        <v>45454</v>
      </c>
      <c r="Y177" s="385">
        <f t="shared" si="61"/>
        <v>39.238562042038481</v>
      </c>
      <c r="Z177" s="385">
        <f t="shared" si="62"/>
        <v>41.185534632021657</v>
      </c>
      <c r="AA177" s="386">
        <f t="shared" si="63"/>
        <v>43.663323916716308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5.6747610177841731E-2</v>
      </c>
      <c r="AD177" s="231">
        <f>(INDEX(Models!$BJ177:$BT177,,AH177)*(1-AF177)+INDEX(Models!$BJ177:$BT177,,AH177+1)*AF177-ERP_i)*AE177*Ramure*Pc/MaxiM</f>
        <v>7.2753801893175058E-3</v>
      </c>
      <c r="AE177" s="305">
        <f t="shared" si="65"/>
        <v>0.7</v>
      </c>
      <c r="AF177" s="177">
        <f t="shared" si="66"/>
        <v>0.26005798381346712</v>
      </c>
      <c r="AG177" s="919">
        <f t="shared" si="74"/>
        <v>1</v>
      </c>
      <c r="AH177" s="176">
        <f t="shared" si="67"/>
        <v>7</v>
      </c>
      <c r="AI177" s="225">
        <f t="shared" si="68"/>
        <v>1.2600579838134671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1090">
        <f>IF(t&gt;Tmaj,'2023'!Wh/'2023'!Env_an*'2024'!Env_an,0.001*'[8]mon-tableau'!$B$49)</f>
        <v>50.368349216368991</v>
      </c>
      <c r="C178" s="953"/>
      <c r="D178" s="393">
        <f t="shared" si="50"/>
        <v>52.868727082887936</v>
      </c>
      <c r="E178" s="385">
        <f t="shared" si="75"/>
        <v>53.645300618250538</v>
      </c>
      <c r="F178" s="385">
        <f t="shared" si="51"/>
        <v>53.995385843380696</v>
      </c>
      <c r="G178" s="110">
        <f t="shared" si="76"/>
        <v>0.91399168553775012</v>
      </c>
      <c r="H178" s="412" t="b">
        <f>Wh_hp&gt;='2023'!Maxi_hp</f>
        <v>0</v>
      </c>
      <c r="I178" s="390">
        <f>IF(H178,Wh_hp,'2023'!Maxi_hp)</f>
        <v>61.924411785677407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4.7294081103916863E-2</v>
      </c>
      <c r="M178" s="957"/>
      <c r="N178" s="957"/>
      <c r="O178" s="48">
        <f>IF(t&lt;Tnet,'2023'!Resal+('2023'!Salim-'2023'!Resal)*(1-EXP(('2023'!Tnet-t)/('2023'!Tau_j))),Resal+(Salim-Resal)*(1-EXP((Tnet-t)/(Tau_j))))*Salcycl</f>
        <v>1.447607761374722E-2</v>
      </c>
      <c r="P178" s="169">
        <f>(INDEX(Models!$BJ178:$BT178,,T178)*(1-R178)+INDEX(Models!$BJ178:$BT178,,T178+1)*R178-ERP_i)*Q178*Ramure*Pc/MaxiM</f>
        <v>7.3818977212393652E-3</v>
      </c>
      <c r="Q178" s="305">
        <f t="shared" si="53"/>
        <v>0.7</v>
      </c>
      <c r="R178" s="177">
        <f t="shared" si="54"/>
        <v>0.26519008976673364</v>
      </c>
      <c r="S178" s="919">
        <f t="shared" si="55"/>
        <v>1</v>
      </c>
      <c r="T178" s="176">
        <f t="shared" si="56"/>
        <v>7</v>
      </c>
      <c r="U178" s="251">
        <f t="shared" si="57"/>
        <v>1.2651900897667336</v>
      </c>
      <c r="V178" s="383">
        <f t="shared" si="58"/>
        <v>55.058278609047683</v>
      </c>
      <c r="W178" s="402">
        <f t="shared" si="59"/>
        <v>50.368349216368991</v>
      </c>
      <c r="X178" s="157">
        <f t="shared" si="60"/>
        <v>45455</v>
      </c>
      <c r="Y178" s="385">
        <f t="shared" si="61"/>
        <v>48.201494576064619</v>
      </c>
      <c r="Z178" s="385">
        <f t="shared" si="62"/>
        <v>50.594305776872389</v>
      </c>
      <c r="AA178" s="386">
        <f t="shared" si="63"/>
        <v>53.645300618250538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5.6873478314336763E-2</v>
      </c>
      <c r="AD178" s="231">
        <f>(INDEX(Models!$BJ178:$BT178,,AH178)*(1-AF178)+INDEX(Models!$BJ178:$BT178,,AH178+1)*AF178-ERP_i)*AE178*Ramure*Pc/MaxiM</f>
        <v>7.3818977212393652E-3</v>
      </c>
      <c r="AE178" s="305">
        <f t="shared" si="65"/>
        <v>0.7</v>
      </c>
      <c r="AF178" s="177">
        <f t="shared" si="66"/>
        <v>0.26519008976673364</v>
      </c>
      <c r="AG178" s="919">
        <f t="shared" si="74"/>
        <v>1</v>
      </c>
      <c r="AH178" s="176">
        <f t="shared" si="67"/>
        <v>7</v>
      </c>
      <c r="AI178" s="225">
        <f t="shared" si="68"/>
        <v>1.2651900897667336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1090">
        <f>IF(t&gt;Tmaj,'2023'!Wh/'2023'!Env_an*'2024'!Env_an,0.001*'[8]mon-tableau'!$B$50)</f>
        <v>47.95313257566395</v>
      </c>
      <c r="C179" s="953"/>
      <c r="D179" s="393">
        <f t="shared" si="50"/>
        <v>50.334717087625393</v>
      </c>
      <c r="E179" s="385">
        <f t="shared" si="75"/>
        <v>51.081723204649045</v>
      </c>
      <c r="F179" s="385">
        <f t="shared" si="51"/>
        <v>51.396055122913111</v>
      </c>
      <c r="G179" s="110">
        <f t="shared" si="76"/>
        <v>0.87098721085255815</v>
      </c>
      <c r="H179" s="412" t="b">
        <f>Wh_hp&gt;='2023'!Maxi_hp</f>
        <v>0</v>
      </c>
      <c r="I179" s="390">
        <f>IF(H179,Wh_hp,'2023'!Maxi_hp)</f>
        <v>57.572810186062441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4.731494780859602E-2</v>
      </c>
      <c r="M179" s="957"/>
      <c r="N179" s="957"/>
      <c r="O179" s="48">
        <f>IF(t&lt;Tnet,'2023'!Resal+('2023'!Salim-'2023'!Resal)*(1-EXP(('2023'!Tnet-t)/('2023'!Tau_j))),Resal+(Salim-Resal)*(1-EXP((Tnet-t)/(Tau_j))))*Salcycl</f>
        <v>1.4623745444743829E-2</v>
      </c>
      <c r="P179" s="169">
        <f>(INDEX(Models!$BJ179:$BT179,,T179)*(1-R179)+INDEX(Models!$BJ179:$BT179,,T179+1)*R179-ERP_i)*Q179*Ramure*Pc/MaxiM</f>
        <v>7.4820300144262039E-3</v>
      </c>
      <c r="Q179" s="305">
        <f t="shared" si="53"/>
        <v>0.7</v>
      </c>
      <c r="R179" s="177">
        <f t="shared" si="54"/>
        <v>0.27030922918455946</v>
      </c>
      <c r="S179" s="919">
        <f t="shared" si="55"/>
        <v>1</v>
      </c>
      <c r="T179" s="176">
        <f t="shared" si="56"/>
        <v>7</v>
      </c>
      <c r="U179" s="251">
        <f t="shared" si="57"/>
        <v>1.2703092291845595</v>
      </c>
      <c r="V179" s="383">
        <f t="shared" si="58"/>
        <v>54.980391797573965</v>
      </c>
      <c r="W179" s="402">
        <f t="shared" si="59"/>
        <v>47.95313257566395</v>
      </c>
      <c r="X179" s="157">
        <f t="shared" si="60"/>
        <v>45456</v>
      </c>
      <c r="Y179" s="385">
        <f t="shared" si="61"/>
        <v>45.890972394899514</v>
      </c>
      <c r="Z179" s="385">
        <f t="shared" si="62"/>
        <v>48.170140057660483</v>
      </c>
      <c r="AA179" s="386">
        <f t="shared" si="63"/>
        <v>51.081723204649045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5.6998530283010822E-2</v>
      </c>
      <c r="AD179" s="231">
        <f>(INDEX(Models!$BJ179:$BT179,,AH179)*(1-AF179)+INDEX(Models!$BJ179:$BT179,,AH179+1)*AF179-ERP_i)*AE179*Ramure*Pc/MaxiM</f>
        <v>7.4820300144262039E-3</v>
      </c>
      <c r="AE179" s="305">
        <f t="shared" si="65"/>
        <v>0.7</v>
      </c>
      <c r="AF179" s="177">
        <f t="shared" si="66"/>
        <v>0.27030922918455946</v>
      </c>
      <c r="AG179" s="919">
        <f t="shared" si="74"/>
        <v>1</v>
      </c>
      <c r="AH179" s="176">
        <f t="shared" si="67"/>
        <v>7</v>
      </c>
      <c r="AI179" s="225">
        <f t="shared" si="68"/>
        <v>1.2703092291845595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1090">
        <f>IF(t&gt;Tmaj,'2023'!Wh/'2023'!Env_an*'2024'!Env_an,0.001*'[8]mon-tableau'!$B$51)</f>
        <v>51.478252115844462</v>
      </c>
      <c r="C180" s="953"/>
      <c r="D180" s="393">
        <f t="shared" si="50"/>
        <v>54.036094644250113</v>
      </c>
      <c r="E180" s="385">
        <f t="shared" si="75"/>
        <v>54.846239105243491</v>
      </c>
      <c r="F180" s="385">
        <f t="shared" si="51"/>
        <v>55.227371823736362</v>
      </c>
      <c r="G180" s="110">
        <f t="shared" si="76"/>
        <v>0.93704584705291349</v>
      </c>
      <c r="H180" s="412" t="b">
        <f>Wh_hp&gt;='2023'!Maxi_hp</f>
        <v>0</v>
      </c>
      <c r="I180" s="390">
        <f>IF(H180,Wh_hp,'2023'!Maxi_hp)</f>
        <v>55.237213915781524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4.7335814056240766E-2</v>
      </c>
      <c r="M180" s="957"/>
      <c r="N180" s="957"/>
      <c r="O180" s="48">
        <f>IF(t&lt;Tnet,'2023'!Resal+('2023'!Salim-'2023'!Resal)*(1-EXP(('2023'!Tnet-t)/('2023'!Tau_j))),Resal+(Salim-Resal)*(1-EXP((Tnet-t)/(Tau_j))))*Salcycl</f>
        <v>1.4771194419343981E-2</v>
      </c>
      <c r="P180" s="169">
        <f>(INDEX(Models!$BJ180:$BT180,,T180)*(1-R180)+INDEX(Models!$BJ180:$BT180,,T180+1)*R180-ERP_i)*Q180*Ramure*Pc/MaxiM</f>
        <v>7.5755699126974904E-3</v>
      </c>
      <c r="Q180" s="305">
        <f t="shared" si="53"/>
        <v>0.7</v>
      </c>
      <c r="R180" s="177">
        <f t="shared" si="54"/>
        <v>0.27541114773169961</v>
      </c>
      <c r="S180" s="919">
        <f t="shared" si="55"/>
        <v>1</v>
      </c>
      <c r="T180" s="176">
        <f t="shared" si="56"/>
        <v>7</v>
      </c>
      <c r="U180" s="251">
        <f t="shared" si="57"/>
        <v>1.2754111477316996</v>
      </c>
      <c r="V180" s="383">
        <f t="shared" si="58"/>
        <v>54.899441026056834</v>
      </c>
      <c r="W180" s="402">
        <f t="shared" si="59"/>
        <v>51.478252115844462</v>
      </c>
      <c r="X180" s="157">
        <f t="shared" si="60"/>
        <v>45457</v>
      </c>
      <c r="Y180" s="385">
        <f t="shared" si="61"/>
        <v>49.265382052365247</v>
      </c>
      <c r="Z180" s="385">
        <f t="shared" si="62"/>
        <v>51.713271874034362</v>
      </c>
      <c r="AA180" s="386">
        <f t="shared" si="63"/>
        <v>54.846239105243491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5.7122735894385358E-2</v>
      </c>
      <c r="AD180" s="231">
        <f>(INDEX(Models!$BJ180:$BT180,,AH180)*(1-AF180)+INDEX(Models!$BJ180:$BT180,,AH180+1)*AF180-ERP_i)*AE180*Ramure*Pc/MaxiM</f>
        <v>7.5755699126974904E-3</v>
      </c>
      <c r="AE180" s="305">
        <f t="shared" si="65"/>
        <v>0.7</v>
      </c>
      <c r="AF180" s="177">
        <f t="shared" si="66"/>
        <v>0.27541114773169961</v>
      </c>
      <c r="AG180" s="919">
        <f t="shared" si="74"/>
        <v>1</v>
      </c>
      <c r="AH180" s="176">
        <f t="shared" si="67"/>
        <v>7</v>
      </c>
      <c r="AI180" s="225">
        <f t="shared" si="68"/>
        <v>1.2754111477316996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1090">
        <f>IF(t&gt;Tmaj,'2023'!Wh/'2023'!Env_an*'2024'!Env_an,0.001*'[8]mon-tableau'!$B$52)</f>
        <v>49.954424351527159</v>
      </c>
      <c r="C181" s="953"/>
      <c r="D181" s="393">
        <f t="shared" si="50"/>
        <v>52.437699708529848</v>
      </c>
      <c r="E181" s="385">
        <f t="shared" si="75"/>
        <v>53.231834148130801</v>
      </c>
      <c r="F181" s="385">
        <f t="shared" si="51"/>
        <v>53.590436530118581</v>
      </c>
      <c r="G181" s="110">
        <f t="shared" si="76"/>
        <v>0.91042301885277177</v>
      </c>
      <c r="H181" s="412" t="b">
        <f>Wh_hp&gt;='2023'!Maxi_hp</f>
        <v>0</v>
      </c>
      <c r="I181" s="390">
        <f>IF(H181,Wh_hp,'2023'!Maxi_hp)</f>
        <v>59.636866753529013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4.7356679846861094E-2</v>
      </c>
      <c r="M181" s="957"/>
      <c r="N181" s="957"/>
      <c r="O181" s="48">
        <f>IF(t&lt;Tnet,'2023'!Resal+('2023'!Salim-'2023'!Resal)*(1-EXP(('2023'!Tnet-t)/('2023'!Tau_j))),Resal+(Salim-Resal)*(1-EXP((Tnet-t)/(Tau_j))))*Salcycl</f>
        <v>1.4918412117663957E-2</v>
      </c>
      <c r="P181" s="169">
        <f>(INDEX(Models!$BJ181:$BT181,,T181)*(1-R181)+INDEX(Models!$BJ181:$BT181,,T181+1)*R181-ERP_i)*Q181*Ramure*Pc/MaxiM</f>
        <v>7.6623117136136506E-3</v>
      </c>
      <c r="Q181" s="305">
        <f t="shared" si="53"/>
        <v>0.7</v>
      </c>
      <c r="R181" s="177">
        <f t="shared" si="54"/>
        <v>0.28049164860197151</v>
      </c>
      <c r="S181" s="919">
        <f t="shared" si="55"/>
        <v>1</v>
      </c>
      <c r="T181" s="176">
        <f t="shared" si="56"/>
        <v>7</v>
      </c>
      <c r="U181" s="251">
        <f t="shared" si="57"/>
        <v>1.2804916486019715</v>
      </c>
      <c r="V181" s="383">
        <f t="shared" si="58"/>
        <v>54.8158406926201</v>
      </c>
      <c r="W181" s="402">
        <f t="shared" si="59"/>
        <v>49.954424351527159</v>
      </c>
      <c r="X181" s="157">
        <f t="shared" si="60"/>
        <v>45458</v>
      </c>
      <c r="Y181" s="385">
        <f t="shared" si="61"/>
        <v>47.807948690756412</v>
      </c>
      <c r="Z181" s="385">
        <f t="shared" si="62"/>
        <v>50.184520984276894</v>
      </c>
      <c r="AA181" s="386">
        <f t="shared" si="63"/>
        <v>53.231834148130801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5.72460673696496E-2</v>
      </c>
      <c r="AD181" s="231">
        <f>(INDEX(Models!$BJ181:$BT181,,AH181)*(1-AF181)+INDEX(Models!$BJ181:$BT181,,AH181+1)*AF181-ERP_i)*AE181*Ramure*Pc/MaxiM</f>
        <v>7.6623117136136506E-3</v>
      </c>
      <c r="AE181" s="305">
        <f t="shared" si="65"/>
        <v>0.7</v>
      </c>
      <c r="AF181" s="177">
        <f t="shared" si="66"/>
        <v>0.28049164860197151</v>
      </c>
      <c r="AG181" s="919">
        <f t="shared" si="74"/>
        <v>1</v>
      </c>
      <c r="AH181" s="176">
        <f t="shared" si="67"/>
        <v>7</v>
      </c>
      <c r="AI181" s="225">
        <f t="shared" si="68"/>
        <v>1.2804916486019715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1090">
        <f>IF(t&gt;Tmaj,'2023'!Wh/'2023'!Env_an*'2024'!Env_an,0.001*'[8]mon-tableau'!$B$53)</f>
        <v>50.604556575452804</v>
      </c>
      <c r="C182" s="953"/>
      <c r="D182" s="393">
        <f t="shared" si="50"/>
        <v>53.121314031002399</v>
      </c>
      <c r="E182" s="385">
        <f t="shared" si="75"/>
        <v>53.933848306620533</v>
      </c>
      <c r="F182" s="385">
        <f t="shared" si="51"/>
        <v>54.30903487470912</v>
      </c>
      <c r="G182" s="110">
        <f t="shared" si="76"/>
        <v>0.923845616301608</v>
      </c>
      <c r="H182" s="412" t="b">
        <f>Wh_hp&gt;='2023'!Maxi_hp</f>
        <v>0</v>
      </c>
      <c r="I182" s="390">
        <f>IF(H182,Wh_hp,'2023'!Maxi_hp)</f>
        <v>58.647204437041879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4.7377545180467107E-2</v>
      </c>
      <c r="M182" s="957"/>
      <c r="N182" s="957"/>
      <c r="O182" s="48">
        <f>IF(t&lt;Tnet,'2023'!Resal+('2023'!Salim-'2023'!Resal)*(1-EXP(('2023'!Tnet-t)/('2023'!Tau_j))),Resal+(Salim-Resal)*(1-EXP((Tnet-t)/(Tau_j))))*Salcycl</f>
        <v>1.5065386600985355E-2</v>
      </c>
      <c r="P182" s="169">
        <f>(INDEX(Models!$BJ182:$BT182,,T182)*(1-R182)+INDEX(Models!$BJ182:$BT182,,T182+1)*R182-ERP_i)*Q182*Ramure*Pc/MaxiM</f>
        <v>7.7420519668486331E-3</v>
      </c>
      <c r="Q182" s="305">
        <f t="shared" si="53"/>
        <v>0.7</v>
      </c>
      <c r="R182" s="177">
        <f t="shared" si="54"/>
        <v>0.28554660613163119</v>
      </c>
      <c r="S182" s="919">
        <f t="shared" si="55"/>
        <v>1</v>
      </c>
      <c r="T182" s="176">
        <f t="shared" si="56"/>
        <v>7</v>
      </c>
      <c r="U182" s="251">
        <f t="shared" si="57"/>
        <v>1.2855466061316312</v>
      </c>
      <c r="V182" s="383">
        <f t="shared" si="58"/>
        <v>54.730004429893498</v>
      </c>
      <c r="W182" s="402">
        <f t="shared" si="59"/>
        <v>50.604556575452804</v>
      </c>
      <c r="X182" s="157">
        <f t="shared" si="60"/>
        <v>45459</v>
      </c>
      <c r="Y182" s="385">
        <f t="shared" si="61"/>
        <v>48.431082074910442</v>
      </c>
      <c r="Z182" s="385">
        <f t="shared" si="62"/>
        <v>50.839744360304152</v>
      </c>
      <c r="AA182" s="386">
        <f t="shared" si="63"/>
        <v>53.933848306620533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5.7368499438905624E-2</v>
      </c>
      <c r="AD182" s="231">
        <f>(INDEX(Models!$BJ182:$BT182,,AH182)*(1-AF182)+INDEX(Models!$BJ182:$BT182,,AH182+1)*AF182-ERP_i)*AE182*Ramure*Pc/MaxiM</f>
        <v>7.7420519668486331E-3</v>
      </c>
      <c r="AE182" s="305">
        <f t="shared" si="65"/>
        <v>0.7</v>
      </c>
      <c r="AF182" s="177">
        <f t="shared" si="66"/>
        <v>0.28554660613163119</v>
      </c>
      <c r="AG182" s="919">
        <f t="shared" si="74"/>
        <v>1</v>
      </c>
      <c r="AH182" s="176">
        <f t="shared" si="67"/>
        <v>7</v>
      </c>
      <c r="AI182" s="225">
        <f t="shared" si="68"/>
        <v>1.2855466061316312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1090">
        <f>IF(t&gt;Tmaj,'2023'!Wh/'2023'!Env_an*'2024'!Env_an,0.001*'[8]mon-tableau'!$B$54)</f>
        <v>52.307668051389953</v>
      </c>
      <c r="C183" s="953"/>
      <c r="D183" s="393">
        <f t="shared" si="50"/>
        <v>54.910330408459231</v>
      </c>
      <c r="E183" s="385">
        <f t="shared" si="75"/>
        <v>55.758535181762241</v>
      </c>
      <c r="F183" s="385">
        <f t="shared" si="51"/>
        <v>56.170693500099766</v>
      </c>
      <c r="G183" s="110">
        <f t="shared" si="76"/>
        <v>0.956813502882637</v>
      </c>
      <c r="H183" s="412" t="b">
        <f>Wh_hp&gt;='2023'!Maxi_hp</f>
        <v>0</v>
      </c>
      <c r="I183" s="390">
        <f>IF(H183,Wh_hp,'2023'!Maxi_hp)</f>
        <v>56.677985927992459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4.7398410057068685E-2</v>
      </c>
      <c r="M183" s="957"/>
      <c r="N183" s="957"/>
      <c r="O183" s="48">
        <f>IF(t&lt;Tnet,'2023'!Resal+('2023'!Salim-'2023'!Resal)*(1-EXP(('2023'!Tnet-t)/('2023'!Tau_j))),Resal+(Salim-Resal)*(1-EXP((Tnet-t)/(Tau_j))))*Salcycl</f>
        <v>1.5212106461154732E-2</v>
      </c>
      <c r="P183" s="169">
        <f>(INDEX(Models!$BJ183:$BT183,,T183)*(1-R183)+INDEX(Models!$BJ183:$BT183,,T183+1)*R183-ERP_i)*Q183*Ramure*Pc/MaxiM</f>
        <v>7.8145902527813563E-3</v>
      </c>
      <c r="Q183" s="305">
        <f t="shared" si="53"/>
        <v>0.7</v>
      </c>
      <c r="R183" s="177">
        <f t="shared" si="54"/>
        <v>0.29057197891390318</v>
      </c>
      <c r="S183" s="919">
        <f t="shared" si="55"/>
        <v>1</v>
      </c>
      <c r="T183" s="176">
        <f t="shared" si="56"/>
        <v>7</v>
      </c>
      <c r="U183" s="251">
        <f t="shared" si="57"/>
        <v>1.2905719789139032</v>
      </c>
      <c r="V183" s="383">
        <f t="shared" si="58"/>
        <v>54.642345076405419</v>
      </c>
      <c r="W183" s="402">
        <f t="shared" si="59"/>
        <v>52.307668051389953</v>
      </c>
      <c r="X183" s="157">
        <f t="shared" si="60"/>
        <v>45460</v>
      </c>
      <c r="Y183" s="385">
        <f t="shared" si="61"/>
        <v>50.062048940213863</v>
      </c>
      <c r="Z183" s="385">
        <f t="shared" si="62"/>
        <v>52.552976468591652</v>
      </c>
      <c r="AA183" s="386">
        <f t="shared" si="63"/>
        <v>55.758535181762241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5.7490009425840816E-2</v>
      </c>
      <c r="AD183" s="231">
        <f>(INDEX(Models!$BJ183:$BT183,,AH183)*(1-AF183)+INDEX(Models!$BJ183:$BT183,,AH183+1)*AF183-ERP_i)*AE183*Ramure*Pc/MaxiM</f>
        <v>7.8145902527813563E-3</v>
      </c>
      <c r="AE183" s="305">
        <f t="shared" si="65"/>
        <v>0.7</v>
      </c>
      <c r="AF183" s="177">
        <f t="shared" si="66"/>
        <v>0.29057197891390318</v>
      </c>
      <c r="AG183" s="919">
        <f t="shared" si="74"/>
        <v>1</v>
      </c>
      <c r="AH183" s="176">
        <f t="shared" si="67"/>
        <v>7</v>
      </c>
      <c r="AI183" s="225">
        <f t="shared" si="68"/>
        <v>1.2905719789139032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1090">
        <f>IF(t&gt;Tmaj,'2023'!Wh/'2023'!Env_an*'2024'!Env_an,0.001*'[8]mon-tableau'!$B$55)</f>
        <v>53.406135384305422</v>
      </c>
      <c r="C184" s="953"/>
      <c r="D184" s="393">
        <f t="shared" si="50"/>
        <v>56.064681924952268</v>
      </c>
      <c r="E184" s="385">
        <f t="shared" si="75"/>
        <v>56.939185876952358</v>
      </c>
      <c r="F184" s="385">
        <f t="shared" si="51"/>
        <v>57.377604433945223</v>
      </c>
      <c r="G184" s="110">
        <f t="shared" si="76"/>
        <v>0.97873655455148945</v>
      </c>
      <c r="H184" s="412" t="b">
        <f>Wh_hp&gt;='2023'!Maxi_hp</f>
        <v>0</v>
      </c>
      <c r="I184" s="390">
        <f>IF(H184,Wh_hp,'2023'!Maxi_hp)</f>
        <v>57.381175359136755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4.7419274476675932E-2</v>
      </c>
      <c r="M184" s="957"/>
      <c r="N184" s="957"/>
      <c r="O184" s="48">
        <f>IF(t&lt;Tnet,'2023'!Resal+('2023'!Salim-'2023'!Resal)*(1-EXP(('2023'!Tnet-t)/('2023'!Tau_j))),Resal+(Salim-Resal)*(1-EXP((Tnet-t)/(Tau_j))))*Salcycl</f>
        <v>1.5358560866850621E-2</v>
      </c>
      <c r="P184" s="169">
        <f>(INDEX(Models!$BJ184:$BT184,,T184)*(1-R184)+INDEX(Models!$BJ184:$BT184,,T184+1)*R184-ERP_i)*Q184*Ramure*Pc/MaxiM</f>
        <v>7.8776005185953509E-3</v>
      </c>
      <c r="Q184" s="305">
        <f t="shared" si="53"/>
        <v>0.7</v>
      </c>
      <c r="R184" s="177">
        <f t="shared" si="54"/>
        <v>0.29556382232831568</v>
      </c>
      <c r="S184" s="919">
        <f t="shared" si="55"/>
        <v>1</v>
      </c>
      <c r="T184" s="176">
        <f t="shared" si="56"/>
        <v>7</v>
      </c>
      <c r="U184" s="251">
        <f t="shared" si="57"/>
        <v>1.2955638223283157</v>
      </c>
      <c r="V184" s="383">
        <f t="shared" si="58"/>
        <v>54.553391753139735</v>
      </c>
      <c r="W184" s="402">
        <f t="shared" si="59"/>
        <v>53.406135384305422</v>
      </c>
      <c r="X184" s="157">
        <f t="shared" si="60"/>
        <v>45461</v>
      </c>
      <c r="Y184" s="385">
        <f t="shared" si="61"/>
        <v>51.114421039187022</v>
      </c>
      <c r="Z184" s="385">
        <f t="shared" si="62"/>
        <v>53.658886506554111</v>
      </c>
      <c r="AA184" s="386">
        <f t="shared" si="63"/>
        <v>56.939185876952358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5.7610577318177494E-2</v>
      </c>
      <c r="AD184" s="231">
        <f>(INDEX(Models!$BJ184:$BT184,,AH184)*(1-AF184)+INDEX(Models!$BJ184:$BT184,,AH184+1)*AF184-ERP_i)*AE184*Ramure*Pc/MaxiM</f>
        <v>7.8776005185953509E-3</v>
      </c>
      <c r="AE184" s="305">
        <f t="shared" si="65"/>
        <v>0.7</v>
      </c>
      <c r="AF184" s="177">
        <f t="shared" si="66"/>
        <v>0.29556382232831568</v>
      </c>
      <c r="AG184" s="919">
        <f t="shared" si="74"/>
        <v>1</v>
      </c>
      <c r="AH184" s="176">
        <f t="shared" si="67"/>
        <v>7</v>
      </c>
      <c r="AI184" s="225">
        <f t="shared" si="68"/>
        <v>1.2955638223283157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1090">
        <f>IF(t&gt;Tmaj,'2023'!Wh/'2023'!Env_an*'2024'!Env_an,0.001*'[8]mon-tableau'!$B$56)</f>
        <v>33.684383917393106</v>
      </c>
      <c r="C185" s="953"/>
      <c r="D185" s="393">
        <f t="shared" si="50"/>
        <v>35.361960205003449</v>
      </c>
      <c r="E185" s="385">
        <f t="shared" si="75"/>
        <v>35.918872977473242</v>
      </c>
      <c r="F185" s="385">
        <f t="shared" si="51"/>
        <v>36.049029611915564</v>
      </c>
      <c r="G185" s="110">
        <f t="shared" si="76"/>
        <v>0.61579396204847525</v>
      </c>
      <c r="H185" s="412" t="b">
        <f>Wh_hp&gt;='2023'!Maxi_hp</f>
        <v>0</v>
      </c>
      <c r="I185" s="390">
        <f>IF(H185,Wh_hp,'2023'!Maxi_hp)</f>
        <v>50.746590499850917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4.7440138439298951E-2</v>
      </c>
      <c r="M185" s="957"/>
      <c r="N185" s="957"/>
      <c r="O185" s="48">
        <f>IF(t&lt;Tnet,'2023'!Resal+('2023'!Salim-'2023'!Resal)*(1-EXP(('2023'!Tnet-t)/('2023'!Tau_j))),Resal+(Salim-Resal)*(1-EXP((Tnet-t)/(Tau_j))))*Salcycl</f>
        <v>1.5504739606364126E-2</v>
      </c>
      <c r="P185" s="169">
        <f>(INDEX(Models!$BJ185:$BT185,,T185)*(1-R185)+INDEX(Models!$BJ185:$BT185,,T185+1)*R185-ERP_i)*Q185*Ramure*Pc/MaxiM</f>
        <v>7.9357931516135446E-3</v>
      </c>
      <c r="Q185" s="305">
        <f t="shared" si="53"/>
        <v>0.7</v>
      </c>
      <c r="R185" s="177">
        <f t="shared" si="54"/>
        <v>0.30051830040539795</v>
      </c>
      <c r="S185" s="919">
        <f t="shared" si="55"/>
        <v>1</v>
      </c>
      <c r="T185" s="176">
        <f t="shared" si="56"/>
        <v>7</v>
      </c>
      <c r="U185" s="251">
        <f t="shared" si="57"/>
        <v>1.300518300405398</v>
      </c>
      <c r="V185" s="383">
        <f t="shared" si="58"/>
        <v>54.463285965891963</v>
      </c>
      <c r="W185" s="402">
        <f t="shared" si="59"/>
        <v>33.684383917393106</v>
      </c>
      <c r="X185" s="157">
        <f t="shared" si="60"/>
        <v>45462</v>
      </c>
      <c r="Y185" s="385">
        <f t="shared" si="61"/>
        <v>32.239645482707665</v>
      </c>
      <c r="Z185" s="385">
        <f t="shared" si="62"/>
        <v>33.845269765918246</v>
      </c>
      <c r="AA185" s="386">
        <f t="shared" si="63"/>
        <v>35.918872977473242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5.7730185823354388E-2</v>
      </c>
      <c r="AD185" s="231">
        <f>(INDEX(Models!$BJ185:$BT185,,AH185)*(1-AF185)+INDEX(Models!$BJ185:$BT185,,AH185+1)*AF185-ERP_i)*AE185*Ramure*Pc/MaxiM</f>
        <v>7.9357931516135446E-3</v>
      </c>
      <c r="AE185" s="305">
        <f t="shared" si="65"/>
        <v>0.7</v>
      </c>
      <c r="AF185" s="177">
        <f t="shared" si="66"/>
        <v>0.30051830040539795</v>
      </c>
      <c r="AG185" s="919">
        <f t="shared" si="74"/>
        <v>1</v>
      </c>
      <c r="AH185" s="176">
        <f t="shared" si="67"/>
        <v>7</v>
      </c>
      <c r="AI185" s="225">
        <f t="shared" si="68"/>
        <v>1.300518300405398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1090">
        <f>IF(t&gt;Tmaj,'2023'!Wh/'2023'!Env_an*'2024'!Env_an,0.001*'[8]mon-tableau'!$B$57)</f>
        <v>23.813944510913238</v>
      </c>
      <c r="C186" s="953"/>
      <c r="D186" s="393">
        <f t="shared" si="50"/>
        <v>25.000492955708779</v>
      </c>
      <c r="E186" s="385">
        <f t="shared" si="75"/>
        <v>25.397987540863905</v>
      </c>
      <c r="F186" s="385">
        <f t="shared" si="51"/>
        <v>25.438045590731399</v>
      </c>
      <c r="G186" s="110">
        <f t="shared" si="76"/>
        <v>0.43516449658032785</v>
      </c>
      <c r="H186" s="412" t="b">
        <f>Wh_hp&gt;='2023'!Maxi_hp</f>
        <v>0</v>
      </c>
      <c r="I186" s="390">
        <f>IF(H186,Wh_hp,'2023'!Maxi_hp)</f>
        <v>50.271199376554243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4.7461001944947512E-2</v>
      </c>
      <c r="M186" s="957"/>
      <c r="N186" s="957"/>
      <c r="O186" s="48">
        <f>IF(t&lt;Tnet,'2023'!Resal+('2023'!Salim-'2023'!Resal)*(1-EXP(('2023'!Tnet-t)/('2023'!Tau_j))),Resal+(Salim-Resal)*(1-EXP((Tnet-t)/(Tau_j))))*Salcycl</f>
        <v>1.5650633126564877E-2</v>
      </c>
      <c r="P186" s="169">
        <f>(INDEX(Models!$BJ186:$BT186,,T186)*(1-R186)+INDEX(Models!$BJ186:$BT186,,T186+1)*R186-ERP_i)*Q186*Ramure*Pc/MaxiM</f>
        <v>7.9890194631980233E-3</v>
      </c>
      <c r="Q186" s="305">
        <f t="shared" si="53"/>
        <v>0.7</v>
      </c>
      <c r="R186" s="177">
        <f t="shared" si="54"/>
        <v>0.30543169695502481</v>
      </c>
      <c r="S186" s="919">
        <f t="shared" si="55"/>
        <v>1</v>
      </c>
      <c r="T186" s="176">
        <f t="shared" si="56"/>
        <v>7</v>
      </c>
      <c r="U186" s="251">
        <f t="shared" si="57"/>
        <v>1.3054316969550248</v>
      </c>
      <c r="V186" s="383">
        <f t="shared" si="58"/>
        <v>54.37243672548248</v>
      </c>
      <c r="W186" s="402">
        <f t="shared" si="59"/>
        <v>23.813944510913238</v>
      </c>
      <c r="X186" s="157">
        <f t="shared" si="60"/>
        <v>45463</v>
      </c>
      <c r="Y186" s="385">
        <f t="shared" si="61"/>
        <v>22.793061759094073</v>
      </c>
      <c r="Z186" s="385">
        <f t="shared" si="62"/>
        <v>23.928743920862267</v>
      </c>
      <c r="AA186" s="386">
        <f t="shared" si="63"/>
        <v>25.397987540863905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5.7848820409007157E-2</v>
      </c>
      <c r="AD186" s="231">
        <f>(INDEX(Models!$BJ186:$BT186,,AH186)*(1-AF186)+INDEX(Models!$BJ186:$BT186,,AH186+1)*AF186-ERP_i)*AE186*Ramure*Pc/MaxiM</f>
        <v>7.9890194631980233E-3</v>
      </c>
      <c r="AE186" s="305">
        <f t="shared" si="65"/>
        <v>0.7</v>
      </c>
      <c r="AF186" s="177">
        <f t="shared" si="66"/>
        <v>0.30543169695502481</v>
      </c>
      <c r="AG186" s="919">
        <f t="shared" si="74"/>
        <v>1</v>
      </c>
      <c r="AH186" s="176">
        <f t="shared" si="67"/>
        <v>7</v>
      </c>
      <c r="AI186" s="225">
        <f t="shared" si="68"/>
        <v>1.3054316969550248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1090">
        <f>IF(t&gt;Tmaj,'2023'!Wh/'2023'!Env_an*'2024'!Env_an,0.001*'[8]mon-tableau'!$B$58)</f>
        <v>42.049545840708966</v>
      </c>
      <c r="C187" s="953"/>
      <c r="D187" s="393">
        <f t="shared" si="50"/>
        <v>44.145664313706568</v>
      </c>
      <c r="E187" s="385">
        <f t="shared" si="75"/>
        <v>44.85419155515023</v>
      </c>
      <c r="F187" s="385">
        <f t="shared" si="51"/>
        <v>45.099980717774535</v>
      </c>
      <c r="G187" s="110">
        <f t="shared" si="76"/>
        <v>0.77264533687873282</v>
      </c>
      <c r="H187" s="412" t="b">
        <f>Wh_hp&gt;='2023'!Maxi_hp</f>
        <v>0</v>
      </c>
      <c r="I187" s="390">
        <f>IF(H187,Wh_hp,'2023'!Maxi_hp)</f>
        <v>58.651325061036623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4.7481864993631828E-2</v>
      </c>
      <c r="M187" s="957"/>
      <c r="N187" s="957"/>
      <c r="O187" s="48">
        <f>IF(t&lt;Tnet,'2023'!Resal+('2023'!Salim-'2023'!Resal)*(1-EXP(('2023'!Tnet-t)/('2023'!Tau_j))),Resal+(Salim-Resal)*(1-EXP((Tnet-t)/(Tau_j))))*Salcycl</f>
        <v>1.5796232567752321E-2</v>
      </c>
      <c r="P187" s="169">
        <f>(INDEX(Models!$BJ187:$BT187,,T187)*(1-R187)+INDEX(Models!$BJ187:$BT187,,T187+1)*R187-ERP_i)*Q187*Ramure*Pc/MaxiM</f>
        <v>8.0371349000148678E-3</v>
      </c>
      <c r="Q187" s="305">
        <f t="shared" si="53"/>
        <v>0.7</v>
      </c>
      <c r="R187" s="177">
        <f t="shared" si="54"/>
        <v>0.31030042589511231</v>
      </c>
      <c r="S187" s="919">
        <f t="shared" si="55"/>
        <v>1</v>
      </c>
      <c r="T187" s="176">
        <f t="shared" si="56"/>
        <v>7</v>
      </c>
      <c r="U187" s="251">
        <f t="shared" si="57"/>
        <v>1.3103004258951123</v>
      </c>
      <c r="V187" s="383">
        <f t="shared" si="58"/>
        <v>54.281252327146731</v>
      </c>
      <c r="W187" s="402">
        <f t="shared" si="59"/>
        <v>42.049545840708966</v>
      </c>
      <c r="X187" s="157">
        <f t="shared" si="60"/>
        <v>45464</v>
      </c>
      <c r="Y187" s="385">
        <f t="shared" si="61"/>
        <v>40.247846474746396</v>
      </c>
      <c r="Z187" s="385">
        <f t="shared" si="62"/>
        <v>42.254152436139513</v>
      </c>
      <c r="AA187" s="386">
        <f t="shared" si="63"/>
        <v>44.85419155515023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5.7966469327930113E-2</v>
      </c>
      <c r="AD187" s="231">
        <f>(INDEX(Models!$BJ187:$BT187,,AH187)*(1-AF187)+INDEX(Models!$BJ187:$BT187,,AH187+1)*AF187-ERP_i)*AE187*Ramure*Pc/MaxiM</f>
        <v>8.0371349000148678E-3</v>
      </c>
      <c r="AE187" s="305">
        <f t="shared" si="65"/>
        <v>0.7</v>
      </c>
      <c r="AF187" s="177">
        <f t="shared" si="66"/>
        <v>0.31030042589511231</v>
      </c>
      <c r="AG187" s="919">
        <f t="shared" si="74"/>
        <v>1</v>
      </c>
      <c r="AH187" s="176">
        <f t="shared" si="67"/>
        <v>7</v>
      </c>
      <c r="AI187" s="225">
        <f t="shared" si="68"/>
        <v>1.3103004258951123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1090">
        <f>IF(t&gt;Tmaj,'2023'!Wh/'2023'!Env_an*'2024'!Env_an,0.001*'[8]mon-tableau'!$B$59)</f>
        <v>41.681605388346604</v>
      </c>
      <c r="C188" s="953"/>
      <c r="D188" s="393">
        <f t="shared" si="50"/>
        <v>43.760340943214686</v>
      </c>
      <c r="E188" s="385">
        <f t="shared" si="75"/>
        <v>44.469248797847904</v>
      </c>
      <c r="F188" s="385">
        <f t="shared" si="51"/>
        <v>44.711385232845842</v>
      </c>
      <c r="G188" s="110">
        <f t="shared" si="76"/>
        <v>0.76711264418926561</v>
      </c>
      <c r="H188" s="412" t="b">
        <f>Wh_hp&gt;='2023'!Maxi_hp</f>
        <v>0</v>
      </c>
      <c r="I188" s="390">
        <f>IF(H188,Wh_hp,'2023'!Maxi_hp)</f>
        <v>52.717054573900171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4.7502727585361781E-2</v>
      </c>
      <c r="M188" s="957"/>
      <c r="N188" s="957"/>
      <c r="O188" s="48">
        <f>IF(t&lt;Tnet,'2023'!Resal+('2023'!Salim-'2023'!Resal)*(1-EXP(('2023'!Tnet-t)/('2023'!Tau_j))),Resal+(Salim-Resal)*(1-EXP((Tnet-t)/(Tau_j))))*Salcycl</f>
        <v>1.594152979412421E-2</v>
      </c>
      <c r="P188" s="169">
        <f>(INDEX(Models!$BJ188:$BT188,,T188)*(1-R188)+INDEX(Models!$BJ188:$BT188,,T188+1)*R188-ERP_i)*Q188*Ramure*Pc/MaxiM</f>
        <v>8.079916859849167E-3</v>
      </c>
      <c r="Q188" s="305">
        <f t="shared" si="53"/>
        <v>0.7</v>
      </c>
      <c r="R188" s="177">
        <f t="shared" si="54"/>
        <v>0.31512104072633429</v>
      </c>
      <c r="S188" s="919">
        <f t="shared" si="55"/>
        <v>1</v>
      </c>
      <c r="T188" s="176">
        <f t="shared" si="56"/>
        <v>7</v>
      </c>
      <c r="U188" s="251">
        <f t="shared" si="57"/>
        <v>1.3151210407263343</v>
      </c>
      <c r="V188" s="383">
        <f t="shared" si="58"/>
        <v>54.190144861701789</v>
      </c>
      <c r="W188" s="402">
        <f t="shared" si="59"/>
        <v>41.681605388346604</v>
      </c>
      <c r="X188" s="157">
        <f t="shared" si="60"/>
        <v>45465</v>
      </c>
      <c r="Y188" s="385">
        <f t="shared" si="61"/>
        <v>39.896620717441991</v>
      </c>
      <c r="Z188" s="385">
        <f t="shared" si="62"/>
        <v>41.886335922308355</v>
      </c>
      <c r="AA188" s="386">
        <f t="shared" si="63"/>
        <v>44.469248797847904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5.8083123627322319E-2</v>
      </c>
      <c r="AD188" s="231">
        <f>(INDEX(Models!$BJ188:$BT188,,AH188)*(1-AF188)+INDEX(Models!$BJ188:$BT188,,AH188+1)*AF188-ERP_i)*AE188*Ramure*Pc/MaxiM</f>
        <v>8.079916859849167E-3</v>
      </c>
      <c r="AE188" s="305">
        <f t="shared" si="65"/>
        <v>0.7</v>
      </c>
      <c r="AF188" s="177">
        <f t="shared" si="66"/>
        <v>0.31512104072633429</v>
      </c>
      <c r="AG188" s="919">
        <f t="shared" si="74"/>
        <v>1</v>
      </c>
      <c r="AH188" s="176">
        <f t="shared" si="67"/>
        <v>7</v>
      </c>
      <c r="AI188" s="225">
        <f t="shared" si="68"/>
        <v>1.3151210407263343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1090">
        <f>IF(t&gt;Tmaj,'2023'!Wh/'2023'!Env_an*'2024'!Env_an,0.001*'[8]mon-tableau'!$B$60)</f>
        <v>39.700849474372141</v>
      </c>
      <c r="C189" s="953"/>
      <c r="D189" s="393">
        <f t="shared" si="50"/>
        <v>41.681714156791983</v>
      </c>
      <c r="E189" s="385">
        <f t="shared" si="75"/>
        <v>42.363190356411422</v>
      </c>
      <c r="F189" s="385">
        <f t="shared" si="51"/>
        <v>42.577391667789236</v>
      </c>
      <c r="G189" s="110">
        <f t="shared" si="76"/>
        <v>0.73157207179630357</v>
      </c>
      <c r="H189" s="412" t="b">
        <f>Wh_hp&gt;='2023'!Maxi_hp</f>
        <v>0</v>
      </c>
      <c r="I189" s="390">
        <f>IF(H189,Wh_hp,'2023'!Maxi_hp)</f>
        <v>57.879746381610467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4.7523589720147474E-2</v>
      </c>
      <c r="M189" s="957"/>
      <c r="N189" s="957"/>
      <c r="O189" s="48">
        <f>IF(t&lt;Tnet,'2023'!Resal+('2023'!Salim-'2023'!Resal)*(1-EXP(('2023'!Tnet-t)/('2023'!Tau_j))),Resal+(Salim-Resal)*(1-EXP((Tnet-t)/(Tau_j))))*Salcycl</f>
        <v>1.6086517419628188E-2</v>
      </c>
      <c r="P189" s="169">
        <f>(INDEX(Models!$BJ189:$BT189,,T189)*(1-R189)+INDEX(Models!$BJ189:$BT189,,T189+1)*R189-ERP_i)*Q189*Ramure*Pc/MaxiM</f>
        <v>8.1171418080994411E-3</v>
      </c>
      <c r="Q189" s="305">
        <f t="shared" si="53"/>
        <v>0.7</v>
      </c>
      <c r="R189" s="177">
        <f t="shared" si="54"/>
        <v>0.3198902431078765</v>
      </c>
      <c r="S189" s="919">
        <f t="shared" si="55"/>
        <v>1</v>
      </c>
      <c r="T189" s="176">
        <f t="shared" si="56"/>
        <v>7</v>
      </c>
      <c r="U189" s="251">
        <f t="shared" si="57"/>
        <v>1.3198902431078765</v>
      </c>
      <c r="V189" s="383">
        <f t="shared" si="58"/>
        <v>54.099525993502269</v>
      </c>
      <c r="W189" s="402">
        <f t="shared" si="59"/>
        <v>39.700849474372141</v>
      </c>
      <c r="X189" s="157">
        <f t="shared" si="60"/>
        <v>45466</v>
      </c>
      <c r="Y189" s="385">
        <f t="shared" si="61"/>
        <v>38.001622343254333</v>
      </c>
      <c r="Z189" s="385">
        <f t="shared" si="62"/>
        <v>39.897704481824235</v>
      </c>
      <c r="AA189" s="386">
        <f t="shared" si="63"/>
        <v>42.363190356411422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5.8198777142242607E-2</v>
      </c>
      <c r="AD189" s="231">
        <f>(INDEX(Models!$BJ189:$BT189,,AH189)*(1-AF189)+INDEX(Models!$BJ189:$BT189,,AH189+1)*AF189-ERP_i)*AE189*Ramure*Pc/MaxiM</f>
        <v>8.1171418080994411E-3</v>
      </c>
      <c r="AE189" s="305">
        <f t="shared" si="65"/>
        <v>0.7</v>
      </c>
      <c r="AF189" s="177">
        <f t="shared" si="66"/>
        <v>0.3198902431078765</v>
      </c>
      <c r="AG189" s="919">
        <f t="shared" si="74"/>
        <v>1</v>
      </c>
      <c r="AH189" s="176">
        <f t="shared" si="67"/>
        <v>7</v>
      </c>
      <c r="AI189" s="225">
        <f t="shared" si="68"/>
        <v>1.3198902431078765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1090">
        <f>IF(t&gt;Tmaj,'2023'!Wh/'2023'!Env_an*'2024'!Env_an,0.001*'[8]mon-tableau'!$B$61)</f>
        <v>34.062425242679133</v>
      </c>
      <c r="C190" s="953"/>
      <c r="D190" s="393">
        <f t="shared" si="50"/>
        <v>35.762745350872713</v>
      </c>
      <c r="E190" s="385">
        <f t="shared" si="75"/>
        <v>36.352794421591376</v>
      </c>
      <c r="F190" s="385">
        <f t="shared" si="51"/>
        <v>36.493269047012241</v>
      </c>
      <c r="G190" s="110">
        <f t="shared" si="76"/>
        <v>0.62794922218198079</v>
      </c>
      <c r="H190" s="412" t="b">
        <f>Wh_hp&gt;='2023'!Maxi_hp</f>
        <v>0</v>
      </c>
      <c r="I190" s="390">
        <f>IF(H190,Wh_hp,'2023'!Maxi_hp)</f>
        <v>56.287194704165557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4.7544451397998899E-2</v>
      </c>
      <c r="M190" s="957"/>
      <c r="N190" s="957"/>
      <c r="O190" s="48">
        <f>IF(t&lt;Tnet,'2023'!Resal+('2023'!Salim-'2023'!Resal)*(1-EXP(('2023'!Tnet-t)/('2023'!Tau_j))),Resal+(Salim-Resal)*(1-EXP((Tnet-t)/(Tau_j))))*Salcycl</f>
        <v>1.6231188828999855E-2</v>
      </c>
      <c r="P190" s="169">
        <f>(INDEX(Models!$BJ190:$BT190,,T190)*(1-R190)+INDEX(Models!$BJ190:$BT190,,T190+1)*R190-ERP_i)*Q190*Ramure*Pc/MaxiM</f>
        <v>8.1486716923733406E-3</v>
      </c>
      <c r="Q190" s="305">
        <f t="shared" si="53"/>
        <v>0.7</v>
      </c>
      <c r="R190" s="177">
        <f t="shared" si="54"/>
        <v>0.32460489049885255</v>
      </c>
      <c r="S190" s="919">
        <f t="shared" si="55"/>
        <v>1</v>
      </c>
      <c r="T190" s="176">
        <f t="shared" si="56"/>
        <v>7</v>
      </c>
      <c r="U190" s="251">
        <f t="shared" si="57"/>
        <v>1.3246048904988525</v>
      </c>
      <c r="V190" s="383">
        <f t="shared" si="58"/>
        <v>54.009802278695219</v>
      </c>
      <c r="W190" s="402">
        <f t="shared" si="59"/>
        <v>34.062425242679133</v>
      </c>
      <c r="X190" s="157">
        <f t="shared" si="60"/>
        <v>45467</v>
      </c>
      <c r="Y190" s="385">
        <f t="shared" si="61"/>
        <v>32.605352140210904</v>
      </c>
      <c r="Z190" s="385">
        <f t="shared" si="62"/>
        <v>34.232938416988084</v>
      </c>
      <c r="AA190" s="386">
        <f t="shared" si="63"/>
        <v>36.352794421591376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5.8313426473322875E-2</v>
      </c>
      <c r="AD190" s="231">
        <f>(INDEX(Models!$BJ190:$BT190,,AH190)*(1-AF190)+INDEX(Models!$BJ190:$BT190,,AH190+1)*AF190-ERP_i)*AE190*Ramure*Pc/MaxiM</f>
        <v>8.1486716923733406E-3</v>
      </c>
      <c r="AE190" s="305">
        <f t="shared" si="65"/>
        <v>0.7</v>
      </c>
      <c r="AF190" s="177">
        <f t="shared" si="66"/>
        <v>0.32460489049885255</v>
      </c>
      <c r="AG190" s="919">
        <f t="shared" si="74"/>
        <v>1</v>
      </c>
      <c r="AH190" s="176">
        <f t="shared" si="67"/>
        <v>7</v>
      </c>
      <c r="AI190" s="225">
        <f t="shared" si="68"/>
        <v>1.3246048904988525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1090">
        <f>IF(t&gt;Tmaj,'2023'!Wh/'2023'!Env_an*'2024'!Env_an,0.001*'[8]mon-tableau'!$B$62)</f>
        <v>11.036453690170823</v>
      </c>
      <c r="C191" s="953"/>
      <c r="D191" s="393">
        <f t="shared" si="50"/>
        <v>11.587622580733541</v>
      </c>
      <c r="E191" s="385">
        <f t="shared" si="75"/>
        <v>11.780535184592589</v>
      </c>
      <c r="F191" s="385">
        <f t="shared" si="51"/>
        <v>11.780535184592589</v>
      </c>
      <c r="G191" s="110">
        <f t="shared" si="76"/>
        <v>0.2030074306733671</v>
      </c>
      <c r="H191" s="412" t="b">
        <f>Wh_hp&gt;='2023'!Maxi_hp</f>
        <v>0</v>
      </c>
      <c r="I191" s="390">
        <f>IF(H191,Wh_hp,'2023'!Maxi_hp)</f>
        <v>59.196700093726733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4.7565312618926048E-2</v>
      </c>
      <c r="M191" s="957"/>
      <c r="N191" s="957"/>
      <c r="O191" s="48">
        <f>IF(t&lt;Tnet,'2023'!Resal+('2023'!Salim-'2023'!Resal)*(1-EXP(('2023'!Tnet-t)/('2023'!Tau_j))),Resal+(Salim-Resal)*(1-EXP((Tnet-t)/(Tau_j))))*Salcycl</f>
        <v>1.6375538193829572E-2</v>
      </c>
      <c r="P191" s="169">
        <f>(INDEX(Models!$BJ191:$BT191,,T191)*(1-R191)+INDEX(Models!$BJ191:$BT191,,T191+1)*R191-ERP_i)*Q191*Ramure*Pc/MaxiM</f>
        <v>8.1745265417653683E-3</v>
      </c>
      <c r="Q191" s="305">
        <f t="shared" si="53"/>
        <v>0.7</v>
      </c>
      <c r="R191" s="177">
        <f t="shared" si="54"/>
        <v>0.32926200283968488</v>
      </c>
      <c r="S191" s="919">
        <f t="shared" si="55"/>
        <v>1</v>
      </c>
      <c r="T191" s="176">
        <f t="shared" si="56"/>
        <v>7</v>
      </c>
      <c r="U191" s="251">
        <f t="shared" si="57"/>
        <v>1.3292620028396849</v>
      </c>
      <c r="V191" s="383">
        <f t="shared" si="58"/>
        <v>53.920370649711458</v>
      </c>
      <c r="W191" s="402">
        <f t="shared" si="59"/>
        <v>11.036453690170823</v>
      </c>
      <c r="X191" s="157">
        <f t="shared" si="60"/>
        <v>45468</v>
      </c>
      <c r="Y191" s="385">
        <f t="shared" si="61"/>
        <v>10.564627488329544</v>
      </c>
      <c r="Z191" s="385">
        <f t="shared" si="62"/>
        <v>11.092233019546235</v>
      </c>
      <c r="AA191" s="386">
        <f t="shared" si="63"/>
        <v>11.780535184592589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5.8427070948912779E-2</v>
      </c>
      <c r="AD191" s="231">
        <f>(INDEX(Models!$BJ191:$BT191,,AH191)*(1-AF191)+INDEX(Models!$BJ191:$BT191,,AH191+1)*AF191-ERP_i)*AE191*Ramure*Pc/MaxiM</f>
        <v>8.1745265417653683E-3</v>
      </c>
      <c r="AE191" s="305">
        <f t="shared" si="65"/>
        <v>0.7</v>
      </c>
      <c r="AF191" s="177">
        <f t="shared" si="66"/>
        <v>0.32926200283968488</v>
      </c>
      <c r="AG191" s="919">
        <f t="shared" si="74"/>
        <v>1</v>
      </c>
      <c r="AH191" s="176">
        <f t="shared" si="67"/>
        <v>7</v>
      </c>
      <c r="AI191" s="225">
        <f t="shared" si="68"/>
        <v>1.3292620028396849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1090">
        <f>IF(t&gt;Tmaj,'2023'!Wh/'2023'!Env_an*'2024'!Env_an,0.001*'[8]mon-tableau'!$B$63)</f>
        <v>10.347765284944941</v>
      </c>
      <c r="C192" s="953"/>
      <c r="D192" s="393">
        <f t="shared" si="50"/>
        <v>10.864778519333159</v>
      </c>
      <c r="E192" s="385">
        <f t="shared" si="75"/>
        <v>11.047274640942499</v>
      </c>
      <c r="F192" s="385">
        <f t="shared" si="51"/>
        <v>11.047274640942499</v>
      </c>
      <c r="G192" s="110">
        <f t="shared" si="76"/>
        <v>0.19065389600605134</v>
      </c>
      <c r="H192" s="412" t="b">
        <f>Wh_hp&gt;='2023'!Maxi_hp</f>
        <v>0</v>
      </c>
      <c r="I192" s="390">
        <f>IF(H192,Wh_hp,'2023'!Maxi_hp)</f>
        <v>57.199547222334189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4.7586173382938912E-2</v>
      </c>
      <c r="M192" s="957"/>
      <c r="N192" s="957"/>
      <c r="O192" s="48">
        <f>IF(t&lt;Tnet,'2023'!Resal+('2023'!Salim-'2023'!Resal)*(1-EXP(('2023'!Tnet-t)/('2023'!Tau_j))),Resal+(Salim-Resal)*(1-EXP((Tnet-t)/(Tau_j))))*Salcycl</f>
        <v>1.6519560483541206E-2</v>
      </c>
      <c r="P192" s="169">
        <f>(INDEX(Models!$BJ192:$BT192,,T192)*(1-R192)+INDEX(Models!$BJ192:$BT192,,T192+1)*R192-ERP_i)*Q192*Ramure*Pc/MaxiM</f>
        <v>8.1896712937886435E-3</v>
      </c>
      <c r="Q192" s="305">
        <f t="shared" si="53"/>
        <v>0.7</v>
      </c>
      <c r="R192" s="177">
        <f t="shared" si="54"/>
        <v>0.33385876825740191</v>
      </c>
      <c r="S192" s="919">
        <f t="shared" si="55"/>
        <v>1</v>
      </c>
      <c r="T192" s="176">
        <f t="shared" si="56"/>
        <v>7</v>
      </c>
      <c r="U192" s="251">
        <f t="shared" si="57"/>
        <v>1.3338587682574019</v>
      </c>
      <c r="V192" s="383">
        <f t="shared" si="58"/>
        <v>53.830636056397275</v>
      </c>
      <c r="W192" s="402">
        <f t="shared" si="59"/>
        <v>10.347765284944941</v>
      </c>
      <c r="X192" s="157">
        <f t="shared" si="60"/>
        <v>45469</v>
      </c>
      <c r="Y192" s="385">
        <f t="shared" si="61"/>
        <v>9.9056470143849822</v>
      </c>
      <c r="Z192" s="385">
        <f t="shared" si="62"/>
        <v>10.40057035875831</v>
      </c>
      <c r="AA192" s="386">
        <f t="shared" si="63"/>
        <v>11.047274640942499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5.8539712571952139E-2</v>
      </c>
      <c r="AD192" s="231">
        <f>(INDEX(Models!$BJ192:$BT192,,AH192)*(1-AF192)+INDEX(Models!$BJ192:$BT192,,AH192+1)*AF192-ERP_i)*AE192*Ramure*Pc/MaxiM</f>
        <v>8.1896712937886435E-3</v>
      </c>
      <c r="AE192" s="305">
        <f t="shared" si="65"/>
        <v>0.7</v>
      </c>
      <c r="AF192" s="177">
        <f t="shared" si="66"/>
        <v>0.33385876825740191</v>
      </c>
      <c r="AG192" s="919">
        <f t="shared" si="74"/>
        <v>1</v>
      </c>
      <c r="AH192" s="176">
        <f t="shared" si="67"/>
        <v>7</v>
      </c>
      <c r="AI192" s="225">
        <f t="shared" si="68"/>
        <v>1.3338587682574019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1090">
        <f>IF(t&gt;Tmaj,'2023'!Wh/'2023'!Env_an*'2024'!Env_an,0.001*'[8]mon-tableau'!$B$64)</f>
        <v>53.285564656140465</v>
      </c>
      <c r="C193" s="953"/>
      <c r="D193" s="393">
        <f t="shared" si="50"/>
        <v>55.949137111538569</v>
      </c>
      <c r="E193" s="385">
        <f t="shared" si="75"/>
        <v>56.897229962417519</v>
      </c>
      <c r="F193" s="385">
        <f t="shared" si="51"/>
        <v>57.361693891146544</v>
      </c>
      <c r="G193" s="110">
        <f t="shared" si="76"/>
        <v>0.99143585396824097</v>
      </c>
      <c r="H193" s="412" t="b">
        <f>Wh_hp&gt;='2023'!Maxi_hp</f>
        <v>0</v>
      </c>
      <c r="I193" s="390">
        <f>IF(H193,Wh_hp,'2023'!Maxi_hp)</f>
        <v>57.363171830027696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4.7607033690047484E-2</v>
      </c>
      <c r="M193" s="957"/>
      <c r="N193" s="957"/>
      <c r="O193" s="48">
        <f>IF(t&lt;Tnet,'2023'!Resal+('2023'!Salim-'2023'!Resal)*(1-EXP(('2023'!Tnet-t)/('2023'!Tau_j))),Resal+(Salim-Resal)*(1-EXP((Tnet-t)/(Tau_j))))*Salcycl</f>
        <v>1.6663251471208586E-2</v>
      </c>
      <c r="P193" s="169">
        <f>(INDEX(Models!$BJ193:$BT193,,T193)*(1-R193)+INDEX(Models!$BJ193:$BT193,,T193+1)*R193-ERP_i)*Q193*Ramure*Pc/MaxiM</f>
        <v>8.1962262814823956E-3</v>
      </c>
      <c r="Q193" s="305">
        <f t="shared" si="53"/>
        <v>0.7</v>
      </c>
      <c r="R193" s="177">
        <f t="shared" si="54"/>
        <v>0.33839254778823147</v>
      </c>
      <c r="S193" s="919">
        <f t="shared" si="55"/>
        <v>1</v>
      </c>
      <c r="T193" s="176">
        <f t="shared" si="56"/>
        <v>7</v>
      </c>
      <c r="U193" s="251">
        <f t="shared" si="57"/>
        <v>1.3383925477882315</v>
      </c>
      <c r="V193" s="383">
        <f t="shared" si="58"/>
        <v>53.740481390398102</v>
      </c>
      <c r="W193" s="402">
        <f t="shared" si="59"/>
        <v>53.285564656140465</v>
      </c>
      <c r="X193" s="157">
        <f t="shared" si="60"/>
        <v>45470</v>
      </c>
      <c r="Y193" s="385">
        <f t="shared" si="61"/>
        <v>51.010291348754372</v>
      </c>
      <c r="Z193" s="385">
        <f t="shared" si="62"/>
        <v>53.560130275209609</v>
      </c>
      <c r="AA193" s="386">
        <f t="shared" si="63"/>
        <v>56.897229962417519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5.865135595198883E-2</v>
      </c>
      <c r="AD193" s="231">
        <f>(INDEX(Models!$BJ193:$BT193,,AH193)*(1-AF193)+INDEX(Models!$BJ193:$BT193,,AH193+1)*AF193-ERP_i)*AE193*Ramure*Pc/MaxiM</f>
        <v>8.1962262814823956E-3</v>
      </c>
      <c r="AE193" s="305">
        <f t="shared" si="65"/>
        <v>0.7</v>
      </c>
      <c r="AF193" s="177">
        <f t="shared" si="66"/>
        <v>0.33839254778823147</v>
      </c>
      <c r="AG193" s="919">
        <f t="shared" si="74"/>
        <v>1</v>
      </c>
      <c r="AH193" s="176">
        <f t="shared" si="67"/>
        <v>7</v>
      </c>
      <c r="AI193" s="225">
        <f t="shared" si="68"/>
        <v>1.3383925477882315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1090">
        <f>IF(t&gt;Tmaj,'2023'!Wh/'2023'!Env_an*'2024'!Env_an,0.001*'[8]mon-tableau'!$B$65)</f>
        <v>54.117926579708964</v>
      </c>
      <c r="C194" s="953"/>
      <c r="D194" s="393">
        <f t="shared" si="50"/>
        <v>56.824350705610271</v>
      </c>
      <c r="E194" s="385">
        <f t="shared" si="75"/>
        <v>57.795700370458697</v>
      </c>
      <c r="F194" s="385">
        <f t="shared" si="51"/>
        <v>58.273197772555612</v>
      </c>
      <c r="G194" s="110">
        <f t="shared" si="76"/>
        <v>1.0087235496234723</v>
      </c>
      <c r="H194" s="412" t="b">
        <f>Wh_hp&gt;='2023'!Maxi_hp</f>
        <v>1</v>
      </c>
      <c r="I194" s="390">
        <f>IF(H194,Wh_hp,'2023'!Maxi_hp)</f>
        <v>58.273197772555612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4.7627893540261756E-2</v>
      </c>
      <c r="M194" s="957"/>
      <c r="N194" s="957"/>
      <c r="O194" s="48">
        <f>IF(t&lt;Tnet,'2023'!Resal+('2023'!Salim-'2023'!Resal)*(1-EXP(('2023'!Tnet-t)/('2023'!Tau_j))),Resal+(Salim-Resal)*(1-EXP((Tnet-t)/(Tau_j))))*Salcycl</f>
        <v>1.6806607734178775E-2</v>
      </c>
      <c r="P194" s="169">
        <f>(INDEX(Models!$BJ194:$BT194,,T194)*(1-R194)+INDEX(Models!$BJ194:$BT194,,T194+1)*R194-ERP_i)*Q194*Ramure*Pc/MaxiM</f>
        <v>8.1941170271900843E-3</v>
      </c>
      <c r="Q194" s="305">
        <f t="shared" si="53"/>
        <v>0.7</v>
      </c>
      <c r="R194" s="177">
        <f t="shared" si="54"/>
        <v>0.34286087912000385</v>
      </c>
      <c r="S194" s="919">
        <f t="shared" si="55"/>
        <v>1</v>
      </c>
      <c r="T194" s="176">
        <f t="shared" si="56"/>
        <v>7</v>
      </c>
      <c r="U194" s="251">
        <f t="shared" si="57"/>
        <v>1.3428608791200038</v>
      </c>
      <c r="V194" s="383">
        <f t="shared" si="58"/>
        <v>53.649908936803982</v>
      </c>
      <c r="W194" s="402">
        <f t="shared" si="59"/>
        <v>54.117926579708964</v>
      </c>
      <c r="X194" s="157">
        <f t="shared" si="60"/>
        <v>45471</v>
      </c>
      <c r="Y194" s="385">
        <f t="shared" si="61"/>
        <v>51.80857492912768</v>
      </c>
      <c r="Z194" s="385">
        <f t="shared" si="62"/>
        <v>54.399508950042836</v>
      </c>
      <c r="AA194" s="386">
        <f t="shared" si="63"/>
        <v>57.795700370458697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5.8762008222877631E-2</v>
      </c>
      <c r="AD194" s="231">
        <f>(INDEX(Models!$BJ194:$BT194,,AH194)*(1-AF194)+INDEX(Models!$BJ194:$BT194,,AH194+1)*AF194-ERP_i)*AE194*Ramure*Pc/MaxiM</f>
        <v>8.1941170271900843E-3</v>
      </c>
      <c r="AE194" s="305">
        <f t="shared" si="65"/>
        <v>0.7</v>
      </c>
      <c r="AF194" s="177">
        <f t="shared" si="66"/>
        <v>0.34286087912000385</v>
      </c>
      <c r="AG194" s="919">
        <f t="shared" si="74"/>
        <v>1</v>
      </c>
      <c r="AH194" s="176">
        <f t="shared" si="67"/>
        <v>7</v>
      </c>
      <c r="AI194" s="225">
        <f t="shared" si="68"/>
        <v>1.3428608791200038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1090">
        <f>IF(t&gt;Tmaj,'2023'!Wh/'2023'!Env_an*'2024'!Env_an,0.001*'[8]mon-tableau'!$B$66)</f>
        <v>12.323798308984413</v>
      </c>
      <c r="C195" s="953"/>
      <c r="D195" s="393">
        <f t="shared" si="50"/>
        <v>12.94039184276415</v>
      </c>
      <c r="E195" s="385">
        <f t="shared" si="75"/>
        <v>13.163508395465037</v>
      </c>
      <c r="F195" s="385">
        <f t="shared" si="51"/>
        <v>13.163508395465037</v>
      </c>
      <c r="G195" s="110">
        <f t="shared" si="76"/>
        <v>0.22821500424138266</v>
      </c>
      <c r="H195" s="412" t="b">
        <f>Wh_hp&gt;='2023'!Maxi_hp</f>
        <v>0</v>
      </c>
      <c r="I195" s="390">
        <f>IF(H195,Wh_hp,'2023'!Maxi_hp)</f>
        <v>51.899795502885659</v>
      </c>
      <c r="J195" s="85">
        <f>IF(H195,An,'2023'!An_max)</f>
        <v>2021</v>
      </c>
      <c r="K195" s="197">
        <f t="shared" si="52"/>
        <v>45472</v>
      </c>
      <c r="L195" s="147">
        <f>IF(t&lt;Tvie,1-EXP((T0-t)*PertePVj)+'2023'!Pspv,1-EXP((T0-t)*PertePVj)+Pspv)</f>
        <v>4.7648752933591831E-2</v>
      </c>
      <c r="M195" s="957"/>
      <c r="N195" s="957"/>
      <c r="O195" s="48">
        <f>IF(t&lt;Tnet,'2023'!Resal+('2023'!Salim-'2023'!Resal)*(1-EXP(('2023'!Tnet-t)/('2023'!Tau_j))),Resal+(Salim-Resal)*(1-EXP((Tnet-t)/(Tau_j))))*Salcycl</f>
        <v>1.6949626649514864E-2</v>
      </c>
      <c r="P195" s="169">
        <f>(INDEX(Models!$BJ195:$BT195,,T195)*(1-R195)+INDEX(Models!$BJ195:$BT195,,T195+1)*R195-ERP_i)*Q195*Ramure*Pc/MaxiM</f>
        <v>8.1832772649801221E-3</v>
      </c>
      <c r="Q195" s="305">
        <f t="shared" si="53"/>
        <v>0.7</v>
      </c>
      <c r="R195" s="177">
        <f t="shared" si="54"/>
        <v>0.34726147936555929</v>
      </c>
      <c r="S195" s="919">
        <f t="shared" si="55"/>
        <v>1</v>
      </c>
      <c r="T195" s="176">
        <f t="shared" si="56"/>
        <v>7</v>
      </c>
      <c r="U195" s="251">
        <f t="shared" si="57"/>
        <v>1.3472614793655593</v>
      </c>
      <c r="V195" s="383">
        <f t="shared" si="58"/>
        <v>53.558920418466904</v>
      </c>
      <c r="W195" s="402">
        <f t="shared" si="59"/>
        <v>12.323798308984413</v>
      </c>
      <c r="X195" s="157">
        <f t="shared" si="60"/>
        <v>45472</v>
      </c>
      <c r="Y195" s="385">
        <f t="shared" si="61"/>
        <v>11.798251570774335</v>
      </c>
      <c r="Z195" s="385">
        <f t="shared" si="62"/>
        <v>12.388550555393596</v>
      </c>
      <c r="AA195" s="386">
        <f t="shared" si="63"/>
        <v>13.163508395465037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5.8871678946808927E-2</v>
      </c>
      <c r="AD195" s="231">
        <f>(INDEX(Models!$BJ195:$BT195,,AH195)*(1-AF195)+INDEX(Models!$BJ195:$BT195,,AH195+1)*AF195-ERP_i)*AE195*Ramure*Pc/MaxiM</f>
        <v>8.1832772649801221E-3</v>
      </c>
      <c r="AE195" s="305">
        <f t="shared" si="65"/>
        <v>0.7</v>
      </c>
      <c r="AF195" s="177">
        <f t="shared" si="66"/>
        <v>0.34726147936555929</v>
      </c>
      <c r="AG195" s="919">
        <f t="shared" si="74"/>
        <v>1</v>
      </c>
      <c r="AH195" s="176">
        <f t="shared" si="67"/>
        <v>7</v>
      </c>
      <c r="AI195" s="225">
        <f t="shared" si="68"/>
        <v>1.3472614793655593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1090">
        <f>IF(t&gt;Tmaj,'2023'!Wh/'2023'!Env_an*'2024'!Env_an,0.001*[9]mois!$B$38)</f>
        <v>46.122840113487484</v>
      </c>
      <c r="C196" s="953"/>
      <c r="D196" s="393">
        <f t="shared" si="50"/>
        <v>48.431553469649117</v>
      </c>
      <c r="E196" s="385">
        <f t="shared" si="75"/>
        <v>49.273755597019253</v>
      </c>
      <c r="F196" s="385">
        <f t="shared" si="51"/>
        <v>49.5992069880919</v>
      </c>
      <c r="G196" s="110">
        <f t="shared" si="76"/>
        <v>0.86124182979954322</v>
      </c>
      <c r="H196" s="412" t="b">
        <f>Wh_hp&gt;='2023'!Maxi_hp</f>
        <v>0</v>
      </c>
      <c r="I196" s="390">
        <f>IF(H196,Wh_hp,'2023'!Maxi_hp)</f>
        <v>55.368807466601659</v>
      </c>
      <c r="J196" s="85">
        <f>IF(H196,An,'2023'!An_max)</f>
        <v>2021</v>
      </c>
      <c r="K196" s="197">
        <f t="shared" si="52"/>
        <v>45473</v>
      </c>
      <c r="L196" s="147">
        <f>IF(t&lt;Tvie,1-EXP((T0-t)*PertePVj)+'2023'!Pspv,1-EXP((T0-t)*PertePVj)+Pspv)</f>
        <v>4.766961187004759E-2</v>
      </c>
      <c r="M196" s="957"/>
      <c r="N196" s="957"/>
      <c r="O196" s="48">
        <f>IF(t&lt;Tnet,'2023'!Resal+('2023'!Salim-'2023'!Resal)*(1-EXP(('2023'!Tnet-t)/('2023'!Tau_j))),Resal+(Salim-Resal)*(1-EXP((Tnet-t)/(Tau_j))))*Salcycl</f>
        <v>1.7092306384315605E-2</v>
      </c>
      <c r="P196" s="169">
        <f>(INDEX(Models!$BJ196:$BT196,,T196)*(1-R196)+INDEX(Models!$BJ196:$BT196,,T196+1)*R196-ERP_i)*Q196*Ramure*Pc/MaxiM</f>
        <v>8.1636486103190235E-3</v>
      </c>
      <c r="Q196" s="305">
        <f t="shared" si="53"/>
        <v>0.7</v>
      </c>
      <c r="R196" s="177">
        <f t="shared" si="54"/>
        <v>0.35159224688650226</v>
      </c>
      <c r="S196" s="919">
        <f t="shared" si="55"/>
        <v>1</v>
      </c>
      <c r="T196" s="176">
        <f t="shared" si="56"/>
        <v>7</v>
      </c>
      <c r="U196" s="251">
        <f t="shared" si="57"/>
        <v>1.3515922468865023</v>
      </c>
      <c r="V196" s="383">
        <f t="shared" si="58"/>
        <v>53.467517015789888</v>
      </c>
      <c r="W196" s="402">
        <f t="shared" si="59"/>
        <v>46.122840113487484</v>
      </c>
      <c r="X196" s="157">
        <f t="shared" si="60"/>
        <v>45473</v>
      </c>
      <c r="Y196" s="385">
        <f t="shared" si="61"/>
        <v>44.157246665763594</v>
      </c>
      <c r="Z196" s="385">
        <f t="shared" si="62"/>
        <v>46.367570767612655</v>
      </c>
      <c r="AA196" s="386">
        <f t="shared" si="63"/>
        <v>49.273755597019253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5.8980380005424257E-2</v>
      </c>
      <c r="AD196" s="231">
        <f>(INDEX(Models!$BJ196:$BT196,,AH196)*(1-AF196)+INDEX(Models!$BJ196:$BT196,,AH196+1)*AF196-ERP_i)*AE196*Ramure*Pc/MaxiM</f>
        <v>8.1636486103190235E-3</v>
      </c>
      <c r="AE196" s="305">
        <f t="shared" si="65"/>
        <v>0.7</v>
      </c>
      <c r="AF196" s="177">
        <f t="shared" si="66"/>
        <v>0.35159224688650226</v>
      </c>
      <c r="AG196" s="919">
        <f t="shared" si="74"/>
        <v>1</v>
      </c>
      <c r="AH196" s="176">
        <f t="shared" si="67"/>
        <v>7</v>
      </c>
      <c r="AI196" s="225">
        <f t="shared" si="68"/>
        <v>1.3515922468865023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1090">
        <f>IF(t&gt;Tmaj,'2023'!Wh/'2023'!Env_an*'2024'!Env_an,0.001*[9]mois!$B$39)</f>
        <v>53.082430411908675</v>
      </c>
      <c r="C197" s="953"/>
      <c r="D197" s="393">
        <f t="shared" si="50"/>
        <v>55.740732145563868</v>
      </c>
      <c r="E197" s="385">
        <f t="shared" si="75"/>
        <v>56.718251118582991</v>
      </c>
      <c r="F197" s="385">
        <f t="shared" si="51"/>
        <v>57.17976764382766</v>
      </c>
      <c r="G197" s="110">
        <f t="shared" si="76"/>
        <v>0.99444155078004282</v>
      </c>
      <c r="H197" s="412" t="b">
        <f>Wh_hp&gt;='2023'!Maxi_hp</f>
        <v>0</v>
      </c>
      <c r="I197" s="390">
        <f>IF(H197,Wh_hp,'2023'!Maxi_hp)</f>
        <v>57.180715851959583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4.7690470349639136E-2</v>
      </c>
      <c r="M197" s="957"/>
      <c r="N197" s="957"/>
      <c r="O197" s="48">
        <f>IF(t&lt;Tnet,'2023'!Resal+('2023'!Salim-'2023'!Resal)*(1-EXP(('2023'!Tnet-t)/('2023'!Tau_j))),Resal+(Salim-Resal)*(1-EXP((Tnet-t)/(Tau_j))))*Salcycl</f>
        <v>1.7234645881012492E-2</v>
      </c>
      <c r="P197" s="169">
        <f>(INDEX(Models!$BJ197:$BT197,,T197)*(1-R197)+INDEX(Models!$BJ197:$BT197,,T197+1)*R197-ERP_i)*Q197*Ramure*Pc/MaxiM</f>
        <v>8.1351801761729379E-3</v>
      </c>
      <c r="Q197" s="305">
        <f t="shared" si="53"/>
        <v>0.7</v>
      </c>
      <c r="R197" s="177">
        <f t="shared" si="54"/>
        <v>0.35585126219416274</v>
      </c>
      <c r="S197" s="919">
        <f t="shared" si="55"/>
        <v>1</v>
      </c>
      <c r="T197" s="176">
        <f t="shared" si="56"/>
        <v>7</v>
      </c>
      <c r="U197" s="251">
        <f t="shared" si="57"/>
        <v>1.3558512621941627</v>
      </c>
      <c r="V197" s="383">
        <f t="shared" si="58"/>
        <v>53.375699392315219</v>
      </c>
      <c r="W197" s="402">
        <f t="shared" si="59"/>
        <v>53.082430411908675</v>
      </c>
      <c r="X197" s="157">
        <f t="shared" si="60"/>
        <v>45474</v>
      </c>
      <c r="Y197" s="385">
        <f t="shared" si="61"/>
        <v>50.821784562990302</v>
      </c>
      <c r="Z197" s="385">
        <f t="shared" si="62"/>
        <v>53.366875979545696</v>
      </c>
      <c r="AA197" s="386">
        <f t="shared" si="63"/>
        <v>56.718251118582991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5.908812547887704E-2</v>
      </c>
      <c r="AD197" s="231">
        <f>(INDEX(Models!$BJ197:$BT197,,AH197)*(1-AF197)+INDEX(Models!$BJ197:$BT197,,AH197+1)*AF197-ERP_i)*AE197*Ramure*Pc/MaxiM</f>
        <v>8.1351801761729379E-3</v>
      </c>
      <c r="AE197" s="305">
        <f t="shared" si="65"/>
        <v>0.7</v>
      </c>
      <c r="AF197" s="177">
        <f t="shared" si="66"/>
        <v>0.35585126219416274</v>
      </c>
      <c r="AG197" s="919">
        <f t="shared" si="74"/>
        <v>1</v>
      </c>
      <c r="AH197" s="176">
        <f t="shared" si="67"/>
        <v>7</v>
      </c>
      <c r="AI197" s="225">
        <f t="shared" si="68"/>
        <v>1.3558512621941627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1090">
        <f>IF(t&gt;Tmaj,'2023'!Wh/'2023'!Env_an*'2024'!Env_an,0.001*[9]mois!$B$40)</f>
        <v>45.909904573011659</v>
      </c>
      <c r="C198" s="953"/>
      <c r="D198" s="393">
        <f t="shared" si="50"/>
        <v>48.210071106425964</v>
      </c>
      <c r="E198" s="385">
        <f t="shared" si="75"/>
        <v>49.062614737533295</v>
      </c>
      <c r="F198" s="385">
        <f t="shared" si="51"/>
        <v>49.383362826838713</v>
      </c>
      <c r="G198" s="110">
        <f t="shared" si="76"/>
        <v>0.86022630888314799</v>
      </c>
      <c r="H198" s="412" t="b">
        <f>Wh_hp&gt;='2023'!Maxi_hp</f>
        <v>0</v>
      </c>
      <c r="I198" s="390">
        <f>IF(H198,Wh_hp,'2023'!Maxi_hp)</f>
        <v>49.441031489628365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4.771132837237646E-2</v>
      </c>
      <c r="M198" s="957"/>
      <c r="N198" s="957"/>
      <c r="O198" s="48">
        <f>IF(t&lt;Tnet,'2023'!Resal+('2023'!Salim-'2023'!Resal)*(1-EXP(('2023'!Tnet-t)/('2023'!Tau_j))),Resal+(Salim-Resal)*(1-EXP((Tnet-t)/(Tau_j))))*Salcycl</f>
        <v>1.7376644837787746E-2</v>
      </c>
      <c r="P198" s="169">
        <f>(INDEX(Models!$BJ198:$BT198,,T198)*(1-R198)+INDEX(Models!$BJ198:$BT198,,T198+1)*R198-ERP_i)*Q198*Ramure*Pc/MaxiM</f>
        <v>8.0954933067608516E-3</v>
      </c>
      <c r="Q198" s="305">
        <f t="shared" si="53"/>
        <v>0.7</v>
      </c>
      <c r="R198" s="177">
        <f t="shared" si="54"/>
        <v>0.36003678796145921</v>
      </c>
      <c r="S198" s="919">
        <f t="shared" si="55"/>
        <v>1</v>
      </c>
      <c r="T198" s="176">
        <f t="shared" si="56"/>
        <v>7</v>
      </c>
      <c r="U198" s="251">
        <f t="shared" si="57"/>
        <v>1.3600367879614592</v>
      </c>
      <c r="V198" s="383">
        <f t="shared" si="58"/>
        <v>53.28359314595555</v>
      </c>
      <c r="W198" s="402">
        <f t="shared" si="59"/>
        <v>45.909904573011659</v>
      </c>
      <c r="X198" s="157">
        <f t="shared" si="60"/>
        <v>45475</v>
      </c>
      <c r="Y198" s="385">
        <f t="shared" si="61"/>
        <v>43.956080108514591</v>
      </c>
      <c r="Z198" s="385">
        <f t="shared" si="62"/>
        <v>46.158356618257535</v>
      </c>
      <c r="AA198" s="386">
        <f t="shared" si="63"/>
        <v>49.062614737533295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5.9194931513790253E-2</v>
      </c>
      <c r="AD198" s="231">
        <f>(INDEX(Models!$BJ198:$BT198,,AH198)*(1-AF198)+INDEX(Models!$BJ198:$BT198,,AH198+1)*AF198-ERP_i)*AE198*Ramure*Pc/MaxiM</f>
        <v>8.0954933067608516E-3</v>
      </c>
      <c r="AE198" s="305">
        <f t="shared" si="65"/>
        <v>0.7</v>
      </c>
      <c r="AF198" s="177">
        <f t="shared" si="66"/>
        <v>0.36003678796145921</v>
      </c>
      <c r="AG198" s="919">
        <f t="shared" si="74"/>
        <v>1</v>
      </c>
      <c r="AH198" s="176">
        <f t="shared" si="67"/>
        <v>7</v>
      </c>
      <c r="AI198" s="225">
        <f t="shared" si="68"/>
        <v>1.3600367879614592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1090">
        <f>IF(t&gt;Tmaj,'2023'!Wh/'2023'!Env_an*'2024'!Env_an,0.001*[9]mois!$B$41)</f>
        <v>43.782449523678615</v>
      </c>
      <c r="C199" s="953"/>
      <c r="D199" s="393">
        <f t="shared" si="50"/>
        <v>45.977033852412063</v>
      </c>
      <c r="E199" s="385">
        <f t="shared" si="75"/>
        <v>46.796835019752109</v>
      </c>
      <c r="F199" s="385">
        <f t="shared" si="51"/>
        <v>47.079948569991899</v>
      </c>
      <c r="G199" s="110">
        <f t="shared" si="76"/>
        <v>0.82143263846210379</v>
      </c>
      <c r="H199" s="412" t="b">
        <f>Wh_hp&gt;='2023'!Maxi_hp</f>
        <v>0</v>
      </c>
      <c r="I199" s="390">
        <f>IF(H199,Wh_hp,'2023'!Maxi_hp)</f>
        <v>55.745011407918014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4.7732185938269556E-2</v>
      </c>
      <c r="M199" s="957"/>
      <c r="N199" s="957"/>
      <c r="O199" s="48">
        <f>IF(t&lt;Tnet,'2023'!Resal+('2023'!Salim-'2023'!Resal)*(1-EXP(('2023'!Tnet-t)/('2023'!Tau_j))),Resal+(Salim-Resal)*(1-EXP((Tnet-t)/(Tau_j))))*Salcycl</f>
        <v>1.751830368429871E-2</v>
      </c>
      <c r="P199" s="169">
        <f>(INDEX(Models!$BJ199:$BT199,,T199)*(1-R199)+INDEX(Models!$BJ199:$BT199,,T199+1)*R199-ERP_i)*Q199*Ramure*Pc/MaxiM</f>
        <v>8.0468209077798787E-3</v>
      </c>
      <c r="Q199" s="305">
        <f t="shared" si="53"/>
        <v>0.7</v>
      </c>
      <c r="R199" s="177">
        <f t="shared" si="54"/>
        <v>0.36414726818541654</v>
      </c>
      <c r="S199" s="919">
        <f t="shared" si="55"/>
        <v>1</v>
      </c>
      <c r="T199" s="176">
        <f t="shared" si="56"/>
        <v>7</v>
      </c>
      <c r="U199" s="251">
        <f t="shared" si="57"/>
        <v>1.3641472681854165</v>
      </c>
      <c r="V199" s="383">
        <f t="shared" si="58"/>
        <v>53.191075589460823</v>
      </c>
      <c r="W199" s="402">
        <f t="shared" si="59"/>
        <v>43.782449523678615</v>
      </c>
      <c r="X199" s="157">
        <f t="shared" si="60"/>
        <v>45476</v>
      </c>
      <c r="Y199" s="385">
        <f t="shared" si="61"/>
        <v>41.920490414184968</v>
      </c>
      <c r="Z199" s="385">
        <f t="shared" si="62"/>
        <v>44.021744508386256</v>
      </c>
      <c r="AA199" s="386">
        <f t="shared" si="63"/>
        <v>46.796835019752109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5.9300816181148464E-2</v>
      </c>
      <c r="AD199" s="231">
        <f>(INDEX(Models!$BJ199:$BT199,,AH199)*(1-AF199)+INDEX(Models!$BJ199:$BT199,,AH199+1)*AF199-ERP_i)*AE199*Ramure*Pc/MaxiM</f>
        <v>8.0468209077798787E-3</v>
      </c>
      <c r="AE199" s="305">
        <f t="shared" si="65"/>
        <v>0.7</v>
      </c>
      <c r="AF199" s="177">
        <f t="shared" si="66"/>
        <v>0.36414726818541654</v>
      </c>
      <c r="AG199" s="919">
        <f t="shared" si="74"/>
        <v>1</v>
      </c>
      <c r="AH199" s="176">
        <f t="shared" si="67"/>
        <v>7</v>
      </c>
      <c r="AI199" s="225">
        <f t="shared" si="68"/>
        <v>1.3641472681854165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1090">
        <f>IF(t&gt;Tmaj,'2023'!Wh/'2023'!Env_an*'2024'!Env_an,0.001*[9]mois!$B$42)</f>
        <v>53.313333771165425</v>
      </c>
      <c r="C200" s="953"/>
      <c r="D200" s="393">
        <f t="shared" si="50"/>
        <v>55.98687754464013</v>
      </c>
      <c r="E200" s="385">
        <f t="shared" si="75"/>
        <v>56.993358806174456</v>
      </c>
      <c r="F200" s="385">
        <f t="shared" si="51"/>
        <v>57.45235340979238</v>
      </c>
      <c r="G200" s="110">
        <f t="shared" si="76"/>
        <v>1.0040526453175844</v>
      </c>
      <c r="H200" s="412" t="b">
        <f>Wh_hp&gt;='2023'!Maxi_hp</f>
        <v>0</v>
      </c>
      <c r="I200" s="390">
        <f>IF(H200,Wh_hp,'2023'!Maxi_hp)</f>
        <v>58.767865102105034</v>
      </c>
      <c r="J200" s="85">
        <f>IF(H200,An,'2023'!An_max)</f>
        <v>2021</v>
      </c>
      <c r="K200" s="197">
        <f t="shared" si="52"/>
        <v>45477</v>
      </c>
      <c r="L200" s="147">
        <f>IF(t&lt;Tvie,1-EXP((T0-t)*PertePVj)+'2023'!Pspv,1-EXP((T0-t)*PertePVj)+Pspv)</f>
        <v>4.7753043047328414E-2</v>
      </c>
      <c r="M200" s="957"/>
      <c r="N200" s="957"/>
      <c r="O200" s="48">
        <f>IF(t&lt;Tnet,'2023'!Resal+('2023'!Salim-'2023'!Resal)*(1-EXP(('2023'!Tnet-t)/('2023'!Tau_j))),Resal+(Salim-Resal)*(1-EXP((Tnet-t)/(Tau_j))))*Salcycl</f>
        <v>1.7659623552933861E-2</v>
      </c>
      <c r="P200" s="169">
        <f>(INDEX(Models!$BJ200:$BT200,,T200)*(1-R200)+INDEX(Models!$BJ200:$BT200,,T200+1)*R200-ERP_i)*Q200*Ramure*Pc/MaxiM</f>
        <v>7.9891349331512249E-3</v>
      </c>
      <c r="Q200" s="305">
        <f t="shared" si="53"/>
        <v>0.7</v>
      </c>
      <c r="R200" s="177">
        <f t="shared" si="54"/>
        <v>0.36818132654539015</v>
      </c>
      <c r="S200" s="919">
        <f t="shared" si="55"/>
        <v>1</v>
      </c>
      <c r="T200" s="176">
        <f t="shared" si="56"/>
        <v>7</v>
      </c>
      <c r="U200" s="251">
        <f t="shared" si="57"/>
        <v>1.3681813265453902</v>
      </c>
      <c r="V200" s="383">
        <f t="shared" si="58"/>
        <v>53.098145819139077</v>
      </c>
      <c r="W200" s="402">
        <f t="shared" si="59"/>
        <v>53.313333771165425</v>
      </c>
      <c r="X200" s="157">
        <f t="shared" si="60"/>
        <v>45477</v>
      </c>
      <c r="Y200" s="385">
        <f t="shared" si="61"/>
        <v>51.047695652259833</v>
      </c>
      <c r="Z200" s="385">
        <f t="shared" si="62"/>
        <v>53.607622770063621</v>
      </c>
      <c r="AA200" s="386">
        <f t="shared" si="63"/>
        <v>56.993358806174456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5.940579932523718E-2</v>
      </c>
      <c r="AD200" s="231">
        <f>(INDEX(Models!$BJ200:$BT200,,AH200)*(1-AF200)+INDEX(Models!$BJ200:$BT200,,AH200+1)*AF200-ERP_i)*AE200*Ramure*Pc/MaxiM</f>
        <v>7.9891349331512249E-3</v>
      </c>
      <c r="AE200" s="305">
        <f t="shared" si="65"/>
        <v>0.7</v>
      </c>
      <c r="AF200" s="177">
        <f t="shared" si="66"/>
        <v>0.36818132654539015</v>
      </c>
      <c r="AG200" s="919">
        <f t="shared" si="74"/>
        <v>1</v>
      </c>
      <c r="AH200" s="176">
        <f t="shared" si="67"/>
        <v>7</v>
      </c>
      <c r="AI200" s="225">
        <f t="shared" si="68"/>
        <v>1.3681813265453902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1090">
        <f>IF(t&gt;Tmaj,'2023'!Wh/'2023'!Env_an*'2024'!Env_an,0.001*[9]mois!$B$43)</f>
        <v>43.675363131167302</v>
      </c>
      <c r="C201" s="953"/>
      <c r="D201" s="393">
        <f t="shared" si="50"/>
        <v>45.866588951287184</v>
      </c>
      <c r="E201" s="385">
        <f t="shared" si="75"/>
        <v>46.697838792159224</v>
      </c>
      <c r="F201" s="385">
        <f t="shared" si="51"/>
        <v>46.976426144592601</v>
      </c>
      <c r="G201" s="110">
        <f t="shared" si="76"/>
        <v>0.82233757296999066</v>
      </c>
      <c r="H201" s="412" t="b">
        <f>Wh_hp&gt;='2023'!Maxi_hp</f>
        <v>0</v>
      </c>
      <c r="I201" s="390">
        <f>IF(H201,Wh_hp,'2023'!Maxi_hp)</f>
        <v>56.315415913154332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4.7773899699563138E-2</v>
      </c>
      <c r="M201" s="957"/>
      <c r="N201" s="957"/>
      <c r="O201" s="48">
        <f>IF(t&lt;Tnet,'2023'!Resal+('2023'!Salim-'2023'!Resal)*(1-EXP(('2023'!Tnet-t)/('2023'!Tau_j))),Resal+(Salim-Resal)*(1-EXP((Tnet-t)/(Tau_j))))*Salcycl</f>
        <v>1.7800606245863528E-2</v>
      </c>
      <c r="P201" s="169">
        <f>(INDEX(Models!$BJ201:$BT201,,T201)*(1-R201)+INDEX(Models!$BJ201:$BT201,,T201+1)*R201-ERP_i)*Q201*Ramure*Pc/MaxiM</f>
        <v>7.9224127721985241E-3</v>
      </c>
      <c r="Q201" s="305">
        <f t="shared" si="53"/>
        <v>0.7</v>
      </c>
      <c r="R201" s="177">
        <f t="shared" si="54"/>
        <v>0.37213776400651644</v>
      </c>
      <c r="S201" s="919">
        <f t="shared" si="55"/>
        <v>1</v>
      </c>
      <c r="T201" s="176">
        <f t="shared" si="56"/>
        <v>7</v>
      </c>
      <c r="U201" s="251">
        <f t="shared" si="57"/>
        <v>1.3721377640065164</v>
      </c>
      <c r="V201" s="383">
        <f t="shared" si="58"/>
        <v>53.004802544667285</v>
      </c>
      <c r="W201" s="402">
        <f t="shared" si="59"/>
        <v>43.675363131167302</v>
      </c>
      <c r="X201" s="157">
        <f t="shared" si="60"/>
        <v>45478</v>
      </c>
      <c r="Y201" s="385">
        <f t="shared" si="61"/>
        <v>41.820679991194496</v>
      </c>
      <c r="Z201" s="385">
        <f t="shared" si="62"/>
        <v>43.918854963122364</v>
      </c>
      <c r="AA201" s="386">
        <f t="shared" si="63"/>
        <v>46.697838792159224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5.9509902404808156E-2</v>
      </c>
      <c r="AD201" s="231">
        <f>(INDEX(Models!$BJ201:$BT201,,AH201)*(1-AF201)+INDEX(Models!$BJ201:$BT201,,AH201+1)*AF201-ERP_i)*AE201*Ramure*Pc/MaxiM</f>
        <v>7.9224127721985241E-3</v>
      </c>
      <c r="AE201" s="305">
        <f t="shared" si="65"/>
        <v>0.7</v>
      </c>
      <c r="AF201" s="177">
        <f t="shared" si="66"/>
        <v>0.37213776400651644</v>
      </c>
      <c r="AG201" s="919">
        <f t="shared" si="74"/>
        <v>1</v>
      </c>
      <c r="AH201" s="176">
        <f t="shared" si="67"/>
        <v>7</v>
      </c>
      <c r="AI201" s="225">
        <f t="shared" si="68"/>
        <v>1.3721377640065164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1090">
        <f>IF(t&gt;Tmaj,'2023'!Wh/'2023'!Env_an*'2024'!Env_an,0.001*[9]mois!$B$44)</f>
        <v>51.593387112387759</v>
      </c>
      <c r="C202" s="953"/>
      <c r="D202" s="393">
        <f t="shared" si="50"/>
        <v>54.183052899357527</v>
      </c>
      <c r="E202" s="385">
        <f t="shared" si="75"/>
        <v>55.172924360160344</v>
      </c>
      <c r="F202" s="385">
        <f t="shared" si="51"/>
        <v>55.593628260581141</v>
      </c>
      <c r="G202" s="110">
        <f t="shared" si="76"/>
        <v>0.97482247271406808</v>
      </c>
      <c r="H202" s="412" t="b">
        <f>Wh_hp&gt;='2023'!Maxi_hp</f>
        <v>0</v>
      </c>
      <c r="I202" s="390">
        <f>IF(H202,Wh_hp,'2023'!Maxi_hp)</f>
        <v>56.989181729783134</v>
      </c>
      <c r="J202" s="85">
        <f>IF(H202,An,'2023'!An_max)</f>
        <v>2018</v>
      </c>
      <c r="K202" s="197">
        <f t="shared" si="52"/>
        <v>45479</v>
      </c>
      <c r="L202" s="147">
        <f>IF(t&lt;Tvie,1-EXP((T0-t)*PertePVj)+'2023'!Pspv,1-EXP((T0-t)*PertePVj)+Pspv)</f>
        <v>4.7794755894983498E-2</v>
      </c>
      <c r="M202" s="957"/>
      <c r="N202" s="957"/>
      <c r="O202" s="48">
        <f>IF(t&lt;Tnet,'2023'!Resal+('2023'!Salim-'2023'!Resal)*(1-EXP(('2023'!Tnet-t)/('2023'!Tau_j))),Resal+(Salim-Resal)*(1-EXP((Tnet-t)/(Tau_j))))*Salcycl</f>
        <v>1.7941254198184077E-2</v>
      </c>
      <c r="P202" s="169">
        <f>(INDEX(Models!$BJ202:$BT202,,T202)*(1-R202)+INDEX(Models!$BJ202:$BT202,,T202+1)*R202-ERP_i)*Q202*Ramure*Pc/MaxiM</f>
        <v>7.8466366624226815E-3</v>
      </c>
      <c r="Q202" s="305">
        <f t="shared" si="53"/>
        <v>0.7</v>
      </c>
      <c r="R202" s="177">
        <f t="shared" si="54"/>
        <v>0.37601555572155609</v>
      </c>
      <c r="S202" s="919">
        <f t="shared" si="55"/>
        <v>1</v>
      </c>
      <c r="T202" s="176">
        <f t="shared" si="56"/>
        <v>7</v>
      </c>
      <c r="U202" s="251">
        <f t="shared" si="57"/>
        <v>1.3760155557215561</v>
      </c>
      <c r="V202" s="383">
        <f t="shared" si="58"/>
        <v>52.911044124475644</v>
      </c>
      <c r="W202" s="402">
        <f t="shared" si="59"/>
        <v>51.593387112387759</v>
      </c>
      <c r="X202" s="157">
        <f t="shared" si="60"/>
        <v>45479</v>
      </c>
      <c r="Y202" s="385">
        <f t="shared" si="61"/>
        <v>49.404114653156824</v>
      </c>
      <c r="Z202" s="385">
        <f t="shared" si="62"/>
        <v>51.883892636604884</v>
      </c>
      <c r="AA202" s="386">
        <f t="shared" si="63"/>
        <v>55.172924360160344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5.9613148327704472E-2</v>
      </c>
      <c r="AD202" s="231">
        <f>(INDEX(Models!$BJ202:$BT202,,AH202)*(1-AF202)+INDEX(Models!$BJ202:$BT202,,AH202+1)*AF202-ERP_i)*AE202*Ramure*Pc/MaxiM</f>
        <v>7.8466366624226815E-3</v>
      </c>
      <c r="AE202" s="305">
        <f t="shared" si="65"/>
        <v>0.7</v>
      </c>
      <c r="AF202" s="177">
        <f t="shared" si="66"/>
        <v>0.37601555572155609</v>
      </c>
      <c r="AG202" s="919">
        <f t="shared" si="74"/>
        <v>1</v>
      </c>
      <c r="AH202" s="176">
        <f t="shared" si="67"/>
        <v>7</v>
      </c>
      <c r="AI202" s="225">
        <f t="shared" si="68"/>
        <v>1.3760155557215561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1090">
        <f>IF(t&gt;Tmaj,'2023'!Wh/'2023'!Env_an*'2024'!Env_an,0.001*[9]mois!$B$45)</f>
        <v>54.074423855876532</v>
      </c>
      <c r="C203" s="953"/>
      <c r="D203" s="393">
        <f t="shared" si="50"/>
        <v>56.789866034926746</v>
      </c>
      <c r="E203" s="385">
        <f t="shared" si="75"/>
        <v>57.835624961463495</v>
      </c>
      <c r="F203" s="385">
        <f t="shared" si="51"/>
        <v>58.288044703587232</v>
      </c>
      <c r="G203" s="110">
        <f t="shared" si="76"/>
        <v>1.0238097275774947</v>
      </c>
      <c r="H203" s="412" t="b">
        <f>Wh_hp&gt;='2023'!Maxi_hp</f>
        <v>0</v>
      </c>
      <c r="I203" s="390">
        <f>IF(H203,Wh_hp,'2023'!Maxi_hp)</f>
        <v>59.606340921073496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4.7815611633599708E-2</v>
      </c>
      <c r="M203" s="957"/>
      <c r="N203" s="957"/>
      <c r="O203" s="48">
        <f>IF(t&lt;Tnet,'2023'!Resal+('2023'!Salim-'2023'!Resal)*(1-EXP(('2023'!Tnet-t)/('2023'!Tau_j))),Resal+(Salim-Resal)*(1-EXP((Tnet-t)/(Tau_j))))*Salcycl</f>
        <v>1.8081570437486361E-2</v>
      </c>
      <c r="P203" s="169">
        <f>(INDEX(Models!$BJ203:$BT203,,T203)*(1-R203)+INDEX(Models!$BJ203:$BT203,,T203+1)*R203-ERP_i)*Q203*Ramure*Pc/MaxiM</f>
        <v>7.7617930816589829E-3</v>
      </c>
      <c r="Q203" s="305">
        <f t="shared" si="53"/>
        <v>0.7</v>
      </c>
      <c r="R203" s="177">
        <f t="shared" si="54"/>
        <v>0.37981384728715839</v>
      </c>
      <c r="S203" s="919">
        <f t="shared" si="55"/>
        <v>1</v>
      </c>
      <c r="T203" s="176">
        <f t="shared" si="56"/>
        <v>7</v>
      </c>
      <c r="U203" s="251">
        <f t="shared" si="57"/>
        <v>1.3798138472871584</v>
      </c>
      <c r="V203" s="383">
        <f t="shared" si="58"/>
        <v>52.816868602944105</v>
      </c>
      <c r="W203" s="402">
        <f t="shared" si="59"/>
        <v>54.074423855876532</v>
      </c>
      <c r="X203" s="157">
        <f t="shared" si="60"/>
        <v>45480</v>
      </c>
      <c r="Y203" s="385">
        <f t="shared" si="61"/>
        <v>51.781632520200262</v>
      </c>
      <c r="Z203" s="385">
        <f t="shared" si="62"/>
        <v>54.38193815489727</v>
      </c>
      <c r="AA203" s="386">
        <f t="shared" si="63"/>
        <v>57.835624961463495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5.9715561280222269E-2</v>
      </c>
      <c r="AD203" s="231">
        <f>(INDEX(Models!$BJ203:$BT203,,AH203)*(1-AF203)+INDEX(Models!$BJ203:$BT203,,AH203+1)*AF203-ERP_i)*AE203*Ramure*Pc/MaxiM</f>
        <v>7.7617930816589829E-3</v>
      </c>
      <c r="AE203" s="305">
        <f t="shared" si="65"/>
        <v>0.7</v>
      </c>
      <c r="AF203" s="177">
        <f t="shared" si="66"/>
        <v>0.37981384728715839</v>
      </c>
      <c r="AG203" s="919">
        <f t="shared" si="74"/>
        <v>1</v>
      </c>
      <c r="AH203" s="176">
        <f t="shared" si="67"/>
        <v>7</v>
      </c>
      <c r="AI203" s="225">
        <f t="shared" si="68"/>
        <v>1.3798138472871584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1090">
        <f>IF(t&gt;Tmaj,'2023'!Wh/'2023'!Env_an*'2024'!Env_an,0.001*[9]mois!$B$46)</f>
        <v>53.462731981438836</v>
      </c>
      <c r="C204" s="953"/>
      <c r="D204" s="393">
        <f t="shared" si="50"/>
        <v>56.148686778881164</v>
      </c>
      <c r="E204" s="385">
        <f t="shared" si="75"/>
        <v>57.190792145929137</v>
      </c>
      <c r="F204" s="385">
        <f t="shared" si="51"/>
        <v>57.632712414968985</v>
      </c>
      <c r="G204" s="110">
        <f t="shared" si="76"/>
        <v>1.0140445049204443</v>
      </c>
      <c r="H204" s="412" t="b">
        <f>Wh_hp&gt;='2023'!Maxi_hp</f>
        <v>1</v>
      </c>
      <c r="I204" s="390">
        <f>IF(H204,Wh_hp,'2023'!Maxi_hp)</f>
        <v>57.632712414968985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4.783646691542176E-2</v>
      </c>
      <c r="M204" s="957"/>
      <c r="N204" s="957"/>
      <c r="O204" s="48">
        <f>IF(t&lt;Tnet,'2023'!Resal+('2023'!Salim-'2023'!Resal)*(1-EXP(('2023'!Tnet-t)/('2023'!Tau_j))),Resal+(Salim-Resal)*(1-EXP((Tnet-t)/(Tau_j))))*Salcycl</f>
        <v>1.8221558540209057E-2</v>
      </c>
      <c r="P204" s="169">
        <f>(INDEX(Models!$BJ204:$BT204,,T204)*(1-R204)+INDEX(Models!$BJ204:$BT204,,T204+1)*R204-ERP_i)*Q204*Ramure*Pc/MaxiM</f>
        <v>7.6678721254332186E-3</v>
      </c>
      <c r="Q204" s="305">
        <f t="shared" si="53"/>
        <v>0.7</v>
      </c>
      <c r="R204" s="177">
        <f t="shared" si="54"/>
        <v>0.38353195041261046</v>
      </c>
      <c r="S204" s="919">
        <f t="shared" si="55"/>
        <v>1</v>
      </c>
      <c r="T204" s="176">
        <f t="shared" si="56"/>
        <v>7</v>
      </c>
      <c r="U204" s="251">
        <f t="shared" si="57"/>
        <v>1.3835319504126105</v>
      </c>
      <c r="V204" s="383">
        <f t="shared" si="58"/>
        <v>52.722273748362944</v>
      </c>
      <c r="W204" s="402">
        <f t="shared" si="59"/>
        <v>53.462731981438836</v>
      </c>
      <c r="X204" s="157">
        <f t="shared" si="60"/>
        <v>45481</v>
      </c>
      <c r="Y204" s="385">
        <f t="shared" si="61"/>
        <v>51.197643699951904</v>
      </c>
      <c r="Z204" s="385">
        <f t="shared" si="62"/>
        <v>53.769801006865642</v>
      </c>
      <c r="AA204" s="386">
        <f t="shared" si="63"/>
        <v>57.190792145929137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5.9817166552518217E-2</v>
      </c>
      <c r="AD204" s="231">
        <f>(INDEX(Models!$BJ204:$BT204,,AH204)*(1-AF204)+INDEX(Models!$BJ204:$BT204,,AH204+1)*AF204-ERP_i)*AE204*Ramure*Pc/MaxiM</f>
        <v>7.6678721254332186E-3</v>
      </c>
      <c r="AE204" s="305">
        <f t="shared" si="65"/>
        <v>0.7</v>
      </c>
      <c r="AF204" s="177">
        <f t="shared" si="66"/>
        <v>0.38353195041261046</v>
      </c>
      <c r="AG204" s="919">
        <f t="shared" si="74"/>
        <v>1</v>
      </c>
      <c r="AH204" s="176">
        <f t="shared" si="67"/>
        <v>7</v>
      </c>
      <c r="AI204" s="225">
        <f t="shared" si="68"/>
        <v>1.3835319504126105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1090">
        <f>IF(t&gt;Tmaj,'2023'!Wh/'2023'!Env_an*'2024'!Env_an,0.001*[9]mois!$B$47)</f>
        <v>53.113343519387243</v>
      </c>
      <c r="C205" s="953"/>
      <c r="D205" s="393">
        <f t="shared" si="50"/>
        <v>55.782966914659518</v>
      </c>
      <c r="E205" s="385">
        <f t="shared" si="75"/>
        <v>56.826368515682454</v>
      </c>
      <c r="F205" s="385">
        <f t="shared" si="51"/>
        <v>57.259532821685099</v>
      </c>
      <c r="G205" s="110">
        <f t="shared" si="76"/>
        <v>1.0092447649986891</v>
      </c>
      <c r="H205" s="412" t="b">
        <f>Wh_hp&gt;='2023'!Maxi_hp</f>
        <v>1</v>
      </c>
      <c r="I205" s="390">
        <f>IF(H205,Wh_hp,'2023'!Maxi_hp)</f>
        <v>57.259532821685099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4.7857321740459646E-2</v>
      </c>
      <c r="M205" s="957"/>
      <c r="N205" s="957"/>
      <c r="O205" s="48">
        <f>IF(t&lt;Tnet,'2023'!Resal+('2023'!Salim-'2023'!Resal)*(1-EXP(('2023'!Tnet-t)/('2023'!Tau_j))),Resal+(Salim-Resal)*(1-EXP((Tnet-t)/(Tau_j))))*Salcycl</f>
        <v>1.8361222585162769E-2</v>
      </c>
      <c r="P205" s="169">
        <f>(INDEX(Models!$BJ205:$BT205,,T205)*(1-R205)+INDEX(Models!$BJ205:$BT205,,T205+1)*R205-ERP_i)*Q205*Ramure*Pc/MaxiM</f>
        <v>7.564929098384153E-3</v>
      </c>
      <c r="Q205" s="305">
        <f t="shared" si="53"/>
        <v>0.7</v>
      </c>
      <c r="R205" s="177">
        <f t="shared" si="54"/>
        <v>0.38716933806043929</v>
      </c>
      <c r="S205" s="919">
        <f t="shared" si="55"/>
        <v>1</v>
      </c>
      <c r="T205" s="176">
        <f t="shared" si="56"/>
        <v>7</v>
      </c>
      <c r="U205" s="251">
        <f t="shared" si="57"/>
        <v>1.3871693380604393</v>
      </c>
      <c r="V205" s="383">
        <f t="shared" si="58"/>
        <v>52.626820927286396</v>
      </c>
      <c r="W205" s="402">
        <f t="shared" si="59"/>
        <v>53.113343519387243</v>
      </c>
      <c r="X205" s="157">
        <f t="shared" si="60"/>
        <v>45482</v>
      </c>
      <c r="Y205" s="385">
        <f t="shared" si="61"/>
        <v>50.864839351421338</v>
      </c>
      <c r="Z205" s="385">
        <f t="shared" si="62"/>
        <v>53.42144671468693</v>
      </c>
      <c r="AA205" s="386">
        <f t="shared" si="63"/>
        <v>56.826368515682454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5.9917990361391206E-2</v>
      </c>
      <c r="AD205" s="231">
        <f>(INDEX(Models!$BJ205:$BT205,,AH205)*(1-AF205)+INDEX(Models!$BJ205:$BT205,,AH205+1)*AF205-ERP_i)*AE205*Ramure*Pc/MaxiM</f>
        <v>7.564929098384153E-3</v>
      </c>
      <c r="AE205" s="305">
        <f t="shared" si="65"/>
        <v>0.7</v>
      </c>
      <c r="AF205" s="177">
        <f t="shared" si="66"/>
        <v>0.38716933806043929</v>
      </c>
      <c r="AG205" s="919">
        <f t="shared" si="74"/>
        <v>1</v>
      </c>
      <c r="AH205" s="176">
        <f t="shared" si="67"/>
        <v>7</v>
      </c>
      <c r="AI205" s="225">
        <f t="shared" si="68"/>
        <v>1.3871693380604393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1090">
        <f>IF(t&gt;Tmaj,'2023'!Wh/'2023'!Env_an*'2024'!Env_an,0.001*[9]mois!$B$48)</f>
        <v>51.850709825519864</v>
      </c>
      <c r="C206" s="953"/>
      <c r="D206" s="393">
        <f t="shared" si="50"/>
        <v>54.458062534065725</v>
      </c>
      <c r="E206" s="385">
        <f t="shared" si="75"/>
        <v>55.484558328696686</v>
      </c>
      <c r="F206" s="385">
        <f t="shared" si="51"/>
        <v>55.893443302285021</v>
      </c>
      <c r="G206" s="110">
        <f t="shared" si="76"/>
        <v>0.98692787882248145</v>
      </c>
      <c r="H206" s="412" t="b">
        <f>Wh_hp&gt;='2023'!Maxi_hp</f>
        <v>0</v>
      </c>
      <c r="I206" s="390">
        <f>IF(H206,Wh_hp,'2023'!Maxi_hp)</f>
        <v>56.244702289420005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4.7878176108723247E-2</v>
      </c>
      <c r="M206" s="957"/>
      <c r="N206" s="957"/>
      <c r="O206" s="48">
        <f>IF(t&lt;Tnet,'2023'!Resal+('2023'!Salim-'2023'!Resal)*(1-EXP(('2023'!Tnet-t)/('2023'!Tau_j))),Resal+(Salim-Resal)*(1-EXP((Tnet-t)/(Tau_j))))*Salcycl</f>
        <v>1.8500567104632815E-2</v>
      </c>
      <c r="P206" s="169">
        <f>(INDEX(Models!$BJ206:$BT206,,T206)*(1-R206)+INDEX(Models!$BJ206:$BT206,,T206+1)*R206-ERP_i)*Q206*Ramure*Pc/MaxiM</f>
        <v>7.4531628535564982E-3</v>
      </c>
      <c r="Q206" s="305">
        <f t="shared" si="53"/>
        <v>0.7</v>
      </c>
      <c r="R206" s="177">
        <f t="shared" si="54"/>
        <v>0.39072563911880343</v>
      </c>
      <c r="S206" s="919">
        <f t="shared" si="55"/>
        <v>1</v>
      </c>
      <c r="T206" s="176">
        <f t="shared" si="56"/>
        <v>7</v>
      </c>
      <c r="U206" s="251">
        <f t="shared" si="57"/>
        <v>1.3907256391188034</v>
      </c>
      <c r="V206" s="383">
        <f t="shared" si="58"/>
        <v>52.530197128451327</v>
      </c>
      <c r="W206" s="402">
        <f t="shared" si="59"/>
        <v>51.850709825519864</v>
      </c>
      <c r="X206" s="157">
        <f t="shared" si="60"/>
        <v>45483</v>
      </c>
      <c r="Y206" s="385">
        <f t="shared" si="61"/>
        <v>49.657421283893655</v>
      </c>
      <c r="Z206" s="385">
        <f t="shared" si="62"/>
        <v>52.154482796062936</v>
      </c>
      <c r="AA206" s="386">
        <f t="shared" si="63"/>
        <v>55.484558328696686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6.0018059671774038E-2</v>
      </c>
      <c r="AD206" s="231">
        <f>(INDEX(Models!$BJ206:$BT206,,AH206)*(1-AF206)+INDEX(Models!$BJ206:$BT206,,AH206+1)*AF206-ERP_i)*AE206*Ramure*Pc/MaxiM</f>
        <v>7.4531628535564982E-3</v>
      </c>
      <c r="AE206" s="305">
        <f t="shared" si="65"/>
        <v>0.7</v>
      </c>
      <c r="AF206" s="177">
        <f t="shared" si="66"/>
        <v>0.39072563911880343</v>
      </c>
      <c r="AG206" s="919">
        <f t="shared" si="74"/>
        <v>1</v>
      </c>
      <c r="AH206" s="176">
        <f t="shared" si="67"/>
        <v>7</v>
      </c>
      <c r="AI206" s="225">
        <f t="shared" si="68"/>
        <v>1.3907256391188034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1090">
        <f>IF(t&gt;Tmaj,'2023'!Wh/'2023'!Env_an*'2024'!Env_an,0.001*[9]mois!$B$49)</f>
        <v>51.407443001454595</v>
      </c>
      <c r="C207" s="953"/>
      <c r="D207" s="393">
        <f t="shared" ref="D207:D270" si="77">Wh/(1-Ppv)</f>
        <v>53.993688298150246</v>
      </c>
      <c r="E207" s="385">
        <f t="shared" si="75"/>
        <v>55.019224471391922</v>
      </c>
      <c r="F207" s="385">
        <f t="shared" ref="F207:F270" si="78">Wh_sa/(1-Pvg*MEDIAN((-Sdif+Wh/Env_an)/Csdif,0,1))</f>
        <v>55.414495940982057</v>
      </c>
      <c r="G207" s="110">
        <f t="shared" si="76"/>
        <v>0.98025103285967408</v>
      </c>
      <c r="H207" s="412" t="b">
        <f>Wh_hp&gt;='2023'!Maxi_hp</f>
        <v>0</v>
      </c>
      <c r="I207" s="390">
        <f>IF(H207,Wh_hp,'2023'!Maxi_hp)</f>
        <v>57.631675116560842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4.7899030020222777E-2</v>
      </c>
      <c r="M207" s="957"/>
      <c r="N207" s="957"/>
      <c r="O207" s="48">
        <f>IF(t&lt;Tnet,'2023'!Resal+('2023'!Salim-'2023'!Resal)*(1-EXP(('2023'!Tnet-t)/('2023'!Tau_j))),Resal+(Salim-Resal)*(1-EXP((Tnet-t)/(Tau_j))))*Salcycl</f>
        <v>1.8639597033486371E-2</v>
      </c>
      <c r="P207" s="169">
        <f>(INDEX(Models!$BJ207:$BT207,,T207)*(1-R207)+INDEX(Models!$BJ207:$BT207,,T207+1)*R207-ERP_i)*Q207*Ramure*Pc/MaxiM</f>
        <v>7.3378993457535137E-3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0.39420063266552163</v>
      </c>
      <c r="S207" s="91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1.3942006326655216</v>
      </c>
      <c r="V207" s="383">
        <f t="shared" ref="V207:V270" si="85">MaxiM*(1-Ppv)*(1-Pvg)*(1-Psa)</f>
        <v>52.432317979300628</v>
      </c>
      <c r="W207" s="402">
        <f t="shared" ref="W207:W270" si="86">Wh*(A207&gt;Tmaj)</f>
        <v>51.407443001454595</v>
      </c>
      <c r="X207" s="157">
        <f t="shared" ref="X207:X270" si="87">t</f>
        <v>45484</v>
      </c>
      <c r="Y207" s="385">
        <f t="shared" ref="Y207:Y270" si="88">Wh_pvt_s*(1-Ppv)</f>
        <v>49.234675597007708</v>
      </c>
      <c r="Z207" s="385">
        <f t="shared" ref="Z207:Z270" si="89">Wh_sa_s*(1-Psa_s)</f>
        <v>51.711611635112043</v>
      </c>
      <c r="AA207" s="386">
        <f t="shared" ref="AA207:AA270" si="90">Wh_hp*(1-Pvg_s*MEDIAN((-Sdif+Wh/Env_an)/Csdif,0,1))</f>
        <v>55.019224471391922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6.0117402018265848E-2</v>
      </c>
      <c r="AD207" s="231">
        <f>(INDEX(Models!$BJ207:$BT207,,AH207)*(1-AF207)+INDEX(Models!$BJ207:$BT207,,AH207+1)*AF207-ERP_i)*AE207*Ramure*Pc/MaxiM</f>
        <v>7.3378993457535137E-3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0.39420063266552163</v>
      </c>
      <c r="AG207" s="91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1.3942006326655216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1090">
        <f>IF(t&gt;Tmaj,'2023'!Wh/'2023'!Env_an*'2024'!Env_an,0.001*[9]mois!$B$50)</f>
        <v>51.670237052014599</v>
      </c>
      <c r="C208" s="953"/>
      <c r="D208" s="393">
        <f t="shared" si="77"/>
        <v>54.270891866331809</v>
      </c>
      <c r="E208" s="385">
        <f t="shared" si="75"/>
        <v>55.309511441620721</v>
      </c>
      <c r="F208" s="385">
        <f t="shared" si="78"/>
        <v>55.704369844617645</v>
      </c>
      <c r="G208" s="110">
        <f t="shared" si="76"/>
        <v>0.98719851245314483</v>
      </c>
      <c r="H208" s="412" t="b">
        <f>Wh_hp&gt;='2023'!Maxi_hp</f>
        <v>0</v>
      </c>
      <c r="I208" s="390">
        <f>IF(H208,Wh_hp,'2023'!Maxi_hp)</f>
        <v>55.706325273109343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4.7919883474968006E-2</v>
      </c>
      <c r="M208" s="957"/>
      <c r="N208" s="957"/>
      <c r="O208" s="48">
        <f>IF(t&lt;Tnet,'2023'!Resal+('2023'!Salim-'2023'!Resal)*(1-EXP(('2023'!Tnet-t)/('2023'!Tau_j))),Resal+(Salim-Resal)*(1-EXP((Tnet-t)/(Tau_j))))*Salcycl</f>
        <v>1.8778317656723151E-2</v>
      </c>
      <c r="P208" s="169">
        <f>(INDEX(Models!$BJ208:$BT208,,T208)*(1-R208)+INDEX(Models!$BJ208:$BT208,,T208+1)*R208-ERP_i)*Q208*Ramure*Pc/MaxiM</f>
        <v>7.2191461158155768E-3</v>
      </c>
      <c r="Q208" s="305">
        <f t="shared" si="80"/>
        <v>0.7</v>
      </c>
      <c r="R208" s="177">
        <f t="shared" si="81"/>
        <v>0.39759424188286707</v>
      </c>
      <c r="S208" s="919">
        <f t="shared" si="82"/>
        <v>1</v>
      </c>
      <c r="T208" s="176">
        <f t="shared" si="83"/>
        <v>7</v>
      </c>
      <c r="U208" s="251">
        <f t="shared" si="84"/>
        <v>1.3975942418828671</v>
      </c>
      <c r="V208" s="383">
        <f t="shared" si="85"/>
        <v>52.333381586954857</v>
      </c>
      <c r="W208" s="402">
        <f t="shared" si="86"/>
        <v>51.670237052014599</v>
      </c>
      <c r="X208" s="157">
        <f t="shared" si="87"/>
        <v>45485</v>
      </c>
      <c r="Y208" s="385">
        <f t="shared" si="88"/>
        <v>49.488164182854725</v>
      </c>
      <c r="Z208" s="385">
        <f t="shared" si="89"/>
        <v>51.978991393581516</v>
      </c>
      <c r="AA208" s="386">
        <f t="shared" si="90"/>
        <v>55.309511441620721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6.021604532801874E-2</v>
      </c>
      <c r="AD208" s="231">
        <f>(INDEX(Models!$BJ208:$BT208,,AH208)*(1-AF208)+INDEX(Models!$BJ208:$BT208,,AH208+1)*AF208-ERP_i)*AE208*Ramure*Pc/MaxiM</f>
        <v>7.2191461158155768E-3</v>
      </c>
      <c r="AE208" s="305">
        <f t="shared" si="92"/>
        <v>0.7</v>
      </c>
      <c r="AF208" s="177">
        <f t="shared" si="93"/>
        <v>0.39759424188286707</v>
      </c>
      <c r="AG208" s="919">
        <f t="shared" ref="AG208:AG271" si="99">INDEX(Echel_vg,AH208)</f>
        <v>1</v>
      </c>
      <c r="AH208" s="176">
        <f t="shared" si="94"/>
        <v>7</v>
      </c>
      <c r="AI208" s="225">
        <f t="shared" si="95"/>
        <v>1.3975942418828671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1090">
        <f>IF(t&gt;Tmaj,'2023'!Wh/'2023'!Env_an*'2024'!Env_an,0.001*[9]mois!$B$51)</f>
        <v>50.869637829466008</v>
      </c>
      <c r="C209" s="953"/>
      <c r="D209" s="393">
        <f t="shared" si="77"/>
        <v>53.431167342474701</v>
      </c>
      <c r="E209" s="385">
        <f t="shared" si="75"/>
        <v>54.46139917419687</v>
      </c>
      <c r="F209" s="385">
        <f t="shared" si="78"/>
        <v>54.83604844200601</v>
      </c>
      <c r="G209" s="110">
        <f t="shared" si="76"/>
        <v>0.97362792584082858</v>
      </c>
      <c r="H209" s="412" t="b">
        <f>Wh_hp&gt;='2023'!Maxi_hp</f>
        <v>0</v>
      </c>
      <c r="I209" s="390">
        <f>IF(H209,Wh_hp,'2023'!Maxi_hp)</f>
        <v>56.367501147703905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4.7940736472969148E-2</v>
      </c>
      <c r="M209" s="957"/>
      <c r="N209" s="957"/>
      <c r="O209" s="48">
        <f>IF(t&lt;Tnet,'2023'!Resal+('2023'!Salim-'2023'!Resal)*(1-EXP(('2023'!Tnet-t)/('2023'!Tau_j))),Resal+(Salim-Resal)*(1-EXP((Tnet-t)/(Tau_j))))*Salcycl</f>
        <v>1.8916734555917872E-2</v>
      </c>
      <c r="P209" s="169">
        <f>(INDEX(Models!$BJ209:$BT209,,T209)*(1-R209)+INDEX(Models!$BJ209:$BT209,,T209+1)*R209-ERP_i)*Q209*Ramure*Pc/MaxiM</f>
        <v>7.0969110035368323E-3</v>
      </c>
      <c r="Q209" s="305">
        <f t="shared" si="80"/>
        <v>0.7</v>
      </c>
      <c r="R209" s="177">
        <f t="shared" si="81"/>
        <v>0.40090652768099999</v>
      </c>
      <c r="S209" s="919">
        <f t="shared" si="82"/>
        <v>1</v>
      </c>
      <c r="T209" s="176">
        <f t="shared" si="83"/>
        <v>7</v>
      </c>
      <c r="U209" s="251">
        <f t="shared" si="84"/>
        <v>1.400906527681</v>
      </c>
      <c r="V209" s="383">
        <f t="shared" si="85"/>
        <v>52.23358596812421</v>
      </c>
      <c r="W209" s="402">
        <f t="shared" si="86"/>
        <v>50.869637829466008</v>
      </c>
      <c r="X209" s="157">
        <f t="shared" si="87"/>
        <v>45486</v>
      </c>
      <c r="Y209" s="385">
        <f t="shared" si="88"/>
        <v>48.72316884238829</v>
      </c>
      <c r="Z209" s="385">
        <f t="shared" si="89"/>
        <v>51.176613377918088</v>
      </c>
      <c r="AA209" s="386">
        <f t="shared" si="90"/>
        <v>54.46139917419687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6.0314017746262258E-2</v>
      </c>
      <c r="AD209" s="231">
        <f>(INDEX(Models!$BJ209:$BT209,,AH209)*(1-AF209)+INDEX(Models!$BJ209:$BT209,,AH209+1)*AF209-ERP_i)*AE209*Ramure*Pc/MaxiM</f>
        <v>7.0969110035368323E-3</v>
      </c>
      <c r="AE209" s="305">
        <f t="shared" si="92"/>
        <v>0.7</v>
      </c>
      <c r="AF209" s="177">
        <f t="shared" si="93"/>
        <v>0.40090652768099999</v>
      </c>
      <c r="AG209" s="919">
        <f t="shared" si="99"/>
        <v>1</v>
      </c>
      <c r="AH209" s="176">
        <f t="shared" si="94"/>
        <v>7</v>
      </c>
      <c r="AI209" s="225">
        <f t="shared" si="95"/>
        <v>1.400906527681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1090">
        <f>IF(t&gt;Tmaj,'2023'!Wh/'2023'!Env_an*'2024'!Env_an,0.001*[9]mois!$B$52)</f>
        <v>48.792865036478695</v>
      </c>
      <c r="C210" s="953"/>
      <c r="D210" s="393">
        <f t="shared" si="77"/>
        <v>51.250941635807912</v>
      </c>
      <c r="E210" s="385">
        <f t="shared" si="75"/>
        <v>52.246490868061841</v>
      </c>
      <c r="F210" s="385">
        <f t="shared" si="78"/>
        <v>52.579483031526038</v>
      </c>
      <c r="G210" s="110">
        <f t="shared" si="76"/>
        <v>0.93532718288493799</v>
      </c>
      <c r="H210" s="412" t="b">
        <f>Wh_hp&gt;='2023'!Maxi_hp</f>
        <v>0</v>
      </c>
      <c r="I210" s="390">
        <f>IF(H210,Wh_hp,'2023'!Maxi_hp)</f>
        <v>57.830639820469678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4.7961589014236083E-2</v>
      </c>
      <c r="M210" s="957"/>
      <c r="N210" s="957"/>
      <c r="O210" s="48">
        <f>IF(t&lt;Tnet,'2023'!Resal+('2023'!Salim-'2023'!Resal)*(1-EXP(('2023'!Tnet-t)/('2023'!Tau_j))),Resal+(Salim-Resal)*(1-EXP((Tnet-t)/(Tau_j))))*Salcycl</f>
        <v>1.9054853555006974E-2</v>
      </c>
      <c r="P210" s="169">
        <f>(INDEX(Models!$BJ210:$BT210,,T210)*(1-R210)+INDEX(Models!$BJ210:$BT210,,T210+1)*R210-ERP_i)*Q210*Ramure*Pc/MaxiM</f>
        <v>6.9712019701509073E-3</v>
      </c>
      <c r="Q210" s="305">
        <f t="shared" si="80"/>
        <v>0.7</v>
      </c>
      <c r="R210" s="177">
        <f t="shared" si="81"/>
        <v>0.40413768208615242</v>
      </c>
      <c r="S210" s="919">
        <f t="shared" si="82"/>
        <v>1</v>
      </c>
      <c r="T210" s="176">
        <f t="shared" si="83"/>
        <v>7</v>
      </c>
      <c r="U210" s="251">
        <f t="shared" si="84"/>
        <v>1.4041376820861524</v>
      </c>
      <c r="V210" s="383">
        <f t="shared" si="85"/>
        <v>52.133129068527396</v>
      </c>
      <c r="W210" s="402">
        <f t="shared" si="86"/>
        <v>48.792865036478695</v>
      </c>
      <c r="X210" s="157">
        <f t="shared" si="87"/>
        <v>45487</v>
      </c>
      <c r="Y210" s="385">
        <f t="shared" si="88"/>
        <v>46.735765479913489</v>
      </c>
      <c r="Z210" s="385">
        <f t="shared" si="89"/>
        <v>49.090209954367417</v>
      </c>
      <c r="AA210" s="386">
        <f t="shared" si="90"/>
        <v>52.246490868061841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6.041134746570799E-2</v>
      </c>
      <c r="AD210" s="231">
        <f>(INDEX(Models!$BJ210:$BT210,,AH210)*(1-AF210)+INDEX(Models!$BJ210:$BT210,,AH210+1)*AF210-ERP_i)*AE210*Ramure*Pc/MaxiM</f>
        <v>6.9712019701509073E-3</v>
      </c>
      <c r="AE210" s="305">
        <f t="shared" si="92"/>
        <v>0.7</v>
      </c>
      <c r="AF210" s="177">
        <f t="shared" si="93"/>
        <v>0.40413768208615242</v>
      </c>
      <c r="AG210" s="919">
        <f t="shared" si="99"/>
        <v>1</v>
      </c>
      <c r="AH210" s="176">
        <f t="shared" si="94"/>
        <v>7</v>
      </c>
      <c r="AI210" s="225">
        <f t="shared" si="95"/>
        <v>1.4041376820861524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1090">
        <f>IF(t&gt;Tmaj,'2023'!Wh/'2023'!Env_an*'2024'!Env_an,0.001*[9]mois!$B$53)</f>
        <v>50.644224418106624</v>
      </c>
      <c r="C211" s="953"/>
      <c r="D211" s="393">
        <f t="shared" si="77"/>
        <v>53.196733552433706</v>
      </c>
      <c r="E211" s="385">
        <f t="shared" si="75"/>
        <v>54.237700416580381</v>
      </c>
      <c r="F211" s="385">
        <f t="shared" si="78"/>
        <v>54.597019349418431</v>
      </c>
      <c r="G211" s="110">
        <f t="shared" si="76"/>
        <v>0.97306905490376916</v>
      </c>
      <c r="H211" s="412" t="b">
        <f>Wh_hp&gt;='2023'!Maxi_hp</f>
        <v>0</v>
      </c>
      <c r="I211" s="390">
        <f>IF(H211,Wh_hp,'2023'!Maxi_hp)</f>
        <v>57.203978991704709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4.7982441098778805E-2</v>
      </c>
      <c r="M211" s="957"/>
      <c r="N211" s="957"/>
      <c r="O211" s="48">
        <f>IF(t&lt;Tnet,'2023'!Resal+('2023'!Salim-'2023'!Resal)*(1-EXP(('2023'!Tnet-t)/('2023'!Tau_j))),Resal+(Salim-Resal)*(1-EXP((Tnet-t)/(Tau_j))))*Salcycl</f>
        <v>1.9192680665872371E-2</v>
      </c>
      <c r="P211" s="169">
        <f>(INDEX(Models!$BJ211:$BT211,,T211)*(1-R211)+INDEX(Models!$BJ211:$BT211,,T211+1)*R211-ERP_i)*Q211*Ramure*Pc/MaxiM</f>
        <v>6.8420269442277691E-3</v>
      </c>
      <c r="Q211" s="305">
        <f t="shared" si="80"/>
        <v>0.7</v>
      </c>
      <c r="R211" s="177">
        <f t="shared" si="81"/>
        <v>0.40728802144749388</v>
      </c>
      <c r="S211" s="919">
        <f t="shared" si="82"/>
        <v>1</v>
      </c>
      <c r="T211" s="176">
        <f t="shared" si="83"/>
        <v>7</v>
      </c>
      <c r="U211" s="251">
        <f t="shared" si="84"/>
        <v>1.4072880214474939</v>
      </c>
      <c r="V211" s="383">
        <f t="shared" si="85"/>
        <v>52.032208782964645</v>
      </c>
      <c r="W211" s="402">
        <f t="shared" si="86"/>
        <v>50.644224418106624</v>
      </c>
      <c r="X211" s="157">
        <f t="shared" si="87"/>
        <v>45488</v>
      </c>
      <c r="Y211" s="385">
        <f t="shared" si="88"/>
        <v>48.510894628073693</v>
      </c>
      <c r="Z211" s="385">
        <f t="shared" si="89"/>
        <v>50.955882246607864</v>
      </c>
      <c r="AA211" s="386">
        <f t="shared" si="90"/>
        <v>54.237700416580381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6.050806256102393E-2</v>
      </c>
      <c r="AD211" s="231">
        <f>(INDEX(Models!$BJ211:$BT211,,AH211)*(1-AF211)+INDEX(Models!$BJ211:$BT211,,AH211+1)*AF211-ERP_i)*AE211*Ramure*Pc/MaxiM</f>
        <v>6.8420269442277691E-3</v>
      </c>
      <c r="AE211" s="305">
        <f t="shared" si="92"/>
        <v>0.7</v>
      </c>
      <c r="AF211" s="177">
        <f t="shared" si="93"/>
        <v>0.40728802144749388</v>
      </c>
      <c r="AG211" s="919">
        <f t="shared" si="99"/>
        <v>1</v>
      </c>
      <c r="AH211" s="176">
        <f t="shared" si="94"/>
        <v>7</v>
      </c>
      <c r="AI211" s="225">
        <f t="shared" si="95"/>
        <v>1.4072880214474939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1090">
        <f>IF(t&gt;Tmaj,'2023'!Wh/'2023'!Env_an*'2024'!Env_an,0.001*[9]mois!$B$54)</f>
        <v>50.619551561681128</v>
      </c>
      <c r="C212" s="953"/>
      <c r="D212" s="393">
        <f t="shared" si="77"/>
        <v>53.171981767311202</v>
      </c>
      <c r="E212" s="385">
        <f t="shared" si="75"/>
        <v>54.22006771494889</v>
      </c>
      <c r="F212" s="385">
        <f t="shared" si="78"/>
        <v>54.572985284834147</v>
      </c>
      <c r="G212" s="110">
        <f t="shared" si="76"/>
        <v>0.97450798018762586</v>
      </c>
      <c r="H212" s="412" t="b">
        <f>Wh_hp&gt;='2023'!Maxi_hp</f>
        <v>0</v>
      </c>
      <c r="I212" s="390">
        <f>IF(H212,Wh_hp,'2023'!Maxi_hp)</f>
        <v>57.205914857920881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4.8003292726607416E-2</v>
      </c>
      <c r="M212" s="957"/>
      <c r="N212" s="957"/>
      <c r="O212" s="48">
        <f>IF(t&lt;Tnet,'2023'!Resal+('2023'!Salim-'2023'!Resal)*(1-EXP(('2023'!Tnet-t)/('2023'!Tau_j))),Resal+(Salim-Resal)*(1-EXP((Tnet-t)/(Tau_j))))*Salcycl</f>
        <v>1.9330222034169866E-2</v>
      </c>
      <c r="P212" s="169">
        <f>(INDEX(Models!$BJ212:$BT212,,T212)*(1-R212)+INDEX(Models!$BJ212:$BT212,,T212+1)*R212-ERP_i)*Q212*Ramure*Pc/MaxiM</f>
        <v>6.7089359465411684E-3</v>
      </c>
      <c r="Q212" s="305">
        <f t="shared" si="80"/>
        <v>0.7</v>
      </c>
      <c r="R212" s="177">
        <f t="shared" si="81"/>
        <v>0.41035797951407016</v>
      </c>
      <c r="S212" s="919">
        <f t="shared" si="82"/>
        <v>1</v>
      </c>
      <c r="T212" s="176">
        <f t="shared" si="83"/>
        <v>7</v>
      </c>
      <c r="U212" s="251">
        <f t="shared" si="84"/>
        <v>1.4103579795140702</v>
      </c>
      <c r="V212" s="383">
        <f t="shared" si="85"/>
        <v>51.931046903150325</v>
      </c>
      <c r="W212" s="402">
        <f t="shared" si="86"/>
        <v>50.619551561681128</v>
      </c>
      <c r="X212" s="157">
        <f t="shared" si="87"/>
        <v>45489</v>
      </c>
      <c r="Y212" s="385">
        <f t="shared" si="88"/>
        <v>48.489099661833308</v>
      </c>
      <c r="Z212" s="385">
        <f t="shared" si="89"/>
        <v>50.934104384363486</v>
      </c>
      <c r="AA212" s="386">
        <f t="shared" si="90"/>
        <v>54.22006771494889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6.0604190829504183E-2</v>
      </c>
      <c r="AD212" s="231">
        <f>(INDEX(Models!$BJ212:$BT212,,AH212)*(1-AF212)+INDEX(Models!$BJ212:$BT212,,AH212+1)*AF212-ERP_i)*AE212*Ramure*Pc/MaxiM</f>
        <v>6.7089359465411684E-3</v>
      </c>
      <c r="AE212" s="305">
        <f t="shared" si="92"/>
        <v>0.7</v>
      </c>
      <c r="AF212" s="177">
        <f t="shared" si="93"/>
        <v>0.41035797951407016</v>
      </c>
      <c r="AG212" s="919">
        <f t="shared" si="99"/>
        <v>1</v>
      </c>
      <c r="AH212" s="176">
        <f t="shared" si="94"/>
        <v>7</v>
      </c>
      <c r="AI212" s="225">
        <f t="shared" si="95"/>
        <v>1.4103579795140702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1090">
        <f>IF(t&gt;Tmaj,'2023'!Wh/'2023'!Env_an*'2024'!Env_an,0.001*[9]mois!$B$55)</f>
        <v>51.413839305654491</v>
      </c>
      <c r="C213" s="953"/>
      <c r="D213" s="393">
        <f t="shared" si="77"/>
        <v>54.007503421527161</v>
      </c>
      <c r="E213" s="385">
        <f t="shared" si="75"/>
        <v>55.079767915865112</v>
      </c>
      <c r="F213" s="385">
        <f t="shared" si="78"/>
        <v>55.440073795275509</v>
      </c>
      <c r="G213" s="110">
        <f t="shared" si="76"/>
        <v>0.99190089150626337</v>
      </c>
      <c r="H213" s="412" t="b">
        <f>Wh_hp&gt;='2023'!Maxi_hp</f>
        <v>0</v>
      </c>
      <c r="I213" s="390">
        <f>IF(H213,Wh_hp,'2023'!Maxi_hp)</f>
        <v>55.44122686400182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4.8024143897731908E-2</v>
      </c>
      <c r="M213" s="957"/>
      <c r="N213" s="957"/>
      <c r="O213" s="48">
        <f>IF(t&lt;Tnet,'2023'!Resal+('2023'!Salim-'2023'!Resal)*(1-EXP(('2023'!Tnet-t)/('2023'!Tau_j))),Resal+(Salim-Resal)*(1-EXP((Tnet-t)/(Tau_j))))*Salcycl</f>
        <v>1.9467483885840728E-2</v>
      </c>
      <c r="P213" s="169">
        <f>(INDEX(Models!$BJ213:$BT213,,T213)*(1-R213)+INDEX(Models!$BJ213:$BT213,,T213+1)*R213-ERP_i)*Q213*Ramure*Pc/MaxiM</f>
        <v>6.5743749951415256E-3</v>
      </c>
      <c r="Q213" s="305">
        <f t="shared" si="80"/>
        <v>0.7</v>
      </c>
      <c r="R213" s="177">
        <f t="shared" si="81"/>
        <v>0.41334810043036052</v>
      </c>
      <c r="S213" s="919">
        <f t="shared" si="82"/>
        <v>1</v>
      </c>
      <c r="T213" s="176">
        <f t="shared" si="83"/>
        <v>7</v>
      </c>
      <c r="U213" s="251">
        <f t="shared" si="84"/>
        <v>1.4133481004303605</v>
      </c>
      <c r="V213" s="383">
        <f t="shared" si="85"/>
        <v>51.829713897236282</v>
      </c>
      <c r="W213" s="402">
        <f t="shared" si="86"/>
        <v>51.413839305654491</v>
      </c>
      <c r="X213" s="157">
        <f t="shared" si="87"/>
        <v>45490</v>
      </c>
      <c r="Y213" s="385">
        <f t="shared" si="88"/>
        <v>49.251841039467656</v>
      </c>
      <c r="Z213" s="385">
        <f t="shared" si="89"/>
        <v>51.736439242400984</v>
      </c>
      <c r="AA213" s="386">
        <f t="shared" si="90"/>
        <v>55.079767915865112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6.0699759638985704E-2</v>
      </c>
      <c r="AD213" s="231">
        <f>(INDEX(Models!$BJ213:$BT213,,AH213)*(1-AF213)+INDEX(Models!$BJ213:$BT213,,AH213+1)*AF213-ERP_i)*AE213*Ramure*Pc/MaxiM</f>
        <v>6.5743749951415256E-3</v>
      </c>
      <c r="AE213" s="305">
        <f t="shared" si="92"/>
        <v>0.7</v>
      </c>
      <c r="AF213" s="177">
        <f t="shared" si="93"/>
        <v>0.41334810043036052</v>
      </c>
      <c r="AG213" s="919">
        <f t="shared" si="99"/>
        <v>1</v>
      </c>
      <c r="AH213" s="176">
        <f t="shared" si="94"/>
        <v>7</v>
      </c>
      <c r="AI213" s="225">
        <f t="shared" si="95"/>
        <v>1.4133481004303605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1090">
        <f>IF(t&gt;Tmaj,'2023'!Wh/'2023'!Env_an*'2024'!Env_an,0.001*[9]mois!$B$56)</f>
        <v>35.121941817618833</v>
      </c>
      <c r="C214" s="953"/>
      <c r="D214" s="393">
        <f t="shared" si="77"/>
        <v>36.894539782696697</v>
      </c>
      <c r="E214" s="385">
        <f t="shared" si="75"/>
        <v>37.632301195647557</v>
      </c>
      <c r="F214" s="385">
        <f t="shared" si="78"/>
        <v>37.763932011440609</v>
      </c>
      <c r="G214" s="110">
        <f t="shared" si="76"/>
        <v>0.67695633204460215</v>
      </c>
      <c r="H214" s="412" t="b">
        <f>Wh_hp&gt;='2023'!Maxi_hp</f>
        <v>0</v>
      </c>
      <c r="I214" s="390">
        <f>IF(H214,Wh_hp,'2023'!Maxi_hp)</f>
        <v>57.76277955645417</v>
      </c>
      <c r="J214" s="85">
        <f>IF(H214,An,'2023'!An_max)</f>
        <v>2021</v>
      </c>
      <c r="K214" s="197">
        <f t="shared" si="79"/>
        <v>45491</v>
      </c>
      <c r="L214" s="147">
        <f>IF(t&lt;Tvie,1-EXP((T0-t)*PertePVj)+'2023'!Pspv,1-EXP((T0-t)*PertePVj)+Pspv)</f>
        <v>4.8044994612162162E-2</v>
      </c>
      <c r="M214" s="957"/>
      <c r="N214" s="957"/>
      <c r="O214" s="48">
        <f>IF(t&lt;Tnet,'2023'!Resal+('2023'!Salim-'2023'!Resal)*(1-EXP(('2023'!Tnet-t)/('2023'!Tau_j))),Resal+(Salim-Resal)*(1-EXP((Tnet-t)/(Tau_j))))*Salcycl</f>
        <v>1.9604472474731044E-2</v>
      </c>
      <c r="P214" s="169">
        <f>(INDEX(Models!$BJ214:$BT214,,T214)*(1-R214)+INDEX(Models!$BJ214:$BT214,,T214+1)*R214-ERP_i)*Q214*Ramure*Pc/MaxiM</f>
        <v>6.4383662591118848E-3</v>
      </c>
      <c r="Q214" s="305">
        <f t="shared" si="80"/>
        <v>0.7</v>
      </c>
      <c r="R214" s="177">
        <f t="shared" si="81"/>
        <v>0.41625903169592426</v>
      </c>
      <c r="S214" s="919">
        <f t="shared" si="82"/>
        <v>1</v>
      </c>
      <c r="T214" s="176">
        <f t="shared" si="83"/>
        <v>7</v>
      </c>
      <c r="U214" s="251">
        <f t="shared" si="84"/>
        <v>1.4162590316959243</v>
      </c>
      <c r="V214" s="383">
        <f t="shared" si="85"/>
        <v>51.728407469086648</v>
      </c>
      <c r="W214" s="402">
        <f t="shared" si="86"/>
        <v>35.121941817618833</v>
      </c>
      <c r="X214" s="157">
        <f t="shared" si="87"/>
        <v>45491</v>
      </c>
      <c r="Y214" s="385">
        <f t="shared" si="88"/>
        <v>33.646329069396579</v>
      </c>
      <c r="Z214" s="385">
        <f t="shared" si="89"/>
        <v>35.34445312957692</v>
      </c>
      <c r="AA214" s="386">
        <f t="shared" si="90"/>
        <v>37.632301195647557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6.0794795783980532E-2</v>
      </c>
      <c r="AD214" s="231">
        <f>(INDEX(Models!$BJ214:$BT214,,AH214)*(1-AF214)+INDEX(Models!$BJ214:$BT214,,AH214+1)*AF214-ERP_i)*AE214*Ramure*Pc/MaxiM</f>
        <v>6.4383662591118848E-3</v>
      </c>
      <c r="AE214" s="305">
        <f t="shared" si="92"/>
        <v>0.7</v>
      </c>
      <c r="AF214" s="177">
        <f t="shared" si="93"/>
        <v>0.41625903169592426</v>
      </c>
      <c r="AG214" s="919">
        <f t="shared" si="99"/>
        <v>1</v>
      </c>
      <c r="AH214" s="176">
        <f t="shared" si="94"/>
        <v>7</v>
      </c>
      <c r="AI214" s="225">
        <f t="shared" si="95"/>
        <v>1.4162590316959243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1090">
        <f>IF(t&gt;Tmaj,'2023'!Wh/'2023'!Env_an*'2024'!Env_an,0.001*[9]mois!$B$57)</f>
        <v>39.983472773202251</v>
      </c>
      <c r="C215" s="953"/>
      <c r="D215" s="393">
        <f t="shared" si="77"/>
        <v>42.002351273695076</v>
      </c>
      <c r="E215" s="385">
        <f t="shared" si="75"/>
        <v>42.848226425475701</v>
      </c>
      <c r="F215" s="385">
        <f t="shared" si="78"/>
        <v>43.032007583624456</v>
      </c>
      <c r="G215" s="110">
        <f t="shared" si="76"/>
        <v>0.77288437288666223</v>
      </c>
      <c r="H215" s="412" t="b">
        <f>Wh_hp&gt;='2023'!Maxi_hp</f>
        <v>0</v>
      </c>
      <c r="I215" s="390">
        <f>IF(H215,Wh_hp,'2023'!Maxi_hp)</f>
        <v>55.682250887635263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4.8065844869908281E-2</v>
      </c>
      <c r="M215" s="957"/>
      <c r="N215" s="957"/>
      <c r="O215" s="48">
        <f>IF(t&lt;Tnet,'2023'!Resal+('2023'!Salim-'2023'!Resal)*(1-EXP(('2023'!Tnet-t)/('2023'!Tau_j))),Resal+(Salim-Resal)*(1-EXP((Tnet-t)/(Tau_j))))*Salcycl</f>
        <v>1.9741194031725501E-2</v>
      </c>
      <c r="P215" s="169">
        <f>(INDEX(Models!$BJ215:$BT215,,T215)*(1-R215)+INDEX(Models!$BJ215:$BT215,,T215+1)*R215-ERP_i)*Q215*Ramure*Pc/MaxiM</f>
        <v>6.3009309474005284E-3</v>
      </c>
      <c r="Q215" s="305">
        <f t="shared" si="80"/>
        <v>0.7</v>
      </c>
      <c r="R215" s="177">
        <f t="shared" si="81"/>
        <v>0.41909151713135939</v>
      </c>
      <c r="S215" s="919">
        <f t="shared" si="82"/>
        <v>1</v>
      </c>
      <c r="T215" s="176">
        <f t="shared" si="83"/>
        <v>7</v>
      </c>
      <c r="U215" s="251">
        <f t="shared" si="84"/>
        <v>1.4190915171313594</v>
      </c>
      <c r="V215" s="383">
        <f t="shared" si="85"/>
        <v>51.62732536537095</v>
      </c>
      <c r="W215" s="402">
        <f t="shared" si="86"/>
        <v>39.983472773202251</v>
      </c>
      <c r="X215" s="157">
        <f t="shared" si="87"/>
        <v>45492</v>
      </c>
      <c r="Y215" s="385">
        <f t="shared" si="88"/>
        <v>38.305094391644928</v>
      </c>
      <c r="Z215" s="385">
        <f t="shared" si="89"/>
        <v>40.239226825945899</v>
      </c>
      <c r="AA215" s="386">
        <f t="shared" si="90"/>
        <v>42.848226425475701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6.0889325350899665E-2</v>
      </c>
      <c r="AD215" s="231">
        <f>(INDEX(Models!$BJ215:$BT215,,AH215)*(1-AF215)+INDEX(Models!$BJ215:$BT215,,AH215+1)*AF215-ERP_i)*AE215*Ramure*Pc/MaxiM</f>
        <v>6.3009309474005284E-3</v>
      </c>
      <c r="AE215" s="305">
        <f t="shared" si="92"/>
        <v>0.7</v>
      </c>
      <c r="AF215" s="177">
        <f t="shared" si="93"/>
        <v>0.41909151713135939</v>
      </c>
      <c r="AG215" s="919">
        <f t="shared" si="99"/>
        <v>1</v>
      </c>
      <c r="AH215" s="176">
        <f t="shared" si="94"/>
        <v>7</v>
      </c>
      <c r="AI215" s="225">
        <f t="shared" si="95"/>
        <v>1.4190915171313594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1090">
        <f>IF(t&gt;Tmaj,'2023'!Wh/'2023'!Env_an*'2024'!Env_an,0.001*[9]mois!$B$58)</f>
        <v>49.904820069434031</v>
      </c>
      <c r="C216" s="953"/>
      <c r="D216" s="393">
        <f t="shared" si="77"/>
        <v>52.425803684070694</v>
      </c>
      <c r="E216" s="385">
        <f t="shared" si="75"/>
        <v>53.489040359413508</v>
      </c>
      <c r="F216" s="385">
        <f t="shared" si="78"/>
        <v>53.805687255190357</v>
      </c>
      <c r="G216" s="110">
        <f t="shared" si="76"/>
        <v>0.96825420675762008</v>
      </c>
      <c r="H216" s="412" t="b">
        <f>Wh_hp&gt;='2023'!Maxi_hp</f>
        <v>0</v>
      </c>
      <c r="I216" s="390">
        <f>IF(H216,Wh_hp,'2023'!Maxi_hp)</f>
        <v>53.809875905535357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4.8086694670980257E-2</v>
      </c>
      <c r="M216" s="957"/>
      <c r="N216" s="957"/>
      <c r="O216" s="48">
        <f>IF(t&lt;Tnet,'2023'!Resal+('2023'!Salim-'2023'!Resal)*(1-EXP(('2023'!Tnet-t)/('2023'!Tau_j))),Resal+(Salim-Resal)*(1-EXP((Tnet-t)/(Tau_j))))*Salcycl</f>
        <v>1.9877654715779489E-2</v>
      </c>
      <c r="P216" s="169">
        <f>(INDEX(Models!$BJ216:$BT216,,T216)*(1-R216)+INDEX(Models!$BJ216:$BT216,,T216+1)*R216-ERP_i)*Q216*Ramure*Pc/MaxiM</f>
        <v>6.1620893013880438E-3</v>
      </c>
      <c r="Q216" s="305">
        <f t="shared" si="80"/>
        <v>0.7</v>
      </c>
      <c r="R216" s="177">
        <f t="shared" si="81"/>
        <v>0.42184638988941936</v>
      </c>
      <c r="S216" s="919">
        <f t="shared" si="82"/>
        <v>1</v>
      </c>
      <c r="T216" s="176">
        <f t="shared" si="83"/>
        <v>7</v>
      </c>
      <c r="U216" s="251">
        <f t="shared" si="84"/>
        <v>1.4218463898894194</v>
      </c>
      <c r="V216" s="383">
        <f t="shared" si="85"/>
        <v>51.526665380894777</v>
      </c>
      <c r="W216" s="402">
        <f t="shared" si="86"/>
        <v>49.904820069434031</v>
      </c>
      <c r="X216" s="157">
        <f t="shared" si="87"/>
        <v>45493</v>
      </c>
      <c r="Y216" s="385">
        <f t="shared" si="88"/>
        <v>47.811843091335653</v>
      </c>
      <c r="Z216" s="385">
        <f t="shared" si="89"/>
        <v>50.227098228036581</v>
      </c>
      <c r="AA216" s="386">
        <f t="shared" si="90"/>
        <v>53.489040359413508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6.0983373593145082E-2</v>
      </c>
      <c r="AD216" s="231">
        <f>(INDEX(Models!$BJ216:$BT216,,AH216)*(1-AF216)+INDEX(Models!$BJ216:$BT216,,AH216+1)*AF216-ERP_i)*AE216*Ramure*Pc/MaxiM</f>
        <v>6.1620893013880438E-3</v>
      </c>
      <c r="AE216" s="305">
        <f t="shared" si="92"/>
        <v>0.7</v>
      </c>
      <c r="AF216" s="177">
        <f t="shared" si="93"/>
        <v>0.42184638988941936</v>
      </c>
      <c r="AG216" s="919">
        <f t="shared" si="99"/>
        <v>1</v>
      </c>
      <c r="AH216" s="176">
        <f t="shared" si="94"/>
        <v>7</v>
      </c>
      <c r="AI216" s="225">
        <f t="shared" si="95"/>
        <v>1.4218463898894194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1090">
        <f>IF(t&gt;Tmaj,'2023'!Wh/'2023'!Env_an*'2024'!Env_an,0.001*[9]mois!$B$59)</f>
        <v>38.091456525645164</v>
      </c>
      <c r="C217" s="953"/>
      <c r="D217" s="393">
        <f t="shared" si="77"/>
        <v>40.016554691826379</v>
      </c>
      <c r="E217" s="385">
        <f t="shared" si="75"/>
        <v>40.833796603478113</v>
      </c>
      <c r="F217" s="385">
        <f t="shared" si="78"/>
        <v>40.989192799166482</v>
      </c>
      <c r="G217" s="110">
        <f t="shared" si="76"/>
        <v>0.73903667397239448</v>
      </c>
      <c r="H217" s="412" t="b">
        <f>Wh_hp&gt;='2023'!Maxi_hp</f>
        <v>0</v>
      </c>
      <c r="I217" s="390">
        <f>IF(H217,Wh_hp,'2023'!Maxi_hp)</f>
        <v>54.507643131176636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4.8107544015387971E-2</v>
      </c>
      <c r="M217" s="957"/>
      <c r="N217" s="957"/>
      <c r="O217" s="48">
        <f>IF(t&lt;Tnet,'2023'!Resal+('2023'!Salim-'2023'!Resal)*(1-EXP(('2023'!Tnet-t)/('2023'!Tau_j))),Resal+(Salim-Resal)*(1-EXP((Tnet-t)/(Tau_j))))*Salcycl</f>
        <v>2.0013860567207848E-2</v>
      </c>
      <c r="P217" s="169">
        <f>(INDEX(Models!$BJ217:$BT217,,T217)*(1-R217)+INDEX(Models!$BJ217:$BT217,,T217+1)*R217-ERP_i)*Q217*Ramure*Pc/MaxiM</f>
        <v>6.0218606123475793E-3</v>
      </c>
      <c r="Q217" s="305">
        <f t="shared" si="80"/>
        <v>0.7</v>
      </c>
      <c r="R217" s="177">
        <f t="shared" si="81"/>
        <v>0.42452456554669848</v>
      </c>
      <c r="S217" s="919">
        <f t="shared" si="82"/>
        <v>1</v>
      </c>
      <c r="T217" s="176">
        <f t="shared" si="83"/>
        <v>7</v>
      </c>
      <c r="U217" s="251">
        <f t="shared" si="84"/>
        <v>1.4245245655466985</v>
      </c>
      <c r="V217" s="383">
        <f t="shared" si="85"/>
        <v>51.42662536279834</v>
      </c>
      <c r="W217" s="402">
        <f t="shared" si="86"/>
        <v>38.091456525645164</v>
      </c>
      <c r="X217" s="157">
        <f t="shared" si="87"/>
        <v>45494</v>
      </c>
      <c r="Y217" s="385">
        <f t="shared" si="88"/>
        <v>36.495359002026682</v>
      </c>
      <c r="Z217" s="385">
        <f t="shared" si="89"/>
        <v>38.339792244993539</v>
      </c>
      <c r="AA217" s="386">
        <f t="shared" si="90"/>
        <v>40.833796603478113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6.1076964816740541E-2</v>
      </c>
      <c r="AD217" s="231">
        <f>(INDEX(Models!$BJ217:$BT217,,AH217)*(1-AF217)+INDEX(Models!$BJ217:$BT217,,AH217+1)*AF217-ERP_i)*AE217*Ramure*Pc/MaxiM</f>
        <v>6.0218606123475793E-3</v>
      </c>
      <c r="AE217" s="305">
        <f t="shared" si="92"/>
        <v>0.7</v>
      </c>
      <c r="AF217" s="177">
        <f t="shared" si="93"/>
        <v>0.42452456554669848</v>
      </c>
      <c r="AG217" s="919">
        <f t="shared" si="99"/>
        <v>1</v>
      </c>
      <c r="AH217" s="176">
        <f t="shared" si="94"/>
        <v>7</v>
      </c>
      <c r="AI217" s="225">
        <f t="shared" si="95"/>
        <v>1.4245245655466985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1090">
        <f>IF(t&gt;Tmaj,'2023'!Wh/'2023'!Env_an*'2024'!Env_an,0.001*[9]mois!$B$60)</f>
        <v>42.500051649216751</v>
      </c>
      <c r="C218" s="953"/>
      <c r="D218" s="393">
        <f t="shared" si="77"/>
        <v>44.648933041336242</v>
      </c>
      <c r="E218" s="385">
        <f t="shared" si="75"/>
        <v>45.567101825462686</v>
      </c>
      <c r="F218" s="385">
        <f t="shared" si="78"/>
        <v>45.770117745138464</v>
      </c>
      <c r="G218" s="110">
        <f t="shared" si="76"/>
        <v>0.8268171639564732</v>
      </c>
      <c r="H218" s="412" t="b">
        <f>Wh_hp&gt;='2023'!Maxi_hp</f>
        <v>0</v>
      </c>
      <c r="I218" s="390">
        <f>IF(H218,Wh_hp,'2023'!Maxi_hp)</f>
        <v>56.297408043792899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4.8128392903141637E-2</v>
      </c>
      <c r="M218" s="957"/>
      <c r="N218" s="957"/>
      <c r="O218" s="48">
        <f>IF(t&lt;Tnet,'2023'!Resal+('2023'!Salim-'2023'!Resal)*(1-EXP(('2023'!Tnet-t)/('2023'!Tau_j))),Resal+(Salim-Resal)*(1-EXP((Tnet-t)/(Tau_j))))*Salcycl</f>
        <v>2.0149817463558255E-2</v>
      </c>
      <c r="P218" s="169">
        <f>(INDEX(Models!$BJ218:$BT218,,T218)*(1-R218)+INDEX(Models!$BJ218:$BT218,,T218+1)*R218-ERP_i)*Q218*Ramure*Pc/MaxiM</f>
        <v>5.8802632632288894E-3</v>
      </c>
      <c r="Q218" s="305">
        <f t="shared" si="80"/>
        <v>0.7</v>
      </c>
      <c r="R218" s="177">
        <f t="shared" si="81"/>
        <v>0.42712703530783069</v>
      </c>
      <c r="S218" s="919">
        <f t="shared" si="82"/>
        <v>1</v>
      </c>
      <c r="T218" s="176">
        <f t="shared" si="83"/>
        <v>7</v>
      </c>
      <c r="U218" s="251">
        <f t="shared" si="84"/>
        <v>1.4271270353078307</v>
      </c>
      <c r="V218" s="383">
        <f t="shared" si="85"/>
        <v>51.327403213387342</v>
      </c>
      <c r="W218" s="402">
        <f t="shared" si="86"/>
        <v>42.500051649216751</v>
      </c>
      <c r="X218" s="157">
        <f t="shared" si="87"/>
        <v>45495</v>
      </c>
      <c r="Y218" s="385">
        <f t="shared" si="88"/>
        <v>40.720835699358439</v>
      </c>
      <c r="Z218" s="385">
        <f t="shared" si="89"/>
        <v>42.779756634987919</v>
      </c>
      <c r="AA218" s="386">
        <f t="shared" si="90"/>
        <v>45.567101825462686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6.1170122277059397E-2</v>
      </c>
      <c r="AD218" s="231">
        <f>(INDEX(Models!$BJ218:$BT218,,AH218)*(1-AF218)+INDEX(Models!$BJ218:$BT218,,AH218+1)*AF218-ERP_i)*AE218*Ramure*Pc/MaxiM</f>
        <v>5.8802632632288894E-3</v>
      </c>
      <c r="AE218" s="305">
        <f t="shared" si="92"/>
        <v>0.7</v>
      </c>
      <c r="AF218" s="177">
        <f t="shared" si="93"/>
        <v>0.42712703530783069</v>
      </c>
      <c r="AG218" s="919">
        <f t="shared" si="99"/>
        <v>1</v>
      </c>
      <c r="AH218" s="176">
        <f t="shared" si="94"/>
        <v>7</v>
      </c>
      <c r="AI218" s="225">
        <f t="shared" si="95"/>
        <v>1.4271270353078307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1090">
        <f>IF(t&gt;Tmaj,'2023'!Wh/'2023'!Env_an*'2024'!Env_an,0.001*[9]mois!$B$61)</f>
        <v>50.321536205979399</v>
      </c>
      <c r="C219" s="953"/>
      <c r="D219" s="393">
        <f t="shared" si="77"/>
        <v>52.867044279627734</v>
      </c>
      <c r="E219" s="385">
        <f t="shared" si="75"/>
        <v>53.961685732597275</v>
      </c>
      <c r="F219" s="385">
        <f t="shared" si="78"/>
        <v>54.265145355792171</v>
      </c>
      <c r="G219" s="110">
        <f t="shared" si="76"/>
        <v>0.98214439918056995</v>
      </c>
      <c r="H219" s="412" t="b">
        <f>Wh_hp&gt;='2023'!Maxi_hp</f>
        <v>0</v>
      </c>
      <c r="I219" s="390">
        <f>IF(H219,Wh_hp,'2023'!Maxi_hp)</f>
        <v>54.267402568622785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4.8149241334251136E-2</v>
      </c>
      <c r="M219" s="957"/>
      <c r="N219" s="957"/>
      <c r="O219" s="48">
        <f>IF(t&lt;Tnet,'2023'!Resal+('2023'!Salim-'2023'!Resal)*(1-EXP(('2023'!Tnet-t)/('2023'!Tau_j))),Resal+(Salim-Resal)*(1-EXP((Tnet-t)/(Tau_j))))*Salcycl</f>
        <v>2.0285531078364453E-2</v>
      </c>
      <c r="P219" s="169">
        <f>(INDEX(Models!$BJ219:$BT219,,T219)*(1-R219)+INDEX(Models!$BJ219:$BT219,,T219+1)*R219-ERP_i)*Q219*Ramure*Pc/MaxiM</f>
        <v>5.7373372122546716E-3</v>
      </c>
      <c r="Q219" s="305">
        <f t="shared" si="80"/>
        <v>0.7</v>
      </c>
      <c r="R219" s="177">
        <f t="shared" si="81"/>
        <v>0.42965485935070791</v>
      </c>
      <c r="S219" s="919">
        <f t="shared" si="82"/>
        <v>1</v>
      </c>
      <c r="T219" s="176">
        <f t="shared" si="83"/>
        <v>7</v>
      </c>
      <c r="U219" s="251">
        <f t="shared" si="84"/>
        <v>1.4296548593507079</v>
      </c>
      <c r="V219" s="383">
        <f t="shared" si="85"/>
        <v>51.228912831251485</v>
      </c>
      <c r="W219" s="402">
        <f t="shared" si="86"/>
        <v>50.321536205979399</v>
      </c>
      <c r="X219" s="157">
        <f t="shared" si="87"/>
        <v>45496</v>
      </c>
      <c r="Y219" s="385">
        <f t="shared" si="88"/>
        <v>48.216797924244126</v>
      </c>
      <c r="Z219" s="385">
        <f t="shared" si="89"/>
        <v>50.655838097804043</v>
      </c>
      <c r="AA219" s="386">
        <f t="shared" si="90"/>
        <v>53.961685732597275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6.1262868087092165E-2</v>
      </c>
      <c r="AD219" s="231">
        <f>(INDEX(Models!$BJ219:$BT219,,AH219)*(1-AF219)+INDEX(Models!$BJ219:$BT219,,AH219+1)*AF219-ERP_i)*AE219*Ramure*Pc/MaxiM</f>
        <v>5.7373372122546716E-3</v>
      </c>
      <c r="AE219" s="305">
        <f t="shared" si="92"/>
        <v>0.7</v>
      </c>
      <c r="AF219" s="177">
        <f t="shared" si="93"/>
        <v>0.42965485935070791</v>
      </c>
      <c r="AG219" s="919">
        <f t="shared" si="99"/>
        <v>1</v>
      </c>
      <c r="AH219" s="176">
        <f t="shared" si="94"/>
        <v>7</v>
      </c>
      <c r="AI219" s="225">
        <f t="shared" si="95"/>
        <v>1.4296548593507079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1090">
        <f>IF(t&gt;Tmaj,'2023'!Wh/'2023'!Env_an*'2024'!Env_an,0.001*[9]mois!$B$62)</f>
        <v>25.867790510883196</v>
      </c>
      <c r="C220" s="953"/>
      <c r="D220" s="393">
        <f t="shared" si="77"/>
        <v>27.176904424128178</v>
      </c>
      <c r="E220" s="385">
        <f t="shared" si="75"/>
        <v>27.74345368160985</v>
      </c>
      <c r="F220" s="385">
        <f t="shared" si="78"/>
        <v>27.78917641004502</v>
      </c>
      <c r="G220" s="110">
        <f t="shared" si="76"/>
        <v>0.50391285451019829</v>
      </c>
      <c r="H220" s="412" t="b">
        <f>Wh_hp&gt;='2023'!Maxi_hp</f>
        <v>0</v>
      </c>
      <c r="I220" s="390">
        <f>IF(H220,Wh_hp,'2023'!Maxi_hp)</f>
        <v>54.530894378058939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4.8170089308726571E-2</v>
      </c>
      <c r="M220" s="957"/>
      <c r="N220" s="957"/>
      <c r="O220" s="48">
        <f>IF(t&lt;Tnet,'2023'!Resal+('2023'!Salim-'2023'!Resal)*(1-EXP(('2023'!Tnet-t)/('2023'!Tau_j))),Resal+(Salim-Resal)*(1-EXP((Tnet-t)/(Tau_j))))*Salcycl</f>
        <v>2.042100684303828E-2</v>
      </c>
      <c r="P220" s="169">
        <f>(INDEX(Models!$BJ220:$BT220,,T220)*(1-R220)+INDEX(Models!$BJ220:$BT220,,T220+1)*R220-ERP_i)*Q220*Ramure*Pc/MaxiM</f>
        <v>5.5933207073030006E-3</v>
      </c>
      <c r="Q220" s="305">
        <f t="shared" si="80"/>
        <v>0.7</v>
      </c>
      <c r="R220" s="177">
        <f t="shared" si="81"/>
        <v>0.43210916033784286</v>
      </c>
      <c r="S220" s="919">
        <f t="shared" si="82"/>
        <v>1</v>
      </c>
      <c r="T220" s="176">
        <f t="shared" si="83"/>
        <v>7</v>
      </c>
      <c r="U220" s="251">
        <f t="shared" si="84"/>
        <v>1.4321091603378429</v>
      </c>
      <c r="V220" s="383">
        <f t="shared" si="85"/>
        <v>51.130858268657015</v>
      </c>
      <c r="W220" s="402">
        <f t="shared" si="86"/>
        <v>25.867790510883196</v>
      </c>
      <c r="X220" s="157">
        <f t="shared" si="87"/>
        <v>45497</v>
      </c>
      <c r="Y220" s="385">
        <f t="shared" si="88"/>
        <v>24.786838653777949</v>
      </c>
      <c r="Z220" s="385">
        <f t="shared" si="89"/>
        <v>26.041247890367647</v>
      </c>
      <c r="AA220" s="386">
        <f t="shared" si="90"/>
        <v>27.74345368160985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6.135522313757702E-2</v>
      </c>
      <c r="AD220" s="231">
        <f>(INDEX(Models!$BJ220:$BT220,,AH220)*(1-AF220)+INDEX(Models!$BJ220:$BT220,,AH220+1)*AF220-ERP_i)*AE220*Ramure*Pc/MaxiM</f>
        <v>5.5933207073030006E-3</v>
      </c>
      <c r="AE220" s="305">
        <f t="shared" si="92"/>
        <v>0.7</v>
      </c>
      <c r="AF220" s="177">
        <f t="shared" si="93"/>
        <v>0.43210916033784286</v>
      </c>
      <c r="AG220" s="919">
        <f t="shared" si="99"/>
        <v>1</v>
      </c>
      <c r="AH220" s="176">
        <f t="shared" si="94"/>
        <v>7</v>
      </c>
      <c r="AI220" s="225">
        <f t="shared" si="95"/>
        <v>1.4321091603378429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1090">
        <f>IF(t&gt;Tmaj,'2023'!Wh/'2023'!Env_an*'2024'!Env_an,0.001*[9]mois!$B$63)</f>
        <v>49.179310702592602</v>
      </c>
      <c r="C221" s="953"/>
      <c r="D221" s="393">
        <f t="shared" si="77"/>
        <v>51.669302810191873</v>
      </c>
      <c r="E221" s="385">
        <f t="shared" si="75"/>
        <v>52.753721492996348</v>
      </c>
      <c r="F221" s="385">
        <f t="shared" si="78"/>
        <v>53.027628865862255</v>
      </c>
      <c r="G221" s="110">
        <f t="shared" si="76"/>
        <v>0.96340004622209274</v>
      </c>
      <c r="H221" s="412" t="b">
        <f>Wh_hp&gt;='2023'!Maxi_hp</f>
        <v>0</v>
      </c>
      <c r="I221" s="390">
        <f>IF(H221,Wh_hp,'2023'!Maxi_hp)</f>
        <v>54.739727703954557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4.8190936826577713E-2</v>
      </c>
      <c r="M221" s="957"/>
      <c r="N221" s="957"/>
      <c r="O221" s="48">
        <f>IF(t&lt;Tnet,'2023'!Resal+('2023'!Salim-'2023'!Resal)*(1-EXP(('2023'!Tnet-t)/('2023'!Tau_j))),Resal+(Salim-Resal)*(1-EXP((Tnet-t)/(Tau_j))))*Salcycl</f>
        <v>2.0556249912121197E-2</v>
      </c>
      <c r="P221" s="169">
        <f>(INDEX(Models!$BJ221:$BT221,,T221)*(1-R221)+INDEX(Models!$BJ221:$BT221,,T221+1)*R221-ERP_i)*Q221*Ramure*Pc/MaxiM</f>
        <v>5.4480966712847139E-3</v>
      </c>
      <c r="Q221" s="305">
        <f t="shared" si="80"/>
        <v>0.7</v>
      </c>
      <c r="R221" s="177">
        <f t="shared" si="81"/>
        <v>0.43449111711570176</v>
      </c>
      <c r="S221" s="919">
        <f t="shared" si="82"/>
        <v>1</v>
      </c>
      <c r="T221" s="176">
        <f t="shared" si="83"/>
        <v>7</v>
      </c>
      <c r="U221" s="251">
        <f t="shared" si="84"/>
        <v>1.4344911171157018</v>
      </c>
      <c r="V221" s="383">
        <f t="shared" si="85"/>
        <v>51.033145000339587</v>
      </c>
      <c r="W221" s="402">
        <f t="shared" si="86"/>
        <v>49.179310702592602</v>
      </c>
      <c r="X221" s="157">
        <f t="shared" si="87"/>
        <v>45498</v>
      </c>
      <c r="Y221" s="385">
        <f t="shared" si="88"/>
        <v>47.126115626503186</v>
      </c>
      <c r="Z221" s="385">
        <f t="shared" si="89"/>
        <v>49.512152646855682</v>
      </c>
      <c r="AA221" s="386">
        <f t="shared" si="90"/>
        <v>52.753721492996348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6.1447207029195511E-2</v>
      </c>
      <c r="AD221" s="231">
        <f>(INDEX(Models!$BJ221:$BT221,,AH221)*(1-AF221)+INDEX(Models!$BJ221:$BT221,,AH221+1)*AF221-ERP_i)*AE221*Ramure*Pc/MaxiM</f>
        <v>5.4480966712847139E-3</v>
      </c>
      <c r="AE221" s="305">
        <f t="shared" si="92"/>
        <v>0.7</v>
      </c>
      <c r="AF221" s="177">
        <f t="shared" si="93"/>
        <v>0.43449111711570176</v>
      </c>
      <c r="AG221" s="919">
        <f t="shared" si="99"/>
        <v>1</v>
      </c>
      <c r="AH221" s="176">
        <f t="shared" si="94"/>
        <v>7</v>
      </c>
      <c r="AI221" s="225">
        <f t="shared" si="95"/>
        <v>1.4344911171157018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1090">
        <f>IF(t&gt;Tmaj,'2023'!Wh/'2023'!Env_an*'2024'!Env_an,0.001*[9]mois!$B$64)</f>
        <v>53.251508471418404</v>
      </c>
      <c r="C222" s="953"/>
      <c r="D222" s="393">
        <f t="shared" si="77"/>
        <v>55.948904987432378</v>
      </c>
      <c r="E222" s="385">
        <f t="shared" si="75"/>
        <v>57.131018028730203</v>
      </c>
      <c r="F222" s="385">
        <f t="shared" si="78"/>
        <v>57.435524145441825</v>
      </c>
      <c r="G222" s="110">
        <f t="shared" si="76"/>
        <v>1.0454659363283154</v>
      </c>
      <c r="H222" s="412" t="b">
        <f>Wh_hp&gt;='2023'!Maxi_hp</f>
        <v>1</v>
      </c>
      <c r="I222" s="390">
        <f>IF(H222,Wh_hp,'2023'!Maxi_hp)</f>
        <v>57.435524145441825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4.8211783887814774E-2</v>
      </c>
      <c r="M222" s="957"/>
      <c r="N222" s="957"/>
      <c r="O222" s="48">
        <f>IF(t&lt;Tnet,'2023'!Resal+('2023'!Salim-'2023'!Resal)*(1-EXP(('2023'!Tnet-t)/('2023'!Tau_j))),Resal+(Salim-Resal)*(1-EXP((Tnet-t)/(Tau_j))))*Salcycl</f>
        <v>2.0691265132075198E-2</v>
      </c>
      <c r="P222" s="169">
        <f>(INDEX(Models!$BJ222:$BT222,,T222)*(1-R222)+INDEX(Models!$BJ222:$BT222,,T222+1)*R222-ERP_i)*Q222*Ramure*Pc/MaxiM</f>
        <v>5.3017034534329445E-3</v>
      </c>
      <c r="Q222" s="305">
        <f t="shared" si="80"/>
        <v>0.7</v>
      </c>
      <c r="R222" s="177">
        <f t="shared" si="81"/>
        <v>0.43680195862066773</v>
      </c>
      <c r="S222" s="919">
        <f t="shared" si="82"/>
        <v>1</v>
      </c>
      <c r="T222" s="176">
        <f t="shared" si="83"/>
        <v>7</v>
      </c>
      <c r="U222" s="251">
        <f t="shared" si="84"/>
        <v>1.4368019586206677</v>
      </c>
      <c r="V222" s="383">
        <f t="shared" si="85"/>
        <v>50.935670518771872</v>
      </c>
      <c r="W222" s="402">
        <f t="shared" si="86"/>
        <v>53.251508471418404</v>
      </c>
      <c r="X222" s="157">
        <f t="shared" si="87"/>
        <v>45499</v>
      </c>
      <c r="Y222" s="385">
        <f t="shared" si="88"/>
        <v>51.030355125117197</v>
      </c>
      <c r="Z222" s="385">
        <f t="shared" si="89"/>
        <v>53.615241564518762</v>
      </c>
      <c r="AA222" s="386">
        <f t="shared" si="90"/>
        <v>57.131018028730203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6.153883801691435E-2</v>
      </c>
      <c r="AD222" s="231">
        <f>(INDEX(Models!$BJ222:$BT222,,AH222)*(1-AF222)+INDEX(Models!$BJ222:$BT222,,AH222+1)*AF222-ERP_i)*AE222*Ramure*Pc/MaxiM</f>
        <v>5.3017034534329445E-3</v>
      </c>
      <c r="AE222" s="305">
        <f t="shared" si="92"/>
        <v>0.7</v>
      </c>
      <c r="AF222" s="177">
        <f t="shared" si="93"/>
        <v>0.43680195862066773</v>
      </c>
      <c r="AG222" s="919">
        <f t="shared" si="99"/>
        <v>1</v>
      </c>
      <c r="AH222" s="176">
        <f t="shared" si="94"/>
        <v>7</v>
      </c>
      <c r="AI222" s="225">
        <f t="shared" si="95"/>
        <v>1.4368019586206677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1090">
        <f>IF(t&gt;Tmaj,'2023'!Wh/'2023'!Env_an*'2024'!Env_an,0.001*[9]mois!$B$65)</f>
        <v>42.309180575221859</v>
      </c>
      <c r="C223" s="953"/>
      <c r="D223" s="393">
        <f t="shared" si="77"/>
        <v>44.453279163282069</v>
      </c>
      <c r="E223" s="385">
        <f t="shared" si="75"/>
        <v>45.398756249283011</v>
      </c>
      <c r="F223" s="385">
        <f t="shared" si="78"/>
        <v>45.577367870902236</v>
      </c>
      <c r="G223" s="110">
        <f t="shared" si="76"/>
        <v>0.83119779728346066</v>
      </c>
      <c r="H223" s="412" t="b">
        <f>Wh_hp&gt;='2023'!Maxi_hp</f>
        <v>0</v>
      </c>
      <c r="I223" s="390">
        <f>IF(H223,Wh_hp,'2023'!Maxi_hp)</f>
        <v>52.534108463708804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4.8232630492447748E-2</v>
      </c>
      <c r="M223" s="957"/>
      <c r="N223" s="957"/>
      <c r="O223" s="48">
        <f>IF(t&lt;Tnet,'2023'!Resal+('2023'!Salim-'2023'!Resal)*(1-EXP(('2023'!Tnet-t)/('2023'!Tau_j))),Resal+(Salim-Resal)*(1-EXP((Tnet-t)/(Tau_j))))*Salcycl</f>
        <v>2.0826057013750711E-2</v>
      </c>
      <c r="P223" s="169">
        <f>(INDEX(Models!$BJ223:$BT223,,T223)*(1-R223)+INDEX(Models!$BJ223:$BT223,,T223+1)*R223-ERP_i)*Q223*Ramure*Pc/MaxiM</f>
        <v>5.1541759597125546E-3</v>
      </c>
      <c r="Q223" s="305">
        <f t="shared" si="80"/>
        <v>0.7</v>
      </c>
      <c r="R223" s="177">
        <f t="shared" si="81"/>
        <v>0.43904295800724924</v>
      </c>
      <c r="S223" s="919">
        <f t="shared" si="82"/>
        <v>1</v>
      </c>
      <c r="T223" s="176">
        <f t="shared" si="83"/>
        <v>7</v>
      </c>
      <c r="U223" s="251">
        <f t="shared" si="84"/>
        <v>1.4390429580072492</v>
      </c>
      <c r="V223" s="383">
        <f t="shared" si="85"/>
        <v>50.838332534844923</v>
      </c>
      <c r="W223" s="402">
        <f t="shared" si="86"/>
        <v>42.309180575221859</v>
      </c>
      <c r="X223" s="157">
        <f t="shared" si="87"/>
        <v>45500</v>
      </c>
      <c r="Y223" s="385">
        <f t="shared" si="88"/>
        <v>40.546075020735785</v>
      </c>
      <c r="Z223" s="385">
        <f t="shared" si="89"/>
        <v>42.600824865129034</v>
      </c>
      <c r="AA223" s="386">
        <f t="shared" si="90"/>
        <v>45.398756249283011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6.1630132966432584E-2</v>
      </c>
      <c r="AD223" s="231">
        <f>(INDEX(Models!$BJ223:$BT223,,AH223)*(1-AF223)+INDEX(Models!$BJ223:$BT223,,AH223+1)*AF223-ERP_i)*AE223*Ramure*Pc/MaxiM</f>
        <v>5.1541759597125546E-3</v>
      </c>
      <c r="AE223" s="305">
        <f t="shared" si="92"/>
        <v>0.7</v>
      </c>
      <c r="AF223" s="177">
        <f t="shared" si="93"/>
        <v>0.43904295800724924</v>
      </c>
      <c r="AG223" s="919">
        <f t="shared" si="99"/>
        <v>1</v>
      </c>
      <c r="AH223" s="176">
        <f t="shared" si="94"/>
        <v>7</v>
      </c>
      <c r="AI223" s="225">
        <f t="shared" si="95"/>
        <v>1.4390429580072492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1090">
        <f>IF(t&gt;Tmaj,'2023'!Wh/'2023'!Env_an*'2024'!Env_an,0.001*[9]mois!$B$66)</f>
        <v>28.183898595943056</v>
      </c>
      <c r="C224" s="953"/>
      <c r="D224" s="393">
        <f t="shared" si="77"/>
        <v>29.612820119855428</v>
      </c>
      <c r="E224" s="385">
        <f t="shared" si="75"/>
        <v>30.246812353462651</v>
      </c>
      <c r="F224" s="385">
        <f t="shared" si="78"/>
        <v>30.302163425357396</v>
      </c>
      <c r="G224" s="110">
        <f t="shared" si="76"/>
        <v>0.55367699840581763</v>
      </c>
      <c r="H224" s="412" t="b">
        <f>Wh_hp&gt;='2023'!Maxi_hp</f>
        <v>0</v>
      </c>
      <c r="I224" s="390">
        <f>IF(H224,Wh_hp,'2023'!Maxi_hp)</f>
        <v>55.721551124095164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4.8253476640486515E-2</v>
      </c>
      <c r="M224" s="957"/>
      <c r="N224" s="957"/>
      <c r="O224" s="48">
        <f>IF(t&lt;Tnet,'2023'!Resal+('2023'!Salim-'2023'!Resal)*(1-EXP(('2023'!Tnet-t)/('2023'!Tau_j))),Resal+(Salim-Resal)*(1-EXP((Tnet-t)/(Tau_j))))*Salcycl</f>
        <v>2.0960629708625989E-2</v>
      </c>
      <c r="P224" s="169">
        <f>(INDEX(Models!$BJ224:$BT224,,T224)*(1-R224)+INDEX(Models!$BJ224:$BT224,,T224+1)*R224-ERP_i)*Q224*Ramure*Pc/MaxiM</f>
        <v>5.005545724596174E-3</v>
      </c>
      <c r="Q224" s="305">
        <f t="shared" si="80"/>
        <v>0.7</v>
      </c>
      <c r="R224" s="177">
        <f t="shared" si="81"/>
        <v>0.44121542701128247</v>
      </c>
      <c r="S224" s="919">
        <f t="shared" si="82"/>
        <v>1</v>
      </c>
      <c r="T224" s="176">
        <f t="shared" si="83"/>
        <v>7</v>
      </c>
      <c r="U224" s="251">
        <f t="shared" si="84"/>
        <v>1.4412154270112825</v>
      </c>
      <c r="V224" s="383">
        <f t="shared" si="85"/>
        <v>50.741028971884312</v>
      </c>
      <c r="W224" s="402">
        <f t="shared" si="86"/>
        <v>28.183898595943056</v>
      </c>
      <c r="X224" s="157">
        <f t="shared" si="87"/>
        <v>45501</v>
      </c>
      <c r="Y224" s="385">
        <f t="shared" si="88"/>
        <v>27.010514559863008</v>
      </c>
      <c r="Z224" s="385">
        <f t="shared" si="89"/>
        <v>28.379945602028783</v>
      </c>
      <c r="AA224" s="386">
        <f t="shared" si="90"/>
        <v>30.246812353462651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6.172110732257536E-2</v>
      </c>
      <c r="AD224" s="231">
        <f>(INDEX(Models!$BJ224:$BT224,,AH224)*(1-AF224)+INDEX(Models!$BJ224:$BT224,,AH224+1)*AF224-ERP_i)*AE224*Ramure*Pc/MaxiM</f>
        <v>5.005545724596174E-3</v>
      </c>
      <c r="AE224" s="305">
        <f t="shared" si="92"/>
        <v>0.7</v>
      </c>
      <c r="AF224" s="177">
        <f t="shared" si="93"/>
        <v>0.44121542701128247</v>
      </c>
      <c r="AG224" s="919">
        <f t="shared" si="99"/>
        <v>1</v>
      </c>
      <c r="AH224" s="176">
        <f t="shared" si="94"/>
        <v>7</v>
      </c>
      <c r="AI224" s="225">
        <f t="shared" si="95"/>
        <v>1.4412154270112825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1090">
        <f>IF(t&gt;Tmaj,'2023'!Wh/'2023'!Env_an*'2024'!Env_an,0.001*[9]mois!$B$67)</f>
        <v>42.475096306982174</v>
      </c>
      <c r="C225" s="953"/>
      <c r="D225" s="393">
        <f t="shared" si="77"/>
        <v>44.629557974158772</v>
      </c>
      <c r="E225" s="385">
        <f t="shared" si="75"/>
        <v>45.591305980625577</v>
      </c>
      <c r="F225" s="385">
        <f t="shared" si="78"/>
        <v>45.762317572075993</v>
      </c>
      <c r="G225" s="110">
        <f t="shared" si="76"/>
        <v>0.83776320355248435</v>
      </c>
      <c r="H225" s="412" t="b">
        <f>Wh_hp&gt;='2023'!Maxi_hp</f>
        <v>0</v>
      </c>
      <c r="I225" s="390">
        <f>IF(H225,Wh_hp,'2023'!Maxi_hp)</f>
        <v>53.533900381500366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4.8274322331941177E-2</v>
      </c>
      <c r="M225" s="957"/>
      <c r="N225" s="957"/>
      <c r="O225" s="48">
        <f>IF(t&lt;Tnet,'2023'!Resal+('2023'!Salim-'2023'!Resal)*(1-EXP(('2023'!Tnet-t)/('2023'!Tau_j))),Resal+(Salim-Resal)*(1-EXP((Tnet-t)/(Tau_j))))*Salcycl</f>
        <v>2.1094986988868258E-2</v>
      </c>
      <c r="P225" s="169">
        <f>(INDEX(Models!$BJ225:$BT225,,T225)*(1-R225)+INDEX(Models!$BJ225:$BT225,,T225+1)*R225-ERP_i)*Q225*Ramure*Pc/MaxiM</f>
        <v>4.8558409981357522E-3</v>
      </c>
      <c r="Q225" s="305">
        <f t="shared" si="80"/>
        <v>0.7</v>
      </c>
      <c r="R225" s="177">
        <f t="shared" si="81"/>
        <v>0.44332071055816513</v>
      </c>
      <c r="S225" s="919">
        <f t="shared" si="82"/>
        <v>1</v>
      </c>
      <c r="T225" s="176">
        <f t="shared" si="83"/>
        <v>7</v>
      </c>
      <c r="U225" s="251">
        <f t="shared" si="84"/>
        <v>1.4433207105581651</v>
      </c>
      <c r="V225" s="383">
        <f t="shared" si="85"/>
        <v>50.643657958938292</v>
      </c>
      <c r="W225" s="402">
        <f t="shared" si="86"/>
        <v>42.475096306982174</v>
      </c>
      <c r="X225" s="157">
        <f t="shared" si="87"/>
        <v>45502</v>
      </c>
      <c r="Y225" s="385">
        <f t="shared" si="88"/>
        <v>40.70837790949485</v>
      </c>
      <c r="Z225" s="385">
        <f t="shared" si="89"/>
        <v>42.773226429320999</v>
      </c>
      <c r="AA225" s="386">
        <f t="shared" si="90"/>
        <v>45.591305980625577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6.1811775089358943E-2</v>
      </c>
      <c r="AD225" s="231">
        <f>(INDEX(Models!$BJ225:$BT225,,AH225)*(1-AF225)+INDEX(Models!$BJ225:$BT225,,AH225+1)*AF225-ERP_i)*AE225*Ramure*Pc/MaxiM</f>
        <v>4.8558409981357522E-3</v>
      </c>
      <c r="AE225" s="305">
        <f t="shared" si="92"/>
        <v>0.7</v>
      </c>
      <c r="AF225" s="177">
        <f t="shared" si="93"/>
        <v>0.44332071055816513</v>
      </c>
      <c r="AG225" s="919">
        <f t="shared" si="99"/>
        <v>1</v>
      </c>
      <c r="AH225" s="176">
        <f t="shared" si="94"/>
        <v>7</v>
      </c>
      <c r="AI225" s="225">
        <f t="shared" si="95"/>
        <v>1.4433207105581651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1090">
        <f>IF(t&gt;Tmaj,'2023'!Wh/'2023'!Env_an*'2024'!Env_an,0.001*[9]mois!$B$68)</f>
        <v>51.061713590135298</v>
      </c>
      <c r="C226" s="953"/>
      <c r="D226" s="393">
        <f t="shared" si="77"/>
        <v>53.652888847467814</v>
      </c>
      <c r="E226" s="385">
        <f t="shared" si="75"/>
        <v>54.81659764738999</v>
      </c>
      <c r="F226" s="385">
        <f t="shared" si="78"/>
        <v>55.075837023601309</v>
      </c>
      <c r="G226" s="110">
        <f t="shared" si="76"/>
        <v>1.0102023959132442</v>
      </c>
      <c r="H226" s="412" t="b">
        <f>Wh_hp&gt;='2023'!Maxi_hp</f>
        <v>1</v>
      </c>
      <c r="I226" s="390">
        <f>IF(H226,Wh_hp,'2023'!Maxi_hp)</f>
        <v>55.075837023601309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4.8295167566821617E-2</v>
      </c>
      <c r="M226" s="957"/>
      <c r="N226" s="957"/>
      <c r="O226" s="48">
        <f>IF(t&lt;Tnet,'2023'!Resal+('2023'!Salim-'2023'!Resal)*(1-EXP(('2023'!Tnet-t)/('2023'!Tau_j))),Resal+(Salim-Resal)*(1-EXP((Tnet-t)/(Tau_j))))*Salcycl</f>
        <v>2.1229132231222719E-2</v>
      </c>
      <c r="P226" s="169">
        <f>(INDEX(Models!$BJ226:$BT226,,T226)*(1-R226)+INDEX(Models!$BJ226:$BT226,,T226+1)*R226-ERP_i)*Q226*Ramure*Pc/MaxiM</f>
        <v>4.706952998285341E-3</v>
      </c>
      <c r="Q226" s="305">
        <f t="shared" si="80"/>
        <v>0.7</v>
      </c>
      <c r="R226" s="177">
        <f t="shared" si="81"/>
        <v>0.44536018162363811</v>
      </c>
      <c r="S226" s="919">
        <f t="shared" si="82"/>
        <v>1</v>
      </c>
      <c r="T226" s="176">
        <f t="shared" si="83"/>
        <v>7</v>
      </c>
      <c r="U226" s="251">
        <f t="shared" si="84"/>
        <v>1.4453601816236381</v>
      </c>
      <c r="V226" s="383">
        <f t="shared" si="85"/>
        <v>50.546023051127726</v>
      </c>
      <c r="W226" s="402">
        <f t="shared" si="86"/>
        <v>51.061713590135298</v>
      </c>
      <c r="X226" s="157">
        <f t="shared" si="87"/>
        <v>45503</v>
      </c>
      <c r="Y226" s="385">
        <f t="shared" si="88"/>
        <v>48.939834003847842</v>
      </c>
      <c r="Z226" s="385">
        <f t="shared" si="89"/>
        <v>51.42333246194169</v>
      </c>
      <c r="AA226" s="386">
        <f t="shared" si="90"/>
        <v>54.81659764738999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6.1902148821340965E-2</v>
      </c>
      <c r="AD226" s="231">
        <f>(INDEX(Models!$BJ226:$BT226,,AH226)*(1-AF226)+INDEX(Models!$BJ226:$BT226,,AH226+1)*AF226-ERP_i)*AE226*Ramure*Pc/MaxiM</f>
        <v>4.706952998285341E-3</v>
      </c>
      <c r="AE226" s="305">
        <f t="shared" si="92"/>
        <v>0.7</v>
      </c>
      <c r="AF226" s="177">
        <f t="shared" si="93"/>
        <v>0.44536018162363811</v>
      </c>
      <c r="AG226" s="919">
        <f t="shared" si="99"/>
        <v>1</v>
      </c>
      <c r="AH226" s="176">
        <f t="shared" si="94"/>
        <v>7</v>
      </c>
      <c r="AI226" s="225">
        <f t="shared" si="95"/>
        <v>1.4453601816236381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1090">
        <f>IF(t&gt;Tmaj,'2023'!Wh/'2023'!Env_an*'2024'!Env_an,0.001*'[10]mon-tableau (1)'!$B$38)</f>
        <v>50.989912292187967</v>
      </c>
      <c r="C227" s="953"/>
      <c r="D227" s="393">
        <f t="shared" si="77"/>
        <v>53.578617433542426</v>
      </c>
      <c r="E227" s="385">
        <f t="shared" si="75"/>
        <v>54.748207127440175</v>
      </c>
      <c r="F227" s="385">
        <f t="shared" si="78"/>
        <v>54.998968794704098</v>
      </c>
      <c r="G227" s="110">
        <f t="shared" si="76"/>
        <v>1.0107420217858487</v>
      </c>
      <c r="H227" s="412" t="b">
        <f>Wh_hp&gt;='2023'!Maxi_hp</f>
        <v>1</v>
      </c>
      <c r="I227" s="390">
        <f>IF(H227,Wh_hp,'2023'!Maxi_hp)</f>
        <v>54.998968794704098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4.8316012345137938E-2</v>
      </c>
      <c r="M227" s="957"/>
      <c r="N227" s="957"/>
      <c r="O227" s="48">
        <f>IF(t&lt;Tnet,'2023'!Resal+('2023'!Salim-'2023'!Resal)*(1-EXP(('2023'!Tnet-t)/('2023'!Tau_j))),Resal+(Salim-Resal)*(1-EXP((Tnet-t)/(Tau_j))))*Salcycl</f>
        <v>2.1363068404691977E-2</v>
      </c>
      <c r="P227" s="169">
        <f>(INDEX(Models!$BJ227:$BT227,,T227)*(1-R227)+INDEX(Models!$BJ227:$BT227,,T227+1)*R227-ERP_i)*Q227*Ramure*Pc/MaxiM</f>
        <v>4.559388525991275E-3</v>
      </c>
      <c r="Q227" s="305">
        <f t="shared" si="80"/>
        <v>0.7</v>
      </c>
      <c r="R227" s="177">
        <f t="shared" si="81"/>
        <v>0.44733523635230732</v>
      </c>
      <c r="S227" s="919">
        <f t="shared" si="82"/>
        <v>1</v>
      </c>
      <c r="T227" s="176">
        <f t="shared" si="83"/>
        <v>7</v>
      </c>
      <c r="U227" s="251">
        <f t="shared" si="84"/>
        <v>1.4473352363523073</v>
      </c>
      <c r="V227" s="383">
        <f t="shared" si="85"/>
        <v>50.447998790131898</v>
      </c>
      <c r="W227" s="402">
        <f t="shared" si="86"/>
        <v>50.989912292187967</v>
      </c>
      <c r="X227" s="157">
        <f t="shared" si="87"/>
        <v>45504</v>
      </c>
      <c r="Y227" s="385">
        <f t="shared" si="88"/>
        <v>48.87301090600215</v>
      </c>
      <c r="Z227" s="385">
        <f t="shared" si="89"/>
        <v>51.354243152114954</v>
      </c>
      <c r="AA227" s="386">
        <f t="shared" si="90"/>
        <v>54.748207127440175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6.1992239625763806E-2</v>
      </c>
      <c r="AD227" s="231">
        <f>(INDEX(Models!$BJ227:$BT227,,AH227)*(1-AF227)+INDEX(Models!$BJ227:$BT227,,AH227+1)*AF227-ERP_i)*AE227*Ramure*Pc/MaxiM</f>
        <v>4.559388525991275E-3</v>
      </c>
      <c r="AE227" s="305">
        <f t="shared" si="92"/>
        <v>0.7</v>
      </c>
      <c r="AF227" s="177">
        <f t="shared" si="93"/>
        <v>0.44733523635230732</v>
      </c>
      <c r="AG227" s="919">
        <f t="shared" si="99"/>
        <v>1</v>
      </c>
      <c r="AH227" s="176">
        <f t="shared" si="94"/>
        <v>7</v>
      </c>
      <c r="AI227" s="225">
        <f t="shared" si="95"/>
        <v>1.4473352363523073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1090">
        <f>IF(t&gt;Tmaj,'2023'!Wh/'2023'!Env_an*'2024'!Env_an,0.001*'[10]mon-tableau (1)'!$B$39)</f>
        <v>51.04012185440962</v>
      </c>
      <c r="C228" s="953"/>
      <c r="D228" s="393">
        <f t="shared" si="77"/>
        <v>53.632550773845225</v>
      </c>
      <c r="E228" s="385">
        <f t="shared" si="75"/>
        <v>54.810807637233864</v>
      </c>
      <c r="F228" s="385">
        <f t="shared" si="78"/>
        <v>55.053769932764389</v>
      </c>
      <c r="G228" s="110">
        <f t="shared" si="76"/>
        <v>1.0137168832934345</v>
      </c>
      <c r="H228" s="412" t="b">
        <f>Wh_hp&gt;='2023'!Maxi_hp</f>
        <v>1</v>
      </c>
      <c r="I228" s="390">
        <f>IF(H228,Wh_hp,'2023'!Maxi_hp)</f>
        <v>55.053769932764389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4.8336856666900241E-2</v>
      </c>
      <c r="M228" s="957"/>
      <c r="N228" s="957"/>
      <c r="O228" s="48">
        <f>IF(t&lt;Tnet,'2023'!Resal+('2023'!Salim-'2023'!Resal)*(1-EXP(('2023'!Tnet-t)/('2023'!Tau_j))),Resal+(Salim-Resal)*(1-EXP((Tnet-t)/(Tau_j))))*Salcycl</f>
        <v>2.1496798061925223E-2</v>
      </c>
      <c r="P228" s="169">
        <f>(INDEX(Models!$BJ228:$BT228,,T228)*(1-R228)+INDEX(Models!$BJ228:$BT228,,T228+1)*R228-ERP_i)*Q228*Ramure*Pc/MaxiM</f>
        <v>4.4131818007603664E-3</v>
      </c>
      <c r="Q228" s="305">
        <f t="shared" si="80"/>
        <v>0.7</v>
      </c>
      <c r="R228" s="177">
        <f t="shared" si="81"/>
        <v>0.44924728943694414</v>
      </c>
      <c r="S228" s="919">
        <f t="shared" si="82"/>
        <v>1</v>
      </c>
      <c r="T228" s="176">
        <f t="shared" si="83"/>
        <v>7</v>
      </c>
      <c r="U228" s="251">
        <f t="shared" si="84"/>
        <v>1.4492472894369441</v>
      </c>
      <c r="V228" s="383">
        <f t="shared" si="85"/>
        <v>50.349483860411688</v>
      </c>
      <c r="W228" s="402">
        <f t="shared" si="86"/>
        <v>51.04012185440962</v>
      </c>
      <c r="X228" s="157">
        <f t="shared" si="87"/>
        <v>45505</v>
      </c>
      <c r="Y228" s="385">
        <f t="shared" si="88"/>
        <v>48.923136885411907</v>
      </c>
      <c r="Z228" s="385">
        <f t="shared" si="89"/>
        <v>51.408039943696657</v>
      </c>
      <c r="AA228" s="386">
        <f t="shared" si="90"/>
        <v>54.810807637233864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6.2082057174900125E-2</v>
      </c>
      <c r="AD228" s="231">
        <f>(INDEX(Models!$BJ228:$BT228,,AH228)*(1-AF228)+INDEX(Models!$BJ228:$BT228,,AH228+1)*AF228-ERP_i)*AE228*Ramure*Pc/MaxiM</f>
        <v>4.4131818007603664E-3</v>
      </c>
      <c r="AE228" s="305">
        <f t="shared" si="92"/>
        <v>0.7</v>
      </c>
      <c r="AF228" s="177">
        <f t="shared" si="93"/>
        <v>0.44924728943694414</v>
      </c>
      <c r="AG228" s="919">
        <f t="shared" si="99"/>
        <v>1</v>
      </c>
      <c r="AH228" s="176">
        <f t="shared" si="94"/>
        <v>7</v>
      </c>
      <c r="AI228" s="225">
        <f t="shared" si="95"/>
        <v>1.4492472894369441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1090">
        <f>IF(t&gt;Tmaj,'2023'!Wh/'2023'!Env_an*'2024'!Env_an,0.001*'[10]mon-tableau (1)'!$B$40)</f>
        <v>49.427108327374569</v>
      </c>
      <c r="C229" s="953"/>
      <c r="D229" s="393">
        <f t="shared" si="77"/>
        <v>51.938746685610894</v>
      </c>
      <c r="E229" s="385">
        <f t="shared" si="75"/>
        <v>53.087036448853823</v>
      </c>
      <c r="F229" s="385">
        <f t="shared" si="78"/>
        <v>53.309254159616508</v>
      </c>
      <c r="G229" s="110">
        <f t="shared" si="76"/>
        <v>0.98351798936545742</v>
      </c>
      <c r="H229" s="412" t="b">
        <f>Wh_hp&gt;='2023'!Maxi_hp</f>
        <v>0</v>
      </c>
      <c r="I229" s="390">
        <f>IF(H229,Wh_hp,'2023'!Maxi_hp)</f>
        <v>53.74274506897126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4.8357700532118297E-2</v>
      </c>
      <c r="M229" s="957"/>
      <c r="N229" s="957"/>
      <c r="O229" s="48">
        <f>IF(t&lt;Tnet,'2023'!Resal+('2023'!Salim-'2023'!Resal)*(1-EXP(('2023'!Tnet-t)/('2023'!Tau_j))),Resal+(Salim-Resal)*(1-EXP((Tnet-t)/(Tau_j))))*Salcycl</f>
        <v>2.1630323334195442E-2</v>
      </c>
      <c r="P229" s="169">
        <f>(INDEX(Models!$BJ229:$BT229,,T229)*(1-R229)+INDEX(Models!$BJ229:$BT229,,T229+1)*R229-ERP_i)*Q229*Ramure*Pc/MaxiM</f>
        <v>4.2683641360097497E-3</v>
      </c>
      <c r="Q229" s="305">
        <f t="shared" si="80"/>
        <v>0.7</v>
      </c>
      <c r="R229" s="177">
        <f t="shared" si="81"/>
        <v>0.45109776975966698</v>
      </c>
      <c r="S229" s="919">
        <f t="shared" si="82"/>
        <v>1</v>
      </c>
      <c r="T229" s="176">
        <f t="shared" si="83"/>
        <v>7</v>
      </c>
      <c r="U229" s="251">
        <f t="shared" si="84"/>
        <v>1.451097769759667</v>
      </c>
      <c r="V229" s="383">
        <f t="shared" si="85"/>
        <v>50.250377137464575</v>
      </c>
      <c r="W229" s="402">
        <f t="shared" si="86"/>
        <v>49.427108327374569</v>
      </c>
      <c r="X229" s="157">
        <f t="shared" si="87"/>
        <v>45506</v>
      </c>
      <c r="Y229" s="385">
        <f t="shared" si="88"/>
        <v>47.378967831910145</v>
      </c>
      <c r="Z229" s="385">
        <f t="shared" si="89"/>
        <v>49.786529937143889</v>
      </c>
      <c r="AA229" s="386">
        <f t="shared" si="90"/>
        <v>53.087036448853823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6.2171609727918735E-2</v>
      </c>
      <c r="AD229" s="231">
        <f>(INDEX(Models!$BJ229:$BT229,,AH229)*(1-AF229)+INDEX(Models!$BJ229:$BT229,,AH229+1)*AF229-ERP_i)*AE229*Ramure*Pc/MaxiM</f>
        <v>4.2683641360097497E-3</v>
      </c>
      <c r="AE229" s="305">
        <f t="shared" si="92"/>
        <v>0.7</v>
      </c>
      <c r="AF229" s="177">
        <f t="shared" si="93"/>
        <v>0.45109776975966698</v>
      </c>
      <c r="AG229" s="919">
        <f t="shared" si="99"/>
        <v>1</v>
      </c>
      <c r="AH229" s="176">
        <f t="shared" si="94"/>
        <v>7</v>
      </c>
      <c r="AI229" s="225">
        <f t="shared" si="95"/>
        <v>1.451097769759667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1090">
        <f>IF(t&gt;Tmaj,'2023'!Wh/'2023'!Env_an*'2024'!Env_an,0.001*'[10]mon-tableau (1)'!$B$41)</f>
        <v>48.89483957964736</v>
      </c>
      <c r="C230" s="953"/>
      <c r="D230" s="393">
        <f t="shared" si="77"/>
        <v>51.380556069141157</v>
      </c>
      <c r="E230" s="385">
        <f t="shared" si="75"/>
        <v>52.52366246189839</v>
      </c>
      <c r="F230" s="385">
        <f t="shared" si="78"/>
        <v>52.733404943910884</v>
      </c>
      <c r="G230" s="110">
        <f t="shared" si="76"/>
        <v>0.97481621348283543</v>
      </c>
      <c r="H230" s="412" t="b">
        <f>Wh_hp&gt;='2023'!Maxi_hp</f>
        <v>0</v>
      </c>
      <c r="I230" s="390">
        <f>IF(H230,Wh_hp,'2023'!Maxi_hp)</f>
        <v>52.735892100965984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4.837854394080221E-2</v>
      </c>
      <c r="M230" s="957"/>
      <c r="N230" s="957"/>
      <c r="O230" s="48">
        <f>IF(t&lt;Tnet,'2023'!Resal+('2023'!Salim-'2023'!Resal)*(1-EXP(('2023'!Tnet-t)/('2023'!Tau_j))),Resal+(Salim-Resal)*(1-EXP((Tnet-t)/(Tau_j))))*Salcycl</f>
        <v>2.1763645929802872E-2</v>
      </c>
      <c r="P230" s="169">
        <f>(INDEX(Models!$BJ230:$BT230,,T230)*(1-R230)+INDEX(Models!$BJ230:$BT230,,T230+1)*R230-ERP_i)*Q230*Ramure*Pc/MaxiM</f>
        <v>4.1249641401057951E-3</v>
      </c>
      <c r="Q230" s="305">
        <f t="shared" si="80"/>
        <v>0.7</v>
      </c>
      <c r="R230" s="177">
        <f t="shared" si="81"/>
        <v>0.45288811629434389</v>
      </c>
      <c r="S230" s="919">
        <f t="shared" si="82"/>
        <v>1</v>
      </c>
      <c r="T230" s="176">
        <f t="shared" si="83"/>
        <v>7</v>
      </c>
      <c r="U230" s="251">
        <f t="shared" si="84"/>
        <v>1.4528881162943439</v>
      </c>
      <c r="V230" s="383">
        <f t="shared" si="85"/>
        <v>50.150577677679117</v>
      </c>
      <c r="W230" s="402">
        <f t="shared" si="86"/>
        <v>48.89483957964736</v>
      </c>
      <c r="X230" s="157">
        <f t="shared" si="87"/>
        <v>45507</v>
      </c>
      <c r="Y230" s="385">
        <f t="shared" si="88"/>
        <v>46.870679532419565</v>
      </c>
      <c r="Z230" s="385">
        <f t="shared" si="89"/>
        <v>49.253491747146846</v>
      </c>
      <c r="AA230" s="386">
        <f t="shared" si="90"/>
        <v>52.52366246189839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6.2260904161505967E-2</v>
      </c>
      <c r="AD230" s="231">
        <f>(INDEX(Models!$BJ230:$BT230,,AH230)*(1-AF230)+INDEX(Models!$BJ230:$BT230,,AH230+1)*AF230-ERP_i)*AE230*Ramure*Pc/MaxiM</f>
        <v>4.1249641401057951E-3</v>
      </c>
      <c r="AE230" s="305">
        <f t="shared" si="92"/>
        <v>0.7</v>
      </c>
      <c r="AF230" s="177">
        <f t="shared" si="93"/>
        <v>0.45288811629434389</v>
      </c>
      <c r="AG230" s="919">
        <f t="shared" si="99"/>
        <v>1</v>
      </c>
      <c r="AH230" s="176">
        <f t="shared" si="94"/>
        <v>7</v>
      </c>
      <c r="AI230" s="225">
        <f t="shared" si="95"/>
        <v>1.4528881162943439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1090">
        <f>IF(t&gt;Tmaj,'2023'!Wh/'2023'!Env_an*'2024'!Env_an,0.001*'[10]mon-tableau (1)'!$B$42)</f>
        <v>44.086909726415186</v>
      </c>
      <c r="C231" s="953"/>
      <c r="D231" s="393">
        <f t="shared" si="77"/>
        <v>46.329215344311891</v>
      </c>
      <c r="E231" s="385">
        <f t="shared" si="75"/>
        <v>47.366386070149908</v>
      </c>
      <c r="F231" s="385">
        <f t="shared" si="78"/>
        <v>47.52345519310478</v>
      </c>
      <c r="G231" s="110">
        <f t="shared" si="76"/>
        <v>0.88025847378760547</v>
      </c>
      <c r="H231" s="412" t="b">
        <f>Wh_hp&gt;='2023'!Maxi_hp</f>
        <v>0</v>
      </c>
      <c r="I231" s="390">
        <f>IF(H231,Wh_hp,'2023'!Maxi_hp)</f>
        <v>53.36011340472448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4.8399386892961971E-2</v>
      </c>
      <c r="M231" s="957"/>
      <c r="N231" s="957"/>
      <c r="O231" s="48">
        <f>IF(t&lt;Tnet,'2023'!Resal+('2023'!Salim-'2023'!Resal)*(1-EXP(('2023'!Tnet-t)/('2023'!Tau_j))),Resal+(Salim-Resal)*(1-EXP((Tnet-t)/(Tau_j))))*Salcycl</f>
        <v>2.1896767135705954E-2</v>
      </c>
      <c r="P231" s="169">
        <f>(INDEX(Models!$BJ231:$BT231,,T231)*(1-R231)+INDEX(Models!$BJ231:$BT231,,T231+1)*R231-ERP_i)*Q231*Ramure*Pc/MaxiM</f>
        <v>3.9830079147482123E-3</v>
      </c>
      <c r="Q231" s="305">
        <f t="shared" si="80"/>
        <v>0.7</v>
      </c>
      <c r="R231" s="177">
        <f t="shared" si="81"/>
        <v>0.45461977426798628</v>
      </c>
      <c r="S231" s="919">
        <f t="shared" si="82"/>
        <v>1</v>
      </c>
      <c r="T231" s="176">
        <f t="shared" si="83"/>
        <v>7</v>
      </c>
      <c r="U231" s="251">
        <f t="shared" si="84"/>
        <v>1.4546197742679863</v>
      </c>
      <c r="V231" s="383">
        <f t="shared" si="85"/>
        <v>50.049984706989505</v>
      </c>
      <c r="W231" s="402">
        <f t="shared" si="86"/>
        <v>44.086909726415186</v>
      </c>
      <c r="X231" s="157">
        <f t="shared" si="87"/>
        <v>45508</v>
      </c>
      <c r="Y231" s="385">
        <f t="shared" si="88"/>
        <v>42.26352791437013</v>
      </c>
      <c r="Z231" s="385">
        <f t="shared" si="89"/>
        <v>44.41309445606278</v>
      </c>
      <c r="AA231" s="386">
        <f t="shared" si="90"/>
        <v>47.366386070149908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6.2349946008405432E-2</v>
      </c>
      <c r="AD231" s="231">
        <f>(INDEX(Models!$BJ231:$BT231,,AH231)*(1-AF231)+INDEX(Models!$BJ231:$BT231,,AH231+1)*AF231-ERP_i)*AE231*Ramure*Pc/MaxiM</f>
        <v>3.9830079147482123E-3</v>
      </c>
      <c r="AE231" s="305">
        <f t="shared" si="92"/>
        <v>0.7</v>
      </c>
      <c r="AF231" s="177">
        <f t="shared" si="93"/>
        <v>0.45461977426798628</v>
      </c>
      <c r="AG231" s="919">
        <f t="shared" si="99"/>
        <v>1</v>
      </c>
      <c r="AH231" s="176">
        <f t="shared" si="94"/>
        <v>7</v>
      </c>
      <c r="AI231" s="225">
        <f t="shared" si="95"/>
        <v>1.4546197742679863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1090">
        <f>IF(t&gt;Tmaj,'2023'!Wh/'2023'!Env_an*'2024'!Env_an,0.001*'[10]mon-tableau (1)'!$B$43)</f>
        <v>46.608829544556187</v>
      </c>
      <c r="C232" s="953"/>
      <c r="D232" s="393">
        <f t="shared" si="77"/>
        <v>48.980475398935702</v>
      </c>
      <c r="E232" s="385">
        <f t="shared" si="75"/>
        <v>50.083806010287283</v>
      </c>
      <c r="F232" s="385">
        <f t="shared" si="78"/>
        <v>50.258478927193984</v>
      </c>
      <c r="G232" s="110">
        <f t="shared" si="76"/>
        <v>0.93279408545528097</v>
      </c>
      <c r="H232" s="412" t="b">
        <f>Wh_hp&gt;='2023'!Maxi_hp</f>
        <v>0</v>
      </c>
      <c r="I232" s="390">
        <f>IF(H232,Wh_hp,'2023'!Maxi_hp)</f>
        <v>54.203152791652954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4.8420229388607572E-2</v>
      </c>
      <c r="M232" s="957"/>
      <c r="N232" s="957"/>
      <c r="O232" s="48">
        <f>IF(t&lt;Tnet,'2023'!Resal+('2023'!Salim-'2023'!Resal)*(1-EXP(('2023'!Tnet-t)/('2023'!Tau_j))),Resal+(Salim-Resal)*(1-EXP((Tnet-t)/(Tau_j))))*Salcycl</f>
        <v>2.2029687822146666E-2</v>
      </c>
      <c r="P232" s="169">
        <f>(INDEX(Models!$BJ232:$BT232,,T232)*(1-R232)+INDEX(Models!$BJ232:$BT232,,T232+1)*R232-ERP_i)*Q232*Ramure*Pc/MaxiM</f>
        <v>3.8425192488303131E-3</v>
      </c>
      <c r="Q232" s="305">
        <f t="shared" si="80"/>
        <v>0.7</v>
      </c>
      <c r="R232" s="177">
        <f t="shared" si="81"/>
        <v>0.45629419157751783</v>
      </c>
      <c r="S232" s="919">
        <f t="shared" si="82"/>
        <v>1</v>
      </c>
      <c r="T232" s="176">
        <f t="shared" si="83"/>
        <v>7</v>
      </c>
      <c r="U232" s="251">
        <f t="shared" si="84"/>
        <v>1.4562941915775178</v>
      </c>
      <c r="V232" s="383">
        <f t="shared" si="85"/>
        <v>49.94849761179799</v>
      </c>
      <c r="W232" s="402">
        <f t="shared" si="86"/>
        <v>46.608829544556187</v>
      </c>
      <c r="X232" s="157">
        <f t="shared" si="87"/>
        <v>45509</v>
      </c>
      <c r="Y232" s="385">
        <f t="shared" si="88"/>
        <v>44.682985192844981</v>
      </c>
      <c r="Z232" s="385">
        <f t="shared" si="89"/>
        <v>46.956636293493347</v>
      </c>
      <c r="AA232" s="386">
        <f t="shared" si="90"/>
        <v>50.083806010287283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6.2438739502976515E-2</v>
      </c>
      <c r="AD232" s="231">
        <f>(INDEX(Models!$BJ232:$BT232,,AH232)*(1-AF232)+INDEX(Models!$BJ232:$BT232,,AH232+1)*AF232-ERP_i)*AE232*Ramure*Pc/MaxiM</f>
        <v>3.8425192488303131E-3</v>
      </c>
      <c r="AE232" s="305">
        <f t="shared" si="92"/>
        <v>0.7</v>
      </c>
      <c r="AF232" s="177">
        <f t="shared" si="93"/>
        <v>0.45629419157751783</v>
      </c>
      <c r="AG232" s="919">
        <f t="shared" si="99"/>
        <v>1</v>
      </c>
      <c r="AH232" s="176">
        <f t="shared" si="94"/>
        <v>7</v>
      </c>
      <c r="AI232" s="225">
        <f t="shared" si="95"/>
        <v>1.4562941915775178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1090">
        <f>IF(t&gt;Tmaj,'2023'!Wh/'2023'!Env_an*'2024'!Env_an,0.001*'[10]mon-tableau (1)'!$B$44)</f>
        <v>49.722917316823619</v>
      </c>
      <c r="C233" s="953"/>
      <c r="D233" s="393">
        <f t="shared" si="77"/>
        <v>52.254165058836087</v>
      </c>
      <c r="E233" s="385">
        <f t="shared" ref="E233:E296" si="100">Wh_pvt/(1-Psa)</f>
        <v>53.438490717059381</v>
      </c>
      <c r="F233" s="385">
        <f t="shared" si="78"/>
        <v>53.63643281395651</v>
      </c>
      <c r="G233" s="110">
        <f t="shared" ref="G233:G296" si="101">+Wh_hp/MaxiM</f>
        <v>0.99751590780957455</v>
      </c>
      <c r="H233" s="412" t="b">
        <f>Wh_hp&gt;='2023'!Maxi_hp</f>
        <v>0</v>
      </c>
      <c r="I233" s="390">
        <f>IF(H233,Wh_hp,'2023'!Maxi_hp)</f>
        <v>53.636667435087631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4.8441071427749116E-2</v>
      </c>
      <c r="M233" s="957"/>
      <c r="N233" s="957"/>
      <c r="O233" s="48">
        <f>IF(t&lt;Tnet,'2023'!Resal+('2023'!Salim-'2023'!Resal)*(1-EXP(('2023'!Tnet-t)/('2023'!Tau_j))),Resal+(Salim-Resal)*(1-EXP((Tnet-t)/(Tau_j))))*Salcycl</f>
        <v>2.2162408450005427E-2</v>
      </c>
      <c r="P233" s="169">
        <f>(INDEX(Models!$BJ233:$BT233,,T233)*(1-R233)+INDEX(Models!$BJ233:$BT233,,T233+1)*R233-ERP_i)*Q233*Ramure*Pc/MaxiM</f>
        <v>3.7035145355567298E-3</v>
      </c>
      <c r="Q233" s="305">
        <f t="shared" si="80"/>
        <v>0.7</v>
      </c>
      <c r="R233" s="177">
        <f t="shared" si="81"/>
        <v>0.45791281545708129</v>
      </c>
      <c r="S233" s="919">
        <f t="shared" si="82"/>
        <v>1</v>
      </c>
      <c r="T233" s="176">
        <f t="shared" si="83"/>
        <v>7</v>
      </c>
      <c r="U233" s="251">
        <f t="shared" si="84"/>
        <v>1.4579128154570813</v>
      </c>
      <c r="V233" s="383">
        <f t="shared" si="85"/>
        <v>49.846087136120232</v>
      </c>
      <c r="W233" s="402">
        <f t="shared" si="86"/>
        <v>49.722917316823619</v>
      </c>
      <c r="X233" s="157">
        <f t="shared" si="87"/>
        <v>45510</v>
      </c>
      <c r="Y233" s="385">
        <f t="shared" si="88"/>
        <v>47.67036833787791</v>
      </c>
      <c r="Z233" s="385">
        <f t="shared" si="89"/>
        <v>50.097126837330023</v>
      </c>
      <c r="AA233" s="386">
        <f t="shared" si="90"/>
        <v>53.438490717059381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6.2527287632820117E-2</v>
      </c>
      <c r="AD233" s="231">
        <f>(INDEX(Models!$BJ233:$BT233,,AH233)*(1-AF233)+INDEX(Models!$BJ233:$BT233,,AH233+1)*AF233-ERP_i)*AE233*Ramure*Pc/MaxiM</f>
        <v>3.7035145355567298E-3</v>
      </c>
      <c r="AE233" s="305">
        <f t="shared" si="92"/>
        <v>0.7</v>
      </c>
      <c r="AF233" s="177">
        <f t="shared" si="93"/>
        <v>0.45791281545708129</v>
      </c>
      <c r="AG233" s="919">
        <f t="shared" si="99"/>
        <v>1</v>
      </c>
      <c r="AH233" s="176">
        <f t="shared" si="94"/>
        <v>7</v>
      </c>
      <c r="AI233" s="225">
        <f t="shared" si="95"/>
        <v>1.4579128154570813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1090">
        <f>IF(t&gt;Tmaj,'2023'!Wh/'2023'!Env_an*'2024'!Env_an,0.001*'[10]mon-tableau (1)'!$B$45)</f>
        <v>50.331202586397296</v>
      </c>
      <c r="C234" s="953"/>
      <c r="D234" s="393">
        <f t="shared" si="77"/>
        <v>52.894574872594895</v>
      </c>
      <c r="E234" s="385">
        <f t="shared" si="100"/>
        <v>54.100747194503469</v>
      </c>
      <c r="F234" s="385">
        <f t="shared" si="78"/>
        <v>54.294471719651789</v>
      </c>
      <c r="G234" s="110">
        <f t="shared" si="101"/>
        <v>1.0118300277067904</v>
      </c>
      <c r="H234" s="412" t="b">
        <f>Wh_hp&gt;='2023'!Maxi_hp</f>
        <v>1</v>
      </c>
      <c r="I234" s="390">
        <f>IF(H234,Wh_hp,'2023'!Maxi_hp)</f>
        <v>54.294471719651789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4.8461913010396485E-2</v>
      </c>
      <c r="M234" s="957"/>
      <c r="N234" s="957"/>
      <c r="O234" s="48">
        <f>IF(t&lt;Tnet,'2023'!Resal+('2023'!Salim-'2023'!Resal)*(1-EXP(('2023'!Tnet-t)/('2023'!Tau_j))),Resal+(Salim-Resal)*(1-EXP((Tnet-t)/(Tau_j))))*Salcycl</f>
        <v>2.2294929080593644E-2</v>
      </c>
      <c r="P234" s="169">
        <f>(INDEX(Models!$BJ234:$BT234,,T234)*(1-R234)+INDEX(Models!$BJ234:$BT234,,T234+1)*R234-ERP_i)*Q234*Ramure*Pc/MaxiM</f>
        <v>3.5680340744194206E-3</v>
      </c>
      <c r="Q234" s="305">
        <f t="shared" si="80"/>
        <v>0.7</v>
      </c>
      <c r="R234" s="177">
        <f t="shared" si="81"/>
        <v>0.45947708939000287</v>
      </c>
      <c r="S234" s="919">
        <f t="shared" si="82"/>
        <v>1</v>
      </c>
      <c r="T234" s="176">
        <f t="shared" si="83"/>
        <v>7</v>
      </c>
      <c r="U234" s="251">
        <f t="shared" si="84"/>
        <v>1.4594770893900029</v>
      </c>
      <c r="V234" s="383">
        <f t="shared" si="85"/>
        <v>49.742744540274053</v>
      </c>
      <c r="W234" s="402">
        <f t="shared" si="86"/>
        <v>50.331202586397296</v>
      </c>
      <c r="X234" s="157">
        <f t="shared" si="87"/>
        <v>45511</v>
      </c>
      <c r="Y234" s="385">
        <f t="shared" si="88"/>
        <v>48.255538335474576</v>
      </c>
      <c r="Z234" s="385">
        <f t="shared" si="89"/>
        <v>50.71319687070163</v>
      </c>
      <c r="AA234" s="386">
        <f t="shared" si="90"/>
        <v>54.100747194503469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6.2615592195480962E-2</v>
      </c>
      <c r="AD234" s="231">
        <f>(INDEX(Models!$BJ234:$BT234,,AH234)*(1-AF234)+INDEX(Models!$BJ234:$BT234,,AH234+1)*AF234-ERP_i)*AE234*Ramure*Pc/MaxiM</f>
        <v>3.5680340744194206E-3</v>
      </c>
      <c r="AE234" s="305">
        <f t="shared" si="92"/>
        <v>0.7</v>
      </c>
      <c r="AF234" s="177">
        <f t="shared" si="93"/>
        <v>0.45947708939000287</v>
      </c>
      <c r="AG234" s="919">
        <f t="shared" si="99"/>
        <v>1</v>
      </c>
      <c r="AH234" s="176">
        <f t="shared" si="94"/>
        <v>7</v>
      </c>
      <c r="AI234" s="225">
        <f t="shared" si="95"/>
        <v>1.4594770893900029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1090">
        <f>IF(t&gt;Tmaj,'2023'!Wh/'2023'!Env_an*'2024'!Env_an,0.001*'[10]mon-tableau (1)'!$B$46)</f>
        <v>48.494687266664876</v>
      </c>
      <c r="C235" s="953"/>
      <c r="D235" s="393">
        <f t="shared" si="77"/>
        <v>50.965641954980107</v>
      </c>
      <c r="E235" s="385">
        <f t="shared" si="100"/>
        <v>52.134884000245549</v>
      </c>
      <c r="F235" s="385">
        <f t="shared" si="78"/>
        <v>52.308695099519447</v>
      </c>
      <c r="G235" s="110">
        <f t="shared" si="101"/>
        <v>0.97684505264864574</v>
      </c>
      <c r="H235" s="412" t="b">
        <f>Wh_hp&gt;='2023'!Maxi_hp</f>
        <v>0</v>
      </c>
      <c r="I235" s="390">
        <f>IF(H235,Wh_hp,'2023'!Maxi_hp)</f>
        <v>54.505372378920782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4.8482754136559669E-2</v>
      </c>
      <c r="M235" s="957"/>
      <c r="N235" s="957"/>
      <c r="O235" s="48">
        <f>IF(t&lt;Tnet,'2023'!Resal+('2023'!Salim-'2023'!Resal)*(1-EXP(('2023'!Tnet-t)/('2023'!Tau_j))),Resal+(Salim-Resal)*(1-EXP((Tnet-t)/(Tau_j))))*Salcycl</f>
        <v>2.2427249387568137E-2</v>
      </c>
      <c r="P235" s="169">
        <f>(INDEX(Models!$BJ235:$BT235,,T235)*(1-R235)+INDEX(Models!$BJ235:$BT235,,T235+1)*R235-ERP_i)*Q235*Ramure*Pc/MaxiM</f>
        <v>3.4359059415539658E-3</v>
      </c>
      <c r="Q235" s="305">
        <f t="shared" si="80"/>
        <v>0.7</v>
      </c>
      <c r="R235" s="177">
        <f t="shared" si="81"/>
        <v>0.46098845025863122</v>
      </c>
      <c r="S235" s="919">
        <f t="shared" si="82"/>
        <v>1</v>
      </c>
      <c r="T235" s="176">
        <f t="shared" si="83"/>
        <v>7</v>
      </c>
      <c r="U235" s="251">
        <f t="shared" si="84"/>
        <v>1.4609884502586312</v>
      </c>
      <c r="V235" s="383">
        <f t="shared" si="85"/>
        <v>49.63856201652343</v>
      </c>
      <c r="W235" s="402">
        <f t="shared" si="86"/>
        <v>48.494687266664876</v>
      </c>
      <c r="X235" s="157">
        <f t="shared" si="87"/>
        <v>45512</v>
      </c>
      <c r="Y235" s="385">
        <f t="shared" si="88"/>
        <v>46.496685953868237</v>
      </c>
      <c r="Z235" s="385">
        <f t="shared" si="89"/>
        <v>48.865836279904208</v>
      </c>
      <c r="AA235" s="386">
        <f t="shared" si="90"/>
        <v>52.134884000245549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6.2703653859207578E-2</v>
      </c>
      <c r="AD235" s="231">
        <f>(INDEX(Models!$BJ235:$BT235,,AH235)*(1-AF235)+INDEX(Models!$BJ235:$BT235,,AH235+1)*AF235-ERP_i)*AE235*Ramure*Pc/MaxiM</f>
        <v>3.4359059415539658E-3</v>
      </c>
      <c r="AE235" s="305">
        <f t="shared" si="92"/>
        <v>0.7</v>
      </c>
      <c r="AF235" s="177">
        <f t="shared" si="93"/>
        <v>0.46098845025863122</v>
      </c>
      <c r="AG235" s="919">
        <f t="shared" si="99"/>
        <v>1</v>
      </c>
      <c r="AH235" s="176">
        <f t="shared" si="94"/>
        <v>7</v>
      </c>
      <c r="AI235" s="225">
        <f t="shared" si="95"/>
        <v>1.4609884502586312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1090">
        <f>IF(t&gt;Tmaj,'2023'!Wh/'2023'!Env_an*'2024'!Env_an,0.001*'[10]mon-tableau (1)'!$B$47)</f>
        <v>47.104652808510558</v>
      </c>
      <c r="C236" s="953"/>
      <c r="D236" s="393">
        <f t="shared" si="77"/>
        <v>49.505865236473205</v>
      </c>
      <c r="E236" s="385">
        <f t="shared" si="100"/>
        <v>50.648462576333415</v>
      </c>
      <c r="F236" s="385">
        <f t="shared" si="78"/>
        <v>50.804711192899667</v>
      </c>
      <c r="G236" s="110">
        <f t="shared" si="101"/>
        <v>0.9507422252417389</v>
      </c>
      <c r="H236" s="412" t="b">
        <f>Wh_hp&gt;='2023'!Maxi_hp</f>
        <v>0</v>
      </c>
      <c r="I236" s="390">
        <f>IF(H236,Wh_hp,'2023'!Maxi_hp)</f>
        <v>52.854099421104479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4.8503594806248662E-2</v>
      </c>
      <c r="M236" s="957"/>
      <c r="N236" s="957"/>
      <c r="O236" s="48">
        <f>IF(t&lt;Tnet,'2023'!Resal+('2023'!Salim-'2023'!Resal)*(1-EXP(('2023'!Tnet-t)/('2023'!Tau_j))),Resal+(Salim-Resal)*(1-EXP((Tnet-t)/(Tau_j))))*Salcycl</f>
        <v>2.2559368670631939E-2</v>
      </c>
      <c r="P236" s="169">
        <f>(INDEX(Models!$BJ236:$BT236,,T236)*(1-R236)+INDEX(Models!$BJ236:$BT236,,T236+1)*R236-ERP_i)*Q236*Ramure*Pc/MaxiM</f>
        <v>3.3071491644101263E-3</v>
      </c>
      <c r="Q236" s="305">
        <f t="shared" si="80"/>
        <v>0.7</v>
      </c>
      <c r="R236" s="177">
        <f t="shared" si="81"/>
        <v>0.46244832572452843</v>
      </c>
      <c r="S236" s="919">
        <f t="shared" si="82"/>
        <v>1</v>
      </c>
      <c r="T236" s="176">
        <f t="shared" si="83"/>
        <v>7</v>
      </c>
      <c r="U236" s="251">
        <f t="shared" si="84"/>
        <v>1.4624483257245284</v>
      </c>
      <c r="V236" s="383">
        <f t="shared" si="85"/>
        <v>49.533622215068377</v>
      </c>
      <c r="W236" s="402">
        <f t="shared" si="86"/>
        <v>47.104652808510558</v>
      </c>
      <c r="X236" s="157">
        <f t="shared" si="87"/>
        <v>45513</v>
      </c>
      <c r="Y236" s="385">
        <f t="shared" si="88"/>
        <v>45.165794110577316</v>
      </c>
      <c r="Z236" s="385">
        <f t="shared" si="89"/>
        <v>47.468171045144722</v>
      </c>
      <c r="AA236" s="386">
        <f t="shared" si="90"/>
        <v>50.648462576333415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6.2791472226735548E-2</v>
      </c>
      <c r="AD236" s="231">
        <f>(INDEX(Models!$BJ236:$BT236,,AH236)*(1-AF236)+INDEX(Models!$BJ236:$BT236,,AH236+1)*AF236-ERP_i)*AE236*Ramure*Pc/MaxiM</f>
        <v>3.3071491644101263E-3</v>
      </c>
      <c r="AE236" s="305">
        <f t="shared" si="92"/>
        <v>0.7</v>
      </c>
      <c r="AF236" s="177">
        <f t="shared" si="93"/>
        <v>0.46244832572452843</v>
      </c>
      <c r="AG236" s="919">
        <f t="shared" si="99"/>
        <v>1</v>
      </c>
      <c r="AH236" s="176">
        <f t="shared" si="94"/>
        <v>7</v>
      </c>
      <c r="AI236" s="225">
        <f t="shared" si="95"/>
        <v>1.4624483257245284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1090">
        <f>IF(t&gt;Tmaj,'2023'!Wh/'2023'!Env_an*'2024'!Env_an,0.001*'[10]mon-tableau (1)'!$B$48)</f>
        <v>44.571096801314546</v>
      </c>
      <c r="C237" s="953"/>
      <c r="D237" s="393">
        <f t="shared" si="77"/>
        <v>46.844184382419499</v>
      </c>
      <c r="E237" s="385">
        <f t="shared" si="100"/>
        <v>47.931818989409471</v>
      </c>
      <c r="F237" s="385">
        <f t="shared" si="78"/>
        <v>48.063278837948836</v>
      </c>
      <c r="G237" s="110">
        <f t="shared" si="101"/>
        <v>0.90133381584835159</v>
      </c>
      <c r="H237" s="412" t="b">
        <f>Wh_hp&gt;='2023'!Maxi_hp</f>
        <v>0</v>
      </c>
      <c r="I237" s="390">
        <f>IF(H237,Wh_hp,'2023'!Maxi_hp)</f>
        <v>52.879735063277003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4.8524435019473566E-2</v>
      </c>
      <c r="M237" s="957"/>
      <c r="N237" s="957"/>
      <c r="O237" s="48">
        <f>IF(t&lt;Tnet,'2023'!Resal+('2023'!Salim-'2023'!Resal)*(1-EXP(('2023'!Tnet-t)/('2023'!Tau_j))),Resal+(Salim-Resal)*(1-EXP((Tnet-t)/(Tau_j))))*Salcycl</f>
        <v>2.2691285870671589E-2</v>
      </c>
      <c r="P237" s="169">
        <f>(INDEX(Models!$BJ237:$BT237,,T237)*(1-R237)+INDEX(Models!$BJ237:$BT237,,T237+1)*R237-ERP_i)*Q237*Ramure*Pc/MaxiM</f>
        <v>3.1817830920173348E-3</v>
      </c>
      <c r="Q237" s="305">
        <f t="shared" si="80"/>
        <v>0.7</v>
      </c>
      <c r="R237" s="177">
        <f t="shared" si="81"/>
        <v>0.46385813183087077</v>
      </c>
      <c r="S237" s="919">
        <f t="shared" si="82"/>
        <v>1</v>
      </c>
      <c r="T237" s="176">
        <f t="shared" si="83"/>
        <v>7</v>
      </c>
      <c r="U237" s="251">
        <f t="shared" si="84"/>
        <v>1.4638581318308708</v>
      </c>
      <c r="V237" s="383">
        <f t="shared" si="85"/>
        <v>49.428007798079719</v>
      </c>
      <c r="W237" s="402">
        <f t="shared" si="86"/>
        <v>44.571096801314546</v>
      </c>
      <c r="X237" s="157">
        <f t="shared" si="87"/>
        <v>45514</v>
      </c>
      <c r="Y237" s="385">
        <f t="shared" si="88"/>
        <v>42.738295643762136</v>
      </c>
      <c r="Z237" s="385">
        <f t="shared" si="89"/>
        <v>44.917911943053262</v>
      </c>
      <c r="AA237" s="386">
        <f t="shared" si="90"/>
        <v>47.931818989409471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6.2879045901056502E-2</v>
      </c>
      <c r="AD237" s="231">
        <f>(INDEX(Models!$BJ237:$BT237,,AH237)*(1-AF237)+INDEX(Models!$BJ237:$BT237,,AH237+1)*AF237-ERP_i)*AE237*Ramure*Pc/MaxiM</f>
        <v>3.1817830920173348E-3</v>
      </c>
      <c r="AE237" s="305">
        <f t="shared" si="92"/>
        <v>0.7</v>
      </c>
      <c r="AF237" s="177">
        <f t="shared" si="93"/>
        <v>0.46385813183087077</v>
      </c>
      <c r="AG237" s="919">
        <f t="shared" si="99"/>
        <v>1</v>
      </c>
      <c r="AH237" s="176">
        <f t="shared" si="94"/>
        <v>7</v>
      </c>
      <c r="AI237" s="225">
        <f t="shared" si="95"/>
        <v>1.4638581318308708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1090">
        <f>IF(t&gt;Tmaj,'2023'!Wh/'2023'!Env_an*'2024'!Env_an,0.001*'[10]mon-tableau (1)'!$B$49)</f>
        <v>45.966208539659874</v>
      </c>
      <c r="C238" s="953"/>
      <c r="D238" s="393">
        <f t="shared" si="77"/>
        <v>48.311503764774415</v>
      </c>
      <c r="E238" s="385">
        <f t="shared" si="100"/>
        <v>49.439869894916519</v>
      </c>
      <c r="F238" s="385">
        <f t="shared" si="78"/>
        <v>49.576822669600908</v>
      </c>
      <c r="G238" s="110">
        <f t="shared" si="101"/>
        <v>0.93168739494408714</v>
      </c>
      <c r="H238" s="412" t="b">
        <f>Wh_hp&gt;='2023'!Maxi_hp</f>
        <v>0</v>
      </c>
      <c r="I238" s="390">
        <f>IF(H238,Wh_hp,'2023'!Maxi_hp)</f>
        <v>51.227825043986797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4.8545274776244374E-2</v>
      </c>
      <c r="M238" s="957"/>
      <c r="N238" s="957"/>
      <c r="O238" s="48">
        <f>IF(t&lt;Tnet,'2023'!Resal+('2023'!Salim-'2023'!Resal)*(1-EXP(('2023'!Tnet-t)/('2023'!Tau_j))),Resal+(Salim-Resal)*(1-EXP((Tnet-t)/(Tau_j))))*Salcycl</f>
        <v>2.2822999585970227E-2</v>
      </c>
      <c r="P238" s="169">
        <f>(INDEX(Models!$BJ238:$BT238,,T238)*(1-R238)+INDEX(Models!$BJ238:$BT238,,T238+1)*R238-ERP_i)*Q238*Ramure*Pc/MaxiM</f>
        <v>3.0598274624911649E-3</v>
      </c>
      <c r="Q238" s="305">
        <f t="shared" si="80"/>
        <v>0.7</v>
      </c>
      <c r="R238" s="177">
        <f t="shared" si="81"/>
        <v>0.46521927081843684</v>
      </c>
      <c r="S238" s="919">
        <f t="shared" si="82"/>
        <v>1</v>
      </c>
      <c r="T238" s="176">
        <f t="shared" si="83"/>
        <v>7</v>
      </c>
      <c r="U238" s="251">
        <f t="shared" si="84"/>
        <v>1.4652192708184368</v>
      </c>
      <c r="V238" s="383">
        <f t="shared" si="85"/>
        <v>49.321801433394967</v>
      </c>
      <c r="W238" s="402">
        <f t="shared" si="86"/>
        <v>45.966208539659874</v>
      </c>
      <c r="X238" s="157">
        <f t="shared" si="87"/>
        <v>45515</v>
      </c>
      <c r="Y238" s="385">
        <f t="shared" si="88"/>
        <v>44.077872391278696</v>
      </c>
      <c r="Z238" s="385">
        <f t="shared" si="89"/>
        <v>46.326820628183654</v>
      </c>
      <c r="AA238" s="386">
        <f t="shared" si="90"/>
        <v>49.439869894916519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6.296637255214442E-2</v>
      </c>
      <c r="AD238" s="231">
        <f>(INDEX(Models!$BJ238:$BT238,,AH238)*(1-AF238)+INDEX(Models!$BJ238:$BT238,,AH238+1)*AF238-ERP_i)*AE238*Ramure*Pc/MaxiM</f>
        <v>3.0598274624911649E-3</v>
      </c>
      <c r="AE238" s="305">
        <f t="shared" si="92"/>
        <v>0.7</v>
      </c>
      <c r="AF238" s="177">
        <f t="shared" si="93"/>
        <v>0.46521927081843684</v>
      </c>
      <c r="AG238" s="919">
        <f t="shared" si="99"/>
        <v>1</v>
      </c>
      <c r="AH238" s="176">
        <f t="shared" si="94"/>
        <v>7</v>
      </c>
      <c r="AI238" s="225">
        <f t="shared" si="95"/>
        <v>1.4652192708184368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1090">
        <f>IF(t&gt;Tmaj,'2023'!Wh/'2023'!Env_an*'2024'!Env_an,0.001*'[10]mon-tableau (1)'!$B$50)</f>
        <v>36.081841023517875</v>
      </c>
      <c r="C239" s="953"/>
      <c r="D239" s="393">
        <f t="shared" si="77"/>
        <v>37.92364509752359</v>
      </c>
      <c r="E239" s="385">
        <f t="shared" si="100"/>
        <v>38.814615503065205</v>
      </c>
      <c r="F239" s="385">
        <f t="shared" si="78"/>
        <v>38.885387645075298</v>
      </c>
      <c r="G239" s="110">
        <f t="shared" si="101"/>
        <v>0.73232239065531335</v>
      </c>
      <c r="H239" s="412" t="b">
        <f>Wh_hp&gt;='2023'!Maxi_hp</f>
        <v>0</v>
      </c>
      <c r="I239" s="390">
        <f>IF(H239,Wh_hp,'2023'!Maxi_hp)</f>
        <v>48.536022746732414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4.8566114076570854E-2</v>
      </c>
      <c r="M239" s="957"/>
      <c r="N239" s="957"/>
      <c r="O239" s="48">
        <f>IF(t&lt;Tnet,'2023'!Resal+('2023'!Salim-'2023'!Resal)*(1-EXP(('2023'!Tnet-t)/('2023'!Tau_j))),Resal+(Salim-Resal)*(1-EXP((Tnet-t)/(Tau_j))))*Salcycl</f>
        <v>2.2954508089130916E-2</v>
      </c>
      <c r="P239" s="169">
        <f>(INDEX(Models!$BJ239:$BT239,,T239)*(1-R239)+INDEX(Models!$BJ239:$BT239,,T239+1)*R239-ERP_i)*Q239*Ramure*Pc/MaxiM</f>
        <v>2.9413024553799579E-3</v>
      </c>
      <c r="Q239" s="305">
        <f t="shared" si="80"/>
        <v>0.7</v>
      </c>
      <c r="R239" s="177">
        <f t="shared" si="81"/>
        <v>0.4665331291461805</v>
      </c>
      <c r="S239" s="919">
        <f t="shared" si="82"/>
        <v>1</v>
      </c>
      <c r="T239" s="176">
        <f t="shared" si="83"/>
        <v>7</v>
      </c>
      <c r="U239" s="251">
        <f t="shared" si="84"/>
        <v>1.4665331291461805</v>
      </c>
      <c r="V239" s="383">
        <f t="shared" si="85"/>
        <v>49.215085789184194</v>
      </c>
      <c r="W239" s="402">
        <f t="shared" si="86"/>
        <v>36.081841023517875</v>
      </c>
      <c r="X239" s="157">
        <f t="shared" si="87"/>
        <v>45516</v>
      </c>
      <c r="Y239" s="385">
        <f t="shared" si="88"/>
        <v>34.601005563403135</v>
      </c>
      <c r="Z239" s="385">
        <f t="shared" si="89"/>
        <v>36.367220124623358</v>
      </c>
      <c r="AA239" s="386">
        <f t="shared" si="90"/>
        <v>38.814615503065205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6.3053448983632826E-2</v>
      </c>
      <c r="AD239" s="231">
        <f>(INDEX(Models!$BJ239:$BT239,,AH239)*(1-AF239)+INDEX(Models!$BJ239:$BT239,,AH239+1)*AF239-ERP_i)*AE239*Ramure*Pc/MaxiM</f>
        <v>2.9413024553799579E-3</v>
      </c>
      <c r="AE239" s="305">
        <f t="shared" si="92"/>
        <v>0.7</v>
      </c>
      <c r="AF239" s="177">
        <f t="shared" si="93"/>
        <v>0.4665331291461805</v>
      </c>
      <c r="AG239" s="919">
        <f t="shared" si="99"/>
        <v>1</v>
      </c>
      <c r="AH239" s="176">
        <f t="shared" si="94"/>
        <v>7</v>
      </c>
      <c r="AI239" s="225">
        <f t="shared" si="95"/>
        <v>1.4665331291461805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1090">
        <f>IF(t&gt;Tmaj,'2023'!Wh/'2023'!Env_an*'2024'!Env_an,0.001*'[10]mon-tableau (1)'!$B$51)</f>
        <v>33.049661521460777</v>
      </c>
      <c r="C240" s="953"/>
      <c r="D240" s="393">
        <f t="shared" si="77"/>
        <v>34.737448285905074</v>
      </c>
      <c r="E240" s="385">
        <f t="shared" si="100"/>
        <v>35.55834137550098</v>
      </c>
      <c r="F240" s="385">
        <f t="shared" si="78"/>
        <v>35.612039064692951</v>
      </c>
      <c r="G240" s="110">
        <f t="shared" si="101"/>
        <v>0.67211170843691714</v>
      </c>
      <c r="H240" s="412" t="b">
        <f>Wh_hp&gt;='2023'!Maxi_hp</f>
        <v>0</v>
      </c>
      <c r="I240" s="390">
        <f>IF(H240,Wh_hp,'2023'!Maxi_hp)</f>
        <v>53.538915966622881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4.8586952920463333E-2</v>
      </c>
      <c r="M240" s="957"/>
      <c r="N240" s="957"/>
      <c r="O240" s="48">
        <f>IF(t&lt;Tnet,'2023'!Resal+('2023'!Salim-'2023'!Resal)*(1-EXP(('2023'!Tnet-t)/('2023'!Tau_j))),Resal+(Salim-Resal)*(1-EXP((Tnet-t)/(Tau_j))))*Salcycl</f>
        <v>2.3085809344343663E-2</v>
      </c>
      <c r="P240" s="169">
        <f>(INDEX(Models!$BJ240:$BT240,,T240)*(1-R240)+INDEX(Models!$BJ240:$BT240,,T240+1)*R240-ERP_i)*Q240*Ramure*Pc/MaxiM</f>
        <v>2.8297289973830101E-3</v>
      </c>
      <c r="Q240" s="305">
        <f t="shared" si="80"/>
        <v>0.7</v>
      </c>
      <c r="R240" s="177">
        <f t="shared" si="81"/>
        <v>0.46780107570712937</v>
      </c>
      <c r="S240" s="919">
        <f t="shared" si="82"/>
        <v>1</v>
      </c>
      <c r="T240" s="176">
        <f t="shared" si="83"/>
        <v>7</v>
      </c>
      <c r="U240" s="251">
        <f t="shared" si="84"/>
        <v>1.4678010757071294</v>
      </c>
      <c r="V240" s="383">
        <f t="shared" si="85"/>
        <v>49.107771149388263</v>
      </c>
      <c r="W240" s="402">
        <f t="shared" si="86"/>
        <v>33.049661521460777</v>
      </c>
      <c r="X240" s="157">
        <f t="shared" si="87"/>
        <v>45517</v>
      </c>
      <c r="Y240" s="385">
        <f t="shared" si="88"/>
        <v>31.694592243764383</v>
      </c>
      <c r="Z240" s="385">
        <f t="shared" si="89"/>
        <v>33.313178057684091</v>
      </c>
      <c r="AA240" s="386">
        <f t="shared" si="90"/>
        <v>35.55834137550098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6.3140271198469405E-2</v>
      </c>
      <c r="AD240" s="231">
        <f>(INDEX(Models!$BJ240:$BT240,,AH240)*(1-AF240)+INDEX(Models!$BJ240:$BT240,,AH240+1)*AF240-ERP_i)*AE240*Ramure*Pc/MaxiM</f>
        <v>2.8297289973830101E-3</v>
      </c>
      <c r="AE240" s="305">
        <f t="shared" si="92"/>
        <v>0.7</v>
      </c>
      <c r="AF240" s="177">
        <f t="shared" si="93"/>
        <v>0.46780107570712937</v>
      </c>
      <c r="AG240" s="919">
        <f t="shared" si="99"/>
        <v>1</v>
      </c>
      <c r="AH240" s="176">
        <f t="shared" si="94"/>
        <v>7</v>
      </c>
      <c r="AI240" s="225">
        <f t="shared" si="95"/>
        <v>1.4678010757071294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1090">
        <f>IF(t&gt;Tmaj,'2023'!Wh/'2023'!Env_an*'2024'!Env_an,0.001*'[10]mon-tableau (1)'!$B$52)</f>
        <v>37.481053208136217</v>
      </c>
      <c r="C241" s="953"/>
      <c r="D241" s="393">
        <f t="shared" si="77"/>
        <v>39.396006048508106</v>
      </c>
      <c r="E241" s="385">
        <f t="shared" si="100"/>
        <v>40.332399372833216</v>
      </c>
      <c r="F241" s="385">
        <f t="shared" si="78"/>
        <v>40.40548001620671</v>
      </c>
      <c r="G241" s="110">
        <f t="shared" si="101"/>
        <v>0.76421808969875982</v>
      </c>
      <c r="H241" s="412" t="b">
        <f>Wh_hp&gt;='2023'!Maxi_hp</f>
        <v>0</v>
      </c>
      <c r="I241" s="390">
        <f>IF(H241,Wh_hp,'2023'!Maxi_hp)</f>
        <v>53.803189402990363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4.860779130793158E-2</v>
      </c>
      <c r="M241" s="957"/>
      <c r="N241" s="957"/>
      <c r="O241" s="48">
        <f>IF(t&lt;Tnet,'2023'!Resal+('2023'!Salim-'2023'!Resal)*(1-EXP(('2023'!Tnet-t)/('2023'!Tau_j))),Resal+(Salim-Resal)*(1-EXP((Tnet-t)/(Tau_j))))*Salcycl</f>
        <v>2.3216901024634775E-2</v>
      </c>
      <c r="P241" s="169">
        <f>(INDEX(Models!$BJ241:$BT241,,T241)*(1-R241)+INDEX(Models!$BJ241:$BT241,,T241+1)*R241-ERP_i)*Q241*Ramure*Pc/MaxiM</f>
        <v>2.7232212312243943E-3</v>
      </c>
      <c r="Q241" s="305">
        <f t="shared" si="80"/>
        <v>0.7</v>
      </c>
      <c r="R241" s="177">
        <f t="shared" si="81"/>
        <v>0.46902446023016964</v>
      </c>
      <c r="S241" s="919">
        <f t="shared" si="82"/>
        <v>1</v>
      </c>
      <c r="T241" s="176">
        <f t="shared" si="83"/>
        <v>7</v>
      </c>
      <c r="U241" s="251">
        <f t="shared" si="84"/>
        <v>1.4690244602301696</v>
      </c>
      <c r="V241" s="383">
        <f t="shared" si="85"/>
        <v>49.000035054961344</v>
      </c>
      <c r="W241" s="402">
        <f t="shared" si="86"/>
        <v>37.481053208136217</v>
      </c>
      <c r="X241" s="157">
        <f t="shared" si="87"/>
        <v>45518</v>
      </c>
      <c r="Y241" s="385">
        <f t="shared" si="88"/>
        <v>35.945794822097177</v>
      </c>
      <c r="Z241" s="385">
        <f t="shared" si="89"/>
        <v>37.782309434206795</v>
      </c>
      <c r="AA241" s="386">
        <f t="shared" si="90"/>
        <v>40.332399372833216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6.322683446262034E-2</v>
      </c>
      <c r="AD241" s="231">
        <f>(INDEX(Models!$BJ241:$BT241,,AH241)*(1-AF241)+INDEX(Models!$BJ241:$BT241,,AH241+1)*AF241-ERP_i)*AE241*Ramure*Pc/MaxiM</f>
        <v>2.7232212312243943E-3</v>
      </c>
      <c r="AE241" s="305">
        <f t="shared" si="92"/>
        <v>0.7</v>
      </c>
      <c r="AF241" s="177">
        <f t="shared" si="93"/>
        <v>0.46902446023016964</v>
      </c>
      <c r="AG241" s="919">
        <f t="shared" si="99"/>
        <v>1</v>
      </c>
      <c r="AH241" s="176">
        <f t="shared" si="94"/>
        <v>7</v>
      </c>
      <c r="AI241" s="225">
        <f t="shared" si="95"/>
        <v>1.4690244602301696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1090">
        <f>IF(t&gt;Tmaj,'2023'!Wh/'2023'!Env_an*'2024'!Env_an,0.001*'[10]mon-tableau (1)'!$B$53)</f>
        <v>34.711636303293481</v>
      </c>
      <c r="C242" s="953"/>
      <c r="D242" s="393">
        <f t="shared" si="77"/>
        <v>36.485895382291346</v>
      </c>
      <c r="E242" s="385">
        <f t="shared" si="100"/>
        <v>37.358124678244522</v>
      </c>
      <c r="F242" s="385">
        <f t="shared" si="78"/>
        <v>37.415576470128862</v>
      </c>
      <c r="G242" s="110">
        <f t="shared" si="101"/>
        <v>0.70919371426545663</v>
      </c>
      <c r="H242" s="412" t="b">
        <f>Wh_hp&gt;='2023'!Maxi_hp</f>
        <v>0</v>
      </c>
      <c r="I242" s="390">
        <f>IF(H242,Wh_hp,'2023'!Maxi_hp)</f>
        <v>53.769916943030935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4.8628629238985699E-2</v>
      </c>
      <c r="M242" s="957"/>
      <c r="N242" s="957"/>
      <c r="O242" s="48">
        <f>IF(t&lt;Tnet,'2023'!Resal+('2023'!Salim-'2023'!Resal)*(1-EXP(('2023'!Tnet-t)/('2023'!Tau_j))),Resal+(Salim-Resal)*(1-EXP((Tnet-t)/(Tau_j))))*Salcycl</f>
        <v>2.3347780528745879E-2</v>
      </c>
      <c r="P242" s="169">
        <f>(INDEX(Models!$BJ242:$BT242,,T242)*(1-R242)+INDEX(Models!$BJ242:$BT242,,T242+1)*R242-ERP_i)*Q242*Ramure*Pc/MaxiM</f>
        <v>2.6218098371480103E-3</v>
      </c>
      <c r="Q242" s="305">
        <f t="shared" si="80"/>
        <v>0.7</v>
      </c>
      <c r="R242" s="177">
        <f t="shared" si="81"/>
        <v>0.4702046118581884</v>
      </c>
      <c r="S242" s="919">
        <f t="shared" si="82"/>
        <v>1</v>
      </c>
      <c r="T242" s="176">
        <f t="shared" si="83"/>
        <v>7</v>
      </c>
      <c r="U242" s="251">
        <f t="shared" si="84"/>
        <v>1.4702046118581884</v>
      </c>
      <c r="V242" s="383">
        <f t="shared" si="85"/>
        <v>48.891960245127258</v>
      </c>
      <c r="W242" s="402">
        <f t="shared" si="86"/>
        <v>34.711636303293481</v>
      </c>
      <c r="X242" s="157">
        <f t="shared" si="87"/>
        <v>45519</v>
      </c>
      <c r="Y242" s="385">
        <f t="shared" si="88"/>
        <v>33.29120970233928</v>
      </c>
      <c r="Z242" s="385">
        <f t="shared" si="89"/>
        <v>34.992864748188936</v>
      </c>
      <c r="AA242" s="386">
        <f t="shared" si="90"/>
        <v>37.358124678244522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6.3313133365952776E-2</v>
      </c>
      <c r="AD242" s="231">
        <f>(INDEX(Models!$BJ242:$BT242,,AH242)*(1-AF242)+INDEX(Models!$BJ242:$BT242,,AH242+1)*AF242-ERP_i)*AE242*Ramure*Pc/MaxiM</f>
        <v>2.6218098371480103E-3</v>
      </c>
      <c r="AE242" s="305">
        <f t="shared" si="92"/>
        <v>0.7</v>
      </c>
      <c r="AF242" s="177">
        <f t="shared" si="93"/>
        <v>0.4702046118581884</v>
      </c>
      <c r="AG242" s="919">
        <f t="shared" si="99"/>
        <v>1</v>
      </c>
      <c r="AH242" s="176">
        <f t="shared" si="94"/>
        <v>7</v>
      </c>
      <c r="AI242" s="225">
        <f t="shared" si="95"/>
        <v>1.4702046118581884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1090">
        <f>IF(t&gt;Tmaj,'2023'!Wh/'2023'!Env_an*'2024'!Env_an,0.001*'[10]mon-tableau (1)'!$B$54)</f>
        <v>25.338480199574729</v>
      </c>
      <c r="C243" s="953"/>
      <c r="D243" s="393">
        <f t="shared" si="77"/>
        <v>26.634220839762367</v>
      </c>
      <c r="E243" s="385">
        <f t="shared" si="100"/>
        <v>27.274585699942755</v>
      </c>
      <c r="F243" s="385">
        <f t="shared" si="78"/>
        <v>27.296193132070325</v>
      </c>
      <c r="G243" s="110">
        <f t="shared" si="101"/>
        <v>0.51850406404416394</v>
      </c>
      <c r="H243" s="412" t="b">
        <f>Wh_hp&gt;='2023'!Maxi_hp</f>
        <v>0</v>
      </c>
      <c r="I243" s="390">
        <f>IF(H243,Wh_hp,'2023'!Maxi_hp)</f>
        <v>51.890414604753857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4.864946671363557E-2</v>
      </c>
      <c r="M243" s="957"/>
      <c r="N243" s="957"/>
      <c r="O243" s="48">
        <f>IF(t&lt;Tnet,'2023'!Resal+('2023'!Salim-'2023'!Resal)*(1-EXP(('2023'!Tnet-t)/('2023'!Tau_j))),Resal+(Salim-Resal)*(1-EXP((Tnet-t)/(Tau_j))))*Salcycl</f>
        <v>2.3478444997304965E-2</v>
      </c>
      <c r="P243" s="169">
        <f>(INDEX(Models!$BJ243:$BT243,,T243)*(1-R243)+INDEX(Models!$BJ243:$BT243,,T243+1)*R243-ERP_i)*Q243*Ramure*Pc/MaxiM</f>
        <v>2.5255258492903974E-3</v>
      </c>
      <c r="Q243" s="305">
        <f t="shared" si="80"/>
        <v>0.7</v>
      </c>
      <c r="R243" s="177">
        <f t="shared" si="81"/>
        <v>0.4713428378930411</v>
      </c>
      <c r="S243" s="919">
        <f t="shared" si="82"/>
        <v>1</v>
      </c>
      <c r="T243" s="176">
        <f t="shared" si="83"/>
        <v>7</v>
      </c>
      <c r="U243" s="251">
        <f t="shared" si="84"/>
        <v>1.4713428378930411</v>
      </c>
      <c r="V243" s="383">
        <f t="shared" si="85"/>
        <v>48.783629452407354</v>
      </c>
      <c r="W243" s="402">
        <f t="shared" si="86"/>
        <v>25.338480199574729</v>
      </c>
      <c r="X243" s="157">
        <f t="shared" si="87"/>
        <v>45520</v>
      </c>
      <c r="Y243" s="385">
        <f t="shared" si="88"/>
        <v>24.302629747436686</v>
      </c>
      <c r="Z243" s="385">
        <f t="shared" si="89"/>
        <v>25.545399825956046</v>
      </c>
      <c r="AA243" s="386">
        <f t="shared" si="90"/>
        <v>27.274585699942755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6.3399161879490518E-2</v>
      </c>
      <c r="AD243" s="231">
        <f>(INDEX(Models!$BJ243:$BT243,,AH243)*(1-AF243)+INDEX(Models!$BJ243:$BT243,,AH243+1)*AF243-ERP_i)*AE243*Ramure*Pc/MaxiM</f>
        <v>2.5255258492903974E-3</v>
      </c>
      <c r="AE243" s="305">
        <f t="shared" si="92"/>
        <v>0.7</v>
      </c>
      <c r="AF243" s="177">
        <f t="shared" si="93"/>
        <v>0.4713428378930411</v>
      </c>
      <c r="AG243" s="919">
        <f t="shared" si="99"/>
        <v>1</v>
      </c>
      <c r="AH243" s="176">
        <f t="shared" si="94"/>
        <v>7</v>
      </c>
      <c r="AI243" s="225">
        <f t="shared" si="95"/>
        <v>1.4713428378930411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1090">
        <f>IF(t&gt;Tmaj,'2023'!Wh/'2023'!Env_an*'2024'!Env_an,0.001*'[10]mon-tableau (1)'!$B$55)</f>
        <v>33.712271195385732</v>
      </c>
      <c r="C244" s="953"/>
      <c r="D244" s="393">
        <f t="shared" si="77"/>
        <v>35.437000787038151</v>
      </c>
      <c r="E244" s="385">
        <f t="shared" si="100"/>
        <v>36.293858549403765</v>
      </c>
      <c r="F244" s="385">
        <f t="shared" si="78"/>
        <v>36.343479841236586</v>
      </c>
      <c r="G244" s="110">
        <f t="shared" si="101"/>
        <v>0.69185608176189617</v>
      </c>
      <c r="H244" s="412" t="b">
        <f>Wh_hp&gt;='2023'!Maxi_hp</f>
        <v>0</v>
      </c>
      <c r="I244" s="390">
        <f>IF(H244,Wh_hp,'2023'!Maxi_hp)</f>
        <v>49.183966953911138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4.8670303731891407E-2</v>
      </c>
      <c r="M244" s="957"/>
      <c r="N244" s="957"/>
      <c r="O244" s="48">
        <f>IF(t&lt;Tnet,'2023'!Resal+('2023'!Salim-'2023'!Resal)*(1-EXP(('2023'!Tnet-t)/('2023'!Tau_j))),Resal+(Salim-Resal)*(1-EXP((Tnet-t)/(Tau_j))))*Salcycl</f>
        <v>2.3608891327970595E-2</v>
      </c>
      <c r="P244" s="169">
        <f>(INDEX(Models!$BJ244:$BT244,,T244)*(1-R244)+INDEX(Models!$BJ244:$BT244,,T244+1)*R244-ERP_i)*Q244*Ramure*Pc/MaxiM</f>
        <v>2.4344005931896022E-3</v>
      </c>
      <c r="Q244" s="305">
        <f t="shared" si="80"/>
        <v>0.7</v>
      </c>
      <c r="R244" s="177">
        <f t="shared" si="81"/>
        <v>0.47244042269785469</v>
      </c>
      <c r="S244" s="919">
        <f t="shared" si="82"/>
        <v>1</v>
      </c>
      <c r="T244" s="176">
        <f t="shared" si="83"/>
        <v>7</v>
      </c>
      <c r="U244" s="251">
        <f t="shared" si="84"/>
        <v>1.4724404226978547</v>
      </c>
      <c r="V244" s="383">
        <f t="shared" si="85"/>
        <v>48.675125400581855</v>
      </c>
      <c r="W244" s="402">
        <f t="shared" si="86"/>
        <v>33.712271195385732</v>
      </c>
      <c r="X244" s="157">
        <f t="shared" si="87"/>
        <v>45521</v>
      </c>
      <c r="Y244" s="385">
        <f t="shared" si="88"/>
        <v>32.335454816553543</v>
      </c>
      <c r="Z244" s="385">
        <f t="shared" si="89"/>
        <v>33.989746082141224</v>
      </c>
      <c r="AA244" s="386">
        <f t="shared" si="90"/>
        <v>36.293858549403765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6.3484913408315163E-2</v>
      </c>
      <c r="AD244" s="231">
        <f>(INDEX(Models!$BJ244:$BT244,,AH244)*(1-AF244)+INDEX(Models!$BJ244:$BT244,,AH244+1)*AF244-ERP_i)*AE244*Ramure*Pc/MaxiM</f>
        <v>2.4344005931896022E-3</v>
      </c>
      <c r="AE244" s="305">
        <f t="shared" si="92"/>
        <v>0.7</v>
      </c>
      <c r="AF244" s="177">
        <f t="shared" si="93"/>
        <v>0.47244042269785469</v>
      </c>
      <c r="AG244" s="919">
        <f t="shared" si="99"/>
        <v>1</v>
      </c>
      <c r="AH244" s="176">
        <f t="shared" si="94"/>
        <v>7</v>
      </c>
      <c r="AI244" s="225">
        <f t="shared" si="95"/>
        <v>1.4724404226978547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1090">
        <f>IF(t&gt;Tmaj,'2023'!Wh/'2023'!Env_an*'2024'!Env_an,0.001*'[10]mon-tableau (1)'!$B$56)</f>
        <v>34.400675177264837</v>
      </c>
      <c r="C245" s="953"/>
      <c r="D245" s="393">
        <f t="shared" si="77"/>
        <v>36.161415744501447</v>
      </c>
      <c r="E245" s="385">
        <f t="shared" si="100"/>
        <v>37.040729936191468</v>
      </c>
      <c r="F245" s="385">
        <f t="shared" si="78"/>
        <v>37.091541476281591</v>
      </c>
      <c r="G245" s="110">
        <f t="shared" si="101"/>
        <v>0.70762652718146424</v>
      </c>
      <c r="H245" s="412" t="b">
        <f>Wh_hp&gt;='2023'!Maxi_hp</f>
        <v>0</v>
      </c>
      <c r="I245" s="390">
        <f>IF(H245,Wh_hp,'2023'!Maxi_hp)</f>
        <v>49.967163493960541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4.869114029376298E-2</v>
      </c>
      <c r="M245" s="957"/>
      <c r="N245" s="957"/>
      <c r="O245" s="48">
        <f>IF(t&lt;Tnet,'2023'!Resal+('2023'!Salim-'2023'!Resal)*(1-EXP(('2023'!Tnet-t)/('2023'!Tau_j))),Resal+(Salim-Resal)*(1-EXP((Tnet-t)/(Tau_j))))*Salcycl</f>
        <v>2.3739116189253718E-2</v>
      </c>
      <c r="P245" s="169">
        <f>(INDEX(Models!$BJ245:$BT245,,T245)*(1-R245)+INDEX(Models!$BJ245:$BT245,,T245+1)*R245-ERP_i)*Q245*Ramure*Pc/MaxiM</f>
        <v>2.3484656086886872E-3</v>
      </c>
      <c r="Q245" s="305">
        <f t="shared" si="80"/>
        <v>0.7</v>
      </c>
      <c r="R245" s="177">
        <f t="shared" si="81"/>
        <v>0.47349862674729404</v>
      </c>
      <c r="S245" s="919">
        <f t="shared" si="82"/>
        <v>1</v>
      </c>
      <c r="T245" s="176">
        <f t="shared" si="83"/>
        <v>7</v>
      </c>
      <c r="U245" s="251">
        <f t="shared" si="84"/>
        <v>1.473498626747294</v>
      </c>
      <c r="V245" s="383">
        <f t="shared" si="85"/>
        <v>48.566530804074887</v>
      </c>
      <c r="W245" s="402">
        <f t="shared" si="86"/>
        <v>34.400675177264837</v>
      </c>
      <c r="X245" s="157">
        <f t="shared" si="87"/>
        <v>45522</v>
      </c>
      <c r="Y245" s="385">
        <f t="shared" si="88"/>
        <v>32.997133951907955</v>
      </c>
      <c r="Z245" s="385">
        <f t="shared" si="89"/>
        <v>34.686036627575852</v>
      </c>
      <c r="AA245" s="386">
        <f t="shared" si="90"/>
        <v>37.040729936191468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6.3570380839469115E-2</v>
      </c>
      <c r="AD245" s="231">
        <f>(INDEX(Models!$BJ245:$BT245,,AH245)*(1-AF245)+INDEX(Models!$BJ245:$BT245,,AH245+1)*AF245-ERP_i)*AE245*Ramure*Pc/MaxiM</f>
        <v>2.3484656086886872E-3</v>
      </c>
      <c r="AE245" s="305">
        <f t="shared" si="92"/>
        <v>0.7</v>
      </c>
      <c r="AF245" s="177">
        <f t="shared" si="93"/>
        <v>0.47349862674729404</v>
      </c>
      <c r="AG245" s="919">
        <f t="shared" si="99"/>
        <v>1</v>
      </c>
      <c r="AH245" s="176">
        <f t="shared" si="94"/>
        <v>7</v>
      </c>
      <c r="AI245" s="225">
        <f t="shared" si="95"/>
        <v>1.473498626747294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1090">
        <f>IF(t&gt;Tmaj,'2023'!Wh/'2023'!Env_an*'2024'!Env_an,0.001*'[10]mon-tableau (1)'!$B$57)</f>
        <v>48.520707134705724</v>
      </c>
      <c r="C246" s="953"/>
      <c r="D246" s="393">
        <f t="shared" si="77"/>
        <v>51.005274880944057</v>
      </c>
      <c r="E246" s="385">
        <f t="shared" si="100"/>
        <v>52.252495765368415</v>
      </c>
      <c r="F246" s="385">
        <f t="shared" si="78"/>
        <v>52.371260826132875</v>
      </c>
      <c r="G246" s="110">
        <f t="shared" si="101"/>
        <v>1.001295531391168</v>
      </c>
      <c r="H246" s="412" t="b">
        <f>Wh_hp&gt;='2023'!Maxi_hp</f>
        <v>0</v>
      </c>
      <c r="I246" s="390">
        <f>IF(H246,Wh_hp,'2023'!Maxi_hp)</f>
        <v>52.544338316202321</v>
      </c>
      <c r="J246" s="85">
        <f>IF(H246,An,'2023'!An_max)</f>
        <v>2021</v>
      </c>
      <c r="K246" s="197">
        <f t="shared" si="79"/>
        <v>45523</v>
      </c>
      <c r="L246" s="147">
        <f>IF(t&lt;Tvie,1-EXP((T0-t)*PertePVj)+'2023'!Pspv,1-EXP((T0-t)*PertePVj)+Pspv)</f>
        <v>4.8711976399260282E-2</v>
      </c>
      <c r="M246" s="957"/>
      <c r="N246" s="957"/>
      <c r="O246" s="48">
        <f>IF(t&lt;Tnet,'2023'!Resal+('2023'!Salim-'2023'!Resal)*(1-EXP(('2023'!Tnet-t)/('2023'!Tau_j))),Resal+(Salim-Resal)*(1-EXP((Tnet-t)/(Tau_j))))*Salcycl</f>
        <v>2.3869116032749996E-2</v>
      </c>
      <c r="P246" s="169">
        <f>(INDEX(Models!$BJ246:$BT246,,T246)*(1-R246)+INDEX(Models!$BJ246:$BT246,,T246+1)*R246-ERP_i)*Q246*Ramure*Pc/MaxiM</f>
        <v>2.2677525591516313E-3</v>
      </c>
      <c r="Q246" s="305">
        <f t="shared" si="80"/>
        <v>0.7</v>
      </c>
      <c r="R246" s="177">
        <f t="shared" si="81"/>
        <v>0.4745186858165793</v>
      </c>
      <c r="S246" s="919">
        <f t="shared" si="82"/>
        <v>1</v>
      </c>
      <c r="T246" s="176">
        <f t="shared" si="83"/>
        <v>7</v>
      </c>
      <c r="U246" s="251">
        <f t="shared" si="84"/>
        <v>1.4745186858165793</v>
      </c>
      <c r="V246" s="383">
        <f t="shared" si="85"/>
        <v>48.457928367354853</v>
      </c>
      <c r="W246" s="402">
        <f t="shared" si="86"/>
        <v>48.520707134705724</v>
      </c>
      <c r="X246" s="157">
        <f t="shared" si="87"/>
        <v>45523</v>
      </c>
      <c r="Y246" s="385">
        <f t="shared" si="88"/>
        <v>46.54303563425205</v>
      </c>
      <c r="Z246" s="385">
        <f t="shared" si="89"/>
        <v>48.926334064504516</v>
      </c>
      <c r="AA246" s="386">
        <f t="shared" si="90"/>
        <v>52.252495765368415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6.3655556584311324E-2</v>
      </c>
      <c r="AD246" s="231">
        <f>(INDEX(Models!$BJ246:$BT246,,AH246)*(1-AF246)+INDEX(Models!$BJ246:$BT246,,AH246+1)*AF246-ERP_i)*AE246*Ramure*Pc/MaxiM</f>
        <v>2.2677525591516313E-3</v>
      </c>
      <c r="AE246" s="305">
        <f t="shared" si="92"/>
        <v>0.7</v>
      </c>
      <c r="AF246" s="177">
        <f t="shared" si="93"/>
        <v>0.4745186858165793</v>
      </c>
      <c r="AG246" s="919">
        <f t="shared" si="99"/>
        <v>1</v>
      </c>
      <c r="AH246" s="176">
        <f t="shared" si="94"/>
        <v>7</v>
      </c>
      <c r="AI246" s="225">
        <f t="shared" si="95"/>
        <v>1.4745186858165793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1090">
        <f>IF(t&gt;Tmaj,'2023'!Wh/'2023'!Env_an*'2024'!Env_an,0.001*'[10]mon-tableau (1)'!$B$58)</f>
        <v>32.244205405530998</v>
      </c>
      <c r="C247" s="953"/>
      <c r="D247" s="393">
        <f t="shared" si="77"/>
        <v>33.896055507773227</v>
      </c>
      <c r="E247" s="385">
        <f t="shared" si="100"/>
        <v>34.72952546865524</v>
      </c>
      <c r="F247" s="385">
        <f t="shared" si="78"/>
        <v>34.769476313570536</v>
      </c>
      <c r="G247" s="110">
        <f t="shared" si="101"/>
        <v>0.6661922366884</v>
      </c>
      <c r="H247" s="412" t="b">
        <f>Wh_hp&gt;='2023'!Maxi_hp</f>
        <v>0</v>
      </c>
      <c r="I247" s="390">
        <f>IF(H247,Wh_hp,'2023'!Maxi_hp)</f>
        <v>51.773522913939907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4.8732812048393526E-2</v>
      </c>
      <c r="M247" s="957"/>
      <c r="N247" s="957"/>
      <c r="O247" s="48">
        <f>IF(t&lt;Tnet,'2023'!Resal+('2023'!Salim-'2023'!Resal)*(1-EXP(('2023'!Tnet-t)/('2023'!Tau_j))),Resal+(Salim-Resal)*(1-EXP((Tnet-t)/(Tau_j))))*Salcycl</f>
        <v>2.399888710354681E-2</v>
      </c>
      <c r="P247" s="169">
        <f>(INDEX(Models!$BJ247:$BT247,,T247)*(1-R247)+INDEX(Models!$BJ247:$BT247,,T247+1)*R247-ERP_i)*Q247*Ramure*Pc/MaxiM</f>
        <v>2.1922569351922731E-3</v>
      </c>
      <c r="Q247" s="305">
        <f t="shared" si="80"/>
        <v>0.7</v>
      </c>
      <c r="R247" s="177">
        <f t="shared" si="81"/>
        <v>0.47550181030024352</v>
      </c>
      <c r="S247" s="919">
        <f t="shared" si="82"/>
        <v>1</v>
      </c>
      <c r="T247" s="176">
        <f t="shared" si="83"/>
        <v>7</v>
      </c>
      <c r="U247" s="251">
        <f t="shared" si="84"/>
        <v>1.4755018103002435</v>
      </c>
      <c r="V247" s="383">
        <f t="shared" si="85"/>
        <v>48.350200752456949</v>
      </c>
      <c r="W247" s="402">
        <f t="shared" si="86"/>
        <v>32.244205405530998</v>
      </c>
      <c r="X247" s="157">
        <f t="shared" si="87"/>
        <v>45524</v>
      </c>
      <c r="Y247" s="385">
        <f t="shared" si="88"/>
        <v>30.93126166021327</v>
      </c>
      <c r="Z247" s="385">
        <f t="shared" si="89"/>
        <v>32.515850490773815</v>
      </c>
      <c r="AA247" s="386">
        <f t="shared" si="90"/>
        <v>34.72952546865524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6.3740432614875608E-2</v>
      </c>
      <c r="AD247" s="231">
        <f>(INDEX(Models!$BJ247:$BT247,,AH247)*(1-AF247)+INDEX(Models!$BJ247:$BT247,,AH247+1)*AF247-ERP_i)*AE247*Ramure*Pc/MaxiM</f>
        <v>2.1922569351922731E-3</v>
      </c>
      <c r="AE247" s="305">
        <f t="shared" si="92"/>
        <v>0.7</v>
      </c>
      <c r="AF247" s="177">
        <f t="shared" si="93"/>
        <v>0.47550181030024352</v>
      </c>
      <c r="AG247" s="919">
        <f t="shared" si="99"/>
        <v>1</v>
      </c>
      <c r="AH247" s="176">
        <f t="shared" si="94"/>
        <v>7</v>
      </c>
      <c r="AI247" s="225">
        <f t="shared" si="95"/>
        <v>1.4755018103002435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1090">
        <f>IF(t&gt;Tmaj,'2023'!Wh/'2023'!Env_an*'2024'!Env_an,0.001*'[10]mon-tableau (1)'!$B$59)</f>
        <v>23.083010656865021</v>
      </c>
      <c r="C248" s="953"/>
      <c r="D248" s="393">
        <f t="shared" si="77"/>
        <v>24.266070077345496</v>
      </c>
      <c r="E248" s="385">
        <f t="shared" si="100"/>
        <v>24.866048679100551</v>
      </c>
      <c r="F248" s="385">
        <f t="shared" si="78"/>
        <v>24.879533243574929</v>
      </c>
      <c r="G248" s="110">
        <f t="shared" si="101"/>
        <v>0.47770881323382824</v>
      </c>
      <c r="H248" s="412" t="b">
        <f>Wh_hp&gt;='2023'!Maxi_hp</f>
        <v>0</v>
      </c>
      <c r="I248" s="390">
        <f>IF(H248,Wh_hp,'2023'!Maxi_hp)</f>
        <v>53.717329476513434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4.8753647241172593E-2</v>
      </c>
      <c r="M248" s="957"/>
      <c r="N248" s="957"/>
      <c r="O248" s="48">
        <f>IF(t&lt;Tnet,'2023'!Resal+('2023'!Salim-'2023'!Resal)*(1-EXP(('2023'!Tnet-t)/('2023'!Tau_j))),Resal+(Salim-Resal)*(1-EXP((Tnet-t)/(Tau_j))))*Salcycl</f>
        <v>2.4128425448604732E-2</v>
      </c>
      <c r="P248" s="169">
        <f>(INDEX(Models!$BJ248:$BT248,,T248)*(1-R248)+INDEX(Models!$BJ248:$BT248,,T248+1)*R248-ERP_i)*Q248*Ramure*Pc/MaxiM</f>
        <v>2.1258601270100568E-3</v>
      </c>
      <c r="Q248" s="305">
        <f t="shared" si="80"/>
        <v>0.7</v>
      </c>
      <c r="R248" s="177">
        <f t="shared" si="81"/>
        <v>0.47644918465186192</v>
      </c>
      <c r="S248" s="919">
        <f t="shared" si="82"/>
        <v>1</v>
      </c>
      <c r="T248" s="176">
        <f t="shared" si="83"/>
        <v>7</v>
      </c>
      <c r="U248" s="251">
        <f t="shared" si="84"/>
        <v>1.4764491846518619</v>
      </c>
      <c r="V248" s="383">
        <f t="shared" si="85"/>
        <v>48.243678575119446</v>
      </c>
      <c r="W248" s="402">
        <f t="shared" si="86"/>
        <v>23.083010656865021</v>
      </c>
      <c r="X248" s="157">
        <f t="shared" si="87"/>
        <v>45525</v>
      </c>
      <c r="Y248" s="385">
        <f t="shared" si="88"/>
        <v>22.144038266740299</v>
      </c>
      <c r="Z248" s="385">
        <f t="shared" si="89"/>
        <v>23.278973109875935</v>
      </c>
      <c r="AA248" s="386">
        <f t="shared" si="90"/>
        <v>24.866048679100551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6.3825000493887271E-2</v>
      </c>
      <c r="AD248" s="231">
        <f>(INDEX(Models!$BJ248:$BT248,,AH248)*(1-AF248)+INDEX(Models!$BJ248:$BT248,,AH248+1)*AF248-ERP_i)*AE248*Ramure*Pc/MaxiM</f>
        <v>2.1258601270100568E-3</v>
      </c>
      <c r="AE248" s="305">
        <f t="shared" si="92"/>
        <v>0.7</v>
      </c>
      <c r="AF248" s="177">
        <f t="shared" si="93"/>
        <v>0.47644918465186192</v>
      </c>
      <c r="AG248" s="919">
        <f t="shared" si="99"/>
        <v>1</v>
      </c>
      <c r="AH248" s="176">
        <f t="shared" si="94"/>
        <v>7</v>
      </c>
      <c r="AI248" s="225">
        <f t="shared" si="95"/>
        <v>1.4764491846518619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1090">
        <f>IF(t&gt;Tmaj,'2023'!Wh/'2023'!Env_an*'2024'!Env_an,0.001*'[10]mon-tableau (1)'!$B$60)</f>
        <v>44.787182127264884</v>
      </c>
      <c r="C249" s="953"/>
      <c r="D249" s="393">
        <f t="shared" si="77"/>
        <v>47.083663420192806</v>
      </c>
      <c r="E249" s="385">
        <f t="shared" si="100"/>
        <v>48.25420064225802</v>
      </c>
      <c r="F249" s="385">
        <f t="shared" si="78"/>
        <v>48.344171370283739</v>
      </c>
      <c r="G249" s="110">
        <f t="shared" si="101"/>
        <v>0.93019989774893996</v>
      </c>
      <c r="H249" s="412" t="b">
        <f>Wh_hp&gt;='2023'!Maxi_hp</f>
        <v>0</v>
      </c>
      <c r="I249" s="390">
        <f>IF(H249,Wh_hp,'2023'!Maxi_hp)</f>
        <v>51.339633290441888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4.8774481977607365E-2</v>
      </c>
      <c r="M249" s="957"/>
      <c r="N249" s="957"/>
      <c r="O249" s="48">
        <f>IF(t&lt;Tnet,'2023'!Resal+('2023'!Salim-'2023'!Resal)*(1-EXP(('2023'!Tnet-t)/('2023'!Tau_j))),Resal+(Salim-Resal)*(1-EXP((Tnet-t)/(Tau_j))))*Salcycl</f>
        <v>2.4257726922951722E-2</v>
      </c>
      <c r="P249" s="169">
        <f>(INDEX(Models!$BJ249:$BT249,,T249)*(1-R249)+INDEX(Models!$BJ249:$BT249,,T249+1)*R249-ERP_i)*Q249*Ramure*Pc/MaxiM</f>
        <v>2.0665448767139901E-3</v>
      </c>
      <c r="Q249" s="305">
        <f t="shared" si="80"/>
        <v>0.7</v>
      </c>
      <c r="R249" s="177">
        <f t="shared" si="81"/>
        <v>0.47736196693624811</v>
      </c>
      <c r="S249" s="919">
        <f t="shared" si="82"/>
        <v>1</v>
      </c>
      <c r="T249" s="176">
        <f t="shared" si="83"/>
        <v>7</v>
      </c>
      <c r="U249" s="251">
        <f t="shared" si="84"/>
        <v>1.4773619669362481</v>
      </c>
      <c r="V249" s="383">
        <f t="shared" si="85"/>
        <v>48.137998467550332</v>
      </c>
      <c r="W249" s="402">
        <f t="shared" si="86"/>
        <v>44.787182127264884</v>
      </c>
      <c r="X249" s="157">
        <f t="shared" si="87"/>
        <v>45526</v>
      </c>
      <c r="Y249" s="385">
        <f t="shared" si="88"/>
        <v>42.967152292238382</v>
      </c>
      <c r="Z249" s="385">
        <f t="shared" si="89"/>
        <v>45.170310802392599</v>
      </c>
      <c r="AA249" s="386">
        <f t="shared" si="90"/>
        <v>48.25420064225802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6.390925139820347E-2</v>
      </c>
      <c r="AD249" s="231">
        <f>(INDEX(Models!$BJ249:$BT249,,AH249)*(1-AF249)+INDEX(Models!$BJ249:$BT249,,AH249+1)*AF249-ERP_i)*AE249*Ramure*Pc/MaxiM</f>
        <v>2.0665448767139901E-3</v>
      </c>
      <c r="AE249" s="305">
        <f t="shared" si="92"/>
        <v>0.7</v>
      </c>
      <c r="AF249" s="177">
        <f t="shared" si="93"/>
        <v>0.47736196693624811</v>
      </c>
      <c r="AG249" s="919">
        <f t="shared" si="99"/>
        <v>1</v>
      </c>
      <c r="AH249" s="176">
        <f t="shared" si="94"/>
        <v>7</v>
      </c>
      <c r="AI249" s="225">
        <f t="shared" si="95"/>
        <v>1.4773619669362481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1090">
        <f>IF(t&gt;Tmaj,'2023'!Wh/'2023'!Env_an*'2024'!Env_an,0.001*'[10]mon-tableau (1)'!$B$61)</f>
        <v>46.233566156474069</v>
      </c>
      <c r="C250" s="953"/>
      <c r="D250" s="393">
        <f t="shared" si="77"/>
        <v>48.605275969183559</v>
      </c>
      <c r="E250" s="385">
        <f t="shared" si="100"/>
        <v>49.820231349026699</v>
      </c>
      <c r="F250" s="385">
        <f t="shared" si="78"/>
        <v>49.915399530157252</v>
      </c>
      <c r="G250" s="110">
        <f t="shared" si="101"/>
        <v>0.96243969304746169</v>
      </c>
      <c r="H250" s="412" t="b">
        <f>Wh_hp&gt;='2023'!Maxi_hp</f>
        <v>0</v>
      </c>
      <c r="I250" s="390">
        <f>IF(H250,Wh_hp,'2023'!Maxi_hp)</f>
        <v>51.228164501997107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4.8795316257708055E-2</v>
      </c>
      <c r="M250" s="957"/>
      <c r="N250" s="957"/>
      <c r="O250" s="48">
        <f>IF(t&lt;Tnet,'2023'!Resal+('2023'!Salim-'2023'!Resal)*(1-EXP(('2023'!Tnet-t)/('2023'!Tau_j))),Resal+(Salim-Resal)*(1-EXP((Tnet-t)/(Tau_j))))*Salcycl</f>
        <v>2.4386787193569993E-2</v>
      </c>
      <c r="P250" s="169">
        <f>(INDEX(Models!$BJ250:$BT250,,T250)*(1-R250)+INDEX(Models!$BJ250:$BT250,,T250+1)*R250-ERP_i)*Q250*Ramure*Pc/MaxiM</f>
        <v>2.0143770609611748E-3</v>
      </c>
      <c r="Q250" s="305">
        <f t="shared" si="80"/>
        <v>0.7</v>
      </c>
      <c r="R250" s="177">
        <f t="shared" si="81"/>
        <v>0.47824128848591241</v>
      </c>
      <c r="S250" s="919">
        <f t="shared" si="82"/>
        <v>1</v>
      </c>
      <c r="T250" s="176">
        <f t="shared" si="83"/>
        <v>7</v>
      </c>
      <c r="U250" s="251">
        <f t="shared" si="84"/>
        <v>1.4782412884859124</v>
      </c>
      <c r="V250" s="383">
        <f t="shared" si="85"/>
        <v>48.032696045074104</v>
      </c>
      <c r="W250" s="402">
        <f t="shared" si="86"/>
        <v>46.233566156474069</v>
      </c>
      <c r="X250" s="157">
        <f t="shared" si="87"/>
        <v>45527</v>
      </c>
      <c r="Y250" s="385">
        <f t="shared" si="88"/>
        <v>44.356649588174506</v>
      </c>
      <c r="Z250" s="385">
        <f t="shared" si="89"/>
        <v>46.632076509194277</v>
      </c>
      <c r="AA250" s="386">
        <f t="shared" si="90"/>
        <v>49.820231349026699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6.3993176135556107E-2</v>
      </c>
      <c r="AD250" s="231">
        <f>(INDEX(Models!$BJ250:$BT250,,AH250)*(1-AF250)+INDEX(Models!$BJ250:$BT250,,AH250+1)*AF250-ERP_i)*AE250*Ramure*Pc/MaxiM</f>
        <v>2.0143770609611748E-3</v>
      </c>
      <c r="AE250" s="305">
        <f t="shared" si="92"/>
        <v>0.7</v>
      </c>
      <c r="AF250" s="177">
        <f t="shared" si="93"/>
        <v>0.47824128848591241</v>
      </c>
      <c r="AG250" s="919">
        <f t="shared" si="99"/>
        <v>1</v>
      </c>
      <c r="AH250" s="176">
        <f t="shared" si="94"/>
        <v>7</v>
      </c>
      <c r="AI250" s="225">
        <f t="shared" si="95"/>
        <v>1.4782412884859124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1090">
        <f>IF(t&gt;Tmaj,'2023'!Wh/'2023'!Env_an*'2024'!Env_an,0.001*'[10]mon-tableau (1)'!$B$62)</f>
        <v>29.85590203436437</v>
      </c>
      <c r="C251" s="953"/>
      <c r="D251" s="393">
        <f t="shared" si="77"/>
        <v>31.38815071021445</v>
      </c>
      <c r="E251" s="385">
        <f t="shared" si="100"/>
        <v>32.176988956698146</v>
      </c>
      <c r="F251" s="385">
        <f t="shared" si="78"/>
        <v>32.206250960502857</v>
      </c>
      <c r="G251" s="110">
        <f t="shared" si="101"/>
        <v>0.62227992062405291</v>
      </c>
      <c r="H251" s="412" t="b">
        <f>Wh_hp&gt;='2023'!Maxi_hp</f>
        <v>0</v>
      </c>
      <c r="I251" s="390">
        <f>IF(H251,Wh_hp,'2023'!Maxi_hp)</f>
        <v>50.680972332086561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4.8816150081484433E-2</v>
      </c>
      <c r="M251" s="957"/>
      <c r="N251" s="957"/>
      <c r="O251" s="48">
        <f>IF(t&lt;Tnet,'2023'!Resal+('2023'!Salim-'2023'!Resal)*(1-EXP(('2023'!Tnet-t)/('2023'!Tau_j))),Resal+(Salim-Resal)*(1-EXP((Tnet-t)/(Tau_j))))*Salcycl</f>
        <v>2.4515601740898361E-2</v>
      </c>
      <c r="P251" s="169">
        <f>(INDEX(Models!$BJ251:$BT251,,T251)*(1-R251)+INDEX(Models!$BJ251:$BT251,,T251+1)*R251-ERP_i)*Q251*Ramure*Pc/MaxiM</f>
        <v>1.9694196089640017E-3</v>
      </c>
      <c r="Q251" s="305">
        <f t="shared" si="80"/>
        <v>0.7</v>
      </c>
      <c r="R251" s="177">
        <f t="shared" si="81"/>
        <v>0.47908825365387697</v>
      </c>
      <c r="S251" s="919">
        <f t="shared" si="82"/>
        <v>1</v>
      </c>
      <c r="T251" s="176">
        <f t="shared" si="83"/>
        <v>7</v>
      </c>
      <c r="U251" s="251">
        <f t="shared" si="84"/>
        <v>1.479088253653877</v>
      </c>
      <c r="V251" s="383">
        <f t="shared" si="85"/>
        <v>47.927307252307159</v>
      </c>
      <c r="W251" s="402">
        <f t="shared" si="86"/>
        <v>29.85590203436437</v>
      </c>
      <c r="X251" s="157">
        <f t="shared" si="87"/>
        <v>45528</v>
      </c>
      <c r="Y251" s="385">
        <f t="shared" si="88"/>
        <v>28.645083879453249</v>
      </c>
      <c r="Z251" s="385">
        <f t="shared" si="89"/>
        <v>30.11519159193795</v>
      </c>
      <c r="AA251" s="386">
        <f t="shared" si="90"/>
        <v>32.176988956698146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6.4076765154590348E-2</v>
      </c>
      <c r="AD251" s="231">
        <f>(INDEX(Models!$BJ251:$BT251,,AH251)*(1-AF251)+INDEX(Models!$BJ251:$BT251,,AH251+1)*AF251-ERP_i)*AE251*Ramure*Pc/MaxiM</f>
        <v>1.9694196089640017E-3</v>
      </c>
      <c r="AE251" s="305">
        <f t="shared" si="92"/>
        <v>0.7</v>
      </c>
      <c r="AF251" s="177">
        <f t="shared" si="93"/>
        <v>0.47908825365387697</v>
      </c>
      <c r="AG251" s="919">
        <f t="shared" si="99"/>
        <v>1</v>
      </c>
      <c r="AH251" s="176">
        <f t="shared" si="94"/>
        <v>7</v>
      </c>
      <c r="AI251" s="225">
        <f t="shared" si="95"/>
        <v>1.479088253653877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1090">
        <f>IF(t&gt;Tmaj,'2023'!Wh/'2023'!Env_an*'2024'!Env_an,0.001*'[10]mon-tableau (1)'!$B$63)</f>
        <v>40.998277671958633</v>
      </c>
      <c r="C252" s="953"/>
      <c r="D252" s="393">
        <f t="shared" si="77"/>
        <v>43.103313478923589</v>
      </c>
      <c r="E252" s="385">
        <f t="shared" si="100"/>
        <v>44.192398271587813</v>
      </c>
      <c r="F252" s="385">
        <f t="shared" si="78"/>
        <v>44.260470555400047</v>
      </c>
      <c r="G252" s="110">
        <f t="shared" si="101"/>
        <v>0.85698321760119012</v>
      </c>
      <c r="H252" s="412" t="b">
        <f>Wh_hp&gt;='2023'!Maxi_hp</f>
        <v>0</v>
      </c>
      <c r="I252" s="390">
        <f>IF(H252,Wh_hp,'2023'!Maxi_hp)</f>
        <v>53.637175533284911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4.8836983448946714E-2</v>
      </c>
      <c r="M252" s="957"/>
      <c r="N252" s="957"/>
      <c r="O252" s="48">
        <f>IF(t&lt;Tnet,'2023'!Resal+('2023'!Salim-'2023'!Resal)*(1-EXP(('2023'!Tnet-t)/('2023'!Tau_j))),Resal+(Salim-Resal)*(1-EXP((Tnet-t)/(Tau_j))))*Salcycl</f>
        <v>2.4644165857918912E-2</v>
      </c>
      <c r="P252" s="169">
        <f>(INDEX(Models!$BJ252:$BT252,,T252)*(1-R252)+INDEX(Models!$BJ252:$BT252,,T252+1)*R252-ERP_i)*Q252*Ramure*Pc/MaxiM</f>
        <v>1.9317312018090735E-3</v>
      </c>
      <c r="Q252" s="305">
        <f t="shared" si="80"/>
        <v>0.7</v>
      </c>
      <c r="R252" s="177">
        <f t="shared" si="81"/>
        <v>0.47990393965528066</v>
      </c>
      <c r="S252" s="919">
        <f t="shared" si="82"/>
        <v>1</v>
      </c>
      <c r="T252" s="176">
        <f t="shared" si="83"/>
        <v>7</v>
      </c>
      <c r="U252" s="251">
        <f t="shared" si="84"/>
        <v>1.4799039396552807</v>
      </c>
      <c r="V252" s="383">
        <f t="shared" si="85"/>
        <v>47.821368455462</v>
      </c>
      <c r="W252" s="402">
        <f t="shared" si="86"/>
        <v>40.998277671958633</v>
      </c>
      <c r="X252" s="157">
        <f t="shared" si="87"/>
        <v>45529</v>
      </c>
      <c r="Y252" s="385">
        <f t="shared" si="88"/>
        <v>39.337261831019944</v>
      </c>
      <c r="Z252" s="385">
        <f t="shared" si="89"/>
        <v>41.357013620712543</v>
      </c>
      <c r="AA252" s="386">
        <f t="shared" si="90"/>
        <v>44.192398271587813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6.4160008548307182E-2</v>
      </c>
      <c r="AD252" s="231">
        <f>(INDEX(Models!$BJ252:$BT252,,AH252)*(1-AF252)+INDEX(Models!$BJ252:$BT252,,AH252+1)*AF252-ERP_i)*AE252*Ramure*Pc/MaxiM</f>
        <v>1.9317312018090735E-3</v>
      </c>
      <c r="AE252" s="305">
        <f t="shared" si="92"/>
        <v>0.7</v>
      </c>
      <c r="AF252" s="177">
        <f t="shared" si="93"/>
        <v>0.47990393965528066</v>
      </c>
      <c r="AG252" s="919">
        <f t="shared" si="99"/>
        <v>1</v>
      </c>
      <c r="AH252" s="176">
        <f t="shared" si="94"/>
        <v>7</v>
      </c>
      <c r="AI252" s="225">
        <f t="shared" si="95"/>
        <v>1.4799039396552807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1090">
        <f>IF(t&gt;Tmaj,'2023'!Wh/'2023'!Env_an*'2024'!Env_an,0.001*'[10]mon-tableau (1)'!$B$64)</f>
        <v>46.055106132387415</v>
      </c>
      <c r="C253" s="953"/>
      <c r="D253" s="393">
        <f t="shared" si="77"/>
        <v>48.420842776776674</v>
      </c>
      <c r="E253" s="385">
        <f t="shared" si="100"/>
        <v>49.650816366408584</v>
      </c>
      <c r="F253" s="385">
        <f t="shared" si="78"/>
        <v>49.740693255240359</v>
      </c>
      <c r="G253" s="110">
        <f t="shared" si="101"/>
        <v>0.96513279224009119</v>
      </c>
      <c r="H253" s="412" t="b">
        <f>Wh_hp&gt;='2023'!Maxi_hp</f>
        <v>0</v>
      </c>
      <c r="I253" s="390">
        <f>IF(H253,Wh_hp,'2023'!Maxi_hp)</f>
        <v>51.403994258295555</v>
      </c>
      <c r="J253" s="85">
        <f>IF(H253,An,'2023'!An_max)</f>
        <v>2018</v>
      </c>
      <c r="K253" s="197">
        <f t="shared" si="79"/>
        <v>45530</v>
      </c>
      <c r="L253" s="147">
        <f>IF(t&lt;Tvie,1-EXP((T0-t)*PertePVj)+'2023'!Pspv,1-EXP((T0-t)*PertePVj)+Pspv)</f>
        <v>4.8857816360104667E-2</v>
      </c>
      <c r="M253" s="957"/>
      <c r="N253" s="957"/>
      <c r="O253" s="48">
        <f>IF(t&lt;Tnet,'2023'!Resal+('2023'!Salim-'2023'!Resal)*(1-EXP(('2023'!Tnet-t)/('2023'!Tau_j))),Resal+(Salim-Resal)*(1-EXP((Tnet-t)/(Tau_j))))*Salcycl</f>
        <v>2.4772474646842901E-2</v>
      </c>
      <c r="P253" s="169">
        <f>(INDEX(Models!$BJ253:$BT253,,T253)*(1-R253)+INDEX(Models!$BJ253:$BT253,,T253+1)*R253-ERP_i)*Q253*Ramure*Pc/MaxiM</f>
        <v>1.9013682655623298E-3</v>
      </c>
      <c r="Q253" s="305">
        <f t="shared" si="80"/>
        <v>0.7</v>
      </c>
      <c r="R253" s="177">
        <f t="shared" si="81"/>
        <v>0.48068939649052789</v>
      </c>
      <c r="S253" s="919">
        <f t="shared" si="82"/>
        <v>1</v>
      </c>
      <c r="T253" s="176">
        <f t="shared" si="83"/>
        <v>7</v>
      </c>
      <c r="U253" s="251">
        <f t="shared" si="84"/>
        <v>1.4806893964905279</v>
      </c>
      <c r="V253" s="383">
        <f t="shared" si="85"/>
        <v>47.714416378817326</v>
      </c>
      <c r="W253" s="402">
        <f t="shared" si="86"/>
        <v>46.055106132387415</v>
      </c>
      <c r="X253" s="157">
        <f t="shared" si="87"/>
        <v>45530</v>
      </c>
      <c r="Y253" s="385">
        <f t="shared" si="88"/>
        <v>44.191116038171863</v>
      </c>
      <c r="Z253" s="385">
        <f t="shared" si="89"/>
        <v>46.461104131727502</v>
      </c>
      <c r="AA253" s="386">
        <f t="shared" si="90"/>
        <v>49.650816366408584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6.4242896051133092E-2</v>
      </c>
      <c r="AD253" s="231">
        <f>(INDEX(Models!$BJ253:$BT253,,AH253)*(1-AF253)+INDEX(Models!$BJ253:$BT253,,AH253+1)*AF253-ERP_i)*AE253*Ramure*Pc/MaxiM</f>
        <v>1.9013682655623298E-3</v>
      </c>
      <c r="AE253" s="305">
        <f t="shared" si="92"/>
        <v>0.7</v>
      </c>
      <c r="AF253" s="177">
        <f t="shared" si="93"/>
        <v>0.48068939649052789</v>
      </c>
      <c r="AG253" s="919">
        <f t="shared" si="99"/>
        <v>1</v>
      </c>
      <c r="AH253" s="176">
        <f t="shared" si="94"/>
        <v>7</v>
      </c>
      <c r="AI253" s="225">
        <f t="shared" si="95"/>
        <v>1.4806893964905279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1090">
        <f>IF(t&gt;Tmaj,'2023'!Wh/'2023'!Env_an*'2024'!Env_an,0.001*'[10]mon-tableau (1)'!$B$65)</f>
        <v>46.16362876050178</v>
      </c>
      <c r="C254" s="953"/>
      <c r="D254" s="393">
        <f t="shared" si="77"/>
        <v>48.536003006330454</v>
      </c>
      <c r="E254" s="385">
        <f t="shared" si="100"/>
        <v>49.775437431600963</v>
      </c>
      <c r="F254" s="385">
        <f t="shared" si="78"/>
        <v>49.865155643260643</v>
      </c>
      <c r="G254" s="110">
        <f t="shared" si="101"/>
        <v>0.96962523579324311</v>
      </c>
      <c r="H254" s="412" t="b">
        <f>Wh_hp&gt;='2023'!Maxi_hp</f>
        <v>0</v>
      </c>
      <c r="I254" s="390">
        <f>IF(H254,Wh_hp,'2023'!Maxi_hp)</f>
        <v>53.343274555388398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4.8878648814968395E-2</v>
      </c>
      <c r="M254" s="957"/>
      <c r="N254" s="957"/>
      <c r="O254" s="48">
        <f>IF(t&lt;Tnet,'2023'!Resal+('2023'!Salim-'2023'!Resal)*(1-EXP(('2023'!Tnet-t)/('2023'!Tau_j))),Resal+(Salim-Resal)*(1-EXP((Tnet-t)/(Tau_j))))*Salcycl</f>
        <v>2.4900523013457812E-2</v>
      </c>
      <c r="P254" s="169">
        <f>(INDEX(Models!$BJ254:$BT254,,T254)*(1-R254)+INDEX(Models!$BJ254:$BT254,,T254+1)*R254-ERP_i)*Q254*Ramure*Pc/MaxiM</f>
        <v>1.880608432936454E-3</v>
      </c>
      <c r="Q254" s="305">
        <f t="shared" si="80"/>
        <v>0.7</v>
      </c>
      <c r="R254" s="177">
        <f t="shared" si="81"/>
        <v>0.48144564694308767</v>
      </c>
      <c r="S254" s="919">
        <f t="shared" si="82"/>
        <v>1</v>
      </c>
      <c r="T254" s="176">
        <f t="shared" si="83"/>
        <v>7</v>
      </c>
      <c r="U254" s="251">
        <f t="shared" si="84"/>
        <v>1.4814456469430877</v>
      </c>
      <c r="V254" s="383">
        <f t="shared" si="85"/>
        <v>47.605882085036882</v>
      </c>
      <c r="W254" s="402">
        <f t="shared" si="86"/>
        <v>46.16362876050178</v>
      </c>
      <c r="X254" s="157">
        <f t="shared" si="87"/>
        <v>45531</v>
      </c>
      <c r="Y254" s="385">
        <f t="shared" si="88"/>
        <v>44.297156452543966</v>
      </c>
      <c r="Z254" s="385">
        <f t="shared" si="89"/>
        <v>46.573611660964993</v>
      </c>
      <c r="AA254" s="386">
        <f t="shared" si="90"/>
        <v>49.775437431600963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6.4325417029951093E-2</v>
      </c>
      <c r="AD254" s="231">
        <f>(INDEX(Models!$BJ254:$BT254,,AH254)*(1-AF254)+INDEX(Models!$BJ254:$BT254,,AH254+1)*AF254-ERP_i)*AE254*Ramure*Pc/MaxiM</f>
        <v>1.880608432936454E-3</v>
      </c>
      <c r="AE254" s="305">
        <f t="shared" si="92"/>
        <v>0.7</v>
      </c>
      <c r="AF254" s="177">
        <f t="shared" si="93"/>
        <v>0.48144564694308767</v>
      </c>
      <c r="AG254" s="919">
        <f t="shared" si="99"/>
        <v>1</v>
      </c>
      <c r="AH254" s="176">
        <f t="shared" si="94"/>
        <v>7</v>
      </c>
      <c r="AI254" s="225">
        <f t="shared" si="95"/>
        <v>1.4814456469430877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1090">
        <f>IF(t&gt;Tmaj,'2023'!Wh/'2023'!Env_an*'2024'!Env_an,0.001*'[10]mon-tableau (1)'!$B$66)</f>
        <v>32.438412908590188</v>
      </c>
      <c r="C255" s="953"/>
      <c r="D255" s="393">
        <f t="shared" si="77"/>
        <v>34.106187783744673</v>
      </c>
      <c r="E255" s="385">
        <f t="shared" si="100"/>
        <v>34.981720989147483</v>
      </c>
      <c r="F255" s="385">
        <f t="shared" si="78"/>
        <v>35.017469219762702</v>
      </c>
      <c r="G255" s="110">
        <f t="shared" si="101"/>
        <v>0.68240128544320677</v>
      </c>
      <c r="H255" s="412" t="b">
        <f>Wh_hp&gt;='2023'!Maxi_hp</f>
        <v>0</v>
      </c>
      <c r="I255" s="390">
        <f>IF(H255,Wh_hp,'2023'!Maxi_hp)</f>
        <v>52.809812213553279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4.8899480813548002E-2</v>
      </c>
      <c r="M255" s="957"/>
      <c r="N255" s="957"/>
      <c r="O255" s="48">
        <f>IF(t&lt;Tnet,'2023'!Resal+('2023'!Salim-'2023'!Resal)*(1-EXP(('2023'!Tnet-t)/('2023'!Tau_j))),Resal+(Salim-Resal)*(1-EXP((Tnet-t)/(Tau_j))))*Salcycl</f>
        <v>2.5028305659245059E-2</v>
      </c>
      <c r="P255" s="169">
        <f>(INDEX(Models!$BJ255:$BT255,,T255)*(1-R255)+INDEX(Models!$BJ255:$BT255,,T255+1)*R255-ERP_i)*Q255*Ramure*Pc/MaxiM</f>
        <v>1.8659192437560526E-3</v>
      </c>
      <c r="Q255" s="305">
        <f t="shared" si="80"/>
        <v>0.7</v>
      </c>
      <c r="R255" s="177">
        <f t="shared" si="81"/>
        <v>0.48217368664538229</v>
      </c>
      <c r="S255" s="919">
        <f t="shared" si="82"/>
        <v>1</v>
      </c>
      <c r="T255" s="176">
        <f t="shared" si="83"/>
        <v>7</v>
      </c>
      <c r="U255" s="251">
        <f t="shared" si="84"/>
        <v>1.4821736866453823</v>
      </c>
      <c r="V255" s="383">
        <f t="shared" si="85"/>
        <v>47.495474410223316</v>
      </c>
      <c r="W255" s="402">
        <f t="shared" si="86"/>
        <v>32.438412908590188</v>
      </c>
      <c r="X255" s="157">
        <f t="shared" si="87"/>
        <v>45532</v>
      </c>
      <c r="Y255" s="385">
        <f t="shared" si="88"/>
        <v>31.128220484560316</v>
      </c>
      <c r="Z255" s="385">
        <f t="shared" si="89"/>
        <v>32.72863367921051</v>
      </c>
      <c r="AA255" s="386">
        <f t="shared" si="90"/>
        <v>34.981720989147483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6.4407560469536565E-2</v>
      </c>
      <c r="AD255" s="231">
        <f>(INDEX(Models!$BJ255:$BT255,,AH255)*(1-AF255)+INDEX(Models!$BJ255:$BT255,,AH255+1)*AF255-ERP_i)*AE255*Ramure*Pc/MaxiM</f>
        <v>1.8659192437560526E-3</v>
      </c>
      <c r="AE255" s="305">
        <f t="shared" si="92"/>
        <v>0.7</v>
      </c>
      <c r="AF255" s="177">
        <f t="shared" si="93"/>
        <v>0.48217368664538229</v>
      </c>
      <c r="AG255" s="919">
        <f t="shared" si="99"/>
        <v>1</v>
      </c>
      <c r="AH255" s="176">
        <f t="shared" si="94"/>
        <v>7</v>
      </c>
      <c r="AI255" s="225">
        <f t="shared" si="95"/>
        <v>1.4821736866453823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1090">
        <f>IF(t&gt;Tmaj,'2023'!Wh/'2023'!Env_an*'2024'!Env_an,0.001*'[10]mon-tableau (1)'!$B$67)</f>
        <v>45.850478658208942</v>
      </c>
      <c r="C256" s="953"/>
      <c r="D256" s="393">
        <f t="shared" si="77"/>
        <v>48.208871721129881</v>
      </c>
      <c r="E256" s="385">
        <f t="shared" si="100"/>
        <v>49.452899822721712</v>
      </c>
      <c r="F256" s="385">
        <f t="shared" si="78"/>
        <v>49.540663296755994</v>
      </c>
      <c r="G256" s="110">
        <f t="shared" si="101"/>
        <v>0.96757904321374144</v>
      </c>
      <c r="H256" s="412" t="b">
        <f>Wh_hp&gt;='2023'!Maxi_hp</f>
        <v>0</v>
      </c>
      <c r="I256" s="390">
        <f>IF(H256,Wh_hp,'2023'!Maxi_hp)</f>
        <v>51.020688029577649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4.8920312355853368E-2</v>
      </c>
      <c r="M256" s="957"/>
      <c r="N256" s="957"/>
      <c r="O256" s="48">
        <f>IF(t&lt;Tnet,'2023'!Resal+('2023'!Salim-'2023'!Resal)*(1-EXP(('2023'!Tnet-t)/('2023'!Tau_j))),Resal+(Salim-Resal)*(1-EXP((Tnet-t)/(Tau_j))))*Salcycl</f>
        <v>2.5155817071423701E-2</v>
      </c>
      <c r="P256" s="169">
        <f>(INDEX(Models!$BJ256:$BT256,,T256)*(1-R256)+INDEX(Models!$BJ256:$BT256,,T256+1)*R256-ERP_i)*Q256*Ramure*Pc/MaxiM</f>
        <v>1.8573477637184479E-3</v>
      </c>
      <c r="Q256" s="305">
        <f t="shared" si="80"/>
        <v>0.7</v>
      </c>
      <c r="R256" s="177">
        <f t="shared" si="81"/>
        <v>0.4828744842065571</v>
      </c>
      <c r="S256" s="919">
        <f t="shared" si="82"/>
        <v>1</v>
      </c>
      <c r="T256" s="176">
        <f t="shared" si="83"/>
        <v>7</v>
      </c>
      <c r="U256" s="251">
        <f t="shared" si="84"/>
        <v>1.4828744842065571</v>
      </c>
      <c r="V256" s="383">
        <f t="shared" si="85"/>
        <v>47.382731015919454</v>
      </c>
      <c r="W256" s="402">
        <f t="shared" si="86"/>
        <v>45.850478658208942</v>
      </c>
      <c r="X256" s="157">
        <f t="shared" si="87"/>
        <v>45533</v>
      </c>
      <c r="Y256" s="385">
        <f t="shared" si="88"/>
        <v>44.000480743925365</v>
      </c>
      <c r="Z256" s="385">
        <f t="shared" si="89"/>
        <v>46.26371619071783</v>
      </c>
      <c r="AA256" s="386">
        <f t="shared" si="90"/>
        <v>49.452899822721712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6.4489314952943882E-2</v>
      </c>
      <c r="AD256" s="231">
        <f>(INDEX(Models!$BJ256:$BT256,,AH256)*(1-AF256)+INDEX(Models!$BJ256:$BT256,,AH256+1)*AF256-ERP_i)*AE256*Ramure*Pc/MaxiM</f>
        <v>1.8573477637184479E-3</v>
      </c>
      <c r="AE256" s="305">
        <f t="shared" si="92"/>
        <v>0.7</v>
      </c>
      <c r="AF256" s="177">
        <f t="shared" si="93"/>
        <v>0.4828744842065571</v>
      </c>
      <c r="AG256" s="919">
        <f t="shared" si="99"/>
        <v>1</v>
      </c>
      <c r="AH256" s="176">
        <f t="shared" si="94"/>
        <v>7</v>
      </c>
      <c r="AI256" s="225">
        <f t="shared" si="95"/>
        <v>1.4828744842065571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1090">
        <f>IF(t&gt;Tmaj,'2023'!Wh/'2023'!Env_an*'2024'!Env_an,0.001*'[10]mon-tableau (1)'!$B$68)</f>
        <v>20.846036532717207</v>
      </c>
      <c r="C257" s="953"/>
      <c r="D257" s="393">
        <f t="shared" si="77"/>
        <v>21.918766003777396</v>
      </c>
      <c r="E257" s="385">
        <f t="shared" si="100"/>
        <v>22.487313919962574</v>
      </c>
      <c r="F257" s="385">
        <f t="shared" si="78"/>
        <v>22.49572070055633</v>
      </c>
      <c r="G257" s="110">
        <f t="shared" si="101"/>
        <v>0.44037200300688095</v>
      </c>
      <c r="H257" s="412" t="b">
        <f>Wh_hp&gt;='2023'!Maxi_hp</f>
        <v>0</v>
      </c>
      <c r="I257" s="390">
        <f>IF(H257,Wh_hp,'2023'!Maxi_hp)</f>
        <v>51.639133296774915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4.8941143441894375E-2</v>
      </c>
      <c r="M257" s="957"/>
      <c r="N257" s="957"/>
      <c r="O257" s="48">
        <f>IF(t&lt;Tnet,'2023'!Resal+('2023'!Salim-'2023'!Resal)*(1-EXP(('2023'!Tnet-t)/('2023'!Tau_j))),Resal+(Salim-Resal)*(1-EXP((Tnet-t)/(Tau_j))))*Salcycl</f>
        <v>2.5283051511121597E-2</v>
      </c>
      <c r="P257" s="169">
        <f>(INDEX(Models!$BJ257:$BT257,,T257)*(1-R257)+INDEX(Models!$BJ257:$BT257,,T257+1)*R257-ERP_i)*Q257*Ramure*Pc/MaxiM</f>
        <v>1.8549412672903705E-3</v>
      </c>
      <c r="Q257" s="305">
        <f t="shared" si="80"/>
        <v>0.7</v>
      </c>
      <c r="R257" s="177">
        <f t="shared" si="81"/>
        <v>0.48354898139625724</v>
      </c>
      <c r="S257" s="919">
        <f t="shared" si="82"/>
        <v>1</v>
      </c>
      <c r="T257" s="176">
        <f t="shared" si="83"/>
        <v>7</v>
      </c>
      <c r="U257" s="251">
        <f t="shared" si="84"/>
        <v>1.4835489813962572</v>
      </c>
      <c r="V257" s="383">
        <f t="shared" si="85"/>
        <v>47.267189916050725</v>
      </c>
      <c r="W257" s="402">
        <f t="shared" si="86"/>
        <v>20.846036532717207</v>
      </c>
      <c r="X257" s="157">
        <f t="shared" si="87"/>
        <v>45534</v>
      </c>
      <c r="Y257" s="385">
        <f t="shared" si="88"/>
        <v>20.005801731045477</v>
      </c>
      <c r="Z257" s="385">
        <f t="shared" si="89"/>
        <v>21.035293024289508</v>
      </c>
      <c r="AA257" s="386">
        <f t="shared" si="90"/>
        <v>22.487313919962574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6.4570668637487644E-2</v>
      </c>
      <c r="AD257" s="231">
        <f>(INDEX(Models!$BJ257:$BT257,,AH257)*(1-AF257)+INDEX(Models!$BJ257:$BT257,,AH257+1)*AF257-ERP_i)*AE257*Ramure*Pc/MaxiM</f>
        <v>1.8549412672903705E-3</v>
      </c>
      <c r="AE257" s="305">
        <f t="shared" si="92"/>
        <v>0.7</v>
      </c>
      <c r="AF257" s="177">
        <f t="shared" si="93"/>
        <v>0.48354898139625724</v>
      </c>
      <c r="AG257" s="919">
        <f t="shared" si="99"/>
        <v>1</v>
      </c>
      <c r="AH257" s="176">
        <f t="shared" si="94"/>
        <v>7</v>
      </c>
      <c r="AI257" s="225">
        <f t="shared" si="95"/>
        <v>1.4835489813962572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1090">
        <f>IF(t&gt;Tmaj,'2023'!Wh/'2023'!Env_an*'2024'!Env_an,0.001*'[11]mon-tableau (3)'!$B$37)</f>
        <v>42.366584393807351</v>
      </c>
      <c r="C258" s="953"/>
      <c r="D258" s="393">
        <f t="shared" si="77"/>
        <v>44.547729153577066</v>
      </c>
      <c r="E258" s="385">
        <f t="shared" si="100"/>
        <v>45.709200064335711</v>
      </c>
      <c r="F258" s="385">
        <f t="shared" si="78"/>
        <v>45.781967797652058</v>
      </c>
      <c r="G258" s="110">
        <f t="shared" si="101"/>
        <v>0.89833729389226191</v>
      </c>
      <c r="H258" s="412" t="b">
        <f>Wh_hp&gt;='2023'!Maxi_hp</f>
        <v>0</v>
      </c>
      <c r="I258" s="390">
        <f>IF(H258,Wh_hp,'2023'!Maxi_hp)</f>
        <v>52.083506608695828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4.8961974071681236E-2</v>
      </c>
      <c r="M258" s="957"/>
      <c r="N258" s="957"/>
      <c r="O258" s="48">
        <f>IF(t&lt;Tnet,'2023'!Resal+('2023'!Salim-'2023'!Resal)*(1-EXP(('2023'!Tnet-t)/('2023'!Tau_j))),Resal+(Salim-Resal)*(1-EXP((Tnet-t)/(Tau_j))))*Salcycl</f>
        <v>2.54100029999185E-2</v>
      </c>
      <c r="P258" s="169">
        <f>(INDEX(Models!$BJ258:$BT258,,T258)*(1-R258)+INDEX(Models!$BJ258:$BT258,,T258+1)*R258-ERP_i)*Q258*Ramure*Pc/MaxiM</f>
        <v>1.8587477976927049E-3</v>
      </c>
      <c r="Q258" s="305">
        <f t="shared" si="80"/>
        <v>0.7</v>
      </c>
      <c r="R258" s="177">
        <f t="shared" si="81"/>
        <v>0.48419809337887876</v>
      </c>
      <c r="S258" s="919">
        <f t="shared" si="82"/>
        <v>1</v>
      </c>
      <c r="T258" s="176">
        <f t="shared" si="83"/>
        <v>7</v>
      </c>
      <c r="U258" s="251">
        <f t="shared" si="84"/>
        <v>1.4841980933788788</v>
      </c>
      <c r="V258" s="383">
        <f t="shared" si="85"/>
        <v>47.148389481010085</v>
      </c>
      <c r="W258" s="402">
        <f t="shared" si="86"/>
        <v>42.366584393807351</v>
      </c>
      <c r="X258" s="157">
        <f t="shared" si="87"/>
        <v>45535</v>
      </c>
      <c r="Y258" s="385">
        <f t="shared" si="88"/>
        <v>40.660705175789623</v>
      </c>
      <c r="Z258" s="385">
        <f t="shared" si="89"/>
        <v>42.754026723695148</v>
      </c>
      <c r="AA258" s="386">
        <f t="shared" si="90"/>
        <v>45.709200064335711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6.4651609227051779E-2</v>
      </c>
      <c r="AD258" s="231">
        <f>(INDEX(Models!$BJ258:$BT258,,AH258)*(1-AF258)+INDEX(Models!$BJ258:$BT258,,AH258+1)*AF258-ERP_i)*AE258*Ramure*Pc/MaxiM</f>
        <v>1.8587477976927049E-3</v>
      </c>
      <c r="AE258" s="305">
        <f t="shared" si="92"/>
        <v>0.7</v>
      </c>
      <c r="AF258" s="177">
        <f t="shared" si="93"/>
        <v>0.48419809337887876</v>
      </c>
      <c r="AG258" s="919">
        <f t="shared" si="99"/>
        <v>1</v>
      </c>
      <c r="AH258" s="176">
        <f t="shared" si="94"/>
        <v>7</v>
      </c>
      <c r="AI258" s="225">
        <f t="shared" si="95"/>
        <v>1.4841980933788788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1090">
        <f>IF(t&gt;Tmaj,'2023'!Wh/'2023'!Env_an*'2024'!Env_an,0.001*'[11]mon-tableau (3)'!$B$38)</f>
        <v>39.50794443186907</v>
      </c>
      <c r="C259" s="953"/>
      <c r="D259" s="393">
        <f t="shared" si="77"/>
        <v>41.542828676734423</v>
      </c>
      <c r="E259" s="385">
        <f t="shared" si="100"/>
        <v>42.631494893277882</v>
      </c>
      <c r="F259" s="385">
        <f t="shared" si="78"/>
        <v>42.693058773282125</v>
      </c>
      <c r="G259" s="110">
        <f t="shared" si="101"/>
        <v>0.83977306946453123</v>
      </c>
      <c r="H259" s="412" t="b">
        <f>Wh_hp&gt;='2023'!Maxi_hp</f>
        <v>0</v>
      </c>
      <c r="I259" s="390">
        <f>IF(H259,Wh_hp,'2023'!Maxi_hp)</f>
        <v>50.502495754224739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4.8982804245223832E-2</v>
      </c>
      <c r="M259" s="957"/>
      <c r="N259" s="957"/>
      <c r="O259" s="48">
        <f>IF(t&lt;Tnet,'2023'!Resal+('2023'!Salim-'2023'!Resal)*(1-EXP(('2023'!Tnet-t)/('2023'!Tau_j))),Resal+(Salim-Resal)*(1-EXP((Tnet-t)/(Tau_j))))*Salcycl</f>
        <v>2.5536665305047009E-2</v>
      </c>
      <c r="P259" s="169">
        <f>(INDEX(Models!$BJ259:$BT259,,T259)*(1-R259)+INDEX(Models!$BJ259:$BT259,,T259+1)*R259-ERP_i)*Q259*Ramure*Pc/MaxiM</f>
        <v>1.8688167385311932E-3</v>
      </c>
      <c r="Q259" s="305">
        <f t="shared" si="80"/>
        <v>0.7</v>
      </c>
      <c r="R259" s="177">
        <f t="shared" si="81"/>
        <v>0.48482270899308544</v>
      </c>
      <c r="S259" s="919">
        <f t="shared" si="82"/>
        <v>1</v>
      </c>
      <c r="T259" s="176">
        <f t="shared" si="83"/>
        <v>7</v>
      </c>
      <c r="U259" s="251">
        <f t="shared" si="84"/>
        <v>1.4848227089930854</v>
      </c>
      <c r="V259" s="383">
        <f t="shared" si="85"/>
        <v>47.025868437547715</v>
      </c>
      <c r="W259" s="402">
        <f t="shared" si="86"/>
        <v>39.50794443186907</v>
      </c>
      <c r="X259" s="157">
        <f t="shared" si="87"/>
        <v>45536</v>
      </c>
      <c r="Y259" s="385">
        <f t="shared" si="88"/>
        <v>37.918831792472581</v>
      </c>
      <c r="Z259" s="385">
        <f t="shared" si="89"/>
        <v>39.87186768203307</v>
      </c>
      <c r="AA259" s="386">
        <f t="shared" si="90"/>
        <v>42.631494893277882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6.4732123941540473E-2</v>
      </c>
      <c r="AD259" s="231">
        <f>(INDEX(Models!$BJ259:$BT259,,AH259)*(1-AF259)+INDEX(Models!$BJ259:$BT259,,AH259+1)*AF259-ERP_i)*AE259*Ramure*Pc/MaxiM</f>
        <v>1.8688167385311932E-3</v>
      </c>
      <c r="AE259" s="305">
        <f t="shared" si="92"/>
        <v>0.7</v>
      </c>
      <c r="AF259" s="177">
        <f t="shared" si="93"/>
        <v>0.48482270899308544</v>
      </c>
      <c r="AG259" s="919">
        <f t="shared" si="99"/>
        <v>1</v>
      </c>
      <c r="AH259" s="176">
        <f t="shared" si="94"/>
        <v>7</v>
      </c>
      <c r="AI259" s="225">
        <f t="shared" si="95"/>
        <v>1.4848227089930854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1090">
        <f>IF(t&gt;Tmaj,'2023'!Wh/'2023'!Env_an*'2024'!Env_an,0.001*'[11]mon-tableau (3)'!$B$39)</f>
        <v>37.54593183145834</v>
      </c>
      <c r="C260" s="953"/>
      <c r="D260" s="393">
        <f t="shared" si="77"/>
        <v>39.480625975366856</v>
      </c>
      <c r="E260" s="385">
        <f t="shared" si="100"/>
        <v>40.520504988444742</v>
      </c>
      <c r="F260" s="385">
        <f t="shared" si="78"/>
        <v>40.575204357710092</v>
      </c>
      <c r="G260" s="110">
        <f t="shared" si="101"/>
        <v>0.80013658992355208</v>
      </c>
      <c r="H260" s="412" t="b">
        <f>Wh_hp&gt;='2023'!Maxi_hp</f>
        <v>0</v>
      </c>
      <c r="I260" s="390">
        <f>IF(H260,Wh_hp,'2023'!Maxi_hp)</f>
        <v>52.236523625300045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4.9003633962532156E-2</v>
      </c>
      <c r="M260" s="957"/>
      <c r="N260" s="957"/>
      <c r="O260" s="48">
        <f>IF(t&lt;Tnet,'2023'!Resal+('2023'!Salim-'2023'!Resal)*(1-EXP(('2023'!Tnet-t)/('2023'!Tau_j))),Resal+(Salim-Resal)*(1-EXP((Tnet-t)/(Tau_j))))*Salcycl</f>
        <v>2.566303192357617E-2</v>
      </c>
      <c r="P260" s="169">
        <f>(INDEX(Models!$BJ260:$BT260,,T260)*(1-R260)+INDEX(Models!$BJ260:$BT260,,T260+1)*R260-ERP_i)*Q260*Ramure*Pc/MaxiM</f>
        <v>1.8851993976889943E-3</v>
      </c>
      <c r="Q260" s="305">
        <f t="shared" si="80"/>
        <v>0.7</v>
      </c>
      <c r="R260" s="177">
        <f t="shared" si="81"/>
        <v>0.48542369107171091</v>
      </c>
      <c r="S260" s="919">
        <f t="shared" si="82"/>
        <v>1</v>
      </c>
      <c r="T260" s="176">
        <f t="shared" si="83"/>
        <v>7</v>
      </c>
      <c r="U260" s="251">
        <f t="shared" si="84"/>
        <v>1.4854236910717109</v>
      </c>
      <c r="V260" s="383">
        <f t="shared" si="85"/>
        <v>46.899165874050873</v>
      </c>
      <c r="W260" s="402">
        <f t="shared" si="86"/>
        <v>37.54593183145834</v>
      </c>
      <c r="X260" s="157">
        <f t="shared" si="87"/>
        <v>45537</v>
      </c>
      <c r="Y260" s="385">
        <f t="shared" si="88"/>
        <v>36.037324414665605</v>
      </c>
      <c r="Z260" s="385">
        <f t="shared" si="89"/>
        <v>37.894281935926756</v>
      </c>
      <c r="AA260" s="386">
        <f t="shared" si="90"/>
        <v>40.520504988444742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6.4812199484357541E-2</v>
      </c>
      <c r="AD260" s="231">
        <f>(INDEX(Models!$BJ260:$BT260,,AH260)*(1-AF260)+INDEX(Models!$BJ260:$BT260,,AH260+1)*AF260-ERP_i)*AE260*Ramure*Pc/MaxiM</f>
        <v>1.8851993976889943E-3</v>
      </c>
      <c r="AE260" s="305">
        <f t="shared" si="92"/>
        <v>0.7</v>
      </c>
      <c r="AF260" s="177">
        <f t="shared" si="93"/>
        <v>0.48542369107171091</v>
      </c>
      <c r="AG260" s="919">
        <f t="shared" si="99"/>
        <v>1</v>
      </c>
      <c r="AH260" s="176">
        <f t="shared" si="94"/>
        <v>7</v>
      </c>
      <c r="AI260" s="225">
        <f t="shared" si="95"/>
        <v>1.4854236910717109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1090">
        <f>IF(t&gt;Tmaj,'2023'!Wh/'2023'!Env_an*'2024'!Env_an,0.001*'[11]mon-tableau (3)'!$B$40)</f>
        <v>44.865391101137448</v>
      </c>
      <c r="C261" s="953"/>
      <c r="D261" s="393">
        <f t="shared" si="77"/>
        <v>47.178281003128767</v>
      </c>
      <c r="E261" s="385">
        <f t="shared" si="100"/>
        <v>48.427174046824142</v>
      </c>
      <c r="F261" s="385">
        <f t="shared" si="78"/>
        <v>48.514349710288037</v>
      </c>
      <c r="G261" s="110">
        <f t="shared" si="101"/>
        <v>0.95917801968014582</v>
      </c>
      <c r="H261" s="412" t="b">
        <f>Wh_hp&gt;='2023'!Maxi_hp</f>
        <v>0</v>
      </c>
      <c r="I261" s="390">
        <f>IF(H261,Wh_hp,'2023'!Maxi_hp)</f>
        <v>51.364733019215166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4.9024463223616199E-2</v>
      </c>
      <c r="M261" s="957"/>
      <c r="N261" s="957"/>
      <c r="O261" s="48">
        <f>IF(t&lt;Tnet,'2023'!Resal+('2023'!Salim-'2023'!Resal)*(1-EXP(('2023'!Tnet-t)/('2023'!Tau_j))),Resal+(Salim-Resal)*(1-EXP((Tnet-t)/(Tau_j))))*Salcycl</f>
        <v>2.5789096065936531E-2</v>
      </c>
      <c r="P261" s="169">
        <f>(INDEX(Models!$BJ261:$BT261,,T261)*(1-R261)+INDEX(Models!$BJ261:$BT261,,T261+1)*R261-ERP_i)*Q261*Ramure*Pc/MaxiM</f>
        <v>1.9078758611547932E-3</v>
      </c>
      <c r="Q261" s="305">
        <f t="shared" si="80"/>
        <v>0.7</v>
      </c>
      <c r="R261" s="177">
        <f t="shared" si="81"/>
        <v>0.48600187679747497</v>
      </c>
      <c r="S261" s="919">
        <f t="shared" si="82"/>
        <v>1</v>
      </c>
      <c r="T261" s="176">
        <f t="shared" si="83"/>
        <v>7</v>
      </c>
      <c r="U261" s="251">
        <f t="shared" si="84"/>
        <v>1.486001876797475</v>
      </c>
      <c r="V261" s="383">
        <f t="shared" si="85"/>
        <v>46.769632387426249</v>
      </c>
      <c r="W261" s="402">
        <f t="shared" si="86"/>
        <v>44.865391101137448</v>
      </c>
      <c r="X261" s="157">
        <f t="shared" si="87"/>
        <v>45538</v>
      </c>
      <c r="Y261" s="385">
        <f t="shared" si="88"/>
        <v>43.064591001831012</v>
      </c>
      <c r="Z261" s="385">
        <f t="shared" si="89"/>
        <v>45.284646488185523</v>
      </c>
      <c r="AA261" s="386">
        <f t="shared" si="90"/>
        <v>48.427174046824142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6.4891822008860497E-2</v>
      </c>
      <c r="AD261" s="231">
        <f>(INDEX(Models!$BJ261:$BT261,,AH261)*(1-AF261)+INDEX(Models!$BJ261:$BT261,,AH261+1)*AF261-ERP_i)*AE261*Ramure*Pc/MaxiM</f>
        <v>1.9078758611547932E-3</v>
      </c>
      <c r="AE261" s="305">
        <f t="shared" si="92"/>
        <v>0.7</v>
      </c>
      <c r="AF261" s="177">
        <f t="shared" si="93"/>
        <v>0.48600187679747497</v>
      </c>
      <c r="AG261" s="919">
        <f t="shared" si="99"/>
        <v>1</v>
      </c>
      <c r="AH261" s="176">
        <f t="shared" si="94"/>
        <v>7</v>
      </c>
      <c r="AI261" s="225">
        <f t="shared" si="95"/>
        <v>1.486001876797475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1090">
        <f>IF(t&gt;Tmaj,'2023'!Wh/'2023'!Env_an*'2024'!Env_an,0.001*'[11]mon-tableau (3)'!$B$41)</f>
        <v>41.186712895832386</v>
      </c>
      <c r="C262" s="953"/>
      <c r="D262" s="393">
        <f t="shared" si="77"/>
        <v>43.310909079663695</v>
      </c>
      <c r="E262" s="385">
        <f t="shared" si="100"/>
        <v>44.463165369150268</v>
      </c>
      <c r="F262" s="385">
        <f t="shared" si="78"/>
        <v>44.535042868707208</v>
      </c>
      <c r="G262" s="110">
        <f t="shared" si="101"/>
        <v>0.88281557130975286</v>
      </c>
      <c r="H262" s="412" t="b">
        <f>Wh_hp&gt;='2023'!Maxi_hp</f>
        <v>0</v>
      </c>
      <c r="I262" s="390">
        <f>IF(H262,Wh_hp,'2023'!Maxi_hp)</f>
        <v>50.98450100113412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4.9045292028485954E-2</v>
      </c>
      <c r="M262" s="957"/>
      <c r="N262" s="957"/>
      <c r="O262" s="48">
        <f>IF(t&lt;Tnet,'2023'!Resal+('2023'!Salim-'2023'!Resal)*(1-EXP(('2023'!Tnet-t)/('2023'!Tau_j))),Resal+(Salim-Resal)*(1-EXP((Tnet-t)/(Tau_j))))*Salcycl</f>
        <v>2.591485063917735E-2</v>
      </c>
      <c r="P262" s="169">
        <f>(INDEX(Models!$BJ262:$BT262,,T262)*(1-R262)+INDEX(Models!$BJ262:$BT262,,T262+1)*R262-ERP_i)*Q262*Ramure*Pc/MaxiM</f>
        <v>1.9375136311045606E-3</v>
      </c>
      <c r="Q262" s="305">
        <f t="shared" si="80"/>
        <v>0.7</v>
      </c>
      <c r="R262" s="177">
        <f t="shared" si="81"/>
        <v>0.48655807809024698</v>
      </c>
      <c r="S262" s="919">
        <f t="shared" si="82"/>
        <v>1</v>
      </c>
      <c r="T262" s="176">
        <f t="shared" si="83"/>
        <v>7</v>
      </c>
      <c r="U262" s="251">
        <f t="shared" si="84"/>
        <v>1.486558078090247</v>
      </c>
      <c r="V262" s="383">
        <f t="shared" si="85"/>
        <v>46.638693656040822</v>
      </c>
      <c r="W262" s="402">
        <f t="shared" si="86"/>
        <v>41.186712895832386</v>
      </c>
      <c r="X262" s="157">
        <f t="shared" si="87"/>
        <v>45539</v>
      </c>
      <c r="Y262" s="385">
        <f t="shared" si="88"/>
        <v>39.535323930715577</v>
      </c>
      <c r="Z262" s="385">
        <f t="shared" si="89"/>
        <v>41.574350070834143</v>
      </c>
      <c r="AA262" s="386">
        <f t="shared" si="90"/>
        <v>44.463165369150268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6.4970977084786316E-2</v>
      </c>
      <c r="AD262" s="231">
        <f>(INDEX(Models!$BJ262:$BT262,,AH262)*(1-AF262)+INDEX(Models!$BJ262:$BT262,,AH262+1)*AF262-ERP_i)*AE262*Ramure*Pc/MaxiM</f>
        <v>1.9375136311045606E-3</v>
      </c>
      <c r="AE262" s="305">
        <f t="shared" si="92"/>
        <v>0.7</v>
      </c>
      <c r="AF262" s="177">
        <f t="shared" si="93"/>
        <v>0.48655807809024698</v>
      </c>
      <c r="AG262" s="919">
        <f t="shared" si="99"/>
        <v>1</v>
      </c>
      <c r="AH262" s="176">
        <f t="shared" si="94"/>
        <v>7</v>
      </c>
      <c r="AI262" s="225">
        <f t="shared" si="95"/>
        <v>1.486558078090247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1090">
        <f>IF(t&gt;Tmaj,'2023'!Wh/'2023'!Env_an*'2024'!Env_an,0.001*'[11]mon-tableau (3)'!$B$42)</f>
        <v>44.340528460060305</v>
      </c>
      <c r="C263" s="953"/>
      <c r="D263" s="393">
        <f t="shared" si="77"/>
        <v>46.628403309856068</v>
      </c>
      <c r="E263" s="385">
        <f t="shared" si="100"/>
        <v>47.875084304190594</v>
      </c>
      <c r="F263" s="385">
        <f t="shared" si="78"/>
        <v>47.963294647999206</v>
      </c>
      <c r="G263" s="110">
        <f t="shared" si="101"/>
        <v>0.95330670276511698</v>
      </c>
      <c r="H263" s="412" t="b">
        <f>Wh_hp&gt;='2023'!Maxi_hp</f>
        <v>0</v>
      </c>
      <c r="I263" s="390">
        <f>IF(H263,Wh_hp,'2023'!Maxi_hp)</f>
        <v>50.093779259666192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4.9066120377151412E-2</v>
      </c>
      <c r="M263" s="957"/>
      <c r="N263" s="957"/>
      <c r="O263" s="48">
        <f>IF(t&lt;Tnet,'2023'!Resal+('2023'!Salim-'2023'!Resal)*(1-EXP(('2023'!Tnet-t)/('2023'!Tau_j))),Resal+(Salim-Resal)*(1-EXP((Tnet-t)/(Tau_j))))*Salcycl</f>
        <v>2.6040288230372903E-2</v>
      </c>
      <c r="P263" s="169">
        <f>(INDEX(Models!$BJ263:$BT263,,T263)*(1-R263)+INDEX(Models!$BJ263:$BT263,,T263+1)*R263-ERP_i)*Q263*Ramure*Pc/MaxiM</f>
        <v>1.9701904789357154E-3</v>
      </c>
      <c r="Q263" s="305">
        <f t="shared" si="80"/>
        <v>0.7</v>
      </c>
      <c r="R263" s="177">
        <f t="shared" si="81"/>
        <v>0.48709308202187862</v>
      </c>
      <c r="S263" s="919">
        <f t="shared" si="82"/>
        <v>1</v>
      </c>
      <c r="T263" s="176">
        <f t="shared" si="83"/>
        <v>7</v>
      </c>
      <c r="U263" s="251">
        <f t="shared" si="84"/>
        <v>1.4870930820218786</v>
      </c>
      <c r="V263" s="383">
        <f t="shared" si="85"/>
        <v>46.506235581624367</v>
      </c>
      <c r="W263" s="402">
        <f t="shared" si="86"/>
        <v>44.340528460060305</v>
      </c>
      <c r="X263" s="157">
        <f t="shared" si="87"/>
        <v>45540</v>
      </c>
      <c r="Y263" s="385">
        <f t="shared" si="88"/>
        <v>42.564586724453633</v>
      </c>
      <c r="Z263" s="385">
        <f t="shared" si="89"/>
        <v>44.76082684248798</v>
      </c>
      <c r="AA263" s="386">
        <f t="shared" si="90"/>
        <v>47.875084304190594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6.504964966568251E-2</v>
      </c>
      <c r="AD263" s="231">
        <f>(INDEX(Models!$BJ263:$BT263,,AH263)*(1-AF263)+INDEX(Models!$BJ263:$BT263,,AH263+1)*AF263-ERP_i)*AE263*Ramure*Pc/MaxiM</f>
        <v>1.9701904789357154E-3</v>
      </c>
      <c r="AE263" s="305">
        <f t="shared" si="92"/>
        <v>0.7</v>
      </c>
      <c r="AF263" s="177">
        <f t="shared" si="93"/>
        <v>0.48709308202187862</v>
      </c>
      <c r="AG263" s="919">
        <f t="shared" si="99"/>
        <v>1</v>
      </c>
      <c r="AH263" s="176">
        <f t="shared" si="94"/>
        <v>7</v>
      </c>
      <c r="AI263" s="225">
        <f t="shared" si="95"/>
        <v>1.4870930820218786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1090">
        <f>IF(t&gt;Tmaj,'2023'!Wh/'2023'!Env_an*'2024'!Env_an,0.001*'[11]mon-tableau (3)'!$B$43)</f>
        <v>35.471053947363558</v>
      </c>
      <c r="C264" s="953"/>
      <c r="D264" s="393">
        <f t="shared" si="77"/>
        <v>37.302100210757281</v>
      </c>
      <c r="E264" s="385">
        <f t="shared" si="100"/>
        <v>38.304348862253036</v>
      </c>
      <c r="F264" s="385">
        <f t="shared" si="78"/>
        <v>38.355449669434805</v>
      </c>
      <c r="G264" s="110">
        <f t="shared" si="101"/>
        <v>0.76440867239236276</v>
      </c>
      <c r="H264" s="412" t="b">
        <f>Wh_hp&gt;='2023'!Maxi_hp</f>
        <v>0</v>
      </c>
      <c r="I264" s="390">
        <f>IF(H264,Wh_hp,'2023'!Maxi_hp)</f>
        <v>51.37719632099251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4.9086948269622677E-2</v>
      </c>
      <c r="M264" s="957"/>
      <c r="N264" s="957"/>
      <c r="O264" s="48">
        <f>IF(t&lt;Tnet,'2023'!Resal+('2023'!Salim-'2023'!Resal)*(1-EXP(('2023'!Tnet-t)/('2023'!Tau_j))),Resal+(Salim-Resal)*(1-EXP((Tnet-t)/(Tau_j))))*Salcycl</f>
        <v>2.6165401090616606E-2</v>
      </c>
      <c r="P264" s="169">
        <f>(INDEX(Models!$BJ264:$BT264,,T264)*(1-R264)+INDEX(Models!$BJ264:$BT264,,T264+1)*R264-ERP_i)*Q264*Ramure*Pc/MaxiM</f>
        <v>2.0059317739676789E-3</v>
      </c>
      <c r="Q264" s="305">
        <f t="shared" si="80"/>
        <v>0.7</v>
      </c>
      <c r="R264" s="177">
        <f t="shared" si="81"/>
        <v>0.48760765125491612</v>
      </c>
      <c r="S264" s="919">
        <f t="shared" si="82"/>
        <v>1</v>
      </c>
      <c r="T264" s="176">
        <f t="shared" si="83"/>
        <v>7</v>
      </c>
      <c r="U264" s="251">
        <f t="shared" si="84"/>
        <v>1.4876076512549161</v>
      </c>
      <c r="V264" s="383">
        <f t="shared" si="85"/>
        <v>46.371958842141403</v>
      </c>
      <c r="W264" s="402">
        <f t="shared" si="86"/>
        <v>35.471053947363558</v>
      </c>
      <c r="X264" s="157">
        <f t="shared" si="87"/>
        <v>45541</v>
      </c>
      <c r="Y264" s="385">
        <f t="shared" si="88"/>
        <v>34.051882551565853</v>
      </c>
      <c r="Z264" s="385">
        <f t="shared" si="89"/>
        <v>35.809669968880556</v>
      </c>
      <c r="AA264" s="386">
        <f t="shared" si="90"/>
        <v>38.304348862253036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6.5127824058402464E-2</v>
      </c>
      <c r="AD264" s="231">
        <f>(INDEX(Models!$BJ264:$BT264,,AH264)*(1-AF264)+INDEX(Models!$BJ264:$BT264,,AH264+1)*AF264-ERP_i)*AE264*Ramure*Pc/MaxiM</f>
        <v>2.0059317739676789E-3</v>
      </c>
      <c r="AE264" s="305">
        <f t="shared" si="92"/>
        <v>0.7</v>
      </c>
      <c r="AF264" s="177">
        <f t="shared" si="93"/>
        <v>0.48760765125491612</v>
      </c>
      <c r="AG264" s="919">
        <f t="shared" si="99"/>
        <v>1</v>
      </c>
      <c r="AH264" s="176">
        <f t="shared" si="94"/>
        <v>7</v>
      </c>
      <c r="AI264" s="225">
        <f t="shared" si="95"/>
        <v>1.4876076512549161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1090">
        <f>IF(t&gt;Tmaj,'2023'!Wh/'2023'!Env_an*'2024'!Env_an,0.001*'[11]mon-tableau (3)'!$B$44)</f>
        <v>38.908080323020073</v>
      </c>
      <c r="C265" s="953"/>
      <c r="D265" s="393">
        <f t="shared" si="77"/>
        <v>40.91744503632269</v>
      </c>
      <c r="E265" s="385">
        <f t="shared" si="100"/>
        <v>42.022216725091702</v>
      </c>
      <c r="F265" s="385">
        <f t="shared" si="78"/>
        <v>42.088793812962635</v>
      </c>
      <c r="G265" s="110">
        <f t="shared" si="101"/>
        <v>0.84112825820311721</v>
      </c>
      <c r="H265" s="412" t="b">
        <f>Wh_hp&gt;='2023'!Maxi_hp</f>
        <v>0</v>
      </c>
      <c r="I265" s="390">
        <f>IF(H265,Wh_hp,'2023'!Maxi_hp)</f>
        <v>49.21838095853591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4.9107775705909629E-2</v>
      </c>
      <c r="M265" s="957"/>
      <c r="N265" s="957"/>
      <c r="O265" s="48">
        <f>IF(t&lt;Tnet,'2023'!Resal+('2023'!Salim-'2023'!Resal)*(1-EXP(('2023'!Tnet-t)/('2023'!Tau_j))),Resal+(Salim-Resal)*(1-EXP((Tnet-t)/(Tau_j))))*Salcycl</f>
        <v>2.6290181120058417E-2</v>
      </c>
      <c r="P265" s="169">
        <f>(INDEX(Models!$BJ265:$BT265,,T265)*(1-R265)+INDEX(Models!$BJ265:$BT265,,T265+1)*R265-ERP_i)*Q265*Ramure*Pc/MaxiM</f>
        <v>2.0447635714217838E-3</v>
      </c>
      <c r="Q265" s="305">
        <f t="shared" si="80"/>
        <v>0.7</v>
      </c>
      <c r="R265" s="177">
        <f t="shared" si="81"/>
        <v>0.48810252450176206</v>
      </c>
      <c r="S265" s="919">
        <f t="shared" si="82"/>
        <v>1</v>
      </c>
      <c r="T265" s="176">
        <f t="shared" si="83"/>
        <v>7</v>
      </c>
      <c r="U265" s="251">
        <f t="shared" si="84"/>
        <v>1.4881025245017621</v>
      </c>
      <c r="V265" s="383">
        <f t="shared" si="85"/>
        <v>46.235564360772329</v>
      </c>
      <c r="W265" s="402">
        <f t="shared" si="86"/>
        <v>38.908080323020073</v>
      </c>
      <c r="X265" s="157">
        <f t="shared" si="87"/>
        <v>45542</v>
      </c>
      <c r="Y265" s="385">
        <f t="shared" si="88"/>
        <v>37.353079339326221</v>
      </c>
      <c r="Z265" s="385">
        <f t="shared" si="89"/>
        <v>39.282137749160647</v>
      </c>
      <c r="AA265" s="386">
        <f t="shared" si="90"/>
        <v>42.022216725091702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6.5205483895735036E-2</v>
      </c>
      <c r="AD265" s="231">
        <f>(INDEX(Models!$BJ265:$BT265,,AH265)*(1-AF265)+INDEX(Models!$BJ265:$BT265,,AH265+1)*AF265-ERP_i)*AE265*Ramure*Pc/MaxiM</f>
        <v>2.0447635714217838E-3</v>
      </c>
      <c r="AE265" s="305">
        <f t="shared" si="92"/>
        <v>0.7</v>
      </c>
      <c r="AF265" s="177">
        <f t="shared" si="93"/>
        <v>0.48810252450176206</v>
      </c>
      <c r="AG265" s="919">
        <f t="shared" si="99"/>
        <v>1</v>
      </c>
      <c r="AH265" s="176">
        <f t="shared" si="94"/>
        <v>7</v>
      </c>
      <c r="AI265" s="225">
        <f t="shared" si="95"/>
        <v>1.4881025245017621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1090">
        <f>IF(t&gt;Tmaj,'2023'!Wh/'2023'!Env_an*'2024'!Env_an,0.001*'[11]mon-tableau (3)'!$B$45)</f>
        <v>20.131312181513266</v>
      </c>
      <c r="C266" s="953"/>
      <c r="D266" s="393">
        <f t="shared" si="77"/>
        <v>21.171435210250525</v>
      </c>
      <c r="E266" s="385">
        <f t="shared" si="100"/>
        <v>21.745843396996641</v>
      </c>
      <c r="F266" s="385">
        <f t="shared" si="78"/>
        <v>21.754709764085792</v>
      </c>
      <c r="G266" s="110">
        <f t="shared" si="101"/>
        <v>0.43598504072400801</v>
      </c>
      <c r="H266" s="412" t="b">
        <f>Wh_hp&gt;='2023'!Maxi_hp</f>
        <v>0</v>
      </c>
      <c r="I266" s="390">
        <f>IF(H266,Wh_hp,'2023'!Maxi_hp)</f>
        <v>48.849649959056784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4.9128602686022149E-2</v>
      </c>
      <c r="M266" s="957"/>
      <c r="N266" s="957"/>
      <c r="O266" s="48">
        <f>IF(t&lt;Tnet,'2023'!Resal+('2023'!Salim-'2023'!Resal)*(1-EXP(('2023'!Tnet-t)/('2023'!Tau_j))),Resal+(Salim-Resal)*(1-EXP((Tnet-t)/(Tau_j))))*Salcycl</f>
        <v>2.6414619854452141E-2</v>
      </c>
      <c r="P266" s="169">
        <f>(INDEX(Models!$BJ266:$BT266,,T266)*(1-R266)+INDEX(Models!$BJ266:$BT266,,T266+1)*R266-ERP_i)*Q266*Ramure*Pc/MaxiM</f>
        <v>2.0867127609192479E-3</v>
      </c>
      <c r="Q266" s="305">
        <f t="shared" si="80"/>
        <v>0.7</v>
      </c>
      <c r="R266" s="177">
        <f t="shared" si="81"/>
        <v>0.48857841700111715</v>
      </c>
      <c r="S266" s="919">
        <f t="shared" si="82"/>
        <v>1</v>
      </c>
      <c r="T266" s="176">
        <f t="shared" si="83"/>
        <v>7</v>
      </c>
      <c r="U266" s="251">
        <f t="shared" si="84"/>
        <v>1.4885784170011171</v>
      </c>
      <c r="V266" s="383">
        <f t="shared" si="85"/>
        <v>46.096753304567983</v>
      </c>
      <c r="W266" s="402">
        <f t="shared" si="86"/>
        <v>20.131312181513266</v>
      </c>
      <c r="X266" s="157">
        <f t="shared" si="87"/>
        <v>45543</v>
      </c>
      <c r="Y266" s="385">
        <f t="shared" si="88"/>
        <v>19.327619252277557</v>
      </c>
      <c r="Z266" s="385">
        <f t="shared" si="89"/>
        <v>20.326217937435313</v>
      </c>
      <c r="AA266" s="386">
        <f t="shared" si="90"/>
        <v>21.745843396996641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6.5282612113236993E-2</v>
      </c>
      <c r="AD266" s="231">
        <f>(INDEX(Models!$BJ266:$BT266,,AH266)*(1-AF266)+INDEX(Models!$BJ266:$BT266,,AH266+1)*AF266-ERP_i)*AE266*Ramure*Pc/MaxiM</f>
        <v>2.0867127609192479E-3</v>
      </c>
      <c r="AE266" s="305">
        <f t="shared" si="92"/>
        <v>0.7</v>
      </c>
      <c r="AF266" s="177">
        <f t="shared" si="93"/>
        <v>0.48857841700111715</v>
      </c>
      <c r="AG266" s="919">
        <f t="shared" si="99"/>
        <v>1</v>
      </c>
      <c r="AH266" s="176">
        <f t="shared" si="94"/>
        <v>7</v>
      </c>
      <c r="AI266" s="225">
        <f t="shared" si="95"/>
        <v>1.4885784170011171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1090">
        <f>IF(t&gt;Tmaj,'2023'!Wh/'2023'!Env_an*'2024'!Env_an,0.001*'[11]mon-tableau (3)'!$B$46)</f>
        <v>43.944376191055547</v>
      </c>
      <c r="C267" s="953"/>
      <c r="D267" s="393">
        <f t="shared" si="77"/>
        <v>46.215859295897204</v>
      </c>
      <c r="E267" s="385">
        <f t="shared" si="100"/>
        <v>47.47580586638901</v>
      </c>
      <c r="F267" s="385">
        <f t="shared" si="78"/>
        <v>47.570878585943277</v>
      </c>
      <c r="G267" s="110">
        <f t="shared" si="101"/>
        <v>0.95611557779598833</v>
      </c>
      <c r="H267" s="412" t="b">
        <f>Wh_hp&gt;='2023'!Maxi_hp</f>
        <v>0</v>
      </c>
      <c r="I267" s="390">
        <f>IF(H267,Wh_hp,'2023'!Maxi_hp)</f>
        <v>47.574516743281514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4.9149429209970452E-2</v>
      </c>
      <c r="M267" s="957"/>
      <c r="N267" s="957"/>
      <c r="O267" s="48">
        <f>IF(t&lt;Tnet,'2023'!Resal+('2023'!Salim-'2023'!Resal)*(1-EXP(('2023'!Tnet-t)/('2023'!Tau_j))),Resal+(Salim-Resal)*(1-EXP((Tnet-t)/(Tau_j))))*Salcycl</f>
        <v>2.6538708453684227E-2</v>
      </c>
      <c r="P267" s="169">
        <f>(INDEX(Models!$BJ267:$BT267,,T267)*(1-R267)+INDEX(Models!$BJ267:$BT267,,T267+1)*R267-ERP_i)*Q267*Ramure*Pc/MaxiM</f>
        <v>2.1318072178766697E-3</v>
      </c>
      <c r="Q267" s="305">
        <f t="shared" si="80"/>
        <v>0.7</v>
      </c>
      <c r="R267" s="177">
        <f t="shared" si="81"/>
        <v>0.48903602100878207</v>
      </c>
      <c r="S267" s="919">
        <f t="shared" si="82"/>
        <v>1</v>
      </c>
      <c r="T267" s="176">
        <f t="shared" si="83"/>
        <v>7</v>
      </c>
      <c r="U267" s="251">
        <f t="shared" si="84"/>
        <v>1.4890360210087821</v>
      </c>
      <c r="V267" s="383">
        <f t="shared" si="85"/>
        <v>45.955227091778916</v>
      </c>
      <c r="W267" s="402">
        <f t="shared" si="86"/>
        <v>43.944376191055547</v>
      </c>
      <c r="X267" s="157">
        <f t="shared" si="87"/>
        <v>45544</v>
      </c>
      <c r="Y267" s="385">
        <f t="shared" si="88"/>
        <v>42.191926555173566</v>
      </c>
      <c r="Z267" s="385">
        <f t="shared" si="89"/>
        <v>44.37282560614937</v>
      </c>
      <c r="AA267" s="386">
        <f t="shared" si="90"/>
        <v>47.47580586638901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6.5359190931320837E-2</v>
      </c>
      <c r="AD267" s="231">
        <f>(INDEX(Models!$BJ267:$BT267,,AH267)*(1-AF267)+INDEX(Models!$BJ267:$BT267,,AH267+1)*AF267-ERP_i)*AE267*Ramure*Pc/MaxiM</f>
        <v>2.1318072178766697E-3</v>
      </c>
      <c r="AE267" s="305">
        <f t="shared" si="92"/>
        <v>0.7</v>
      </c>
      <c r="AF267" s="177">
        <f t="shared" si="93"/>
        <v>0.48903602100878207</v>
      </c>
      <c r="AG267" s="919">
        <f t="shared" si="99"/>
        <v>1</v>
      </c>
      <c r="AH267" s="176">
        <f t="shared" si="94"/>
        <v>7</v>
      </c>
      <c r="AI267" s="225">
        <f t="shared" si="95"/>
        <v>1.4890360210087821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1090">
        <f>IF(t&gt;Tmaj,'2023'!Wh/'2023'!Env_an*'2024'!Env_an,0.001*'[11]mon-tableau (3)'!$B$47)</f>
        <v>44.761544501155576</v>
      </c>
      <c r="C268" s="953"/>
      <c r="D268" s="393">
        <f t="shared" si="77"/>
        <v>47.076298096071547</v>
      </c>
      <c r="E268" s="385">
        <f t="shared" si="100"/>
        <v>48.365849546050313</v>
      </c>
      <c r="F268" s="385">
        <f t="shared" si="78"/>
        <v>48.468063335337916</v>
      </c>
      <c r="G268" s="110">
        <f t="shared" si="101"/>
        <v>0.97702859091209948</v>
      </c>
      <c r="H268" s="412" t="b">
        <f>Wh_hp&gt;='2023'!Maxi_hp</f>
        <v>0</v>
      </c>
      <c r="I268" s="390">
        <f>IF(H268,Wh_hp,'2023'!Maxi_hp)</f>
        <v>48.470044256349112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4.9170255277764419E-2</v>
      </c>
      <c r="M268" s="957"/>
      <c r="N268" s="957"/>
      <c r="O268" s="48">
        <f>IF(t&lt;Tnet,'2023'!Resal+('2023'!Salim-'2023'!Resal)*(1-EXP(('2023'!Tnet-t)/('2023'!Tau_j))),Resal+(Salim-Resal)*(1-EXP((Tnet-t)/(Tau_j))))*Salcycl</f>
        <v>2.6662437692755801E-2</v>
      </c>
      <c r="P268" s="169">
        <f>(INDEX(Models!$BJ268:$BT268,,T268)*(1-R268)+INDEX(Models!$BJ268:$BT268,,T268+1)*R268-ERP_i)*Q268*Ramure*Pc/MaxiM</f>
        <v>2.1802186625748065E-3</v>
      </c>
      <c r="Q268" s="305">
        <f t="shared" si="80"/>
        <v>0.7</v>
      </c>
      <c r="R268" s="177">
        <f t="shared" si="81"/>
        <v>0.48947600630011889</v>
      </c>
      <c r="S268" s="919">
        <f t="shared" si="82"/>
        <v>1</v>
      </c>
      <c r="T268" s="176">
        <f t="shared" si="83"/>
        <v>7</v>
      </c>
      <c r="U268" s="251">
        <f t="shared" si="84"/>
        <v>1.4894760063001189</v>
      </c>
      <c r="V268" s="383">
        <f t="shared" si="85"/>
        <v>45.810680839814459</v>
      </c>
      <c r="W268" s="402">
        <f t="shared" si="86"/>
        <v>44.761544501155576</v>
      </c>
      <c r="X268" s="157">
        <f t="shared" si="87"/>
        <v>45545</v>
      </c>
      <c r="Y268" s="385">
        <f t="shared" si="88"/>
        <v>42.978474705865004</v>
      </c>
      <c r="Z268" s="385">
        <f t="shared" si="89"/>
        <v>45.201020418666268</v>
      </c>
      <c r="AA268" s="386">
        <f t="shared" si="90"/>
        <v>48.365849546050313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6.5435201843621796E-2</v>
      </c>
      <c r="AD268" s="231">
        <f>(INDEX(Models!$BJ268:$BT268,,AH268)*(1-AF268)+INDEX(Models!$BJ268:$BT268,,AH268+1)*AF268-ERP_i)*AE268*Ramure*Pc/MaxiM</f>
        <v>2.1802186625748065E-3</v>
      </c>
      <c r="AE268" s="305">
        <f t="shared" si="92"/>
        <v>0.7</v>
      </c>
      <c r="AF268" s="177">
        <f t="shared" si="93"/>
        <v>0.48947600630011889</v>
      </c>
      <c r="AG268" s="919">
        <f t="shared" si="99"/>
        <v>1</v>
      </c>
      <c r="AH268" s="176">
        <f t="shared" si="94"/>
        <v>7</v>
      </c>
      <c r="AI268" s="225">
        <f t="shared" si="95"/>
        <v>1.4894760063001189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1090">
        <f>IF(t&gt;Tmaj,'2023'!Wh/'2023'!Env_an*'2024'!Env_an,0.001*'[11]mon-tableau (3)'!$B$48)</f>
        <v>31.483236583959648</v>
      </c>
      <c r="C269" s="953"/>
      <c r="D269" s="393">
        <f t="shared" si="77"/>
        <v>33.11205432676207</v>
      </c>
      <c r="E269" s="385">
        <f t="shared" si="100"/>
        <v>34.023398196622509</v>
      </c>
      <c r="F269" s="385">
        <f t="shared" si="78"/>
        <v>34.065659063088347</v>
      </c>
      <c r="G269" s="110">
        <f t="shared" si="101"/>
        <v>0.68878767274303276</v>
      </c>
      <c r="H269" s="412" t="b">
        <f>Wh_hp&gt;='2023'!Maxi_hp</f>
        <v>0</v>
      </c>
      <c r="I269" s="390">
        <f>IF(H269,Wh_hp,'2023'!Maxi_hp)</f>
        <v>49.547587041399964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4.9191080889414041E-2</v>
      </c>
      <c r="M269" s="957"/>
      <c r="N269" s="957"/>
      <c r="O269" s="48">
        <f>IF(t&lt;Tnet,'2023'!Resal+('2023'!Salim-'2023'!Resal)*(1-EXP(('2023'!Tnet-t)/('2023'!Tau_j))),Resal+(Salim-Resal)*(1-EXP((Tnet-t)/(Tau_j))))*Salcycl</f>
        <v>2.6785797955681812E-2</v>
      </c>
      <c r="P269" s="169">
        <f>(INDEX(Models!$BJ269:$BT269,,T269)*(1-R269)+INDEX(Models!$BJ269:$BT269,,T269+1)*R269-ERP_i)*Q269*Ramure*Pc/MaxiM</f>
        <v>2.2296930704563591E-3</v>
      </c>
      <c r="Q269" s="305">
        <f t="shared" si="80"/>
        <v>0.7</v>
      </c>
      <c r="R269" s="177">
        <f t="shared" si="81"/>
        <v>0.48989902068170577</v>
      </c>
      <c r="S269" s="919">
        <f t="shared" si="82"/>
        <v>1</v>
      </c>
      <c r="T269" s="176">
        <f t="shared" si="83"/>
        <v>7</v>
      </c>
      <c r="U269" s="251">
        <f t="shared" si="84"/>
        <v>1.4898990206817058</v>
      </c>
      <c r="V269" s="383">
        <f t="shared" si="85"/>
        <v>45.662921074273761</v>
      </c>
      <c r="W269" s="402">
        <f t="shared" si="86"/>
        <v>31.483236583959648</v>
      </c>
      <c r="X269" s="157">
        <f t="shared" si="87"/>
        <v>45546</v>
      </c>
      <c r="Y269" s="385">
        <f t="shared" si="88"/>
        <v>30.230498072503906</v>
      </c>
      <c r="Z269" s="385">
        <f t="shared" si="89"/>
        <v>31.794504095294336</v>
      </c>
      <c r="AA269" s="386">
        <f t="shared" si="90"/>
        <v>34.023398196622509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6.5510625612624232E-2</v>
      </c>
      <c r="AD269" s="231">
        <f>(INDEX(Models!$BJ269:$BT269,,AH269)*(1-AF269)+INDEX(Models!$BJ269:$BT269,,AH269+1)*AF269-ERP_i)*AE269*Ramure*Pc/MaxiM</f>
        <v>2.2296930704563591E-3</v>
      </c>
      <c r="AE269" s="305">
        <f t="shared" si="92"/>
        <v>0.7</v>
      </c>
      <c r="AF269" s="177">
        <f t="shared" si="93"/>
        <v>0.48989902068170577</v>
      </c>
      <c r="AG269" s="919">
        <f t="shared" si="99"/>
        <v>1</v>
      </c>
      <c r="AH269" s="176">
        <f t="shared" si="94"/>
        <v>7</v>
      </c>
      <c r="AI269" s="225">
        <f t="shared" si="95"/>
        <v>1.4898990206817058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1090">
        <f>IF(t&gt;Tmaj,'2023'!Wh/'2023'!Env_an*'2024'!Env_an,0.001*'[11]mon-tableau (3)'!$B$49)</f>
        <v>11.374181429290815</v>
      </c>
      <c r="C270" s="953"/>
      <c r="D270" s="393">
        <f t="shared" si="77"/>
        <v>11.962898464553447</v>
      </c>
      <c r="E270" s="385">
        <f t="shared" si="100"/>
        <v>12.293707115270465</v>
      </c>
      <c r="F270" s="385">
        <f t="shared" si="78"/>
        <v>12.293707115270465</v>
      </c>
      <c r="G270" s="110">
        <f t="shared" si="101"/>
        <v>0.24934814621006721</v>
      </c>
      <c r="H270" s="412" t="b">
        <f>Wh_hp&gt;='2023'!Maxi_hp</f>
        <v>0</v>
      </c>
      <c r="I270" s="390">
        <f>IF(H270,Wh_hp,'2023'!Maxi_hp)</f>
        <v>47.552887947991515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4.921190604492931E-2</v>
      </c>
      <c r="M270" s="957"/>
      <c r="N270" s="957"/>
      <c r="O270" s="48">
        <f>IF(t&lt;Tnet,'2023'!Resal+('2023'!Salim-'2023'!Resal)*(1-EXP(('2023'!Tnet-t)/('2023'!Tau_j))),Resal+(Salim-Resal)*(1-EXP((Tnet-t)/(Tau_j))))*Salcycl</f>
        <v>2.6908779232759437E-2</v>
      </c>
      <c r="P270" s="169">
        <f>(INDEX(Models!$BJ270:$BT270,,T270)*(1-R270)+INDEX(Models!$BJ270:$BT270,,T270+1)*R270-ERP_i)*Q270*Ramure*Pc/MaxiM</f>
        <v>2.2802494027353687E-3</v>
      </c>
      <c r="Q270" s="305">
        <f t="shared" si="80"/>
        <v>0.7</v>
      </c>
      <c r="R270" s="177">
        <f t="shared" si="81"/>
        <v>0.4903056905099159</v>
      </c>
      <c r="S270" s="919">
        <f t="shared" si="82"/>
        <v>1</v>
      </c>
      <c r="T270" s="176">
        <f t="shared" si="83"/>
        <v>7</v>
      </c>
      <c r="U270" s="251">
        <f t="shared" si="84"/>
        <v>1.4903056905099159</v>
      </c>
      <c r="V270" s="383">
        <f t="shared" si="85"/>
        <v>45.511649600633348</v>
      </c>
      <c r="W270" s="402">
        <f t="shared" si="86"/>
        <v>11.374181429290815</v>
      </c>
      <c r="X270" s="157">
        <f t="shared" si="87"/>
        <v>45547</v>
      </c>
      <c r="Y270" s="385">
        <f t="shared" si="88"/>
        <v>10.922101117480208</v>
      </c>
      <c r="Z270" s="385">
        <f t="shared" si="89"/>
        <v>11.487418896934916</v>
      </c>
      <c r="AA270" s="386">
        <f t="shared" si="90"/>
        <v>12.293707115270465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6.5585442273472502E-2</v>
      </c>
      <c r="AD270" s="231">
        <f>(INDEX(Models!$BJ270:$BT270,,AH270)*(1-AF270)+INDEX(Models!$BJ270:$BT270,,AH270+1)*AF270-ERP_i)*AE270*Ramure*Pc/MaxiM</f>
        <v>2.2802494027353687E-3</v>
      </c>
      <c r="AE270" s="305">
        <f t="shared" si="92"/>
        <v>0.7</v>
      </c>
      <c r="AF270" s="177">
        <f t="shared" si="93"/>
        <v>0.4903056905099159</v>
      </c>
      <c r="AG270" s="919">
        <f t="shared" si="99"/>
        <v>1</v>
      </c>
      <c r="AH270" s="176">
        <f t="shared" si="94"/>
        <v>7</v>
      </c>
      <c r="AI270" s="225">
        <f t="shared" si="95"/>
        <v>1.4903056905099159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1090">
        <f>IF(t&gt;Tmaj,'2023'!Wh/'2023'!Env_an*'2024'!Env_an,0.001*'[11]mon-tableau (3)'!$B$50)</f>
        <v>34.380180838661865</v>
      </c>
      <c r="C271" s="953"/>
      <c r="D271" s="393">
        <f t="shared" ref="D271:D334" si="102">Wh/(1-Ppv)</f>
        <v>36.160458979174606</v>
      </c>
      <c r="E271" s="385">
        <f t="shared" si="100"/>
        <v>37.165082106357715</v>
      </c>
      <c r="F271" s="385">
        <f t="shared" ref="F271:F334" si="103">Wh_sa/(1-Pvg*MEDIAN((-Sdif+Wh/Env_an)/Csdif,0,1))</f>
        <v>37.221872514436228</v>
      </c>
      <c r="G271" s="110">
        <f t="shared" si="101"/>
        <v>0.75738582113288355</v>
      </c>
      <c r="H271" s="412" t="b">
        <f>Wh_hp&gt;='2023'!Maxi_hp</f>
        <v>0</v>
      </c>
      <c r="I271" s="390">
        <f>IF(H271,Wh_hp,'2023'!Maxi_hp)</f>
        <v>47.223329847400791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4.923273074432033E-2</v>
      </c>
      <c r="M271" s="957"/>
      <c r="N271" s="957"/>
      <c r="O271" s="48">
        <f>IF(t&lt;Tnet,'2023'!Resal+('2023'!Salim-'2023'!Resal)*(1-EXP(('2023'!Tnet-t)/('2023'!Tau_j))),Resal+(Salim-Resal)*(1-EXP((Tnet-t)/(Tau_j))))*Salcycl</f>
        <v>2.7031371121638125E-2</v>
      </c>
      <c r="P271" s="169">
        <f>(INDEX(Models!$BJ271:$BT271,,T271)*(1-R271)+INDEX(Models!$BJ271:$BT271,,T271+1)*R271-ERP_i)*Q271*Ramure*Pc/MaxiM</f>
        <v>2.3319078467710199E-3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0.49069662121435131</v>
      </c>
      <c r="S271" s="91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1.4906966212143513</v>
      </c>
      <c r="V271" s="383">
        <f t="shared" ref="V271:V334" si="110">MaxiM*(1-Ppv)*(1-Pvg)*(1-Psa)</f>
        <v>45.356568445011845</v>
      </c>
      <c r="W271" s="402">
        <f t="shared" ref="W271:W334" si="111">Wh*(A271&gt;Tmaj)</f>
        <v>34.380180838661865</v>
      </c>
      <c r="X271" s="157">
        <f t="shared" ref="X271:X334" si="112">t</f>
        <v>45548</v>
      </c>
      <c r="Y271" s="385">
        <f t="shared" ref="Y271:Y334" si="113">Wh_pvt_s*(1-Ppv)</f>
        <v>33.015237997000419</v>
      </c>
      <c r="Z271" s="385">
        <f t="shared" ref="Z271:Z334" si="114">Wh_sa_s*(1-Psa_s)</f>
        <v>34.724836523712916</v>
      </c>
      <c r="AA271" s="386">
        <f t="shared" ref="AA271:AA334" si="115">Wh_hp*(1-Pvg_s*MEDIAN((-Sdif+Wh/Env_an)/Csdif,0,1))</f>
        <v>37.165082106357715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6.565963114682194E-2</v>
      </c>
      <c r="AD271" s="231">
        <f>(INDEX(Models!$BJ271:$BT271,,AH271)*(1-AF271)+INDEX(Models!$BJ271:$BT271,,AH271+1)*AF271-ERP_i)*AE271*Ramure*Pc/MaxiM</f>
        <v>2.3319078467710199E-3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0.49069662121435131</v>
      </c>
      <c r="AG271" s="91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1.4906966212143513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1090">
        <f>IF(t&gt;Tmaj,'2023'!Wh/'2023'!Env_an*'2024'!Env_an,0.001*'[11]mon-tableau (3)'!$B$51)</f>
        <v>39.452527409196684</v>
      </c>
      <c r="C272" s="953"/>
      <c r="D272" s="393">
        <f t="shared" si="102"/>
        <v>41.496371210393534</v>
      </c>
      <c r="E272" s="385">
        <f t="shared" si="100"/>
        <v>42.654595447989593</v>
      </c>
      <c r="F272" s="385">
        <f t="shared" si="103"/>
        <v>42.738006288657466</v>
      </c>
      <c r="G272" s="110">
        <f t="shared" si="101"/>
        <v>0.87251541423853674</v>
      </c>
      <c r="H272" s="412" t="b">
        <f>Wh_hp&gt;='2023'!Maxi_hp</f>
        <v>0</v>
      </c>
      <c r="I272" s="390">
        <f>IF(H272,Wh_hp,'2023'!Maxi_hp)</f>
        <v>48.01660304214726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4.925355498759687E-2</v>
      </c>
      <c r="M272" s="957"/>
      <c r="N272" s="957"/>
      <c r="O272" s="48">
        <f>IF(t&lt;Tnet,'2023'!Resal+('2023'!Salim-'2023'!Resal)*(1-EXP(('2023'!Tnet-t)/('2023'!Tau_j))),Resal+(Salim-Resal)*(1-EXP((Tnet-t)/(Tau_j))))*Salcycl</f>
        <v>2.7153562832598607E-2</v>
      </c>
      <c r="P272" s="169">
        <f>(INDEX(Models!$BJ272:$BT272,,T272)*(1-R272)+INDEX(Models!$BJ272:$BT272,,T272+1)*R272-ERP_i)*Q272*Ramure*Pc/MaxiM</f>
        <v>2.3846898865737898E-3</v>
      </c>
      <c r="Q272" s="305">
        <f t="shared" si="105"/>
        <v>0.7</v>
      </c>
      <c r="R272" s="177">
        <f t="shared" si="106"/>
        <v>0.4910723978242495</v>
      </c>
      <c r="S272" s="919">
        <f t="shared" si="107"/>
        <v>1</v>
      </c>
      <c r="T272" s="176">
        <f t="shared" si="108"/>
        <v>7</v>
      </c>
      <c r="U272" s="251">
        <f t="shared" si="109"/>
        <v>1.4910723978242495</v>
      </c>
      <c r="V272" s="383">
        <f t="shared" si="110"/>
        <v>45.197379850005397</v>
      </c>
      <c r="W272" s="402">
        <f t="shared" si="111"/>
        <v>39.452527409196684</v>
      </c>
      <c r="X272" s="157">
        <f t="shared" si="112"/>
        <v>45549</v>
      </c>
      <c r="Y272" s="385">
        <f t="shared" si="113"/>
        <v>37.887981366731658</v>
      </c>
      <c r="Z272" s="385">
        <f t="shared" si="114"/>
        <v>39.850773637378559</v>
      </c>
      <c r="AA272" s="386">
        <f t="shared" si="115"/>
        <v>42.654595447989593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6.5733170861504056E-2</v>
      </c>
      <c r="AD272" s="231">
        <f>(INDEX(Models!$BJ272:$BT272,,AH272)*(1-AF272)+INDEX(Models!$BJ272:$BT272,,AH272+1)*AF272-ERP_i)*AE272*Ramure*Pc/MaxiM</f>
        <v>2.3846898865737898E-3</v>
      </c>
      <c r="AE272" s="305">
        <f t="shared" si="117"/>
        <v>0.7</v>
      </c>
      <c r="AF272" s="177">
        <f t="shared" si="118"/>
        <v>0.4910723978242495</v>
      </c>
      <c r="AG272" s="919">
        <f t="shared" ref="AG272:AG335" si="124">INDEX(Echel_vg,AH272)</f>
        <v>1</v>
      </c>
      <c r="AH272" s="176">
        <f t="shared" si="119"/>
        <v>7</v>
      </c>
      <c r="AI272" s="225">
        <f t="shared" si="120"/>
        <v>1.4910723978242495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1090">
        <f>IF(t&gt;Tmaj,'2023'!Wh/'2023'!Env_an*'2024'!Env_an,0.001*'[11]mon-tableau (3)'!$B$52)</f>
        <v>26.272709724339716</v>
      </c>
      <c r="C273" s="953"/>
      <c r="D273" s="393">
        <f t="shared" si="102"/>
        <v>27.634376457090976</v>
      </c>
      <c r="E273" s="385">
        <f t="shared" si="100"/>
        <v>28.409248458814247</v>
      </c>
      <c r="F273" s="385">
        <f t="shared" si="103"/>
        <v>28.43732440108154</v>
      </c>
      <c r="G273" s="110">
        <f t="shared" si="101"/>
        <v>0.58255243297627179</v>
      </c>
      <c r="H273" s="412" t="b">
        <f>Wh_hp&gt;='2023'!Maxi_hp</f>
        <v>0</v>
      </c>
      <c r="I273" s="390">
        <f>IF(H273,Wh_hp,'2023'!Maxi_hp)</f>
        <v>47.259197332077989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4.9274378774769034E-2</v>
      </c>
      <c r="M273" s="957"/>
      <c r="N273" s="957"/>
      <c r="O273" s="48">
        <f>IF(t&lt;Tnet,'2023'!Resal+('2023'!Salim-'2023'!Resal)*(1-EXP(('2023'!Tnet-t)/('2023'!Tau_j))),Resal+(Salim-Resal)*(1-EXP((Tnet-t)/(Tau_j))))*Salcycl</f>
        <v>2.7275343198417356E-2</v>
      </c>
      <c r="P273" s="169">
        <f>(INDEX(Models!$BJ273:$BT273,,T273)*(1-R273)+INDEX(Models!$BJ273:$BT273,,T273+1)*R273-ERP_i)*Q273*Ramure*Pc/MaxiM</f>
        <v>2.4386183817940018E-3</v>
      </c>
      <c r="Q273" s="305">
        <f t="shared" si="105"/>
        <v>0.7</v>
      </c>
      <c r="R273" s="177">
        <f t="shared" si="106"/>
        <v>0.49143358549614513</v>
      </c>
      <c r="S273" s="919">
        <f t="shared" si="107"/>
        <v>1</v>
      </c>
      <c r="T273" s="176">
        <f t="shared" si="108"/>
        <v>7</v>
      </c>
      <c r="U273" s="251">
        <f t="shared" si="109"/>
        <v>1.4914335854961451</v>
      </c>
      <c r="V273" s="383">
        <f t="shared" si="110"/>
        <v>45.033786280959035</v>
      </c>
      <c r="W273" s="402">
        <f t="shared" si="111"/>
        <v>26.272709724339716</v>
      </c>
      <c r="X273" s="157">
        <f t="shared" si="112"/>
        <v>45550</v>
      </c>
      <c r="Y273" s="385">
        <f t="shared" si="113"/>
        <v>25.232018723675658</v>
      </c>
      <c r="Z273" s="385">
        <f t="shared" si="114"/>
        <v>26.539748335758887</v>
      </c>
      <c r="AA273" s="386">
        <f t="shared" si="115"/>
        <v>28.409248458814247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6.5806039387688475E-2</v>
      </c>
      <c r="AD273" s="231">
        <f>(INDEX(Models!$BJ273:$BT273,,AH273)*(1-AF273)+INDEX(Models!$BJ273:$BT273,,AH273+1)*AF273-ERP_i)*AE273*Ramure*Pc/MaxiM</f>
        <v>2.4386183817940018E-3</v>
      </c>
      <c r="AE273" s="305">
        <f t="shared" si="117"/>
        <v>0.7</v>
      </c>
      <c r="AF273" s="177">
        <f t="shared" si="118"/>
        <v>0.49143358549614513</v>
      </c>
      <c r="AG273" s="919">
        <f t="shared" si="124"/>
        <v>1</v>
      </c>
      <c r="AH273" s="176">
        <f t="shared" si="119"/>
        <v>7</v>
      </c>
      <c r="AI273" s="225">
        <f t="shared" si="120"/>
        <v>1.4914335854961451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1090">
        <f>IF(t&gt;Tmaj,'2023'!Wh/'2023'!Env_an*'2024'!Env_an,0.001*'[11]mon-tableau (3)'!$B$53)</f>
        <v>46.33427174269729</v>
      </c>
      <c r="C274" s="953"/>
      <c r="D274" s="393">
        <f t="shared" si="102"/>
        <v>48.736760186052962</v>
      </c>
      <c r="E274" s="385">
        <f t="shared" si="100"/>
        <v>50.1095978397218</v>
      </c>
      <c r="F274" s="385">
        <f t="shared" si="103"/>
        <v>50.234869420638525</v>
      </c>
      <c r="G274" s="110">
        <f t="shared" si="101"/>
        <v>1.0327374405723733</v>
      </c>
      <c r="H274" s="412" t="b">
        <f>Wh_hp&gt;='2023'!Maxi_hp</f>
        <v>1</v>
      </c>
      <c r="I274" s="390">
        <f>IF(H274,Wh_hp,'2023'!Maxi_hp)</f>
        <v>50.234869420638525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4.9295202105846925E-2</v>
      </c>
      <c r="M274" s="957"/>
      <c r="N274" s="957"/>
      <c r="O274" s="48">
        <f>IF(t&lt;Tnet,'2023'!Resal+('2023'!Salim-'2023'!Resal)*(1-EXP(('2023'!Tnet-t)/('2023'!Tau_j))),Resal+(Salim-Resal)*(1-EXP((Tnet-t)/(Tau_j))))*Salcycl</f>
        <v>2.739670068915601E-2</v>
      </c>
      <c r="P274" s="169">
        <f>(INDEX(Models!$BJ274:$BT274,,T274)*(1-R274)+INDEX(Models!$BJ274:$BT274,,T274+1)*R274-ERP_i)*Q274*Ramure*Pc/MaxiM</f>
        <v>2.4937176579035128E-3</v>
      </c>
      <c r="Q274" s="305">
        <f t="shared" si="105"/>
        <v>0.7</v>
      </c>
      <c r="R274" s="177">
        <f t="shared" si="106"/>
        <v>0.49178073004124334</v>
      </c>
      <c r="S274" s="919">
        <f t="shared" si="107"/>
        <v>1</v>
      </c>
      <c r="T274" s="176">
        <f t="shared" si="108"/>
        <v>7</v>
      </c>
      <c r="U274" s="251">
        <f t="shared" si="109"/>
        <v>1.4917807300412433</v>
      </c>
      <c r="V274" s="383">
        <f t="shared" si="110"/>
        <v>44.865490416438746</v>
      </c>
      <c r="W274" s="402">
        <f t="shared" si="111"/>
        <v>46.33427174269729</v>
      </c>
      <c r="X274" s="157">
        <f t="shared" si="112"/>
        <v>45551</v>
      </c>
      <c r="Y274" s="385">
        <f t="shared" si="113"/>
        <v>44.501034183420167</v>
      </c>
      <c r="Z274" s="385">
        <f t="shared" si="114"/>
        <v>46.808467025717796</v>
      </c>
      <c r="AA274" s="386">
        <f t="shared" si="115"/>
        <v>50.1095978397218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6.5878214081119546E-2</v>
      </c>
      <c r="AD274" s="231">
        <f>(INDEX(Models!$BJ274:$BT274,,AH274)*(1-AF274)+INDEX(Models!$BJ274:$BT274,,AH274+1)*AF274-ERP_i)*AE274*Ramure*Pc/MaxiM</f>
        <v>2.4937176579035128E-3</v>
      </c>
      <c r="AE274" s="305">
        <f t="shared" si="117"/>
        <v>0.7</v>
      </c>
      <c r="AF274" s="177">
        <f t="shared" si="118"/>
        <v>0.49178073004124334</v>
      </c>
      <c r="AG274" s="919">
        <f t="shared" si="124"/>
        <v>1</v>
      </c>
      <c r="AH274" s="176">
        <f t="shared" si="119"/>
        <v>7</v>
      </c>
      <c r="AI274" s="225">
        <f t="shared" si="120"/>
        <v>1.4917807300412433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1090">
        <f>IF(t&gt;Tmaj,'2023'!Wh/'2023'!Env_an*'2024'!Env_an,0.001*'[11]mon-tableau (3)'!$B$54)</f>
        <v>44.808190890063962</v>
      </c>
      <c r="C275" s="953"/>
      <c r="D275" s="393">
        <f t="shared" si="102"/>
        <v>47.132582506359086</v>
      </c>
      <c r="E275" s="385">
        <f t="shared" si="100"/>
        <v>48.466258764198557</v>
      </c>
      <c r="F275" s="385">
        <f t="shared" si="103"/>
        <v>48.590162662386263</v>
      </c>
      <c r="G275" s="110">
        <f t="shared" si="101"/>
        <v>1.0025818254182675</v>
      </c>
      <c r="H275" s="412" t="b">
        <f>Wh_hp&gt;='2023'!Maxi_hp</f>
        <v>1</v>
      </c>
      <c r="I275" s="390">
        <f>IF(H275,Wh_hp,'2023'!Maxi_hp)</f>
        <v>48.590162662386263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4.9316024980840312E-2</v>
      </c>
      <c r="M275" s="957"/>
      <c r="N275" s="957"/>
      <c r="O275" s="48">
        <f>IF(t&lt;Tnet,'2023'!Resal+('2023'!Salim-'2023'!Resal)*(1-EXP(('2023'!Tnet-t)/('2023'!Tau_j))),Resal+(Salim-Resal)*(1-EXP((Tnet-t)/(Tau_j))))*Salcycl</f>
        <v>2.7517623432173E-2</v>
      </c>
      <c r="P275" s="169">
        <f>(INDEX(Models!$BJ275:$BT275,,T275)*(1-R275)+INDEX(Models!$BJ275:$BT275,,T275+1)*R275-ERP_i)*Q275*Ramure*Pc/MaxiM</f>
        <v>2.5499790780412071E-3</v>
      </c>
      <c r="Q275" s="305">
        <f t="shared" si="105"/>
        <v>0.7</v>
      </c>
      <c r="R275" s="177">
        <f t="shared" si="106"/>
        <v>0.49211435845110119</v>
      </c>
      <c r="S275" s="919">
        <f t="shared" si="107"/>
        <v>1</v>
      </c>
      <c r="T275" s="176">
        <f t="shared" si="108"/>
        <v>7</v>
      </c>
      <c r="U275" s="251">
        <f t="shared" si="109"/>
        <v>1.4921143584511012</v>
      </c>
      <c r="V275" s="383">
        <f t="shared" si="110"/>
        <v>44.69280187816134</v>
      </c>
      <c r="W275" s="402">
        <f t="shared" si="111"/>
        <v>44.808190890063962</v>
      </c>
      <c r="X275" s="157">
        <f t="shared" si="112"/>
        <v>45552</v>
      </c>
      <c r="Y275" s="385">
        <f t="shared" si="113"/>
        <v>43.037392160629544</v>
      </c>
      <c r="Z275" s="385">
        <f t="shared" si="114"/>
        <v>45.269924908287408</v>
      </c>
      <c r="AA275" s="386">
        <f t="shared" si="115"/>
        <v>48.466258764198557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6.5949671738893129E-2</v>
      </c>
      <c r="AD275" s="231">
        <f>(INDEX(Models!$BJ275:$BT275,,AH275)*(1-AF275)+INDEX(Models!$BJ275:$BT275,,AH275+1)*AF275-ERP_i)*AE275*Ramure*Pc/MaxiM</f>
        <v>2.5499790780412071E-3</v>
      </c>
      <c r="AE275" s="305">
        <f t="shared" si="117"/>
        <v>0.7</v>
      </c>
      <c r="AF275" s="177">
        <f t="shared" si="118"/>
        <v>0.49211435845110119</v>
      </c>
      <c r="AG275" s="919">
        <f t="shared" si="124"/>
        <v>1</v>
      </c>
      <c r="AH275" s="176">
        <f t="shared" si="119"/>
        <v>7</v>
      </c>
      <c r="AI275" s="225">
        <f t="shared" si="120"/>
        <v>1.4921143584511012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1090">
        <f>IF(t&gt;Tmaj,'2023'!Wh/'2023'!Env_an*'2024'!Env_an,0.001*'[11]mon-tableau (3)'!$B$55)</f>
        <v>44.249225299927751</v>
      </c>
      <c r="C276" s="953"/>
      <c r="D276" s="393">
        <f t="shared" si="102"/>
        <v>46.545640460448986</v>
      </c>
      <c r="E276" s="385">
        <f t="shared" si="100"/>
        <v>47.868638645708238</v>
      </c>
      <c r="F276" s="385">
        <f t="shared" si="103"/>
        <v>47.99273423814347</v>
      </c>
      <c r="G276" s="110">
        <f t="shared" si="101"/>
        <v>0.99397949224266036</v>
      </c>
      <c r="H276" s="412" t="b">
        <f>Wh_hp&gt;='2023'!Maxi_hp</f>
        <v>0</v>
      </c>
      <c r="I276" s="390">
        <f>IF(H276,Wh_hp,'2023'!Maxi_hp)</f>
        <v>47.993332219109192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4.9336847399759298E-2</v>
      </c>
      <c r="M276" s="957"/>
      <c r="N276" s="957"/>
      <c r="O276" s="48">
        <f>IF(t&lt;Tnet,'2023'!Resal+('2023'!Salim-'2023'!Resal)*(1-EXP(('2023'!Tnet-t)/('2023'!Tau_j))),Resal+(Salim-Resal)*(1-EXP((Tnet-t)/(Tau_j))))*Salcycl</f>
        <v>2.7638099237607371E-2</v>
      </c>
      <c r="P276" s="169">
        <f>(INDEX(Models!$BJ276:$BT276,,T276)*(1-R276)+INDEX(Models!$BJ276:$BT276,,T276+1)*R276-ERP_i)*Q276*Ramure*Pc/MaxiM</f>
        <v>2.6080645085141932E-3</v>
      </c>
      <c r="Q276" s="305">
        <f t="shared" si="105"/>
        <v>0.7</v>
      </c>
      <c r="R276" s="177">
        <f t="shared" si="106"/>
        <v>0.49243497942036285</v>
      </c>
      <c r="S276" s="919">
        <f t="shared" si="107"/>
        <v>1</v>
      </c>
      <c r="T276" s="176">
        <f t="shared" si="108"/>
        <v>7</v>
      </c>
      <c r="U276" s="251">
        <f t="shared" si="109"/>
        <v>1.4924349794203629</v>
      </c>
      <c r="V276" s="383">
        <f t="shared" si="110"/>
        <v>44.516244236591319</v>
      </c>
      <c r="W276" s="402">
        <f t="shared" si="111"/>
        <v>44.249225299927751</v>
      </c>
      <c r="X276" s="157">
        <f t="shared" si="112"/>
        <v>45553</v>
      </c>
      <c r="Y276" s="385">
        <f t="shared" si="113"/>
        <v>42.502564338446462</v>
      </c>
      <c r="Z276" s="385">
        <f t="shared" si="114"/>
        <v>44.708332517352794</v>
      </c>
      <c r="AA276" s="386">
        <f t="shared" si="115"/>
        <v>47.868638645708238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6.6020388667117208E-2</v>
      </c>
      <c r="AD276" s="231">
        <f>(INDEX(Models!$BJ276:$BT276,,AH276)*(1-AF276)+INDEX(Models!$BJ276:$BT276,,AH276+1)*AF276-ERP_i)*AE276*Ramure*Pc/MaxiM</f>
        <v>2.6080645085141932E-3</v>
      </c>
      <c r="AE276" s="305">
        <f t="shared" si="117"/>
        <v>0.7</v>
      </c>
      <c r="AF276" s="177">
        <f t="shared" si="118"/>
        <v>0.49243497942036285</v>
      </c>
      <c r="AG276" s="919">
        <f t="shared" si="124"/>
        <v>1</v>
      </c>
      <c r="AH276" s="176">
        <f t="shared" si="119"/>
        <v>7</v>
      </c>
      <c r="AI276" s="225">
        <f t="shared" si="120"/>
        <v>1.4924349794203629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1090">
        <f>IF(t&gt;Tmaj,'2023'!Wh/'2023'!Env_an*'2024'!Env_an,0.001*'[11]mon-tableau (3)'!$B$56)</f>
        <v>45.576484714254754</v>
      </c>
      <c r="C277" s="953"/>
      <c r="D277" s="393">
        <f t="shared" si="102"/>
        <v>47.942831121034409</v>
      </c>
      <c r="E277" s="385">
        <f t="shared" si="100"/>
        <v>49.311629021287942</v>
      </c>
      <c r="F277" s="385">
        <f t="shared" si="103"/>
        <v>49.443507967747351</v>
      </c>
      <c r="G277" s="110">
        <f t="shared" si="101"/>
        <v>1.0279810502340776</v>
      </c>
      <c r="H277" s="412" t="b">
        <f>Wh_hp&gt;='2023'!Maxi_hp</f>
        <v>1</v>
      </c>
      <c r="I277" s="390">
        <f>IF(H277,Wh_hp,'2023'!Maxi_hp)</f>
        <v>49.443507967747351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4.9357669362613987E-2</v>
      </c>
      <c r="M277" s="957"/>
      <c r="N277" s="957"/>
      <c r="O277" s="48">
        <f>IF(t&lt;Tnet,'2023'!Resal+('2023'!Salim-'2023'!Resal)*(1-EXP(('2023'!Tnet-t)/('2023'!Tau_j))),Resal+(Salim-Resal)*(1-EXP((Tnet-t)/(Tau_j))))*Salcycl</f>
        <v>2.7758115629532745E-2</v>
      </c>
      <c r="P277" s="169">
        <f>(INDEX(Models!$BJ277:$BT277,,T277)*(1-R277)+INDEX(Models!$BJ277:$BT277,,T277+1)*R277-ERP_i)*Q277*Ramure*Pc/MaxiM</f>
        <v>2.6672651654376222E-3</v>
      </c>
      <c r="Q277" s="305">
        <f t="shared" si="105"/>
        <v>0.7</v>
      </c>
      <c r="R277" s="177">
        <f t="shared" si="106"/>
        <v>0.49274308386542165</v>
      </c>
      <c r="S277" s="919">
        <f t="shared" si="107"/>
        <v>1</v>
      </c>
      <c r="T277" s="176">
        <f t="shared" si="108"/>
        <v>7</v>
      </c>
      <c r="U277" s="251">
        <f t="shared" si="109"/>
        <v>1.4927430838654216</v>
      </c>
      <c r="V277" s="383">
        <f t="shared" si="110"/>
        <v>44.335919133797951</v>
      </c>
      <c r="W277" s="402">
        <f t="shared" si="111"/>
        <v>45.576484714254754</v>
      </c>
      <c r="X277" s="157">
        <f t="shared" si="112"/>
        <v>45554</v>
      </c>
      <c r="Y277" s="385">
        <f t="shared" si="113"/>
        <v>43.779557323203385</v>
      </c>
      <c r="Z277" s="385">
        <f t="shared" si="114"/>
        <v>46.052606655807232</v>
      </c>
      <c r="AA277" s="386">
        <f t="shared" si="115"/>
        <v>49.311629021287942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6.6090340760670926E-2</v>
      </c>
      <c r="AD277" s="231">
        <f>(INDEX(Models!$BJ277:$BT277,,AH277)*(1-AF277)+INDEX(Models!$BJ277:$BT277,,AH277+1)*AF277-ERP_i)*AE277*Ramure*Pc/MaxiM</f>
        <v>2.6672651654376222E-3</v>
      </c>
      <c r="AE277" s="305">
        <f t="shared" si="117"/>
        <v>0.7</v>
      </c>
      <c r="AF277" s="177">
        <f t="shared" si="118"/>
        <v>0.49274308386542165</v>
      </c>
      <c r="AG277" s="919">
        <f t="shared" si="124"/>
        <v>1</v>
      </c>
      <c r="AH277" s="176">
        <f t="shared" si="119"/>
        <v>7</v>
      </c>
      <c r="AI277" s="225">
        <f t="shared" si="120"/>
        <v>1.4927430838654216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1090">
        <f>IF(t&gt;Tmaj,'2023'!Wh/'2023'!Env_an*'2024'!Env_an,0.001*'[11]mon-tableau (3)'!$B$57)</f>
        <v>44.568910311716337</v>
      </c>
      <c r="C278" s="953"/>
      <c r="D278" s="393">
        <f t="shared" si="102"/>
        <v>46.883969996090165</v>
      </c>
      <c r="E278" s="385">
        <f t="shared" si="100"/>
        <v>48.228466789934821</v>
      </c>
      <c r="F278" s="385">
        <f t="shared" si="103"/>
        <v>48.360373595586253</v>
      </c>
      <c r="G278" s="110">
        <f t="shared" si="101"/>
        <v>1.0094449846448981</v>
      </c>
      <c r="H278" s="412" t="b">
        <f>Wh_hp&gt;='2023'!Maxi_hp</f>
        <v>1</v>
      </c>
      <c r="I278" s="390">
        <f>IF(H278,Wh_hp,'2023'!Maxi_hp)</f>
        <v>48.360373595586253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4.9378490869414149E-2</v>
      </c>
      <c r="M278" s="957"/>
      <c r="N278" s="957"/>
      <c r="O278" s="48">
        <f>IF(t&lt;Tnet,'2023'!Resal+('2023'!Salim-'2023'!Resal)*(1-EXP(('2023'!Tnet-t)/('2023'!Tau_j))),Resal+(Salim-Resal)*(1-EXP((Tnet-t)/(Tau_j))))*Salcycl</f>
        <v>2.787765988292313E-2</v>
      </c>
      <c r="P278" s="169">
        <f>(INDEX(Models!$BJ278:$BT278,,T278)*(1-R278)+INDEX(Models!$BJ278:$BT278,,T278+1)*R278-ERP_i)*Q278*Ramure*Pc/MaxiM</f>
        <v>2.7275803688884158E-3</v>
      </c>
      <c r="Q278" s="305">
        <f t="shared" si="105"/>
        <v>0.7</v>
      </c>
      <c r="R278" s="177">
        <f t="shared" si="106"/>
        <v>0.4930391454380092</v>
      </c>
      <c r="S278" s="919">
        <f t="shared" si="107"/>
        <v>1</v>
      </c>
      <c r="T278" s="176">
        <f t="shared" si="108"/>
        <v>7</v>
      </c>
      <c r="U278" s="251">
        <f t="shared" si="109"/>
        <v>1.4930391454380092</v>
      </c>
      <c r="V278" s="383">
        <f t="shared" si="110"/>
        <v>44.151896328847236</v>
      </c>
      <c r="W278" s="402">
        <f t="shared" si="111"/>
        <v>44.568910311716337</v>
      </c>
      <c r="X278" s="157">
        <f t="shared" si="112"/>
        <v>45555</v>
      </c>
      <c r="Y278" s="385">
        <f t="shared" si="113"/>
        <v>42.813801938451824</v>
      </c>
      <c r="Z278" s="385">
        <f t="shared" si="114"/>
        <v>45.037695367957994</v>
      </c>
      <c r="AA278" s="386">
        <f t="shared" si="115"/>
        <v>48.228466789934821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6.6159503595140862E-2</v>
      </c>
      <c r="AD278" s="231">
        <f>(INDEX(Models!$BJ278:$BT278,,AH278)*(1-AF278)+INDEX(Models!$BJ278:$BT278,,AH278+1)*AF278-ERP_i)*AE278*Ramure*Pc/MaxiM</f>
        <v>2.7275803688884158E-3</v>
      </c>
      <c r="AE278" s="305">
        <f t="shared" si="117"/>
        <v>0.7</v>
      </c>
      <c r="AF278" s="177">
        <f t="shared" si="118"/>
        <v>0.4930391454380092</v>
      </c>
      <c r="AG278" s="919">
        <f t="shared" si="124"/>
        <v>1</v>
      </c>
      <c r="AH278" s="176">
        <f t="shared" si="119"/>
        <v>7</v>
      </c>
      <c r="AI278" s="225">
        <f t="shared" si="120"/>
        <v>1.4930391454380092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1090">
        <f>IF(t&gt;Tmaj,'2023'!Wh/'2023'!Env_an*'2024'!Env_an,0.001*'[11]mon-tableau (3)'!$B$58)</f>
        <v>43.337536422202966</v>
      </c>
      <c r="C279" s="953"/>
      <c r="D279" s="393">
        <f t="shared" si="102"/>
        <v>45.589632919099614</v>
      </c>
      <c r="E279" s="385">
        <f t="shared" si="100"/>
        <v>46.902756208102993</v>
      </c>
      <c r="F279" s="385">
        <f t="shared" si="103"/>
        <v>47.031255601670665</v>
      </c>
      <c r="G279" s="110">
        <f t="shared" si="101"/>
        <v>0.98568888689476208</v>
      </c>
      <c r="H279" s="412" t="b">
        <f>Wh_hp&gt;='2023'!Maxi_hp</f>
        <v>0</v>
      </c>
      <c r="I279" s="390">
        <f>IF(H279,Wh_hp,'2023'!Maxi_hp)</f>
        <v>47.032719072917807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4.9399311920169886E-2</v>
      </c>
      <c r="M279" s="957"/>
      <c r="N279" s="957"/>
      <c r="O279" s="48">
        <f>IF(t&lt;Tnet,'2023'!Resal+('2023'!Salim-'2023'!Resal)*(1-EXP(('2023'!Tnet-t)/('2023'!Tau_j))),Resal+(Salim-Resal)*(1-EXP((Tnet-t)/(Tau_j))))*Salcycl</f>
        <v>2.7996719066512337E-2</v>
      </c>
      <c r="P279" s="169">
        <f>(INDEX(Models!$BJ279:$BT279,,T279)*(1-R279)+INDEX(Models!$BJ279:$BT279,,T279+1)*R279-ERP_i)*Q279*Ramure*Pc/MaxiM</f>
        <v>2.7890087587235327E-3</v>
      </c>
      <c r="Q279" s="305">
        <f t="shared" si="105"/>
        <v>0.7</v>
      </c>
      <c r="R279" s="177">
        <f t="shared" si="106"/>
        <v>0.49332362103281957</v>
      </c>
      <c r="S279" s="919">
        <f t="shared" si="107"/>
        <v>1</v>
      </c>
      <c r="T279" s="176">
        <f t="shared" si="108"/>
        <v>7</v>
      </c>
      <c r="U279" s="251">
        <f t="shared" si="109"/>
        <v>1.4933236210328196</v>
      </c>
      <c r="V279" s="383">
        <f t="shared" si="110"/>
        <v>43.964245568091812</v>
      </c>
      <c r="W279" s="402">
        <f t="shared" si="111"/>
        <v>43.337536422202966</v>
      </c>
      <c r="X279" s="157">
        <f t="shared" si="112"/>
        <v>45556</v>
      </c>
      <c r="Y279" s="385">
        <f t="shared" si="113"/>
        <v>41.632971045239735</v>
      </c>
      <c r="Z279" s="385">
        <f t="shared" si="114"/>
        <v>43.796487386661198</v>
      </c>
      <c r="AA279" s="386">
        <f t="shared" si="115"/>
        <v>46.902756208102993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6.6227852530874418E-2</v>
      </c>
      <c r="AD279" s="231">
        <f>(INDEX(Models!$BJ279:$BT279,,AH279)*(1-AF279)+INDEX(Models!$BJ279:$BT279,,AH279+1)*AF279-ERP_i)*AE279*Ramure*Pc/MaxiM</f>
        <v>2.7890087587235327E-3</v>
      </c>
      <c r="AE279" s="305">
        <f t="shared" si="117"/>
        <v>0.7</v>
      </c>
      <c r="AF279" s="177">
        <f t="shared" si="118"/>
        <v>0.49332362103281957</v>
      </c>
      <c r="AG279" s="919">
        <f t="shared" si="124"/>
        <v>1</v>
      </c>
      <c r="AH279" s="176">
        <f t="shared" si="119"/>
        <v>7</v>
      </c>
      <c r="AI279" s="225">
        <f t="shared" si="120"/>
        <v>1.4933236210328196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1090">
        <f>IF(t&gt;Tmaj,'2023'!Wh/'2023'!Env_an*'2024'!Env_an,0.001*'[11]mon-tableau (3)'!$B$59)</f>
        <v>28.567417648452974</v>
      </c>
      <c r="C280" s="953"/>
      <c r="D280" s="393">
        <f t="shared" si="102"/>
        <v>30.052622221036565</v>
      </c>
      <c r="E280" s="385">
        <f t="shared" si="100"/>
        <v>30.922002996268905</v>
      </c>
      <c r="F280" s="385">
        <f t="shared" si="103"/>
        <v>30.966485696668876</v>
      </c>
      <c r="G280" s="110">
        <f t="shared" si="101"/>
        <v>0.65170106632301383</v>
      </c>
      <c r="H280" s="412" t="b">
        <f>Wh_hp&gt;='2023'!Maxi_hp</f>
        <v>0</v>
      </c>
      <c r="I280" s="390">
        <f>IF(H280,Wh_hp,'2023'!Maxi_hp)</f>
        <v>46.242324699542912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4.9420132514891191E-2</v>
      </c>
      <c r="M280" s="957"/>
      <c r="N280" s="957"/>
      <c r="O280" s="48">
        <f>IF(t&lt;Tnet,'2023'!Resal+('2023'!Salim-'2023'!Resal)*(1-EXP(('2023'!Tnet-t)/('2023'!Tau_j))),Resal+(Salim-Resal)*(1-EXP((Tnet-t)/(Tau_j))))*Salcycl</f>
        <v>2.8115280091565963E-2</v>
      </c>
      <c r="P280" s="169">
        <f>(INDEX(Models!$BJ280:$BT280,,T280)*(1-R280)+INDEX(Models!$BJ280:$BT280,,T280+1)*R280-ERP_i)*Q280*Ramure*Pc/MaxiM</f>
        <v>2.8515634254619375E-3</v>
      </c>
      <c r="Q280" s="305">
        <f t="shared" si="105"/>
        <v>0.7</v>
      </c>
      <c r="R280" s="177">
        <f t="shared" si="106"/>
        <v>0.49359695128838466</v>
      </c>
      <c r="S280" s="919">
        <f t="shared" si="107"/>
        <v>1</v>
      </c>
      <c r="T280" s="176">
        <f t="shared" si="108"/>
        <v>7</v>
      </c>
      <c r="U280" s="251">
        <f t="shared" si="109"/>
        <v>1.4935969512883847</v>
      </c>
      <c r="V280" s="383">
        <f t="shared" si="110"/>
        <v>43.77303591419885</v>
      </c>
      <c r="W280" s="402">
        <f t="shared" si="111"/>
        <v>28.567417648452974</v>
      </c>
      <c r="X280" s="157">
        <f t="shared" si="112"/>
        <v>45557</v>
      </c>
      <c r="Y280" s="385">
        <f t="shared" si="113"/>
        <v>27.44515865305074</v>
      </c>
      <c r="Z280" s="385">
        <f t="shared" si="114"/>
        <v>28.872017588233508</v>
      </c>
      <c r="AA280" s="386">
        <f t="shared" si="115"/>
        <v>30.922002996268905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6.6295362828945728E-2</v>
      </c>
      <c r="AD280" s="231">
        <f>(INDEX(Models!$BJ280:$BT280,,AH280)*(1-AF280)+INDEX(Models!$BJ280:$BT280,,AH280+1)*AF280-ERP_i)*AE280*Ramure*Pc/MaxiM</f>
        <v>2.8515634254619375E-3</v>
      </c>
      <c r="AE280" s="305">
        <f t="shared" si="117"/>
        <v>0.7</v>
      </c>
      <c r="AF280" s="177">
        <f t="shared" si="118"/>
        <v>0.49359695128838466</v>
      </c>
      <c r="AG280" s="919">
        <f t="shared" si="124"/>
        <v>1</v>
      </c>
      <c r="AH280" s="176">
        <f t="shared" si="119"/>
        <v>7</v>
      </c>
      <c r="AI280" s="225">
        <f t="shared" si="120"/>
        <v>1.4935969512883847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1090">
        <f>IF(t&gt;Tmaj,'2023'!Wh/'2023'!Env_an*'2024'!Env_an,0.001*'[11]mon-tableau (3)'!$B$60)</f>
        <v>20.878065501163324</v>
      </c>
      <c r="C281" s="953"/>
      <c r="D281" s="393">
        <f t="shared" si="102"/>
        <v>21.963985887511875</v>
      </c>
      <c r="E281" s="385">
        <f t="shared" si="100"/>
        <v>22.602118965692366</v>
      </c>
      <c r="F281" s="385">
        <f t="shared" si="103"/>
        <v>22.618989507564976</v>
      </c>
      <c r="G281" s="110">
        <f t="shared" si="101"/>
        <v>0.47805264130700942</v>
      </c>
      <c r="H281" s="412" t="b">
        <f>Wh_hp&gt;='2023'!Maxi_hp</f>
        <v>0</v>
      </c>
      <c r="I281" s="390">
        <f>IF(H281,Wh_hp,'2023'!Maxi_hp)</f>
        <v>42.341790799167022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4.9440952653588055E-2</v>
      </c>
      <c r="M281" s="957"/>
      <c r="N281" s="957"/>
      <c r="O281" s="48">
        <f>IF(t&lt;Tnet,'2023'!Resal+('2023'!Salim-'2023'!Resal)*(1-EXP(('2023'!Tnet-t)/('2023'!Tau_j))),Resal+(Salim-Resal)*(1-EXP((Tnet-t)/(Tau_j))))*Salcycl</f>
        <v>2.8233329766519242E-2</v>
      </c>
      <c r="P281" s="169">
        <f>(INDEX(Models!$BJ281:$BT281,,T281)*(1-R281)+INDEX(Models!$BJ281:$BT281,,T281+1)*R281-ERP_i)*Q281*Ramure*Pc/MaxiM</f>
        <v>2.9152503063726042E-3</v>
      </c>
      <c r="Q281" s="305">
        <f t="shared" si="105"/>
        <v>0.7</v>
      </c>
      <c r="R281" s="177">
        <f t="shared" si="106"/>
        <v>0.49385956108052076</v>
      </c>
      <c r="S281" s="919">
        <f t="shared" si="107"/>
        <v>1</v>
      </c>
      <c r="T281" s="176">
        <f t="shared" si="108"/>
        <v>7</v>
      </c>
      <c r="U281" s="251">
        <f t="shared" si="109"/>
        <v>1.4938595610805208</v>
      </c>
      <c r="V281" s="383">
        <f t="shared" si="110"/>
        <v>43.578336709853588</v>
      </c>
      <c r="W281" s="402">
        <f t="shared" si="111"/>
        <v>20.878065501163324</v>
      </c>
      <c r="X281" s="157">
        <f t="shared" si="112"/>
        <v>45558</v>
      </c>
      <c r="Y281" s="385">
        <f t="shared" si="113"/>
        <v>20.058884206773342</v>
      </c>
      <c r="Z281" s="385">
        <f t="shared" si="114"/>
        <v>21.102196925872075</v>
      </c>
      <c r="AA281" s="386">
        <f t="shared" si="115"/>
        <v>22.602118965692366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6.6362009778685546E-2</v>
      </c>
      <c r="AD281" s="231">
        <f>(INDEX(Models!$BJ281:$BT281,,AH281)*(1-AF281)+INDEX(Models!$BJ281:$BT281,,AH281+1)*AF281-ERP_i)*AE281*Ramure*Pc/MaxiM</f>
        <v>2.9152503063726042E-3</v>
      </c>
      <c r="AE281" s="305">
        <f t="shared" si="117"/>
        <v>0.7</v>
      </c>
      <c r="AF281" s="177">
        <f t="shared" si="118"/>
        <v>0.49385956108052076</v>
      </c>
      <c r="AG281" s="919">
        <f t="shared" si="124"/>
        <v>1</v>
      </c>
      <c r="AH281" s="176">
        <f t="shared" si="119"/>
        <v>7</v>
      </c>
      <c r="AI281" s="225">
        <f t="shared" si="120"/>
        <v>1.4938595610805208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1090">
        <f>IF(t&gt;Tmaj,'2023'!Wh/'2023'!Env_an*'2024'!Env_an,0.001*'[11]mon-tableau (3)'!$B$61)</f>
        <v>30.788760189277998</v>
      </c>
      <c r="C282" s="953"/>
      <c r="D282" s="393">
        <f t="shared" si="102"/>
        <v>32.390870028396257</v>
      </c>
      <c r="E282" s="385">
        <f t="shared" si="100"/>
        <v>33.335973370965554</v>
      </c>
      <c r="F282" s="385">
        <f t="shared" si="103"/>
        <v>33.394191446978724</v>
      </c>
      <c r="G282" s="110">
        <f t="shared" si="101"/>
        <v>0.70886267266955094</v>
      </c>
      <c r="H282" s="412" t="b">
        <f>Wh_hp&gt;='2023'!Maxi_hp</f>
        <v>0</v>
      </c>
      <c r="I282" s="390">
        <f>IF(H282,Wh_hp,'2023'!Maxi_hp)</f>
        <v>48.914209724554347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4.946177233627036E-2</v>
      </c>
      <c r="M282" s="957"/>
      <c r="N282" s="957"/>
      <c r="O282" s="48">
        <f>IF(t&lt;Tnet,'2023'!Resal+('2023'!Salim-'2023'!Resal)*(1-EXP(('2023'!Tnet-t)/('2023'!Tau_j))),Resal+(Salim-Resal)*(1-EXP((Tnet-t)/(Tau_j))))*Salcycl</f>
        <v>2.8350854857366936E-2</v>
      </c>
      <c r="P282" s="169">
        <f>(INDEX(Models!$BJ282:$BT282,,T282)*(1-R282)+INDEX(Models!$BJ282:$BT282,,T282+1)*R282-ERP_i)*Q282*Ramure*Pc/MaxiM</f>
        <v>2.9783506177737712E-3</v>
      </c>
      <c r="Q282" s="305">
        <f t="shared" si="105"/>
        <v>0.7</v>
      </c>
      <c r="R282" s="177">
        <f t="shared" si="106"/>
        <v>0.49411186000773899</v>
      </c>
      <c r="S282" s="919">
        <f t="shared" si="107"/>
        <v>1</v>
      </c>
      <c r="T282" s="176">
        <f t="shared" si="108"/>
        <v>7</v>
      </c>
      <c r="U282" s="251">
        <f t="shared" si="109"/>
        <v>1.494111860007739</v>
      </c>
      <c r="V282" s="383">
        <f t="shared" si="110"/>
        <v>43.380292290747668</v>
      </c>
      <c r="W282" s="402">
        <f t="shared" si="111"/>
        <v>30.788760189277998</v>
      </c>
      <c r="X282" s="157">
        <f t="shared" si="112"/>
        <v>45559</v>
      </c>
      <c r="Y282" s="385">
        <f t="shared" si="113"/>
        <v>29.582212559297385</v>
      </c>
      <c r="Z282" s="385">
        <f t="shared" si="114"/>
        <v>31.121539037946654</v>
      </c>
      <c r="AA282" s="386">
        <f t="shared" si="115"/>
        <v>33.335973370965554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6.6427768836280432E-2</v>
      </c>
      <c r="AD282" s="231">
        <f>(INDEX(Models!$BJ282:$BT282,,AH282)*(1-AF282)+INDEX(Models!$BJ282:$BT282,,AH282+1)*AF282-ERP_i)*AE282*Ramure*Pc/MaxiM</f>
        <v>2.9783506177737712E-3</v>
      </c>
      <c r="AE282" s="305">
        <f t="shared" si="117"/>
        <v>0.7</v>
      </c>
      <c r="AF282" s="177">
        <f t="shared" si="118"/>
        <v>0.49411186000773899</v>
      </c>
      <c r="AG282" s="919">
        <f t="shared" si="124"/>
        <v>1</v>
      </c>
      <c r="AH282" s="176">
        <f t="shared" si="119"/>
        <v>7</v>
      </c>
      <c r="AI282" s="225">
        <f t="shared" si="120"/>
        <v>1.494111860007739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1090">
        <f>IF(t&gt;Tmaj,'2023'!Wh/'2023'!Env_an*'2024'!Env_an,0.001*'[11]mon-tableau (3)'!$B$62)</f>
        <v>32.168195671811603</v>
      </c>
      <c r="C283" s="953"/>
      <c r="D283" s="393">
        <f t="shared" si="102"/>
        <v>33.842826429350929</v>
      </c>
      <c r="E283" s="385">
        <f t="shared" si="100"/>
        <v>34.834489168501932</v>
      </c>
      <c r="F283" s="385">
        <f t="shared" si="103"/>
        <v>34.90195470246514</v>
      </c>
      <c r="G283" s="110">
        <f t="shared" si="101"/>
        <v>0.74416985552072623</v>
      </c>
      <c r="H283" s="412" t="b">
        <f>Wh_hp&gt;='2023'!Maxi_hp</f>
        <v>0</v>
      </c>
      <c r="I283" s="390">
        <f>IF(H283,Wh_hp,'2023'!Maxi_hp)</f>
        <v>47.979649608380406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4.9482591562948319E-2</v>
      </c>
      <c r="M283" s="957"/>
      <c r="N283" s="957"/>
      <c r="O283" s="48">
        <f>IF(t&lt;Tnet,'2023'!Resal+('2023'!Salim-'2023'!Resal)*(1-EXP(('2023'!Tnet-t)/('2023'!Tau_j))),Resal+(Salim-Resal)*(1-EXP((Tnet-t)/(Tau_j))))*Salcycl</f>
        <v>2.8467842153622951E-2</v>
      </c>
      <c r="P283" s="169">
        <f>(INDEX(Models!$BJ283:$BT283,,T283)*(1-R283)+INDEX(Models!$BJ283:$BT283,,T283+1)*R283-ERP_i)*Q283*Ramure*Pc/MaxiM</f>
        <v>3.0406993118385038E-3</v>
      </c>
      <c r="Q283" s="305">
        <f t="shared" si="105"/>
        <v>0.7</v>
      </c>
      <c r="R283" s="177">
        <f t="shared" si="106"/>
        <v>0.49435424286811691</v>
      </c>
      <c r="S283" s="919">
        <f t="shared" si="107"/>
        <v>1</v>
      </c>
      <c r="T283" s="176">
        <f t="shared" si="108"/>
        <v>7</v>
      </c>
      <c r="U283" s="251">
        <f t="shared" si="109"/>
        <v>1.4943542428681169</v>
      </c>
      <c r="V283" s="383">
        <f t="shared" si="110"/>
        <v>43.178978273649228</v>
      </c>
      <c r="W283" s="402">
        <f t="shared" si="111"/>
        <v>32.168195671811603</v>
      </c>
      <c r="X283" s="157">
        <f t="shared" si="112"/>
        <v>45560</v>
      </c>
      <c r="Y283" s="385">
        <f t="shared" si="113"/>
        <v>30.909165439707131</v>
      </c>
      <c r="Z283" s="385">
        <f t="shared" si="114"/>
        <v>32.518252864544039</v>
      </c>
      <c r="AA283" s="386">
        <f t="shared" si="115"/>
        <v>34.834489168501932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6.649261577380286E-2</v>
      </c>
      <c r="AD283" s="231">
        <f>(INDEX(Models!$BJ283:$BT283,,AH283)*(1-AF283)+INDEX(Models!$BJ283:$BT283,,AH283+1)*AF283-ERP_i)*AE283*Ramure*Pc/MaxiM</f>
        <v>3.0406993118385038E-3</v>
      </c>
      <c r="AE283" s="305">
        <f t="shared" si="117"/>
        <v>0.7</v>
      </c>
      <c r="AF283" s="177">
        <f t="shared" si="118"/>
        <v>0.49435424286811691</v>
      </c>
      <c r="AG283" s="919">
        <f t="shared" si="124"/>
        <v>1</v>
      </c>
      <c r="AH283" s="176">
        <f t="shared" si="119"/>
        <v>7</v>
      </c>
      <c r="AI283" s="225">
        <f t="shared" si="120"/>
        <v>1.4943542428681169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1090">
        <f>IF(t&gt;Tmaj,'2023'!Wh/'2023'!Env_an*'2024'!Env_an,0.001*'[11]mon-tableau (3)'!$B$63)</f>
        <v>15.452646427577932</v>
      </c>
      <c r="C284" s="953"/>
      <c r="D284" s="393">
        <f t="shared" si="102"/>
        <v>16.257445419138147</v>
      </c>
      <c r="E284" s="385">
        <f t="shared" si="100"/>
        <v>16.735826958510746</v>
      </c>
      <c r="F284" s="385">
        <f t="shared" si="103"/>
        <v>16.74024699382176</v>
      </c>
      <c r="G284" s="110">
        <f t="shared" si="101"/>
        <v>0.35855657439360228</v>
      </c>
      <c r="H284" s="412" t="b">
        <f>Wh_hp&gt;='2023'!Maxi_hp</f>
        <v>0</v>
      </c>
      <c r="I284" s="390">
        <f>IF(H284,Wh_hp,'2023'!Maxi_hp)</f>
        <v>46.988763169188566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4.9503410333631703E-2</v>
      </c>
      <c r="M284" s="957"/>
      <c r="N284" s="957"/>
      <c r="O284" s="48">
        <f>IF(t&lt;Tnet,'2023'!Resal+('2023'!Salim-'2023'!Resal)*(1-EXP(('2023'!Tnet-t)/('2023'!Tau_j))),Resal+(Salim-Resal)*(1-EXP((Tnet-t)/(Tau_j))))*Salcycl</f>
        <v>2.8584278539598783E-2</v>
      </c>
      <c r="P284" s="169">
        <f>(INDEX(Models!$BJ284:$BT284,,T284)*(1-R284)+INDEX(Models!$BJ284:$BT284,,T284+1)*R284-ERP_i)*Q284*Ramure*Pc/MaxiM</f>
        <v>3.1022750150461386E-3</v>
      </c>
      <c r="Q284" s="305">
        <f t="shared" si="105"/>
        <v>0.7</v>
      </c>
      <c r="R284" s="177">
        <f t="shared" si="106"/>
        <v>0.49458709012718627</v>
      </c>
      <c r="S284" s="919">
        <f t="shared" si="107"/>
        <v>1</v>
      </c>
      <c r="T284" s="176">
        <f t="shared" si="108"/>
        <v>7</v>
      </c>
      <c r="U284" s="251">
        <f t="shared" si="109"/>
        <v>1.4945870901271863</v>
      </c>
      <c r="V284" s="383">
        <f t="shared" si="110"/>
        <v>42.974463857749932</v>
      </c>
      <c r="W284" s="402">
        <f t="shared" si="111"/>
        <v>15.452646427577932</v>
      </c>
      <c r="X284" s="157">
        <f t="shared" si="112"/>
        <v>45561</v>
      </c>
      <c r="Y284" s="385">
        <f t="shared" si="113"/>
        <v>14.848608718437703</v>
      </c>
      <c r="Z284" s="385">
        <f t="shared" si="114"/>
        <v>15.621948442392286</v>
      </c>
      <c r="AA284" s="386">
        <f t="shared" si="115"/>
        <v>16.735826958510746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6.6556526837893371E-2</v>
      </c>
      <c r="AD284" s="231">
        <f>(INDEX(Models!$BJ284:$BT284,,AH284)*(1-AF284)+INDEX(Models!$BJ284:$BT284,,AH284+1)*AF284-ERP_i)*AE284*Ramure*Pc/MaxiM</f>
        <v>3.1022750150461386E-3</v>
      </c>
      <c r="AE284" s="305">
        <f t="shared" si="117"/>
        <v>0.7</v>
      </c>
      <c r="AF284" s="177">
        <f t="shared" si="118"/>
        <v>0.49458709012718627</v>
      </c>
      <c r="AG284" s="919">
        <f t="shared" si="124"/>
        <v>1</v>
      </c>
      <c r="AH284" s="176">
        <f t="shared" si="119"/>
        <v>7</v>
      </c>
      <c r="AI284" s="225">
        <f t="shared" si="120"/>
        <v>1.4945870901271863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1090">
        <f>IF(t&gt;Tmaj,'2023'!Wh/'2023'!Env_an*'2024'!Env_an,0.001*'[11]mon-tableau (3)'!$B$64)</f>
        <v>15.109789207590286</v>
      </c>
      <c r="C285" s="953"/>
      <c r="D285" s="393">
        <f t="shared" si="102"/>
        <v>15.897079823615798</v>
      </c>
      <c r="E285" s="385">
        <f t="shared" si="100"/>
        <v>16.366809735571806</v>
      </c>
      <c r="F285" s="385">
        <f t="shared" si="103"/>
        <v>16.370753005352892</v>
      </c>
      <c r="G285" s="110">
        <f t="shared" si="101"/>
        <v>0.35227369379853912</v>
      </c>
      <c r="H285" s="412" t="b">
        <f>Wh_hp&gt;='2023'!Maxi_hp</f>
        <v>0</v>
      </c>
      <c r="I285" s="390">
        <f>IF(H285,Wh_hp,'2023'!Maxi_hp)</f>
        <v>44.138858996476266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4.9524228648330615E-2</v>
      </c>
      <c r="M285" s="957"/>
      <c r="N285" s="957"/>
      <c r="O285" s="48">
        <f>IF(t&lt;Tnet,'2023'!Resal+('2023'!Salim-'2023'!Resal)*(1-EXP(('2023'!Tnet-t)/('2023'!Tau_j))),Resal+(Salim-Resal)*(1-EXP((Tnet-t)/(Tau_j))))*Salcycl</f>
        <v>2.8700151070681391E-2</v>
      </c>
      <c r="P285" s="169">
        <f>(INDEX(Models!$BJ285:$BT285,,T285)*(1-R285)+INDEX(Models!$BJ285:$BT285,,T285+1)*R285-ERP_i)*Q285*Ramure*Pc/MaxiM</f>
        <v>3.1630552632587738E-3</v>
      </c>
      <c r="Q285" s="305">
        <f t="shared" si="105"/>
        <v>0.7</v>
      </c>
      <c r="R285" s="177">
        <f t="shared" si="106"/>
        <v>0.49481076837647286</v>
      </c>
      <c r="S285" s="919">
        <f t="shared" si="107"/>
        <v>1</v>
      </c>
      <c r="T285" s="176">
        <f t="shared" si="108"/>
        <v>7</v>
      </c>
      <c r="U285" s="251">
        <f t="shared" si="109"/>
        <v>1.4948107683764729</v>
      </c>
      <c r="V285" s="383">
        <f t="shared" si="110"/>
        <v>42.766818171269641</v>
      </c>
      <c r="W285" s="402">
        <f t="shared" si="111"/>
        <v>15.109789207590286</v>
      </c>
      <c r="X285" s="157">
        <f t="shared" si="112"/>
        <v>45562</v>
      </c>
      <c r="Y285" s="385">
        <f t="shared" si="113"/>
        <v>14.519906432167589</v>
      </c>
      <c r="Z285" s="385">
        <f t="shared" si="114"/>
        <v>15.276461399451419</v>
      </c>
      <c r="AA285" s="386">
        <f t="shared" si="115"/>
        <v>16.366809735571806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6.6619478917177885E-2</v>
      </c>
      <c r="AD285" s="231">
        <f>(INDEX(Models!$BJ285:$BT285,,AH285)*(1-AF285)+INDEX(Models!$BJ285:$BT285,,AH285+1)*AF285-ERP_i)*AE285*Ramure*Pc/MaxiM</f>
        <v>3.1630552632587738E-3</v>
      </c>
      <c r="AE285" s="305">
        <f t="shared" si="117"/>
        <v>0.7</v>
      </c>
      <c r="AF285" s="177">
        <f t="shared" si="118"/>
        <v>0.49481076837647286</v>
      </c>
      <c r="AG285" s="919">
        <f t="shared" si="124"/>
        <v>1</v>
      </c>
      <c r="AH285" s="176">
        <f t="shared" si="119"/>
        <v>7</v>
      </c>
      <c r="AI285" s="225">
        <f t="shared" si="120"/>
        <v>1.4948107683764729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1090">
        <f>IF(t&gt;Tmaj,'2023'!Wh/'2023'!Env_an*'2024'!Env_an,0.001*'[11]mon-tableau (3)'!$B$65)</f>
        <v>21.769769055801088</v>
      </c>
      <c r="C286" s="953"/>
      <c r="D286" s="393">
        <f t="shared" si="102"/>
        <v>22.904577408741634</v>
      </c>
      <c r="E286" s="385">
        <f t="shared" si="100"/>
        <v>23.58416568639602</v>
      </c>
      <c r="F286" s="385">
        <f t="shared" si="103"/>
        <v>23.607160531753504</v>
      </c>
      <c r="G286" s="110">
        <f t="shared" si="101"/>
        <v>0.51040290032942481</v>
      </c>
      <c r="H286" s="412" t="b">
        <f>Wh_hp&gt;='2023'!Maxi_hp</f>
        <v>0</v>
      </c>
      <c r="I286" s="390">
        <f>IF(H286,Wh_hp,'2023'!Maxi_hp)</f>
        <v>45.467806820564945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4.9545046507054935E-2</v>
      </c>
      <c r="M286" s="957"/>
      <c r="N286" s="957"/>
      <c r="O286" s="48">
        <f>IF(t&lt;Tnet,'2023'!Resal+('2023'!Salim-'2023'!Resal)*(1-EXP(('2023'!Tnet-t)/('2023'!Tau_j))),Resal+(Salim-Resal)*(1-EXP((Tnet-t)/(Tau_j))))*Salcycl</f>
        <v>2.8815447054223734E-2</v>
      </c>
      <c r="P286" s="169">
        <f>(INDEX(Models!$BJ286:$BT286,,T286)*(1-R286)+INDEX(Models!$BJ286:$BT286,,T286+1)*R286-ERP_i)*Q286*Ramure*Pc/MaxiM</f>
        <v>3.223016609977898E-3</v>
      </c>
      <c r="Q286" s="305">
        <f t="shared" si="105"/>
        <v>0.7</v>
      </c>
      <c r="R286" s="177">
        <f t="shared" si="106"/>
        <v>0.49502563078238304</v>
      </c>
      <c r="S286" s="919">
        <f t="shared" si="107"/>
        <v>1</v>
      </c>
      <c r="T286" s="176">
        <f t="shared" si="108"/>
        <v>7</v>
      </c>
      <c r="U286" s="251">
        <f t="shared" si="109"/>
        <v>1.495025630782383</v>
      </c>
      <c r="V286" s="383">
        <f t="shared" si="110"/>
        <v>42.55611026164717</v>
      </c>
      <c r="W286" s="402">
        <f t="shared" si="111"/>
        <v>21.769769055801088</v>
      </c>
      <c r="X286" s="157">
        <f t="shared" si="112"/>
        <v>45563</v>
      </c>
      <c r="Y286" s="385">
        <f t="shared" si="113"/>
        <v>20.920976588352158</v>
      </c>
      <c r="Z286" s="385">
        <f t="shared" si="114"/>
        <v>22.011539328052383</v>
      </c>
      <c r="AA286" s="386">
        <f t="shared" si="115"/>
        <v>23.58416568639602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6.6681449717374233E-2</v>
      </c>
      <c r="AD286" s="231">
        <f>(INDEX(Models!$BJ286:$BT286,,AH286)*(1-AF286)+INDEX(Models!$BJ286:$BT286,,AH286+1)*AF286-ERP_i)*AE286*Ramure*Pc/MaxiM</f>
        <v>3.223016609977898E-3</v>
      </c>
      <c r="AE286" s="305">
        <f t="shared" si="117"/>
        <v>0.7</v>
      </c>
      <c r="AF286" s="177">
        <f t="shared" si="118"/>
        <v>0.49502563078238304</v>
      </c>
      <c r="AG286" s="919">
        <f t="shared" si="124"/>
        <v>1</v>
      </c>
      <c r="AH286" s="176">
        <f t="shared" si="119"/>
        <v>7</v>
      </c>
      <c r="AI286" s="225">
        <f t="shared" si="120"/>
        <v>1.495025630782383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1090">
        <f>IF(t&gt;Tmaj,'2023'!Wh/'2023'!Env_an*'2024'!Env_an,0.001*'[11]mon-tableau (3)'!$B$66)</f>
        <v>31.379709715571806</v>
      </c>
      <c r="C287" s="953"/>
      <c r="D287" s="393">
        <f t="shared" si="102"/>
        <v>33.016185471471992</v>
      </c>
      <c r="E287" s="385">
        <f t="shared" si="100"/>
        <v>33.999805072773547</v>
      </c>
      <c r="F287" s="385">
        <f t="shared" si="103"/>
        <v>34.070268729671561</v>
      </c>
      <c r="G287" s="110">
        <f t="shared" si="101"/>
        <v>0.74019258907662511</v>
      </c>
      <c r="H287" s="412" t="b">
        <f>Wh_hp&gt;='2023'!Maxi_hp</f>
        <v>0</v>
      </c>
      <c r="I287" s="390">
        <f>IF(H287,Wh_hp,'2023'!Maxi_hp)</f>
        <v>41.385817820684117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4.9565863909814767E-2</v>
      </c>
      <c r="M287" s="957"/>
      <c r="N287" s="957"/>
      <c r="O287" s="48">
        <f>IF(t&lt;Tnet,'2023'!Resal+('2023'!Salim-'2023'!Resal)*(1-EXP(('2023'!Tnet-t)/('2023'!Tau_j))),Resal+(Salim-Resal)*(1-EXP((Tnet-t)/(Tau_j))))*Salcycl</f>
        <v>2.8930154134595983E-2</v>
      </c>
      <c r="P287" s="169">
        <f>(INDEX(Models!$BJ287:$BT287,,T287)*(1-R287)+INDEX(Models!$BJ287:$BT287,,T287+1)*R287-ERP_i)*Q287*Ramure*Pc/MaxiM</f>
        <v>3.2821347459488087E-3</v>
      </c>
      <c r="Q287" s="305">
        <f t="shared" si="105"/>
        <v>0.7</v>
      </c>
      <c r="R287" s="177">
        <f t="shared" si="106"/>
        <v>0.49523201752519208</v>
      </c>
      <c r="S287" s="919">
        <f t="shared" si="107"/>
        <v>1</v>
      </c>
      <c r="T287" s="176">
        <f t="shared" si="108"/>
        <v>7</v>
      </c>
      <c r="U287" s="251">
        <f t="shared" si="109"/>
        <v>1.4952320175251921</v>
      </c>
      <c r="V287" s="383">
        <f t="shared" si="110"/>
        <v>42.342409090797418</v>
      </c>
      <c r="W287" s="402">
        <f t="shared" si="111"/>
        <v>31.379709715571806</v>
      </c>
      <c r="X287" s="157">
        <f t="shared" si="112"/>
        <v>45564</v>
      </c>
      <c r="Y287" s="385">
        <f t="shared" si="113"/>
        <v>30.157822467146001</v>
      </c>
      <c r="Z287" s="385">
        <f t="shared" si="114"/>
        <v>31.730575872628769</v>
      </c>
      <c r="AA287" s="386">
        <f t="shared" si="115"/>
        <v>33.999805072773547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6.674241794291752E-2</v>
      </c>
      <c r="AD287" s="231">
        <f>(INDEX(Models!$BJ287:$BT287,,AH287)*(1-AF287)+INDEX(Models!$BJ287:$BT287,,AH287+1)*AF287-ERP_i)*AE287*Ramure*Pc/MaxiM</f>
        <v>3.2821347459488087E-3</v>
      </c>
      <c r="AE287" s="305">
        <f t="shared" si="117"/>
        <v>0.7</v>
      </c>
      <c r="AF287" s="177">
        <f t="shared" si="118"/>
        <v>0.49523201752519208</v>
      </c>
      <c r="AG287" s="919">
        <f t="shared" si="124"/>
        <v>1</v>
      </c>
      <c r="AH287" s="176">
        <f t="shared" si="119"/>
        <v>7</v>
      </c>
      <c r="AI287" s="225">
        <f t="shared" si="120"/>
        <v>1.4952320175251921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1090">
        <f>IF(t&gt;Tmaj,'2023'!Wh/'2023'!Env_an*'2024'!Env_an,0.001*'[12]mon-tableau (1)'!$B$38)</f>
        <v>37.983462291674023</v>
      </c>
      <c r="C288" s="953"/>
      <c r="D288" s="393">
        <f t="shared" si="102"/>
        <v>39.965204113415645</v>
      </c>
      <c r="E288" s="385">
        <f t="shared" si="100"/>
        <v>41.16068578896725</v>
      </c>
      <c r="F288" s="385">
        <f t="shared" si="103"/>
        <v>41.279204390979814</v>
      </c>
      <c r="G288" s="110">
        <f t="shared" si="101"/>
        <v>0.90124347775276792</v>
      </c>
      <c r="H288" s="412" t="b">
        <f>Wh_hp&gt;='2023'!Maxi_hp</f>
        <v>0</v>
      </c>
      <c r="I288" s="390">
        <f>IF(H288,Wh_hp,'2023'!Maxi_hp)</f>
        <v>43.981299080889379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4.9586680856620102E-2</v>
      </c>
      <c r="M288" s="957"/>
      <c r="N288" s="957"/>
      <c r="O288" s="48">
        <f>IF(t&lt;Tnet,'2023'!Resal+('2023'!Salim-'2023'!Resal)*(1-EXP(('2023'!Tnet-t)/('2023'!Tau_j))),Resal+(Salim-Resal)*(1-EXP((Tnet-t)/(Tau_j))))*Salcycl</f>
        <v>2.9044260381882289E-2</v>
      </c>
      <c r="P288" s="169">
        <f>(INDEX(Models!$BJ288:$BT288,,T288)*(1-R288)+INDEX(Models!$BJ288:$BT288,,T288+1)*R288-ERP_i)*Q288*Ramure*Pc/MaxiM</f>
        <v>3.3403846308170415E-3</v>
      </c>
      <c r="Q288" s="305">
        <f t="shared" si="105"/>
        <v>0.7</v>
      </c>
      <c r="R288" s="177">
        <f t="shared" si="106"/>
        <v>0.49543025622794046</v>
      </c>
      <c r="S288" s="919">
        <f t="shared" si="107"/>
        <v>1</v>
      </c>
      <c r="T288" s="176">
        <f t="shared" si="108"/>
        <v>7</v>
      </c>
      <c r="U288" s="251">
        <f t="shared" si="109"/>
        <v>1.4954302562279405</v>
      </c>
      <c r="V288" s="383">
        <f t="shared" si="110"/>
        <v>42.125783521752496</v>
      </c>
      <c r="W288" s="402">
        <f t="shared" si="111"/>
        <v>37.983462291674023</v>
      </c>
      <c r="X288" s="157">
        <f t="shared" si="112"/>
        <v>45565</v>
      </c>
      <c r="Y288" s="385">
        <f t="shared" si="113"/>
        <v>36.506377985090012</v>
      </c>
      <c r="Z288" s="385">
        <f t="shared" si="114"/>
        <v>38.411054695649355</v>
      </c>
      <c r="AA288" s="386">
        <f t="shared" si="115"/>
        <v>41.16068578896725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6.6802363483820099E-2</v>
      </c>
      <c r="AD288" s="231">
        <f>(INDEX(Models!$BJ288:$BT288,,AH288)*(1-AF288)+INDEX(Models!$BJ288:$BT288,,AH288+1)*AF288-ERP_i)*AE288*Ramure*Pc/MaxiM</f>
        <v>3.3403846308170415E-3</v>
      </c>
      <c r="AE288" s="305">
        <f t="shared" si="117"/>
        <v>0.7</v>
      </c>
      <c r="AF288" s="177">
        <f t="shared" si="118"/>
        <v>0.49543025622794046</v>
      </c>
      <c r="AG288" s="919">
        <f t="shared" si="124"/>
        <v>1</v>
      </c>
      <c r="AH288" s="176">
        <f t="shared" si="119"/>
        <v>7</v>
      </c>
      <c r="AI288" s="225">
        <f t="shared" si="120"/>
        <v>1.4954302562279405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1090">
        <f>IF(t&gt;Tmaj,'2023'!Wh/'2023'!Env_an*'2024'!Env_an,0.001*'[12]mon-tableau (1)'!$B$39)</f>
        <v>37.400272756450995</v>
      </c>
      <c r="C289" s="953"/>
      <c r="D289" s="393">
        <f t="shared" si="102"/>
        <v>39.352449279711138</v>
      </c>
      <c r="E289" s="385">
        <f t="shared" si="100"/>
        <v>40.534339597807417</v>
      </c>
      <c r="F289" s="385">
        <f t="shared" si="103"/>
        <v>40.65124957770692</v>
      </c>
      <c r="G289" s="110">
        <f t="shared" si="101"/>
        <v>0.8920200843129813</v>
      </c>
      <c r="H289" s="412" t="b">
        <f>Wh_hp&gt;='2023'!Maxi_hp</f>
        <v>0</v>
      </c>
      <c r="I289" s="390">
        <f>IF(H289,Wh_hp,'2023'!Maxi_hp)</f>
        <v>47.647904130278036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4.9607497347480822E-2</v>
      </c>
      <c r="M289" s="957"/>
      <c r="N289" s="957"/>
      <c r="O289" s="48">
        <f>IF(t&lt;Tnet,'2023'!Resal+('2023'!Salim-'2023'!Resal)*(1-EXP(('2023'!Tnet-t)/('2023'!Tau_j))),Resal+(Salim-Resal)*(1-EXP((Tnet-t)/(Tau_j))))*Salcycl</f>
        <v>2.9157754383648874E-2</v>
      </c>
      <c r="P289" s="169">
        <f>(INDEX(Models!$BJ289:$BT289,,T289)*(1-R289)+INDEX(Models!$BJ289:$BT289,,T289+1)*R289-ERP_i)*Q289*Ramure*Pc/MaxiM</f>
        <v>3.3977917977307116E-3</v>
      </c>
      <c r="Q289" s="305">
        <f t="shared" si="105"/>
        <v>0.7</v>
      </c>
      <c r="R289" s="177">
        <f t="shared" si="106"/>
        <v>0.49562066237509672</v>
      </c>
      <c r="S289" s="919">
        <f t="shared" si="107"/>
        <v>1</v>
      </c>
      <c r="T289" s="176">
        <f t="shared" si="108"/>
        <v>7</v>
      </c>
      <c r="U289" s="251">
        <f t="shared" si="109"/>
        <v>1.4956206623750967</v>
      </c>
      <c r="V289" s="383">
        <f t="shared" si="110"/>
        <v>41.905669156331747</v>
      </c>
      <c r="W289" s="402">
        <f t="shared" si="111"/>
        <v>37.400272756450995</v>
      </c>
      <c r="X289" s="157">
        <f t="shared" si="112"/>
        <v>45566</v>
      </c>
      <c r="Y289" s="385">
        <f t="shared" si="113"/>
        <v>35.947800241195644</v>
      </c>
      <c r="Z289" s="385">
        <f t="shared" si="114"/>
        <v>37.824162270710602</v>
      </c>
      <c r="AA289" s="386">
        <f t="shared" si="115"/>
        <v>40.534339597807417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6.6861267606378255E-2</v>
      </c>
      <c r="AD289" s="231">
        <f>(INDEX(Models!$BJ289:$BT289,,AH289)*(1-AF289)+INDEX(Models!$BJ289:$BT289,,AH289+1)*AF289-ERP_i)*AE289*Ramure*Pc/MaxiM</f>
        <v>3.3977917977307116E-3</v>
      </c>
      <c r="AE289" s="305">
        <f t="shared" si="117"/>
        <v>0.7</v>
      </c>
      <c r="AF289" s="177">
        <f t="shared" si="118"/>
        <v>0.49562066237509672</v>
      </c>
      <c r="AG289" s="919">
        <f t="shared" si="124"/>
        <v>1</v>
      </c>
      <c r="AH289" s="176">
        <f t="shared" si="119"/>
        <v>7</v>
      </c>
      <c r="AI289" s="225">
        <f t="shared" si="120"/>
        <v>1.4956206623750967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1090">
        <f>IF(t&gt;Tmaj,'2023'!Wh/'2023'!Env_an*'2024'!Env_an,0.001*'[12]mon-tableau (1)'!$B$40)</f>
        <v>34.962028641101156</v>
      </c>
      <c r="C290" s="953"/>
      <c r="D290" s="393">
        <f t="shared" si="102"/>
        <v>36.787742241703633</v>
      </c>
      <c r="E290" s="385">
        <f t="shared" si="100"/>
        <v>37.897011465792431</v>
      </c>
      <c r="F290" s="385">
        <f t="shared" si="103"/>
        <v>37.997953088767908</v>
      </c>
      <c r="G290" s="110">
        <f t="shared" si="101"/>
        <v>0.83811701272236405</v>
      </c>
      <c r="H290" s="412" t="b">
        <f>Wh_hp&gt;='2023'!Maxi_hp</f>
        <v>0</v>
      </c>
      <c r="I290" s="390">
        <f>IF(H290,Wh_hp,'2023'!Maxi_hp)</f>
        <v>43.351504842538631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4.9628313382406919E-2</v>
      </c>
      <c r="M290" s="957"/>
      <c r="N290" s="957"/>
      <c r="O290" s="48">
        <f>IF(t&lt;Tnet,'2023'!Resal+('2023'!Salim-'2023'!Resal)*(1-EXP(('2023'!Tnet-t)/('2023'!Tau_j))),Resal+(Salim-Resal)*(1-EXP((Tnet-t)/(Tau_j))))*Salcycl</f>
        <v>2.9270625339153183E-2</v>
      </c>
      <c r="P290" s="169">
        <f>(INDEX(Models!$BJ290:$BT290,,T290)*(1-R290)+INDEX(Models!$BJ290:$BT290,,T290+1)*R290-ERP_i)*Q290*Ramure*Pc/MaxiM</f>
        <v>3.4513754668330987E-3</v>
      </c>
      <c r="Q290" s="305">
        <f t="shared" si="105"/>
        <v>0.7</v>
      </c>
      <c r="R290" s="177">
        <f t="shared" si="106"/>
        <v>0.49580353972088487</v>
      </c>
      <c r="S290" s="919">
        <f t="shared" si="107"/>
        <v>1</v>
      </c>
      <c r="T290" s="176">
        <f t="shared" si="108"/>
        <v>7</v>
      </c>
      <c r="U290" s="251">
        <f t="shared" si="109"/>
        <v>1.4958035397208849</v>
      </c>
      <c r="V290" s="383">
        <f t="shared" si="110"/>
        <v>41.681726639404687</v>
      </c>
      <c r="W290" s="402">
        <f t="shared" si="111"/>
        <v>34.962028641101156</v>
      </c>
      <c r="X290" s="157">
        <f t="shared" si="112"/>
        <v>45567</v>
      </c>
      <c r="Y290" s="385">
        <f t="shared" si="113"/>
        <v>33.606071416189167</v>
      </c>
      <c r="Z290" s="385">
        <f t="shared" si="114"/>
        <v>35.360977067608552</v>
      </c>
      <c r="AA290" s="386">
        <f t="shared" si="115"/>
        <v>37.897011465792431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6.6919113146244227E-2</v>
      </c>
      <c r="AD290" s="231">
        <f>(INDEX(Models!$BJ290:$BT290,,AH290)*(1-AF290)+INDEX(Models!$BJ290:$BT290,,AH290+1)*AF290-ERP_i)*AE290*Ramure*Pc/MaxiM</f>
        <v>3.4513754668330987E-3</v>
      </c>
      <c r="AE290" s="305">
        <f t="shared" si="117"/>
        <v>0.7</v>
      </c>
      <c r="AF290" s="177">
        <f t="shared" si="118"/>
        <v>0.49580353972088487</v>
      </c>
      <c r="AG290" s="919">
        <f t="shared" si="124"/>
        <v>1</v>
      </c>
      <c r="AH290" s="176">
        <f t="shared" si="119"/>
        <v>7</v>
      </c>
      <c r="AI290" s="225">
        <f t="shared" si="120"/>
        <v>1.4958035397208849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1090">
        <f>IF(t&gt;Tmaj,'2023'!Wh/'2023'!Env_an*'2024'!Env_an,0.001*'[12]mon-tableau (1)'!$B$41)</f>
        <v>40.942795503632816</v>
      </c>
      <c r="C291" s="953"/>
      <c r="D291" s="393">
        <f t="shared" si="102"/>
        <v>43.081767746357151</v>
      </c>
      <c r="E291" s="385">
        <f t="shared" si="100"/>
        <v>44.385954163563149</v>
      </c>
      <c r="F291" s="385">
        <f t="shared" si="103"/>
        <v>44.539110175872921</v>
      </c>
      <c r="G291" s="110">
        <f t="shared" si="101"/>
        <v>0.98760219848846176</v>
      </c>
      <c r="H291" s="412" t="b">
        <f>Wh_hp&gt;='2023'!Maxi_hp</f>
        <v>0</v>
      </c>
      <c r="I291" s="390">
        <f>IF(H291,Wh_hp,'2023'!Maxi_hp)</f>
        <v>44.844605022343991</v>
      </c>
      <c r="J291" s="85">
        <f>IF(H291,An,'2023'!An_max)</f>
        <v>2018</v>
      </c>
      <c r="K291" s="197">
        <f t="shared" si="104"/>
        <v>45568</v>
      </c>
      <c r="L291" s="147">
        <f>IF(t&lt;Tvie,1-EXP((T0-t)*PertePVj)+'2023'!Pspv,1-EXP((T0-t)*PertePVj)+Pspv)</f>
        <v>4.9649128961408495E-2</v>
      </c>
      <c r="M291" s="957"/>
      <c r="N291" s="957"/>
      <c r="O291" s="48">
        <f>IF(t&lt;Tnet,'2023'!Resal+('2023'!Salim-'2023'!Resal)*(1-EXP(('2023'!Tnet-t)/('2023'!Tau_j))),Resal+(Salim-Resal)*(1-EXP((Tnet-t)/(Tau_j))))*Salcycl</f>
        <v>2.9382863155313566E-2</v>
      </c>
      <c r="P291" s="169">
        <f>(INDEX(Models!$BJ291:$BT291,,T291)*(1-R291)+INDEX(Models!$BJ291:$BT291,,T291+1)*R291-ERP_i)*Q291*Ramure*Pc/MaxiM</f>
        <v>3.5003758847017958E-3</v>
      </c>
      <c r="Q291" s="305">
        <f t="shared" si="105"/>
        <v>0.7</v>
      </c>
      <c r="R291" s="177">
        <f t="shared" si="106"/>
        <v>0.49597918068721514</v>
      </c>
      <c r="S291" s="919">
        <f t="shared" si="107"/>
        <v>1</v>
      </c>
      <c r="T291" s="176">
        <f t="shared" si="108"/>
        <v>7</v>
      </c>
      <c r="U291" s="251">
        <f t="shared" si="109"/>
        <v>1.4959791806872151</v>
      </c>
      <c r="V291" s="383">
        <f t="shared" si="110"/>
        <v>41.454201998113128</v>
      </c>
      <c r="W291" s="402">
        <f t="shared" si="111"/>
        <v>40.942795503632816</v>
      </c>
      <c r="X291" s="157">
        <f t="shared" si="112"/>
        <v>45568</v>
      </c>
      <c r="Y291" s="385">
        <f t="shared" si="113"/>
        <v>39.357038014778233</v>
      </c>
      <c r="Z291" s="385">
        <f t="shared" si="114"/>
        <v>41.413165615102635</v>
      </c>
      <c r="AA291" s="386">
        <f t="shared" si="115"/>
        <v>44.385954163563149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6.6975884702303048E-2</v>
      </c>
      <c r="AD291" s="231">
        <f>(INDEX(Models!$BJ291:$BT291,,AH291)*(1-AF291)+INDEX(Models!$BJ291:$BT291,,AH291+1)*AF291-ERP_i)*AE291*Ramure*Pc/MaxiM</f>
        <v>3.5003758847017958E-3</v>
      </c>
      <c r="AE291" s="305">
        <f t="shared" si="117"/>
        <v>0.7</v>
      </c>
      <c r="AF291" s="177">
        <f t="shared" si="118"/>
        <v>0.49597918068721514</v>
      </c>
      <c r="AG291" s="919">
        <f t="shared" si="124"/>
        <v>1</v>
      </c>
      <c r="AH291" s="176">
        <f t="shared" si="119"/>
        <v>7</v>
      </c>
      <c r="AI291" s="225">
        <f t="shared" si="120"/>
        <v>1.4959791806872151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1090">
        <f>IF(t&gt;Tmaj,'2023'!Wh/'2023'!Env_an*'2024'!Env_an,0.001*'[12]mon-tableau (1)'!$B$42)</f>
        <v>40.88569928487167</v>
      </c>
      <c r="C292" s="953"/>
      <c r="D292" s="393">
        <f t="shared" si="102"/>
        <v>43.022630958971675</v>
      </c>
      <c r="E292" s="385">
        <f t="shared" si="100"/>
        <v>44.330123962418917</v>
      </c>
      <c r="F292" s="385">
        <f t="shared" si="103"/>
        <v>44.48597002260361</v>
      </c>
      <c r="G292" s="110">
        <f t="shared" si="101"/>
        <v>0.99176889251614664</v>
      </c>
      <c r="H292" s="412" t="b">
        <f>Wh_hp&gt;='2023'!Maxi_hp</f>
        <v>0</v>
      </c>
      <c r="I292" s="390">
        <f>IF(H292,Wh_hp,'2023'!Maxi_hp)</f>
        <v>44.683643039833356</v>
      </c>
      <c r="J292" s="85">
        <f>IF(H292,An,'2023'!An_max)</f>
        <v>2018</v>
      </c>
      <c r="K292" s="197">
        <f t="shared" si="104"/>
        <v>45569</v>
      </c>
      <c r="L292" s="147">
        <f>IF(t&lt;Tvie,1-EXP((T0-t)*PertePVj)+'2023'!Pspv,1-EXP((T0-t)*PertePVj)+Pspv)</f>
        <v>4.9669944084495432E-2</v>
      </c>
      <c r="M292" s="957"/>
      <c r="N292" s="957"/>
      <c r="O292" s="48">
        <f>IF(t&lt;Tnet,'2023'!Resal+('2023'!Salim-'2023'!Resal)*(1-EXP(('2023'!Tnet-t)/('2023'!Tau_j))),Resal+(Salim-Resal)*(1-EXP((Tnet-t)/(Tau_j))))*Salcycl</f>
        <v>2.9494458543713506E-2</v>
      </c>
      <c r="P292" s="169">
        <f>(INDEX(Models!$BJ292:$BT292,,T292)*(1-R292)+INDEX(Models!$BJ292:$BT292,,T292+1)*R292-ERP_i)*Q292*Ramure*Pc/MaxiM</f>
        <v>3.5447357129124732E-3</v>
      </c>
      <c r="Q292" s="305">
        <f t="shared" si="105"/>
        <v>0.7</v>
      </c>
      <c r="R292" s="177">
        <f t="shared" si="106"/>
        <v>0.49614786675119693</v>
      </c>
      <c r="S292" s="919">
        <f t="shared" si="107"/>
        <v>1</v>
      </c>
      <c r="T292" s="176">
        <f t="shared" si="108"/>
        <v>7</v>
      </c>
      <c r="U292" s="251">
        <f t="shared" si="109"/>
        <v>1.4961478667511969</v>
      </c>
      <c r="V292" s="383">
        <f t="shared" si="110"/>
        <v>41.223311194940742</v>
      </c>
      <c r="W292" s="402">
        <f t="shared" si="111"/>
        <v>40.88569928487167</v>
      </c>
      <c r="X292" s="157">
        <f t="shared" si="112"/>
        <v>45569</v>
      </c>
      <c r="Y292" s="385">
        <f t="shared" si="113"/>
        <v>39.304326549097155</v>
      </c>
      <c r="Z292" s="385">
        <f t="shared" si="114"/>
        <v>41.35860620680166</v>
      </c>
      <c r="AA292" s="386">
        <f t="shared" si="115"/>
        <v>44.330123962418917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6.7031568829727939E-2</v>
      </c>
      <c r="AD292" s="231">
        <f>(INDEX(Models!$BJ292:$BT292,,AH292)*(1-AF292)+INDEX(Models!$BJ292:$BT292,,AH292+1)*AF292-ERP_i)*AE292*Ramure*Pc/MaxiM</f>
        <v>3.5447357129124732E-3</v>
      </c>
      <c r="AE292" s="305">
        <f t="shared" si="117"/>
        <v>0.7</v>
      </c>
      <c r="AF292" s="177">
        <f t="shared" si="118"/>
        <v>0.49614786675119693</v>
      </c>
      <c r="AG292" s="919">
        <f t="shared" si="124"/>
        <v>1</v>
      </c>
      <c r="AH292" s="176">
        <f t="shared" si="119"/>
        <v>7</v>
      </c>
      <c r="AI292" s="225">
        <f t="shared" si="120"/>
        <v>1.4961478667511969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1090">
        <f>IF(t&gt;Tmaj,'2023'!Wh/'2023'!Env_an*'2024'!Env_an,0.001*'[12]mon-tableau (1)'!$B$43)</f>
        <v>15.158973461204804</v>
      </c>
      <c r="C293" s="953"/>
      <c r="D293" s="393">
        <f t="shared" si="102"/>
        <v>15.951621644015626</v>
      </c>
      <c r="E293" s="385">
        <f t="shared" si="100"/>
        <v>16.438283658285123</v>
      </c>
      <c r="F293" s="385">
        <f t="shared" si="103"/>
        <v>16.444163403730865</v>
      </c>
      <c r="G293" s="110">
        <f t="shared" si="101"/>
        <v>0.36863404639839809</v>
      </c>
      <c r="H293" s="412" t="b">
        <f>Wh_hp&gt;='2023'!Maxi_hp</f>
        <v>0</v>
      </c>
      <c r="I293" s="390">
        <f>IF(H293,Wh_hp,'2023'!Maxi_hp)</f>
        <v>42.282942542755286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4.9690758751677833E-2</v>
      </c>
      <c r="M293" s="957"/>
      <c r="N293" s="957"/>
      <c r="O293" s="48">
        <f>IF(t&lt;Tnet,'2023'!Resal+('2023'!Salim-'2023'!Resal)*(1-EXP(('2023'!Tnet-t)/('2023'!Tau_j))),Resal+(Salim-Resal)*(1-EXP((Tnet-t)/(Tau_j))))*Salcycl</f>
        <v>2.9605403117874445E-2</v>
      </c>
      <c r="P293" s="169">
        <f>(INDEX(Models!$BJ293:$BT293,,T293)*(1-R293)+INDEX(Models!$BJ293:$BT293,,T293+1)*R293-ERP_i)*Q293*Ramure*Pc/MaxiM</f>
        <v>3.5843971382221026E-3</v>
      </c>
      <c r="Q293" s="305">
        <f t="shared" si="105"/>
        <v>0.7</v>
      </c>
      <c r="R293" s="177">
        <f t="shared" si="106"/>
        <v>0.49630986882223604</v>
      </c>
      <c r="S293" s="919">
        <f t="shared" si="107"/>
        <v>1</v>
      </c>
      <c r="T293" s="176">
        <f t="shared" si="108"/>
        <v>7</v>
      </c>
      <c r="U293" s="251">
        <f t="shared" si="109"/>
        <v>1.496309868822236</v>
      </c>
      <c r="V293" s="383">
        <f t="shared" si="110"/>
        <v>40.989269837027841</v>
      </c>
      <c r="W293" s="402">
        <f t="shared" si="111"/>
        <v>15.158973461204804</v>
      </c>
      <c r="X293" s="157">
        <f t="shared" si="112"/>
        <v>45570</v>
      </c>
      <c r="Y293" s="385">
        <f t="shared" si="113"/>
        <v>14.573469674138833</v>
      </c>
      <c r="Z293" s="385">
        <f t="shared" si="114"/>
        <v>15.335502425500131</v>
      </c>
      <c r="AA293" s="386">
        <f t="shared" si="115"/>
        <v>16.438283658285123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6.7086154230534586E-2</v>
      </c>
      <c r="AD293" s="231">
        <f>(INDEX(Models!$BJ293:$BT293,,AH293)*(1-AF293)+INDEX(Models!$BJ293:$BT293,,AH293+1)*AF293-ERP_i)*AE293*Ramure*Pc/MaxiM</f>
        <v>3.5843971382221026E-3</v>
      </c>
      <c r="AE293" s="305">
        <f t="shared" si="117"/>
        <v>0.7</v>
      </c>
      <c r="AF293" s="177">
        <f t="shared" si="118"/>
        <v>0.49630986882223604</v>
      </c>
      <c r="AG293" s="919">
        <f t="shared" si="124"/>
        <v>1</v>
      </c>
      <c r="AH293" s="176">
        <f t="shared" si="119"/>
        <v>7</v>
      </c>
      <c r="AI293" s="225">
        <f t="shared" si="120"/>
        <v>1.496309868822236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1090">
        <f>IF(t&gt;Tmaj,'2023'!Wh/'2023'!Env_an*'2024'!Env_an,0.001*'[12]mon-tableau (1)'!$B$44)</f>
        <v>30.22417987608927</v>
      </c>
      <c r="C294" s="953"/>
      <c r="D294" s="393">
        <f t="shared" si="102"/>
        <v>31.805269869830138</v>
      </c>
      <c r="E294" s="385">
        <f t="shared" si="100"/>
        <v>32.779330269818189</v>
      </c>
      <c r="F294" s="385">
        <f t="shared" si="103"/>
        <v>32.854354894329475</v>
      </c>
      <c r="G294" s="110">
        <f t="shared" si="101"/>
        <v>0.74066299502001309</v>
      </c>
      <c r="H294" s="412" t="b">
        <f>Wh_hp&gt;='2023'!Maxi_hp</f>
        <v>0</v>
      </c>
      <c r="I294" s="390">
        <f>IF(H294,Wh_hp,'2023'!Maxi_hp)</f>
        <v>44.5855001708373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4.9711572962965467E-2</v>
      </c>
      <c r="M294" s="957"/>
      <c r="N294" s="957"/>
      <c r="O294" s="48">
        <f>IF(t&lt;Tnet,'2023'!Resal+('2023'!Salim-'2023'!Resal)*(1-EXP(('2023'!Tnet-t)/('2023'!Tau_j))),Resal+(Salim-Resal)*(1-EXP((Tnet-t)/(Tau_j))))*Salcycl</f>
        <v>2.9715689489999225E-2</v>
      </c>
      <c r="P294" s="169">
        <f>(INDEX(Models!$BJ294:$BT294,,T294)*(1-R294)+INDEX(Models!$BJ294:$BT294,,T294+1)*R294-ERP_i)*Q294*Ramure*Pc/MaxiM</f>
        <v>3.6193023165970758E-3</v>
      </c>
      <c r="Q294" s="305">
        <f t="shared" si="105"/>
        <v>0.7</v>
      </c>
      <c r="R294" s="177">
        <f t="shared" si="106"/>
        <v>0.49646544760875888</v>
      </c>
      <c r="S294" s="919">
        <f t="shared" si="107"/>
        <v>1</v>
      </c>
      <c r="T294" s="176">
        <f t="shared" si="108"/>
        <v>7</v>
      </c>
      <c r="U294" s="251">
        <f t="shared" si="109"/>
        <v>1.4964654476087589</v>
      </c>
      <c r="V294" s="383">
        <f t="shared" si="110"/>
        <v>40.752293169325455</v>
      </c>
      <c r="W294" s="402">
        <f t="shared" si="111"/>
        <v>30.22417987608927</v>
      </c>
      <c r="X294" s="157">
        <f t="shared" si="112"/>
        <v>45571</v>
      </c>
      <c r="Y294" s="385">
        <f t="shared" si="113"/>
        <v>29.058430872393295</v>
      </c>
      <c r="Z294" s="385">
        <f t="shared" si="114"/>
        <v>30.578538100265462</v>
      </c>
      <c r="AA294" s="386">
        <f t="shared" si="115"/>
        <v>32.779330269818189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6.7139631939921687E-2</v>
      </c>
      <c r="AD294" s="231">
        <f>(INDEX(Models!$BJ294:$BT294,,AH294)*(1-AF294)+INDEX(Models!$BJ294:$BT294,,AH294+1)*AF294-ERP_i)*AE294*Ramure*Pc/MaxiM</f>
        <v>3.6193023165970758E-3</v>
      </c>
      <c r="AE294" s="305">
        <f t="shared" si="117"/>
        <v>0.7</v>
      </c>
      <c r="AF294" s="177">
        <f t="shared" si="118"/>
        <v>0.49646544760875888</v>
      </c>
      <c r="AG294" s="919">
        <f t="shared" si="124"/>
        <v>1</v>
      </c>
      <c r="AH294" s="176">
        <f t="shared" si="119"/>
        <v>7</v>
      </c>
      <c r="AI294" s="225">
        <f t="shared" si="120"/>
        <v>1.4964654476087589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1090">
        <f>IF(t&gt;Tmaj,'2023'!Wh/'2023'!Env_an*'2024'!Env_an,0.001*'[12]mon-tableau (1)'!$B$45)</f>
        <v>17.480920874751824</v>
      </c>
      <c r="C295" s="953"/>
      <c r="D295" s="393">
        <f t="shared" si="102"/>
        <v>18.395787281841198</v>
      </c>
      <c r="E295" s="385">
        <f t="shared" si="100"/>
        <v>18.961314387359664</v>
      </c>
      <c r="F295" s="385">
        <f t="shared" si="103"/>
        <v>18.974321867144855</v>
      </c>
      <c r="G295" s="110">
        <f t="shared" si="101"/>
        <v>0.43021371056320634</v>
      </c>
      <c r="H295" s="412" t="b">
        <f>Wh_hp&gt;='2023'!Maxi_hp</f>
        <v>0</v>
      </c>
      <c r="I295" s="390">
        <f>IF(H295,Wh_hp,'2023'!Maxi_hp)</f>
        <v>41.761638375375632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4.9732386718368549E-2</v>
      </c>
      <c r="M295" s="957"/>
      <c r="N295" s="957"/>
      <c r="O295" s="48">
        <f>IF(t&lt;Tnet,'2023'!Resal+('2023'!Salim-'2023'!Resal)*(1-EXP(('2023'!Tnet-t)/('2023'!Tau_j))),Resal+(Salim-Resal)*(1-EXP((Tnet-t)/(Tau_j))))*Salcycl</f>
        <v>2.9825311366361094E-2</v>
      </c>
      <c r="P295" s="169">
        <f>(INDEX(Models!$BJ295:$BT295,,T295)*(1-R295)+INDEX(Models!$BJ295:$BT295,,T295+1)*R295-ERP_i)*Q295*Ramure*Pc/MaxiM</f>
        <v>3.6493938174837312E-3</v>
      </c>
      <c r="Q295" s="305">
        <f t="shared" si="105"/>
        <v>0.7</v>
      </c>
      <c r="R295" s="177">
        <f t="shared" si="106"/>
        <v>0.49661485397462002</v>
      </c>
      <c r="S295" s="919">
        <f t="shared" si="107"/>
        <v>1</v>
      </c>
      <c r="T295" s="176">
        <f t="shared" si="108"/>
        <v>7</v>
      </c>
      <c r="U295" s="251">
        <f t="shared" si="109"/>
        <v>1.49661485397462</v>
      </c>
      <c r="V295" s="383">
        <f t="shared" si="110"/>
        <v>40.512596059577881</v>
      </c>
      <c r="W295" s="402">
        <f t="shared" si="111"/>
        <v>17.480920874751824</v>
      </c>
      <c r="X295" s="157">
        <f t="shared" si="112"/>
        <v>45572</v>
      </c>
      <c r="Y295" s="385">
        <f t="shared" si="113"/>
        <v>16.807635891685131</v>
      </c>
      <c r="Z295" s="385">
        <f t="shared" si="114"/>
        <v>17.687265836243796</v>
      </c>
      <c r="AA295" s="386">
        <f t="shared" si="115"/>
        <v>18.961314387359664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6.7191995506661592E-2</v>
      </c>
      <c r="AD295" s="231">
        <f>(INDEX(Models!$BJ295:$BT295,,AH295)*(1-AF295)+INDEX(Models!$BJ295:$BT295,,AH295+1)*AF295-ERP_i)*AE295*Ramure*Pc/MaxiM</f>
        <v>3.6493938174837312E-3</v>
      </c>
      <c r="AE295" s="305">
        <f t="shared" si="117"/>
        <v>0.7</v>
      </c>
      <c r="AF295" s="177">
        <f t="shared" si="118"/>
        <v>0.49661485397462002</v>
      </c>
      <c r="AG295" s="919">
        <f t="shared" si="124"/>
        <v>1</v>
      </c>
      <c r="AH295" s="176">
        <f t="shared" si="119"/>
        <v>7</v>
      </c>
      <c r="AI295" s="225">
        <f t="shared" si="120"/>
        <v>1.49661485397462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1090">
        <f>IF(t&gt;Tmaj,'2023'!Wh/'2023'!Env_an*'2024'!Env_an,0.001*'[12]mon-tableau (1)'!$B$46)</f>
        <v>38.129953865022031</v>
      </c>
      <c r="C296" s="953"/>
      <c r="D296" s="393">
        <f t="shared" si="102"/>
        <v>40.126369134566062</v>
      </c>
      <c r="E296" s="385">
        <f t="shared" si="100"/>
        <v>41.364587605324225</v>
      </c>
      <c r="F296" s="385">
        <f t="shared" si="103"/>
        <v>41.505475315894486</v>
      </c>
      <c r="G296" s="110">
        <f t="shared" si="101"/>
        <v>0.94658212801481367</v>
      </c>
      <c r="H296" s="412" t="b">
        <f>Wh_hp&gt;='2023'!Maxi_hp</f>
        <v>0</v>
      </c>
      <c r="I296" s="390">
        <f>IF(H296,Wh_hp,'2023'!Maxi_hp)</f>
        <v>41.511067536404447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4.9753200017896959E-2</v>
      </c>
      <c r="M296" s="957"/>
      <c r="N296" s="957"/>
      <c r="O296" s="48">
        <f>IF(t&lt;Tnet,'2023'!Resal+('2023'!Salim-'2023'!Resal)*(1-EXP(('2023'!Tnet-t)/('2023'!Tau_j))),Resal+(Salim-Resal)*(1-EXP((Tnet-t)/(Tau_j))))*Salcycl</f>
        <v>2.993426364049577E-2</v>
      </c>
      <c r="P296" s="169">
        <f>(INDEX(Models!$BJ296:$BT296,,T296)*(1-R296)+INDEX(Models!$BJ296:$BT296,,T296+1)*R296-ERP_i)*Q296*Ramure*Pc/MaxiM</f>
        <v>3.6733651762200538E-3</v>
      </c>
      <c r="Q296" s="305">
        <f t="shared" si="105"/>
        <v>0.7</v>
      </c>
      <c r="R296" s="177">
        <f t="shared" si="106"/>
        <v>0.49675832928528263</v>
      </c>
      <c r="S296" s="919">
        <f t="shared" si="107"/>
        <v>1</v>
      </c>
      <c r="T296" s="176">
        <f t="shared" si="108"/>
        <v>7</v>
      </c>
      <c r="U296" s="251">
        <f t="shared" si="109"/>
        <v>1.4967583292852826</v>
      </c>
      <c r="V296" s="383">
        <f t="shared" si="110"/>
        <v>40.27044350837118</v>
      </c>
      <c r="W296" s="402">
        <f t="shared" si="111"/>
        <v>38.129953865022031</v>
      </c>
      <c r="X296" s="157">
        <f t="shared" si="112"/>
        <v>45573</v>
      </c>
      <c r="Y296" s="385">
        <f t="shared" si="113"/>
        <v>36.663466040052654</v>
      </c>
      <c r="Z296" s="385">
        <f t="shared" si="114"/>
        <v>38.583098665255356</v>
      </c>
      <c r="AA296" s="386">
        <f t="shared" si="115"/>
        <v>41.364587605324225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6.7243241165804615E-2</v>
      </c>
      <c r="AD296" s="231">
        <f>(INDEX(Models!$BJ296:$BT296,,AH296)*(1-AF296)+INDEX(Models!$BJ296:$BT296,,AH296+1)*AF296-ERP_i)*AE296*Ramure*Pc/MaxiM</f>
        <v>3.6733651762200538E-3</v>
      </c>
      <c r="AE296" s="305">
        <f t="shared" si="117"/>
        <v>0.7</v>
      </c>
      <c r="AF296" s="177">
        <f t="shared" si="118"/>
        <v>0.49675832928528263</v>
      </c>
      <c r="AG296" s="919">
        <f t="shared" si="124"/>
        <v>1</v>
      </c>
      <c r="AH296" s="176">
        <f t="shared" si="119"/>
        <v>7</v>
      </c>
      <c r="AI296" s="225">
        <f t="shared" si="120"/>
        <v>1.4967583292852826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1090">
        <f>IF(t&gt;Tmaj,'2023'!Wh/'2023'!Env_an*'2024'!Env_an,0.001*'[12]mon-tableau (1)'!$B$47)</f>
        <v>31.12264051074613</v>
      </c>
      <c r="C297" s="953"/>
      <c r="D297" s="393">
        <f t="shared" si="102"/>
        <v>32.752882926797753</v>
      </c>
      <c r="E297" s="385">
        <f t="shared" ref="E297:E360" si="125">Wh_pvt/(1-Psa)</f>
        <v>33.767339663178234</v>
      </c>
      <c r="F297" s="385">
        <f t="shared" si="103"/>
        <v>33.852628788673535</v>
      </c>
      <c r="G297" s="110">
        <f t="shared" ref="G297:G360" si="126">+Wh_hp/MaxiM</f>
        <v>0.77664625586068126</v>
      </c>
      <c r="H297" s="412" t="b">
        <f>Wh_hp&gt;='2023'!Maxi_hp</f>
        <v>0</v>
      </c>
      <c r="I297" s="390">
        <f>IF(H297,Wh_hp,'2023'!Maxi_hp)</f>
        <v>33.871711557012716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4.977401286156069E-2</v>
      </c>
      <c r="M297" s="957"/>
      <c r="N297" s="957"/>
      <c r="O297" s="48">
        <f>IF(t&lt;Tnet,'2023'!Resal+('2023'!Salim-'2023'!Resal)*(1-EXP(('2023'!Tnet-t)/('2023'!Tau_j))),Resal+(Salim-Resal)*(1-EXP((Tnet-t)/(Tau_j))))*Salcycl</f>
        <v>3.0042542483342302E-2</v>
      </c>
      <c r="P297" s="169">
        <f>(INDEX(Models!$BJ297:$BT297,,T297)*(1-R297)+INDEX(Models!$BJ297:$BT297,,T297+1)*R297-ERP_i)*Q297*Ramure*Pc/MaxiM</f>
        <v>3.6929244536296024E-3</v>
      </c>
      <c r="Q297" s="305">
        <f t="shared" si="105"/>
        <v>0.7</v>
      </c>
      <c r="R297" s="177">
        <f t="shared" si="106"/>
        <v>0.49689610574387366</v>
      </c>
      <c r="S297" s="919">
        <f t="shared" si="107"/>
        <v>1</v>
      </c>
      <c r="T297" s="176">
        <f t="shared" si="108"/>
        <v>7</v>
      </c>
      <c r="U297" s="251">
        <f t="shared" si="109"/>
        <v>1.4968961057438737</v>
      </c>
      <c r="V297" s="383">
        <f t="shared" si="110"/>
        <v>40.025977844560522</v>
      </c>
      <c r="W297" s="402">
        <f t="shared" si="111"/>
        <v>31.12264051074613</v>
      </c>
      <c r="X297" s="157">
        <f t="shared" si="112"/>
        <v>45574</v>
      </c>
      <c r="Y297" s="385">
        <f t="shared" si="113"/>
        <v>29.927388036155083</v>
      </c>
      <c r="Z297" s="385">
        <f t="shared" si="114"/>
        <v>31.495021648776412</v>
      </c>
      <c r="AA297" s="386">
        <f t="shared" si="115"/>
        <v>33.767339663178234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6.7293368001971485E-2</v>
      </c>
      <c r="AD297" s="231">
        <f>(INDEX(Models!$BJ297:$BT297,,AH297)*(1-AF297)+INDEX(Models!$BJ297:$BT297,,AH297+1)*AF297-ERP_i)*AE297*Ramure*Pc/MaxiM</f>
        <v>3.6929244536296024E-3</v>
      </c>
      <c r="AE297" s="305">
        <f t="shared" si="117"/>
        <v>0.7</v>
      </c>
      <c r="AF297" s="177">
        <f t="shared" si="118"/>
        <v>0.49689610574387366</v>
      </c>
      <c r="AG297" s="919">
        <f t="shared" si="124"/>
        <v>1</v>
      </c>
      <c r="AH297" s="176">
        <f t="shared" si="119"/>
        <v>7</v>
      </c>
      <c r="AI297" s="225">
        <f t="shared" si="120"/>
        <v>1.4968961057438737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1090">
        <f>IF(t&gt;Tmaj,'2023'!Wh/'2023'!Env_an*'2024'!Env_an,0.001*'[12]mon-tableau (1)'!$B$48)</f>
        <v>22.191913408094955</v>
      </c>
      <c r="C298" s="953"/>
      <c r="D298" s="393">
        <f t="shared" si="102"/>
        <v>23.354864820557257</v>
      </c>
      <c r="E298" s="385">
        <f t="shared" si="125"/>
        <v>24.080907689468528</v>
      </c>
      <c r="F298" s="385">
        <f t="shared" si="103"/>
        <v>24.113847328731374</v>
      </c>
      <c r="G298" s="110">
        <f t="shared" si="126"/>
        <v>0.55656599296145348</v>
      </c>
      <c r="H298" s="412" t="b">
        <f>Wh_hp&gt;='2023'!Maxi_hp</f>
        <v>0</v>
      </c>
      <c r="I298" s="390">
        <f>IF(H298,Wh_hp,'2023'!Maxi_hp)</f>
        <v>43.516621662814977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4.9794825249369734E-2</v>
      </c>
      <c r="M298" s="957"/>
      <c r="N298" s="957"/>
      <c r="O298" s="48">
        <f>IF(t&lt;Tnet,'2023'!Resal+('2023'!Salim-'2023'!Resal)*(1-EXP(('2023'!Tnet-t)/('2023'!Tau_j))),Resal+(Salim-Resal)*(1-EXP((Tnet-t)/(Tau_j))))*Salcycl</f>
        <v>3.0150145429476305E-2</v>
      </c>
      <c r="P298" s="169">
        <f>(INDEX(Models!$BJ298:$BT298,,T298)*(1-R298)+INDEX(Models!$BJ298:$BT298,,T298+1)*R298-ERP_i)*Q298*Ramure*Pc/MaxiM</f>
        <v>3.7080216176758733E-3</v>
      </c>
      <c r="Q298" s="305">
        <f t="shared" si="105"/>
        <v>0.7</v>
      </c>
      <c r="R298" s="177">
        <f t="shared" si="106"/>
        <v>0.49702840671724013</v>
      </c>
      <c r="S298" s="919">
        <f t="shared" si="107"/>
        <v>1</v>
      </c>
      <c r="T298" s="176">
        <f t="shared" si="108"/>
        <v>7</v>
      </c>
      <c r="U298" s="251">
        <f t="shared" si="109"/>
        <v>1.4970284067172401</v>
      </c>
      <c r="V298" s="383">
        <f t="shared" si="110"/>
        <v>39.779412985090261</v>
      </c>
      <c r="W298" s="402">
        <f t="shared" si="111"/>
        <v>22.191913408094955</v>
      </c>
      <c r="X298" s="157">
        <f t="shared" si="112"/>
        <v>45575</v>
      </c>
      <c r="Y298" s="385">
        <f t="shared" si="113"/>
        <v>21.34088806327221</v>
      </c>
      <c r="Z298" s="385">
        <f t="shared" si="114"/>
        <v>22.459242098816045</v>
      </c>
      <c r="AA298" s="386">
        <f t="shared" si="115"/>
        <v>24.080907689468528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6.7342378101540534E-2</v>
      </c>
      <c r="AD298" s="231">
        <f>(INDEX(Models!$BJ298:$BT298,,AH298)*(1-AF298)+INDEX(Models!$BJ298:$BT298,,AH298+1)*AF298-ERP_i)*AE298*Ramure*Pc/MaxiM</f>
        <v>3.7080216176758733E-3</v>
      </c>
      <c r="AE298" s="305">
        <f t="shared" si="117"/>
        <v>0.7</v>
      </c>
      <c r="AF298" s="177">
        <f t="shared" si="118"/>
        <v>0.49702840671724013</v>
      </c>
      <c r="AG298" s="919">
        <f t="shared" si="124"/>
        <v>1</v>
      </c>
      <c r="AH298" s="176">
        <f t="shared" si="119"/>
        <v>7</v>
      </c>
      <c r="AI298" s="225">
        <f t="shared" si="120"/>
        <v>1.4970284067172401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1090">
        <f>IF(t&gt;Tmaj,'2023'!Wh/'2023'!Env_an*'2024'!Env_an,0.001*'[12]mon-tableau (1)'!$B$49)</f>
        <v>31.028315795470348</v>
      </c>
      <c r="C299" s="953"/>
      <c r="D299" s="393">
        <f t="shared" si="102"/>
        <v>32.655047809276375</v>
      </c>
      <c r="E299" s="385">
        <f t="shared" si="125"/>
        <v>33.673922075815113</v>
      </c>
      <c r="F299" s="385">
        <f t="shared" si="103"/>
        <v>33.760889978306395</v>
      </c>
      <c r="G299" s="110">
        <f t="shared" si="126"/>
        <v>0.78401255491086885</v>
      </c>
      <c r="H299" s="412" t="b">
        <f>Wh_hp&gt;='2023'!Maxi_hp</f>
        <v>0</v>
      </c>
      <c r="I299" s="390">
        <f>IF(H299,Wh_hp,'2023'!Maxi_hp)</f>
        <v>42.807452061099632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4.9815637181334083E-2</v>
      </c>
      <c r="M299" s="957"/>
      <c r="N299" s="957"/>
      <c r="O299" s="48">
        <f>IF(t&lt;Tnet,'2023'!Resal+('2023'!Salim-'2023'!Resal)*(1-EXP(('2023'!Tnet-t)/('2023'!Tau_j))),Resal+(Salim-Resal)*(1-EXP((Tnet-t)/(Tau_j))))*Salcycl</f>
        <v>3.0257071458584306E-2</v>
      </c>
      <c r="P299" s="169">
        <f>(INDEX(Models!$BJ299:$BT299,,T299)*(1-R299)+INDEX(Models!$BJ299:$BT299,,T299+1)*R299-ERP_i)*Q299*Ramure*Pc/MaxiM</f>
        <v>3.7186085795722001E-3</v>
      </c>
      <c r="Q299" s="305">
        <f t="shared" si="105"/>
        <v>0.7</v>
      </c>
      <c r="R299" s="177">
        <f t="shared" si="106"/>
        <v>0.49715544705214154</v>
      </c>
      <c r="S299" s="919">
        <f t="shared" si="107"/>
        <v>1</v>
      </c>
      <c r="T299" s="176">
        <f t="shared" si="108"/>
        <v>7</v>
      </c>
      <c r="U299" s="251">
        <f t="shared" si="109"/>
        <v>1.4971554470521415</v>
      </c>
      <c r="V299" s="383">
        <f t="shared" si="110"/>
        <v>39.530962457166751</v>
      </c>
      <c r="W299" s="402">
        <f t="shared" si="111"/>
        <v>31.028315795470348</v>
      </c>
      <c r="X299" s="157">
        <f t="shared" si="112"/>
        <v>45576</v>
      </c>
      <c r="Y299" s="385">
        <f t="shared" si="113"/>
        <v>29.840185637907894</v>
      </c>
      <c r="Z299" s="385">
        <f t="shared" si="114"/>
        <v>31.404627149818317</v>
      </c>
      <c r="AA299" s="386">
        <f t="shared" si="115"/>
        <v>33.673922075815113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6.7390276692082252E-2</v>
      </c>
      <c r="AD299" s="231">
        <f>(INDEX(Models!$BJ299:$BT299,,AH299)*(1-AF299)+INDEX(Models!$BJ299:$BT299,,AH299+1)*AF299-ERP_i)*AE299*Ramure*Pc/MaxiM</f>
        <v>3.7186085795722001E-3</v>
      </c>
      <c r="AE299" s="305">
        <f t="shared" si="117"/>
        <v>0.7</v>
      </c>
      <c r="AF299" s="177">
        <f t="shared" si="118"/>
        <v>0.49715544705214154</v>
      </c>
      <c r="AG299" s="919">
        <f t="shared" si="124"/>
        <v>1</v>
      </c>
      <c r="AH299" s="176">
        <f t="shared" si="119"/>
        <v>7</v>
      </c>
      <c r="AI299" s="225">
        <f t="shared" si="120"/>
        <v>1.4971554470521415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1090">
        <f>IF(t&gt;Tmaj,'2023'!Wh/'2023'!Env_an*'2024'!Env_an,0.001*'[12]mon-tableau (1)'!$B$50)</f>
        <v>22.453980390973371</v>
      </c>
      <c r="C300" s="953"/>
      <c r="D300" s="393">
        <f t="shared" si="102"/>
        <v>23.631700415414752</v>
      </c>
      <c r="E300" s="385">
        <f t="shared" si="125"/>
        <v>24.371706360701186</v>
      </c>
      <c r="F300" s="385">
        <f t="shared" si="103"/>
        <v>24.406981838196973</v>
      </c>
      <c r="G300" s="110">
        <f t="shared" si="126"/>
        <v>0.57032198070640383</v>
      </c>
      <c r="H300" s="412" t="b">
        <f>Wh_hp&gt;='2023'!Maxi_hp</f>
        <v>0</v>
      </c>
      <c r="I300" s="390">
        <f>IF(H300,Wh_hp,'2023'!Maxi_hp)</f>
        <v>41.038729599738197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4.9836448657463728E-2</v>
      </c>
      <c r="M300" s="957"/>
      <c r="N300" s="957"/>
      <c r="O300" s="48">
        <f>IF(t&lt;Tnet,'2023'!Resal+('2023'!Salim-'2023'!Resal)*(1-EXP(('2023'!Tnet-t)/('2023'!Tau_j))),Resal+(Salim-Resal)*(1-EXP((Tnet-t)/(Tau_j))))*Salcycl</f>
        <v>3.0363321071341778E-2</v>
      </c>
      <c r="P300" s="169">
        <f>(INDEX(Models!$BJ300:$BT300,,T300)*(1-R300)+INDEX(Models!$BJ300:$BT300,,T300+1)*R300-ERP_i)*Q300*Ramure*Pc/MaxiM</f>
        <v>3.724639557583914E-3</v>
      </c>
      <c r="Q300" s="305">
        <f t="shared" si="105"/>
        <v>0.7</v>
      </c>
      <c r="R300" s="177">
        <f t="shared" si="106"/>
        <v>0.4972774333817358</v>
      </c>
      <c r="S300" s="919">
        <f t="shared" si="107"/>
        <v>1</v>
      </c>
      <c r="T300" s="176">
        <f t="shared" si="108"/>
        <v>7</v>
      </c>
      <c r="U300" s="251">
        <f t="shared" si="109"/>
        <v>1.4972774333817358</v>
      </c>
      <c r="V300" s="383">
        <f t="shared" si="110"/>
        <v>39.280839396864529</v>
      </c>
      <c r="W300" s="402">
        <f t="shared" si="111"/>
        <v>22.453980390973371</v>
      </c>
      <c r="X300" s="157">
        <f t="shared" si="112"/>
        <v>45577</v>
      </c>
      <c r="Y300" s="385">
        <f t="shared" si="113"/>
        <v>21.595459565113924</v>
      </c>
      <c r="Z300" s="385">
        <f t="shared" si="114"/>
        <v>22.728149837573287</v>
      </c>
      <c r="AA300" s="386">
        <f t="shared" si="115"/>
        <v>24.371706360701186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6.7437072267459111E-2</v>
      </c>
      <c r="AD300" s="231">
        <f>(INDEX(Models!$BJ300:$BT300,,AH300)*(1-AF300)+INDEX(Models!$BJ300:$BT300,,AH300+1)*AF300-ERP_i)*AE300*Ramure*Pc/MaxiM</f>
        <v>3.724639557583914E-3</v>
      </c>
      <c r="AE300" s="305">
        <f t="shared" si="117"/>
        <v>0.7</v>
      </c>
      <c r="AF300" s="177">
        <f t="shared" si="118"/>
        <v>0.4972774333817358</v>
      </c>
      <c r="AG300" s="919">
        <f t="shared" si="124"/>
        <v>1</v>
      </c>
      <c r="AH300" s="176">
        <f t="shared" si="119"/>
        <v>7</v>
      </c>
      <c r="AI300" s="225">
        <f t="shared" si="120"/>
        <v>1.4972774333817358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1090">
        <f>IF(t&gt;Tmaj,'2023'!Wh/'2023'!Env_an*'2024'!Env_an,0.001*'[12]mon-tableau (1)'!$B$51)</f>
        <v>16.772218498042161</v>
      </c>
      <c r="C301" s="953"/>
      <c r="D301" s="393">
        <f t="shared" si="102"/>
        <v>17.652314527345681</v>
      </c>
      <c r="E301" s="385">
        <f t="shared" si="125"/>
        <v>18.207063663096079</v>
      </c>
      <c r="F301" s="385">
        <f t="shared" si="103"/>
        <v>18.219645631264584</v>
      </c>
      <c r="G301" s="110">
        <f t="shared" si="126"/>
        <v>0.42842915100713436</v>
      </c>
      <c r="H301" s="412" t="b">
        <f>Wh_hp&gt;='2023'!Maxi_hp</f>
        <v>0</v>
      </c>
      <c r="I301" s="390">
        <f>IF(H301,Wh_hp,'2023'!Maxi_hp)</f>
        <v>44.446308487241133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4.9857259677768551E-2</v>
      </c>
      <c r="M301" s="957"/>
      <c r="N301" s="957"/>
      <c r="O301" s="48">
        <f>IF(t&lt;Tnet,'2023'!Resal+('2023'!Salim-'2023'!Resal)*(1-EXP(('2023'!Tnet-t)/('2023'!Tau_j))),Resal+(Salim-Resal)*(1-EXP((Tnet-t)/(Tau_j))))*Salcycl</f>
        <v>3.0468896358879675E-2</v>
      </c>
      <c r="P301" s="169">
        <f>(INDEX(Models!$BJ301:$BT301,,T301)*(1-R301)+INDEX(Models!$BJ301:$BT301,,T301+1)*R301-ERP_i)*Q301*Ramure*Pc/MaxiM</f>
        <v>3.7260714230215276E-3</v>
      </c>
      <c r="Q301" s="305">
        <f t="shared" si="105"/>
        <v>0.7</v>
      </c>
      <c r="R301" s="177">
        <f t="shared" si="106"/>
        <v>0.49739456442251662</v>
      </c>
      <c r="S301" s="919">
        <f t="shared" si="107"/>
        <v>1</v>
      </c>
      <c r="T301" s="176">
        <f t="shared" si="108"/>
        <v>7</v>
      </c>
      <c r="U301" s="251">
        <f t="shared" si="109"/>
        <v>1.4973945644225166</v>
      </c>
      <c r="V301" s="383">
        <f t="shared" si="110"/>
        <v>39.029256548482273</v>
      </c>
      <c r="W301" s="402">
        <f t="shared" si="111"/>
        <v>16.772218498042161</v>
      </c>
      <c r="X301" s="157">
        <f t="shared" si="112"/>
        <v>45578</v>
      </c>
      <c r="Y301" s="385">
        <f t="shared" si="113"/>
        <v>16.131903931380652</v>
      </c>
      <c r="Z301" s="385">
        <f t="shared" si="114"/>
        <v>16.978400451609701</v>
      </c>
      <c r="AA301" s="386">
        <f t="shared" si="115"/>
        <v>18.207063663096079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6.7482776697088007E-2</v>
      </c>
      <c r="AD301" s="231">
        <f>(INDEX(Models!$BJ301:$BT301,,AH301)*(1-AF301)+INDEX(Models!$BJ301:$BT301,,AH301+1)*AF301-ERP_i)*AE301*Ramure*Pc/MaxiM</f>
        <v>3.7260714230215276E-3</v>
      </c>
      <c r="AE301" s="305">
        <f t="shared" si="117"/>
        <v>0.7</v>
      </c>
      <c r="AF301" s="177">
        <f t="shared" si="118"/>
        <v>0.49739456442251662</v>
      </c>
      <c r="AG301" s="919">
        <f t="shared" si="124"/>
        <v>1</v>
      </c>
      <c r="AH301" s="176">
        <f t="shared" si="119"/>
        <v>7</v>
      </c>
      <c r="AI301" s="225">
        <f t="shared" si="120"/>
        <v>1.4973945644225166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1090">
        <f>IF(t&gt;Tmaj,'2023'!Wh/'2023'!Env_an*'2024'!Env_an,0.001*'[12]mon-tableau (1)'!$B$52)</f>
        <v>37.45329391785296</v>
      </c>
      <c r="C302" s="953"/>
      <c r="D302" s="393">
        <f t="shared" si="102"/>
        <v>39.419460539556923</v>
      </c>
      <c r="E302" s="385">
        <f t="shared" si="125"/>
        <v>40.662673015093766</v>
      </c>
      <c r="F302" s="385">
        <f t="shared" si="103"/>
        <v>40.807187176832485</v>
      </c>
      <c r="G302" s="110">
        <f t="shared" si="126"/>
        <v>0.96570201452327986</v>
      </c>
      <c r="H302" s="412" t="b">
        <f>Wh_hp&gt;='2023'!Maxi_hp</f>
        <v>0</v>
      </c>
      <c r="I302" s="390">
        <f>IF(H302,Wh_hp,'2023'!Maxi_hp)</f>
        <v>40.810683160447986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4.9878070242258654E-2</v>
      </c>
      <c r="M302" s="957"/>
      <c r="N302" s="957"/>
      <c r="O302" s="48">
        <f>IF(t&lt;Tnet,'2023'!Resal+('2023'!Salim-'2023'!Resal)*(1-EXP(('2023'!Tnet-t)/('2023'!Tau_j))),Resal+(Salim-Resal)*(1-EXP((Tnet-t)/(Tau_j))))*Salcycl</f>
        <v>3.0573801065054723E-2</v>
      </c>
      <c r="P302" s="169">
        <f>(INDEX(Models!$BJ302:$BT302,,T302)*(1-R302)+INDEX(Models!$BJ302:$BT302,,T302+1)*R302-ERP_i)*Q302*Ramure*Pc/MaxiM</f>
        <v>3.7228640253134898E-3</v>
      </c>
      <c r="Q302" s="305">
        <f t="shared" si="105"/>
        <v>0.7</v>
      </c>
      <c r="R302" s="177">
        <f t="shared" si="106"/>
        <v>0.49750703126188256</v>
      </c>
      <c r="S302" s="919">
        <f t="shared" si="107"/>
        <v>1</v>
      </c>
      <c r="T302" s="176">
        <f t="shared" si="108"/>
        <v>7</v>
      </c>
      <c r="U302" s="251">
        <f t="shared" si="109"/>
        <v>1.4975070312618826</v>
      </c>
      <c r="V302" s="383">
        <f t="shared" si="110"/>
        <v>38.776426264404442</v>
      </c>
      <c r="W302" s="402">
        <f t="shared" si="111"/>
        <v>37.45329391785296</v>
      </c>
      <c r="X302" s="157">
        <f t="shared" si="112"/>
        <v>45579</v>
      </c>
      <c r="Y302" s="385">
        <f t="shared" si="113"/>
        <v>36.025609992115598</v>
      </c>
      <c r="Z302" s="385">
        <f t="shared" si="114"/>
        <v>37.916828213091847</v>
      </c>
      <c r="AA302" s="386">
        <f t="shared" si="115"/>
        <v>40.662673015093766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6.7527405317960185E-2</v>
      </c>
      <c r="AD302" s="231">
        <f>(INDEX(Models!$BJ302:$BT302,,AH302)*(1-AF302)+INDEX(Models!$BJ302:$BT302,,AH302+1)*AF302-ERP_i)*AE302*Ramure*Pc/MaxiM</f>
        <v>3.7228640253134898E-3</v>
      </c>
      <c r="AE302" s="305">
        <f t="shared" si="117"/>
        <v>0.7</v>
      </c>
      <c r="AF302" s="177">
        <f t="shared" si="118"/>
        <v>0.49750703126188256</v>
      </c>
      <c r="AG302" s="919">
        <f t="shared" si="124"/>
        <v>1</v>
      </c>
      <c r="AH302" s="176">
        <f t="shared" si="119"/>
        <v>7</v>
      </c>
      <c r="AI302" s="225">
        <f t="shared" si="120"/>
        <v>1.4975070312618826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1090">
        <f>IF(t&gt;Tmaj,'2023'!Wh/'2023'!Env_an*'2024'!Env_an,0.001*'[12]mon-tableau (1)'!$B$53)</f>
        <v>33.813145268934839</v>
      </c>
      <c r="C303" s="953"/>
      <c r="D303" s="393">
        <f t="shared" si="102"/>
        <v>35.588996339068188</v>
      </c>
      <c r="E303" s="385">
        <f t="shared" si="125"/>
        <v>36.715351380870963</v>
      </c>
      <c r="F303" s="385">
        <f t="shared" si="103"/>
        <v>36.82827592935989</v>
      </c>
      <c r="G303" s="110">
        <f t="shared" si="126"/>
        <v>0.87718530650681759</v>
      </c>
      <c r="H303" s="412" t="b">
        <f>Wh_hp&gt;='2023'!Maxi_hp</f>
        <v>0</v>
      </c>
      <c r="I303" s="390">
        <f>IF(H303,Wh_hp,'2023'!Maxi_hp)</f>
        <v>39.359495276629886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4.989888035094403E-2</v>
      </c>
      <c r="M303" s="957"/>
      <c r="N303" s="957"/>
      <c r="O303" s="48">
        <f>IF(t&lt;Tnet,'2023'!Resal+('2023'!Salim-'2023'!Resal)*(1-EXP(('2023'!Tnet-t)/('2023'!Tau_j))),Resal+(Salim-Resal)*(1-EXP((Tnet-t)/(Tau_j))))*Salcycl</f>
        <v>3.0678040640777209E-2</v>
      </c>
      <c r="P303" s="169">
        <f>(INDEX(Models!$BJ303:$BT303,,T303)*(1-R303)+INDEX(Models!$BJ303:$BT303,,T303+1)*R303-ERP_i)*Q303*Ramure*Pc/MaxiM</f>
        <v>3.7150114962893502E-3</v>
      </c>
      <c r="Q303" s="305">
        <f t="shared" si="105"/>
        <v>0.7</v>
      </c>
      <c r="R303" s="177">
        <f t="shared" si="106"/>
        <v>0.4976150176365155</v>
      </c>
      <c r="S303" s="919">
        <f t="shared" si="107"/>
        <v>1</v>
      </c>
      <c r="T303" s="176">
        <f t="shared" si="108"/>
        <v>7</v>
      </c>
      <c r="U303" s="251">
        <f t="shared" si="109"/>
        <v>1.4976150176365155</v>
      </c>
      <c r="V303" s="383">
        <f t="shared" si="110"/>
        <v>38.522237822438136</v>
      </c>
      <c r="W303" s="402">
        <f t="shared" si="111"/>
        <v>33.813145268934839</v>
      </c>
      <c r="X303" s="157">
        <f t="shared" si="112"/>
        <v>45580</v>
      </c>
      <c r="Y303" s="385">
        <f t="shared" si="113"/>
        <v>32.526198032527127</v>
      </c>
      <c r="Z303" s="385">
        <f t="shared" si="114"/>
        <v>34.234459216868942</v>
      </c>
      <c r="AA303" s="386">
        <f t="shared" si="115"/>
        <v>36.715351380870963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6.7570977008123881E-2</v>
      </c>
      <c r="AD303" s="231">
        <f>(INDEX(Models!$BJ303:$BT303,,AH303)*(1-AF303)+INDEX(Models!$BJ303:$BT303,,AH303+1)*AF303-ERP_i)*AE303*Ramure*Pc/MaxiM</f>
        <v>3.7150114962893502E-3</v>
      </c>
      <c r="AE303" s="305">
        <f t="shared" si="117"/>
        <v>0.7</v>
      </c>
      <c r="AF303" s="177">
        <f t="shared" si="118"/>
        <v>0.4976150176365155</v>
      </c>
      <c r="AG303" s="919">
        <f t="shared" si="124"/>
        <v>1</v>
      </c>
      <c r="AH303" s="176">
        <f t="shared" si="119"/>
        <v>7</v>
      </c>
      <c r="AI303" s="225">
        <f t="shared" si="120"/>
        <v>1.4976150176365155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1090">
        <f>IF(t&gt;Tmaj,'2023'!Wh/'2023'!Env_an*'2024'!Env_an,0.001*'[12]mon-tableau (1)'!$B$54)</f>
        <v>22.771104328621927</v>
      </c>
      <c r="C304" s="953"/>
      <c r="D304" s="393">
        <f t="shared" si="102"/>
        <v>23.967557362296912</v>
      </c>
      <c r="E304" s="385">
        <f t="shared" si="125"/>
        <v>24.72874835382121</v>
      </c>
      <c r="F304" s="385">
        <f t="shared" si="103"/>
        <v>24.767412938012523</v>
      </c>
      <c r="G304" s="110">
        <f t="shared" si="126"/>
        <v>0.59379201565049167</v>
      </c>
      <c r="H304" s="412" t="b">
        <f>Wh_hp&gt;='2023'!Maxi_hp</f>
        <v>0</v>
      </c>
      <c r="I304" s="390">
        <f>IF(H304,Wh_hp,'2023'!Maxi_hp)</f>
        <v>39.909622414686694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4.991969000383456E-2</v>
      </c>
      <c r="M304" s="957"/>
      <c r="N304" s="957"/>
      <c r="O304" s="48">
        <f>IF(t&lt;Tnet,'2023'!Resal+('2023'!Salim-'2023'!Resal)*(1-EXP(('2023'!Tnet-t)/('2023'!Tau_j))),Resal+(Salim-Resal)*(1-EXP((Tnet-t)/(Tau_j))))*Salcycl</f>
        <v>3.0781622289697309E-2</v>
      </c>
      <c r="P304" s="169">
        <f>(INDEX(Models!$BJ304:$BT304,,T304)*(1-R304)+INDEX(Models!$BJ304:$BT304,,T304+1)*R304-ERP_i)*Q304*Ramure*Pc/MaxiM</f>
        <v>3.7034575212894455E-3</v>
      </c>
      <c r="Q304" s="305">
        <f t="shared" si="105"/>
        <v>0.7</v>
      </c>
      <c r="R304" s="177">
        <f t="shared" si="106"/>
        <v>0.49771870020176046</v>
      </c>
      <c r="S304" s="919">
        <f t="shared" si="107"/>
        <v>1</v>
      </c>
      <c r="T304" s="176">
        <f t="shared" si="108"/>
        <v>7</v>
      </c>
      <c r="U304" s="251">
        <f t="shared" si="109"/>
        <v>1.4977187002017605</v>
      </c>
      <c r="V304" s="383">
        <f t="shared" si="110"/>
        <v>38.266335297809128</v>
      </c>
      <c r="W304" s="402">
        <f t="shared" si="111"/>
        <v>22.771104328621927</v>
      </c>
      <c r="X304" s="157">
        <f t="shared" si="112"/>
        <v>45581</v>
      </c>
      <c r="Y304" s="385">
        <f t="shared" si="113"/>
        <v>21.905764923675061</v>
      </c>
      <c r="Z304" s="385">
        <f t="shared" si="114"/>
        <v>23.056750774851309</v>
      </c>
      <c r="AA304" s="386">
        <f t="shared" si="115"/>
        <v>24.72874835382121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6.7613514240462344E-2</v>
      </c>
      <c r="AD304" s="231">
        <f>(INDEX(Models!$BJ304:$BT304,,AH304)*(1-AF304)+INDEX(Models!$BJ304:$BT304,,AH304+1)*AF304-ERP_i)*AE304*Ramure*Pc/MaxiM</f>
        <v>3.7034575212894455E-3</v>
      </c>
      <c r="AE304" s="305">
        <f t="shared" si="117"/>
        <v>0.7</v>
      </c>
      <c r="AF304" s="177">
        <f t="shared" si="118"/>
        <v>0.49771870020176046</v>
      </c>
      <c r="AG304" s="919">
        <f t="shared" si="124"/>
        <v>1</v>
      </c>
      <c r="AH304" s="176">
        <f t="shared" si="119"/>
        <v>7</v>
      </c>
      <c r="AI304" s="225">
        <f t="shared" si="120"/>
        <v>1.4977187002017605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1090">
        <f>IF(t&gt;Tmaj,'2023'!Wh/'2023'!Env_an*'2024'!Env_an,0.001*'[12]mon-tableau (1)'!$B$55)</f>
        <v>34.847356906015889</v>
      </c>
      <c r="C305" s="953"/>
      <c r="D305" s="393">
        <f t="shared" si="102"/>
        <v>36.679131019380442</v>
      </c>
      <c r="E305" s="385">
        <f t="shared" si="125"/>
        <v>37.848051239710351</v>
      </c>
      <c r="F305" s="385">
        <f t="shared" si="103"/>
        <v>37.971562091702417</v>
      </c>
      <c r="G305" s="110">
        <f t="shared" si="126"/>
        <v>0.91642724338185932</v>
      </c>
      <c r="H305" s="412" t="b">
        <f>Wh_hp&gt;='2023'!Maxi_hp</f>
        <v>0</v>
      </c>
      <c r="I305" s="390">
        <f>IF(H305,Wh_hp,'2023'!Maxi_hp)</f>
        <v>40.636688636439388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4.9940499200940347E-2</v>
      </c>
      <c r="M305" s="957"/>
      <c r="N305" s="957"/>
      <c r="O305" s="48">
        <f>IF(t&lt;Tnet,'2023'!Resal+('2023'!Salim-'2023'!Resal)*(1-EXP(('2023'!Tnet-t)/('2023'!Tau_j))),Resal+(Salim-Resal)*(1-EXP((Tnet-t)/(Tau_j))))*Salcycl</f>
        <v>3.0884555004604231E-2</v>
      </c>
      <c r="P305" s="169">
        <f>(INDEX(Models!$BJ305:$BT305,,T305)*(1-R305)+INDEX(Models!$BJ305:$BT305,,T305+1)*R305-ERP_i)*Q305*Ramure*Pc/MaxiM</f>
        <v>3.691294920745086E-3</v>
      </c>
      <c r="Q305" s="305">
        <f t="shared" si="105"/>
        <v>0.7</v>
      </c>
      <c r="R305" s="177">
        <f t="shared" si="106"/>
        <v>0.49781824879220071</v>
      </c>
      <c r="S305" s="919">
        <f t="shared" si="107"/>
        <v>1</v>
      </c>
      <c r="T305" s="176">
        <f t="shared" si="108"/>
        <v>7</v>
      </c>
      <c r="U305" s="251">
        <f t="shared" si="109"/>
        <v>1.4978182487922007</v>
      </c>
      <c r="V305" s="383">
        <f t="shared" si="110"/>
        <v>38.00849887406347</v>
      </c>
      <c r="W305" s="402">
        <f t="shared" si="111"/>
        <v>34.847356906015889</v>
      </c>
      <c r="X305" s="157">
        <f t="shared" si="112"/>
        <v>45582</v>
      </c>
      <c r="Y305" s="385">
        <f t="shared" si="113"/>
        <v>33.525167347038042</v>
      </c>
      <c r="Z305" s="385">
        <f t="shared" si="114"/>
        <v>35.287439701241105</v>
      </c>
      <c r="AA305" s="386">
        <f t="shared" si="115"/>
        <v>37.848051239710351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6.7655043115737501E-2</v>
      </c>
      <c r="AD305" s="231">
        <f>(INDEX(Models!$BJ305:$BT305,,AH305)*(1-AF305)+INDEX(Models!$BJ305:$BT305,,AH305+1)*AF305-ERP_i)*AE305*Ramure*Pc/MaxiM</f>
        <v>3.691294920745086E-3</v>
      </c>
      <c r="AE305" s="305">
        <f t="shared" si="117"/>
        <v>0.7</v>
      </c>
      <c r="AF305" s="177">
        <f t="shared" si="118"/>
        <v>0.49781824879220071</v>
      </c>
      <c r="AG305" s="919">
        <f t="shared" si="124"/>
        <v>1</v>
      </c>
      <c r="AH305" s="176">
        <f t="shared" si="119"/>
        <v>7</v>
      </c>
      <c r="AI305" s="225">
        <f t="shared" si="120"/>
        <v>1.4978182487922007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1090">
        <f>IF(t&gt;Tmaj,'2023'!Wh/'2023'!Env_an*'2024'!Env_an,0.001*'[12]mon-tableau (1)'!$B$56)</f>
        <v>14.835222059154058</v>
      </c>
      <c r="C306" s="953"/>
      <c r="D306" s="393">
        <f t="shared" si="102"/>
        <v>15.615387229147295</v>
      </c>
      <c r="E306" s="385">
        <f t="shared" si="125"/>
        <v>16.114732006066163</v>
      </c>
      <c r="F306" s="385">
        <f t="shared" si="103"/>
        <v>16.122611490482658</v>
      </c>
      <c r="G306" s="110">
        <f t="shared" si="126"/>
        <v>0.39174608120012</v>
      </c>
      <c r="H306" s="412" t="b">
        <f>Wh_hp&gt;='2023'!Maxi_hp</f>
        <v>0</v>
      </c>
      <c r="I306" s="390">
        <f>IF(H306,Wh_hp,'2023'!Maxi_hp)</f>
        <v>39.555235344496339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4.9961307942271271E-2</v>
      </c>
      <c r="M306" s="957"/>
      <c r="N306" s="957"/>
      <c r="O306" s="48">
        <f>IF(t&lt;Tnet,'2023'!Resal+('2023'!Salim-'2023'!Resal)*(1-EXP(('2023'!Tnet-t)/('2023'!Tau_j))),Resal+(Salim-Resal)*(1-EXP((Tnet-t)/(Tau_j))))*Salcycl</f>
        <v>3.0986849593955253E-2</v>
      </c>
      <c r="P306" s="169">
        <f>(INDEX(Models!$BJ306:$BT306,,T306)*(1-R306)+INDEX(Models!$BJ306:$BT306,,T306+1)*R306-ERP_i)*Q306*Ramure*Pc/MaxiM</f>
        <v>3.678545428082308E-3</v>
      </c>
      <c r="Q306" s="305">
        <f t="shared" si="105"/>
        <v>0.7</v>
      </c>
      <c r="R306" s="177">
        <f t="shared" si="106"/>
        <v>0.49791382667363093</v>
      </c>
      <c r="S306" s="919">
        <f t="shared" si="107"/>
        <v>1</v>
      </c>
      <c r="T306" s="176">
        <f t="shared" si="108"/>
        <v>7</v>
      </c>
      <c r="U306" s="251">
        <f t="shared" si="109"/>
        <v>1.4979138266736309</v>
      </c>
      <c r="V306" s="383">
        <f t="shared" si="110"/>
        <v>37.748628257328576</v>
      </c>
      <c r="W306" s="402">
        <f t="shared" si="111"/>
        <v>14.835222059154058</v>
      </c>
      <c r="X306" s="157">
        <f t="shared" si="112"/>
        <v>45583</v>
      </c>
      <c r="Y306" s="385">
        <f t="shared" si="113"/>
        <v>14.273225180926248</v>
      </c>
      <c r="Z306" s="385">
        <f t="shared" si="114"/>
        <v>15.023835660852159</v>
      </c>
      <c r="AA306" s="386">
        <f t="shared" si="115"/>
        <v>16.114732006066163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6.7695593374022645E-2</v>
      </c>
      <c r="AD306" s="231">
        <f>(INDEX(Models!$BJ306:$BT306,,AH306)*(1-AF306)+INDEX(Models!$BJ306:$BT306,,AH306+1)*AF306-ERP_i)*AE306*Ramure*Pc/MaxiM</f>
        <v>3.678545428082308E-3</v>
      </c>
      <c r="AE306" s="305">
        <f t="shared" si="117"/>
        <v>0.7</v>
      </c>
      <c r="AF306" s="177">
        <f t="shared" si="118"/>
        <v>0.49791382667363093</v>
      </c>
      <c r="AG306" s="919">
        <f t="shared" si="124"/>
        <v>1</v>
      </c>
      <c r="AH306" s="176">
        <f t="shared" si="119"/>
        <v>7</v>
      </c>
      <c r="AI306" s="225">
        <f t="shared" si="120"/>
        <v>1.4979138266736309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1090">
        <f>IF(t&gt;Tmaj,'2023'!Wh/'2023'!Env_an*'2024'!Env_an,0.001*'[12]mon-tableau (1)'!$B$57)</f>
        <v>8.5085696896326084</v>
      </c>
      <c r="C307" s="953"/>
      <c r="D307" s="393">
        <f t="shared" si="102"/>
        <v>8.9562205459209761</v>
      </c>
      <c r="E307" s="385">
        <f t="shared" si="125"/>
        <v>9.2435900686056449</v>
      </c>
      <c r="F307" s="385">
        <f t="shared" si="103"/>
        <v>9.2435900686056449</v>
      </c>
      <c r="G307" s="110">
        <f t="shared" si="126"/>
        <v>0.22614423777018114</v>
      </c>
      <c r="H307" s="412" t="b">
        <f>Wh_hp&gt;='2023'!Maxi_hp</f>
        <v>0</v>
      </c>
      <c r="I307" s="390">
        <f>IF(H307,Wh_hp,'2023'!Maxi_hp)</f>
        <v>32.753589060137877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4.9982116227837436E-2</v>
      </c>
      <c r="M307" s="957"/>
      <c r="N307" s="957"/>
      <c r="O307" s="48">
        <f>IF(t&lt;Tnet,'2023'!Resal+('2023'!Salim-'2023'!Resal)*(1-EXP(('2023'!Tnet-t)/('2023'!Tau_j))),Resal+(Salim-Resal)*(1-EXP((Tnet-t)/(Tau_j))))*Salcycl</f>
        <v>3.1088518698019003E-2</v>
      </c>
      <c r="P307" s="169">
        <f>(INDEX(Models!$BJ307:$BT307,,T307)*(1-R307)+INDEX(Models!$BJ307:$BT307,,T307+1)*R307-ERP_i)*Q307*Ramure*Pc/MaxiM</f>
        <v>3.6652329154253666E-3</v>
      </c>
      <c r="Q307" s="305">
        <f t="shared" si="105"/>
        <v>0.7</v>
      </c>
      <c r="R307" s="177">
        <f t="shared" si="106"/>
        <v>0.49800559078662432</v>
      </c>
      <c r="S307" s="919">
        <f t="shared" si="107"/>
        <v>1</v>
      </c>
      <c r="T307" s="176">
        <f t="shared" si="108"/>
        <v>7</v>
      </c>
      <c r="U307" s="251">
        <f t="shared" si="109"/>
        <v>1.4980055907866243</v>
      </c>
      <c r="V307" s="383">
        <f t="shared" si="110"/>
        <v>37.486623066461277</v>
      </c>
      <c r="W307" s="402">
        <f t="shared" si="111"/>
        <v>8.5085696896326084</v>
      </c>
      <c r="X307" s="157">
        <f t="shared" si="112"/>
        <v>45584</v>
      </c>
      <c r="Y307" s="385">
        <f t="shared" si="113"/>
        <v>8.1867540913891208</v>
      </c>
      <c r="Z307" s="385">
        <f t="shared" si="114"/>
        <v>8.6174736615300436</v>
      </c>
      <c r="AA307" s="386">
        <f t="shared" si="115"/>
        <v>9.2435900686056449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6.7735198383808176E-2</v>
      </c>
      <c r="AD307" s="231">
        <f>(INDEX(Models!$BJ307:$BT307,,AH307)*(1-AF307)+INDEX(Models!$BJ307:$BT307,,AH307+1)*AF307-ERP_i)*AE307*Ramure*Pc/MaxiM</f>
        <v>3.6652329154253666E-3</v>
      </c>
      <c r="AE307" s="305">
        <f t="shared" si="117"/>
        <v>0.7</v>
      </c>
      <c r="AF307" s="177">
        <f t="shared" si="118"/>
        <v>0.49800559078662432</v>
      </c>
      <c r="AG307" s="919">
        <f t="shared" si="124"/>
        <v>1</v>
      </c>
      <c r="AH307" s="176">
        <f t="shared" si="119"/>
        <v>7</v>
      </c>
      <c r="AI307" s="225">
        <f t="shared" si="120"/>
        <v>1.4980055907866243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1090">
        <f>IF(t&gt;Tmaj,'2023'!Wh/'2023'!Env_an*'2024'!Env_an,0.001*'[12]mon-tableau (1)'!$B$58)</f>
        <v>15.550863304655683</v>
      </c>
      <c r="C308" s="953"/>
      <c r="D308" s="393">
        <f t="shared" si="102"/>
        <v>16.369380178596838</v>
      </c>
      <c r="E308" s="385">
        <f t="shared" si="125"/>
        <v>16.896370834275636</v>
      </c>
      <c r="F308" s="385">
        <f t="shared" si="103"/>
        <v>16.906758089766665</v>
      </c>
      <c r="G308" s="110">
        <f t="shared" si="126"/>
        <v>0.41651299940880038</v>
      </c>
      <c r="H308" s="412" t="b">
        <f>Wh_hp&gt;='2023'!Maxi_hp</f>
        <v>0</v>
      </c>
      <c r="I308" s="390">
        <f>IF(H308,Wh_hp,'2023'!Maxi_hp)</f>
        <v>25.301063614108177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5.0002924057648612E-2</v>
      </c>
      <c r="M308" s="957"/>
      <c r="N308" s="957"/>
      <c r="O308" s="48">
        <f>IF(t&lt;Tnet,'2023'!Resal+('2023'!Salim-'2023'!Resal)*(1-EXP(('2023'!Tnet-t)/('2023'!Tau_j))),Resal+(Salim-Resal)*(1-EXP((Tnet-t)/(Tau_j))))*Salcycl</f>
        <v>3.1189576794192646E-2</v>
      </c>
      <c r="P308" s="169">
        <f>(INDEX(Models!$BJ308:$BT308,,T308)*(1-R308)+INDEX(Models!$BJ308:$BT308,,T308+1)*R308-ERP_i)*Q308*Ramure*Pc/MaxiM</f>
        <v>3.6513833879752091E-3</v>
      </c>
      <c r="Q308" s="305">
        <f t="shared" si="105"/>
        <v>0.7</v>
      </c>
      <c r="R308" s="177">
        <f t="shared" si="106"/>
        <v>0.49809369198190967</v>
      </c>
      <c r="S308" s="919">
        <f t="shared" si="107"/>
        <v>1</v>
      </c>
      <c r="T308" s="176">
        <f t="shared" si="108"/>
        <v>7</v>
      </c>
      <c r="U308" s="251">
        <f t="shared" si="109"/>
        <v>1.4980936919819097</v>
      </c>
      <c r="V308" s="383">
        <f t="shared" si="110"/>
        <v>37.222382838157067</v>
      </c>
      <c r="W308" s="402">
        <f t="shared" si="111"/>
        <v>15.550863304655683</v>
      </c>
      <c r="X308" s="157">
        <f t="shared" si="112"/>
        <v>45585</v>
      </c>
      <c r="Y308" s="385">
        <f t="shared" si="113"/>
        <v>14.963630013633514</v>
      </c>
      <c r="Z308" s="385">
        <f t="shared" si="114"/>
        <v>15.751237969643553</v>
      </c>
      <c r="AA308" s="386">
        <f t="shared" si="115"/>
        <v>16.896370834275636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6.7773895108237711E-2</v>
      </c>
      <c r="AD308" s="231">
        <f>(INDEX(Models!$BJ308:$BT308,,AH308)*(1-AF308)+INDEX(Models!$BJ308:$BT308,,AH308+1)*AF308-ERP_i)*AE308*Ramure*Pc/MaxiM</f>
        <v>3.6513833879752091E-3</v>
      </c>
      <c r="AE308" s="305">
        <f t="shared" si="117"/>
        <v>0.7</v>
      </c>
      <c r="AF308" s="177">
        <f t="shared" si="118"/>
        <v>0.49809369198190967</v>
      </c>
      <c r="AG308" s="919">
        <f t="shared" si="124"/>
        <v>1</v>
      </c>
      <c r="AH308" s="176">
        <f t="shared" si="119"/>
        <v>7</v>
      </c>
      <c r="AI308" s="225">
        <f t="shared" si="120"/>
        <v>1.4980936919819097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1090">
        <f>IF(t&gt;Tmaj,'2023'!Wh/'2023'!Env_an*'2024'!Env_an,0.001*'[12]mon-tableau (1)'!$B$59)</f>
        <v>33.545187792953534</v>
      </c>
      <c r="C309" s="953"/>
      <c r="D309" s="393">
        <f t="shared" si="102"/>
        <v>35.311606092549752</v>
      </c>
      <c r="E309" s="385">
        <f t="shared" si="125"/>
        <v>36.452196795330735</v>
      </c>
      <c r="F309" s="385">
        <f t="shared" si="103"/>
        <v>36.567659682831142</v>
      </c>
      <c r="G309" s="110">
        <f t="shared" si="126"/>
        <v>0.9072742348525572</v>
      </c>
      <c r="H309" s="412" t="b">
        <f>Wh_hp&gt;='2023'!Maxi_hp</f>
        <v>0</v>
      </c>
      <c r="I309" s="390">
        <f>IF(H309,Wh_hp,'2023'!Maxi_hp)</f>
        <v>36.5759320707512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5.0023731431715013E-2</v>
      </c>
      <c r="M309" s="957"/>
      <c r="N309" s="957"/>
      <c r="O309" s="48">
        <f>IF(t&lt;Tnet,'2023'!Resal+('2023'!Salim-'2023'!Resal)*(1-EXP(('2023'!Tnet-t)/('2023'!Tau_j))),Resal+(Salim-Resal)*(1-EXP((Tnet-t)/(Tau_j))))*Salcycl</f>
        <v>3.1290040191132899E-2</v>
      </c>
      <c r="P309" s="169">
        <f>(INDEX(Models!$BJ309:$BT309,,T309)*(1-R309)+INDEX(Models!$BJ309:$BT309,,T309+1)*R309-ERP_i)*Q309*Ramure*Pc/MaxiM</f>
        <v>3.637024966454076E-3</v>
      </c>
      <c r="Q309" s="305">
        <f t="shared" si="105"/>
        <v>0.7</v>
      </c>
      <c r="R309" s="177">
        <f t="shared" si="106"/>
        <v>0.49817827524775549</v>
      </c>
      <c r="S309" s="919">
        <f t="shared" si="107"/>
        <v>1</v>
      </c>
      <c r="T309" s="176">
        <f t="shared" si="108"/>
        <v>7</v>
      </c>
      <c r="U309" s="251">
        <f t="shared" si="109"/>
        <v>1.4981782752477555</v>
      </c>
      <c r="V309" s="383">
        <f t="shared" si="110"/>
        <v>36.955807031698178</v>
      </c>
      <c r="W309" s="402">
        <f t="shared" si="111"/>
        <v>33.545187792953534</v>
      </c>
      <c r="X309" s="157">
        <f t="shared" si="112"/>
        <v>45586</v>
      </c>
      <c r="Y309" s="385">
        <f t="shared" si="113"/>
        <v>32.280488559615492</v>
      </c>
      <c r="Z309" s="385">
        <f t="shared" si="114"/>
        <v>33.980310485298347</v>
      </c>
      <c r="AA309" s="386">
        <f t="shared" si="115"/>
        <v>36.452196795330735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6.7811724048110672E-2</v>
      </c>
      <c r="AD309" s="231">
        <f>(INDEX(Models!$BJ309:$BT309,,AH309)*(1-AF309)+INDEX(Models!$BJ309:$BT309,,AH309+1)*AF309-ERP_i)*AE309*Ramure*Pc/MaxiM</f>
        <v>3.637024966454076E-3</v>
      </c>
      <c r="AE309" s="305">
        <f t="shared" si="117"/>
        <v>0.7</v>
      </c>
      <c r="AF309" s="177">
        <f t="shared" si="118"/>
        <v>0.49817827524775549</v>
      </c>
      <c r="AG309" s="919">
        <f t="shared" si="124"/>
        <v>1</v>
      </c>
      <c r="AH309" s="176">
        <f t="shared" si="119"/>
        <v>7</v>
      </c>
      <c r="AI309" s="225">
        <f t="shared" si="120"/>
        <v>1.4981782752477555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1090">
        <f>IF(t&gt;Tmaj,'2023'!Wh/'2023'!Env_an*'2024'!Env_an,0.001*'[12]mon-tableau (1)'!$B$60)</f>
        <v>19.106001361809998</v>
      </c>
      <c r="C310" s="953"/>
      <c r="D310" s="393">
        <f t="shared" si="102"/>
        <v>20.112523305698215</v>
      </c>
      <c r="E310" s="385">
        <f t="shared" si="125"/>
        <v>20.764313593851565</v>
      </c>
      <c r="F310" s="385">
        <f t="shared" si="103"/>
        <v>20.788112796871776</v>
      </c>
      <c r="G310" s="110">
        <f t="shared" si="126"/>
        <v>0.51949523008679377</v>
      </c>
      <c r="H310" s="412" t="b">
        <f>Wh_hp&gt;='2023'!Maxi_hp</f>
        <v>0</v>
      </c>
      <c r="I310" s="390">
        <f>IF(H310,Wh_hp,'2023'!Maxi_hp)</f>
        <v>40.417600881584974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5.0044538350046408E-2</v>
      </c>
      <c r="M310" s="957"/>
      <c r="N310" s="957"/>
      <c r="O310" s="48">
        <f>IF(t&lt;Tnet,'2023'!Resal+('2023'!Salim-'2023'!Resal)*(1-EXP(('2023'!Tnet-t)/('2023'!Tau_j))),Resal+(Salim-Resal)*(1-EXP((Tnet-t)/(Tau_j))))*Salcycl</f>
        <v>3.1389927011425484E-2</v>
      </c>
      <c r="P310" s="169">
        <f>(INDEX(Models!$BJ310:$BT310,,T310)*(1-R310)+INDEX(Models!$BJ310:$BT310,,T310+1)*R310-ERP_i)*Q310*Ramure*Pc/MaxiM</f>
        <v>3.6296476348162388E-3</v>
      </c>
      <c r="Q310" s="305">
        <f t="shared" si="105"/>
        <v>0.7</v>
      </c>
      <c r="R310" s="177">
        <f t="shared" si="106"/>
        <v>0.49825947992957742</v>
      </c>
      <c r="S310" s="919">
        <f t="shared" si="107"/>
        <v>1</v>
      </c>
      <c r="T310" s="176">
        <f t="shared" si="108"/>
        <v>7</v>
      </c>
      <c r="U310" s="251">
        <f t="shared" si="109"/>
        <v>1.4982594799295774</v>
      </c>
      <c r="V310" s="383">
        <f t="shared" si="110"/>
        <v>36.686520366635285</v>
      </c>
      <c r="W310" s="402">
        <f t="shared" si="111"/>
        <v>19.106001361809998</v>
      </c>
      <c r="X310" s="157">
        <f t="shared" si="112"/>
        <v>45587</v>
      </c>
      <c r="Y310" s="385">
        <f t="shared" si="113"/>
        <v>18.386845178166833</v>
      </c>
      <c r="Z310" s="385">
        <f t="shared" si="114"/>
        <v>19.355481304598417</v>
      </c>
      <c r="AA310" s="386">
        <f t="shared" si="115"/>
        <v>20.764313593851565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6.7848729161473956E-2</v>
      </c>
      <c r="AD310" s="231">
        <f>(INDEX(Models!$BJ310:$BT310,,AH310)*(1-AF310)+INDEX(Models!$BJ310:$BT310,,AH310+1)*AF310-ERP_i)*AE310*Ramure*Pc/MaxiM</f>
        <v>3.6296476348162388E-3</v>
      </c>
      <c r="AE310" s="305">
        <f t="shared" si="117"/>
        <v>0.7</v>
      </c>
      <c r="AF310" s="177">
        <f t="shared" si="118"/>
        <v>0.49825947992957742</v>
      </c>
      <c r="AG310" s="919">
        <f t="shared" si="124"/>
        <v>1</v>
      </c>
      <c r="AH310" s="176">
        <f t="shared" si="119"/>
        <v>7</v>
      </c>
      <c r="AI310" s="225">
        <f t="shared" si="120"/>
        <v>1.4982594799295774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1090">
        <f>IF(t&gt;Tmaj,'2023'!Wh/'2023'!Env_an*'2024'!Env_an,0.001*'[12]mon-tableau (1)'!$B$61)</f>
        <v>25.48689117336745</v>
      </c>
      <c r="C311" s="953"/>
      <c r="D311" s="393">
        <f t="shared" si="102"/>
        <v>26.830151983812932</v>
      </c>
      <c r="E311" s="385">
        <f t="shared" si="125"/>
        <v>27.702482581876296</v>
      </c>
      <c r="F311" s="385">
        <f t="shared" si="103"/>
        <v>27.760062421843291</v>
      </c>
      <c r="G311" s="110">
        <f t="shared" si="126"/>
        <v>0.69882120004744386</v>
      </c>
      <c r="H311" s="412" t="b">
        <f>Wh_hp&gt;='2023'!Maxi_hp</f>
        <v>0</v>
      </c>
      <c r="I311" s="390">
        <f>IF(H311,Wh_hp,'2023'!Maxi_hp)</f>
        <v>41.588960428568228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5.0065344812653012E-2</v>
      </c>
      <c r="M311" s="957"/>
      <c r="N311" s="957"/>
      <c r="O311" s="48">
        <f>IF(t&lt;Tnet,'2023'!Resal+('2023'!Salim-'2023'!Resal)*(1-EXP(('2023'!Tnet-t)/('2023'!Tau_j))),Resal+(Salim-Resal)*(1-EXP((Tnet-t)/(Tau_j))))*Salcycl</f>
        <v>3.1489257162607712E-2</v>
      </c>
      <c r="P311" s="169">
        <f>(INDEX(Models!$BJ311:$BT311,,T311)*(1-R311)+INDEX(Models!$BJ311:$BT311,,T311+1)*R311-ERP_i)*Q311*Ramure*Pc/MaxiM</f>
        <v>3.6306360143582407E-3</v>
      </c>
      <c r="Q311" s="305">
        <f t="shared" si="105"/>
        <v>0.7</v>
      </c>
      <c r="R311" s="177">
        <f t="shared" si="106"/>
        <v>0.49833743994197</v>
      </c>
      <c r="S311" s="919">
        <f t="shared" si="107"/>
        <v>1</v>
      </c>
      <c r="T311" s="176">
        <f t="shared" si="108"/>
        <v>7</v>
      </c>
      <c r="U311" s="251">
        <f t="shared" si="109"/>
        <v>1.49833743994197</v>
      </c>
      <c r="V311" s="383">
        <f t="shared" si="110"/>
        <v>36.414378856251105</v>
      </c>
      <c r="W311" s="402">
        <f t="shared" si="111"/>
        <v>25.48689117336745</v>
      </c>
      <c r="X311" s="157">
        <f t="shared" si="112"/>
        <v>45588</v>
      </c>
      <c r="Y311" s="385">
        <f t="shared" si="113"/>
        <v>24.529118358600382</v>
      </c>
      <c r="Z311" s="385">
        <f t="shared" si="114"/>
        <v>25.821900721963583</v>
      </c>
      <c r="AA311" s="386">
        <f t="shared" si="115"/>
        <v>27.702482581876296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6.7884957759816039E-2</v>
      </c>
      <c r="AD311" s="231">
        <f>(INDEX(Models!$BJ311:$BT311,,AH311)*(1-AF311)+INDEX(Models!$BJ311:$BT311,,AH311+1)*AF311-ERP_i)*AE311*Ramure*Pc/MaxiM</f>
        <v>3.6306360143582407E-3</v>
      </c>
      <c r="AE311" s="305">
        <f t="shared" si="117"/>
        <v>0.7</v>
      </c>
      <c r="AF311" s="177">
        <f t="shared" si="118"/>
        <v>0.49833743994197</v>
      </c>
      <c r="AG311" s="919">
        <f t="shared" si="124"/>
        <v>1</v>
      </c>
      <c r="AH311" s="176">
        <f t="shared" si="119"/>
        <v>7</v>
      </c>
      <c r="AI311" s="225">
        <f t="shared" si="120"/>
        <v>1.49833743994197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1090">
        <f>IF(t&gt;Tmaj,'2023'!Wh/'2023'!Env_an*'2024'!Env_an,0.001*'[12]mon-tableau (1)'!$B$62)</f>
        <v>22.507624122689258</v>
      </c>
      <c r="C312" s="953"/>
      <c r="D312" s="393">
        <f t="shared" si="102"/>
        <v>23.694384645626403</v>
      </c>
      <c r="E312" s="385">
        <f t="shared" si="125"/>
        <v>24.467257660145847</v>
      </c>
      <c r="F312" s="385">
        <f t="shared" si="103"/>
        <v>24.508397754832178</v>
      </c>
      <c r="G312" s="110">
        <f t="shared" si="126"/>
        <v>0.62157844573119614</v>
      </c>
      <c r="H312" s="412" t="b">
        <f>Wh_hp&gt;='2023'!Maxi_hp</f>
        <v>0</v>
      </c>
      <c r="I312" s="390">
        <f>IF(H312,Wh_hp,'2023'!Maxi_hp)</f>
        <v>39.380465592356508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5.0086150819544595E-2</v>
      </c>
      <c r="M312" s="957"/>
      <c r="N312" s="957"/>
      <c r="O312" s="48">
        <f>IF(t&lt;Tnet,'2023'!Resal+('2023'!Salim-'2023'!Resal)*(1-EXP(('2023'!Tnet-t)/('2023'!Tau_j))),Resal+(Salim-Resal)*(1-EXP((Tnet-t)/(Tau_j))))*Salcycl</f>
        <v>3.1588052296451626E-2</v>
      </c>
      <c r="P312" s="169">
        <f>(INDEX(Models!$BJ312:$BT312,,T312)*(1-R312)+INDEX(Models!$BJ312:$BT312,,T312+1)*R312-ERP_i)*Q312*Ramure*Pc/MaxiM</f>
        <v>3.6400893122864523E-3</v>
      </c>
      <c r="Q312" s="305">
        <f t="shared" si="105"/>
        <v>0.7</v>
      </c>
      <c r="R312" s="177">
        <f t="shared" si="106"/>
        <v>0.49841228397337822</v>
      </c>
      <c r="S312" s="919">
        <f t="shared" si="107"/>
        <v>1</v>
      </c>
      <c r="T312" s="176">
        <f t="shared" si="108"/>
        <v>7</v>
      </c>
      <c r="U312" s="251">
        <f t="shared" si="109"/>
        <v>1.4984122839733782</v>
      </c>
      <c r="V312" s="383">
        <f t="shared" si="110"/>
        <v>36.139286769630495</v>
      </c>
      <c r="W312" s="402">
        <f t="shared" si="111"/>
        <v>22.507624122689258</v>
      </c>
      <c r="X312" s="157">
        <f t="shared" si="112"/>
        <v>45589</v>
      </c>
      <c r="Y312" s="385">
        <f t="shared" si="113"/>
        <v>21.663194036319545</v>
      </c>
      <c r="Z312" s="385">
        <f t="shared" si="114"/>
        <v>22.805430255606456</v>
      </c>
      <c r="AA312" s="386">
        <f t="shared" si="115"/>
        <v>24.467257660145847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6.7920460381071038E-2</v>
      </c>
      <c r="AD312" s="231">
        <f>(INDEX(Models!$BJ312:$BT312,,AH312)*(1-AF312)+INDEX(Models!$BJ312:$BT312,,AH312+1)*AF312-ERP_i)*AE312*Ramure*Pc/MaxiM</f>
        <v>3.6400893122864523E-3</v>
      </c>
      <c r="AE312" s="305">
        <f t="shared" si="117"/>
        <v>0.7</v>
      </c>
      <c r="AF312" s="177">
        <f t="shared" si="118"/>
        <v>0.49841228397337822</v>
      </c>
      <c r="AG312" s="919">
        <f t="shared" si="124"/>
        <v>1</v>
      </c>
      <c r="AH312" s="176">
        <f t="shared" si="119"/>
        <v>7</v>
      </c>
      <c r="AI312" s="225">
        <f t="shared" si="120"/>
        <v>1.4984122839733782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1090">
        <f>IF(t&gt;Tmaj,'2023'!Wh/'2023'!Env_an*'2024'!Env_an,0.001*'[12]mon-tableau (1)'!$B$63)</f>
        <v>12.580657096837527</v>
      </c>
      <c r="C313" s="953"/>
      <c r="D313" s="393">
        <f t="shared" si="102"/>
        <v>13.244288060864671</v>
      </c>
      <c r="E313" s="385">
        <f t="shared" si="125"/>
        <v>13.677683740228925</v>
      </c>
      <c r="F313" s="385">
        <f t="shared" si="103"/>
        <v>13.681316876095503</v>
      </c>
      <c r="G313" s="110">
        <f t="shared" si="126"/>
        <v>0.34962531058233587</v>
      </c>
      <c r="H313" s="412" t="b">
        <f>Wh_hp&gt;='2023'!Maxi_hp</f>
        <v>0</v>
      </c>
      <c r="I313" s="390">
        <f>IF(H313,Wh_hp,'2023'!Maxi_hp)</f>
        <v>38.95254653773808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5.010695637073137E-2</v>
      </c>
      <c r="M313" s="957"/>
      <c r="N313" s="957"/>
      <c r="O313" s="48">
        <f>IF(t&lt;Tnet,'2023'!Resal+('2023'!Salim-'2023'!Resal)*(1-EXP(('2023'!Tnet-t)/('2023'!Tau_j))),Resal+(Salim-Resal)*(1-EXP((Tnet-t)/(Tau_j))))*Salcycl</f>
        <v>3.168633575651026E-2</v>
      </c>
      <c r="P313" s="169">
        <f>(INDEX(Models!$BJ313:$BT313,,T313)*(1-R313)+INDEX(Models!$BJ313:$BT313,,T313+1)*R313-ERP_i)*Q313*Ramure*Pc/MaxiM</f>
        <v>3.6580799825443196E-3</v>
      </c>
      <c r="Q313" s="305">
        <f t="shared" si="105"/>
        <v>0.7</v>
      </c>
      <c r="R313" s="177">
        <f t="shared" si="106"/>
        <v>0.49848413568360783</v>
      </c>
      <c r="S313" s="919">
        <f t="shared" si="107"/>
        <v>1</v>
      </c>
      <c r="T313" s="176">
        <f t="shared" si="108"/>
        <v>7</v>
      </c>
      <c r="U313" s="251">
        <f t="shared" si="109"/>
        <v>1.4984841356836078</v>
      </c>
      <c r="V313" s="383">
        <f t="shared" si="110"/>
        <v>35.861149582649752</v>
      </c>
      <c r="W313" s="402">
        <f t="shared" si="111"/>
        <v>12.580657096837527</v>
      </c>
      <c r="X313" s="157">
        <f t="shared" si="112"/>
        <v>45590</v>
      </c>
      <c r="Y313" s="385">
        <f t="shared" si="113"/>
        <v>12.109438625492034</v>
      </c>
      <c r="Z313" s="385">
        <f t="shared" si="114"/>
        <v>12.748212766381934</v>
      </c>
      <c r="AA313" s="386">
        <f t="shared" si="115"/>
        <v>13.677683740228925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6.7955290639834229E-2</v>
      </c>
      <c r="AD313" s="231">
        <f>(INDEX(Models!$BJ313:$BT313,,AH313)*(1-AF313)+INDEX(Models!$BJ313:$BT313,,AH313+1)*AF313-ERP_i)*AE313*Ramure*Pc/MaxiM</f>
        <v>3.6580799825443196E-3</v>
      </c>
      <c r="AE313" s="305">
        <f t="shared" si="117"/>
        <v>0.7</v>
      </c>
      <c r="AF313" s="177">
        <f t="shared" si="118"/>
        <v>0.49848413568360783</v>
      </c>
      <c r="AG313" s="919">
        <f t="shared" si="124"/>
        <v>1</v>
      </c>
      <c r="AH313" s="176">
        <f t="shared" si="119"/>
        <v>7</v>
      </c>
      <c r="AI313" s="225">
        <f t="shared" si="120"/>
        <v>1.4984841356836078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1090">
        <f>IF(t&gt;Tmaj,'2023'!Wh/'2023'!Env_an*'2024'!Env_an,0.001*'[12]mon-tableau (1)'!$B$64)</f>
        <v>13.782838793382922</v>
      </c>
      <c r="C314" s="953"/>
      <c r="D314" s="393">
        <f t="shared" si="102"/>
        <v>14.510202777015691</v>
      </c>
      <c r="E314" s="385">
        <f t="shared" si="125"/>
        <v>14.986536850188436</v>
      </c>
      <c r="F314" s="385">
        <f t="shared" si="103"/>
        <v>14.993432933842184</v>
      </c>
      <c r="G314" s="110">
        <f t="shared" si="126"/>
        <v>0.38612763638165448</v>
      </c>
      <c r="H314" s="412" t="b">
        <f>Wh_hp&gt;='2023'!Maxi_hp</f>
        <v>0</v>
      </c>
      <c r="I314" s="390">
        <f>IF(H314,Wh_hp,'2023'!Maxi_hp)</f>
        <v>33.191570367929572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5.0127761466222998E-2</v>
      </c>
      <c r="M314" s="957"/>
      <c r="N314" s="957"/>
      <c r="O314" s="48">
        <f>IF(t&lt;Tnet,'2023'!Resal+('2023'!Salim-'2023'!Resal)*(1-EXP(('2023'!Tnet-t)/('2023'!Tau_j))),Resal+(Salim-Resal)*(1-EXP((Tnet-t)/(Tau_j))))*Salcycl</f>
        <v>3.1784132514027431E-2</v>
      </c>
      <c r="P314" s="169">
        <f>(INDEX(Models!$BJ314:$BT314,,T314)*(1-R314)+INDEX(Models!$BJ314:$BT314,,T314+1)*R314-ERP_i)*Q314*Ramure*Pc/MaxiM</f>
        <v>3.6846847793506926E-3</v>
      </c>
      <c r="Q314" s="305">
        <f t="shared" si="105"/>
        <v>0.7</v>
      </c>
      <c r="R314" s="177">
        <f t="shared" si="106"/>
        <v>0.49855311389438506</v>
      </c>
      <c r="S314" s="919">
        <f t="shared" si="107"/>
        <v>1</v>
      </c>
      <c r="T314" s="176">
        <f t="shared" si="108"/>
        <v>7</v>
      </c>
      <c r="U314" s="251">
        <f t="shared" si="109"/>
        <v>1.4985531138943851</v>
      </c>
      <c r="V314" s="383">
        <f t="shared" si="110"/>
        <v>35.579872853661314</v>
      </c>
      <c r="W314" s="402">
        <f t="shared" si="111"/>
        <v>13.782838793382922</v>
      </c>
      <c r="X314" s="157">
        <f t="shared" si="112"/>
        <v>45591</v>
      </c>
      <c r="Y314" s="385">
        <f t="shared" si="113"/>
        <v>13.267444623601721</v>
      </c>
      <c r="Z314" s="385">
        <f t="shared" si="114"/>
        <v>13.96760962724982</v>
      </c>
      <c r="AA314" s="386">
        <f t="shared" si="115"/>
        <v>14.986536850188436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6.7989505055386035E-2</v>
      </c>
      <c r="AD314" s="231">
        <f>(INDEX(Models!$BJ314:$BT314,,AH314)*(1-AF314)+INDEX(Models!$BJ314:$BT314,,AH314+1)*AF314-ERP_i)*AE314*Ramure*Pc/MaxiM</f>
        <v>3.6846847793506926E-3</v>
      </c>
      <c r="AE314" s="305">
        <f t="shared" si="117"/>
        <v>0.7</v>
      </c>
      <c r="AF314" s="177">
        <f t="shared" si="118"/>
        <v>0.49855311389438506</v>
      </c>
      <c r="AG314" s="919">
        <f t="shared" si="124"/>
        <v>1</v>
      </c>
      <c r="AH314" s="176">
        <f t="shared" si="119"/>
        <v>7</v>
      </c>
      <c r="AI314" s="225">
        <f t="shared" si="120"/>
        <v>1.4985531138943851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1090">
        <f>IF(t&gt;Tmaj,'2023'!Wh/'2023'!Env_an*'2024'!Env_an,0.001*'[12]mon-tableau (1)'!$B$65)</f>
        <v>17.360766255780742</v>
      </c>
      <c r="C315" s="953"/>
      <c r="D315" s="393">
        <f t="shared" si="102"/>
        <v>18.277349105648334</v>
      </c>
      <c r="E315" s="385">
        <f t="shared" si="125"/>
        <v>18.879247243117742</v>
      </c>
      <c r="F315" s="385">
        <f t="shared" si="103"/>
        <v>18.898517184160443</v>
      </c>
      <c r="G315" s="110">
        <f t="shared" si="126"/>
        <v>0.49054146178215857</v>
      </c>
      <c r="H315" s="412" t="b">
        <f>Wh_hp&gt;='2023'!Maxi_hp</f>
        <v>0</v>
      </c>
      <c r="I315" s="390">
        <f>IF(H315,Wh_hp,'2023'!Maxi_hp)</f>
        <v>38.41572407667438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5.0148566106029802E-2</v>
      </c>
      <c r="M315" s="957"/>
      <c r="N315" s="957"/>
      <c r="O315" s="48">
        <f>IF(t&lt;Tnet,'2023'!Resal+('2023'!Salim-'2023'!Resal)*(1-EXP(('2023'!Tnet-t)/('2023'!Tau_j))),Resal+(Salim-Resal)*(1-EXP((Tnet-t)/(Tau_j))))*Salcycl</f>
        <v>3.1881469092409104E-2</v>
      </c>
      <c r="P315" s="169">
        <f>(INDEX(Models!$BJ315:$BT315,,T315)*(1-R315)+INDEX(Models!$BJ315:$BT315,,T315+1)*R315-ERP_i)*Q315*Ramure*Pc/MaxiM</f>
        <v>3.7199858082060393E-3</v>
      </c>
      <c r="Q315" s="305">
        <f t="shared" si="105"/>
        <v>0.7</v>
      </c>
      <c r="R315" s="177">
        <f t="shared" si="106"/>
        <v>0.49861933277316717</v>
      </c>
      <c r="S315" s="919">
        <f t="shared" si="107"/>
        <v>1</v>
      </c>
      <c r="T315" s="176">
        <f t="shared" si="108"/>
        <v>7</v>
      </c>
      <c r="U315" s="251">
        <f t="shared" si="109"/>
        <v>1.4986193327731672</v>
      </c>
      <c r="V315" s="383">
        <f t="shared" si="110"/>
        <v>35.295362203593108</v>
      </c>
      <c r="W315" s="402">
        <f t="shared" si="111"/>
        <v>17.360766255780742</v>
      </c>
      <c r="X315" s="157">
        <f t="shared" si="112"/>
        <v>45592</v>
      </c>
      <c r="Y315" s="385">
        <f t="shared" si="113"/>
        <v>16.712656052818676</v>
      </c>
      <c r="Z315" s="385">
        <f t="shared" si="114"/>
        <v>17.595021133256797</v>
      </c>
      <c r="AA315" s="386">
        <f t="shared" si="115"/>
        <v>18.879247243117742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6.8023162858312461E-2</v>
      </c>
      <c r="AD315" s="231">
        <f>(INDEX(Models!$BJ315:$BT315,,AH315)*(1-AF315)+INDEX(Models!$BJ315:$BT315,,AH315+1)*AF315-ERP_i)*AE315*Ramure*Pc/MaxiM</f>
        <v>3.7199858082060393E-3</v>
      </c>
      <c r="AE315" s="305">
        <f t="shared" si="117"/>
        <v>0.7</v>
      </c>
      <c r="AF315" s="177">
        <f t="shared" si="118"/>
        <v>0.49861933277316717</v>
      </c>
      <c r="AG315" s="919">
        <f t="shared" si="124"/>
        <v>1</v>
      </c>
      <c r="AH315" s="176">
        <f t="shared" si="119"/>
        <v>7</v>
      </c>
      <c r="AI315" s="225">
        <f t="shared" si="120"/>
        <v>1.4986193327731672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1090">
        <f>IF(t&gt;Tmaj,'2023'!Wh/'2023'!Env_an*'2024'!Env_an,0.001*'[12]mon-tableau (1)'!$B$66)</f>
        <v>25.925111056025752</v>
      </c>
      <c r="C316" s="953"/>
      <c r="D316" s="393">
        <f t="shared" si="102"/>
        <v>27.294456764302865</v>
      </c>
      <c r="E316" s="385">
        <f t="shared" si="125"/>
        <v>28.196122913535469</v>
      </c>
      <c r="F316" s="385">
        <f t="shared" si="103"/>
        <v>28.263077859194297</v>
      </c>
      <c r="G316" s="110">
        <f t="shared" si="126"/>
        <v>0.7395226819834323</v>
      </c>
      <c r="H316" s="412" t="b">
        <f>Wh_hp&gt;='2023'!Maxi_hp</f>
        <v>0</v>
      </c>
      <c r="I316" s="390">
        <f>IF(H316,Wh_hp,'2023'!Maxi_hp)</f>
        <v>30.720187323726929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5.0169370290161441E-2</v>
      </c>
      <c r="M316" s="957"/>
      <c r="N316" s="957"/>
      <c r="O316" s="48">
        <f>IF(t&lt;Tnet,'2023'!Resal+('2023'!Salim-'2023'!Resal)*(1-EXP(('2023'!Tnet-t)/('2023'!Tau_j))),Resal+(Salim-Resal)*(1-EXP((Tnet-t)/(Tau_j))))*Salcycl</f>
        <v>3.1978373480552498E-2</v>
      </c>
      <c r="P316" s="169">
        <f>(INDEX(Models!$BJ316:$BT316,,T316)*(1-R316)+INDEX(Models!$BJ316:$BT316,,T316+1)*R316-ERP_i)*Q316*Ramure*Pc/MaxiM</f>
        <v>3.7640716726457563E-3</v>
      </c>
      <c r="Q316" s="305">
        <f t="shared" si="105"/>
        <v>0.7</v>
      </c>
      <c r="R316" s="177">
        <f t="shared" si="106"/>
        <v>0.49868290201040333</v>
      </c>
      <c r="S316" s="919">
        <f t="shared" si="107"/>
        <v>1</v>
      </c>
      <c r="T316" s="176">
        <f t="shared" si="108"/>
        <v>7</v>
      </c>
      <c r="U316" s="251">
        <f t="shared" si="109"/>
        <v>1.4986829020104033</v>
      </c>
      <c r="V316" s="383">
        <f t="shared" si="110"/>
        <v>35.007523301572149</v>
      </c>
      <c r="W316" s="402">
        <f t="shared" si="111"/>
        <v>25.925111056025752</v>
      </c>
      <c r="X316" s="157">
        <f t="shared" si="112"/>
        <v>45593</v>
      </c>
      <c r="Y316" s="385">
        <f t="shared" si="113"/>
        <v>24.958887890832081</v>
      </c>
      <c r="Z316" s="385">
        <f t="shared" si="114"/>
        <v>26.277198386892103</v>
      </c>
      <c r="AA316" s="386">
        <f t="shared" si="115"/>
        <v>28.196122913535469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6.8056325776697152E-2</v>
      </c>
      <c r="AD316" s="231">
        <f>(INDEX(Models!$BJ316:$BT316,,AH316)*(1-AF316)+INDEX(Models!$BJ316:$BT316,,AH316+1)*AF316-ERP_i)*AE316*Ramure*Pc/MaxiM</f>
        <v>3.7640716726457563E-3</v>
      </c>
      <c r="AE316" s="305">
        <f t="shared" si="117"/>
        <v>0.7</v>
      </c>
      <c r="AF316" s="177">
        <f t="shared" si="118"/>
        <v>0.49868290201040333</v>
      </c>
      <c r="AG316" s="919">
        <f t="shared" si="124"/>
        <v>1</v>
      </c>
      <c r="AH316" s="176">
        <f t="shared" si="119"/>
        <v>7</v>
      </c>
      <c r="AI316" s="225">
        <f t="shared" si="120"/>
        <v>1.4986829020104033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1090">
        <f>IF(t&gt;Tmaj,'2023'!Wh/'2023'!Env_an*'2024'!Env_an,0.001*'[12]mon-tableau (1)'!$B$67)</f>
        <v>21.227401884251289</v>
      </c>
      <c r="C317" s="953"/>
      <c r="D317" s="393">
        <f t="shared" si="102"/>
        <v>22.349107477719031</v>
      </c>
      <c r="E317" s="385">
        <f t="shared" si="125"/>
        <v>23.089706942504478</v>
      </c>
      <c r="F317" s="385">
        <f t="shared" si="103"/>
        <v>23.128996889581945</v>
      </c>
      <c r="G317" s="110">
        <f t="shared" si="126"/>
        <v>0.61020493392801767</v>
      </c>
      <c r="H317" s="412" t="b">
        <f>Wh_hp&gt;='2023'!Maxi_hp</f>
        <v>0</v>
      </c>
      <c r="I317" s="390">
        <f>IF(H317,Wh_hp,'2023'!Maxi_hp)</f>
        <v>35.207799824990232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5.0190174018628131E-2</v>
      </c>
      <c r="M317" s="957"/>
      <c r="N317" s="957"/>
      <c r="O317" s="48">
        <f>IF(t&lt;Tnet,'2023'!Resal+('2023'!Salim-'2023'!Resal)*(1-EXP(('2023'!Tnet-t)/('2023'!Tau_j))),Resal+(Salim-Resal)*(1-EXP((Tnet-t)/(Tau_j))))*Salcycl</f>
        <v>3.2074875035426269E-2</v>
      </c>
      <c r="P317" s="169">
        <f>(INDEX(Models!$BJ317:$BT317,,T317)*(1-R317)+INDEX(Models!$BJ317:$BT317,,T317+1)*R317-ERP_i)*Q317*Ramure*Pc/MaxiM</f>
        <v>3.8173405649472541E-3</v>
      </c>
      <c r="Q317" s="305">
        <f t="shared" si="105"/>
        <v>0.7</v>
      </c>
      <c r="R317" s="177">
        <f t="shared" si="106"/>
        <v>0.4987439269904459</v>
      </c>
      <c r="S317" s="919">
        <f t="shared" si="107"/>
        <v>1</v>
      </c>
      <c r="T317" s="176">
        <f t="shared" si="108"/>
        <v>7</v>
      </c>
      <c r="U317" s="251">
        <f t="shared" si="109"/>
        <v>1.4987439269904459</v>
      </c>
      <c r="V317" s="383">
        <f t="shared" si="110"/>
        <v>34.713506244085231</v>
      </c>
      <c r="W317" s="402">
        <f t="shared" si="111"/>
        <v>21.227401884251289</v>
      </c>
      <c r="X317" s="157">
        <f t="shared" si="112"/>
        <v>45594</v>
      </c>
      <c r="Y317" s="385">
        <f t="shared" si="113"/>
        <v>20.437580945189435</v>
      </c>
      <c r="Z317" s="385">
        <f t="shared" si="114"/>
        <v>21.517550551840959</v>
      </c>
      <c r="AA317" s="386">
        <f t="shared" si="115"/>
        <v>23.089706942504478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6.8089057803043307E-2</v>
      </c>
      <c r="AD317" s="231">
        <f>(INDEX(Models!$BJ317:$BT317,,AH317)*(1-AF317)+INDEX(Models!$BJ317:$BT317,,AH317+1)*AF317-ERP_i)*AE317*Ramure*Pc/MaxiM</f>
        <v>3.8173405649472541E-3</v>
      </c>
      <c r="AE317" s="305">
        <f t="shared" si="117"/>
        <v>0.7</v>
      </c>
      <c r="AF317" s="177">
        <f t="shared" si="118"/>
        <v>0.4987439269904459</v>
      </c>
      <c r="AG317" s="919">
        <f t="shared" si="124"/>
        <v>1</v>
      </c>
      <c r="AH317" s="176">
        <f t="shared" si="119"/>
        <v>7</v>
      </c>
      <c r="AI317" s="225">
        <f t="shared" si="120"/>
        <v>1.4987439269904459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1090">
        <f>IF(t&gt;Tmaj,'2023'!Wh/'2023'!Env_an*'2024'!Env_an,0.001*'[12]mon-tableau (1)'!$B$68)</f>
        <v>21.943872293026125</v>
      </c>
      <c r="C318" s="953"/>
      <c r="D318" s="393">
        <f t="shared" si="102"/>
        <v>23.103943895295508</v>
      </c>
      <c r="E318" s="385">
        <f t="shared" si="125"/>
        <v>23.871927788607927</v>
      </c>
      <c r="F318" s="385">
        <f t="shared" si="103"/>
        <v>23.916843720572412</v>
      </c>
      <c r="G318" s="110">
        <f t="shared" si="126"/>
        <v>0.63641183265720769</v>
      </c>
      <c r="H318" s="412" t="b">
        <f>Wh_hp&gt;='2023'!Maxi_hp</f>
        <v>0</v>
      </c>
      <c r="I318" s="390">
        <f>IF(H318,Wh_hp,'2023'!Maxi_hp)</f>
        <v>35.869115091380415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5.0210977291439862E-2</v>
      </c>
      <c r="M318" s="957"/>
      <c r="N318" s="957"/>
      <c r="O318" s="48">
        <f>IF(t&lt;Tnet,'2023'!Resal+('2023'!Salim-'2023'!Resal)*(1-EXP(('2023'!Tnet-t)/('2023'!Tau_j))),Resal+(Salim-Resal)*(1-EXP((Tnet-t)/(Tau_j))))*Salcycl</f>
        <v>3.2171004374389731E-2</v>
      </c>
      <c r="P318" s="169">
        <f>(INDEX(Models!$BJ318:$BT318,,T318)*(1-R318)+INDEX(Models!$BJ318:$BT318,,T318+1)*R318-ERP_i)*Q318*Ramure*Pc/MaxiM</f>
        <v>3.8928232761909296E-3</v>
      </c>
      <c r="Q318" s="305">
        <f t="shared" si="105"/>
        <v>0.7</v>
      </c>
      <c r="R318" s="177">
        <f t="shared" si="106"/>
        <v>0.49880250895630684</v>
      </c>
      <c r="S318" s="919">
        <f t="shared" si="107"/>
        <v>1</v>
      </c>
      <c r="T318" s="176">
        <f t="shared" si="108"/>
        <v>7</v>
      </c>
      <c r="U318" s="251">
        <f t="shared" si="109"/>
        <v>1.4988025089563068</v>
      </c>
      <c r="V318" s="383">
        <f t="shared" si="110"/>
        <v>34.41101350971919</v>
      </c>
      <c r="W318" s="402">
        <f t="shared" si="111"/>
        <v>21.943872293026125</v>
      </c>
      <c r="X318" s="157">
        <f t="shared" si="112"/>
        <v>45595</v>
      </c>
      <c r="Y318" s="385">
        <f t="shared" si="113"/>
        <v>21.128757803370007</v>
      </c>
      <c r="Z318" s="385">
        <f t="shared" si="114"/>
        <v>22.245738051505469</v>
      </c>
      <c r="AA318" s="386">
        <f t="shared" si="115"/>
        <v>23.871927788607927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6.8121424943254849E-2</v>
      </c>
      <c r="AD318" s="231">
        <f>(INDEX(Models!$BJ318:$BT318,,AH318)*(1-AF318)+INDEX(Models!$BJ318:$BT318,,AH318+1)*AF318-ERP_i)*AE318*Ramure*Pc/MaxiM</f>
        <v>3.8928232761909296E-3</v>
      </c>
      <c r="AE318" s="305">
        <f t="shared" si="117"/>
        <v>0.7</v>
      </c>
      <c r="AF318" s="177">
        <f t="shared" si="118"/>
        <v>0.49880250895630684</v>
      </c>
      <c r="AG318" s="919">
        <f t="shared" si="124"/>
        <v>1</v>
      </c>
      <c r="AH318" s="176">
        <f t="shared" si="119"/>
        <v>7</v>
      </c>
      <c r="AI318" s="225">
        <f t="shared" si="120"/>
        <v>1.4988025089563068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1090">
        <f>IF(t&gt;Tmaj,'2023'!Wh/'2023'!Env_an*'2024'!Env_an,0.001*'[13]mon-tableau (3)'!$B$37)</f>
        <v>23.641517986718512</v>
      </c>
      <c r="C319" s="953"/>
      <c r="D319" s="393">
        <f t="shared" si="102"/>
        <v>24.891881504965422</v>
      </c>
      <c r="E319" s="385">
        <f t="shared" si="125"/>
        <v>25.721842891764414</v>
      </c>
      <c r="F319" s="385">
        <f t="shared" si="103"/>
        <v>25.779626183983474</v>
      </c>
      <c r="G319" s="110">
        <f t="shared" si="126"/>
        <v>0.6920548851065268</v>
      </c>
      <c r="H319" s="412" t="b">
        <f>Wh_hp&gt;='2023'!Maxi_hp</f>
        <v>0</v>
      </c>
      <c r="I319" s="390">
        <f>IF(H319,Wh_hp,'2023'!Maxi_hp)</f>
        <v>32.156200585342432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5.0231780108606405E-2</v>
      </c>
      <c r="M319" s="957"/>
      <c r="N319" s="957"/>
      <c r="O319" s="48">
        <f>IF(t&lt;Tnet,'2023'!Resal+('2023'!Salim-'2023'!Resal)*(1-EXP(('2023'!Tnet-t)/('2023'!Tau_j))),Resal+(Salim-Resal)*(1-EXP((Tnet-t)/(Tau_j))))*Salcycl</f>
        <v>3.2266793257831716E-2</v>
      </c>
      <c r="P319" s="169">
        <f>(INDEX(Models!$BJ319:$BT319,,T319)*(1-R319)+INDEX(Models!$BJ319:$BT319,,T319+1)*R319-ERP_i)*Q319*Ramure*Pc/MaxiM</f>
        <v>3.9896366729216433E-3</v>
      </c>
      <c r="Q319" s="305">
        <f t="shared" si="105"/>
        <v>0.7</v>
      </c>
      <c r="R319" s="177">
        <f t="shared" si="106"/>
        <v>0.49885874516844853</v>
      </c>
      <c r="S319" s="919">
        <f t="shared" si="107"/>
        <v>1</v>
      </c>
      <c r="T319" s="176">
        <f t="shared" si="108"/>
        <v>7</v>
      </c>
      <c r="U319" s="251">
        <f t="shared" si="109"/>
        <v>1.4988587451684485</v>
      </c>
      <c r="V319" s="383">
        <f t="shared" si="110"/>
        <v>34.101478722968928</v>
      </c>
      <c r="W319" s="402">
        <f t="shared" si="111"/>
        <v>23.641517986718512</v>
      </c>
      <c r="X319" s="157">
        <f t="shared" si="112"/>
        <v>45596</v>
      </c>
      <c r="Y319" s="385">
        <f t="shared" si="113"/>
        <v>22.764813438802886</v>
      </c>
      <c r="Z319" s="385">
        <f t="shared" si="114"/>
        <v>23.968809402157142</v>
      </c>
      <c r="AA319" s="386">
        <f t="shared" si="115"/>
        <v>25.721842891764414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6.8153494949172402E-2</v>
      </c>
      <c r="AD319" s="231">
        <f>(INDEX(Models!$BJ319:$BT319,,AH319)*(1-AF319)+INDEX(Models!$BJ319:$BT319,,AH319+1)*AF319-ERP_i)*AE319*Ramure*Pc/MaxiM</f>
        <v>3.9896366729216433E-3</v>
      </c>
      <c r="AE319" s="305">
        <f t="shared" si="117"/>
        <v>0.7</v>
      </c>
      <c r="AF319" s="177">
        <f t="shared" si="118"/>
        <v>0.49885874516844853</v>
      </c>
      <c r="AG319" s="919">
        <f t="shared" si="124"/>
        <v>1</v>
      </c>
      <c r="AH319" s="176">
        <f t="shared" si="119"/>
        <v>7</v>
      </c>
      <c r="AI319" s="225">
        <f t="shared" si="120"/>
        <v>1.4988587451684485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1090">
        <f>IF(t&gt;Tmaj,'2023'!Wh/'2023'!Env_an*'2024'!Env_an,0.001*'[13]mon-tableau (3)'!$B$38)</f>
        <v>29.622101960711657</v>
      </c>
      <c r="C320" s="953"/>
      <c r="D320" s="393">
        <f t="shared" si="102"/>
        <v>31.189452494384145</v>
      </c>
      <c r="E320" s="385">
        <f t="shared" si="125"/>
        <v>32.232571830608137</v>
      </c>
      <c r="F320" s="385">
        <f t="shared" si="103"/>
        <v>32.342035748649778</v>
      </c>
      <c r="G320" s="110">
        <f t="shared" si="126"/>
        <v>0.87611258383005663</v>
      </c>
      <c r="H320" s="412" t="b">
        <f>Wh_hp&gt;='2023'!Maxi_hp</f>
        <v>0</v>
      </c>
      <c r="I320" s="390">
        <f>IF(H320,Wh_hp,'2023'!Maxi_hp)</f>
        <v>32.355042356085981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5.0252582470137974E-2</v>
      </c>
      <c r="M320" s="957"/>
      <c r="N320" s="957"/>
      <c r="O320" s="48">
        <f>IF(t&lt;Tnet,'2023'!Resal+('2023'!Salim-'2023'!Resal)*(1-EXP(('2023'!Tnet-t)/('2023'!Tau_j))),Resal+(Salim-Resal)*(1-EXP((Tnet-t)/(Tau_j))))*Salcycl</f>
        <v>3.2362274462798019E-2</v>
      </c>
      <c r="P320" s="169">
        <f>(INDEX(Models!$BJ320:$BT320,,T320)*(1-R320)+INDEX(Models!$BJ320:$BT320,,T320+1)*R320-ERP_i)*Q320*Ramure*Pc/MaxiM</f>
        <v>4.1078532511946665E-3</v>
      </c>
      <c r="Q320" s="305">
        <f t="shared" si="105"/>
        <v>0.7</v>
      </c>
      <c r="R320" s="177">
        <f t="shared" si="106"/>
        <v>0.4989127290578026</v>
      </c>
      <c r="S320" s="919">
        <f t="shared" si="107"/>
        <v>1</v>
      </c>
      <c r="T320" s="176">
        <f t="shared" si="108"/>
        <v>7</v>
      </c>
      <c r="U320" s="251">
        <f t="shared" si="109"/>
        <v>1.4989127290578026</v>
      </c>
      <c r="V320" s="383">
        <f t="shared" si="110"/>
        <v>33.786301677306895</v>
      </c>
      <c r="W320" s="402">
        <f t="shared" si="111"/>
        <v>29.622101960711657</v>
      </c>
      <c r="X320" s="157">
        <f t="shared" si="112"/>
        <v>45597</v>
      </c>
      <c r="Y320" s="385">
        <f t="shared" si="113"/>
        <v>28.52545764425691</v>
      </c>
      <c r="Z320" s="385">
        <f t="shared" si="114"/>
        <v>30.034783056791003</v>
      </c>
      <c r="AA320" s="386">
        <f t="shared" si="115"/>
        <v>32.232571830608137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6.818533703631148E-2</v>
      </c>
      <c r="AD320" s="231">
        <f>(INDEX(Models!$BJ320:$BT320,,AH320)*(1-AF320)+INDEX(Models!$BJ320:$BT320,,AH320+1)*AF320-ERP_i)*AE320*Ramure*Pc/MaxiM</f>
        <v>4.1078532511946665E-3</v>
      </c>
      <c r="AE320" s="305">
        <f t="shared" si="117"/>
        <v>0.7</v>
      </c>
      <c r="AF320" s="177">
        <f t="shared" si="118"/>
        <v>0.4989127290578026</v>
      </c>
      <c r="AG320" s="919">
        <f t="shared" si="124"/>
        <v>1</v>
      </c>
      <c r="AH320" s="176">
        <f t="shared" si="119"/>
        <v>7</v>
      </c>
      <c r="AI320" s="225">
        <f t="shared" si="120"/>
        <v>1.4989127290578026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1090">
        <f>IF(t&gt;Tmaj,'2023'!Wh/'2023'!Env_an*'2024'!Env_an,0.001*'[13]mon-tableau (3)'!$B$39)</f>
        <v>10.300183086826104</v>
      </c>
      <c r="C321" s="953"/>
      <c r="D321" s="393">
        <f t="shared" si="102"/>
        <v>10.845419005193451</v>
      </c>
      <c r="E321" s="385">
        <f t="shared" si="125"/>
        <v>11.209242797588177</v>
      </c>
      <c r="F321" s="385">
        <f t="shared" si="103"/>
        <v>11.209771478673243</v>
      </c>
      <c r="G321" s="110">
        <f t="shared" si="126"/>
        <v>0.30647959509928668</v>
      </c>
      <c r="H321" s="412" t="b">
        <f>Wh_hp&gt;='2023'!Maxi_hp</f>
        <v>0</v>
      </c>
      <c r="I321" s="390">
        <f>IF(H321,Wh_hp,'2023'!Maxi_hp)</f>
        <v>31.18806335046073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5.0273384376044339E-2</v>
      </c>
      <c r="M321" s="957"/>
      <c r="N321" s="957"/>
      <c r="O321" s="48">
        <f>IF(t&lt;Tnet,'2023'!Resal+('2023'!Salim-'2023'!Resal)*(1-EXP(('2023'!Tnet-t)/('2023'!Tau_j))),Resal+(Salim-Resal)*(1-EXP((Tnet-t)/(Tau_j))))*Salcycl</f>
        <v>3.2457481648359682E-2</v>
      </c>
      <c r="P321" s="169">
        <f>(INDEX(Models!$BJ321:$BT321,,T321)*(1-R321)+INDEX(Models!$BJ321:$BT321,,T321+1)*R321-ERP_i)*Q321*Ramure*Pc/MaxiM</f>
        <v>4.2475526902710208E-3</v>
      </c>
      <c r="Q321" s="305">
        <f t="shared" si="105"/>
        <v>0.7</v>
      </c>
      <c r="R321" s="177">
        <f t="shared" si="106"/>
        <v>0.49896455037319587</v>
      </c>
      <c r="S321" s="919">
        <f t="shared" si="107"/>
        <v>1</v>
      </c>
      <c r="T321" s="176">
        <f t="shared" si="108"/>
        <v>7</v>
      </c>
      <c r="U321" s="251">
        <f t="shared" si="109"/>
        <v>1.4989645503731959</v>
      </c>
      <c r="V321" s="383">
        <f t="shared" si="110"/>
        <v>33.46688139271749</v>
      </c>
      <c r="W321" s="402">
        <f t="shared" si="111"/>
        <v>10.300183086826104</v>
      </c>
      <c r="X321" s="157">
        <f t="shared" si="112"/>
        <v>45598</v>
      </c>
      <c r="Y321" s="385">
        <f t="shared" si="113"/>
        <v>9.9194971722550758</v>
      </c>
      <c r="Z321" s="385">
        <f t="shared" si="114"/>
        <v>10.44458163967335</v>
      </c>
      <c r="AA321" s="386">
        <f t="shared" si="115"/>
        <v>11.209242797588177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6.8217021588590596E-2</v>
      </c>
      <c r="AD321" s="231">
        <f>(INDEX(Models!$BJ321:$BT321,,AH321)*(1-AF321)+INDEX(Models!$BJ321:$BT321,,AH321+1)*AF321-ERP_i)*AE321*Ramure*Pc/MaxiM</f>
        <v>4.2475526902710208E-3</v>
      </c>
      <c r="AE321" s="305">
        <f t="shared" si="117"/>
        <v>0.7</v>
      </c>
      <c r="AF321" s="177">
        <f t="shared" si="118"/>
        <v>0.49896455037319587</v>
      </c>
      <c r="AG321" s="919">
        <f t="shared" si="124"/>
        <v>1</v>
      </c>
      <c r="AH321" s="176">
        <f t="shared" si="119"/>
        <v>7</v>
      </c>
      <c r="AI321" s="225">
        <f t="shared" si="120"/>
        <v>1.4989645503731959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1090">
        <f>IF(t&gt;Tmaj,'2023'!Wh/'2023'!Env_an*'2024'!Env_an,0.001*'[13]mon-tableau (3)'!$B$40)</f>
        <v>12.022907298208379</v>
      </c>
      <c r="C322" s="953"/>
      <c r="D322" s="393">
        <f t="shared" si="102"/>
        <v>12.659612185979368</v>
      </c>
      <c r="E322" s="385">
        <f t="shared" si="125"/>
        <v>13.085579859795253</v>
      </c>
      <c r="F322" s="385">
        <f t="shared" si="103"/>
        <v>13.090752819757499</v>
      </c>
      <c r="G322" s="110">
        <f t="shared" si="126"/>
        <v>0.36128439106748494</v>
      </c>
      <c r="H322" s="412" t="b">
        <f>Wh_hp&gt;='2023'!Maxi_hp</f>
        <v>0</v>
      </c>
      <c r="I322" s="390">
        <f>IF(H322,Wh_hp,'2023'!Maxi_hp)</f>
        <v>29.822160701304174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5.0294185826335602E-2</v>
      </c>
      <c r="M322" s="957"/>
      <c r="N322" s="957"/>
      <c r="O322" s="48">
        <f>IF(t&lt;Tnet,'2023'!Resal+('2023'!Salim-'2023'!Resal)*(1-EXP(('2023'!Tnet-t)/('2023'!Tau_j))),Resal+(Salim-Resal)*(1-EXP((Tnet-t)/(Tau_j))))*Salcycl</f>
        <v>3.2552449213553554E-2</v>
      </c>
      <c r="P322" s="169">
        <f>(INDEX(Models!$BJ322:$BT322,,T322)*(1-R322)+INDEX(Models!$BJ322:$BT322,,T322+1)*R322-ERP_i)*Q322*Ramure*Pc/MaxiM</f>
        <v>4.4088153287364443E-3</v>
      </c>
      <c r="Q322" s="305">
        <f t="shared" si="105"/>
        <v>0.7</v>
      </c>
      <c r="R322" s="177">
        <f t="shared" si="106"/>
        <v>0.49901429532336827</v>
      </c>
      <c r="S322" s="919">
        <f t="shared" si="107"/>
        <v>1</v>
      </c>
      <c r="T322" s="176">
        <f t="shared" si="108"/>
        <v>7</v>
      </c>
      <c r="U322" s="251">
        <f t="shared" si="109"/>
        <v>1.4990142953233683</v>
      </c>
      <c r="V322" s="383">
        <f t="shared" si="110"/>
        <v>33.144616065818312</v>
      </c>
      <c r="W322" s="402">
        <f t="shared" si="111"/>
        <v>12.022907298208379</v>
      </c>
      <c r="X322" s="157">
        <f t="shared" si="112"/>
        <v>45599</v>
      </c>
      <c r="Y322" s="385">
        <f t="shared" si="113"/>
        <v>11.579294876906822</v>
      </c>
      <c r="Z322" s="385">
        <f t="shared" si="114"/>
        <v>12.19250709440157</v>
      </c>
      <c r="AA322" s="386">
        <f t="shared" si="115"/>
        <v>13.085579859795253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6.8248619851963968E-2</v>
      </c>
      <c r="AD322" s="231">
        <f>(INDEX(Models!$BJ322:$BT322,,AH322)*(1-AF322)+INDEX(Models!$BJ322:$BT322,,AH322+1)*AF322-ERP_i)*AE322*Ramure*Pc/MaxiM</f>
        <v>4.4088153287364443E-3</v>
      </c>
      <c r="AE322" s="305">
        <f t="shared" si="117"/>
        <v>0.7</v>
      </c>
      <c r="AF322" s="177">
        <f t="shared" si="118"/>
        <v>0.49901429532336827</v>
      </c>
      <c r="AG322" s="919">
        <f t="shared" si="124"/>
        <v>1</v>
      </c>
      <c r="AH322" s="176">
        <f t="shared" si="119"/>
        <v>7</v>
      </c>
      <c r="AI322" s="225">
        <f t="shared" si="120"/>
        <v>1.4990142953233683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1090">
        <f>IF(t&gt;Tmaj,'2023'!Wh/'2023'!Env_an*'2024'!Env_an,0.001*'[13]mon-tableau (3)'!$B$41)</f>
        <v>31.582419015328568</v>
      </c>
      <c r="C323" s="953"/>
      <c r="D323" s="393">
        <f t="shared" si="102"/>
        <v>33.25567801645041</v>
      </c>
      <c r="E323" s="385">
        <f t="shared" si="125"/>
        <v>34.378024681483403</v>
      </c>
      <c r="F323" s="385">
        <f t="shared" si="103"/>
        <v>34.528021017351527</v>
      </c>
      <c r="G323" s="110">
        <f t="shared" si="126"/>
        <v>0.96202616657747142</v>
      </c>
      <c r="H323" s="412" t="b">
        <f>Wh_hp&gt;='2023'!Maxi_hp</f>
        <v>0</v>
      </c>
      <c r="I323" s="390">
        <f>IF(H323,Wh_hp,'2023'!Maxi_hp)</f>
        <v>34.533091978208354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5.0314986821021757E-2</v>
      </c>
      <c r="M323" s="957"/>
      <c r="N323" s="957"/>
      <c r="O323" s="48">
        <f>IF(t&lt;Tnet,'2023'!Resal+('2023'!Salim-'2023'!Resal)*(1-EXP(('2023'!Tnet-t)/('2023'!Tau_j))),Resal+(Salim-Resal)*(1-EXP((Tnet-t)/(Tau_j))))*Salcycl</f>
        <v>3.2647212148797726E-2</v>
      </c>
      <c r="P323" s="169">
        <f>(INDEX(Models!$BJ323:$BT323,,T323)*(1-R323)+INDEX(Models!$BJ323:$BT323,,T323+1)*R323-ERP_i)*Q323*Ramure*Pc/MaxiM</f>
        <v>4.5917152071555138E-3</v>
      </c>
      <c r="Q323" s="305">
        <f t="shared" si="105"/>
        <v>0.7</v>
      </c>
      <c r="R323" s="177">
        <f t="shared" si="106"/>
        <v>0.49906204671375765</v>
      </c>
      <c r="S323" s="919">
        <f t="shared" si="107"/>
        <v>1</v>
      </c>
      <c r="T323" s="176">
        <f t="shared" si="108"/>
        <v>7</v>
      </c>
      <c r="U323" s="251">
        <f t="shared" si="109"/>
        <v>1.4990620467137576</v>
      </c>
      <c r="V323" s="383">
        <f t="shared" si="110"/>
        <v>32.820903013682177</v>
      </c>
      <c r="W323" s="402">
        <f t="shared" si="111"/>
        <v>31.582419015328568</v>
      </c>
      <c r="X323" s="157">
        <f t="shared" si="112"/>
        <v>45600</v>
      </c>
      <c r="Y323" s="385">
        <f t="shared" si="113"/>
        <v>30.419062604395123</v>
      </c>
      <c r="Z323" s="385">
        <f t="shared" si="114"/>
        <v>32.030686156213278</v>
      </c>
      <c r="AA323" s="386">
        <f t="shared" si="115"/>
        <v>34.378024681483403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6.8280203618983321E-2</v>
      </c>
      <c r="AD323" s="231">
        <f>(INDEX(Models!$BJ323:$BT323,,AH323)*(1-AF323)+INDEX(Models!$BJ323:$BT323,,AH323+1)*AF323-ERP_i)*AE323*Ramure*Pc/MaxiM</f>
        <v>4.5917152071555138E-3</v>
      </c>
      <c r="AE323" s="305">
        <f t="shared" si="117"/>
        <v>0.7</v>
      </c>
      <c r="AF323" s="177">
        <f t="shared" si="118"/>
        <v>0.49906204671375765</v>
      </c>
      <c r="AG323" s="919">
        <f t="shared" si="124"/>
        <v>1</v>
      </c>
      <c r="AH323" s="176">
        <f t="shared" si="119"/>
        <v>7</v>
      </c>
      <c r="AI323" s="225">
        <f t="shared" si="120"/>
        <v>1.4990620467137576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1090">
        <f>IF(t&gt;Tmaj,'2023'!Wh/'2023'!Env_an*'2024'!Env_an,0.001*'[13]mon-tableau (3)'!$B$42)</f>
        <v>31.208018732640372</v>
      </c>
      <c r="C324" s="953"/>
      <c r="D324" s="393">
        <f t="shared" si="102"/>
        <v>32.862161506421273</v>
      </c>
      <c r="E324" s="385">
        <f t="shared" si="125"/>
        <v>33.974549614829925</v>
      </c>
      <c r="F324" s="385">
        <f t="shared" si="103"/>
        <v>34.128972670899962</v>
      </c>
      <c r="G324" s="110">
        <f t="shared" si="126"/>
        <v>0.96006924777813918</v>
      </c>
      <c r="H324" s="412" t="b">
        <f>Wh_hp&gt;='2023'!Maxi_hp</f>
        <v>0</v>
      </c>
      <c r="I324" s="390">
        <f>IF(H324,Wh_hp,'2023'!Maxi_hp)</f>
        <v>34.134579731767737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5.0335787360112683E-2</v>
      </c>
      <c r="M324" s="957"/>
      <c r="N324" s="957"/>
      <c r="O324" s="48">
        <f>IF(t&lt;Tnet,'2023'!Resal+('2023'!Salim-'2023'!Resal)*(1-EXP(('2023'!Tnet-t)/('2023'!Tau_j))),Resal+(Salim-Resal)*(1-EXP((Tnet-t)/(Tau_j))))*Salcycl</f>
        <v>3.2741805881750199E-2</v>
      </c>
      <c r="P324" s="169">
        <f>(INDEX(Models!$BJ324:$BT324,,T324)*(1-R324)+INDEX(Models!$BJ324:$BT324,,T324+1)*R324-ERP_i)*Q324*Ramure*Pc/MaxiM</f>
        <v>4.7965058043921583E-3</v>
      </c>
      <c r="Q324" s="305">
        <f t="shared" si="105"/>
        <v>0.7</v>
      </c>
      <c r="R324" s="177">
        <f t="shared" si="106"/>
        <v>0.49910788407822682</v>
      </c>
      <c r="S324" s="919">
        <f t="shared" si="107"/>
        <v>1</v>
      </c>
      <c r="T324" s="176">
        <f t="shared" si="108"/>
        <v>7</v>
      </c>
      <c r="U324" s="251">
        <f t="shared" si="109"/>
        <v>1.4991078840782268</v>
      </c>
      <c r="V324" s="383">
        <f t="shared" si="110"/>
        <v>32.497132313491036</v>
      </c>
      <c r="W324" s="402">
        <f t="shared" si="111"/>
        <v>31.208018732640372</v>
      </c>
      <c r="X324" s="157">
        <f t="shared" si="112"/>
        <v>45601</v>
      </c>
      <c r="Y324" s="385">
        <f t="shared" si="113"/>
        <v>30.060372270762379</v>
      </c>
      <c r="Z324" s="385">
        <f t="shared" si="114"/>
        <v>31.65368545077656</v>
      </c>
      <c r="AA324" s="386">
        <f t="shared" si="115"/>
        <v>33.974549614829925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6.8311844906409167E-2</v>
      </c>
      <c r="AD324" s="231">
        <f>(INDEX(Models!$BJ324:$BT324,,AH324)*(1-AF324)+INDEX(Models!$BJ324:$BT324,,AH324+1)*AF324-ERP_i)*AE324*Ramure*Pc/MaxiM</f>
        <v>4.7965058043921583E-3</v>
      </c>
      <c r="AE324" s="305">
        <f t="shared" si="117"/>
        <v>0.7</v>
      </c>
      <c r="AF324" s="177">
        <f t="shared" si="118"/>
        <v>0.49910788407822682</v>
      </c>
      <c r="AG324" s="919">
        <f t="shared" si="124"/>
        <v>1</v>
      </c>
      <c r="AH324" s="176">
        <f t="shared" si="119"/>
        <v>7</v>
      </c>
      <c r="AI324" s="225">
        <f t="shared" si="120"/>
        <v>1.4991078840782268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1090">
        <f>IF(t&gt;Tmaj,'2023'!Wh/'2023'!Env_an*'2024'!Env_an,0.001*'[13]mon-tableau (3)'!$B$43)</f>
        <v>29.825719578889498</v>
      </c>
      <c r="C325" s="953"/>
      <c r="D325" s="393">
        <f t="shared" si="102"/>
        <v>31.407283180747285</v>
      </c>
      <c r="E325" s="385">
        <f t="shared" si="125"/>
        <v>32.473594780798322</v>
      </c>
      <c r="F325" s="385">
        <f t="shared" si="103"/>
        <v>32.620137336794315</v>
      </c>
      <c r="G325" s="110">
        <f t="shared" si="126"/>
        <v>0.92649865137351772</v>
      </c>
      <c r="H325" s="412" t="b">
        <f>Wh_hp&gt;='2023'!Maxi_hp</f>
        <v>0</v>
      </c>
      <c r="I325" s="390">
        <f>IF(H325,Wh_hp,'2023'!Maxi_hp)</f>
        <v>32.630609215696907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5.0356587443618483E-2</v>
      </c>
      <c r="M325" s="957"/>
      <c r="N325" s="957"/>
      <c r="O325" s="48">
        <f>IF(t&lt;Tnet,'2023'!Resal+('2023'!Salim-'2023'!Resal)*(1-EXP(('2023'!Tnet-t)/('2023'!Tau_j))),Resal+(Salim-Resal)*(1-EXP((Tnet-t)/(Tau_j))))*Salcycl</f>
        <v>3.2836266118635909E-2</v>
      </c>
      <c r="P325" s="169">
        <f>(INDEX(Models!$BJ325:$BT325,,T325)*(1-R325)+INDEX(Models!$BJ325:$BT325,,T325+1)*R325-ERP_i)*Q325*Ramure*Pc/MaxiM</f>
        <v>5.0155471354611948E-3</v>
      </c>
      <c r="Q325" s="305">
        <f t="shared" si="105"/>
        <v>0.7</v>
      </c>
      <c r="R325" s="177">
        <f t="shared" si="106"/>
        <v>0.49915188380589792</v>
      </c>
      <c r="S325" s="919">
        <f t="shared" si="107"/>
        <v>1</v>
      </c>
      <c r="T325" s="176">
        <f t="shared" si="108"/>
        <v>7</v>
      </c>
      <c r="U325" s="251">
        <f t="shared" si="109"/>
        <v>1.4991518838058979</v>
      </c>
      <c r="V325" s="383">
        <f t="shared" si="110"/>
        <v>32.174947848941557</v>
      </c>
      <c r="W325" s="402">
        <f t="shared" si="111"/>
        <v>29.825719578889498</v>
      </c>
      <c r="X325" s="157">
        <f t="shared" si="112"/>
        <v>45602</v>
      </c>
      <c r="Y325" s="385">
        <f t="shared" si="113"/>
        <v>28.730732026773698</v>
      </c>
      <c r="Z325" s="385">
        <f t="shared" si="114"/>
        <v>30.254231901037819</v>
      </c>
      <c r="AA325" s="386">
        <f t="shared" si="115"/>
        <v>32.473594780798322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6.8343615628067525E-2</v>
      </c>
      <c r="AD325" s="231">
        <f>(INDEX(Models!$BJ325:$BT325,,AH325)*(1-AF325)+INDEX(Models!$BJ325:$BT325,,AH325+1)*AF325-ERP_i)*AE325*Ramure*Pc/MaxiM</f>
        <v>5.0155471354611948E-3</v>
      </c>
      <c r="AE325" s="305">
        <f t="shared" si="117"/>
        <v>0.7</v>
      </c>
      <c r="AF325" s="177">
        <f t="shared" si="118"/>
        <v>0.49915188380589792</v>
      </c>
      <c r="AG325" s="919">
        <f t="shared" si="124"/>
        <v>1</v>
      </c>
      <c r="AH325" s="176">
        <f t="shared" si="119"/>
        <v>7</v>
      </c>
      <c r="AI325" s="225">
        <f t="shared" si="120"/>
        <v>1.4991518838058979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1090">
        <f>IF(t&gt;Tmaj,'2023'!Wh/'2023'!Env_an*'2024'!Env_an,0.001*'[13]mon-tableau (3)'!$B$44)</f>
        <v>20.399805411622498</v>
      </c>
      <c r="C326" s="953"/>
      <c r="D326" s="393">
        <f t="shared" si="102"/>
        <v>21.482013100671093</v>
      </c>
      <c r="E326" s="385">
        <f t="shared" si="125"/>
        <v>22.213518220927906</v>
      </c>
      <c r="F326" s="385">
        <f t="shared" si="103"/>
        <v>22.270358106138048</v>
      </c>
      <c r="G326" s="110">
        <f t="shared" si="126"/>
        <v>0.63864963980701772</v>
      </c>
      <c r="H326" s="412" t="b">
        <f>Wh_hp&gt;='2023'!Maxi_hp</f>
        <v>0</v>
      </c>
      <c r="I326" s="390">
        <f>IF(H326,Wh_hp,'2023'!Maxi_hp)</f>
        <v>27.419796880522092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5.037738707154904E-2</v>
      </c>
      <c r="M326" s="957"/>
      <c r="N326" s="957"/>
      <c r="O326" s="48">
        <f>IF(t&lt;Tnet,'2023'!Resal+('2023'!Salim-'2023'!Resal)*(1-EXP(('2023'!Tnet-t)/('2023'!Tau_j))),Resal+(Salim-Resal)*(1-EXP((Tnet-t)/(Tau_j))))*Salcycl</f>
        <v>3.2930628682116811E-2</v>
      </c>
      <c r="P326" s="169">
        <f>(INDEX(Models!$BJ326:$BT326,,T326)*(1-R326)+INDEX(Models!$BJ326:$BT326,,T326+1)*R326-ERP_i)*Q326*Ramure*Pc/MaxiM</f>
        <v>5.2487864397190174E-3</v>
      </c>
      <c r="Q326" s="305">
        <f t="shared" si="105"/>
        <v>0.7</v>
      </c>
      <c r="R326" s="177">
        <f t="shared" si="106"/>
        <v>0.49919411926326385</v>
      </c>
      <c r="S326" s="919">
        <f t="shared" si="107"/>
        <v>1</v>
      </c>
      <c r="T326" s="176">
        <f t="shared" si="108"/>
        <v>7</v>
      </c>
      <c r="U326" s="251">
        <f t="shared" si="109"/>
        <v>1.4991941192632638</v>
      </c>
      <c r="V326" s="383">
        <f t="shared" si="110"/>
        <v>31.855738894248844</v>
      </c>
      <c r="W326" s="402">
        <f t="shared" si="111"/>
        <v>20.399805411622498</v>
      </c>
      <c r="X326" s="157">
        <f t="shared" si="112"/>
        <v>45603</v>
      </c>
      <c r="Y326" s="385">
        <f t="shared" si="113"/>
        <v>19.652113178403784</v>
      </c>
      <c r="Z326" s="385">
        <f t="shared" si="114"/>
        <v>20.694655867345556</v>
      </c>
      <c r="AA326" s="386">
        <f t="shared" si="115"/>
        <v>22.213518220927906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6.8375587265208232E-2</v>
      </c>
      <c r="AD326" s="231">
        <f>(INDEX(Models!$BJ326:$BT326,,AH326)*(1-AF326)+INDEX(Models!$BJ326:$BT326,,AH326+1)*AF326-ERP_i)*AE326*Ramure*Pc/MaxiM</f>
        <v>5.2487864397190174E-3</v>
      </c>
      <c r="AE326" s="305">
        <f t="shared" si="117"/>
        <v>0.7</v>
      </c>
      <c r="AF326" s="177">
        <f t="shared" si="118"/>
        <v>0.49919411926326385</v>
      </c>
      <c r="AG326" s="919">
        <f t="shared" si="124"/>
        <v>1</v>
      </c>
      <c r="AH326" s="176">
        <f t="shared" si="119"/>
        <v>7</v>
      </c>
      <c r="AI326" s="225">
        <f t="shared" si="120"/>
        <v>1.4991941192632638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1090">
        <f>IF(t&gt;Tmaj,'2023'!Wh/'2023'!Env_an*'2024'!Env_an,0.001*'[13]mon-tableau (3)'!$B$45)</f>
        <v>10.788385987689143</v>
      </c>
      <c r="C327" s="953"/>
      <c r="D327" s="393">
        <f t="shared" si="102"/>
        <v>11.360957647096747</v>
      </c>
      <c r="E327" s="385">
        <f t="shared" si="125"/>
        <v>11.748966433459913</v>
      </c>
      <c r="F327" s="385">
        <f t="shared" si="103"/>
        <v>11.752846243022079</v>
      </c>
      <c r="G327" s="110">
        <f t="shared" si="126"/>
        <v>0.34027680695661766</v>
      </c>
      <c r="H327" s="412" t="b">
        <f>Wh_hp&gt;='2023'!Maxi_hp</f>
        <v>0</v>
      </c>
      <c r="I327" s="390">
        <f>IF(H327,Wh_hp,'2023'!Maxi_hp)</f>
        <v>26.175340990445164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5.0398186243914345E-2</v>
      </c>
      <c r="M327" s="957"/>
      <c r="N327" s="957"/>
      <c r="O327" s="48">
        <f>IF(t&lt;Tnet,'2023'!Resal+('2023'!Salim-'2023'!Resal)*(1-EXP(('2023'!Tnet-t)/('2023'!Tau_j))),Resal+(Salim-Resal)*(1-EXP((Tnet-t)/(Tau_j))))*Salcycl</f>
        <v>3.3024929346819346E-2</v>
      </c>
      <c r="P327" s="169">
        <f>(INDEX(Models!$BJ327:$BT327,,T327)*(1-R327)+INDEX(Models!$BJ327:$BT327,,T327+1)*R327-ERP_i)*Q327*Ramure*Pc/MaxiM</f>
        <v>5.4961333419766539E-3</v>
      </c>
      <c r="Q327" s="305">
        <f t="shared" si="105"/>
        <v>0.7</v>
      </c>
      <c r="R327" s="177">
        <f t="shared" si="106"/>
        <v>0.49923466091173352</v>
      </c>
      <c r="S327" s="919">
        <f t="shared" si="107"/>
        <v>1</v>
      </c>
      <c r="T327" s="176">
        <f t="shared" si="108"/>
        <v>7</v>
      </c>
      <c r="U327" s="251">
        <f t="shared" si="109"/>
        <v>1.4992346609117335</v>
      </c>
      <c r="V327" s="383">
        <f t="shared" si="110"/>
        <v>31.5408937109687</v>
      </c>
      <c r="W327" s="402">
        <f t="shared" si="111"/>
        <v>10.788385987689143</v>
      </c>
      <c r="X327" s="157">
        <f t="shared" si="112"/>
        <v>45604</v>
      </c>
      <c r="Y327" s="385">
        <f t="shared" si="113"/>
        <v>10.393624626217422</v>
      </c>
      <c r="Z327" s="385">
        <f t="shared" si="114"/>
        <v>10.945245128698884</v>
      </c>
      <c r="AA327" s="386">
        <f t="shared" si="115"/>
        <v>11.748966433459913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6.840783053665965E-2</v>
      </c>
      <c r="AD327" s="231">
        <f>(INDEX(Models!$BJ327:$BT327,,AH327)*(1-AF327)+INDEX(Models!$BJ327:$BT327,,AH327+1)*AF327-ERP_i)*AE327*Ramure*Pc/MaxiM</f>
        <v>5.4961333419766539E-3</v>
      </c>
      <c r="AE327" s="305">
        <f t="shared" si="117"/>
        <v>0.7</v>
      </c>
      <c r="AF327" s="177">
        <f t="shared" si="118"/>
        <v>0.49923466091173352</v>
      </c>
      <c r="AG327" s="919">
        <f t="shared" si="124"/>
        <v>1</v>
      </c>
      <c r="AH327" s="176">
        <f t="shared" si="119"/>
        <v>7</v>
      </c>
      <c r="AI327" s="225">
        <f t="shared" si="120"/>
        <v>1.4992346609117335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1090">
        <f>IF(t&gt;Tmaj,'2023'!Wh/'2023'!Env_an*'2024'!Env_an,0.001*'[13]mon-tableau (3)'!$B$46)</f>
        <v>24.05700227720142</v>
      </c>
      <c r="C328" s="953"/>
      <c r="D328" s="393">
        <f t="shared" si="102"/>
        <v>25.334333665260143</v>
      </c>
      <c r="E328" s="385">
        <f t="shared" si="125"/>
        <v>26.202127254484711</v>
      </c>
      <c r="F328" s="385">
        <f t="shared" si="103"/>
        <v>26.303869600981958</v>
      </c>
      <c r="G328" s="110">
        <f t="shared" si="126"/>
        <v>0.7688116163514912</v>
      </c>
      <c r="H328" s="412" t="b">
        <f>Wh_hp&gt;='2023'!Maxi_hp</f>
        <v>0</v>
      </c>
      <c r="I328" s="390">
        <f>IF(H328,Wh_hp,'2023'!Maxi_hp)</f>
        <v>26.335268053066518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5.0418984960724389E-2</v>
      </c>
      <c r="M328" s="957"/>
      <c r="N328" s="957"/>
      <c r="O328" s="48">
        <f>IF(t&lt;Tnet,'2023'!Resal+('2023'!Salim-'2023'!Resal)*(1-EXP(('2023'!Tnet-t)/('2023'!Tau_j))),Resal+(Salim-Resal)*(1-EXP((Tnet-t)/(Tau_j))))*Salcycl</f>
        <v>3.3119203673665068E-2</v>
      </c>
      <c r="P328" s="169">
        <f>(INDEX(Models!$BJ328:$BT328,,T328)*(1-R328)+INDEX(Models!$BJ328:$BT328,,T328+1)*R328-ERP_i)*Q328*Ramure*Pc/MaxiM</f>
        <v>5.757452802753301E-3</v>
      </c>
      <c r="Q328" s="305">
        <f t="shared" si="105"/>
        <v>0.7</v>
      </c>
      <c r="R328" s="177">
        <f t="shared" si="106"/>
        <v>0.49927357642076853</v>
      </c>
      <c r="S328" s="919">
        <f t="shared" si="107"/>
        <v>1</v>
      </c>
      <c r="T328" s="176">
        <f t="shared" si="108"/>
        <v>7</v>
      </c>
      <c r="U328" s="251">
        <f t="shared" si="109"/>
        <v>1.4992735764207685</v>
      </c>
      <c r="V328" s="383">
        <f t="shared" si="110"/>
        <v>31.231799519425408</v>
      </c>
      <c r="W328" s="402">
        <f t="shared" si="111"/>
        <v>24.05700227720142</v>
      </c>
      <c r="X328" s="157">
        <f t="shared" si="112"/>
        <v>45605</v>
      </c>
      <c r="Y328" s="385">
        <f t="shared" si="113"/>
        <v>23.178173711932534</v>
      </c>
      <c r="Z328" s="385">
        <f t="shared" si="114"/>
        <v>24.408842789442101</v>
      </c>
      <c r="AA328" s="386">
        <f t="shared" si="115"/>
        <v>26.202127254484711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6.8440415071095953E-2</v>
      </c>
      <c r="AD328" s="231">
        <f>(INDEX(Models!$BJ328:$BT328,,AH328)*(1-AF328)+INDEX(Models!$BJ328:$BT328,,AH328+1)*AF328-ERP_i)*AE328*Ramure*Pc/MaxiM</f>
        <v>5.757452802753301E-3</v>
      </c>
      <c r="AE328" s="305">
        <f t="shared" si="117"/>
        <v>0.7</v>
      </c>
      <c r="AF328" s="177">
        <f t="shared" si="118"/>
        <v>0.49927357642076853</v>
      </c>
      <c r="AG328" s="919">
        <f t="shared" si="124"/>
        <v>1</v>
      </c>
      <c r="AH328" s="176">
        <f t="shared" si="119"/>
        <v>7</v>
      </c>
      <c r="AI328" s="225">
        <f t="shared" si="120"/>
        <v>1.4992735764207685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1090">
        <f>IF(t&gt;Tmaj,'2023'!Wh/'2023'!Env_an*'2024'!Env_an,0.001*'[13]mon-tableau (3)'!$B$47)</f>
        <v>29.979228846992129</v>
      </c>
      <c r="C329" s="953"/>
      <c r="D329" s="393">
        <f t="shared" si="102"/>
        <v>31.571698473969139</v>
      </c>
      <c r="E329" s="385">
        <f t="shared" si="125"/>
        <v>32.656329028537385</v>
      </c>
      <c r="F329" s="385">
        <f t="shared" si="103"/>
        <v>32.845773252368232</v>
      </c>
      <c r="G329" s="110">
        <f t="shared" si="126"/>
        <v>0.96900727041780776</v>
      </c>
      <c r="H329" s="412" t="b">
        <f>Wh_hp&gt;='2023'!Maxi_hp</f>
        <v>0</v>
      </c>
      <c r="I329" s="390">
        <f>IF(H329,Wh_hp,'2023'!Maxi_hp)</f>
        <v>32.851303072778975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5.0439783221989165E-2</v>
      </c>
      <c r="M329" s="957"/>
      <c r="N329" s="957"/>
      <c r="O329" s="48">
        <f>IF(t&lt;Tnet,'2023'!Resal+('2023'!Salim-'2023'!Resal)*(1-EXP(('2023'!Tnet-t)/('2023'!Tau_j))),Resal+(Salim-Resal)*(1-EXP((Tnet-t)/(Tau_j))))*Salcycl</f>
        <v>3.3213486844171011E-2</v>
      </c>
      <c r="P329" s="169">
        <f>(INDEX(Models!$BJ329:$BT329,,T329)*(1-R329)+INDEX(Models!$BJ329:$BT329,,T329+1)*R329-ERP_i)*Q329*Ramure*Pc/MaxiM</f>
        <v>6.0325577458507544E-3</v>
      </c>
      <c r="Q329" s="305">
        <f t="shared" si="105"/>
        <v>0.7</v>
      </c>
      <c r="R329" s="177">
        <f t="shared" si="106"/>
        <v>0.4993109307767658</v>
      </c>
      <c r="S329" s="919">
        <f t="shared" si="107"/>
        <v>1</v>
      </c>
      <c r="T329" s="176">
        <f t="shared" si="108"/>
        <v>7</v>
      </c>
      <c r="U329" s="251">
        <f t="shared" si="109"/>
        <v>1.4993109307767658</v>
      </c>
      <c r="V329" s="383">
        <f t="shared" si="110"/>
        <v>30.929842483182366</v>
      </c>
      <c r="W329" s="402">
        <f t="shared" si="111"/>
        <v>29.979228846992129</v>
      </c>
      <c r="X329" s="157">
        <f t="shared" si="112"/>
        <v>45606</v>
      </c>
      <c r="Y329" s="385">
        <f t="shared" si="113"/>
        <v>28.885848598547756</v>
      </c>
      <c r="Z329" s="385">
        <f t="shared" si="114"/>
        <v>30.420238851793346</v>
      </c>
      <c r="AA329" s="386">
        <f t="shared" si="115"/>
        <v>32.656329028537385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6.847340908373345E-2</v>
      </c>
      <c r="AD329" s="231">
        <f>(INDEX(Models!$BJ329:$BT329,,AH329)*(1-AF329)+INDEX(Models!$BJ329:$BT329,,AH329+1)*AF329-ERP_i)*AE329*Ramure*Pc/MaxiM</f>
        <v>6.0325577458507544E-3</v>
      </c>
      <c r="AE329" s="305">
        <f t="shared" si="117"/>
        <v>0.7</v>
      </c>
      <c r="AF329" s="177">
        <f t="shared" si="118"/>
        <v>0.4993109307767658</v>
      </c>
      <c r="AG329" s="919">
        <f t="shared" si="124"/>
        <v>1</v>
      </c>
      <c r="AH329" s="176">
        <f t="shared" si="119"/>
        <v>7</v>
      </c>
      <c r="AI329" s="225">
        <f t="shared" si="120"/>
        <v>1.4993109307767658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1090">
        <f>IF(t&gt;Tmaj,'2023'!Wh/'2023'!Env_an*'2024'!Env_an,0.001*'[13]mon-tableau (3)'!$B$48)</f>
        <v>28.619873113504919</v>
      </c>
      <c r="C330" s="953"/>
      <c r="D330" s="393">
        <f t="shared" si="102"/>
        <v>30.140795149380082</v>
      </c>
      <c r="E330" s="385">
        <f t="shared" si="125"/>
        <v>31.17930978461693</v>
      </c>
      <c r="F330" s="385">
        <f t="shared" si="103"/>
        <v>31.358896359862587</v>
      </c>
      <c r="G330" s="110">
        <f t="shared" si="126"/>
        <v>0.93362002949679068</v>
      </c>
      <c r="H330" s="412" t="b">
        <f>Wh_hp&gt;='2023'!Maxi_hp</f>
        <v>0</v>
      </c>
      <c r="I330" s="390">
        <f>IF(H330,Wh_hp,'2023'!Maxi_hp)</f>
        <v>32.840746587016881</v>
      </c>
      <c r="J330" s="85">
        <f>IF(H330,An,'2023'!An_max)</f>
        <v>2020</v>
      </c>
      <c r="K330" s="197">
        <f t="shared" si="104"/>
        <v>45607</v>
      </c>
      <c r="L330" s="147">
        <f>IF(t&lt;Tvie,1-EXP((T0-t)*PertePVj)+'2023'!Pspv,1-EXP((T0-t)*PertePVj)+Pspv)</f>
        <v>5.0460581027718665E-2</v>
      </c>
      <c r="M330" s="957"/>
      <c r="N330" s="957"/>
      <c r="O330" s="48">
        <f>IF(t&lt;Tnet,'2023'!Resal+('2023'!Salim-'2023'!Resal)*(1-EXP(('2023'!Tnet-t)/('2023'!Tau_j))),Resal+(Salim-Resal)*(1-EXP((Tnet-t)/(Tau_j))))*Salcycl</f>
        <v>3.3307813495898009E-2</v>
      </c>
      <c r="P330" s="169">
        <f>(INDEX(Models!$BJ330:$BT330,,T330)*(1-R330)+INDEX(Models!$BJ330:$BT330,,T330+1)*R330-ERP_i)*Q330*Ramure*Pc/MaxiM</f>
        <v>6.3212014363574782E-3</v>
      </c>
      <c r="Q330" s="305">
        <f t="shared" si="105"/>
        <v>0.7</v>
      </c>
      <c r="R330" s="177">
        <f t="shared" si="106"/>
        <v>0.49934678638782892</v>
      </c>
      <c r="S330" s="919">
        <f t="shared" si="107"/>
        <v>1</v>
      </c>
      <c r="T330" s="176">
        <f t="shared" si="108"/>
        <v>7</v>
      </c>
      <c r="U330" s="251">
        <f t="shared" si="109"/>
        <v>1.4993467863878289</v>
      </c>
      <c r="V330" s="383">
        <f t="shared" si="110"/>
        <v>30.63640768516952</v>
      </c>
      <c r="W330" s="402">
        <f t="shared" si="111"/>
        <v>28.619873113504919</v>
      </c>
      <c r="X330" s="157">
        <f t="shared" si="112"/>
        <v>45607</v>
      </c>
      <c r="Y330" s="385">
        <f t="shared" si="113"/>
        <v>27.577770152277342</v>
      </c>
      <c r="Z330" s="385">
        <f t="shared" si="114"/>
        <v>29.04331258003559</v>
      </c>
      <c r="AA330" s="386">
        <f t="shared" si="115"/>
        <v>31.17930978461693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6.8506879059753487E-2</v>
      </c>
      <c r="AD330" s="231">
        <f>(INDEX(Models!$BJ330:$BT330,,AH330)*(1-AF330)+INDEX(Models!$BJ330:$BT330,,AH330+1)*AF330-ERP_i)*AE330*Ramure*Pc/MaxiM</f>
        <v>6.3212014363574782E-3</v>
      </c>
      <c r="AE330" s="305">
        <f t="shared" si="117"/>
        <v>0.7</v>
      </c>
      <c r="AF330" s="177">
        <f t="shared" si="118"/>
        <v>0.49934678638782892</v>
      </c>
      <c r="AG330" s="919">
        <f t="shared" si="124"/>
        <v>1</v>
      </c>
      <c r="AH330" s="176">
        <f t="shared" si="119"/>
        <v>7</v>
      </c>
      <c r="AI330" s="225">
        <f t="shared" si="120"/>
        <v>1.4993467863878289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1090">
        <f>IF(t&gt;Tmaj,'2023'!Wh/'2023'!Env_an*'2024'!Env_an,0.001*'[13]mon-tableau (3)'!$B$49)</f>
        <v>28.801837528550678</v>
      </c>
      <c r="C331" s="953"/>
      <c r="D331" s="393">
        <f t="shared" si="102"/>
        <v>30.333093920104549</v>
      </c>
      <c r="E331" s="385">
        <f t="shared" si="125"/>
        <v>31.381298893052772</v>
      </c>
      <c r="F331" s="385">
        <f t="shared" si="103"/>
        <v>31.575225305567461</v>
      </c>
      <c r="G331" s="110">
        <f t="shared" si="126"/>
        <v>0.9485741052914286</v>
      </c>
      <c r="H331" s="412" t="b">
        <f>Wh_hp&gt;='2023'!Maxi_hp</f>
        <v>0</v>
      </c>
      <c r="I331" s="390">
        <f>IF(H331,Wh_hp,'2023'!Maxi_hp)</f>
        <v>31.584962137547372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5.0481378377922881E-2</v>
      </c>
      <c r="M331" s="957"/>
      <c r="N331" s="957"/>
      <c r="O331" s="48">
        <f>IF(t&lt;Tnet,'2023'!Resal+('2023'!Salim-'2023'!Resal)*(1-EXP(('2023'!Tnet-t)/('2023'!Tau_j))),Resal+(Salim-Resal)*(1-EXP((Tnet-t)/(Tau_j))))*Salcycl</f>
        <v>3.3402217560225836E-2</v>
      </c>
      <c r="P331" s="169">
        <f>(INDEX(Models!$BJ331:$BT331,,T331)*(1-R331)+INDEX(Models!$BJ331:$BT331,,T331+1)*R331-ERP_i)*Q331*Ramure*Pc/MaxiM</f>
        <v>6.6240053391868172E-3</v>
      </c>
      <c r="Q331" s="305">
        <f t="shared" si="105"/>
        <v>0.7</v>
      </c>
      <c r="R331" s="177">
        <f t="shared" si="106"/>
        <v>0.49938120318457968</v>
      </c>
      <c r="S331" s="919">
        <f t="shared" si="107"/>
        <v>1</v>
      </c>
      <c r="T331" s="176">
        <f t="shared" si="108"/>
        <v>7</v>
      </c>
      <c r="U331" s="251">
        <f t="shared" si="109"/>
        <v>1.4993812031845797</v>
      </c>
      <c r="V331" s="383">
        <f t="shared" si="110"/>
        <v>30.348563201917575</v>
      </c>
      <c r="W331" s="402">
        <f t="shared" si="111"/>
        <v>28.801837528550678</v>
      </c>
      <c r="X331" s="157">
        <f t="shared" si="112"/>
        <v>45608</v>
      </c>
      <c r="Y331" s="385">
        <f t="shared" si="113"/>
        <v>27.754806036207452</v>
      </c>
      <c r="Z331" s="385">
        <f t="shared" si="114"/>
        <v>29.230396754929874</v>
      </c>
      <c r="AA331" s="386">
        <f t="shared" si="115"/>
        <v>31.381298893052772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6.8540889446710204E-2</v>
      </c>
      <c r="AD331" s="231">
        <f>(INDEX(Models!$BJ331:$BT331,,AH331)*(1-AF331)+INDEX(Models!$BJ331:$BT331,,AH331+1)*AF331-ERP_i)*AE331*Ramure*Pc/MaxiM</f>
        <v>6.6240053391868172E-3</v>
      </c>
      <c r="AE331" s="305">
        <f t="shared" si="117"/>
        <v>0.7</v>
      </c>
      <c r="AF331" s="177">
        <f t="shared" si="118"/>
        <v>0.49938120318457968</v>
      </c>
      <c r="AG331" s="919">
        <f t="shared" si="124"/>
        <v>1</v>
      </c>
      <c r="AH331" s="176">
        <f t="shared" si="119"/>
        <v>7</v>
      </c>
      <c r="AI331" s="225">
        <f t="shared" si="120"/>
        <v>1.4993812031845797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1090">
        <f>IF(t&gt;Tmaj,'2023'!Wh/'2023'!Env_an*'2024'!Env_an,0.001*'[13]mon-tableau (3)'!$B$50)</f>
        <v>10.763098760641549</v>
      </c>
      <c r="C332" s="953"/>
      <c r="D332" s="393">
        <f t="shared" si="102"/>
        <v>11.33556968783131</v>
      </c>
      <c r="E332" s="385">
        <f t="shared" si="125"/>
        <v>11.728433896042112</v>
      </c>
      <c r="F332" s="385">
        <f t="shared" si="103"/>
        <v>11.7351766687659</v>
      </c>
      <c r="G332" s="110">
        <f t="shared" si="126"/>
        <v>0.35574052296564118</v>
      </c>
      <c r="H332" s="412" t="b">
        <f>Wh_hp&gt;='2023'!Maxi_hp</f>
        <v>0</v>
      </c>
      <c r="I332" s="390">
        <f>IF(H332,Wh_hp,'2023'!Maxi_hp)</f>
        <v>20.754830581758107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5.0502175272611693E-2</v>
      </c>
      <c r="M332" s="957"/>
      <c r="N332" s="957"/>
      <c r="O332" s="48">
        <f>IF(t&lt;Tnet,'2023'!Resal+('2023'!Salim-'2023'!Resal)*(1-EXP(('2023'!Tnet-t)/('2023'!Tau_j))),Resal+(Salim-Resal)*(1-EXP((Tnet-t)/(Tau_j))))*Salcycl</f>
        <v>3.3496732103625512E-2</v>
      </c>
      <c r="P332" s="169">
        <f>(INDEX(Models!$BJ332:$BT332,,T332)*(1-R332)+INDEX(Models!$BJ332:$BT332,,T332+1)*R332-ERP_i)*Q332*Ramure*Pc/MaxiM</f>
        <v>6.9324032560349217E-3</v>
      </c>
      <c r="Q332" s="305">
        <f t="shared" si="105"/>
        <v>0.7</v>
      </c>
      <c r="R332" s="177">
        <f t="shared" si="106"/>
        <v>0.49941423871714141</v>
      </c>
      <c r="S332" s="919">
        <f t="shared" si="107"/>
        <v>1</v>
      </c>
      <c r="T332" s="176">
        <f t="shared" si="108"/>
        <v>7</v>
      </c>
      <c r="U332" s="251">
        <f t="shared" si="109"/>
        <v>1.4994142387171414</v>
      </c>
      <c r="V332" s="383">
        <f t="shared" si="110"/>
        <v>30.063006114563375</v>
      </c>
      <c r="W332" s="402">
        <f t="shared" si="111"/>
        <v>10.763098760641549</v>
      </c>
      <c r="X332" s="157">
        <f t="shared" si="112"/>
        <v>45609</v>
      </c>
      <c r="Y332" s="385">
        <f t="shared" si="113"/>
        <v>10.372457278929039</v>
      </c>
      <c r="Z332" s="385">
        <f t="shared" si="114"/>
        <v>10.924150649746975</v>
      </c>
      <c r="AA332" s="386">
        <f t="shared" si="115"/>
        <v>11.728433896042112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6.8575502358124041E-2</v>
      </c>
      <c r="AD332" s="231">
        <f>(INDEX(Models!$BJ332:$BT332,,AH332)*(1-AF332)+INDEX(Models!$BJ332:$BT332,,AH332+1)*AF332-ERP_i)*AE332*Ramure*Pc/MaxiM</f>
        <v>6.9324032560349217E-3</v>
      </c>
      <c r="AE332" s="305">
        <f t="shared" si="117"/>
        <v>0.7</v>
      </c>
      <c r="AF332" s="177">
        <f t="shared" si="118"/>
        <v>0.49941423871714141</v>
      </c>
      <c r="AG332" s="919">
        <f t="shared" si="124"/>
        <v>1</v>
      </c>
      <c r="AH332" s="176">
        <f t="shared" si="119"/>
        <v>7</v>
      </c>
      <c r="AI332" s="225">
        <f t="shared" si="120"/>
        <v>1.4994142387171414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1090">
        <f>IF(t&gt;Tmaj,'2023'!Wh/'2023'!Env_an*'2024'!Env_an,0.001*'[13]mon-tableau (3)'!$B$51)</f>
        <v>12.851001687962043</v>
      </c>
      <c r="C333" s="953"/>
      <c r="D333" s="393">
        <f t="shared" si="102"/>
        <v>13.534821070006172</v>
      </c>
      <c r="E333" s="385">
        <f t="shared" si="125"/>
        <v>14.005277807315812</v>
      </c>
      <c r="F333" s="385">
        <f t="shared" si="103"/>
        <v>14.024337923589821</v>
      </c>
      <c r="G333" s="110">
        <f t="shared" si="126"/>
        <v>0.42898539730839097</v>
      </c>
      <c r="H333" s="412" t="b">
        <f>Wh_hp&gt;='2023'!Maxi_hp</f>
        <v>0</v>
      </c>
      <c r="I333" s="390">
        <f>IF(H333,Wh_hp,'2023'!Maxi_hp)</f>
        <v>29.501536808911666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5.0522971711795095E-2</v>
      </c>
      <c r="M333" s="957"/>
      <c r="N333" s="957"/>
      <c r="O333" s="48">
        <f>IF(t&lt;Tnet,'2023'!Resal+('2023'!Salim-'2023'!Resal)*(1-EXP(('2023'!Tnet-t)/('2023'!Tau_j))),Resal+(Salim-Resal)*(1-EXP((Tnet-t)/(Tau_j))))*Salcycl</f>
        <v>3.3591389173579435E-2</v>
      </c>
      <c r="P333" s="169">
        <f>(INDEX(Models!$BJ333:$BT333,,T333)*(1-R333)+INDEX(Models!$BJ333:$BT333,,T333+1)*R333-ERP_i)*Q333*Ramure*Pc/MaxiM</f>
        <v>7.2333109545780708E-3</v>
      </c>
      <c r="Q333" s="305">
        <f t="shared" si="105"/>
        <v>0.7</v>
      </c>
      <c r="R333" s="177">
        <f t="shared" si="106"/>
        <v>0.49944594824843636</v>
      </c>
      <c r="S333" s="919">
        <f t="shared" si="107"/>
        <v>1</v>
      </c>
      <c r="T333" s="176">
        <f t="shared" si="108"/>
        <v>7</v>
      </c>
      <c r="U333" s="251">
        <f t="shared" si="109"/>
        <v>1.4994459482484364</v>
      </c>
      <c r="V333" s="383">
        <f t="shared" si="110"/>
        <v>29.780522148683868</v>
      </c>
      <c r="W333" s="402">
        <f t="shared" si="111"/>
        <v>12.851001687962043</v>
      </c>
      <c r="X333" s="157">
        <f t="shared" si="112"/>
        <v>45610</v>
      </c>
      <c r="Y333" s="385">
        <f t="shared" si="113"/>
        <v>12.385324736454338</v>
      </c>
      <c r="Z333" s="385">
        <f t="shared" si="114"/>
        <v>13.044364810788123</v>
      </c>
      <c r="AA333" s="386">
        <f t="shared" si="115"/>
        <v>14.005277807315812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6.8610777290383007E-2</v>
      </c>
      <c r="AD333" s="231">
        <f>(INDEX(Models!$BJ333:$BT333,,AH333)*(1-AF333)+INDEX(Models!$BJ333:$BT333,,AH333+1)*AF333-ERP_i)*AE333*Ramure*Pc/MaxiM</f>
        <v>7.2333109545780708E-3</v>
      </c>
      <c r="AE333" s="305">
        <f t="shared" si="117"/>
        <v>0.7</v>
      </c>
      <c r="AF333" s="177">
        <f t="shared" si="118"/>
        <v>0.49944594824843636</v>
      </c>
      <c r="AG333" s="919">
        <f t="shared" si="124"/>
        <v>1</v>
      </c>
      <c r="AH333" s="176">
        <f t="shared" si="119"/>
        <v>7</v>
      </c>
      <c r="AI333" s="225">
        <f t="shared" si="120"/>
        <v>1.4994459482484364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1090">
        <f>IF(t&gt;Tmaj,'2023'!Wh/'2023'!Env_an*'2024'!Env_an,0.001*'[13]mon-tableau (3)'!$B$52)</f>
        <v>28.468077536186453</v>
      </c>
      <c r="C334" s="953"/>
      <c r="D334" s="393">
        <f t="shared" si="102"/>
        <v>29.983559607680743</v>
      </c>
      <c r="E334" s="385">
        <f t="shared" si="125"/>
        <v>31.028802669904035</v>
      </c>
      <c r="F334" s="385">
        <f t="shared" si="103"/>
        <v>31.25225793533216</v>
      </c>
      <c r="G334" s="110">
        <f t="shared" si="126"/>
        <v>0.96460463576144229</v>
      </c>
      <c r="H334" s="412" t="b">
        <f>Wh_hp&gt;='2023'!Maxi_hp</f>
        <v>0</v>
      </c>
      <c r="I334" s="390">
        <f>IF(H334,Wh_hp,'2023'!Maxi_hp)</f>
        <v>31.259740180325817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5.0543767695483188E-2</v>
      </c>
      <c r="M334" s="957"/>
      <c r="N334" s="957"/>
      <c r="O334" s="48">
        <f>IF(t&lt;Tnet,'2023'!Resal+('2023'!Salim-'2023'!Resal)*(1-EXP(('2023'!Tnet-t)/('2023'!Tau_j))),Resal+(Salim-Resal)*(1-EXP((Tnet-t)/(Tau_j))))*Salcycl</f>
        <v>3.3686219650270667E-2</v>
      </c>
      <c r="P334" s="169">
        <f>(INDEX(Models!$BJ334:$BT334,,T334)*(1-R334)+INDEX(Models!$BJ334:$BT334,,T334+1)*R334-ERP_i)*Q334*Ramure*Pc/MaxiM</f>
        <v>7.5267019145527202E-3</v>
      </c>
      <c r="Q334" s="305">
        <f t="shared" si="105"/>
        <v>0.7</v>
      </c>
      <c r="R334" s="177">
        <f t="shared" si="106"/>
        <v>0.49947638484392609</v>
      </c>
      <c r="S334" s="919">
        <f t="shared" si="107"/>
        <v>1</v>
      </c>
      <c r="T334" s="176">
        <f t="shared" si="108"/>
        <v>7</v>
      </c>
      <c r="U334" s="251">
        <f t="shared" si="109"/>
        <v>1.4994763848439261</v>
      </c>
      <c r="V334" s="383">
        <f t="shared" si="110"/>
        <v>29.501493938610416</v>
      </c>
      <c r="W334" s="402">
        <f t="shared" si="111"/>
        <v>28.468077536186453</v>
      </c>
      <c r="X334" s="157">
        <f t="shared" si="112"/>
        <v>45611</v>
      </c>
      <c r="Y334" s="385">
        <f t="shared" si="113"/>
        <v>27.438122564372573</v>
      </c>
      <c r="Z334" s="385">
        <f t="shared" si="114"/>
        <v>28.898775563118754</v>
      </c>
      <c r="AA334" s="386">
        <f t="shared" si="115"/>
        <v>31.028802669904035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6.8646770854979555E-2</v>
      </c>
      <c r="AD334" s="231">
        <f>(INDEX(Models!$BJ334:$BT334,,AH334)*(1-AF334)+INDEX(Models!$BJ334:$BT334,,AH334+1)*AF334-ERP_i)*AE334*Ramure*Pc/MaxiM</f>
        <v>7.5267019145527202E-3</v>
      </c>
      <c r="AE334" s="305">
        <f t="shared" si="117"/>
        <v>0.7</v>
      </c>
      <c r="AF334" s="177">
        <f t="shared" si="118"/>
        <v>0.49947638484392609</v>
      </c>
      <c r="AG334" s="919">
        <f t="shared" si="124"/>
        <v>1</v>
      </c>
      <c r="AH334" s="176">
        <f t="shared" si="119"/>
        <v>7</v>
      </c>
      <c r="AI334" s="225">
        <f t="shared" si="120"/>
        <v>1.4994763848439261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1090">
        <f>IF(t&gt;Tmaj,'2023'!Wh/'2023'!Env_an*'2024'!Env_an,0.001*'[13]mon-tableau (3)'!$B$53)</f>
        <v>15.208180245766599</v>
      </c>
      <c r="C335" s="953"/>
      <c r="D335" s="393">
        <f t="shared" ref="D335:D380" si="127">Wh/(1-Ppv)</f>
        <v>16.018129992497453</v>
      </c>
      <c r="E335" s="385">
        <f t="shared" si="125"/>
        <v>16.57816104683819</v>
      </c>
      <c r="F335" s="385">
        <f t="shared" ref="F335:F380" si="128">Wh_sa/(1-Pvg*MEDIAN((-Sdif+Wh/Env_an)/Csdif,0,1))</f>
        <v>16.619033546045987</v>
      </c>
      <c r="G335" s="110">
        <f t="shared" si="126"/>
        <v>0.51756690578196041</v>
      </c>
      <c r="H335" s="412" t="b">
        <f>Wh_hp&gt;='2023'!Maxi_hp</f>
        <v>0</v>
      </c>
      <c r="I335" s="390">
        <f>IF(H335,Wh_hp,'2023'!Maxi_hp)</f>
        <v>31.482813740825435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5.0564563223685854E-2</v>
      </c>
      <c r="M335" s="957"/>
      <c r="N335" s="957"/>
      <c r="O335" s="48">
        <f>IF(t&lt;Tnet,'2023'!Resal+('2023'!Salim-'2023'!Resal)*(1-EXP(('2023'!Tnet-t)/('2023'!Tau_j))),Resal+(Salim-Resal)*(1-EXP((Tnet-t)/(Tau_j))))*Salcycl</f>
        <v>3.3781253105123296E-2</v>
      </c>
      <c r="P335" s="169">
        <f>(INDEX(Models!$BJ335:$BT335,,T335)*(1-R335)+INDEX(Models!$BJ335:$BT335,,T335+1)*R335-ERP_i)*Q335*Ramure*Pc/MaxiM</f>
        <v>7.8125356036471069E-3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0.49950559945792028</v>
      </c>
      <c r="S335" s="919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1.4995055994579203</v>
      </c>
      <c r="V335" s="383">
        <f t="shared" ref="V335:V380" si="135">MaxiM*(1-Ppv)*(1-Pvg)*(1-Psa)</f>
        <v>29.226304053817067</v>
      </c>
      <c r="W335" s="402">
        <f t="shared" ref="W335:W380" si="136">Wh*(A335&gt;Tmaj)</f>
        <v>15.208180245766599</v>
      </c>
      <c r="X335" s="157">
        <f t="shared" ref="X335:X380" si="137">t</f>
        <v>45612</v>
      </c>
      <c r="Y335" s="385">
        <f t="shared" ref="Y335:Y380" si="138">Wh_pvt_s*(1-Ppv)</f>
        <v>14.658822019185198</v>
      </c>
      <c r="Z335" s="385">
        <f t="shared" ref="Z335:Z380" si="139">Wh_sa_s*(1-Psa_s)</f>
        <v>15.439514317010689</v>
      </c>
      <c r="AA335" s="386">
        <f t="shared" ref="AA335:AA380" si="140">Wh_hp*(1-Pvg_s*MEDIAN((-Sdif+Wh/Env_an)/Csdif,0,1))</f>
        <v>16.57816104683819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6.8683536527995429E-2</v>
      </c>
      <c r="AD335" s="231">
        <f>(INDEX(Models!$BJ335:$BT335,,AH335)*(1-AF335)+INDEX(Models!$BJ335:$BT335,,AH335+1)*AF335-ERP_i)*AE335*Ramure*Pc/MaxiM</f>
        <v>7.8125356036471069E-3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0.49950559945792028</v>
      </c>
      <c r="AG335" s="919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1.4995055994579203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1090">
        <f>IF(t&gt;Tmaj,'2023'!Wh/'2023'!Env_an*'2024'!Env_an,0.001*'[13]mon-tableau (3)'!$B$54)</f>
        <v>13.883322086746917</v>
      </c>
      <c r="C336" s="953"/>
      <c r="D336" s="393">
        <f t="shared" si="127"/>
        <v>14.623033474431475</v>
      </c>
      <c r="E336" s="385">
        <f t="shared" si="125"/>
        <v>15.135781027827969</v>
      </c>
      <c r="F336" s="385">
        <f t="shared" si="128"/>
        <v>15.167243916285807</v>
      </c>
      <c r="G336" s="110">
        <f t="shared" si="126"/>
        <v>0.47658303320577139</v>
      </c>
      <c r="H336" s="412" t="b">
        <f>Wh_hp&gt;='2023'!Maxi_hp</f>
        <v>0</v>
      </c>
      <c r="I336" s="390">
        <f>IF(H336,Wh_hp,'2023'!Maxi_hp)</f>
        <v>29.94043779612808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5.0585358296413085E-2</v>
      </c>
      <c r="M336" s="957"/>
      <c r="N336" s="957"/>
      <c r="O336" s="48">
        <f>IF(t&lt;Tnet,'2023'!Resal+('2023'!Salim-'2023'!Resal)*(1-EXP(('2023'!Tnet-t)/('2023'!Tau_j))),Resal+(Salim-Resal)*(1-EXP((Tnet-t)/(Tau_j))))*Salcycl</f>
        <v>3.3876517667227032E-2</v>
      </c>
      <c r="P336" s="169">
        <f>(INDEX(Models!$BJ336:$BT336,,T336)*(1-R336)+INDEX(Models!$BJ336:$BT336,,T336+1)*R336-ERP_i)*Q336*Ramure*Pc/MaxiM</f>
        <v>8.0907560325057786E-3</v>
      </c>
      <c r="Q336" s="305">
        <f t="shared" si="130"/>
        <v>0.7</v>
      </c>
      <c r="R336" s="177">
        <f t="shared" si="131"/>
        <v>0.4995336410165836</v>
      </c>
      <c r="S336" s="919">
        <f t="shared" si="132"/>
        <v>1</v>
      </c>
      <c r="T336" s="176">
        <f t="shared" si="133"/>
        <v>7</v>
      </c>
      <c r="U336" s="251">
        <f t="shared" si="134"/>
        <v>1.4995336410165836</v>
      </c>
      <c r="V336" s="383">
        <f t="shared" si="135"/>
        <v>28.955335061231914</v>
      </c>
      <c r="W336" s="402">
        <f t="shared" si="136"/>
        <v>13.883322086746917</v>
      </c>
      <c r="X336" s="157">
        <f t="shared" si="137"/>
        <v>45613</v>
      </c>
      <c r="Y336" s="385">
        <f t="shared" si="138"/>
        <v>13.382600484009824</v>
      </c>
      <c r="Z336" s="385">
        <f t="shared" si="139"/>
        <v>14.095633136641634</v>
      </c>
      <c r="AA336" s="386">
        <f t="shared" si="140"/>
        <v>15.135781027827969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6.8721124418618801E-2</v>
      </c>
      <c r="AD336" s="231">
        <f>(INDEX(Models!$BJ336:$BT336,,AH336)*(1-AF336)+INDEX(Models!$BJ336:$BT336,,AH336+1)*AF336-ERP_i)*AE336*Ramure*Pc/MaxiM</f>
        <v>8.0907560325057786E-3</v>
      </c>
      <c r="AE336" s="305">
        <f t="shared" si="142"/>
        <v>0.7</v>
      </c>
      <c r="AF336" s="177">
        <f t="shared" si="143"/>
        <v>0.4995336410165836</v>
      </c>
      <c r="AG336" s="919">
        <f t="shared" ref="AG336:AG379" si="149">INDEX(Echel_vg,AH336)</f>
        <v>1</v>
      </c>
      <c r="AH336" s="176">
        <f t="shared" si="144"/>
        <v>7</v>
      </c>
      <c r="AI336" s="225">
        <f t="shared" si="145"/>
        <v>1.4995336410165836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1090">
        <f>IF(t&gt;Tmaj,'2023'!Wh/'2023'!Env_an*'2024'!Env_an,0.001*'[13]mon-tableau (3)'!$B$55)</f>
        <v>5.9866398120809583</v>
      </c>
      <c r="C337" s="953"/>
      <c r="D337" s="393">
        <f t="shared" si="127"/>
        <v>6.3057495374062746</v>
      </c>
      <c r="E337" s="385">
        <f t="shared" si="125"/>
        <v>6.5275020991571724</v>
      </c>
      <c r="F337" s="385">
        <f t="shared" si="128"/>
        <v>6.5275020991571724</v>
      </c>
      <c r="G337" s="110">
        <f t="shared" si="126"/>
        <v>0.20692913924878401</v>
      </c>
      <c r="H337" s="412" t="b">
        <f>Wh_hp&gt;='2023'!Maxi_hp</f>
        <v>0</v>
      </c>
      <c r="I337" s="390">
        <f>IF(H337,Wh_hp,'2023'!Maxi_hp)</f>
        <v>31.549585507891482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5.0606152913674873E-2</v>
      </c>
      <c r="M337" s="957"/>
      <c r="N337" s="957"/>
      <c r="O337" s="48">
        <f>IF(t&lt;Tnet,'2023'!Resal+('2023'!Salim-'2023'!Resal)*(1-EXP(('2023'!Tnet-t)/('2023'!Tau_j))),Resal+(Salim-Resal)*(1-EXP((Tnet-t)/(Tau_j))))*Salcycl</f>
        <v>3.3972039898620771E-2</v>
      </c>
      <c r="P337" s="169">
        <f>(INDEX(Models!$BJ337:$BT337,,T337)*(1-R337)+INDEX(Models!$BJ337:$BT337,,T337+1)*R337-ERP_i)*Q337*Ramure*Pc/MaxiM</f>
        <v>8.3612903250662816E-3</v>
      </c>
      <c r="Q337" s="305">
        <f t="shared" si="130"/>
        <v>0.7</v>
      </c>
      <c r="R337" s="177">
        <f t="shared" si="131"/>
        <v>0.4995605564977541</v>
      </c>
      <c r="S337" s="919">
        <f t="shared" si="132"/>
        <v>1</v>
      </c>
      <c r="T337" s="176">
        <f t="shared" si="133"/>
        <v>7</v>
      </c>
      <c r="U337" s="251">
        <f t="shared" si="134"/>
        <v>1.4995605564977541</v>
      </c>
      <c r="V337" s="383">
        <f t="shared" si="135"/>
        <v>28.688969567515532</v>
      </c>
      <c r="W337" s="402">
        <f t="shared" si="136"/>
        <v>5.9866398120809583</v>
      </c>
      <c r="X337" s="157">
        <f t="shared" si="137"/>
        <v>45614</v>
      </c>
      <c r="Y337" s="385">
        <f t="shared" si="138"/>
        <v>5.7710554941599064</v>
      </c>
      <c r="Z337" s="385">
        <f t="shared" si="139"/>
        <v>6.0786737894617557</v>
      </c>
      <c r="AA337" s="386">
        <f t="shared" si="140"/>
        <v>6.5275020991571724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6.8759581058329994E-2</v>
      </c>
      <c r="AD337" s="231">
        <f>(INDEX(Models!$BJ337:$BT337,,AH337)*(1-AF337)+INDEX(Models!$BJ337:$BT337,,AH337+1)*AF337-ERP_i)*AE337*Ramure*Pc/MaxiM</f>
        <v>8.3612903250662816E-3</v>
      </c>
      <c r="AE337" s="305">
        <f t="shared" si="142"/>
        <v>0.7</v>
      </c>
      <c r="AF337" s="177">
        <f t="shared" si="143"/>
        <v>0.4995605564977541</v>
      </c>
      <c r="AG337" s="919">
        <f t="shared" si="149"/>
        <v>1</v>
      </c>
      <c r="AH337" s="176">
        <f t="shared" si="144"/>
        <v>7</v>
      </c>
      <c r="AI337" s="225">
        <f t="shared" si="145"/>
        <v>1.4995605564977541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1090">
        <f>IF(t&gt;Tmaj,'2023'!Wh/'2023'!Env_an*'2024'!Env_an,0.001*'[13]mon-tableau (3)'!$B$56)</f>
        <v>17.727775171530975</v>
      </c>
      <c r="C338" s="953"/>
      <c r="D338" s="393">
        <f t="shared" si="127"/>
        <v>18.673139201624721</v>
      </c>
      <c r="E338" s="385">
        <f t="shared" si="125"/>
        <v>19.331729561716337</v>
      </c>
      <c r="F338" s="385">
        <f t="shared" si="128"/>
        <v>19.409041874795179</v>
      </c>
      <c r="G338" s="110">
        <f t="shared" si="126"/>
        <v>0.62070601511760914</v>
      </c>
      <c r="H338" s="412" t="b">
        <f>Wh_hp&gt;='2023'!Maxi_hp</f>
        <v>0</v>
      </c>
      <c r="I338" s="390">
        <f>IF(H338,Wh_hp,'2023'!Maxi_hp)</f>
        <v>31.724603682982458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5.0626947075481099E-2</v>
      </c>
      <c r="M338" s="957"/>
      <c r="N338" s="957"/>
      <c r="O338" s="48">
        <f>IF(t&lt;Tnet,'2023'!Resal+('2023'!Salim-'2023'!Resal)*(1-EXP(('2023'!Tnet-t)/('2023'!Tau_j))),Resal+(Salim-Resal)*(1-EXP((Tnet-t)/(Tau_j))))*Salcycl</f>
        <v>3.406784467934304E-2</v>
      </c>
      <c r="P338" s="169">
        <f>(INDEX(Models!$BJ338:$BT338,,T338)*(1-R338)+INDEX(Models!$BJ338:$BT338,,T338+1)*R338-ERP_i)*Q338*Ramure*Pc/MaxiM</f>
        <v>8.6163829764977426E-3</v>
      </c>
      <c r="Q338" s="305">
        <f t="shared" si="130"/>
        <v>0.7</v>
      </c>
      <c r="R338" s="177">
        <f t="shared" si="131"/>
        <v>0.4995863910076932</v>
      </c>
      <c r="S338" s="919">
        <f t="shared" si="132"/>
        <v>1</v>
      </c>
      <c r="T338" s="176">
        <f t="shared" si="133"/>
        <v>7</v>
      </c>
      <c r="U338" s="251">
        <f t="shared" si="134"/>
        <v>1.4995863910076932</v>
      </c>
      <c r="V338" s="383">
        <f t="shared" si="135"/>
        <v>28.427810053523643</v>
      </c>
      <c r="W338" s="402">
        <f t="shared" si="136"/>
        <v>17.727775171530975</v>
      </c>
      <c r="X338" s="157">
        <f t="shared" si="137"/>
        <v>45615</v>
      </c>
      <c r="Y338" s="385">
        <f t="shared" si="138"/>
        <v>17.090354407322501</v>
      </c>
      <c r="Z338" s="385">
        <f t="shared" si="139"/>
        <v>18.001726881415173</v>
      </c>
      <c r="AA338" s="386">
        <f t="shared" si="140"/>
        <v>19.331729561716337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6.879894921223384E-2</v>
      </c>
      <c r="AD338" s="231">
        <f>(INDEX(Models!$BJ338:$BT338,,AH338)*(1-AF338)+INDEX(Models!$BJ338:$BT338,,AH338+1)*AF338-ERP_i)*AE338*Ramure*Pc/MaxiM</f>
        <v>8.6163829764977426E-3</v>
      </c>
      <c r="AE338" s="305">
        <f t="shared" si="142"/>
        <v>0.7</v>
      </c>
      <c r="AF338" s="177">
        <f t="shared" si="143"/>
        <v>0.4995863910076932</v>
      </c>
      <c r="AG338" s="919">
        <f t="shared" si="149"/>
        <v>1</v>
      </c>
      <c r="AH338" s="176">
        <f t="shared" si="144"/>
        <v>7</v>
      </c>
      <c r="AI338" s="225">
        <f t="shared" si="145"/>
        <v>1.4995863910076932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1090">
        <f>IF(t&gt;Tmaj,'2023'!Wh/'2023'!Env_an*'2024'!Env_an,0.001*'[13]mon-tableau (3)'!$B$57)</f>
        <v>3.537745197056076</v>
      </c>
      <c r="C339" s="953"/>
      <c r="D339" s="393">
        <f t="shared" si="127"/>
        <v>3.726483149647315</v>
      </c>
      <c r="E339" s="385">
        <f t="shared" si="125"/>
        <v>3.8582978646702273</v>
      </c>
      <c r="F339" s="385">
        <f t="shared" si="128"/>
        <v>3.8582978646702273</v>
      </c>
      <c r="G339" s="110">
        <f t="shared" si="126"/>
        <v>0.12446351423497393</v>
      </c>
      <c r="H339" s="412" t="b">
        <f>Wh_hp&gt;='2023'!Maxi_hp</f>
        <v>0</v>
      </c>
      <c r="I339" s="390">
        <f>IF(H339,Wh_hp,'2023'!Maxi_hp)</f>
        <v>30.885830486283265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5.0647740781841866E-2</v>
      </c>
      <c r="M339" s="957"/>
      <c r="N339" s="957"/>
      <c r="O339" s="48">
        <f>IF(t&lt;Tnet,'2023'!Resal+('2023'!Salim-'2023'!Resal)*(1-EXP(('2023'!Tnet-t)/('2023'!Tau_j))),Resal+(Salim-Resal)*(1-EXP((Tnet-t)/(Tau_j))))*Salcycl</f>
        <v>3.4163955103082289E-2</v>
      </c>
      <c r="P339" s="169">
        <f>(INDEX(Models!$BJ339:$BT339,,T339)*(1-R339)+INDEX(Models!$BJ339:$BT339,,T339+1)*R339-ERP_i)*Q339*Ramure*Pc/MaxiM</f>
        <v>8.8556738634255824E-3</v>
      </c>
      <c r="Q339" s="305">
        <f t="shared" si="130"/>
        <v>0.7</v>
      </c>
      <c r="R339" s="177">
        <f t="shared" si="131"/>
        <v>0.49961118785487835</v>
      </c>
      <c r="S339" s="919">
        <f t="shared" si="132"/>
        <v>1</v>
      </c>
      <c r="T339" s="176">
        <f t="shared" si="133"/>
        <v>7</v>
      </c>
      <c r="U339" s="251">
        <f t="shared" si="134"/>
        <v>1.4996111878548783</v>
      </c>
      <c r="V339" s="383">
        <f t="shared" si="135"/>
        <v>28.17224068379835</v>
      </c>
      <c r="W339" s="402">
        <f t="shared" si="136"/>
        <v>3.537745197056076</v>
      </c>
      <c r="X339" s="157">
        <f t="shared" si="137"/>
        <v>45616</v>
      </c>
      <c r="Y339" s="385">
        <f t="shared" si="138"/>
        <v>3.410733556422775</v>
      </c>
      <c r="Z339" s="385">
        <f t="shared" si="139"/>
        <v>3.5926954650444447</v>
      </c>
      <c r="AA339" s="386">
        <f t="shared" si="140"/>
        <v>3.8582978646702273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6.8839267713842911E-2</v>
      </c>
      <c r="AD339" s="231">
        <f>(INDEX(Models!$BJ339:$BT339,,AH339)*(1-AF339)+INDEX(Models!$BJ339:$BT339,,AH339+1)*AF339-ERP_i)*AE339*Ramure*Pc/MaxiM</f>
        <v>8.8556738634255824E-3</v>
      </c>
      <c r="AE339" s="305">
        <f t="shared" si="142"/>
        <v>0.7</v>
      </c>
      <c r="AF339" s="177">
        <f t="shared" si="143"/>
        <v>0.49961118785487835</v>
      </c>
      <c r="AG339" s="919">
        <f t="shared" si="149"/>
        <v>1</v>
      </c>
      <c r="AH339" s="176">
        <f t="shared" si="144"/>
        <v>7</v>
      </c>
      <c r="AI339" s="225">
        <f t="shared" si="145"/>
        <v>1.4996111878548783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1090">
        <f>IF(t&gt;Tmaj,'2023'!Wh/'2023'!Env_an*'2024'!Env_an,0.001*'[13]mon-tableau (3)'!$B$58)</f>
        <v>7.8356272543718406</v>
      </c>
      <c r="C340" s="953"/>
      <c r="D340" s="393">
        <f t="shared" si="127"/>
        <v>8.2538370793266154</v>
      </c>
      <c r="E340" s="385">
        <f t="shared" si="125"/>
        <v>8.5466486144265534</v>
      </c>
      <c r="F340" s="385">
        <f t="shared" si="128"/>
        <v>8.5466486144265534</v>
      </c>
      <c r="G340" s="110">
        <f t="shared" si="126"/>
        <v>0.27807140318668971</v>
      </c>
      <c r="H340" s="412" t="b">
        <f>Wh_hp&gt;='2023'!Maxi_hp</f>
        <v>0</v>
      </c>
      <c r="I340" s="390">
        <f>IF(H340,Wh_hp,'2023'!Maxi_hp)</f>
        <v>31.571381737013635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5.0668534032767054E-2</v>
      </c>
      <c r="M340" s="957"/>
      <c r="N340" s="957"/>
      <c r="O340" s="48">
        <f>IF(t&lt;Tnet,'2023'!Resal+('2023'!Salim-'2023'!Resal)*(1-EXP(('2023'!Tnet-t)/('2023'!Tau_j))),Resal+(Salim-Resal)*(1-EXP((Tnet-t)/(Tau_j))))*Salcycl</f>
        <v>3.4260392384177052E-2</v>
      </c>
      <c r="P340" s="169">
        <f>(INDEX(Models!$BJ340:$BT340,,T340)*(1-R340)+INDEX(Models!$BJ340:$BT340,,T340+1)*R340-ERP_i)*Q340*Ramure*Pc/MaxiM</f>
        <v>9.078970778725725E-3</v>
      </c>
      <c r="Q340" s="305">
        <f t="shared" si="130"/>
        <v>0.7</v>
      </c>
      <c r="R340" s="177">
        <f t="shared" si="131"/>
        <v>0.4996349886209468</v>
      </c>
      <c r="S340" s="919">
        <f t="shared" si="132"/>
        <v>1</v>
      </c>
      <c r="T340" s="176">
        <f t="shared" si="133"/>
        <v>7</v>
      </c>
      <c r="U340" s="251">
        <f t="shared" si="134"/>
        <v>1.4996349886209468</v>
      </c>
      <c r="V340" s="383">
        <f t="shared" si="135"/>
        <v>27.922640496345974</v>
      </c>
      <c r="W340" s="402">
        <f t="shared" si="136"/>
        <v>7.8356272543718406</v>
      </c>
      <c r="X340" s="157">
        <f t="shared" si="137"/>
        <v>45617</v>
      </c>
      <c r="Y340" s="385">
        <f t="shared" si="138"/>
        <v>7.5547328854174713</v>
      </c>
      <c r="Z340" s="385">
        <f t="shared" si="139"/>
        <v>7.9579505749556922</v>
      </c>
      <c r="AA340" s="386">
        <f t="shared" si="140"/>
        <v>8.5466486144265534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6.8880571324431414E-2</v>
      </c>
      <c r="AD340" s="231">
        <f>(INDEX(Models!$BJ340:$BT340,,AH340)*(1-AF340)+INDEX(Models!$BJ340:$BT340,,AH340+1)*AF340-ERP_i)*AE340*Ramure*Pc/MaxiM</f>
        <v>9.078970778725725E-3</v>
      </c>
      <c r="AE340" s="305">
        <f t="shared" si="142"/>
        <v>0.7</v>
      </c>
      <c r="AF340" s="177">
        <f t="shared" si="143"/>
        <v>0.4996349886209468</v>
      </c>
      <c r="AG340" s="919">
        <f t="shared" si="149"/>
        <v>1</v>
      </c>
      <c r="AH340" s="176">
        <f t="shared" si="144"/>
        <v>7</v>
      </c>
      <c r="AI340" s="225">
        <f t="shared" si="145"/>
        <v>1.4996349886209468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1090">
        <f>IF(t&gt;Tmaj,'2023'!Wh/'2023'!Env_an*'2024'!Env_an,0.001*'[13]mon-tableau (3)'!$B$59)</f>
        <v>12.156013183319722</v>
      </c>
      <c r="C341" s="953"/>
      <c r="D341" s="393">
        <f t="shared" si="127"/>
        <v>12.805094819702571</v>
      </c>
      <c r="E341" s="385">
        <f t="shared" si="125"/>
        <v>13.26069484335596</v>
      </c>
      <c r="F341" s="385">
        <f t="shared" si="128"/>
        <v>13.285222234959384</v>
      </c>
      <c r="G341" s="110">
        <f t="shared" si="126"/>
        <v>0.43589860577782663</v>
      </c>
      <c r="H341" s="412" t="b">
        <f>Wh_hp&gt;='2023'!Maxi_hp</f>
        <v>0</v>
      </c>
      <c r="I341" s="390">
        <f>IF(H341,Wh_hp,'2023'!Maxi_hp)</f>
        <v>31.553325364511156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5.0689326828266767E-2</v>
      </c>
      <c r="M341" s="957"/>
      <c r="N341" s="957"/>
      <c r="O341" s="48">
        <f>IF(t&lt;Tnet,'2023'!Resal+('2023'!Salim-'2023'!Resal)*(1-EXP(('2023'!Tnet-t)/('2023'!Tau_j))),Resal+(Salim-Resal)*(1-EXP((Tnet-t)/(Tau_j))))*Salcycl</f>
        <v>3.4357175776626774E-2</v>
      </c>
      <c r="P341" s="169">
        <f>(INDEX(Models!$BJ341:$BT341,,T341)*(1-R341)+INDEX(Models!$BJ341:$BT341,,T341+1)*R341-ERP_i)*Q341*Ramure*Pc/MaxiM</f>
        <v>9.2860010961555283E-3</v>
      </c>
      <c r="Q341" s="305">
        <f t="shared" si="130"/>
        <v>0.7</v>
      </c>
      <c r="R341" s="177">
        <f t="shared" si="131"/>
        <v>0.49965783322889656</v>
      </c>
      <c r="S341" s="919">
        <f t="shared" si="132"/>
        <v>1</v>
      </c>
      <c r="T341" s="176">
        <f t="shared" si="133"/>
        <v>7</v>
      </c>
      <c r="U341" s="251">
        <f t="shared" si="134"/>
        <v>1.4996578332288966</v>
      </c>
      <c r="V341" s="383">
        <f t="shared" si="135"/>
        <v>27.679390624632905</v>
      </c>
      <c r="W341" s="402">
        <f t="shared" si="136"/>
        <v>12.156013183319722</v>
      </c>
      <c r="X341" s="157">
        <f t="shared" si="137"/>
        <v>45618</v>
      </c>
      <c r="Y341" s="385">
        <f t="shared" si="138"/>
        <v>11.720882020159936</v>
      </c>
      <c r="Z341" s="385">
        <f t="shared" si="139"/>
        <v>12.346729423150173</v>
      </c>
      <c r="AA341" s="386">
        <f t="shared" si="140"/>
        <v>13.26069484335596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6.8922890617885993E-2</v>
      </c>
      <c r="AD341" s="231">
        <f>(INDEX(Models!$BJ341:$BT341,,AH341)*(1-AF341)+INDEX(Models!$BJ341:$BT341,,AH341+1)*AF341-ERP_i)*AE341*Ramure*Pc/MaxiM</f>
        <v>9.2860010961555283E-3</v>
      </c>
      <c r="AE341" s="305">
        <f t="shared" si="142"/>
        <v>0.7</v>
      </c>
      <c r="AF341" s="177">
        <f t="shared" si="143"/>
        <v>0.49965783322889656</v>
      </c>
      <c r="AG341" s="919">
        <f t="shared" si="149"/>
        <v>1</v>
      </c>
      <c r="AH341" s="176">
        <f t="shared" si="144"/>
        <v>7</v>
      </c>
      <c r="AI341" s="225">
        <f t="shared" si="145"/>
        <v>1.4996578332288966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1090">
        <f>IF(t&gt;Tmaj,'2023'!Wh/'2023'!Env_an*'2024'!Env_an,0.001*'[13]mon-tableau (3)'!$B$60)</f>
        <v>14.357016471329553</v>
      </c>
      <c r="C342" s="953"/>
      <c r="D342" s="393">
        <f t="shared" si="127"/>
        <v>15.123953979949443</v>
      </c>
      <c r="E342" s="385">
        <f t="shared" si="125"/>
        <v>15.6636338730214</v>
      </c>
      <c r="F342" s="385">
        <f t="shared" si="128"/>
        <v>15.711098852405451</v>
      </c>
      <c r="G342" s="110">
        <f t="shared" si="126"/>
        <v>0.51977269717280838</v>
      </c>
      <c r="H342" s="412" t="b">
        <f>Wh_hp&gt;='2023'!Maxi_hp</f>
        <v>0</v>
      </c>
      <c r="I342" s="390">
        <f>IF(H342,Wh_hp,'2023'!Maxi_hp)</f>
        <v>29.21125181785667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5.0710119168350776E-2</v>
      </c>
      <c r="M342" s="957"/>
      <c r="N342" s="957"/>
      <c r="O342" s="48">
        <f>IF(t&lt;Tnet,'2023'!Resal+('2023'!Salim-'2023'!Resal)*(1-EXP(('2023'!Tnet-t)/('2023'!Tau_j))),Resal+(Salim-Resal)*(1-EXP((Tnet-t)/(Tau_j))))*Salcycl</f>
        <v>3.4454322505679071E-2</v>
      </c>
      <c r="P342" s="169">
        <f>(INDEX(Models!$BJ342:$BT342,,T342)*(1-R342)+INDEX(Models!$BJ342:$BT342,,T342+1)*R342-ERP_i)*Q342*Ramure*Pc/MaxiM</f>
        <v>9.4765042039475847E-3</v>
      </c>
      <c r="Q342" s="305">
        <f t="shared" si="130"/>
        <v>0.7</v>
      </c>
      <c r="R342" s="177">
        <f t="shared" si="131"/>
        <v>0.49967976000864467</v>
      </c>
      <c r="S342" s="919">
        <f t="shared" si="132"/>
        <v>1</v>
      </c>
      <c r="T342" s="176">
        <f t="shared" si="133"/>
        <v>7</v>
      </c>
      <c r="U342" s="251">
        <f t="shared" si="134"/>
        <v>1.4996797600086447</v>
      </c>
      <c r="V342" s="383">
        <f t="shared" si="135"/>
        <v>27.442871705382057</v>
      </c>
      <c r="W342" s="402">
        <f t="shared" si="136"/>
        <v>14.357016471329553</v>
      </c>
      <c r="X342" s="157">
        <f t="shared" si="137"/>
        <v>45619</v>
      </c>
      <c r="Y342" s="385">
        <f t="shared" si="138"/>
        <v>13.843847234282768</v>
      </c>
      <c r="Z342" s="385">
        <f t="shared" si="139"/>
        <v>14.583371753794022</v>
      </c>
      <c r="AA342" s="386">
        <f t="shared" si="140"/>
        <v>15.6636338730214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6.8966251891777811E-2</v>
      </c>
      <c r="AD342" s="231">
        <f>(INDEX(Models!$BJ342:$BT342,,AH342)*(1-AF342)+INDEX(Models!$BJ342:$BT342,,AH342+1)*AF342-ERP_i)*AE342*Ramure*Pc/MaxiM</f>
        <v>9.4765042039475847E-3</v>
      </c>
      <c r="AE342" s="305">
        <f t="shared" si="142"/>
        <v>0.7</v>
      </c>
      <c r="AF342" s="177">
        <f t="shared" si="143"/>
        <v>0.49967976000864467</v>
      </c>
      <c r="AG342" s="919">
        <f t="shared" si="149"/>
        <v>1</v>
      </c>
      <c r="AH342" s="176">
        <f t="shared" si="144"/>
        <v>7</v>
      </c>
      <c r="AI342" s="225">
        <f t="shared" si="145"/>
        <v>1.4996797600086447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1090">
        <f>IF(t&gt;Tmaj,'2023'!Wh/'2023'!Env_an*'2024'!Env_an,0.001*'[13]mon-tableau (3)'!$B$61)</f>
        <v>4.4153589728249196</v>
      </c>
      <c r="C343" s="953"/>
      <c r="D343" s="393">
        <f t="shared" si="127"/>
        <v>4.6513249238136485</v>
      </c>
      <c r="E343" s="385">
        <f t="shared" si="125"/>
        <v>4.8177884154553023</v>
      </c>
      <c r="F343" s="385">
        <f t="shared" si="128"/>
        <v>4.8177884154553023</v>
      </c>
      <c r="G343" s="110">
        <f t="shared" si="126"/>
        <v>0.16068331983782799</v>
      </c>
      <c r="H343" s="412" t="b">
        <f>Wh_hp&gt;='2023'!Maxi_hp</f>
        <v>0</v>
      </c>
      <c r="I343" s="390">
        <f>IF(H343,Wh_hp,'2023'!Maxi_hp)</f>
        <v>27.276647569608237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5.0730911053029293E-2</v>
      </c>
      <c r="M343" s="957"/>
      <c r="N343" s="957"/>
      <c r="O343" s="48">
        <f>IF(t&lt;Tnet,'2023'!Resal+('2023'!Salim-'2023'!Resal)*(1-EXP(('2023'!Tnet-t)/('2023'!Tau_j))),Resal+(Salim-Resal)*(1-EXP((Tnet-t)/(Tau_j))))*Salcycl</f>
        <v>3.4551847712457576E-2</v>
      </c>
      <c r="P343" s="169">
        <f>(INDEX(Models!$BJ343:$BT343,,T343)*(1-R343)+INDEX(Models!$BJ343:$BT343,,T343+1)*R343-ERP_i)*Q343*Ramure*Pc/MaxiM</f>
        <v>9.6502460649885852E-3</v>
      </c>
      <c r="Q343" s="305">
        <f t="shared" si="130"/>
        <v>0.7</v>
      </c>
      <c r="R343" s="177">
        <f t="shared" si="131"/>
        <v>0.49970080576004205</v>
      </c>
      <c r="S343" s="919">
        <f t="shared" si="132"/>
        <v>1</v>
      </c>
      <c r="T343" s="176">
        <f t="shared" si="133"/>
        <v>7</v>
      </c>
      <c r="U343" s="251">
        <f t="shared" si="134"/>
        <v>1.4997008057600421</v>
      </c>
      <c r="V343" s="383">
        <f t="shared" si="135"/>
        <v>27.213463579699294</v>
      </c>
      <c r="W343" s="402">
        <f t="shared" si="136"/>
        <v>4.4153589728249196</v>
      </c>
      <c r="X343" s="157">
        <f t="shared" si="137"/>
        <v>45620</v>
      </c>
      <c r="Y343" s="385">
        <f t="shared" si="138"/>
        <v>4.2577657336730708</v>
      </c>
      <c r="Z343" s="385">
        <f t="shared" si="139"/>
        <v>4.4853095747552816</v>
      </c>
      <c r="AA343" s="386">
        <f t="shared" si="140"/>
        <v>4.8177884154553023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6.9010677105171295E-2</v>
      </c>
      <c r="AD343" s="231">
        <f>(INDEX(Models!$BJ343:$BT343,,AH343)*(1-AF343)+INDEX(Models!$BJ343:$BT343,,AH343+1)*AF343-ERP_i)*AE343*Ramure*Pc/MaxiM</f>
        <v>9.6502460649885852E-3</v>
      </c>
      <c r="AE343" s="305">
        <f t="shared" si="142"/>
        <v>0.7</v>
      </c>
      <c r="AF343" s="177">
        <f t="shared" si="143"/>
        <v>0.49970080576004205</v>
      </c>
      <c r="AG343" s="919">
        <f t="shared" si="149"/>
        <v>1</v>
      </c>
      <c r="AH343" s="176">
        <f t="shared" si="144"/>
        <v>7</v>
      </c>
      <c r="AI343" s="225">
        <f t="shared" si="145"/>
        <v>1.4997008057600421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1090">
        <f>IF(t&gt;Tmaj,'2023'!Wh/'2023'!Env_an*'2024'!Env_an,0.001*'[13]mon-tableau (3)'!$B$62)</f>
        <v>13.695027159887545</v>
      </c>
      <c r="C344" s="953"/>
      <c r="D344" s="393">
        <f t="shared" si="127"/>
        <v>14.427233839344712</v>
      </c>
      <c r="E344" s="385">
        <f t="shared" si="125"/>
        <v>14.945077245003079</v>
      </c>
      <c r="F344" s="385">
        <f t="shared" si="128"/>
        <v>14.988625427290003</v>
      </c>
      <c r="G344" s="110">
        <f t="shared" si="126"/>
        <v>0.50387015254397027</v>
      </c>
      <c r="H344" s="412" t="b">
        <f>Wh_hp&gt;='2023'!Maxi_hp</f>
        <v>0</v>
      </c>
      <c r="I344" s="390">
        <f>IF(H344,Wh_hp,'2023'!Maxi_hp)</f>
        <v>27.777098112719983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5.0751702482312089E-2</v>
      </c>
      <c r="M344" s="957"/>
      <c r="N344" s="957"/>
      <c r="O344" s="48">
        <f>IF(t&lt;Tnet,'2023'!Resal+('2023'!Salim-'2023'!Resal)*(1-EXP(('2023'!Tnet-t)/('2023'!Tau_j))),Resal+(Salim-Resal)*(1-EXP((Tnet-t)/(Tau_j))))*Salcycl</f>
        <v>3.464976441199117E-2</v>
      </c>
      <c r="P344" s="169">
        <f>(INDEX(Models!$BJ344:$BT344,,T344)*(1-R344)+INDEX(Models!$BJ344:$BT344,,T344+1)*R344-ERP_i)*Q344*Ramure*Pc/MaxiM</f>
        <v>9.8069741902423943E-3</v>
      </c>
      <c r="Q344" s="305">
        <f t="shared" si="130"/>
        <v>0.7</v>
      </c>
      <c r="R344" s="177">
        <f t="shared" si="131"/>
        <v>0.49972100581344026</v>
      </c>
      <c r="S344" s="919">
        <f t="shared" si="132"/>
        <v>1</v>
      </c>
      <c r="T344" s="176">
        <f t="shared" si="133"/>
        <v>7</v>
      </c>
      <c r="U344" s="251">
        <f t="shared" si="134"/>
        <v>1.4997210058134403</v>
      </c>
      <c r="V344" s="383">
        <f t="shared" si="135"/>
        <v>26.991546619565671</v>
      </c>
      <c r="W344" s="402">
        <f t="shared" si="136"/>
        <v>13.695027159887545</v>
      </c>
      <c r="X344" s="157">
        <f t="shared" si="137"/>
        <v>45621</v>
      </c>
      <c r="Y344" s="385">
        <f t="shared" si="138"/>
        <v>13.206917423941166</v>
      </c>
      <c r="Z344" s="385">
        <f t="shared" si="139"/>
        <v>13.913027243217229</v>
      </c>
      <c r="AA344" s="386">
        <f t="shared" si="140"/>
        <v>14.945077245003079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6.905618384347377E-2</v>
      </c>
      <c r="AD344" s="231">
        <f>(INDEX(Models!$BJ344:$BT344,,AH344)*(1-AF344)+INDEX(Models!$BJ344:$BT344,,AH344+1)*AF344-ERP_i)*AE344*Ramure*Pc/MaxiM</f>
        <v>9.8069741902423943E-3</v>
      </c>
      <c r="AE344" s="305">
        <f t="shared" si="142"/>
        <v>0.7</v>
      </c>
      <c r="AF344" s="177">
        <f t="shared" si="143"/>
        <v>0.49972100581344026</v>
      </c>
      <c r="AG344" s="919">
        <f t="shared" si="149"/>
        <v>1</v>
      </c>
      <c r="AH344" s="176">
        <f t="shared" si="144"/>
        <v>7</v>
      </c>
      <c r="AI344" s="225">
        <f t="shared" si="145"/>
        <v>1.4997210058134403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1090">
        <f>IF(t&gt;Tmaj,'2023'!Wh/'2023'!Env_an*'2024'!Env_an,0.001*'[13]mon-tableau (3)'!$B$63)</f>
        <v>14.585939707166215</v>
      </c>
      <c r="C345" s="953"/>
      <c r="D345" s="393">
        <f t="shared" si="127"/>
        <v>15.366115716847194</v>
      </c>
      <c r="E345" s="385">
        <f t="shared" si="125"/>
        <v>15.919280193719626</v>
      </c>
      <c r="F345" s="385">
        <f t="shared" si="128"/>
        <v>15.974857336973804</v>
      </c>
      <c r="G345" s="110">
        <f t="shared" si="126"/>
        <v>0.54126609774412049</v>
      </c>
      <c r="H345" s="412" t="b">
        <f>Wh_hp&gt;='2023'!Maxi_hp</f>
        <v>0</v>
      </c>
      <c r="I345" s="390">
        <f>IF(H345,Wh_hp,'2023'!Maxi_hp)</f>
        <v>27.662208875171967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5.0772493456209267E-2</v>
      </c>
      <c r="M345" s="957"/>
      <c r="N345" s="957"/>
      <c r="O345" s="48">
        <f>IF(t&lt;Tnet,'2023'!Resal+('2023'!Salim-'2023'!Resal)*(1-EXP(('2023'!Tnet-t)/('2023'!Tau_j))),Resal+(Salim-Resal)*(1-EXP((Tnet-t)/(Tau_j))))*Salcycl</f>
        <v>3.4748083464895822E-2</v>
      </c>
      <c r="P345" s="169">
        <f>(INDEX(Models!$BJ345:$BT345,,T345)*(1-R345)+INDEX(Models!$BJ345:$BT345,,T345+1)*R345-ERP_i)*Q345*Ramure*Pc/MaxiM</f>
        <v>9.9481181724106159E-3</v>
      </c>
      <c r="Q345" s="305">
        <f t="shared" si="130"/>
        <v>0.7</v>
      </c>
      <c r="R345" s="177">
        <f t="shared" si="131"/>
        <v>0.49974039408790083</v>
      </c>
      <c r="S345" s="919">
        <f t="shared" si="132"/>
        <v>1</v>
      </c>
      <c r="T345" s="176">
        <f t="shared" si="133"/>
        <v>7</v>
      </c>
      <c r="U345" s="251">
        <f t="shared" si="134"/>
        <v>1.4997403940879008</v>
      </c>
      <c r="V345" s="383">
        <f t="shared" si="135"/>
        <v>26.772880735148586</v>
      </c>
      <c r="W345" s="402">
        <f t="shared" si="136"/>
        <v>14.585939707166215</v>
      </c>
      <c r="X345" s="157">
        <f t="shared" si="137"/>
        <v>45622</v>
      </c>
      <c r="Y345" s="385">
        <f t="shared" si="138"/>
        <v>14.066805167060716</v>
      </c>
      <c r="Z345" s="385">
        <f t="shared" si="139"/>
        <v>14.819213592196689</v>
      </c>
      <c r="AA345" s="386">
        <f t="shared" si="140"/>
        <v>15.919280193719626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6.9102785310414291E-2</v>
      </c>
      <c r="AD345" s="231">
        <f>(INDEX(Models!$BJ345:$BT345,,AH345)*(1-AF345)+INDEX(Models!$BJ345:$BT345,,AH345+1)*AF345-ERP_i)*AE345*Ramure*Pc/MaxiM</f>
        <v>9.9481181724106159E-3</v>
      </c>
      <c r="AE345" s="305">
        <f t="shared" si="142"/>
        <v>0.7</v>
      </c>
      <c r="AF345" s="177">
        <f t="shared" si="143"/>
        <v>0.49974039408790083</v>
      </c>
      <c r="AG345" s="919">
        <f t="shared" si="149"/>
        <v>1</v>
      </c>
      <c r="AH345" s="176">
        <f t="shared" si="144"/>
        <v>7</v>
      </c>
      <c r="AI345" s="225">
        <f t="shared" si="145"/>
        <v>1.4997403940879008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1090">
        <f>IF(t&gt;Tmaj,'2023'!Wh/'2023'!Env_an*'2024'!Env_an,0.001*'[13]mon-tableau (3)'!$B$64)</f>
        <v>9.4154702995672075</v>
      </c>
      <c r="C346" s="953"/>
      <c r="D346" s="393">
        <f t="shared" si="127"/>
        <v>9.9193043418337492</v>
      </c>
      <c r="E346" s="385">
        <f t="shared" si="125"/>
        <v>10.277440391043768</v>
      </c>
      <c r="F346" s="385">
        <f t="shared" si="128"/>
        <v>10.285511274103676</v>
      </c>
      <c r="G346" s="110">
        <f t="shared" si="126"/>
        <v>0.35128042320490055</v>
      </c>
      <c r="H346" s="412" t="b">
        <f>Wh_hp&gt;='2023'!Maxi_hp</f>
        <v>0</v>
      </c>
      <c r="I346" s="390">
        <f>IF(H346,Wh_hp,'2023'!Maxi_hp)</f>
        <v>20.343286490073936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5.0793283974730818E-2</v>
      </c>
      <c r="M346" s="957"/>
      <c r="N346" s="957"/>
      <c r="O346" s="48">
        <f>IF(t&lt;Tnet,'2023'!Resal+('2023'!Salim-'2023'!Resal)*(1-EXP(('2023'!Tnet-t)/('2023'!Tau_j))),Resal+(Salim-Resal)*(1-EXP((Tnet-t)/(Tau_j))))*Salcycl</f>
        <v>3.4846813562851207E-2</v>
      </c>
      <c r="P346" s="169">
        <f>(INDEX(Models!$BJ346:$BT346,,T346)*(1-R346)+INDEX(Models!$BJ346:$BT346,,T346+1)*R346-ERP_i)*Q346*Ramure*Pc/MaxiM</f>
        <v>1.0064937654314297E-2</v>
      </c>
      <c r="Q346" s="305">
        <f t="shared" si="130"/>
        <v>0.7</v>
      </c>
      <c r="R346" s="177">
        <f t="shared" si="131"/>
        <v>0.49975900314713551</v>
      </c>
      <c r="S346" s="919">
        <f t="shared" si="132"/>
        <v>1</v>
      </c>
      <c r="T346" s="176">
        <f t="shared" si="133"/>
        <v>7</v>
      </c>
      <c r="U346" s="251">
        <f t="shared" si="134"/>
        <v>1.4997590031471355</v>
      </c>
      <c r="V346" s="383">
        <f t="shared" si="135"/>
        <v>26.554351222236388</v>
      </c>
      <c r="W346" s="402">
        <f t="shared" si="136"/>
        <v>9.4154702995672075</v>
      </c>
      <c r="X346" s="157">
        <f t="shared" si="137"/>
        <v>45623</v>
      </c>
      <c r="Y346" s="385">
        <f t="shared" si="138"/>
        <v>9.0808236813245173</v>
      </c>
      <c r="Z346" s="385">
        <f t="shared" si="139"/>
        <v>9.5667503484907641</v>
      </c>
      <c r="AA346" s="386">
        <f t="shared" si="140"/>
        <v>10.277440391043768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6.9150490347025639E-2</v>
      </c>
      <c r="AD346" s="231">
        <f>(INDEX(Models!$BJ346:$BT346,,AH346)*(1-AF346)+INDEX(Models!$BJ346:$BT346,,AH346+1)*AF346-ERP_i)*AE346*Ramure*Pc/MaxiM</f>
        <v>1.0064937654314297E-2</v>
      </c>
      <c r="AE346" s="305">
        <f t="shared" si="142"/>
        <v>0.7</v>
      </c>
      <c r="AF346" s="177">
        <f t="shared" si="143"/>
        <v>0.49975900314713551</v>
      </c>
      <c r="AG346" s="919">
        <f t="shared" si="149"/>
        <v>1</v>
      </c>
      <c r="AH346" s="176">
        <f t="shared" si="144"/>
        <v>7</v>
      </c>
      <c r="AI346" s="225">
        <f t="shared" si="145"/>
        <v>1.4997590031471355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1090">
        <f>IF(t&gt;Tmaj,'2023'!Wh/'2023'!Env_an*'2024'!Env_an,0.001*'[13]mon-tableau (3)'!$B$65)</f>
        <v>13.246896983755326</v>
      </c>
      <c r="C347" s="953"/>
      <c r="D347" s="393">
        <f t="shared" si="127"/>
        <v>13.956061316783654</v>
      </c>
      <c r="E347" s="385">
        <f t="shared" si="125"/>
        <v>14.46142988483926</v>
      </c>
      <c r="F347" s="385">
        <f t="shared" si="128"/>
        <v>14.504186276320517</v>
      </c>
      <c r="G347" s="110">
        <f t="shared" si="126"/>
        <v>0.49932829460230266</v>
      </c>
      <c r="H347" s="412" t="b">
        <f>Wh_hp&gt;='2023'!Maxi_hp</f>
        <v>0</v>
      </c>
      <c r="I347" s="390">
        <f>IF(H347,Wh_hp,'2023'!Maxi_hp)</f>
        <v>29.549892661364552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5.0814074037886514E-2</v>
      </c>
      <c r="M347" s="957"/>
      <c r="N347" s="957"/>
      <c r="O347" s="48">
        <f>IF(t&lt;Tnet,'2023'!Resal+('2023'!Salim-'2023'!Resal)*(1-EXP(('2023'!Tnet-t)/('2023'!Tau_j))),Resal+(Salim-Resal)*(1-EXP((Tnet-t)/(Tau_j))))*Salcycl</f>
        <v>3.4945961227901438E-2</v>
      </c>
      <c r="P347" s="169">
        <f>(INDEX(Models!$BJ347:$BT347,,T347)*(1-R347)+INDEX(Models!$BJ347:$BT347,,T347+1)*R347-ERP_i)*Q347*Ramure*Pc/MaxiM</f>
        <v>1.0166565314576392E-2</v>
      </c>
      <c r="Q347" s="305">
        <f t="shared" si="130"/>
        <v>0.7</v>
      </c>
      <c r="R347" s="177">
        <f t="shared" si="131"/>
        <v>0.49977686425326473</v>
      </c>
      <c r="S347" s="919">
        <f t="shared" si="132"/>
        <v>1</v>
      </c>
      <c r="T347" s="176">
        <f t="shared" si="133"/>
        <v>7</v>
      </c>
      <c r="U347" s="251">
        <f t="shared" si="134"/>
        <v>1.4997768642532647</v>
      </c>
      <c r="V347" s="383">
        <f t="shared" si="135"/>
        <v>26.337359668965682</v>
      </c>
      <c r="W347" s="402">
        <f t="shared" si="136"/>
        <v>13.246896983755326</v>
      </c>
      <c r="X347" s="157">
        <f t="shared" si="137"/>
        <v>45624</v>
      </c>
      <c r="Y347" s="385">
        <f t="shared" si="138"/>
        <v>12.776715545310397</v>
      </c>
      <c r="Z347" s="385">
        <f t="shared" si="139"/>
        <v>13.460709009522731</v>
      </c>
      <c r="AA347" s="386">
        <f t="shared" si="140"/>
        <v>14.46142988483926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6.9199303477289087E-2</v>
      </c>
      <c r="AD347" s="231">
        <f>(INDEX(Models!$BJ347:$BT347,,AH347)*(1-AF347)+INDEX(Models!$BJ347:$BT347,,AH347+1)*AF347-ERP_i)*AE347*Ramure*Pc/MaxiM</f>
        <v>1.0166565314576392E-2</v>
      </c>
      <c r="AE347" s="305">
        <f t="shared" si="142"/>
        <v>0.7</v>
      </c>
      <c r="AF347" s="177">
        <f t="shared" si="143"/>
        <v>0.49977686425326473</v>
      </c>
      <c r="AG347" s="919">
        <f t="shared" si="149"/>
        <v>1</v>
      </c>
      <c r="AH347" s="176">
        <f t="shared" si="144"/>
        <v>7</v>
      </c>
      <c r="AI347" s="225">
        <f t="shared" si="145"/>
        <v>1.4997768642532647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1090">
        <f>IF(t&gt;Tmaj,'2023'!Wh/'2023'!Env_an*'2024'!Env_an,0.001*'[13]mon-tableau (3)'!$B$66)</f>
        <v>4.3084863011547476</v>
      </c>
      <c r="C348" s="953"/>
      <c r="D348" s="393">
        <f t="shared" si="127"/>
        <v>4.5392378376890097</v>
      </c>
      <c r="E348" s="385">
        <f t="shared" si="125"/>
        <v>4.7040953565117238</v>
      </c>
      <c r="F348" s="385">
        <f t="shared" si="128"/>
        <v>4.7040953565117238</v>
      </c>
      <c r="G348" s="110">
        <f t="shared" si="126"/>
        <v>0.16323625758838936</v>
      </c>
      <c r="H348" s="412" t="b">
        <f>Wh_hp&gt;='2023'!Maxi_hp</f>
        <v>0</v>
      </c>
      <c r="I348" s="390">
        <f>IF(H348,Wh_hp,'2023'!Maxi_hp)</f>
        <v>27.333508248606524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5.0834863645686568E-2</v>
      </c>
      <c r="M348" s="957"/>
      <c r="N348" s="957"/>
      <c r="O348" s="48">
        <f>IF(t&lt;Tnet,'2023'!Resal+('2023'!Salim-'2023'!Resal)*(1-EXP(('2023'!Tnet-t)/('2023'!Tau_j))),Resal+(Salim-Resal)*(1-EXP((Tnet-t)/(Tau_j))))*Salcycl</f>
        <v>3.5045530825498127E-2</v>
      </c>
      <c r="P348" s="169">
        <f>(INDEX(Models!$BJ348:$BT348,,T348)*(1-R348)+INDEX(Models!$BJ348:$BT348,,T348+1)*R348-ERP_i)*Q348*Ramure*Pc/MaxiM</f>
        <v>1.025229414361236E-2</v>
      </c>
      <c r="Q348" s="305">
        <f t="shared" si="130"/>
        <v>0.7</v>
      </c>
      <c r="R348" s="177">
        <f t="shared" si="131"/>
        <v>0.49979400741847391</v>
      </c>
      <c r="S348" s="919">
        <f t="shared" si="132"/>
        <v>1</v>
      </c>
      <c r="T348" s="176">
        <f t="shared" si="133"/>
        <v>7</v>
      </c>
      <c r="U348" s="251">
        <f t="shared" si="134"/>
        <v>1.4997940074184739</v>
      </c>
      <c r="V348" s="383">
        <f t="shared" si="135"/>
        <v>26.123573863316111</v>
      </c>
      <c r="W348" s="402">
        <f t="shared" si="136"/>
        <v>4.3084863011547476</v>
      </c>
      <c r="X348" s="157">
        <f t="shared" si="137"/>
        <v>45625</v>
      </c>
      <c r="Y348" s="385">
        <f t="shared" si="138"/>
        <v>4.155768061672255</v>
      </c>
      <c r="Z348" s="385">
        <f t="shared" si="139"/>
        <v>4.3783403988417779</v>
      </c>
      <c r="AA348" s="386">
        <f t="shared" si="140"/>
        <v>4.7040953565117238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6.9249224979892027E-2</v>
      </c>
      <c r="AD348" s="231">
        <f>(INDEX(Models!$BJ348:$BT348,,AH348)*(1-AF348)+INDEX(Models!$BJ348:$BT348,,AH348+1)*AF348-ERP_i)*AE348*Ramure*Pc/MaxiM</f>
        <v>1.025229414361236E-2</v>
      </c>
      <c r="AE348" s="305">
        <f t="shared" si="142"/>
        <v>0.7</v>
      </c>
      <c r="AF348" s="177">
        <f t="shared" si="143"/>
        <v>0.49979400741847391</v>
      </c>
      <c r="AG348" s="919">
        <f t="shared" si="149"/>
        <v>1</v>
      </c>
      <c r="AH348" s="176">
        <f t="shared" si="144"/>
        <v>7</v>
      </c>
      <c r="AI348" s="225">
        <f t="shared" si="145"/>
        <v>1.4997940074184739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1090">
        <f>IF(t&gt;Tmaj,'2023'!Wh/'2023'!Env_an*'2024'!Env_an,0.001*'[14]mon-tableau (2)'!$B$38)</f>
        <v>3.4844636346916111</v>
      </c>
      <c r="C349" s="953"/>
      <c r="D349" s="393">
        <f t="shared" si="127"/>
        <v>3.6711630269558495</v>
      </c>
      <c r="E349" s="385">
        <f t="shared" si="125"/>
        <v>3.8048878048681916</v>
      </c>
      <c r="F349" s="385">
        <f t="shared" si="128"/>
        <v>3.8048878048681916</v>
      </c>
      <c r="G349" s="110">
        <f t="shared" si="126"/>
        <v>0.1330713600339847</v>
      </c>
      <c r="H349" s="412" t="b">
        <f>Wh_hp&gt;='2023'!Maxi_hp</f>
        <v>0</v>
      </c>
      <c r="I349" s="390">
        <f>IF(H349,Wh_hp,'2023'!Maxi_hp)</f>
        <v>28.263329653266126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5.085565279814086E-2</v>
      </c>
      <c r="M349" s="957"/>
      <c r="N349" s="957"/>
      <c r="O349" s="48">
        <f>IF(t&lt;Tnet,'2023'!Resal+('2023'!Salim-'2023'!Resal)*(1-EXP(('2023'!Tnet-t)/('2023'!Tau_j))),Resal+(Salim-Resal)*(1-EXP((Tnet-t)/(Tau_j))))*Salcycl</f>
        <v>3.51455245910922E-2</v>
      </c>
      <c r="P349" s="169">
        <f>(INDEX(Models!$BJ349:$BT349,,T349)*(1-R349)+INDEX(Models!$BJ349:$BT349,,T349+1)*R349-ERP_i)*Q349*Ramure*Pc/MaxiM</f>
        <v>1.0321349893988772E-2</v>
      </c>
      <c r="Q349" s="305">
        <f t="shared" si="130"/>
        <v>0.7</v>
      </c>
      <c r="R349" s="177">
        <f t="shared" si="131"/>
        <v>0.49981046145464925</v>
      </c>
      <c r="S349" s="919">
        <f t="shared" si="132"/>
        <v>1</v>
      </c>
      <c r="T349" s="176">
        <f t="shared" si="133"/>
        <v>7</v>
      </c>
      <c r="U349" s="251">
        <f t="shared" si="134"/>
        <v>1.4998104614546492</v>
      </c>
      <c r="V349" s="383">
        <f t="shared" si="135"/>
        <v>25.914661617979831</v>
      </c>
      <c r="W349" s="402">
        <f t="shared" si="136"/>
        <v>3.4844636346916111</v>
      </c>
      <c r="X349" s="157">
        <f t="shared" si="137"/>
        <v>45626</v>
      </c>
      <c r="Y349" s="385">
        <f t="shared" si="138"/>
        <v>3.3611176741277973</v>
      </c>
      <c r="Z349" s="385">
        <f t="shared" si="139"/>
        <v>3.5412081250197573</v>
      </c>
      <c r="AA349" s="386">
        <f t="shared" si="140"/>
        <v>3.8048878048681916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6.9300250985342482E-2</v>
      </c>
      <c r="AD349" s="231">
        <f>(INDEX(Models!$BJ349:$BT349,,AH349)*(1-AF349)+INDEX(Models!$BJ349:$BT349,,AH349+1)*AF349-ERP_i)*AE349*Ramure*Pc/MaxiM</f>
        <v>1.0321349893988772E-2</v>
      </c>
      <c r="AE349" s="305">
        <f t="shared" si="142"/>
        <v>0.7</v>
      </c>
      <c r="AF349" s="177">
        <f t="shared" si="143"/>
        <v>0.49981046145464925</v>
      </c>
      <c r="AG349" s="919">
        <f t="shared" si="149"/>
        <v>1</v>
      </c>
      <c r="AH349" s="176">
        <f t="shared" si="144"/>
        <v>7</v>
      </c>
      <c r="AI349" s="225">
        <f t="shared" si="145"/>
        <v>1.4998104614546492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1090">
        <f>IF(t&gt;Tmaj,'2023'!Wh/'2023'!Env_an*'2024'!Env_an,0.001*'[14]mon-tableau (2)'!$B$39)</f>
        <v>6.5806210979340012</v>
      </c>
      <c r="C350" s="953"/>
      <c r="D350" s="393">
        <f t="shared" si="127"/>
        <v>6.9333660922938023</v>
      </c>
      <c r="E350" s="385">
        <f t="shared" si="125"/>
        <v>7.1866669433679302</v>
      </c>
      <c r="F350" s="385">
        <f t="shared" si="128"/>
        <v>7.1866669433679302</v>
      </c>
      <c r="G350" s="110">
        <f t="shared" si="126"/>
        <v>0.2532781321426506</v>
      </c>
      <c r="H350" s="412" t="b">
        <f>Wh_hp&gt;='2023'!Maxi_hp</f>
        <v>0</v>
      </c>
      <c r="I350" s="390">
        <f>IF(H350,Wh_hp,'2023'!Maxi_hp)</f>
        <v>11.458603807529059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5.0876441495259384E-2</v>
      </c>
      <c r="M350" s="957"/>
      <c r="N350" s="957"/>
      <c r="O350" s="48">
        <f>IF(t&lt;Tnet,'2023'!Resal+('2023'!Salim-'2023'!Resal)*(1-EXP(('2023'!Tnet-t)/('2023'!Tau_j))),Resal+(Salim-Resal)*(1-EXP((Tnet-t)/(Tau_j))))*Salcycl</f>
        <v>3.5245942669971782E-2</v>
      </c>
      <c r="P350" s="169">
        <f>(INDEX(Models!$BJ350:$BT350,,T350)*(1-R350)+INDEX(Models!$BJ350:$BT350,,T350+1)*R350-ERP_i)*Q350*Ramure*Pc/MaxiM</f>
        <v>1.0372899899644687E-2</v>
      </c>
      <c r="Q350" s="305">
        <f t="shared" si="130"/>
        <v>0.7</v>
      </c>
      <c r="R350" s="177">
        <f t="shared" si="131"/>
        <v>0.49982625402107139</v>
      </c>
      <c r="S350" s="919">
        <f t="shared" si="132"/>
        <v>1</v>
      </c>
      <c r="T350" s="176">
        <f t="shared" si="133"/>
        <v>7</v>
      </c>
      <c r="U350" s="251">
        <f t="shared" si="134"/>
        <v>1.4998262540210714</v>
      </c>
      <c r="V350" s="383">
        <f t="shared" si="135"/>
        <v>25.712290748969075</v>
      </c>
      <c r="W350" s="402">
        <f t="shared" si="136"/>
        <v>6.5806210979340012</v>
      </c>
      <c r="X350" s="157">
        <f t="shared" si="137"/>
        <v>45627</v>
      </c>
      <c r="Y350" s="385">
        <f t="shared" si="138"/>
        <v>6.3479799421580037</v>
      </c>
      <c r="Z350" s="385">
        <f t="shared" si="139"/>
        <v>6.6882545325907605</v>
      </c>
      <c r="AA350" s="386">
        <f t="shared" si="140"/>
        <v>7.1866669433679302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6.9352373597487985E-2</v>
      </c>
      <c r="AD350" s="231">
        <f>(INDEX(Models!$BJ350:$BT350,,AH350)*(1-AF350)+INDEX(Models!$BJ350:$BT350,,AH350+1)*AF350-ERP_i)*AE350*Ramure*Pc/MaxiM</f>
        <v>1.0372899899644687E-2</v>
      </c>
      <c r="AE350" s="305">
        <f t="shared" si="142"/>
        <v>0.7</v>
      </c>
      <c r="AF350" s="177">
        <f t="shared" si="143"/>
        <v>0.49982625402107139</v>
      </c>
      <c r="AG350" s="919">
        <f t="shared" si="149"/>
        <v>1</v>
      </c>
      <c r="AH350" s="176">
        <f t="shared" si="144"/>
        <v>7</v>
      </c>
      <c r="AI350" s="225">
        <f t="shared" si="145"/>
        <v>1.4998262540210714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1090">
        <f>IF(t&gt;Tmaj,'2023'!Wh/'2023'!Env_an*'2024'!Env_an,0.001*'[14]mon-tableau (2)'!$B$40)</f>
        <v>7.406402185822123</v>
      </c>
      <c r="C351" s="953"/>
      <c r="D351" s="393">
        <f t="shared" si="127"/>
        <v>7.8035829394641709</v>
      </c>
      <c r="E351" s="385">
        <f t="shared" si="125"/>
        <v>8.0895215019418494</v>
      </c>
      <c r="F351" s="385">
        <f t="shared" si="128"/>
        <v>8.0895215019418494</v>
      </c>
      <c r="G351" s="110">
        <f t="shared" si="126"/>
        <v>0.28722053541784165</v>
      </c>
      <c r="H351" s="412" t="b">
        <f>Wh_hp&gt;='2023'!Maxi_hp</f>
        <v>0</v>
      </c>
      <c r="I351" s="390">
        <f>IF(H351,Wh_hp,'2023'!Maxi_hp)</f>
        <v>16.674095051480148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5.0897229737052019E-2</v>
      </c>
      <c r="M351" s="957"/>
      <c r="N351" s="957"/>
      <c r="O351" s="48">
        <f>IF(t&lt;Tnet,'2023'!Resal+('2023'!Salim-'2023'!Resal)*(1-EXP(('2023'!Tnet-t)/('2023'!Tau_j))),Resal+(Salim-Resal)*(1-EXP((Tnet-t)/(Tau_j))))*Salcycl</f>
        <v>3.534678316993662E-2</v>
      </c>
      <c r="P351" s="169">
        <f>(INDEX(Models!$BJ351:$BT351,,T351)*(1-R351)+INDEX(Models!$BJ351:$BT351,,T351+1)*R351-ERP_i)*Q351*Ramure*Pc/MaxiM</f>
        <v>1.0406063768991195E-2</v>
      </c>
      <c r="Q351" s="305">
        <f t="shared" si="130"/>
        <v>0.7</v>
      </c>
      <c r="R351" s="177">
        <f t="shared" si="131"/>
        <v>0.49984141167023388</v>
      </c>
      <c r="S351" s="919">
        <f t="shared" si="132"/>
        <v>1</v>
      </c>
      <c r="T351" s="176">
        <f t="shared" si="133"/>
        <v>7</v>
      </c>
      <c r="U351" s="251">
        <f t="shared" si="134"/>
        <v>1.4998414116702339</v>
      </c>
      <c r="V351" s="383">
        <f t="shared" si="135"/>
        <v>25.518129063143498</v>
      </c>
      <c r="W351" s="402">
        <f t="shared" si="136"/>
        <v>7.406402185822123</v>
      </c>
      <c r="X351" s="157">
        <f t="shared" si="137"/>
        <v>45628</v>
      </c>
      <c r="Y351" s="385">
        <f t="shared" si="138"/>
        <v>7.1449059811988471</v>
      </c>
      <c r="Z351" s="385">
        <f t="shared" si="139"/>
        <v>7.5280635617777811</v>
      </c>
      <c r="AA351" s="386">
        <f t="shared" si="140"/>
        <v>8.0895215019418494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6.9405581038296665E-2</v>
      </c>
      <c r="AD351" s="231">
        <f>(INDEX(Models!$BJ351:$BT351,,AH351)*(1-AF351)+INDEX(Models!$BJ351:$BT351,,AH351+1)*AF351-ERP_i)*AE351*Ramure*Pc/MaxiM</f>
        <v>1.0406063768991195E-2</v>
      </c>
      <c r="AE351" s="305">
        <f t="shared" si="142"/>
        <v>0.7</v>
      </c>
      <c r="AF351" s="177">
        <f t="shared" si="143"/>
        <v>0.49984141167023388</v>
      </c>
      <c r="AG351" s="919">
        <f t="shared" si="149"/>
        <v>1</v>
      </c>
      <c r="AH351" s="176">
        <f t="shared" si="144"/>
        <v>7</v>
      </c>
      <c r="AI351" s="225">
        <f t="shared" si="145"/>
        <v>1.4998414116702339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1090">
        <f>IF(t&gt;Tmaj,'2023'!Wh/'2023'!Env_an*'2024'!Env_an,0.001*'[14]mon-tableau (2)'!$B$41)</f>
        <v>20.527180114577355</v>
      </c>
      <c r="C352" s="953"/>
      <c r="D352" s="393">
        <f t="shared" si="127"/>
        <v>21.6284583350904</v>
      </c>
      <c r="E352" s="385">
        <f t="shared" si="125"/>
        <v>22.423321170806979</v>
      </c>
      <c r="F352" s="385">
        <f t="shared" si="128"/>
        <v>22.594936522596271</v>
      </c>
      <c r="G352" s="110">
        <f t="shared" si="126"/>
        <v>0.80796086488779228</v>
      </c>
      <c r="H352" s="412" t="b">
        <f>Wh_hp&gt;='2023'!Maxi_hp</f>
        <v>0</v>
      </c>
      <c r="I352" s="390">
        <f>IF(H352,Wh_hp,'2023'!Maxi_hp)</f>
        <v>22.627987820591123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5.0918017523528758E-2</v>
      </c>
      <c r="M352" s="957"/>
      <c r="N352" s="957"/>
      <c r="O352" s="48">
        <f>IF(t&lt;Tnet,'2023'!Resal+('2023'!Salim-'2023'!Resal)*(1-EXP(('2023'!Tnet-t)/('2023'!Tau_j))),Resal+(Salim-Resal)*(1-EXP((Tnet-t)/(Tau_j))))*Salcycl</f>
        <v>3.5448042226296723E-2</v>
      </c>
      <c r="P352" s="169">
        <f>(INDEX(Models!$BJ352:$BT352,,T352)*(1-R352)+INDEX(Models!$BJ352:$BT352,,T352+1)*R352-ERP_i)*Q352*Ramure*Pc/MaxiM</f>
        <v>1.0419474401030691E-2</v>
      </c>
      <c r="Q352" s="305">
        <f t="shared" si="130"/>
        <v>0.7</v>
      </c>
      <c r="R352" s="177">
        <f t="shared" si="131"/>
        <v>0.49985595989186882</v>
      </c>
      <c r="S352" s="919">
        <f t="shared" si="132"/>
        <v>1</v>
      </c>
      <c r="T352" s="176">
        <f t="shared" si="133"/>
        <v>7</v>
      </c>
      <c r="U352" s="251">
        <f t="shared" si="134"/>
        <v>1.4998559598918688</v>
      </c>
      <c r="V352" s="383">
        <f t="shared" si="135"/>
        <v>25.333855893325925</v>
      </c>
      <c r="W352" s="402">
        <f t="shared" si="136"/>
        <v>20.527180114577355</v>
      </c>
      <c r="X352" s="157">
        <f t="shared" si="137"/>
        <v>45629</v>
      </c>
      <c r="Y352" s="385">
        <f t="shared" si="138"/>
        <v>19.803355276550036</v>
      </c>
      <c r="Z352" s="385">
        <f t="shared" si="139"/>
        <v>20.86580047055206</v>
      </c>
      <c r="AA352" s="386">
        <f t="shared" si="140"/>
        <v>22.423321170806979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6.9459857814580139E-2</v>
      </c>
      <c r="AD352" s="231">
        <f>(INDEX(Models!$BJ352:$BT352,,AH352)*(1-AF352)+INDEX(Models!$BJ352:$BT352,,AH352+1)*AF352-ERP_i)*AE352*Ramure*Pc/MaxiM</f>
        <v>1.0419474401030691E-2</v>
      </c>
      <c r="AE352" s="305">
        <f t="shared" si="142"/>
        <v>0.7</v>
      </c>
      <c r="AF352" s="177">
        <f t="shared" si="143"/>
        <v>0.49985595989186882</v>
      </c>
      <c r="AG352" s="919">
        <f t="shared" si="149"/>
        <v>1</v>
      </c>
      <c r="AH352" s="176">
        <f t="shared" si="144"/>
        <v>7</v>
      </c>
      <c r="AI352" s="225">
        <f t="shared" si="145"/>
        <v>1.4998559598918688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1090">
        <f>IF(t&gt;Tmaj,'2023'!Wh/'2023'!Env_an*'2024'!Env_an,0.001*'[14]mon-tableau (2)'!$B$42)</f>
        <v>26.064175102376357</v>
      </c>
      <c r="C353" s="953"/>
      <c r="D353" s="393">
        <f t="shared" si="127"/>
        <v>27.463113269936148</v>
      </c>
      <c r="E353" s="385">
        <f t="shared" si="125"/>
        <v>28.475405804559923</v>
      </c>
      <c r="F353" s="385">
        <f t="shared" si="128"/>
        <v>28.775249573433708</v>
      </c>
      <c r="G353" s="110">
        <f t="shared" si="126"/>
        <v>1.0358984992438316</v>
      </c>
      <c r="H353" s="412" t="b">
        <f>Wh_hp&gt;='2023'!Maxi_hp</f>
        <v>1</v>
      </c>
      <c r="I353" s="390">
        <f>IF(H353,Wh_hp,'2023'!Maxi_hp)</f>
        <v>28.775249573433708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5.0938804854699704E-2</v>
      </c>
      <c r="M353" s="957"/>
      <c r="N353" s="957"/>
      <c r="O353" s="48">
        <f>IF(t&lt;Tnet,'2023'!Resal+('2023'!Salim-'2023'!Resal)*(1-EXP(('2023'!Tnet-t)/('2023'!Tau_j))),Resal+(Salim-Resal)*(1-EXP((Tnet-t)/(Tau_j))))*Salcycl</f>
        <v>3.554971407858467E-2</v>
      </c>
      <c r="P353" s="169">
        <f>(INDEX(Models!$BJ353:$BT353,,T353)*(1-R353)+INDEX(Models!$BJ353:$BT353,,T353+1)*R353-ERP_i)*Q353*Ramure*Pc/MaxiM</f>
        <v>1.0420196985905959E-2</v>
      </c>
      <c r="Q353" s="305">
        <f t="shared" si="130"/>
        <v>0.7</v>
      </c>
      <c r="R353" s="177">
        <f t="shared" si="131"/>
        <v>0.49986992315523793</v>
      </c>
      <c r="S353" s="919">
        <f t="shared" si="132"/>
        <v>1</v>
      </c>
      <c r="T353" s="176">
        <f t="shared" si="133"/>
        <v>7</v>
      </c>
      <c r="U353" s="251">
        <f t="shared" si="134"/>
        <v>1.4998699231552379</v>
      </c>
      <c r="V353" s="383">
        <f t="shared" si="135"/>
        <v>25.16093528603648</v>
      </c>
      <c r="W353" s="402">
        <f t="shared" si="136"/>
        <v>26.064175102376357</v>
      </c>
      <c r="X353" s="157">
        <f t="shared" si="137"/>
        <v>45630</v>
      </c>
      <c r="Y353" s="385">
        <f t="shared" si="138"/>
        <v>25.146261559312752</v>
      </c>
      <c r="Z353" s="385">
        <f t="shared" si="139"/>
        <v>26.495932704806126</v>
      </c>
      <c r="AA353" s="386">
        <f t="shared" si="140"/>
        <v>28.475405804559923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6.9515184905172153E-2</v>
      </c>
      <c r="AD353" s="231">
        <f>(INDEX(Models!$BJ353:$BT353,,AH353)*(1-AF353)+INDEX(Models!$BJ353:$BT353,,AH353+1)*AF353-ERP_i)*AE353*Ramure*Pc/MaxiM</f>
        <v>1.0420196985905959E-2</v>
      </c>
      <c r="AE353" s="305">
        <f t="shared" si="142"/>
        <v>0.7</v>
      </c>
      <c r="AF353" s="177">
        <f t="shared" si="143"/>
        <v>0.49986992315523793</v>
      </c>
      <c r="AG353" s="919">
        <f t="shared" si="149"/>
        <v>1</v>
      </c>
      <c r="AH353" s="176">
        <f t="shared" si="144"/>
        <v>7</v>
      </c>
      <c r="AI353" s="225">
        <f t="shared" si="145"/>
        <v>1.4998699231552379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1090">
        <f>IF(t&gt;Tmaj,'2023'!Wh/'2023'!Env_an*'2024'!Env_an,0.001*'[14]mon-tableau (2)'!$B$43)</f>
        <v>11.373105772100265</v>
      </c>
      <c r="C354" s="953"/>
      <c r="D354" s="393">
        <f t="shared" si="127"/>
        <v>11.983795076585958</v>
      </c>
      <c r="E354" s="385">
        <f t="shared" si="125"/>
        <v>12.426833965896709</v>
      </c>
      <c r="F354" s="385">
        <f t="shared" si="128"/>
        <v>12.455520009931817</v>
      </c>
      <c r="G354" s="110">
        <f t="shared" si="126"/>
        <v>0.45121017275351644</v>
      </c>
      <c r="H354" s="412" t="b">
        <f>Wh_hp&gt;='2023'!Maxi_hp</f>
        <v>0</v>
      </c>
      <c r="I354" s="390">
        <f>IF(H354,Wh_hp,'2023'!Maxi_hp)</f>
        <v>23.022498392650729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5.0959591730574738E-2</v>
      </c>
      <c r="M354" s="957"/>
      <c r="N354" s="957"/>
      <c r="O354" s="48">
        <f>IF(t&lt;Tnet,'2023'!Resal+('2023'!Salim-'2023'!Resal)*(1-EXP(('2023'!Tnet-t)/('2023'!Tau_j))),Resal+(Salim-Resal)*(1-EXP((Tnet-t)/(Tau_j))))*Salcycl</f>
        <v>3.5651791158278434E-2</v>
      </c>
      <c r="P354" s="169">
        <f>(INDEX(Models!$BJ354:$BT354,,T354)*(1-R354)+INDEX(Models!$BJ354:$BT354,,T354+1)*R354-ERP_i)*Q354*Ramure*Pc/MaxiM</f>
        <v>1.0407355415341409E-2</v>
      </c>
      <c r="Q354" s="305">
        <f t="shared" si="130"/>
        <v>0.7</v>
      </c>
      <c r="R354" s="177">
        <f t="shared" si="131"/>
        <v>0.49988332494976073</v>
      </c>
      <c r="S354" s="919">
        <f t="shared" si="132"/>
        <v>1</v>
      </c>
      <c r="T354" s="176">
        <f t="shared" si="133"/>
        <v>7</v>
      </c>
      <c r="U354" s="251">
        <f t="shared" si="134"/>
        <v>1.4998833249497607</v>
      </c>
      <c r="V354" s="383">
        <f t="shared" si="135"/>
        <v>25.001036970078644</v>
      </c>
      <c r="W354" s="402">
        <f t="shared" si="136"/>
        <v>11.373105772100265</v>
      </c>
      <c r="X354" s="157">
        <f t="shared" si="137"/>
        <v>45631</v>
      </c>
      <c r="Y354" s="385">
        <f t="shared" si="138"/>
        <v>10.973070922212225</v>
      </c>
      <c r="Z354" s="385">
        <f t="shared" si="139"/>
        <v>11.562279989975995</v>
      </c>
      <c r="AA354" s="386">
        <f t="shared" si="140"/>
        <v>12.426833965896709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6.9571539966924265E-2</v>
      </c>
      <c r="AD354" s="231">
        <f>(INDEX(Models!$BJ354:$BT354,,AH354)*(1-AF354)+INDEX(Models!$BJ354:$BT354,,AH354+1)*AF354-ERP_i)*AE354*Ramure*Pc/MaxiM</f>
        <v>1.0407355415341409E-2</v>
      </c>
      <c r="AE354" s="305">
        <f t="shared" si="142"/>
        <v>0.7</v>
      </c>
      <c r="AF354" s="177">
        <f t="shared" si="143"/>
        <v>0.49988332494976073</v>
      </c>
      <c r="AG354" s="919">
        <f t="shared" si="149"/>
        <v>1</v>
      </c>
      <c r="AH354" s="176">
        <f t="shared" si="144"/>
        <v>7</v>
      </c>
      <c r="AI354" s="225">
        <f t="shared" si="145"/>
        <v>1.4998833249497607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1090">
        <f>IF(t&gt;Tmaj,'2023'!Wh/'2023'!Env_an*'2024'!Env_an,0.001*'[14]mon-tableau (2)'!$B$44)</f>
        <v>20.431670067781283</v>
      </c>
      <c r="C355" s="953"/>
      <c r="D355" s="393">
        <f t="shared" si="127"/>
        <v>21.529238803279167</v>
      </c>
      <c r="E355" s="385">
        <f t="shared" si="125"/>
        <v>22.327543699346716</v>
      </c>
      <c r="F355" s="385">
        <f t="shared" si="128"/>
        <v>22.501722238707529</v>
      </c>
      <c r="G355" s="110">
        <f t="shared" si="126"/>
        <v>0.81982061421023067</v>
      </c>
      <c r="H355" s="412" t="b">
        <f>Wh_hp&gt;='2023'!Maxi_hp</f>
        <v>0</v>
      </c>
      <c r="I355" s="390">
        <f>IF(H355,Wh_hp,'2023'!Maxi_hp)</f>
        <v>23.615013833101326</v>
      </c>
      <c r="J355" s="85">
        <f>IF(H355,An,'2023'!An_max)</f>
        <v>2018</v>
      </c>
      <c r="K355" s="197">
        <f t="shared" si="129"/>
        <v>45632</v>
      </c>
      <c r="L355" s="147">
        <f>IF(t&lt;Tvie,1-EXP((T0-t)*PertePVj)+'2023'!Pspv,1-EXP((T0-t)*PertePVj)+Pspv)</f>
        <v>5.0980378151163852E-2</v>
      </c>
      <c r="M355" s="957"/>
      <c r="N355" s="957"/>
      <c r="O355" s="48">
        <f>IF(t&lt;Tnet,'2023'!Resal+('2023'!Salim-'2023'!Resal)*(1-EXP(('2023'!Tnet-t)/('2023'!Tau_j))),Resal+(Salim-Resal)*(1-EXP((Tnet-t)/(Tau_j))))*Salcycl</f>
        <v>3.5754264186745509E-2</v>
      </c>
      <c r="P355" s="169">
        <f>(INDEX(Models!$BJ355:$BT355,,T355)*(1-R355)+INDEX(Models!$BJ355:$BT355,,T355+1)*R355-ERP_i)*Q355*Ramure*Pc/MaxiM</f>
        <v>1.0380074681846808E-2</v>
      </c>
      <c r="Q355" s="305">
        <f t="shared" si="130"/>
        <v>0.7</v>
      </c>
      <c r="R355" s="177">
        <f t="shared" si="131"/>
        <v>0.49989618782404577</v>
      </c>
      <c r="S355" s="919">
        <f t="shared" si="132"/>
        <v>1</v>
      </c>
      <c r="T355" s="176">
        <f t="shared" si="133"/>
        <v>7</v>
      </c>
      <c r="U355" s="251">
        <f t="shared" si="134"/>
        <v>1.4998961878240458</v>
      </c>
      <c r="V355" s="383">
        <f t="shared" si="135"/>
        <v>24.855830287021323</v>
      </c>
      <c r="W355" s="402">
        <f t="shared" si="136"/>
        <v>20.431670067781283</v>
      </c>
      <c r="X355" s="157">
        <f t="shared" si="137"/>
        <v>45632</v>
      </c>
      <c r="Y355" s="385">
        <f t="shared" si="138"/>
        <v>19.713891075355125</v>
      </c>
      <c r="Z355" s="385">
        <f t="shared" si="139"/>
        <v>20.772901446388889</v>
      </c>
      <c r="AA355" s="386">
        <f t="shared" si="140"/>
        <v>22.327543699346716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6.962889755774225E-2</v>
      </c>
      <c r="AD355" s="231">
        <f>(INDEX(Models!$BJ355:$BT355,,AH355)*(1-AF355)+INDEX(Models!$BJ355:$BT355,,AH355+1)*AF355-ERP_i)*AE355*Ramure*Pc/MaxiM</f>
        <v>1.0380074681846808E-2</v>
      </c>
      <c r="AE355" s="305">
        <f t="shared" si="142"/>
        <v>0.7</v>
      </c>
      <c r="AF355" s="177">
        <f t="shared" si="143"/>
        <v>0.49989618782404577</v>
      </c>
      <c r="AG355" s="919">
        <f t="shared" si="149"/>
        <v>1</v>
      </c>
      <c r="AH355" s="176">
        <f t="shared" si="144"/>
        <v>7</v>
      </c>
      <c r="AI355" s="225">
        <f t="shared" si="145"/>
        <v>1.4998961878240458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1090">
        <f>IF(t&gt;Tmaj,'2023'!Wh/'2023'!Env_an*'2024'!Env_an,0.001*'[14]mon-tableau (2)'!$B$45)</f>
        <v>4.6861052921209074</v>
      </c>
      <c r="C356" s="953"/>
      <c r="D356" s="393">
        <f t="shared" si="127"/>
        <v>4.9379463018604426</v>
      </c>
      <c r="E356" s="385">
        <f t="shared" si="125"/>
        <v>5.1215918469995687</v>
      </c>
      <c r="F356" s="385">
        <f t="shared" si="128"/>
        <v>5.1215918469995687</v>
      </c>
      <c r="G356" s="110">
        <f t="shared" si="126"/>
        <v>0.18755472411826954</v>
      </c>
      <c r="H356" s="412" t="b">
        <f>Wh_hp&gt;='2023'!Maxi_hp</f>
        <v>0</v>
      </c>
      <c r="I356" s="390">
        <f>IF(H356,Wh_hp,'2023'!Maxi_hp)</f>
        <v>18.625313050324355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5.1001164116477038E-2</v>
      </c>
      <c r="M356" s="957"/>
      <c r="N356" s="957"/>
      <c r="O356" s="48">
        <f>IF(t&lt;Tnet,'2023'!Resal+('2023'!Salim-'2023'!Resal)*(1-EXP(('2023'!Tnet-t)/('2023'!Tau_j))),Resal+(Salim-Resal)*(1-EXP((Tnet-t)/(Tau_j))))*Salcycl</f>
        <v>3.5857122282540427E-2</v>
      </c>
      <c r="P356" s="169">
        <f>(INDEX(Models!$BJ356:$BT356,,T356)*(1-R356)+INDEX(Models!$BJ356:$BT356,,T356+1)*R356-ERP_i)*Q356*Ramure*Pc/MaxiM</f>
        <v>1.0337496057453396E-2</v>
      </c>
      <c r="Q356" s="305">
        <f t="shared" si="130"/>
        <v>0.7</v>
      </c>
      <c r="R356" s="177">
        <f t="shared" si="131"/>
        <v>0.49990853342337993</v>
      </c>
      <c r="S356" s="919">
        <f t="shared" si="132"/>
        <v>1</v>
      </c>
      <c r="T356" s="176">
        <f t="shared" si="133"/>
        <v>7</v>
      </c>
      <c r="U356" s="251">
        <f t="shared" si="134"/>
        <v>1.4999085334233799</v>
      </c>
      <c r="V356" s="383">
        <f t="shared" si="135"/>
        <v>24.726984185236237</v>
      </c>
      <c r="W356" s="402">
        <f t="shared" si="136"/>
        <v>4.6861052921209074</v>
      </c>
      <c r="X356" s="157">
        <f t="shared" si="137"/>
        <v>45633</v>
      </c>
      <c r="Y356" s="385">
        <f t="shared" si="138"/>
        <v>4.5216779571877197</v>
      </c>
      <c r="Z356" s="385">
        <f t="shared" si="139"/>
        <v>4.7646823011937771</v>
      </c>
      <c r="AA356" s="386">
        <f t="shared" si="140"/>
        <v>5.1215918469995687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6.9687229374766235E-2</v>
      </c>
      <c r="AD356" s="231">
        <f>(INDEX(Models!$BJ356:$BT356,,AH356)*(1-AF356)+INDEX(Models!$BJ356:$BT356,,AH356+1)*AF356-ERP_i)*AE356*Ramure*Pc/MaxiM</f>
        <v>1.0337496057453396E-2</v>
      </c>
      <c r="AE356" s="305">
        <f t="shared" si="142"/>
        <v>0.7</v>
      </c>
      <c r="AF356" s="177">
        <f t="shared" si="143"/>
        <v>0.49990853342337993</v>
      </c>
      <c r="AG356" s="919">
        <f t="shared" si="149"/>
        <v>1</v>
      </c>
      <c r="AH356" s="176">
        <f t="shared" si="144"/>
        <v>7</v>
      </c>
      <c r="AI356" s="225">
        <f t="shared" si="145"/>
        <v>1.4999085334233799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1090">
        <f>IF(t&gt;Tmaj,'2023'!Wh/'2023'!Env_an*'2024'!Env_an,0.001*'[14]mon-tableau (2)'!$B$46)</f>
        <v>5.7061574607950565</v>
      </c>
      <c r="C357" s="953"/>
      <c r="D357" s="393">
        <f t="shared" si="127"/>
        <v>6.0129498870383413</v>
      </c>
      <c r="E357" s="385">
        <f t="shared" si="125"/>
        <v>6.2372433605101882</v>
      </c>
      <c r="F357" s="385">
        <f t="shared" si="128"/>
        <v>6.2372433605101882</v>
      </c>
      <c r="G357" s="110">
        <f t="shared" si="126"/>
        <v>0.22942259871361054</v>
      </c>
      <c r="H357" s="412" t="b">
        <f>Wh_hp&gt;='2023'!Maxi_hp</f>
        <v>0</v>
      </c>
      <c r="I357" s="390">
        <f>IF(H357,Wh_hp,'2023'!Maxi_hp)</f>
        <v>9.4747658981708156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5.1021949626524177E-2</v>
      </c>
      <c r="M357" s="957"/>
      <c r="N357" s="957"/>
      <c r="O357" s="48">
        <f>IF(t&lt;Tnet,'2023'!Resal+('2023'!Salim-'2023'!Resal)*(1-EXP(('2023'!Tnet-t)/('2023'!Tau_j))),Resal+(Salim-Resal)*(1-EXP((Tnet-t)/(Tau_j))))*Salcycl</f>
        <v>3.596035307711648E-2</v>
      </c>
      <c r="P357" s="169">
        <f>(INDEX(Models!$BJ357:$BT357,,T357)*(1-R357)+INDEX(Models!$BJ357:$BT357,,T357+1)*R357-ERP_i)*Q357*Ramure*Pc/MaxiM</f>
        <v>1.0278793950266121E-2</v>
      </c>
      <c r="Q357" s="305">
        <f t="shared" si="130"/>
        <v>0.7</v>
      </c>
      <c r="R357" s="177">
        <f t="shared" si="131"/>
        <v>0.49992038252573989</v>
      </c>
      <c r="S357" s="919">
        <f t="shared" si="132"/>
        <v>1</v>
      </c>
      <c r="T357" s="176">
        <f t="shared" si="133"/>
        <v>7</v>
      </c>
      <c r="U357" s="251">
        <f t="shared" si="134"/>
        <v>1.4999203825257399</v>
      </c>
      <c r="V357" s="383">
        <f t="shared" si="135"/>
        <v>24.616167176528162</v>
      </c>
      <c r="W357" s="402">
        <f t="shared" si="136"/>
        <v>5.7061574607950565</v>
      </c>
      <c r="X357" s="157">
        <f t="shared" si="137"/>
        <v>45634</v>
      </c>
      <c r="Y357" s="385">
        <f t="shared" si="138"/>
        <v>5.5061769925009516</v>
      </c>
      <c r="Z357" s="385">
        <f t="shared" si="139"/>
        <v>5.8022174383632619</v>
      </c>
      <c r="AA357" s="386">
        <f t="shared" si="140"/>
        <v>6.2372433605101882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6.974650450569285E-2</v>
      </c>
      <c r="AD357" s="231">
        <f>(INDEX(Models!$BJ357:$BT357,,AH357)*(1-AF357)+INDEX(Models!$BJ357:$BT357,,AH357+1)*AF357-ERP_i)*AE357*Ramure*Pc/MaxiM</f>
        <v>1.0278793950266121E-2</v>
      </c>
      <c r="AE357" s="305">
        <f t="shared" si="142"/>
        <v>0.7</v>
      </c>
      <c r="AF357" s="177">
        <f t="shared" si="143"/>
        <v>0.49992038252573989</v>
      </c>
      <c r="AG357" s="919">
        <f t="shared" si="149"/>
        <v>1</v>
      </c>
      <c r="AH357" s="176">
        <f t="shared" si="144"/>
        <v>7</v>
      </c>
      <c r="AI357" s="225">
        <f t="shared" si="145"/>
        <v>1.4999203825257399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1090">
        <f>IF(t&gt;Tmaj,'2023'!Wh/'2023'!Env_an*'2024'!Env_an,0.001*'[14]mon-tableau (2)'!$B$47)</f>
        <v>14.218139753517875</v>
      </c>
      <c r="C358" s="953"/>
      <c r="D358" s="393">
        <f t="shared" si="127"/>
        <v>14.982908370213121</v>
      </c>
      <c r="E358" s="385">
        <f t="shared" si="125"/>
        <v>15.543467078433309</v>
      </c>
      <c r="F358" s="385">
        <f t="shared" si="128"/>
        <v>15.607104756093644</v>
      </c>
      <c r="G358" s="110">
        <f t="shared" si="126"/>
        <v>0.57617368735001917</v>
      </c>
      <c r="H358" s="412" t="b">
        <f>Wh_hp&gt;='2023'!Maxi_hp</f>
        <v>0</v>
      </c>
      <c r="I358" s="390">
        <f>IF(H358,Wh_hp,'2023'!Maxi_hp)</f>
        <v>22.134135091685113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5.104273468131526E-2</v>
      </c>
      <c r="M358" s="957"/>
      <c r="N358" s="957"/>
      <c r="O358" s="48">
        <f>IF(t&lt;Tnet,'2023'!Resal+('2023'!Salim-'2023'!Resal)*(1-EXP(('2023'!Tnet-t)/('2023'!Tau_j))),Resal+(Salim-Resal)*(1-EXP((Tnet-t)/(Tau_j))))*Salcycl</f>
        <v>3.6063942837950773E-2</v>
      </c>
      <c r="P358" s="169">
        <f>(INDEX(Models!$BJ358:$BT358,,T358)*(1-R358)+INDEX(Models!$BJ358:$BT358,,T358+1)*R358-ERP_i)*Q358*Ramure*Pc/MaxiM</f>
        <v>1.0203194200972628E-2</v>
      </c>
      <c r="Q358" s="305">
        <f t="shared" si="130"/>
        <v>0.7</v>
      </c>
      <c r="R358" s="177">
        <f t="shared" si="131"/>
        <v>0.49993175507638443</v>
      </c>
      <c r="S358" s="919">
        <f t="shared" si="132"/>
        <v>1</v>
      </c>
      <c r="T358" s="176">
        <f t="shared" si="133"/>
        <v>7</v>
      </c>
      <c r="U358" s="251">
        <f t="shared" si="134"/>
        <v>1.4999317550763844</v>
      </c>
      <c r="V358" s="383">
        <f t="shared" si="135"/>
        <v>24.525047280444831</v>
      </c>
      <c r="W358" s="402">
        <f t="shared" si="136"/>
        <v>14.218139753517875</v>
      </c>
      <c r="X358" s="157">
        <f t="shared" si="137"/>
        <v>45635</v>
      </c>
      <c r="Y358" s="385">
        <f t="shared" si="138"/>
        <v>13.720431335141175</v>
      </c>
      <c r="Z358" s="385">
        <f t="shared" si="139"/>
        <v>14.458429095364473</v>
      </c>
      <c r="AA358" s="386">
        <f t="shared" si="140"/>
        <v>15.543467078433309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6.9806689691152349E-2</v>
      </c>
      <c r="AD358" s="231">
        <f>(INDEX(Models!$BJ358:$BT358,,AH358)*(1-AF358)+INDEX(Models!$BJ358:$BT358,,AH358+1)*AF358-ERP_i)*AE358*Ramure*Pc/MaxiM</f>
        <v>1.0203194200972628E-2</v>
      </c>
      <c r="AE358" s="305">
        <f t="shared" si="142"/>
        <v>0.7</v>
      </c>
      <c r="AF358" s="177">
        <f t="shared" si="143"/>
        <v>0.49993175507638443</v>
      </c>
      <c r="AG358" s="919">
        <f t="shared" si="149"/>
        <v>1</v>
      </c>
      <c r="AH358" s="176">
        <f t="shared" si="144"/>
        <v>7</v>
      </c>
      <c r="AI358" s="225">
        <f t="shared" si="145"/>
        <v>1.4999317550763844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1090">
        <f>IF(t&gt;Tmaj,'2023'!Wh/'2023'!Env_an*'2024'!Env_an,0.001*'[14]mon-tableau (2)'!$B$48)</f>
        <v>17.335251800927605</v>
      </c>
      <c r="C359" s="953"/>
      <c r="D359" s="393">
        <f t="shared" si="127"/>
        <v>18.268084485265337</v>
      </c>
      <c r="E359" s="385">
        <f t="shared" si="125"/>
        <v>18.953595799220444</v>
      </c>
      <c r="F359" s="385">
        <f t="shared" si="128"/>
        <v>19.066222034035903</v>
      </c>
      <c r="G359" s="110">
        <f t="shared" si="126"/>
        <v>0.70594824777663301</v>
      </c>
      <c r="H359" s="412" t="b">
        <f>Wh_hp&gt;='2023'!Maxi_hp</f>
        <v>0</v>
      </c>
      <c r="I359" s="390">
        <f>IF(H359,Wh_hp,'2023'!Maxi_hp)</f>
        <v>23.016717284204159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5.1063519280860392E-2</v>
      </c>
      <c r="M359" s="957"/>
      <c r="N359" s="957"/>
      <c r="O359" s="48">
        <f>IF(t&lt;Tnet,'2023'!Resal+('2023'!Salim-'2023'!Resal)*(1-EXP(('2023'!Tnet-t)/('2023'!Tau_j))),Resal+(Salim-Resal)*(1-EXP((Tnet-t)/(Tau_j))))*Salcycl</f>
        <v>3.6167876598028045E-2</v>
      </c>
      <c r="P359" s="169">
        <f>(INDEX(Models!$BJ359:$BT359,,T359)*(1-R359)+INDEX(Models!$BJ359:$BT359,,T359+1)*R359-ERP_i)*Q359*Ramure*Pc/MaxiM</f>
        <v>1.0111287677861689E-2</v>
      </c>
      <c r="Q359" s="305">
        <f t="shared" si="130"/>
        <v>0.7</v>
      </c>
      <c r="R359" s="177">
        <f t="shared" si="131"/>
        <v>0.49994267022107586</v>
      </c>
      <c r="S359" s="919">
        <f t="shared" si="132"/>
        <v>1</v>
      </c>
      <c r="T359" s="176">
        <f t="shared" si="133"/>
        <v>7</v>
      </c>
      <c r="U359" s="251">
        <f t="shared" si="134"/>
        <v>1.4999426702210759</v>
      </c>
      <c r="V359" s="383">
        <f t="shared" si="135"/>
        <v>24.452129844673127</v>
      </c>
      <c r="W359" s="402">
        <f t="shared" si="136"/>
        <v>17.335251800927605</v>
      </c>
      <c r="X359" s="157">
        <f t="shared" si="137"/>
        <v>45636</v>
      </c>
      <c r="Y359" s="385">
        <f t="shared" si="138"/>
        <v>16.729134023884761</v>
      </c>
      <c r="Z359" s="385">
        <f t="shared" si="139"/>
        <v>17.629350713976976</v>
      </c>
      <c r="AA359" s="386">
        <f t="shared" si="140"/>
        <v>18.953595799220444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6.9867749595986045E-2</v>
      </c>
      <c r="AD359" s="231">
        <f>(INDEX(Models!$BJ359:$BT359,,AH359)*(1-AF359)+INDEX(Models!$BJ359:$BT359,,AH359+1)*AF359-ERP_i)*AE359*Ramure*Pc/MaxiM</f>
        <v>1.0111287677861689E-2</v>
      </c>
      <c r="AE359" s="305">
        <f t="shared" si="142"/>
        <v>0.7</v>
      </c>
      <c r="AF359" s="177">
        <f t="shared" si="143"/>
        <v>0.49994267022107586</v>
      </c>
      <c r="AG359" s="919">
        <f t="shared" si="149"/>
        <v>1</v>
      </c>
      <c r="AH359" s="176">
        <f t="shared" si="144"/>
        <v>7</v>
      </c>
      <c r="AI359" s="225">
        <f t="shared" si="145"/>
        <v>1.4999426702210759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1090">
        <f>IF(t&gt;Tmaj,'2023'!Wh/'2023'!Env_an*'2024'!Env_an,0.001*'[14]mon-tableau (2)'!$B$49)</f>
        <v>5.1195000940207835</v>
      </c>
      <c r="C360" s="953"/>
      <c r="D360" s="393">
        <f t="shared" si="127"/>
        <v>5.3951052896478933</v>
      </c>
      <c r="E360" s="385">
        <f t="shared" si="125"/>
        <v>5.5981626183125126</v>
      </c>
      <c r="F360" s="385">
        <f t="shared" si="128"/>
        <v>5.5981626183125126</v>
      </c>
      <c r="G360" s="110">
        <f t="shared" si="126"/>
        <v>0.20776343679873743</v>
      </c>
      <c r="H360" s="412" t="b">
        <f>Wh_hp&gt;='2023'!Maxi_hp</f>
        <v>0</v>
      </c>
      <c r="I360" s="390">
        <f>IF(H360,Wh_hp,'2023'!Maxi_hp)</f>
        <v>26.632515874966092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5.1084303425169453E-2</v>
      </c>
      <c r="M360" s="957"/>
      <c r="N360" s="957"/>
      <c r="O360" s="48">
        <f>IF(t&lt;Tnet,'2023'!Resal+('2023'!Salim-'2023'!Resal)*(1-EXP(('2023'!Tnet-t)/('2023'!Tau_j))),Resal+(Salim-Resal)*(1-EXP((Tnet-t)/(Tau_j))))*Salcycl</f>
        <v>3.6272138290585773E-2</v>
      </c>
      <c r="P360" s="169">
        <f>(INDEX(Models!$BJ360:$BT360,,T360)*(1-R360)+INDEX(Models!$BJ360:$BT360,,T360+1)*R360-ERP_i)*Q360*Ramure*Pc/MaxiM</f>
        <v>1.0004291768758807E-2</v>
      </c>
      <c r="Q360" s="305">
        <f t="shared" si="130"/>
        <v>0.7</v>
      </c>
      <c r="R360" s="177">
        <f t="shared" si="131"/>
        <v>0.49995314633799048</v>
      </c>
      <c r="S360" s="919">
        <f t="shared" si="132"/>
        <v>1</v>
      </c>
      <c r="T360" s="176">
        <f t="shared" si="133"/>
        <v>7</v>
      </c>
      <c r="U360" s="251">
        <f t="shared" si="134"/>
        <v>1.4999531463379905</v>
      </c>
      <c r="V360" s="383">
        <f t="shared" si="135"/>
        <v>24.394490192611272</v>
      </c>
      <c r="W360" s="402">
        <f t="shared" si="136"/>
        <v>5.1195000940207835</v>
      </c>
      <c r="X360" s="157">
        <f t="shared" si="137"/>
        <v>45637</v>
      </c>
      <c r="Y360" s="385">
        <f t="shared" si="138"/>
        <v>4.9407052015049162</v>
      </c>
      <c r="Z360" s="385">
        <f t="shared" si="139"/>
        <v>5.2066850820770432</v>
      </c>
      <c r="AA360" s="386">
        <f t="shared" si="140"/>
        <v>5.5981626183125126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6.9929647087221505E-2</v>
      </c>
      <c r="AD360" s="231">
        <f>(INDEX(Models!$BJ360:$BT360,,AH360)*(1-AF360)+INDEX(Models!$BJ360:$BT360,,AH360+1)*AF360-ERP_i)*AE360*Ramure*Pc/MaxiM</f>
        <v>1.0004291768758807E-2</v>
      </c>
      <c r="AE360" s="305">
        <f t="shared" si="142"/>
        <v>0.7</v>
      </c>
      <c r="AF360" s="177">
        <f t="shared" si="143"/>
        <v>0.49995314633799048</v>
      </c>
      <c r="AG360" s="919">
        <f t="shared" si="149"/>
        <v>1</v>
      </c>
      <c r="AH360" s="176">
        <f t="shared" si="144"/>
        <v>7</v>
      </c>
      <c r="AI360" s="225">
        <f t="shared" si="145"/>
        <v>1.4999531463379905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1090">
        <f>IF(t&gt;Tmaj,'2023'!Wh/'2023'!Env_an*'2024'!Env_an,0.001*'[14]mon-tableau (2)'!$B$50)</f>
        <v>5.6132810958047026</v>
      </c>
      <c r="C361" s="953"/>
      <c r="D361" s="393">
        <f t="shared" si="127"/>
        <v>5.9155982602264974</v>
      </c>
      <c r="E361" s="385">
        <f t="shared" ref="E361:E380" si="150">Wh_pvt/(1-Psa)</f>
        <v>6.1389116754097808</v>
      </c>
      <c r="F361" s="385">
        <f t="shared" si="128"/>
        <v>6.1389116754097808</v>
      </c>
      <c r="G361" s="110">
        <f t="shared" ref="G361:G380" si="151">+Wh_hp/MaxiM</f>
        <v>0.22823126255592535</v>
      </c>
      <c r="H361" s="412" t="b">
        <f>Wh_hp&gt;='2023'!Maxi_hp</f>
        <v>0</v>
      </c>
      <c r="I361" s="390">
        <f>IF(H361,Wh_hp,'2023'!Maxi_hp)</f>
        <v>27.848923412804474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5.1105087114252323E-2</v>
      </c>
      <c r="M361" s="957"/>
      <c r="N361" s="957"/>
      <c r="O361" s="48">
        <f>IF(t&lt;Tnet,'2023'!Resal+('2023'!Salim-'2023'!Resal)*(1-EXP(('2023'!Tnet-t)/('2023'!Tau_j))),Resal+(Salim-Resal)*(1-EXP((Tnet-t)/(Tau_j))))*Salcycl</f>
        <v>3.6376710887989244E-2</v>
      </c>
      <c r="P361" s="169">
        <f>(INDEX(Models!$BJ361:$BT361,,T361)*(1-R361)+INDEX(Models!$BJ361:$BT361,,T361+1)*R361-ERP_i)*Q361*Ramure*Pc/MaxiM</f>
        <v>9.9000054147052874E-3</v>
      </c>
      <c r="Q361" s="305">
        <f t="shared" si="130"/>
        <v>0.7</v>
      </c>
      <c r="R361" s="177">
        <f t="shared" si="131"/>
        <v>0.49996320106836656</v>
      </c>
      <c r="S361" s="919">
        <f t="shared" si="132"/>
        <v>1</v>
      </c>
      <c r="T361" s="176">
        <f t="shared" si="133"/>
        <v>7</v>
      </c>
      <c r="U361" s="251">
        <f t="shared" si="134"/>
        <v>1.4999632010683666</v>
      </c>
      <c r="V361" s="383">
        <f t="shared" si="135"/>
        <v>24.351219549513395</v>
      </c>
      <c r="W361" s="402">
        <f t="shared" si="136"/>
        <v>5.6132810958047026</v>
      </c>
      <c r="X361" s="157">
        <f t="shared" si="137"/>
        <v>45638</v>
      </c>
      <c r="Y361" s="385">
        <f t="shared" si="138"/>
        <v>5.4174639156999094</v>
      </c>
      <c r="Z361" s="385">
        <f t="shared" si="139"/>
        <v>5.7092348606069541</v>
      </c>
      <c r="AA361" s="386">
        <f t="shared" si="140"/>
        <v>6.1389116754097808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6.9992343516515093E-2</v>
      </c>
      <c r="AD361" s="231">
        <f>(INDEX(Models!$BJ361:$BT361,,AH361)*(1-AF361)+INDEX(Models!$BJ361:$BT361,,AH361+1)*AF361-ERP_i)*AE361*Ramure*Pc/MaxiM</f>
        <v>9.9000054147052874E-3</v>
      </c>
      <c r="AE361" s="305">
        <f t="shared" si="142"/>
        <v>0.7</v>
      </c>
      <c r="AF361" s="177">
        <f t="shared" si="143"/>
        <v>0.49996320106836656</v>
      </c>
      <c r="AG361" s="919">
        <f t="shared" si="149"/>
        <v>1</v>
      </c>
      <c r="AH361" s="176">
        <f t="shared" si="144"/>
        <v>7</v>
      </c>
      <c r="AI361" s="225">
        <f t="shared" si="145"/>
        <v>1.4999632010683666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1090">
        <f>IF(t&gt;Tmaj,'2023'!Wh/'2023'!Env_an*'2024'!Env_an,0.001*'[14]mon-tableau (2)'!$B$51)</f>
        <v>17.247036203470895</v>
      </c>
      <c r="C362" s="953"/>
      <c r="D362" s="393">
        <f t="shared" si="127"/>
        <v>18.176316188321437</v>
      </c>
      <c r="E362" s="385">
        <f t="shared" si="150"/>
        <v>18.86452375567222</v>
      </c>
      <c r="F362" s="385">
        <f t="shared" si="128"/>
        <v>18.973180440255618</v>
      </c>
      <c r="G362" s="110">
        <f t="shared" si="151"/>
        <v>0.70621310489748068</v>
      </c>
      <c r="H362" s="412" t="b">
        <f>Wh_hp&gt;='2023'!Maxi_hp</f>
        <v>0</v>
      </c>
      <c r="I362" s="390">
        <f>IF(H362,Wh_hp,'2023'!Maxi_hp)</f>
        <v>27.918333223458241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5.1125870348119107E-2</v>
      </c>
      <c r="M362" s="957"/>
      <c r="N362" s="957"/>
      <c r="O362" s="48">
        <f>IF(t&lt;Tnet,'2023'!Resal+('2023'!Salim-'2023'!Resal)*(1-EXP(('2023'!Tnet-t)/('2023'!Tau_j))),Resal+(Salim-Resal)*(1-EXP((Tnet-t)/(Tau_j))))*Salcycl</f>
        <v>3.6481576543582465E-2</v>
      </c>
      <c r="P362" s="169">
        <f>(INDEX(Models!$BJ362:$BT362,,T362)*(1-R362)+INDEX(Models!$BJ362:$BT362,,T362+1)*R362-ERP_i)*Q362*Ramure*Pc/MaxiM</f>
        <v>9.7986602017236836E-3</v>
      </c>
      <c r="Q362" s="305">
        <f t="shared" si="130"/>
        <v>0.7</v>
      </c>
      <c r="R362" s="177">
        <f t="shared" si="131"/>
        <v>0.49997285134593583</v>
      </c>
      <c r="S362" s="919">
        <f t="shared" si="132"/>
        <v>1</v>
      </c>
      <c r="T362" s="176">
        <f t="shared" si="133"/>
        <v>7</v>
      </c>
      <c r="U362" s="251">
        <f t="shared" si="134"/>
        <v>1.4999728513459358</v>
      </c>
      <c r="V362" s="383">
        <f t="shared" si="135"/>
        <v>24.321844280809081</v>
      </c>
      <c r="W362" s="402">
        <f t="shared" si="136"/>
        <v>17.247036203470895</v>
      </c>
      <c r="X362" s="157">
        <f t="shared" si="137"/>
        <v>45639</v>
      </c>
      <c r="Y362" s="385">
        <f t="shared" si="138"/>
        <v>16.646055655309553</v>
      </c>
      <c r="Z362" s="385">
        <f t="shared" si="139"/>
        <v>17.542954471123153</v>
      </c>
      <c r="AA362" s="386">
        <f t="shared" si="140"/>
        <v>18.86452375567222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7.0055799004822325E-2</v>
      </c>
      <c r="AD362" s="231">
        <f>(INDEX(Models!$BJ362:$BT362,,AH362)*(1-AF362)+INDEX(Models!$BJ362:$BT362,,AH362+1)*AF362-ERP_i)*AE362*Ramure*Pc/MaxiM</f>
        <v>9.7986602017236836E-3</v>
      </c>
      <c r="AE362" s="305">
        <f t="shared" si="142"/>
        <v>0.7</v>
      </c>
      <c r="AF362" s="177">
        <f t="shared" si="143"/>
        <v>0.49997285134593583</v>
      </c>
      <c r="AG362" s="919">
        <f t="shared" si="149"/>
        <v>1</v>
      </c>
      <c r="AH362" s="176">
        <f t="shared" si="144"/>
        <v>7</v>
      </c>
      <c r="AI362" s="225">
        <f t="shared" si="145"/>
        <v>1.4999728513459358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1090">
        <f>IF(t&gt;Tmaj,'2023'!Wh/'2023'!Env_an*'2024'!Env_an,0.001*'[14]mon-tableau (2)'!$B$52)</f>
        <v>7.2238009240747356</v>
      </c>
      <c r="C363" s="953"/>
      <c r="D363" s="393">
        <f t="shared" si="127"/>
        <v>7.6131901182406159</v>
      </c>
      <c r="E363" s="385">
        <f t="shared" si="150"/>
        <v>7.9023096842118719</v>
      </c>
      <c r="F363" s="385">
        <f t="shared" si="128"/>
        <v>7.9023096842118719</v>
      </c>
      <c r="G363" s="110">
        <f t="shared" si="151"/>
        <v>0.29432069193824117</v>
      </c>
      <c r="H363" s="412" t="b">
        <f>Wh_hp&gt;='2023'!Maxi_hp</f>
        <v>0</v>
      </c>
      <c r="I363" s="390">
        <f>IF(H363,Wh_hp,'2023'!Maxi_hp)</f>
        <v>27.64680505166011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5.1146653126779795E-2</v>
      </c>
      <c r="M363" s="957"/>
      <c r="N363" s="957"/>
      <c r="O363" s="48">
        <f>IF(t&lt;Tnet,'2023'!Resal+('2023'!Salim-'2023'!Resal)*(1-EXP(('2023'!Tnet-t)/('2023'!Tau_j))),Resal+(Salim-Resal)*(1-EXP((Tnet-t)/(Tau_j))))*Salcycl</f>
        <v>3.6586716735347892E-2</v>
      </c>
      <c r="P363" s="169">
        <f>(INDEX(Models!$BJ363:$BT363,,T363)*(1-R363)+INDEX(Models!$BJ363:$BT363,,T363+1)*R363-ERP_i)*Q363*Ramure*Pc/MaxiM</f>
        <v>9.7004788805254271E-3</v>
      </c>
      <c r="Q363" s="305">
        <f t="shared" si="130"/>
        <v>0.7</v>
      </c>
      <c r="R363" s="177">
        <f t="shared" si="131"/>
        <v>0.49998211342519228</v>
      </c>
      <c r="S363" s="919">
        <f t="shared" si="132"/>
        <v>1</v>
      </c>
      <c r="T363" s="176">
        <f t="shared" si="133"/>
        <v>7</v>
      </c>
      <c r="U363" s="251">
        <f t="shared" si="134"/>
        <v>1.4999821134251923</v>
      </c>
      <c r="V363" s="383">
        <f t="shared" si="135"/>
        <v>24.30589079097005</v>
      </c>
      <c r="W363" s="402">
        <f t="shared" si="136"/>
        <v>7.2238009240747356</v>
      </c>
      <c r="X363" s="157">
        <f t="shared" si="137"/>
        <v>45640</v>
      </c>
      <c r="Y363" s="385">
        <f t="shared" si="138"/>
        <v>6.9723641109976215</v>
      </c>
      <c r="Z363" s="385">
        <f t="shared" si="139"/>
        <v>7.3481999446740893</v>
      </c>
      <c r="AA363" s="386">
        <f t="shared" si="140"/>
        <v>7.9023096842118719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7.0119972727068047E-2</v>
      </c>
      <c r="AD363" s="231">
        <f>(INDEX(Models!$BJ363:$BT363,,AH363)*(1-AF363)+INDEX(Models!$BJ363:$BT363,,AH363+1)*AF363-ERP_i)*AE363*Ramure*Pc/MaxiM</f>
        <v>9.7004788805254271E-3</v>
      </c>
      <c r="AE363" s="305">
        <f t="shared" si="142"/>
        <v>0.7</v>
      </c>
      <c r="AF363" s="177">
        <f t="shared" si="143"/>
        <v>0.49998211342519228</v>
      </c>
      <c r="AG363" s="919">
        <f t="shared" si="149"/>
        <v>1</v>
      </c>
      <c r="AH363" s="176">
        <f t="shared" si="144"/>
        <v>7</v>
      </c>
      <c r="AI363" s="225">
        <f t="shared" si="145"/>
        <v>1.4999821134251923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1090">
        <f>IF(t&gt;Tmaj,'2023'!Wh/'2023'!Env_an*'2024'!Env_an,0.001*'[14]mon-tableau (2)'!$B$53)</f>
        <v>4.9073552117932566</v>
      </c>
      <c r="C364" s="953"/>
      <c r="D364" s="393">
        <f t="shared" si="127"/>
        <v>5.1719928205899182</v>
      </c>
      <c r="E364" s="385">
        <f t="shared" si="150"/>
        <v>5.3689924968125151</v>
      </c>
      <c r="F364" s="385">
        <f t="shared" si="128"/>
        <v>5.3689924968125151</v>
      </c>
      <c r="G364" s="110">
        <f t="shared" si="151"/>
        <v>0.19998517256484447</v>
      </c>
      <c r="H364" s="412" t="b">
        <f>Wh_hp&gt;='2023'!Maxi_hp</f>
        <v>0</v>
      </c>
      <c r="I364" s="390">
        <f>IF(H364,Wh_hp,'2023'!Maxi_hp)</f>
        <v>27.611155388131891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5.116743545024427E-2</v>
      </c>
      <c r="M364" s="957"/>
      <c r="N364" s="957"/>
      <c r="O364" s="48">
        <f>IF(t&lt;Tnet,'2023'!Resal+('2023'!Salim-'2023'!Resal)*(1-EXP(('2023'!Tnet-t)/('2023'!Tau_j))),Resal+(Salim-Resal)*(1-EXP((Tnet-t)/(Tau_j))))*Salcycl</f>
        <v>3.669211241020591E-2</v>
      </c>
      <c r="P364" s="169">
        <f>(INDEX(Models!$BJ364:$BT364,,T364)*(1-R364)+INDEX(Models!$BJ364:$BT364,,T364+1)*R364-ERP_i)*Q364*Ramure*Pc/MaxiM</f>
        <v>9.6056748321217029E-3</v>
      </c>
      <c r="Q364" s="305">
        <f t="shared" si="130"/>
        <v>0.7</v>
      </c>
      <c r="R364" s="177">
        <f t="shared" si="131"/>
        <v>0.49999100290853749</v>
      </c>
      <c r="S364" s="919">
        <f t="shared" si="132"/>
        <v>1</v>
      </c>
      <c r="T364" s="176">
        <f t="shared" si="133"/>
        <v>7</v>
      </c>
      <c r="U364" s="251">
        <f t="shared" si="134"/>
        <v>1.4999910029085375</v>
      </c>
      <c r="V364" s="383">
        <f t="shared" si="135"/>
        <v>24.302885514010526</v>
      </c>
      <c r="W364" s="402">
        <f t="shared" si="136"/>
        <v>4.9073552117932566</v>
      </c>
      <c r="X364" s="157">
        <f t="shared" si="137"/>
        <v>45641</v>
      </c>
      <c r="Y364" s="385">
        <f t="shared" si="138"/>
        <v>4.7367341352481391</v>
      </c>
      <c r="Z364" s="385">
        <f t="shared" si="139"/>
        <v>4.9921707076904926</v>
      </c>
      <c r="AA364" s="386">
        <f t="shared" si="140"/>
        <v>5.3689924968125151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7.0184823194618953E-2</v>
      </c>
      <c r="AD364" s="231">
        <f>(INDEX(Models!$BJ364:$BT364,,AH364)*(1-AF364)+INDEX(Models!$BJ364:$BT364,,AH364+1)*AF364-ERP_i)*AE364*Ramure*Pc/MaxiM</f>
        <v>9.6056748321217029E-3</v>
      </c>
      <c r="AE364" s="305">
        <f t="shared" si="142"/>
        <v>0.7</v>
      </c>
      <c r="AF364" s="177">
        <f t="shared" si="143"/>
        <v>0.49999100290853749</v>
      </c>
      <c r="AG364" s="919">
        <f t="shared" si="149"/>
        <v>1</v>
      </c>
      <c r="AH364" s="176">
        <f t="shared" si="144"/>
        <v>7</v>
      </c>
      <c r="AI364" s="225">
        <f t="shared" si="145"/>
        <v>1.4999910029085375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1090">
        <f>IF(t&gt;Tmaj,'2023'!Wh/'2023'!Env_an*'2024'!Env_an,0.001*'[14]mon-tableau (2)'!$B$54)</f>
        <v>2.7449449410743725</v>
      </c>
      <c r="C365" s="953"/>
      <c r="D365" s="393">
        <f t="shared" si="127"/>
        <v>2.8930342046520185</v>
      </c>
      <c r="E365" s="385">
        <f t="shared" si="150"/>
        <v>3.0035583772925194</v>
      </c>
      <c r="F365" s="385">
        <f t="shared" si="128"/>
        <v>3.0035583772925194</v>
      </c>
      <c r="G365" s="110">
        <f t="shared" si="151"/>
        <v>0.11182908047205727</v>
      </c>
      <c r="H365" s="412" t="b">
        <f>Wh_hp&gt;='2023'!Maxi_hp</f>
        <v>0</v>
      </c>
      <c r="I365" s="390">
        <f>IF(H365,Wh_hp,'2023'!Maxi_hp)</f>
        <v>27.969819213232515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5.1188217318522411E-2</v>
      </c>
      <c r="M365" s="957"/>
      <c r="N365" s="957"/>
      <c r="O365" s="48">
        <f>IF(t&lt;Tnet,'2023'!Resal+('2023'!Salim-'2023'!Resal)*(1-EXP(('2023'!Tnet-t)/('2023'!Tau_j))),Resal+(Salim-Resal)*(1-EXP((Tnet-t)/(Tau_j))))*Salcycl</f>
        <v>3.6797744127793575E-2</v>
      </c>
      <c r="P365" s="169">
        <f>(INDEX(Models!$BJ365:$BT365,,T365)*(1-R365)+INDEX(Models!$BJ365:$BT365,,T365+1)*R365-ERP_i)*Q365*Ramure*Pc/MaxiM</f>
        <v>9.5144516322108429E-3</v>
      </c>
      <c r="Q365" s="305">
        <f t="shared" si="130"/>
        <v>0.7</v>
      </c>
      <c r="R365" s="177">
        <f t="shared" si="131"/>
        <v>0.49999953477234982</v>
      </c>
      <c r="S365" s="919">
        <f t="shared" si="132"/>
        <v>1</v>
      </c>
      <c r="T365" s="176">
        <f t="shared" si="133"/>
        <v>7</v>
      </c>
      <c r="U365" s="251">
        <f t="shared" si="134"/>
        <v>1.4999995347723498</v>
      </c>
      <c r="V365" s="383">
        <f t="shared" si="135"/>
        <v>24.312354923447593</v>
      </c>
      <c r="W365" s="402">
        <f t="shared" si="136"/>
        <v>2.7449449410743725</v>
      </c>
      <c r="X365" s="157">
        <f t="shared" si="137"/>
        <v>45642</v>
      </c>
      <c r="Y365" s="385">
        <f t="shared" si="138"/>
        <v>2.6496114357058524</v>
      </c>
      <c r="Z365" s="385">
        <f t="shared" si="139"/>
        <v>2.7925574745896093</v>
      </c>
      <c r="AA365" s="386">
        <f t="shared" si="140"/>
        <v>3.0035583772925194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7.0250308533410771E-2</v>
      </c>
      <c r="AD365" s="231">
        <f>(INDEX(Models!$BJ365:$BT365,,AH365)*(1-AF365)+INDEX(Models!$BJ365:$BT365,,AH365+1)*AF365-ERP_i)*AE365*Ramure*Pc/MaxiM</f>
        <v>9.5144516322108429E-3</v>
      </c>
      <c r="AE365" s="305">
        <f t="shared" si="142"/>
        <v>0.7</v>
      </c>
      <c r="AF365" s="177">
        <f t="shared" si="143"/>
        <v>0.49999953477234982</v>
      </c>
      <c r="AG365" s="919">
        <f t="shared" si="149"/>
        <v>1</v>
      </c>
      <c r="AH365" s="176">
        <f t="shared" si="144"/>
        <v>7</v>
      </c>
      <c r="AI365" s="225">
        <f t="shared" si="145"/>
        <v>1.4999995347723498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1090">
        <f>IF(t&gt;Tmaj,'2023'!Wh/'2023'!Env_an*'2024'!Env_an,0.001*'[14]mon-tableau (2)'!$B$55)</f>
        <v>21.640729454596087</v>
      </c>
      <c r="C366" s="953"/>
      <c r="D366" s="393">
        <f t="shared" si="127"/>
        <v>22.808742310652224</v>
      </c>
      <c r="E366" s="385">
        <f t="shared" si="150"/>
        <v>23.682719742268926</v>
      </c>
      <c r="F366" s="385">
        <f t="shared" si="128"/>
        <v>23.872330617189995</v>
      </c>
      <c r="G366" s="110">
        <f t="shared" si="151"/>
        <v>0.88799646268013555</v>
      </c>
      <c r="H366" s="412" t="b">
        <f>Wh_hp&gt;='2023'!Maxi_hp</f>
        <v>0</v>
      </c>
      <c r="I366" s="390">
        <f>IF(H366,Wh_hp,'2023'!Maxi_hp)</f>
        <v>28.032685021410803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5.1208998731624433E-2</v>
      </c>
      <c r="M366" s="957"/>
      <c r="N366" s="957"/>
      <c r="O366" s="48">
        <f>IF(t&lt;Tnet,'2023'!Resal+('2023'!Salim-'2023'!Resal)*(1-EXP(('2023'!Tnet-t)/('2023'!Tau_j))),Resal+(Salim-Resal)*(1-EXP((Tnet-t)/(Tau_j))))*Salcycl</f>
        <v>3.6903592202580764E-2</v>
      </c>
      <c r="P366" s="169">
        <f>(INDEX(Models!$BJ366:$BT366,,T366)*(1-R366)+INDEX(Models!$BJ366:$BT366,,T366+1)*R366-ERP_i)*Q366*Ramure*Pc/MaxiM</f>
        <v>9.4342051378077663E-3</v>
      </c>
      <c r="Q366" s="305">
        <f t="shared" si="130"/>
        <v>0.7</v>
      </c>
      <c r="R366" s="177">
        <f t="shared" si="131"/>
        <v>0.50000772339201927</v>
      </c>
      <c r="S366" s="919">
        <f t="shared" si="132"/>
        <v>1</v>
      </c>
      <c r="T366" s="176">
        <f t="shared" si="133"/>
        <v>7</v>
      </c>
      <c r="U366" s="251">
        <f t="shared" si="134"/>
        <v>1.5000077233920193</v>
      </c>
      <c r="V366" s="383">
        <f t="shared" si="135"/>
        <v>24.333648597606778</v>
      </c>
      <c r="W366" s="402">
        <f t="shared" si="136"/>
        <v>21.640729454596087</v>
      </c>
      <c r="X366" s="157">
        <f t="shared" si="137"/>
        <v>45643</v>
      </c>
      <c r="Y366" s="385">
        <f t="shared" si="138"/>
        <v>20.889945585618062</v>
      </c>
      <c r="Z366" s="385">
        <f t="shared" si="139"/>
        <v>22.017436461445865</v>
      </c>
      <c r="AA366" s="386">
        <f t="shared" si="140"/>
        <v>23.682719742268926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7.0316386755650509E-2</v>
      </c>
      <c r="AD366" s="231">
        <f>(INDEX(Models!$BJ366:$BT366,,AH366)*(1-AF366)+INDEX(Models!$BJ366:$BT366,,AH366+1)*AF366-ERP_i)*AE366*Ramure*Pc/MaxiM</f>
        <v>9.4342051378077663E-3</v>
      </c>
      <c r="AE366" s="305">
        <f t="shared" si="142"/>
        <v>0.7</v>
      </c>
      <c r="AF366" s="177">
        <f t="shared" si="143"/>
        <v>0.50000772339201927</v>
      </c>
      <c r="AG366" s="919">
        <f t="shared" si="149"/>
        <v>1</v>
      </c>
      <c r="AH366" s="176">
        <f t="shared" si="144"/>
        <v>7</v>
      </c>
      <c r="AI366" s="225">
        <f t="shared" si="145"/>
        <v>1.5000077233920193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1090">
        <f>IF(t&gt;Tmaj,'2023'!Wh/'2023'!Env_an*'2024'!Env_an,0.001*'[14]mon-tableau (2)'!$B$56)</f>
        <v>18.318710255049023</v>
      </c>
      <c r="C367" s="953"/>
      <c r="D367" s="393">
        <f t="shared" si="127"/>
        <v>19.307847003308236</v>
      </c>
      <c r="E367" s="385">
        <f t="shared" si="150"/>
        <v>20.049886003028082</v>
      </c>
      <c r="F367" s="385">
        <f t="shared" si="128"/>
        <v>20.171821540017895</v>
      </c>
      <c r="G367" s="110">
        <f t="shared" si="151"/>
        <v>0.74929402170297676</v>
      </c>
      <c r="H367" s="412" t="b">
        <f>Wh_hp&gt;='2023'!Maxi_hp</f>
        <v>0</v>
      </c>
      <c r="I367" s="390">
        <f>IF(H367,Wh_hp,'2023'!Maxi_hp)</f>
        <v>27.478360183893841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5.1229779689560107E-2</v>
      </c>
      <c r="M367" s="957"/>
      <c r="N367" s="957"/>
      <c r="O367" s="48">
        <f>IF(t&lt;Tnet,'2023'!Resal+('2023'!Salim-'2023'!Resal)*(1-EXP(('2023'!Tnet-t)/('2023'!Tau_j))),Resal+(Salim-Resal)*(1-EXP((Tnet-t)/(Tau_j))))*Salcycl</f>
        <v>3.7009636843210868E-2</v>
      </c>
      <c r="P367" s="169">
        <f>(INDEX(Models!$BJ367:$BT367,,T367)*(1-R367)+INDEX(Models!$BJ367:$BT367,,T367+1)*R367-ERP_i)*Q367*Ramure*Pc/MaxiM</f>
        <v>9.3655117213237889E-3</v>
      </c>
      <c r="Q367" s="305">
        <f t="shared" si="130"/>
        <v>0.7</v>
      </c>
      <c r="R367" s="177">
        <f t="shared" si="131"/>
        <v>0.50001558256598555</v>
      </c>
      <c r="S367" s="919">
        <f t="shared" si="132"/>
        <v>1</v>
      </c>
      <c r="T367" s="176">
        <f t="shared" si="133"/>
        <v>7</v>
      </c>
      <c r="U367" s="251">
        <f t="shared" si="134"/>
        <v>1.5000155825659856</v>
      </c>
      <c r="V367" s="383">
        <f t="shared" si="135"/>
        <v>24.366282728422959</v>
      </c>
      <c r="W367" s="402">
        <f t="shared" si="136"/>
        <v>18.318710255049023</v>
      </c>
      <c r="X367" s="157">
        <f t="shared" si="137"/>
        <v>45644</v>
      </c>
      <c r="Y367" s="385">
        <f t="shared" si="138"/>
        <v>17.683857314855331</v>
      </c>
      <c r="Z367" s="385">
        <f t="shared" si="139"/>
        <v>18.638714555215625</v>
      </c>
      <c r="AA367" s="386">
        <f t="shared" si="140"/>
        <v>20.049886003028082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7.0383016023100139E-2</v>
      </c>
      <c r="AD367" s="231">
        <f>(INDEX(Models!$BJ367:$BT367,,AH367)*(1-AF367)+INDEX(Models!$BJ367:$BT367,,AH367+1)*AF367-ERP_i)*AE367*Ramure*Pc/MaxiM</f>
        <v>9.3655117213237889E-3</v>
      </c>
      <c r="AE367" s="305">
        <f t="shared" si="142"/>
        <v>0.7</v>
      </c>
      <c r="AF367" s="177">
        <f t="shared" si="143"/>
        <v>0.50001558256598555</v>
      </c>
      <c r="AG367" s="919">
        <f t="shared" si="149"/>
        <v>1</v>
      </c>
      <c r="AH367" s="176">
        <f t="shared" si="144"/>
        <v>7</v>
      </c>
      <c r="AI367" s="225">
        <f t="shared" si="145"/>
        <v>1.5000155825659856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1090">
        <f>IF(t&gt;Tmaj,'2023'!Wh/'2023'!Env_an*'2024'!Env_an,0.001*'[14]mon-tableau (2)'!$B$57)</f>
        <v>4.4630664666817923</v>
      </c>
      <c r="C368" s="953"/>
      <c r="D368" s="393">
        <f t="shared" si="127"/>
        <v>4.7041571561682165</v>
      </c>
      <c r="E368" s="385">
        <f t="shared" si="150"/>
        <v>4.8854861684649071</v>
      </c>
      <c r="F368" s="385">
        <f t="shared" si="128"/>
        <v>4.8854861684649071</v>
      </c>
      <c r="G368" s="110">
        <f t="shared" si="151"/>
        <v>0.18113728728621747</v>
      </c>
      <c r="H368" s="412" t="b">
        <f>Wh_hp&gt;='2023'!Maxi_hp</f>
        <v>0</v>
      </c>
      <c r="I368" s="390">
        <f>IF(H368,Wh_hp,'2023'!Maxi_hp)</f>
        <v>28.081044157306998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5.1250560192339534E-2</v>
      </c>
      <c r="M368" s="957"/>
      <c r="N368" s="957"/>
      <c r="O368" s="48">
        <f>IF(t&lt;Tnet,'2023'!Resal+('2023'!Salim-'2023'!Resal)*(1-EXP(('2023'!Tnet-t)/('2023'!Tau_j))),Resal+(Salim-Resal)*(1-EXP((Tnet-t)/(Tau_j))))*Salcycl</f>
        <v>3.711585828799234E-2</v>
      </c>
      <c r="P368" s="169">
        <f>(INDEX(Models!$BJ368:$BT368,,T368)*(1-R368)+INDEX(Models!$BJ368:$BT368,,T368+1)*R368-ERP_i)*Q368*Ramure*Pc/MaxiM</f>
        <v>9.30846784152373E-3</v>
      </c>
      <c r="Q368" s="305">
        <f t="shared" si="130"/>
        <v>0.7</v>
      </c>
      <c r="R368" s="177">
        <f t="shared" si="131"/>
        <v>0.50002312553882389</v>
      </c>
      <c r="S368" s="919">
        <f t="shared" si="132"/>
        <v>1</v>
      </c>
      <c r="T368" s="176">
        <f t="shared" si="133"/>
        <v>7</v>
      </c>
      <c r="U368" s="251">
        <f t="shared" si="134"/>
        <v>1.5000231255388239</v>
      </c>
      <c r="V368" s="383">
        <f t="shared" si="135"/>
        <v>24.409784546544497</v>
      </c>
      <c r="W368" s="402">
        <f t="shared" si="136"/>
        <v>4.4630664666817923</v>
      </c>
      <c r="X368" s="157">
        <f t="shared" si="137"/>
        <v>45645</v>
      </c>
      <c r="Y368" s="385">
        <f t="shared" si="138"/>
        <v>4.3085585929357535</v>
      </c>
      <c r="Z368" s="385">
        <f t="shared" si="139"/>
        <v>4.5413029111344985</v>
      </c>
      <c r="AA368" s="386">
        <f t="shared" si="140"/>
        <v>4.8854861684649071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7.0450154900050785E-2</v>
      </c>
      <c r="AD368" s="231">
        <f>(INDEX(Models!$BJ368:$BT368,,AH368)*(1-AF368)+INDEX(Models!$BJ368:$BT368,,AH368+1)*AF368-ERP_i)*AE368*Ramure*Pc/MaxiM</f>
        <v>9.30846784152373E-3</v>
      </c>
      <c r="AE368" s="305">
        <f t="shared" si="142"/>
        <v>0.7</v>
      </c>
      <c r="AF368" s="177">
        <f t="shared" si="143"/>
        <v>0.50002312553882389</v>
      </c>
      <c r="AG368" s="919">
        <f t="shared" si="149"/>
        <v>1</v>
      </c>
      <c r="AH368" s="176">
        <f t="shared" si="144"/>
        <v>7</v>
      </c>
      <c r="AI368" s="225">
        <f t="shared" si="145"/>
        <v>1.5000231255388239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1090">
        <f>IF(t&gt;Tmaj,'2023'!Wh/'2023'!Env_an*'2024'!Env_an,0.001*'[14]mon-tableau (2)'!$B$58)</f>
        <v>22.555458980175764</v>
      </c>
      <c r="C369" s="953"/>
      <c r="D369" s="393">
        <f t="shared" si="127"/>
        <v>23.774404565664717</v>
      </c>
      <c r="E369" s="385">
        <f t="shared" si="150"/>
        <v>24.693553878926011</v>
      </c>
      <c r="F369" s="385">
        <f t="shared" si="128"/>
        <v>24.898491813545085</v>
      </c>
      <c r="G369" s="110">
        <f t="shared" si="151"/>
        <v>0.9210381563509793</v>
      </c>
      <c r="H369" s="412" t="b">
        <f>Wh_hp&gt;='2023'!Maxi_hp</f>
        <v>0</v>
      </c>
      <c r="I369" s="390">
        <f>IF(H369,Wh_hp,'2023'!Maxi_hp)</f>
        <v>24.910992289500552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5.1271340239972596E-2</v>
      </c>
      <c r="M369" s="957"/>
      <c r="N369" s="957"/>
      <c r="O369" s="48">
        <f>IF(t&lt;Tnet,'2023'!Resal+('2023'!Salim-'2023'!Resal)*(1-EXP(('2023'!Tnet-t)/('2023'!Tau_j))),Resal+(Salim-Resal)*(1-EXP((Tnet-t)/(Tau_j))))*Salcycl</f>
        <v>3.7222236935515178E-2</v>
      </c>
      <c r="P369" s="169">
        <f>(INDEX(Models!$BJ369:$BT369,,T369)*(1-R369)+INDEX(Models!$BJ369:$BT369,,T369+1)*R369-ERP_i)*Q369*Ramure*Pc/MaxiM</f>
        <v>9.2631466747763822E-3</v>
      </c>
      <c r="Q369" s="305">
        <f t="shared" si="130"/>
        <v>0.7</v>
      </c>
      <c r="R369" s="177">
        <f t="shared" si="131"/>
        <v>0.50003036502341081</v>
      </c>
      <c r="S369" s="919">
        <f t="shared" si="132"/>
        <v>1</v>
      </c>
      <c r="T369" s="176">
        <f t="shared" si="133"/>
        <v>7</v>
      </c>
      <c r="U369" s="251">
        <f t="shared" si="134"/>
        <v>1.5000303650234108</v>
      </c>
      <c r="V369" s="383">
        <f t="shared" si="135"/>
        <v>24.463681178313173</v>
      </c>
      <c r="W369" s="402">
        <f t="shared" si="136"/>
        <v>22.555458980175764</v>
      </c>
      <c r="X369" s="157">
        <f t="shared" si="137"/>
        <v>45646</v>
      </c>
      <c r="Y369" s="385">
        <f t="shared" si="138"/>
        <v>21.775428642927629</v>
      </c>
      <c r="Z369" s="385">
        <f t="shared" si="139"/>
        <v>22.952219708884449</v>
      </c>
      <c r="AA369" s="386">
        <f t="shared" si="140"/>
        <v>24.693553878926011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7.0517762594214967E-2</v>
      </c>
      <c r="AD369" s="231">
        <f>(INDEX(Models!$BJ369:$BT369,,AH369)*(1-AF369)+INDEX(Models!$BJ369:$BT369,,AH369+1)*AF369-ERP_i)*AE369*Ramure*Pc/MaxiM</f>
        <v>9.2631466747763822E-3</v>
      </c>
      <c r="AE369" s="305">
        <f t="shared" si="142"/>
        <v>0.7</v>
      </c>
      <c r="AF369" s="177">
        <f t="shared" si="143"/>
        <v>0.50003036502341081</v>
      </c>
      <c r="AG369" s="919">
        <f t="shared" si="149"/>
        <v>1</v>
      </c>
      <c r="AH369" s="176">
        <f t="shared" si="144"/>
        <v>7</v>
      </c>
      <c r="AI369" s="225">
        <f t="shared" si="145"/>
        <v>1.5000303650234108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1090">
        <f>IF(t&gt;Tmaj,'2023'!Wh/'2023'!Env_an*'2024'!Env_an,0.001*'[14]mon-tableau (2)'!$B$59)</f>
        <v>17.441786265120964</v>
      </c>
      <c r="C370" s="953"/>
      <c r="D370" s="393">
        <f t="shared" si="127"/>
        <v>18.384780636628577</v>
      </c>
      <c r="E370" s="385">
        <f t="shared" si="150"/>
        <v>19.097672962484861</v>
      </c>
      <c r="F370" s="385">
        <f t="shared" si="128"/>
        <v>19.201757303042037</v>
      </c>
      <c r="G370" s="110">
        <f t="shared" si="151"/>
        <v>0.70838805534743376</v>
      </c>
      <c r="H370" s="412" t="b">
        <f>Wh_hp&gt;='2023'!Maxi_hp</f>
        <v>0</v>
      </c>
      <c r="I370" s="390">
        <f>IF(H370,Wh_hp,'2023'!Maxi_hp)</f>
        <v>27.058641236912877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5.1292119832469174E-2</v>
      </c>
      <c r="M370" s="957"/>
      <c r="N370" s="957"/>
      <c r="O370" s="48">
        <f>IF(t&lt;Tnet,'2023'!Resal+('2023'!Salim-'2023'!Resal)*(1-EXP(('2023'!Tnet-t)/('2023'!Tau_j))),Resal+(Salim-Resal)*(1-EXP((Tnet-t)/(Tau_j))))*Salcycl</f>
        <v>3.7328753469424263E-2</v>
      </c>
      <c r="P370" s="169">
        <f>(INDEX(Models!$BJ370:$BT370,,T370)*(1-R370)+INDEX(Models!$BJ370:$BT370,,T370+1)*R370-ERP_i)*Q370*Ramure*Pc/MaxiM</f>
        <v>9.2295997515028944E-3</v>
      </c>
      <c r="Q370" s="305">
        <f t="shared" si="130"/>
        <v>0.7</v>
      </c>
      <c r="R370" s="177">
        <f t="shared" si="131"/>
        <v>0.50003731322220801</v>
      </c>
      <c r="S370" s="919">
        <f t="shared" si="132"/>
        <v>1</v>
      </c>
      <c r="T370" s="176">
        <f t="shared" si="133"/>
        <v>7</v>
      </c>
      <c r="U370" s="251">
        <f t="shared" si="134"/>
        <v>1.500037313222208</v>
      </c>
      <c r="V370" s="383">
        <f t="shared" si="135"/>
        <v>24.527499650143078</v>
      </c>
      <c r="W370" s="402">
        <f t="shared" si="136"/>
        <v>17.441786265120964</v>
      </c>
      <c r="X370" s="157">
        <f t="shared" si="137"/>
        <v>45647</v>
      </c>
      <c r="Y370" s="385">
        <f t="shared" si="138"/>
        <v>16.839231358394798</v>
      </c>
      <c r="Z370" s="385">
        <f t="shared" si="139"/>
        <v>17.749648453875164</v>
      </c>
      <c r="AA370" s="386">
        <f t="shared" si="140"/>
        <v>19.097672962484861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7.058579918389711E-2</v>
      </c>
      <c r="AD370" s="231">
        <f>(INDEX(Models!$BJ370:$BT370,,AH370)*(1-AF370)+INDEX(Models!$BJ370:$BT370,,AH370+1)*AF370-ERP_i)*AE370*Ramure*Pc/MaxiM</f>
        <v>9.2295997515028944E-3</v>
      </c>
      <c r="AE370" s="305">
        <f t="shared" si="142"/>
        <v>0.7</v>
      </c>
      <c r="AF370" s="177">
        <f t="shared" si="143"/>
        <v>0.50003731322220801</v>
      </c>
      <c r="AG370" s="919">
        <f t="shared" si="149"/>
        <v>1</v>
      </c>
      <c r="AH370" s="176">
        <f t="shared" si="144"/>
        <v>7</v>
      </c>
      <c r="AI370" s="225">
        <f t="shared" si="145"/>
        <v>1.500037313222208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1090">
        <f>IF(t&gt;Tmaj,'2023'!Wh/'2023'!Env_an*'2024'!Env_an,0.001*'[14]mon-tableau (2)'!$B$60)</f>
        <v>17.99145264067532</v>
      </c>
      <c r="C371" s="953"/>
      <c r="D371" s="393">
        <f t="shared" si="127"/>
        <v>18.964580230023955</v>
      </c>
      <c r="E371" s="385">
        <f t="shared" si="150"/>
        <v>19.702137407542708</v>
      </c>
      <c r="F371" s="385">
        <f t="shared" si="128"/>
        <v>19.8145618053993</v>
      </c>
      <c r="G371" s="110">
        <f t="shared" si="151"/>
        <v>0.72873774788990364</v>
      </c>
      <c r="H371" s="412" t="b">
        <f>Wh_hp&gt;='2023'!Maxi_hp</f>
        <v>0</v>
      </c>
      <c r="I371" s="390">
        <f>IF(H371,Wh_hp,'2023'!Maxi_hp)</f>
        <v>22.375250435644084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5.1312898969839482E-2</v>
      </c>
      <c r="M371" s="957"/>
      <c r="N371" s="957"/>
      <c r="O371" s="48">
        <f>IF(t&lt;Tnet,'2023'!Resal+('2023'!Salim-'2023'!Resal)*(1-EXP(('2023'!Tnet-t)/('2023'!Tau_j))),Resal+(Salim-Resal)*(1-EXP((Tnet-t)/(Tau_j))))*Salcycl</f>
        <v>3.743538897644625E-2</v>
      </c>
      <c r="P371" s="169">
        <f>(INDEX(Models!$BJ371:$BT371,,T371)*(1-R371)+INDEX(Models!$BJ371:$BT371,,T371+1)*R371-ERP_i)*Q371*Ramure*Pc/MaxiM</f>
        <v>9.2078318456180214E-3</v>
      </c>
      <c r="Q371" s="305">
        <f t="shared" si="130"/>
        <v>0.7</v>
      </c>
      <c r="R371" s="177">
        <f t="shared" si="131"/>
        <v>0.50003731322220801</v>
      </c>
      <c r="S371" s="919">
        <f t="shared" si="132"/>
        <v>1</v>
      </c>
      <c r="T371" s="176">
        <f t="shared" si="133"/>
        <v>7</v>
      </c>
      <c r="U371" s="251">
        <f t="shared" si="134"/>
        <v>1.500037313222208</v>
      </c>
      <c r="V371" s="383">
        <f t="shared" si="135"/>
        <v>24.600767563581538</v>
      </c>
      <c r="W371" s="402">
        <f t="shared" si="136"/>
        <v>17.99145264067532</v>
      </c>
      <c r="X371" s="157">
        <f t="shared" si="137"/>
        <v>45648</v>
      </c>
      <c r="Y371" s="385">
        <f t="shared" si="138"/>
        <v>17.37055392573858</v>
      </c>
      <c r="Z371" s="385">
        <f t="shared" si="139"/>
        <v>18.310098141817509</v>
      </c>
      <c r="AA371" s="386">
        <f t="shared" si="140"/>
        <v>19.702137407542708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7.0654225829948569E-2</v>
      </c>
      <c r="AD371" s="231">
        <f>(INDEX(Models!$BJ371:$BT371,,AH371)*(1-AF371)+INDEX(Models!$BJ371:$BT371,,AH371+1)*AF371-ERP_i)*AE371*Ramure*Pc/MaxiM</f>
        <v>9.2078318456180214E-3</v>
      </c>
      <c r="AE371" s="305">
        <f t="shared" si="142"/>
        <v>0.7</v>
      </c>
      <c r="AF371" s="177">
        <f t="shared" si="143"/>
        <v>0.50003731322220801</v>
      </c>
      <c r="AG371" s="919">
        <f t="shared" si="149"/>
        <v>1</v>
      </c>
      <c r="AH371" s="176">
        <f t="shared" si="144"/>
        <v>7</v>
      </c>
      <c r="AI371" s="225">
        <f t="shared" si="145"/>
        <v>1.500037313222208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1090">
        <f>IF(t&gt;Tmaj,'2023'!Wh/'2023'!Env_an*'2024'!Env_an,0.001*'[14]mon-tableau (2)'!$B$61)</f>
        <v>23.581013619935018</v>
      </c>
      <c r="C372" s="953"/>
      <c r="D372" s="393">
        <f t="shared" si="127"/>
        <v>24.857015648635091</v>
      </c>
      <c r="E372" s="385">
        <f t="shared" si="150"/>
        <v>25.82660113836473</v>
      </c>
      <c r="F372" s="385">
        <f t="shared" si="128"/>
        <v>26.050931718169384</v>
      </c>
      <c r="G372" s="110">
        <f t="shared" si="151"/>
        <v>0.95478867922385258</v>
      </c>
      <c r="H372" s="412" t="b">
        <f>Wh_hp&gt;='2023'!Maxi_hp</f>
        <v>0</v>
      </c>
      <c r="I372" s="390">
        <f>IF(H372,Wh_hp,'2023'!Maxi_hp)</f>
        <v>26.058366760207068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5.133367765209329E-2</v>
      </c>
      <c r="M372" s="957"/>
      <c r="N372" s="957"/>
      <c r="O372" s="48">
        <f>IF(t&lt;Tnet,'2023'!Resal+('2023'!Salim-'2023'!Resal)*(1-EXP(('2023'!Tnet-t)/('2023'!Tau_j))),Resal+(Salim-Resal)*(1-EXP((Tnet-t)/(Tau_j))))*Salcycl</f>
        <v>3.754212505684093E-2</v>
      </c>
      <c r="P372" s="169">
        <f>(INDEX(Models!$BJ372:$BT372,,T372)*(1-R372)+INDEX(Models!$BJ372:$BT372,,T372+1)*R372-ERP_i)*Q372*Ramure*Pc/MaxiM</f>
        <v>9.1978708268544099E-3</v>
      </c>
      <c r="Q372" s="305">
        <f t="shared" si="130"/>
        <v>0.7</v>
      </c>
      <c r="R372" s="177">
        <f t="shared" si="131"/>
        <v>0.50003731322220801</v>
      </c>
      <c r="S372" s="919">
        <f t="shared" si="132"/>
        <v>1</v>
      </c>
      <c r="T372" s="176">
        <f t="shared" si="133"/>
        <v>7</v>
      </c>
      <c r="U372" s="251">
        <f t="shared" si="134"/>
        <v>1.500037313222208</v>
      </c>
      <c r="V372" s="383">
        <f t="shared" si="135"/>
        <v>24.683011437264689</v>
      </c>
      <c r="W372" s="402">
        <f t="shared" si="136"/>
        <v>23.581013619935018</v>
      </c>
      <c r="X372" s="157">
        <f t="shared" si="137"/>
        <v>45649</v>
      </c>
      <c r="Y372" s="385">
        <f t="shared" si="138"/>
        <v>22.768054630714364</v>
      </c>
      <c r="Z372" s="385">
        <f t="shared" si="139"/>
        <v>24.000066297667704</v>
      </c>
      <c r="AA372" s="386">
        <f t="shared" si="140"/>
        <v>25.82660113836473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7.0723004971171274E-2</v>
      </c>
      <c r="AD372" s="231">
        <f>(INDEX(Models!$BJ372:$BT372,,AH372)*(1-AF372)+INDEX(Models!$BJ372:$BT372,,AH372+1)*AF372-ERP_i)*AE372*Ramure*Pc/MaxiM</f>
        <v>9.1978708268544099E-3</v>
      </c>
      <c r="AE372" s="305">
        <f t="shared" si="142"/>
        <v>0.7</v>
      </c>
      <c r="AF372" s="177">
        <f t="shared" si="143"/>
        <v>0.50003731322220801</v>
      </c>
      <c r="AG372" s="919">
        <f t="shared" si="149"/>
        <v>1</v>
      </c>
      <c r="AH372" s="176">
        <f t="shared" si="144"/>
        <v>7</v>
      </c>
      <c r="AI372" s="225">
        <f t="shared" si="145"/>
        <v>1.500037313222208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1090">
        <f>IF(t&gt;Tmaj,'2023'!Wh/'2023'!Env_an*'2024'!Env_an,0.001*'[14]mon-tableau (2)'!$B$62)</f>
        <v>13.812540900601594</v>
      </c>
      <c r="C373" s="953"/>
      <c r="D373" s="393">
        <f t="shared" si="127"/>
        <v>14.5602759494365</v>
      </c>
      <c r="E373" s="385">
        <f t="shared" si="150"/>
        <v>15.129900733776363</v>
      </c>
      <c r="F373" s="385">
        <f t="shared" si="128"/>
        <v>15.181256495391883</v>
      </c>
      <c r="G373" s="110">
        <f t="shared" si="151"/>
        <v>0.5541930116707291</v>
      </c>
      <c r="H373" s="412" t="b">
        <f>Wh_hp&gt;='2023'!Maxi_hp</f>
        <v>0</v>
      </c>
      <c r="I373" s="390">
        <f>IF(H373,Wh_hp,'2023'!Maxi_hp)</f>
        <v>18.791308820692279</v>
      </c>
      <c r="J373" s="85">
        <f>IF(H373,An,'2023'!An_max)</f>
        <v>2019</v>
      </c>
      <c r="K373" s="197">
        <f t="shared" si="129"/>
        <v>45650</v>
      </c>
      <c r="L373" s="147">
        <f>IF(t&lt;Tvie,1-EXP((T0-t)*PertePVj)+'2023'!Pspv,1-EXP((T0-t)*PertePVj)+Pspv)</f>
        <v>5.1354455879240701E-2</v>
      </c>
      <c r="M373" s="957"/>
      <c r="N373" s="957"/>
      <c r="O373" s="48">
        <f>IF(t&lt;Tnet,'2023'!Resal+('2023'!Salim-'2023'!Resal)*(1-EXP(('2023'!Tnet-t)/('2023'!Tau_j))),Resal+(Salim-Resal)*(1-EXP((Tnet-t)/(Tau_j))))*Salcycl</f>
        <v>3.7648943926526866E-2</v>
      </c>
      <c r="P373" s="169">
        <f>(INDEX(Models!$BJ373:$BT373,,T373)*(1-R373)+INDEX(Models!$BJ373:$BT373,,T373+1)*R373-ERP_i)*Q373*Ramure*Pc/MaxiM</f>
        <v>9.1980110499064044E-3</v>
      </c>
      <c r="Q373" s="305">
        <f t="shared" si="130"/>
        <v>0.7</v>
      </c>
      <c r="R373" s="177">
        <f t="shared" si="131"/>
        <v>0.50003731322220801</v>
      </c>
      <c r="S373" s="919">
        <f t="shared" si="132"/>
        <v>1</v>
      </c>
      <c r="T373" s="176">
        <f t="shared" si="133"/>
        <v>7</v>
      </c>
      <c r="U373" s="251">
        <f t="shared" si="134"/>
        <v>1.500037313222208</v>
      </c>
      <c r="V373" s="383">
        <f t="shared" si="135"/>
        <v>24.778273423893015</v>
      </c>
      <c r="W373" s="402">
        <f t="shared" si="136"/>
        <v>13.812540900601594</v>
      </c>
      <c r="X373" s="157">
        <f t="shared" si="137"/>
        <v>45650</v>
      </c>
      <c r="Y373" s="385">
        <f t="shared" si="138"/>
        <v>13.336840060575875</v>
      </c>
      <c r="Z373" s="385">
        <f t="shared" si="139"/>
        <v>14.058823280445559</v>
      </c>
      <c r="AA373" s="386">
        <f t="shared" si="140"/>
        <v>15.129900733776363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7.0792100502001645E-2</v>
      </c>
      <c r="AD373" s="231">
        <f>(INDEX(Models!$BJ373:$BT373,,AH373)*(1-AF373)+INDEX(Models!$BJ373:$BT373,,AH373+1)*AF373-ERP_i)*AE373*Ramure*Pc/MaxiM</f>
        <v>9.1980110499064044E-3</v>
      </c>
      <c r="AE373" s="305">
        <f t="shared" si="142"/>
        <v>0.7</v>
      </c>
      <c r="AF373" s="177">
        <f t="shared" si="143"/>
        <v>0.50003731322220801</v>
      </c>
      <c r="AG373" s="919">
        <f t="shared" si="149"/>
        <v>1</v>
      </c>
      <c r="AH373" s="176">
        <f t="shared" si="144"/>
        <v>7</v>
      </c>
      <c r="AI373" s="225">
        <f t="shared" si="145"/>
        <v>1.500037313222208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1090">
        <f>IF(t&gt;Tmaj,'2023'!Wh/'2023'!Env_an*'2024'!Env_an,0.001*'[14]mon-tableau (2)'!$B$63)</f>
        <v>22.802663128639455</v>
      </c>
      <c r="C374" s="953"/>
      <c r="D374" s="393">
        <f t="shared" si="127"/>
        <v>24.037600469158885</v>
      </c>
      <c r="E374" s="385">
        <f t="shared" si="150"/>
        <v>24.980770142720633</v>
      </c>
      <c r="F374" s="385">
        <f t="shared" si="128"/>
        <v>25.184863340843144</v>
      </c>
      <c r="G374" s="110">
        <f t="shared" si="151"/>
        <v>0.91512044788615721</v>
      </c>
      <c r="H374" s="412" t="b">
        <f>Wh_hp&gt;='2023'!Maxi_hp</f>
        <v>0</v>
      </c>
      <c r="I374" s="390">
        <f>IF(H374,Wh_hp,'2023'!Maxi_hp)</f>
        <v>26.329619230701343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5.1375233651291485E-2</v>
      </c>
      <c r="M374" s="957"/>
      <c r="N374" s="957"/>
      <c r="O374" s="48">
        <f>IF(t&lt;Tnet,'2023'!Resal+('2023'!Salim-'2023'!Resal)*(1-EXP(('2023'!Tnet-t)/('2023'!Tau_j))),Resal+(Salim-Resal)*(1-EXP((Tnet-t)/(Tau_j))))*Salcycl</f>
        <v>3.7755828510218518E-2</v>
      </c>
      <c r="P374" s="169">
        <f>(INDEX(Models!$BJ374:$BT374,,T374)*(1-R374)+INDEX(Models!$BJ374:$BT374,,T374+1)*R374-ERP_i)*Q374*Ramure*Pc/MaxiM</f>
        <v>9.2067879149724981E-3</v>
      </c>
      <c r="Q374" s="305">
        <f t="shared" si="130"/>
        <v>0.7</v>
      </c>
      <c r="R374" s="177">
        <f t="shared" si="131"/>
        <v>0.50003731322220801</v>
      </c>
      <c r="S374" s="919">
        <f t="shared" si="132"/>
        <v>1</v>
      </c>
      <c r="T374" s="176">
        <f t="shared" si="133"/>
        <v>7</v>
      </c>
      <c r="U374" s="251">
        <f t="shared" si="134"/>
        <v>1.500037313222208</v>
      </c>
      <c r="V374" s="383">
        <f t="shared" si="135"/>
        <v>24.889954899976392</v>
      </c>
      <c r="W374" s="402">
        <f t="shared" si="136"/>
        <v>22.802663128639455</v>
      </c>
      <c r="X374" s="157">
        <f t="shared" si="137"/>
        <v>45651</v>
      </c>
      <c r="Y374" s="385">
        <f t="shared" si="138"/>
        <v>22.018146065533571</v>
      </c>
      <c r="Z374" s="385">
        <f t="shared" si="139"/>
        <v>23.210595850540802</v>
      </c>
      <c r="AA374" s="386">
        <f t="shared" si="140"/>
        <v>24.980770142720633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7.0861477931482328E-2</v>
      </c>
      <c r="AD374" s="231">
        <f>(INDEX(Models!$BJ374:$BT374,,AH374)*(1-AF374)+INDEX(Models!$BJ374:$BT374,,AH374+1)*AF374-ERP_i)*AE374*Ramure*Pc/MaxiM</f>
        <v>9.2067879149724981E-3</v>
      </c>
      <c r="AE374" s="305">
        <f t="shared" si="142"/>
        <v>0.7</v>
      </c>
      <c r="AF374" s="177">
        <f t="shared" si="143"/>
        <v>0.50003731322220801</v>
      </c>
      <c r="AG374" s="919">
        <f t="shared" si="149"/>
        <v>1</v>
      </c>
      <c r="AH374" s="176">
        <f t="shared" si="144"/>
        <v>7</v>
      </c>
      <c r="AI374" s="225">
        <f t="shared" si="145"/>
        <v>1.500037313222208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1090">
        <f>IF(t&gt;Tmaj,'2023'!Wh/'2023'!Env_an*'2024'!Env_an,0.001*'[14]mon-tableau (2)'!$B$64)</f>
        <v>6.1926518510190105</v>
      </c>
      <c r="C375" s="953"/>
      <c r="D375" s="393">
        <f t="shared" si="127"/>
        <v>6.5281739510076839</v>
      </c>
      <c r="E375" s="385">
        <f t="shared" si="150"/>
        <v>6.7850756594142618</v>
      </c>
      <c r="F375" s="385">
        <f t="shared" si="128"/>
        <v>6.7850756594142618</v>
      </c>
      <c r="G375" s="110">
        <f t="shared" si="151"/>
        <v>0.24525803293964094</v>
      </c>
      <c r="H375" s="412" t="b">
        <f>Wh_hp&gt;='2023'!Maxi_hp</f>
        <v>0</v>
      </c>
      <c r="I375" s="390">
        <f>IF(H375,Wh_hp,'2023'!Maxi_hp)</f>
        <v>27.615988001355355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5.1396010968255856E-2</v>
      </c>
      <c r="M375" s="957"/>
      <c r="N375" s="957"/>
      <c r="O375" s="48">
        <f>IF(t&lt;Tnet,'2023'!Resal+('2023'!Salim-'2023'!Resal)*(1-EXP(('2023'!Tnet-t)/('2023'!Tau_j))),Resal+(Salim-Resal)*(1-EXP((Tnet-t)/(Tau_j))))*Salcycl</f>
        <v>3.7862762525002654E-2</v>
      </c>
      <c r="P375" s="169">
        <f>(INDEX(Models!$BJ375:$BT375,,T375)*(1-R375)+INDEX(Models!$BJ375:$BT375,,T375+1)*R375-ERP_i)*Q375*Ramure*Pc/MaxiM</f>
        <v>9.2240628828597297E-3</v>
      </c>
      <c r="Q375" s="305">
        <f t="shared" si="130"/>
        <v>0.7</v>
      </c>
      <c r="R375" s="177">
        <f t="shared" si="131"/>
        <v>0.50003731322220801</v>
      </c>
      <c r="S375" s="919">
        <f t="shared" si="132"/>
        <v>1</v>
      </c>
      <c r="T375" s="176">
        <f t="shared" si="133"/>
        <v>7</v>
      </c>
      <c r="U375" s="251">
        <f t="shared" si="134"/>
        <v>1.500037313222208</v>
      </c>
      <c r="V375" s="383">
        <f t="shared" si="135"/>
        <v>25.016633980928709</v>
      </c>
      <c r="W375" s="402">
        <f t="shared" si="136"/>
        <v>6.1926518510190105</v>
      </c>
      <c r="X375" s="157">
        <f t="shared" si="137"/>
        <v>45652</v>
      </c>
      <c r="Y375" s="385">
        <f t="shared" si="138"/>
        <v>5.9798124334119462</v>
      </c>
      <c r="Z375" s="385">
        <f t="shared" si="139"/>
        <v>6.3038027486218358</v>
      </c>
      <c r="AA375" s="386">
        <f t="shared" si="140"/>
        <v>6.7850756594142618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7.093110452271259E-2</v>
      </c>
      <c r="AD375" s="231">
        <f>(INDEX(Models!$BJ375:$BT375,,AH375)*(1-AF375)+INDEX(Models!$BJ375:$BT375,,AH375+1)*AF375-ERP_i)*AE375*Ramure*Pc/MaxiM</f>
        <v>9.2240628828597297E-3</v>
      </c>
      <c r="AE375" s="305">
        <f t="shared" si="142"/>
        <v>0.7</v>
      </c>
      <c r="AF375" s="177">
        <f t="shared" si="143"/>
        <v>0.50003731322220801</v>
      </c>
      <c r="AG375" s="919">
        <f t="shared" si="149"/>
        <v>1</v>
      </c>
      <c r="AH375" s="176">
        <f t="shared" si="144"/>
        <v>7</v>
      </c>
      <c r="AI375" s="225">
        <f t="shared" si="145"/>
        <v>1.500037313222208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1090">
        <f>IF(t&gt;Tmaj,'2023'!Wh/'2023'!Env_an*'2024'!Env_an,0.001*'[14]mon-tableau (2)'!$B$65)</f>
        <v>24.140575910686437</v>
      </c>
      <c r="C376" s="953"/>
      <c r="D376" s="393">
        <f t="shared" si="127"/>
        <v>25.449086175018397</v>
      </c>
      <c r="E376" s="385">
        <f t="shared" si="150"/>
        <v>26.453519170109303</v>
      </c>
      <c r="F376" s="385">
        <f t="shared" si="128"/>
        <v>26.685945101197216</v>
      </c>
      <c r="G376" s="110">
        <f t="shared" si="151"/>
        <v>0.95907824911614881</v>
      </c>
      <c r="H376" s="412" t="b">
        <f>Wh_hp&gt;='2023'!Maxi_hp</f>
        <v>0</v>
      </c>
      <c r="I376" s="390">
        <f>IF(H376,Wh_hp,'2023'!Maxi_hp)</f>
        <v>26.692887258732487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5.1416787830143584E-2</v>
      </c>
      <c r="M376" s="957"/>
      <c r="N376" s="957"/>
      <c r="O376" s="48">
        <f>IF(t&lt;Tnet,'2023'!Resal+('2023'!Salim-'2023'!Resal)*(1-EXP(('2023'!Tnet-t)/('2023'!Tau_j))),Resal+(Salim-Resal)*(1-EXP((Tnet-t)/(Tau_j))))*Salcycl</f>
        <v>3.7969730553878291E-2</v>
      </c>
      <c r="P376" s="169">
        <f>(INDEX(Models!$BJ376:$BT376,,T376)*(1-R376)+INDEX(Models!$BJ376:$BT376,,T376+1)*R376-ERP_i)*Q376*Ramure*Pc/MaxiM</f>
        <v>9.2432107973075481E-3</v>
      </c>
      <c r="Q376" s="305">
        <f t="shared" si="130"/>
        <v>0.7</v>
      </c>
      <c r="R376" s="177">
        <f t="shared" si="131"/>
        <v>0.50003731322220801</v>
      </c>
      <c r="S376" s="919">
        <f t="shared" si="132"/>
        <v>1</v>
      </c>
      <c r="T376" s="176">
        <f t="shared" si="133"/>
        <v>7</v>
      </c>
      <c r="U376" s="251">
        <f t="shared" si="134"/>
        <v>1.500037313222208</v>
      </c>
      <c r="V376" s="383">
        <f t="shared" si="135"/>
        <v>25.157053584215447</v>
      </c>
      <c r="W376" s="402">
        <f t="shared" si="136"/>
        <v>24.140575910686437</v>
      </c>
      <c r="X376" s="157">
        <f t="shared" si="137"/>
        <v>45653</v>
      </c>
      <c r="Y376" s="385">
        <f t="shared" si="138"/>
        <v>23.31171150631604</v>
      </c>
      <c r="Z376" s="385">
        <f t="shared" si="139"/>
        <v>24.575294193738873</v>
      </c>
      <c r="AA376" s="386">
        <f t="shared" si="140"/>
        <v>26.453519170109303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7.1000949412155914E-2</v>
      </c>
      <c r="AD376" s="231">
        <f>(INDEX(Models!$BJ376:$BT376,,AH376)*(1-AF376)+INDEX(Models!$BJ376:$BT376,,AH376+1)*AF376-ERP_i)*AE376*Ramure*Pc/MaxiM</f>
        <v>9.2432107973075481E-3</v>
      </c>
      <c r="AE376" s="305">
        <f t="shared" si="142"/>
        <v>0.7</v>
      </c>
      <c r="AF376" s="177">
        <f t="shared" si="143"/>
        <v>0.50003731322220801</v>
      </c>
      <c r="AG376" s="919">
        <f t="shared" si="149"/>
        <v>1</v>
      </c>
      <c r="AH376" s="176">
        <f t="shared" si="144"/>
        <v>7</v>
      </c>
      <c r="AI376" s="225">
        <f t="shared" si="145"/>
        <v>1.500037313222208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1090">
        <f>IF(t&gt;Tmaj,'2023'!Wh/'2023'!Env_an*'2024'!Env_an,0.001*'[14]mon-tableau (2)'!$B$66)</f>
        <v>10.511019799692356</v>
      </c>
      <c r="C377" s="953"/>
      <c r="D377" s="393">
        <f t="shared" si="127"/>
        <v>11.080999419123279</v>
      </c>
      <c r="E377" s="385">
        <f t="shared" si="150"/>
        <v>11.519629088650719</v>
      </c>
      <c r="F377" s="385">
        <f t="shared" si="128"/>
        <v>11.5372342890082</v>
      </c>
      <c r="G377" s="110">
        <f t="shared" si="151"/>
        <v>0.41207602095666884</v>
      </c>
      <c r="H377" s="412" t="b">
        <f>Wh_hp&gt;='2023'!Maxi_hp</f>
        <v>0</v>
      </c>
      <c r="I377" s="390">
        <f>IF(H377,Wh_hp,'2023'!Maxi_hp)</f>
        <v>27.222037432287717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5.1437564236964772E-2</v>
      </c>
      <c r="M377" s="957"/>
      <c r="N377" s="957"/>
      <c r="O377" s="48">
        <f>IF(t&lt;Tnet,'2023'!Resal+('2023'!Salim-'2023'!Resal)*(1-EXP(('2023'!Tnet-t)/('2023'!Tau_j))),Resal+(Salim-Resal)*(1-EXP((Tnet-t)/(Tau_j))))*Salcycl</f>
        <v>3.807671810888285E-2</v>
      </c>
      <c r="P377" s="169">
        <f>(INDEX(Models!$BJ377:$BT377,,T377)*(1-R377)+INDEX(Models!$BJ377:$BT377,,T377+1)*R377-ERP_i)*Q377*Ramure*Pc/MaxiM</f>
        <v>9.2646222137479483E-3</v>
      </c>
      <c r="Q377" s="305">
        <f t="shared" si="130"/>
        <v>0.7</v>
      </c>
      <c r="R377" s="177">
        <f t="shared" si="131"/>
        <v>0.50003731322220801</v>
      </c>
      <c r="S377" s="919">
        <f t="shared" si="132"/>
        <v>1</v>
      </c>
      <c r="T377" s="176">
        <f t="shared" si="133"/>
        <v>7</v>
      </c>
      <c r="U377" s="251">
        <f t="shared" si="134"/>
        <v>1.500037313222208</v>
      </c>
      <c r="V377" s="383">
        <f t="shared" si="135"/>
        <v>25.309781646131839</v>
      </c>
      <c r="W377" s="402">
        <f t="shared" si="136"/>
        <v>10.511019799692356</v>
      </c>
      <c r="X377" s="157">
        <f t="shared" si="137"/>
        <v>45654</v>
      </c>
      <c r="Y377" s="385">
        <f t="shared" si="138"/>
        <v>10.150488574883301</v>
      </c>
      <c r="Z377" s="385">
        <f t="shared" si="139"/>
        <v>10.700917717364723</v>
      </c>
      <c r="AA377" s="386">
        <f t="shared" si="140"/>
        <v>11.519629088650719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7.1070983708373184E-2</v>
      </c>
      <c r="AD377" s="231">
        <f>(INDEX(Models!$BJ377:$BT377,,AH377)*(1-AF377)+INDEX(Models!$BJ377:$BT377,,AH377+1)*AF377-ERP_i)*AE377*Ramure*Pc/MaxiM</f>
        <v>9.2646222137479483E-3</v>
      </c>
      <c r="AE377" s="305">
        <f t="shared" si="142"/>
        <v>0.7</v>
      </c>
      <c r="AF377" s="177">
        <f t="shared" si="143"/>
        <v>0.50003731322220801</v>
      </c>
      <c r="AG377" s="919">
        <f t="shared" si="149"/>
        <v>1</v>
      </c>
      <c r="AH377" s="176">
        <f t="shared" si="144"/>
        <v>7</v>
      </c>
      <c r="AI377" s="225">
        <f t="shared" si="145"/>
        <v>1.500037313222208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1090">
        <f>IF(t&gt;Tmaj,'2023'!Wh/'2023'!Env_an*'2024'!Env_an,0.001*'[14]mon-tableau (2)'!$B$67)</f>
        <v>15.095521142089559</v>
      </c>
      <c r="C378" s="953"/>
      <c r="D378" s="393">
        <f t="shared" si="127"/>
        <v>15.914452450188728</v>
      </c>
      <c r="E378" s="385">
        <f t="shared" si="150"/>
        <v>16.546249677310861</v>
      </c>
      <c r="F378" s="385">
        <f t="shared" si="128"/>
        <v>16.610743618574265</v>
      </c>
      <c r="G378" s="110">
        <f t="shared" si="151"/>
        <v>0.58938360160999115</v>
      </c>
      <c r="H378" s="412" t="b">
        <f>Wh_hp&gt;='2023'!Maxi_hp</f>
        <v>0</v>
      </c>
      <c r="I378" s="390">
        <f>IF(H378,Wh_hp,'2023'!Maxi_hp)</f>
        <v>27.784365944966957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5.1458340188729301E-2</v>
      </c>
      <c r="M378" s="957"/>
      <c r="N378" s="957"/>
      <c r="O378" s="48">
        <f>IF(t&lt;Tnet,'2023'!Resal+('2023'!Salim-'2023'!Resal)*(1-EXP(('2023'!Tnet-t)/('2023'!Tau_j))),Resal+(Salim-Resal)*(1-EXP((Tnet-t)/(Tau_j))))*Salcycl</f>
        <v>3.8183711683529693E-2</v>
      </c>
      <c r="P378" s="169">
        <f>(INDEX(Models!$BJ378:$BT378,,T378)*(1-R378)+INDEX(Models!$BJ378:$BT378,,T378+1)*R378-ERP_i)*Q378*Ramure*Pc/MaxiM</f>
        <v>9.2886803526660774E-3</v>
      </c>
      <c r="Q378" s="305">
        <f t="shared" si="130"/>
        <v>0.7</v>
      </c>
      <c r="R378" s="177">
        <f t="shared" si="131"/>
        <v>0.50003731322220801</v>
      </c>
      <c r="S378" s="919">
        <f t="shared" si="132"/>
        <v>1</v>
      </c>
      <c r="T378" s="176">
        <f t="shared" si="133"/>
        <v>7</v>
      </c>
      <c r="U378" s="251">
        <f t="shared" si="134"/>
        <v>1.500037313222208</v>
      </c>
      <c r="V378" s="383">
        <f t="shared" si="135"/>
        <v>25.473386747286831</v>
      </c>
      <c r="W378" s="402">
        <f t="shared" si="136"/>
        <v>15.095521142089559</v>
      </c>
      <c r="X378" s="157">
        <f t="shared" si="137"/>
        <v>45655</v>
      </c>
      <c r="Y378" s="385">
        <f t="shared" si="138"/>
        <v>14.578260024339675</v>
      </c>
      <c r="Z378" s="385">
        <f t="shared" si="139"/>
        <v>15.369129941261916</v>
      </c>
      <c r="AA378" s="386">
        <f t="shared" si="140"/>
        <v>16.546249677310861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7.1141180569943799E-2</v>
      </c>
      <c r="AD378" s="231">
        <f>(INDEX(Models!$BJ378:$BT378,,AH378)*(1-AF378)+INDEX(Models!$BJ378:$BT378,,AH378+1)*AF378-ERP_i)*AE378*Ramure*Pc/MaxiM</f>
        <v>9.2886803526660774E-3</v>
      </c>
      <c r="AE378" s="305">
        <f t="shared" si="142"/>
        <v>0.7</v>
      </c>
      <c r="AF378" s="177">
        <f t="shared" si="143"/>
        <v>0.50003731322220801</v>
      </c>
      <c r="AG378" s="919">
        <f t="shared" si="149"/>
        <v>1</v>
      </c>
      <c r="AH378" s="176">
        <f t="shared" si="144"/>
        <v>7</v>
      </c>
      <c r="AI378" s="225">
        <f t="shared" si="145"/>
        <v>1.500037313222208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1090">
        <f>IF(t&gt;Tmaj,'2023'!Wh/'2023'!Env_an*'2024'!Env_an,0.001*'[14]mon-tableau (2)'!$B$68)</f>
        <v>11.415136074057788</v>
      </c>
      <c r="C379" s="953"/>
      <c r="D379" s="393">
        <f t="shared" si="127"/>
        <v>12.034670256424473</v>
      </c>
      <c r="E379" s="385">
        <f t="shared" si="150"/>
        <v>12.513833693131176</v>
      </c>
      <c r="F379" s="385">
        <f t="shared" si="128"/>
        <v>12.538044350484137</v>
      </c>
      <c r="G379" s="110">
        <f t="shared" si="151"/>
        <v>0.44180305290724214</v>
      </c>
      <c r="H379" s="412" t="b">
        <f>Wh_hp&gt;='2023'!Maxi_hp</f>
        <v>0</v>
      </c>
      <c r="I379" s="390">
        <f>IF(H379,Wh_hp,'2023'!Maxi_hp)</f>
        <v>28.039920073924794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5.1479115685447163E-2</v>
      </c>
      <c r="M379" s="957"/>
      <c r="N379" s="957"/>
      <c r="O379" s="48">
        <f>IF(t&lt;Tnet,'2023'!Resal+('2023'!Salim-'2023'!Resal)*(1-EXP(('2023'!Tnet-t)/('2023'!Tau_j))),Resal+(Salim-Resal)*(1-EXP((Tnet-t)/(Tau_j))))*Salcycl</f>
        <v>3.8290698794384209E-2</v>
      </c>
      <c r="P379" s="169">
        <f>(INDEX(Models!$BJ379:$BT379,,T379)*(1-R379)+INDEX(Models!$BJ379:$BT379,,T379+1)*R379-ERP_i)*Q379*Ramure*Pc/MaxiM</f>
        <v>9.3157606720592548E-3</v>
      </c>
      <c r="Q379" s="306">
        <f t="shared" si="130"/>
        <v>0.7</v>
      </c>
      <c r="R379" s="177">
        <f t="shared" si="131"/>
        <v>0.50003731322220801</v>
      </c>
      <c r="S379" s="919">
        <f t="shared" si="132"/>
        <v>1</v>
      </c>
      <c r="T379" s="176">
        <f t="shared" si="133"/>
        <v>7</v>
      </c>
      <c r="U379" s="307">
        <f t="shared" si="134"/>
        <v>1.500037313222208</v>
      </c>
      <c r="V379" s="383">
        <f t="shared" si="135"/>
        <v>25.646438112540359</v>
      </c>
      <c r="W379" s="402">
        <f t="shared" si="136"/>
        <v>11.415136074057788</v>
      </c>
      <c r="X379" s="157">
        <f t="shared" si="137"/>
        <v>45656</v>
      </c>
      <c r="Y379" s="385">
        <f t="shared" si="138"/>
        <v>11.024378077663428</v>
      </c>
      <c r="Z379" s="385">
        <f t="shared" si="139"/>
        <v>11.622704634100048</v>
      </c>
      <c r="AA379" s="386">
        <f t="shared" si="140"/>
        <v>12.513833693131176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7.1211515262526476E-2</v>
      </c>
      <c r="AD379" s="231">
        <f>(INDEX(Models!$BJ379:$BT379,,AH379)*(1-AF379)+INDEX(Models!$BJ379:$BT379,,AH379+1)*AF379-ERP_i)*AE379*Ramure*Pc/MaxiM</f>
        <v>9.3157606720592548E-3</v>
      </c>
      <c r="AE379" s="306">
        <f t="shared" si="142"/>
        <v>0.7</v>
      </c>
      <c r="AF379" s="177">
        <f t="shared" si="143"/>
        <v>0.50003731322220801</v>
      </c>
      <c r="AG379" s="919">
        <f t="shared" si="149"/>
        <v>1</v>
      </c>
      <c r="AH379" s="176">
        <f t="shared" si="144"/>
        <v>7</v>
      </c>
      <c r="AI379" s="222">
        <f t="shared" si="145"/>
        <v>1.500037313222208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7">
        <f>A379+1</f>
        <v>45657</v>
      </c>
      <c r="B380" s="910">
        <f>AVERAGE(B366:B379)</f>
        <v>16.425880463501439</v>
      </c>
      <c r="C380" s="963"/>
      <c r="D380" s="606">
        <f t="shared" si="127"/>
        <v>17.317742299569854</v>
      </c>
      <c r="E380" s="602">
        <f t="shared" si="150"/>
        <v>18.009255721918052</v>
      </c>
      <c r="F380" s="602">
        <f t="shared" si="128"/>
        <v>18.090408885249197</v>
      </c>
      <c r="G380" s="110">
        <f t="shared" si="151"/>
        <v>0.63287903263918033</v>
      </c>
      <c r="H380" s="603" t="b">
        <f>Wh_hp&gt;='2023'!Maxi_hp</f>
        <v>1</v>
      </c>
      <c r="I380" s="604">
        <f>IF(H380,Wh_hp,'2023'!Maxi_hp)</f>
        <v>18.090408885249197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5.149989072712835E-2</v>
      </c>
      <c r="M380" s="957"/>
      <c r="N380" s="957"/>
      <c r="O380" s="48">
        <f>IF(t&lt;Tnet,'2023'!Resal+('2023'!Salim-'2023'!Resal)*(1-EXP(('2023'!Tnet-t)/('2023'!Tau_j))),Resal+(Salim-Resal)*(1-EXP((Tnet-t)/(Tau_j))))*Salcycl</f>
        <v>3.8397668011710039E-2</v>
      </c>
      <c r="P380" s="231">
        <f>(INDEX(Models!$BJ380:$BT380,,T380)*(1-R380)+INDEX(Models!$BJ380:$BT380,,T380+1)*R380-ERP_i)*Q380*Ramure*Pc/MaxiM</f>
        <v>9.3462309279795566E-3</v>
      </c>
      <c r="Q380" s="328">
        <f t="shared" si="130"/>
        <v>0.7</v>
      </c>
      <c r="R380" s="314">
        <f>(Hp_vg-S380)/(INDEX(Echel_vg,T380+1)-S380)</f>
        <v>0.50003731322220801</v>
      </c>
      <c r="S380" s="920">
        <f>INDEX(Echel_vg,T380)</f>
        <v>1</v>
      </c>
      <c r="T380" s="233">
        <f t="shared" si="133"/>
        <v>7</v>
      </c>
      <c r="U380" s="301">
        <f t="shared" si="134"/>
        <v>1.500037313222208</v>
      </c>
      <c r="V380" s="383">
        <f t="shared" si="135"/>
        <v>25.82750561807897</v>
      </c>
      <c r="W380" s="402">
        <f t="shared" si="136"/>
        <v>16.425880463501439</v>
      </c>
      <c r="X380" s="326">
        <f t="shared" si="137"/>
        <v>45657</v>
      </c>
      <c r="Y380" s="602">
        <f t="shared" si="138"/>
        <v>15.864158100011073</v>
      </c>
      <c r="Z380" s="602">
        <f t="shared" si="139"/>
        <v>16.725520582356783</v>
      </c>
      <c r="AA380" s="605">
        <f t="shared" si="140"/>
        <v>18.009255721918052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7.1281965195202787E-2</v>
      </c>
      <c r="AD380" s="231">
        <f>(INDEX(Models!$BJ380:$BT380,,AH380)*(1-AF380)+INDEX(Models!$BJ380:$BT380,,AH380+1)*AF380-ERP_i)*AE380*Ramure*Pc/MaxiM</f>
        <v>9.3462309279795566E-3</v>
      </c>
      <c r="AE380" s="328">
        <f t="shared" si="142"/>
        <v>0.7</v>
      </c>
      <c r="AF380" s="314">
        <f>(Hp_vg_s-AG380)/(INDEX(Echel_vg,AH380+1)-AG380)</f>
        <v>0.50003731322220801</v>
      </c>
      <c r="AG380" s="920">
        <f>INDEX(Echel_vg,AH380)</f>
        <v>1</v>
      </c>
      <c r="AH380" s="233">
        <f t="shared" si="144"/>
        <v>7</v>
      </c>
      <c r="AI380" s="225">
        <f t="shared" si="145"/>
        <v>1.500037313222208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4.3886692154114559E-2</v>
      </c>
      <c r="M381" s="959"/>
      <c r="N381" s="959"/>
      <c r="O381" s="47">
        <f t="shared" si="152"/>
        <v>8.0926651060319096E-3</v>
      </c>
      <c r="P381" s="168">
        <f t="shared" si="152"/>
        <v>7.485035481504973E-4</v>
      </c>
      <c r="Q381" s="310">
        <f t="shared" si="152"/>
        <v>0.7</v>
      </c>
      <c r="R381" s="311">
        <f t="shared" si="152"/>
        <v>3.8586258378936478E-5</v>
      </c>
      <c r="S381" s="919">
        <f t="shared" si="152"/>
        <v>1</v>
      </c>
      <c r="T381" s="176">
        <f t="shared" si="152"/>
        <v>7</v>
      </c>
      <c r="U381" s="252">
        <f>+MIN(U15:U380)</f>
        <v>1.0000385862583789</v>
      </c>
      <c r="V381" s="373">
        <f>MIN(V15:V380)</f>
        <v>24.302885514010526</v>
      </c>
      <c r="W381" s="911" t="s">
        <v>41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5.1276187686407751E-2</v>
      </c>
      <c r="AD381" s="168">
        <f t="shared" si="153"/>
        <v>7.485035481504973E-4</v>
      </c>
      <c r="AE381" s="310">
        <f t="shared" si="153"/>
        <v>0.7</v>
      </c>
      <c r="AF381" s="311">
        <f t="shared" si="153"/>
        <v>3.8586258378936478E-5</v>
      </c>
      <c r="AG381" s="919">
        <f t="shared" si="153"/>
        <v>1</v>
      </c>
      <c r="AH381" s="176">
        <f t="shared" si="153"/>
        <v>7</v>
      </c>
      <c r="AI381" s="226">
        <f>MIN(AI15:AI380)</f>
        <v>1.0000385862583789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29.78977716542536</v>
      </c>
      <c r="C382" s="375"/>
      <c r="D382" s="375">
        <f>AVERAGE(D15:D380)</f>
        <v>31.279778756265383</v>
      </c>
      <c r="E382" s="375">
        <f>AVERAGE(E15:E380)</f>
        <v>32.185626331985219</v>
      </c>
      <c r="F382" s="376">
        <f>AVERAGE(F15:F380)</f>
        <v>32.283040202143603</v>
      </c>
      <c r="G382" s="126">
        <f>AVERAGE(G15:G380)</f>
        <v>0.66933203613597325</v>
      </c>
      <c r="H382" s="94"/>
      <c r="I382" s="376">
        <f>AVERAGE(I15:I380)</f>
        <v>44.057367320879933</v>
      </c>
      <c r="J382" s="59">
        <f>AVERAGE(J15:J380)</f>
        <v>2020.3142076502731</v>
      </c>
      <c r="K382" s="200" t="s">
        <v>8</v>
      </c>
      <c r="L382" s="147">
        <f t="shared" ref="L382:V382" si="154">AVERAGE(L15:L380)</f>
        <v>4.769834953111407E-2</v>
      </c>
      <c r="M382" s="957"/>
      <c r="N382" s="957"/>
      <c r="O382" s="48">
        <f t="shared" si="154"/>
        <v>3.1159528831312018E-2</v>
      </c>
      <c r="P382" s="169">
        <f t="shared" si="154"/>
        <v>4.4314046677574439E-3</v>
      </c>
      <c r="Q382" s="312">
        <f t="shared" si="154"/>
        <v>0.69999999999999529</v>
      </c>
      <c r="R382" s="177">
        <f t="shared" si="154"/>
        <v>0.28052359071644256</v>
      </c>
      <c r="S382" s="919">
        <f t="shared" si="154"/>
        <v>1</v>
      </c>
      <c r="T382" s="176">
        <f t="shared" si="154"/>
        <v>7</v>
      </c>
      <c r="U382" s="251">
        <f t="shared" si="154"/>
        <v>1.2805235907164416</v>
      </c>
      <c r="V382" s="375">
        <f t="shared" si="154"/>
        <v>42.924351309843168</v>
      </c>
      <c r="X382" s="112" t="s">
        <v>8</v>
      </c>
      <c r="Y382" s="375">
        <f>AVERAGE(Y15:Y380)</f>
        <v>28.283649471286342</v>
      </c>
      <c r="Z382" s="375">
        <f>AVERAGE(Z15:Z380)</f>
        <v>29.699146985037643</v>
      </c>
      <c r="AA382" s="375">
        <f>AVERAGE(AA15:AA380)</f>
        <v>32.185626331985219</v>
      </c>
      <c r="AB382" s="200" t="s">
        <v>8</v>
      </c>
      <c r="AC382" s="48">
        <f t="shared" ref="AC382:AH382" si="155">AVERAGE(AC15:AC380)</f>
        <v>8.1858405362612394E-2</v>
      </c>
      <c r="AD382" s="169">
        <f t="shared" si="155"/>
        <v>4.4314046677574439E-3</v>
      </c>
      <c r="AE382" s="312">
        <f t="shared" si="155"/>
        <v>0.69999999999999529</v>
      </c>
      <c r="AF382" s="177">
        <f t="shared" si="155"/>
        <v>0.28052359071644256</v>
      </c>
      <c r="AG382" s="919">
        <f t="shared" si="155"/>
        <v>1</v>
      </c>
      <c r="AH382" s="176">
        <f t="shared" si="155"/>
        <v>7</v>
      </c>
      <c r="AI382" s="225">
        <f>AVERAGE(AI15:AI380)</f>
        <v>1.2805235907164416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56.427828668764221</v>
      </c>
      <c r="C383" s="377"/>
      <c r="D383" s="377">
        <f>MAX(D15:D380)</f>
        <v>59.209554258027538</v>
      </c>
      <c r="E383" s="377">
        <f>MAX(E15:E380)</f>
        <v>59.943506478648516</v>
      </c>
      <c r="F383" s="378">
        <f>MAX(F15:F380)</f>
        <v>60.258802059722228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2024</v>
      </c>
      <c r="K383" s="200" t="s">
        <v>9</v>
      </c>
      <c r="L383" s="148">
        <f t="shared" ref="L383:T383" si="156">MAX(L15:L380)</f>
        <v>5.149989072712835E-2</v>
      </c>
      <c r="M383" s="960"/>
      <c r="N383" s="960"/>
      <c r="O383" s="49">
        <f t="shared" si="156"/>
        <v>5.1153422845989734E-2</v>
      </c>
      <c r="P383" s="170">
        <f t="shared" si="156"/>
        <v>1.0420196985905959E-2</v>
      </c>
      <c r="Q383" s="313">
        <f t="shared" si="156"/>
        <v>0.7</v>
      </c>
      <c r="R383" s="314">
        <f t="shared" si="156"/>
        <v>0.50003731322220801</v>
      </c>
      <c r="S383" s="920">
        <f t="shared" si="156"/>
        <v>1</v>
      </c>
      <c r="T383" s="233">
        <f t="shared" si="156"/>
        <v>7</v>
      </c>
      <c r="U383" s="253">
        <f>+MAX(U15:U380)</f>
        <v>1.500037313222208</v>
      </c>
      <c r="V383" s="377">
        <f>MAX(V15:V380)</f>
        <v>56.166858430991397</v>
      </c>
      <c r="X383" s="112" t="s">
        <v>9</v>
      </c>
      <c r="Y383" s="377">
        <f>MAX(Y15:Y380)</f>
        <v>53.989795805036799</v>
      </c>
      <c r="Z383" s="377">
        <f>MAX(Z15:Z380)</f>
        <v>56.651333562081618</v>
      </c>
      <c r="AA383" s="377">
        <f>MAX(AA15:AA380)</f>
        <v>59.943506478648516</v>
      </c>
      <c r="AB383" s="200" t="s">
        <v>9</v>
      </c>
      <c r="AC383" s="49">
        <f t="shared" ref="AC383:AH383" si="157">MAX(AC15:AC380)</f>
        <v>0.12227723784022869</v>
      </c>
      <c r="AD383" s="170">
        <f t="shared" si="157"/>
        <v>1.0420196985905959E-2</v>
      </c>
      <c r="AE383" s="313">
        <f t="shared" si="157"/>
        <v>0.7</v>
      </c>
      <c r="AF383" s="314">
        <f t="shared" si="157"/>
        <v>0.50003731322220801</v>
      </c>
      <c r="AG383" s="920">
        <f t="shared" si="157"/>
        <v>1</v>
      </c>
      <c r="AH383" s="233">
        <f t="shared" si="157"/>
        <v>7</v>
      </c>
      <c r="AI383" s="227">
        <f>MAX(AI15:AI380)</f>
        <v>1.500037313222208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22" priority="5" stopIfTrue="1" operator="lessThan">
      <formula>0.01</formula>
    </cfRule>
    <cfRule type="cellIs" dxfId="21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0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7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'2024'!An+1</f>
        <v>2025</v>
      </c>
      <c r="K1" s="1213"/>
      <c r="L1" s="113" t="str">
        <f>"Calcul pertes et enveloppes en "&amp;TEXT(An,0)</f>
        <v>Calcul pertes et enveloppes en 2025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89.681051905766054</v>
      </c>
      <c r="AK3" s="946">
        <f>AM11-AK11</f>
        <v>-0.12976623354134009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324.92644912308378</v>
      </c>
      <c r="AK4" s="946">
        <f>AM12-AK12</f>
        <v>32.457843198805286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414.67026961866952</v>
      </c>
      <c r="AA5" s="237">
        <f>Wh_Pvg_s-Wh_Pvg</f>
        <v>32.253311422466872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2799.1899148077864</v>
      </c>
      <c r="AK5" s="515">
        <f>SUMIF(AK15:AK380,"VRAI",Wh)</f>
        <v>1890.078966588824</v>
      </c>
      <c r="AL5" s="515">
        <f>SUMIF(AJ15:AJ380,"VRAI",Wh_s)</f>
        <v>2708.6977092109755</v>
      </c>
      <c r="AM5" s="515">
        <f>SUMIF(AK15:AK380,"VRAI",Wh_s)</f>
        <v>1828.5932762697219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8036.4925467397297</v>
      </c>
      <c r="AK6" s="515">
        <f>SUMIF(AK15:AK380,"FAUX",Wh)</f>
        <v>8945.6034949586974</v>
      </c>
      <c r="AL6" s="515">
        <f>SUMIF(AJ15:AJ380,"FAUX",Wh_s)</f>
        <v>7677.5976366337927</v>
      </c>
      <c r="AM6" s="515">
        <f>SUMIF(AK15:AK380,"FAUX",Wh_s)</f>
        <v>8557.7020695750416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2955.6570325048401</v>
      </c>
      <c r="AK7" s="515">
        <f>SUMIF(AK15:AK380,"VRAI",Wh_sa)</f>
        <v>2086.5687153246331</v>
      </c>
      <c r="AL7" s="515">
        <f>SUMIF(AJ15:AJ380,"VRAI",Wh_pvt_s)</f>
        <v>2860.107857228591</v>
      </c>
      <c r="AM7" s="515">
        <f>SUMIF(AK15:AK380,"VRAI",Wh_sa_s)</f>
        <v>2086.5687153246331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AND(YEAR(Tnet)=An,Resal_2025&lt;&gt;"I")</f>
        <v>1</v>
      </c>
      <c r="F8" s="321" t="b">
        <f>YEAR(Ttai)=An</f>
        <v>1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8513.5399120809234</v>
      </c>
      <c r="AK8" s="515">
        <f>SUMIF(AK15:AK380,"FAUX",Wh_sa)</f>
        <v>9713.5104831969184</v>
      </c>
      <c r="AL8" s="515">
        <f>SUMIF(AJ15:AJ380,"FAUX",Wh_pvt_s)</f>
        <v>8133.369192436473</v>
      </c>
      <c r="AM8" s="515">
        <f>SUMIF(AK15:AK380,"FAUX",Wh_sa_s)</f>
        <v>9676.700658275282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11469.196944585752</v>
      </c>
      <c r="E9" s="184">
        <f>SUM(E$15:E$380)</f>
        <v>11800.079198521544</v>
      </c>
      <c r="F9" s="184">
        <f>SUM(F$15:F$380)</f>
        <v>11807.089360146148</v>
      </c>
      <c r="H9" s="1214">
        <f>+SUM(Wh)</f>
        <v>10835.682461547529</v>
      </c>
      <c r="I9" s="1215"/>
      <c r="J9" s="1216"/>
      <c r="K9" s="191"/>
      <c r="L9" s="232"/>
      <c r="M9" s="232"/>
      <c r="N9" s="232"/>
      <c r="O9" s="223">
        <f>Tnet_2025</f>
        <v>45777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10386.295345844757</v>
      </c>
      <c r="Y9" s="1209"/>
      <c r="Z9" s="515">
        <f>SUM(Z$15:Z$380)</f>
        <v>10993.477049665087</v>
      </c>
      <c r="AA9" s="515">
        <f>SUM(AA$15:AA$380)</f>
        <v>11763.269373599913</v>
      </c>
      <c r="AB9" s="515">
        <f>F9</f>
        <v>11807.089360146148</v>
      </c>
      <c r="AC9" s="325">
        <f>IF(An_Tnet,Tnet,'2024'!Tnet_s)</f>
        <v>45777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3097.124623247234</v>
      </c>
      <c r="AK9" s="515">
        <f>SUMIF(AK15:AK380,"VRAI",Wh_hp)</f>
        <v>2090.972441814612</v>
      </c>
      <c r="AL9" s="515">
        <f>SUMIF(AJ15:AJ380,"VRAI",Wh_sa_s)</f>
        <v>3096.2695344915332</v>
      </c>
      <c r="AM9" s="515">
        <f>SUMIF(AK15:AK380,"VRAI",Wh_hp)</f>
        <v>2090.972441814612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8.0000000000000002E-3</v>
      </c>
      <c r="P10" s="420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IF(OR(Inflex,GainD),'2024'!Resal_s+('2024'!Salim-'2024'!Resal_s)*(1-EXP(('2024'!Tnet_s-Tnet)/('2024'!Tau_j))),IF(Acti_net,'2024'!Resal+('2024'!Salim-'2024'!Resal)*(1-EXP(('2024'!Tnet-Tnet)/'2024'!Tau_j)),'2024'!Resal_s))</f>
        <v>5.0593665714399813E-2</v>
      </c>
      <c r="AD10" s="427"/>
      <c r="AE10" s="427"/>
      <c r="AF10" s="260"/>
      <c r="AG10" s="261"/>
      <c r="AH10" s="262"/>
      <c r="AI10" s="472"/>
      <c r="AJ10" s="515">
        <f>SUMIF(AJ15:AJ380,"FAUX",Wh_sa)</f>
        <v>8702.9545752743106</v>
      </c>
      <c r="AK10" s="515">
        <f>SUMIF(AK15:AK380,"FAUX",Wh_hp)</f>
        <v>9716.1169183315342</v>
      </c>
      <c r="AL10" s="515">
        <f>SUMIF(AJ15:AJ380,"FAUX",Wh_sa_s)</f>
        <v>8666.9998391083755</v>
      </c>
      <c r="AM10" s="515">
        <f>SUMIF(AK15:AK380,"FAUX",Wh_hp)</f>
        <v>9716.1169183315342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633.51448303822326</v>
      </c>
      <c r="E11" s="51">
        <f>(E$9-D$9)*Prod_an/D$9</f>
        <v>312.60558634856272</v>
      </c>
      <c r="F11" s="186">
        <f>(F$9-E$9)*Prod_an/E$9</f>
        <v>6.4372352160026365</v>
      </c>
      <c r="G11" s="185" t="s">
        <v>6</v>
      </c>
      <c r="K11" s="194"/>
      <c r="L11" s="211">
        <f>Tvie_2025</f>
        <v>43243</v>
      </c>
      <c r="M11" s="956"/>
      <c r="N11" s="956"/>
      <c r="O11" s="202">
        <f>IF(An_Tnet,Salim_2025,'2024'!Salim)</f>
        <v>0.13999999999999999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-1.9999621440122004</v>
      </c>
      <c r="V11" s="427"/>
      <c r="W11" s="518"/>
      <c r="X11" s="525" t="s">
        <v>44</v>
      </c>
      <c r="Y11" s="50">
        <f>Z$9-Prod_an_s</f>
        <v>607.18170382032986</v>
      </c>
      <c r="Z11" s="51">
        <f>(AA$9-Z$9)*Prod_an_s/Z$9</f>
        <v>727.27585596723225</v>
      </c>
      <c r="AA11" s="186">
        <f>(AB$9-AA$9)*Prod_an_s/AA$9</f>
        <v>38.690546638469506</v>
      </c>
      <c r="AB11" s="526" t="s">
        <v>6</v>
      </c>
      <c r="AC11" s="325"/>
      <c r="AD11" s="427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1.5250254223617785</v>
      </c>
      <c r="AJ11" s="945">
        <f>IF($AJ7=0,0,($AJ9-$AJ7)*$AJ5/$AJ7)</f>
        <v>133.97855330415973</v>
      </c>
      <c r="AK11" s="946">
        <f>IF($AK7=0,0,($AK9-$AK7)*$AK5/$AK7)</f>
        <v>3.989032689021311</v>
      </c>
      <c r="AL11" s="945">
        <f>IF($AL7=0,0,($AL9-$AL7)*$AL5/$AL7)</f>
        <v>223.65960520992579</v>
      </c>
      <c r="AM11" s="946">
        <f>IF($AM7=0,0,($AM9-$AM7)*$AM5/$AM7)</f>
        <v>3.8592664554799709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Pspv_2025</f>
        <v>0</v>
      </c>
      <c r="M12" s="212"/>
      <c r="N12" s="212"/>
      <c r="O12" s="205">
        <f>IF(An_Tnet,Tau_2025*365,'2024'!Tau_j)</f>
        <v>936.83333333333337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1.500037313222208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'2024'!Df_s</f>
        <v>0.7</v>
      </c>
      <c r="AF12" s="203"/>
      <c r="AG12" s="203"/>
      <c r="AH12" s="203"/>
      <c r="AI12" s="297">
        <f>'2024'!Hdf_s</f>
        <v>1.500037313222208</v>
      </c>
      <c r="AJ12" s="945">
        <f>IF($AJ8=0,0,($AJ10-$AJ8)*$AJ6/$AJ8)</f>
        <v>178.80100930011398</v>
      </c>
      <c r="AK12" s="946">
        <f>IF($AK8=0,0,($AK10-$AK8)*$AK6/$AK8)</f>
        <v>2.400381951503141</v>
      </c>
      <c r="AL12" s="945">
        <f>IF($AL8=0,0,($AL10-$AL8)*$AL6/$AL8)</f>
        <v>503.72745842319779</v>
      </c>
      <c r="AM12" s="946">
        <f>IF($AM8=0,0,($AM10-$AM8)*$AM6/$AM8)</f>
        <v>34.858225150308428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312.77956260427368</v>
      </c>
      <c r="AK13" s="73">
        <f>+AK11+AK12</f>
        <v>6.3894146405244516</v>
      </c>
      <c r="AL13" s="73">
        <f>+AL11+AL12</f>
        <v>727.3870636331236</v>
      </c>
      <c r="AM13" s="73">
        <f>+AM11+AM12</f>
        <v>38.717491605788396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8" t="s">
        <v>337</v>
      </c>
      <c r="C14" s="414"/>
      <c r="D14" s="53" t="s">
        <v>31</v>
      </c>
      <c r="E14" s="162" t="s">
        <v>30</v>
      </c>
      <c r="F14" s="162" t="str">
        <f>"Hors pertes "&amp; TEXT(An,0)</f>
        <v>Hors pertes 2025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2025</v>
      </c>
      <c r="W14" s="950" t="s">
        <v>119</v>
      </c>
      <c r="X14" s="258" t="s">
        <v>2</v>
      </c>
      <c r="Y14" s="107" t="str">
        <f>"Wh / Jour "&amp; TEXT(An,0)</f>
        <v>Wh / Jour 2025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1089">
        <f>IF(t&gt;Tmaj,'2024'!Wh/'2024'!Env_an*'2025'!Env_an,0.001*'[3]mon-tableau (2)'!$B$38)</f>
        <v>8.6458045587080932</v>
      </c>
      <c r="C15" s="953"/>
      <c r="D15" s="393">
        <f t="shared" ref="D15:D78" si="0">Wh/(1-Ppv)</f>
        <v>9.1154379885022596</v>
      </c>
      <c r="E15" s="400">
        <f t="shared" ref="E15:E79" si="1">Wh_pvt/(1-Psa)</f>
        <v>9.480495350997634</v>
      </c>
      <c r="F15" s="400">
        <f t="shared" ref="F15:F78" si="2">Wh_sa/(1-Pvg*MEDIAN((-Sdif+Wh/Env_an)/Csdif,0,1))</f>
        <v>9.4849020407046414</v>
      </c>
      <c r="G15" s="123">
        <f>+Wh_hp/MaxiM</f>
        <v>0.33182199840698423</v>
      </c>
      <c r="H15" s="412" t="b">
        <f>Wh_hp&gt;='2024'!Maxi_hp</f>
        <v>0</v>
      </c>
      <c r="I15" s="396">
        <f>IF(H15,Wh_hp,'2024'!Maxi_hp)</f>
        <v>28.078120973122783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5.1520665313782743E-2</v>
      </c>
      <c r="M15" s="957"/>
      <c r="N15" s="957"/>
      <c r="O15" s="48">
        <f>IF(t&lt;Tnet,'2024'!Resal+('2024'!Salim-'2024'!Resal)*(1-EXP(('2024'!Tnet-t)/('2024'!Tau_j))),Resal+(Salim-Resal)*(1-EXP((Tnet-t)/(Tau_j))))*Salcycl</f>
        <v>3.8506148569226441E-2</v>
      </c>
      <c r="P15" s="302">
        <f>(INDEX(Models!$BJ15:$BT15,,T15)*(1-R15)+INDEX(Models!$BJ15:$BT15,,T15+1)*R15-ERP_i)*Q15*Ramure*Pc/MaxiM</f>
        <v>9.3462370491496378E-3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0.50003850872043731</v>
      </c>
      <c r="S15" s="91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1.5000385087204373</v>
      </c>
      <c r="V15" s="382">
        <f t="shared" ref="V15:V78" si="9">MaxiM*(1-Ppv)*(1-Pvg)*(1-Psa)</f>
        <v>25.824026173268283</v>
      </c>
      <c r="W15" s="402">
        <f t="shared" ref="W15:W78" si="10">Wh*(A15&gt;Tmaj)</f>
        <v>8.6458045587080932</v>
      </c>
      <c r="X15" s="156">
        <f t="shared" ref="X15:X78" si="11">t</f>
        <v>45658</v>
      </c>
      <c r="Y15" s="385">
        <f t="shared" ref="Y15:Y78" si="12">Wh_pvt_s*(1-Ppv)</f>
        <v>8.3504226517985831</v>
      </c>
      <c r="Z15" s="385">
        <f>Wh_sa_s*(1-Psa_s)</f>
        <v>8.8040111644194443</v>
      </c>
      <c r="AA15" s="386">
        <f t="shared" ref="AA15:AA78" si="13">Wh_hp*(1-Pvg_s*MEDIAN((-Sdif+Wh/Env_an)/Csdif,0,1))</f>
        <v>9.480495350997634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7.1355362935440231E-2</v>
      </c>
      <c r="AD15" s="231">
        <f>(INDEX(Models!$BJ15:$BT15,,AH15)*(1-AF15)+INDEX(Models!$BJ15:$BT15,,AH15+1)*AF15-ERP_i)*AE15*Ramure*Pc/MaxiM</f>
        <v>9.3462370491496378E-3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0.50003850872043731</v>
      </c>
      <c r="AG15" s="91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1.5000385087204373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1090">
        <f>IF(t&gt;Tmaj,'2024'!Wh/'2024'!Env_an*'2025'!Env_an,0.001*'[3]mon-tableau (2)'!$B$39)</f>
        <v>2.9170835649531117</v>
      </c>
      <c r="C16" s="953"/>
      <c r="D16" s="393">
        <f t="shared" si="0"/>
        <v>3.075604656093192</v>
      </c>
      <c r="E16" s="385">
        <f t="shared" si="1"/>
        <v>3.1991326681412637</v>
      </c>
      <c r="F16" s="385">
        <f t="shared" si="2"/>
        <v>3.1991326681412637</v>
      </c>
      <c r="G16" s="110">
        <f t="shared" ref="G16:G79" si="21">+Wh_hp/MaxiM</f>
        <v>0.11109326387218194</v>
      </c>
      <c r="H16" s="412" t="b">
        <f>Wh_hp&gt;='2024'!Maxi_hp</f>
        <v>0</v>
      </c>
      <c r="I16" s="390">
        <f>IF(H16,Wh_hp,'2024'!Maxi_hp)</f>
        <v>25.967841110496515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5.1541439445420445E-2</v>
      </c>
      <c r="M16" s="957"/>
      <c r="N16" s="957"/>
      <c r="O16" s="48">
        <f>IF(t&lt;Tnet,'2024'!Resal+('2024'!Salim-'2024'!Resal)*(1-EXP(('2024'!Tnet-t)/('2024'!Tau_j))),Resal+(Salim-Resal)*(1-EXP((Tnet-t)/(Tau_j))))*Salcycl</f>
        <v>3.8612969470829532E-2</v>
      </c>
      <c r="P16" s="169">
        <f>(INDEX(Models!$BJ16:$BT16,,T16)*(1-R16)+INDEX(Models!$BJ16:$BT16,,T16+1)*R16-ERP_i)*Q16*Ramure*Pc/MaxiM</f>
        <v>9.364493231011595E-3</v>
      </c>
      <c r="Q16" s="305">
        <f t="shared" si="4"/>
        <v>0.7</v>
      </c>
      <c r="R16" s="177">
        <f t="shared" si="5"/>
        <v>0.50006772333443172</v>
      </c>
      <c r="S16" s="919">
        <f t="shared" si="6"/>
        <v>1</v>
      </c>
      <c r="T16" s="176">
        <f t="shared" si="7"/>
        <v>7</v>
      </c>
      <c r="U16" s="251">
        <f t="shared" si="8"/>
        <v>1.5000677233344317</v>
      </c>
      <c r="V16" s="383">
        <f t="shared" si="9"/>
        <v>26.012077194703956</v>
      </c>
      <c r="W16" s="402">
        <f t="shared" si="10"/>
        <v>2.9170835649531117</v>
      </c>
      <c r="X16" s="157">
        <f t="shared" si="11"/>
        <v>45659</v>
      </c>
      <c r="Y16" s="385">
        <f t="shared" si="12"/>
        <v>2.8175213254540825</v>
      </c>
      <c r="Z16" s="385">
        <f t="shared" ref="Z16:Z78" si="22">Wh_sa_s*(1-Psa_s)</f>
        <v>2.9706319734271056</v>
      </c>
      <c r="AA16" s="386">
        <f t="shared" si="13"/>
        <v>3.1991326681412637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7.1425826440302098E-2</v>
      </c>
      <c r="AD16" s="231">
        <f>(INDEX(Models!$BJ16:$BT16,,AH16)*(1-AF16)+INDEX(Models!$BJ16:$BT16,,AH16+1)*AF16-ERP_i)*AE16*Ramure*Pc/MaxiM</f>
        <v>9.364493231011595E-3</v>
      </c>
      <c r="AE16" s="305">
        <f t="shared" si="15"/>
        <v>0.7</v>
      </c>
      <c r="AF16" s="177">
        <f t="shared" ref="AF16:AF78" si="23">(Hp_vg_s-AG16)/(INDEX(Echel_vg,AH16+1)-AG16)</f>
        <v>0.50006772333443172</v>
      </c>
      <c r="AG16" s="919">
        <f t="shared" ref="AG16:AG79" si="24">INDEX(Echel_vg,AH16)</f>
        <v>1</v>
      </c>
      <c r="AH16" s="176">
        <f t="shared" si="16"/>
        <v>7</v>
      </c>
      <c r="AI16" s="225">
        <f t="shared" si="17"/>
        <v>1.5000677233344317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1090">
        <f>IF(t&gt;Tmaj,'2024'!Wh/'2024'!Env_an*'2025'!Env_an,0.001*'[3]mon-tableau (2)'!$B$40)</f>
        <v>16.035165316956892</v>
      </c>
      <c r="C17" s="953"/>
      <c r="D17" s="393">
        <f t="shared" si="0"/>
        <v>16.90692372110265</v>
      </c>
      <c r="E17" s="385">
        <f t="shared" si="1"/>
        <v>17.587923789991546</v>
      </c>
      <c r="F17" s="385">
        <f t="shared" si="2"/>
        <v>17.661669117359391</v>
      </c>
      <c r="G17" s="110">
        <f t="shared" si="21"/>
        <v>0.60870336099491029</v>
      </c>
      <c r="H17" s="412" t="b">
        <f>Wh_hp&gt;='2024'!Maxi_hp</f>
        <v>0</v>
      </c>
      <c r="I17" s="390">
        <f>IF(H17,Wh_hp,'2024'!Maxi_hp)</f>
        <v>30.270872638205173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5.1562213122051337E-2</v>
      </c>
      <c r="M17" s="957"/>
      <c r="N17" s="957"/>
      <c r="O17" s="48">
        <f>IF(t&lt;Tnet,'2024'!Resal+('2024'!Salim-'2024'!Resal)*(1-EXP(('2024'!Tnet-t)/('2024'!Tau_j))),Resal+(Salim-Resal)*(1-EXP((Tnet-t)/(Tau_j))))*Salcycl</f>
        <v>3.8719753225018E-2</v>
      </c>
      <c r="P17" s="169">
        <f>(INDEX(Models!$BJ17:$BT17,,T17)*(1-R17)+INDEX(Models!$BJ17:$BT17,,T17+1)*R17-ERP_i)*Q17*Ramure*Pc/MaxiM</f>
        <v>9.371112240564609E-3</v>
      </c>
      <c r="Q17" s="305">
        <f t="shared" si="4"/>
        <v>0.7</v>
      </c>
      <c r="R17" s="177">
        <f t="shared" si="5"/>
        <v>0.50009815992992124</v>
      </c>
      <c r="S17" s="919">
        <f t="shared" si="6"/>
        <v>1</v>
      </c>
      <c r="T17" s="176">
        <f t="shared" si="7"/>
        <v>7</v>
      </c>
      <c r="U17" s="251">
        <f t="shared" si="8"/>
        <v>1.5000981599299212</v>
      </c>
      <c r="V17" s="383">
        <f t="shared" si="9"/>
        <v>26.205708110624805</v>
      </c>
      <c r="W17" s="402">
        <f t="shared" si="10"/>
        <v>16.035165316956892</v>
      </c>
      <c r="X17" s="157">
        <f t="shared" si="11"/>
        <v>45660</v>
      </c>
      <c r="Y17" s="385">
        <f t="shared" si="12"/>
        <v>15.488416938551381</v>
      </c>
      <c r="Z17" s="385">
        <f t="shared" si="22"/>
        <v>16.330451140644541</v>
      </c>
      <c r="AA17" s="386">
        <f t="shared" si="13"/>
        <v>17.587923789991546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7.1496366732187788E-2</v>
      </c>
      <c r="AD17" s="231">
        <f>(INDEX(Models!$BJ17:$BT17,,AH17)*(1-AF17)+INDEX(Models!$BJ17:$BT17,,AH17+1)*AF17-ERP_i)*AE17*Ramure*Pc/MaxiM</f>
        <v>9.371112240564609E-3</v>
      </c>
      <c r="AE17" s="305">
        <f t="shared" si="15"/>
        <v>0.7</v>
      </c>
      <c r="AF17" s="177">
        <f>(Hp_vg_s-AG17)/(INDEX(Echel_vg,AH17+1)-AG17)</f>
        <v>0.50009815992992124</v>
      </c>
      <c r="AG17" s="919">
        <f>INDEX(Echel_vg,AH17)</f>
        <v>1</v>
      </c>
      <c r="AH17" s="176">
        <f t="shared" si="16"/>
        <v>7</v>
      </c>
      <c r="AI17" s="225">
        <f t="shared" si="17"/>
        <v>1.5000981599299212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1090">
        <f>IF(t&gt;Tmaj,'2024'!Wh/'2024'!Env_an*'2025'!Env_an,0.001*'[3]mon-tableau (2)'!$B$41)</f>
        <v>24.570547116238671</v>
      </c>
      <c r="C18" s="953"/>
      <c r="D18" s="393">
        <f t="shared" si="0"/>
        <v>25.906902514870417</v>
      </c>
      <c r="E18" s="385">
        <f t="shared" si="1"/>
        <v>26.953408816203961</v>
      </c>
      <c r="F18" s="385">
        <f t="shared" si="2"/>
        <v>27.18277386887409</v>
      </c>
      <c r="G18" s="110">
        <f t="shared" si="21"/>
        <v>0.92970769661381003</v>
      </c>
      <c r="H18" s="412" t="b">
        <f>Wh_hp&gt;='2024'!Maxi_hp</f>
        <v>0</v>
      </c>
      <c r="I18" s="390">
        <f>IF(H18,Wh_hp,'2024'!Maxi_hp)</f>
        <v>27.195397538007867</v>
      </c>
      <c r="J18" s="85">
        <f>IF(H18,An,'2024'!An_max)</f>
        <v>2023</v>
      </c>
      <c r="K18" s="197">
        <f t="shared" si="3"/>
        <v>45661</v>
      </c>
      <c r="L18" s="147">
        <f>IF(t&lt;Tvie,1-EXP((T0-t)*PertePVj)+'2024'!Pspv,1-EXP((T0-t)*PertePVj)+Pspv)</f>
        <v>5.15829863436853E-2</v>
      </c>
      <c r="M18" s="957"/>
      <c r="N18" s="957"/>
      <c r="O18" s="48">
        <f>IF(t&lt;Tnet,'2024'!Resal+('2024'!Salim-'2024'!Resal)*(1-EXP(('2024'!Tnet-t)/('2024'!Tau_j))),Resal+(Salim-Resal)*(1-EXP((Tnet-t)/(Tau_j))))*Salcycl</f>
        <v>3.8826491612608156E-2</v>
      </c>
      <c r="P18" s="169">
        <f>(INDEX(Models!$BJ18:$BT18,,T18)*(1-R18)+INDEX(Models!$BJ18:$BT18,,T18+1)*R18-ERP_i)*Q18*Ramure*Pc/MaxiM</f>
        <v>9.3668091596549284E-3</v>
      </c>
      <c r="Q18" s="305">
        <f t="shared" si="4"/>
        <v>0.7</v>
      </c>
      <c r="R18" s="177">
        <f t="shared" si="5"/>
        <v>0.5001298694612164</v>
      </c>
      <c r="S18" s="919">
        <f t="shared" si="6"/>
        <v>1</v>
      </c>
      <c r="T18" s="176">
        <f t="shared" si="7"/>
        <v>7</v>
      </c>
      <c r="U18" s="251">
        <f t="shared" si="8"/>
        <v>1.5001298694612164</v>
      </c>
      <c r="V18" s="383">
        <f t="shared" si="9"/>
        <v>26.403490842307395</v>
      </c>
      <c r="W18" s="402">
        <f t="shared" si="10"/>
        <v>24.570547116238671</v>
      </c>
      <c r="X18" s="157">
        <f t="shared" si="11"/>
        <v>45661</v>
      </c>
      <c r="Y18" s="385">
        <f t="shared" si="12"/>
        <v>23.7335999864498</v>
      </c>
      <c r="Z18" s="385">
        <f>Wh_sa_s*(1-Psa_s)</f>
        <v>25.024435079409415</v>
      </c>
      <c r="AA18" s="386">
        <f t="shared" si="13"/>
        <v>26.953408816203961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7.1566967649556695E-2</v>
      </c>
      <c r="AD18" s="231">
        <f>(INDEX(Models!$BJ18:$BT18,,AH18)*(1-AF18)+INDEX(Models!$BJ18:$BT18,,AH18+1)*AF18-ERP_i)*AE18*Ramure*Pc/MaxiM</f>
        <v>9.3668091596549284E-3</v>
      </c>
      <c r="AE18" s="305">
        <f t="shared" si="15"/>
        <v>0.7</v>
      </c>
      <c r="AF18" s="177">
        <f t="shared" si="23"/>
        <v>0.5001298694612164</v>
      </c>
      <c r="AG18" s="919">
        <f t="shared" si="24"/>
        <v>1</v>
      </c>
      <c r="AH18" s="176">
        <f t="shared" si="16"/>
        <v>7</v>
      </c>
      <c r="AI18" s="225">
        <f t="shared" si="17"/>
        <v>1.5001298694612164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1090">
        <f>IF(t&gt;Tmaj,'2024'!Wh/'2024'!Env_an*'2025'!Env_an,0.001*'[3]mon-tableau (2)'!$B$42)</f>
        <v>10.309627154411441</v>
      </c>
      <c r="C19" s="953"/>
      <c r="D19" s="393">
        <f t="shared" si="0"/>
        <v>10.870590487305423</v>
      </c>
      <c r="E19" s="385">
        <f t="shared" si="1"/>
        <v>11.310962185626554</v>
      </c>
      <c r="F19" s="385">
        <f t="shared" si="2"/>
        <v>11.324203874303885</v>
      </c>
      <c r="G19" s="110">
        <f t="shared" si="21"/>
        <v>0.38434693498930267</v>
      </c>
      <c r="H19" s="412" t="b">
        <f>Wh_hp&gt;='2024'!Maxi_hp</f>
        <v>0</v>
      </c>
      <c r="I19" s="390">
        <f>IF(H19,Wh_hp,'2024'!Maxi_hp)</f>
        <v>29.868700088933423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5.1603759110332548E-2</v>
      </c>
      <c r="M19" s="957"/>
      <c r="N19" s="957"/>
      <c r="O19" s="48">
        <f>IF(t&lt;Tnet,'2024'!Resal+('2024'!Salim-'2024'!Resal)*(1-EXP(('2024'!Tnet-t)/('2024'!Tau_j))),Resal+(Salim-Resal)*(1-EXP((Tnet-t)/(Tau_j))))*Salcycl</f>
        <v>3.8933177486945837E-2</v>
      </c>
      <c r="P19" s="169">
        <f>(INDEX(Models!$BJ19:$BT19,,T19)*(1-R19)+INDEX(Models!$BJ19:$BT19,,T19+1)*R19-ERP_i)*Q19*Ramure*Pc/MaxiM</f>
        <v>9.3522880710301196E-3</v>
      </c>
      <c r="Q19" s="305">
        <f t="shared" si="4"/>
        <v>0.7</v>
      </c>
      <c r="R19" s="177">
        <f t="shared" si="5"/>
        <v>0.50016290499377791</v>
      </c>
      <c r="S19" s="919">
        <f t="shared" si="6"/>
        <v>1</v>
      </c>
      <c r="T19" s="176">
        <f t="shared" si="7"/>
        <v>7</v>
      </c>
      <c r="U19" s="251">
        <f t="shared" si="8"/>
        <v>1.5001629049937779</v>
      </c>
      <c r="V19" s="383">
        <f t="shared" si="9"/>
        <v>26.603998040090239</v>
      </c>
      <c r="W19" s="402">
        <f t="shared" si="10"/>
        <v>10.309627154411441</v>
      </c>
      <c r="X19" s="157">
        <f t="shared" si="11"/>
        <v>45662</v>
      </c>
      <c r="Y19" s="385">
        <f t="shared" si="12"/>
        <v>9.9587976902847277</v>
      </c>
      <c r="Z19" s="385">
        <f t="shared" si="22"/>
        <v>10.500671829891083</v>
      </c>
      <c r="AA19" s="386">
        <f t="shared" si="13"/>
        <v>11.310962185626554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7.1637615123950421E-2</v>
      </c>
      <c r="AD19" s="231">
        <f>(INDEX(Models!$BJ19:$BT19,,AH19)*(1-AF19)+INDEX(Models!$BJ19:$BT19,,AH19+1)*AF19-ERP_i)*AE19*Ramure*Pc/MaxiM</f>
        <v>9.3522880710301196E-3</v>
      </c>
      <c r="AE19" s="305">
        <f t="shared" si="15"/>
        <v>0.7</v>
      </c>
      <c r="AF19" s="177">
        <f t="shared" si="23"/>
        <v>0.50016290499377791</v>
      </c>
      <c r="AG19" s="919">
        <f t="shared" si="24"/>
        <v>1</v>
      </c>
      <c r="AH19" s="176">
        <f t="shared" si="16"/>
        <v>7</v>
      </c>
      <c r="AI19" s="225">
        <f t="shared" si="17"/>
        <v>1.5001629049937779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1090">
        <f>IF(t&gt;Tmaj,'2024'!Wh/'2024'!Env_an*'2025'!Env_an,0.001*'[3]mon-tableau (2)'!$B$43)</f>
        <v>6.095218557141707</v>
      </c>
      <c r="C20" s="953"/>
      <c r="D20" s="393">
        <f t="shared" si="0"/>
        <v>6.4270099333979323</v>
      </c>
      <c r="E20" s="385">
        <f t="shared" si="1"/>
        <v>6.6881125411662428</v>
      </c>
      <c r="F20" s="385">
        <f t="shared" si="2"/>
        <v>6.6881125411662428</v>
      </c>
      <c r="G20" s="110">
        <f t="shared" si="21"/>
        <v>0.22526319777564352</v>
      </c>
      <c r="H20" s="412" t="b">
        <f>Wh_hp&gt;='2024'!Maxi_hp</f>
        <v>0</v>
      </c>
      <c r="I20" s="390">
        <f>IF(H20,Wh_hp,'2024'!Maxi_hp)</f>
        <v>28.521480989437787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5.162453142200274E-2</v>
      </c>
      <c r="M20" s="957"/>
      <c r="N20" s="957"/>
      <c r="O20" s="48">
        <f>IF(t&lt;Tnet,'2024'!Resal+('2024'!Salim-'2024'!Resal)*(1-EXP(('2024'!Tnet-t)/('2024'!Tau_j))),Resal+(Salim-Resal)*(1-EXP((Tnet-t)/(Tau_j))))*Salcycl</f>
        <v>3.9039804752265851E-2</v>
      </c>
      <c r="P20" s="169">
        <f>(INDEX(Models!$BJ20:$BT20,,T20)*(1-R20)+INDEX(Models!$BJ20:$BT20,,T20+1)*R20-ERP_i)*Q20*Ramure*Pc/MaxiM</f>
        <v>9.3282365683412163E-3</v>
      </c>
      <c r="Q20" s="305">
        <f t="shared" si="4"/>
        <v>0.7</v>
      </c>
      <c r="R20" s="177">
        <f t="shared" si="5"/>
        <v>0.50019732179052867</v>
      </c>
      <c r="S20" s="919">
        <f t="shared" si="6"/>
        <v>1</v>
      </c>
      <c r="T20" s="176">
        <f t="shared" si="7"/>
        <v>7</v>
      </c>
      <c r="U20" s="251">
        <f t="shared" si="8"/>
        <v>1.5001973217905287</v>
      </c>
      <c r="V20" s="383">
        <f t="shared" si="9"/>
        <v>26.805803061177354</v>
      </c>
      <c r="W20" s="402">
        <f t="shared" si="10"/>
        <v>6.095218557141707</v>
      </c>
      <c r="X20" s="157">
        <f t="shared" si="11"/>
        <v>45663</v>
      </c>
      <c r="Y20" s="385">
        <f t="shared" si="12"/>
        <v>5.8880074760743755</v>
      </c>
      <c r="Z20" s="385">
        <f t="shared" si="22"/>
        <v>6.2085193798853817</v>
      </c>
      <c r="AA20" s="386">
        <f t="shared" si="13"/>
        <v>6.6881125411662428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7.1708297121033798E-2</v>
      </c>
      <c r="AD20" s="231">
        <f>(INDEX(Models!$BJ20:$BT20,,AH20)*(1-AF20)+INDEX(Models!$BJ20:$BT20,,AH20+1)*AF20-ERP_i)*AE20*Ramure*Pc/MaxiM</f>
        <v>9.3282365683412163E-3</v>
      </c>
      <c r="AE20" s="305">
        <f t="shared" si="15"/>
        <v>0.7</v>
      </c>
      <c r="AF20" s="177">
        <f t="shared" si="23"/>
        <v>0.50019732179052867</v>
      </c>
      <c r="AG20" s="919">
        <f t="shared" si="24"/>
        <v>1</v>
      </c>
      <c r="AH20" s="176">
        <f t="shared" si="16"/>
        <v>7</v>
      </c>
      <c r="AI20" s="225">
        <f t="shared" si="17"/>
        <v>1.5001973217905287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1090">
        <f>IF(t&gt;Tmaj,'2024'!Wh/'2024'!Env_an*'2025'!Env_an,0.001*'[3]mon-tableau (2)'!$B$44)</f>
        <v>16.660705041786368</v>
      </c>
      <c r="C21" s="953"/>
      <c r="D21" s="393">
        <f t="shared" si="0"/>
        <v>17.56801025964938</v>
      </c>
      <c r="E21" s="385">
        <f t="shared" si="1"/>
        <v>18.283752780499853</v>
      </c>
      <c r="F21" s="385">
        <f t="shared" si="2"/>
        <v>18.361016336664282</v>
      </c>
      <c r="G21" s="110">
        <f t="shared" si="21"/>
        <v>0.61374067110248898</v>
      </c>
      <c r="H21" s="412" t="b">
        <f>Wh_hp&gt;='2024'!Maxi_hp</f>
        <v>0</v>
      </c>
      <c r="I21" s="390">
        <f>IF(H21,Wh_hp,'2024'!Maxi_hp)</f>
        <v>18.408769498568571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5.164530327870609E-2</v>
      </c>
      <c r="M21" s="957"/>
      <c r="N21" s="957"/>
      <c r="O21" s="48">
        <f>IF(t&lt;Tnet,'2024'!Resal+('2024'!Salim-'2024'!Resal)*(1-EXP(('2024'!Tnet-t)/('2024'!Tau_j))),Resal+(Salim-Resal)*(1-EXP((Tnet-t)/(Tau_j))))*Salcycl</f>
        <v>3.9146368332754568E-2</v>
      </c>
      <c r="P21" s="169">
        <f>(INDEX(Models!$BJ21:$BT21,,T21)*(1-R21)+INDEX(Models!$BJ21:$BT21,,T21+1)*R21-ERP_i)*Q21*Ramure*Pc/MaxiM</f>
        <v>9.2953211721549314E-3</v>
      </c>
      <c r="Q21" s="305">
        <f t="shared" si="4"/>
        <v>0.7</v>
      </c>
      <c r="R21" s="177">
        <f t="shared" si="5"/>
        <v>0.50023317740159179</v>
      </c>
      <c r="S21" s="919">
        <f t="shared" si="6"/>
        <v>1</v>
      </c>
      <c r="T21" s="176">
        <f t="shared" si="7"/>
        <v>7</v>
      </c>
      <c r="U21" s="251">
        <f t="shared" si="8"/>
        <v>1.5002331774015918</v>
      </c>
      <c r="V21" s="383">
        <f t="shared" si="9"/>
        <v>27.007479960980049</v>
      </c>
      <c r="W21" s="402">
        <f t="shared" si="10"/>
        <v>16.660705041786368</v>
      </c>
      <c r="X21" s="157">
        <f t="shared" si="11"/>
        <v>45664</v>
      </c>
      <c r="Y21" s="385">
        <f t="shared" si="12"/>
        <v>16.094872023698464</v>
      </c>
      <c r="Z21" s="385">
        <f t="shared" si="22"/>
        <v>16.971363224479802</v>
      </c>
      <c r="AA21" s="386">
        <f t="shared" si="13"/>
        <v>18.283752780499853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7.1779003565381458E-2</v>
      </c>
      <c r="AD21" s="231">
        <f>(INDEX(Models!$BJ21:$BT21,,AH21)*(1-AF21)+INDEX(Models!$BJ21:$BT21,,AH21+1)*AF21-ERP_i)*AE21*Ramure*Pc/MaxiM</f>
        <v>9.2953211721549314E-3</v>
      </c>
      <c r="AE21" s="305">
        <f t="shared" si="15"/>
        <v>0.7</v>
      </c>
      <c r="AF21" s="177">
        <f t="shared" si="23"/>
        <v>0.50023317740159179</v>
      </c>
      <c r="AG21" s="919">
        <f t="shared" si="24"/>
        <v>1</v>
      </c>
      <c r="AH21" s="176">
        <f t="shared" si="16"/>
        <v>7</v>
      </c>
      <c r="AI21" s="225">
        <f t="shared" si="17"/>
        <v>1.5002331774015918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1090">
        <f>IF(t&gt;Tmaj,'2024'!Wh/'2024'!Env_an*'2025'!Env_an,0.001*'[3]mon-tableau (2)'!$B$45)</f>
        <v>6.8144025102014671</v>
      </c>
      <c r="C22" s="953"/>
      <c r="D22" s="393">
        <f t="shared" si="0"/>
        <v>7.1856572123635756</v>
      </c>
      <c r="E22" s="385">
        <f t="shared" si="1"/>
        <v>7.4792387550323998</v>
      </c>
      <c r="F22" s="385">
        <f t="shared" si="2"/>
        <v>7.4792387550323998</v>
      </c>
      <c r="G22" s="110">
        <f t="shared" si="21"/>
        <v>0.24814169255519133</v>
      </c>
      <c r="H22" s="412" t="b">
        <f>Wh_hp&gt;='2024'!Maxi_hp</f>
        <v>0</v>
      </c>
      <c r="I22" s="390">
        <f>IF(H22,Wh_hp,'2024'!Maxi_hp)</f>
        <v>20.926751067686602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5.1666074680452478E-2</v>
      </c>
      <c r="M22" s="957"/>
      <c r="N22" s="957"/>
      <c r="O22" s="48">
        <f>IF(t&lt;Tnet,'2024'!Resal+('2024'!Salim-'2024'!Resal)*(1-EXP(('2024'!Tnet-t)/('2024'!Tau_j))),Resal+(Salim-Resal)*(1-EXP((Tnet-t)/(Tau_j))))*Salcycl</f>
        <v>3.9252864132902278E-2</v>
      </c>
      <c r="P22" s="169">
        <f>(INDEX(Models!$BJ22:$BT22,,T22)*(1-R22)+INDEX(Models!$BJ22:$BT22,,T22+1)*R22-ERP_i)*Q22*Ramure*Pc/MaxiM</f>
        <v>9.2541835865013623E-3</v>
      </c>
      <c r="Q22" s="305">
        <f t="shared" si="4"/>
        <v>0.7</v>
      </c>
      <c r="R22" s="177">
        <f t="shared" si="5"/>
        <v>0.50027053175758907</v>
      </c>
      <c r="S22" s="919">
        <f t="shared" si="6"/>
        <v>1</v>
      </c>
      <c r="T22" s="176">
        <f t="shared" si="7"/>
        <v>7</v>
      </c>
      <c r="U22" s="251">
        <f t="shared" si="8"/>
        <v>1.5002705317575891</v>
      </c>
      <c r="V22" s="383">
        <f t="shared" si="9"/>
        <v>27.207603481781376</v>
      </c>
      <c r="W22" s="402">
        <f t="shared" si="10"/>
        <v>6.8144025102014671</v>
      </c>
      <c r="X22" s="157">
        <f t="shared" si="11"/>
        <v>45665</v>
      </c>
      <c r="Y22" s="385">
        <f t="shared" si="12"/>
        <v>6.583198970014144</v>
      </c>
      <c r="Z22" s="385">
        <f t="shared" si="22"/>
        <v>6.9418574979228866</v>
      </c>
      <c r="AA22" s="386">
        <f t="shared" si="13"/>
        <v>7.4792387550323998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7.1849726250273263E-2</v>
      </c>
      <c r="AD22" s="231">
        <f>(INDEX(Models!$BJ22:$BT22,,AH22)*(1-AF22)+INDEX(Models!$BJ22:$BT22,,AH22+1)*AF22-ERP_i)*AE22*Ramure*Pc/MaxiM</f>
        <v>9.2541835865013623E-3</v>
      </c>
      <c r="AE22" s="305">
        <f t="shared" si="15"/>
        <v>0.7</v>
      </c>
      <c r="AF22" s="177">
        <f t="shared" si="23"/>
        <v>0.50027053175758907</v>
      </c>
      <c r="AG22" s="919">
        <f t="shared" si="24"/>
        <v>1</v>
      </c>
      <c r="AH22" s="176">
        <f t="shared" si="16"/>
        <v>7</v>
      </c>
      <c r="AI22" s="225">
        <f t="shared" si="17"/>
        <v>1.5002705317575891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1090">
        <f>IF(t&gt;Tmaj,'2024'!Wh/'2024'!Env_an*'2025'!Env_an,0.001*'[3]mon-tableau (2)'!$B$46)</f>
        <v>6.8958472043504715</v>
      </c>
      <c r="C23" s="953"/>
      <c r="D23" s="393">
        <f t="shared" si="0"/>
        <v>7.2716983546554905</v>
      </c>
      <c r="E23" s="385">
        <f t="shared" si="1"/>
        <v>7.5696337572542456</v>
      </c>
      <c r="F23" s="385">
        <f t="shared" si="2"/>
        <v>7.5696337572542456</v>
      </c>
      <c r="G23" s="110">
        <f t="shared" si="21"/>
        <v>0.24928546727623607</v>
      </c>
      <c r="H23" s="412" t="b">
        <f>Wh_hp&gt;='2024'!Maxi_hp</f>
        <v>0</v>
      </c>
      <c r="I23" s="390">
        <f>IF(H23,Wh_hp,'2024'!Maxi_hp)</f>
        <v>27.858667670277544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5.1686845627251787E-2</v>
      </c>
      <c r="M23" s="957"/>
      <c r="N23" s="957"/>
      <c r="O23" s="48">
        <f>IF(t&lt;Tnet,'2024'!Resal+('2024'!Salim-'2024'!Resal)*(1-EXP(('2024'!Tnet-t)/('2024'!Tau_j))),Resal+(Salim-Resal)*(1-EXP((Tnet-t)/(Tau_j))))*Salcycl</f>
        <v>3.9359288989805258E-2</v>
      </c>
      <c r="P23" s="169">
        <f>(INDEX(Models!$BJ23:$BT23,,T23)*(1-R23)+INDEX(Models!$BJ23:$BT23,,T23+1)*R23-ERP_i)*Q23*Ramure*Pc/MaxiM</f>
        <v>9.2044107268408771E-3</v>
      </c>
      <c r="Q23" s="305">
        <f t="shared" si="4"/>
        <v>0.7</v>
      </c>
      <c r="R23" s="177">
        <f t="shared" si="5"/>
        <v>0.50030944726662407</v>
      </c>
      <c r="S23" s="919">
        <f t="shared" si="6"/>
        <v>1</v>
      </c>
      <c r="T23" s="176">
        <f t="shared" si="7"/>
        <v>7</v>
      </c>
      <c r="U23" s="251">
        <f t="shared" si="8"/>
        <v>1.5003094472666241</v>
      </c>
      <c r="V23" s="383">
        <f t="shared" si="9"/>
        <v>27.407835157919816</v>
      </c>
      <c r="W23" s="402">
        <f t="shared" si="10"/>
        <v>6.8958472043504715</v>
      </c>
      <c r="X23" s="157">
        <f t="shared" si="11"/>
        <v>45666</v>
      </c>
      <c r="Y23" s="385">
        <f t="shared" si="12"/>
        <v>6.6621106483451573</v>
      </c>
      <c r="Z23" s="385">
        <f t="shared" si="22"/>
        <v>7.0252222249851002</v>
      </c>
      <c r="AA23" s="386">
        <f t="shared" si="13"/>
        <v>7.5696337572542456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7.192045873387426E-2</v>
      </c>
      <c r="AD23" s="231">
        <f>(INDEX(Models!$BJ23:$BT23,,AH23)*(1-AF23)+INDEX(Models!$BJ23:$BT23,,AH23+1)*AF23-ERP_i)*AE23*Ramure*Pc/MaxiM</f>
        <v>9.2044107268408771E-3</v>
      </c>
      <c r="AE23" s="305">
        <f t="shared" si="15"/>
        <v>0.7</v>
      </c>
      <c r="AF23" s="177">
        <f t="shared" si="23"/>
        <v>0.50030944726662407</v>
      </c>
      <c r="AG23" s="919">
        <f t="shared" si="24"/>
        <v>1</v>
      </c>
      <c r="AH23" s="176">
        <f t="shared" si="16"/>
        <v>7</v>
      </c>
      <c r="AI23" s="225">
        <f t="shared" si="17"/>
        <v>1.5003094472666241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1090">
        <f>IF(t&gt;Tmaj,'2024'!Wh/'2024'!Env_an*'2025'!Env_an,0.001*'[3]mon-tableau (2)'!$B$47)</f>
        <v>23.708295071643647</v>
      </c>
      <c r="C24" s="953"/>
      <c r="D24" s="393">
        <f t="shared" si="0"/>
        <v>25.00103920967652</v>
      </c>
      <c r="E24" s="385">
        <f t="shared" si="1"/>
        <v>26.028261212608466</v>
      </c>
      <c r="F24" s="385">
        <f t="shared" si="2"/>
        <v>26.219478410471982</v>
      </c>
      <c r="G24" s="110">
        <f t="shared" si="21"/>
        <v>0.85705160784822687</v>
      </c>
      <c r="H24" s="412" t="b">
        <f>Wh_hp&gt;='2024'!Maxi_hp</f>
        <v>0</v>
      </c>
      <c r="I24" s="390">
        <f>IF(H24,Wh_hp,'2024'!Maxi_hp)</f>
        <v>26.245078874612297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5.1707616119114119E-2</v>
      </c>
      <c r="M24" s="957"/>
      <c r="N24" s="957"/>
      <c r="O24" s="48">
        <f>IF(t&lt;Tnet,'2024'!Resal+('2024'!Salim-'2024'!Resal)*(1-EXP(('2024'!Tnet-t)/('2024'!Tau_j))),Resal+(Salim-Resal)*(1-EXP((Tnet-t)/(Tau_j))))*Salcycl</f>
        <v>3.9465640618142631E-2</v>
      </c>
      <c r="P24" s="169">
        <f>(INDEX(Models!$BJ24:$BT24,,T24)*(1-R24)+INDEX(Models!$BJ24:$BT24,,T24+1)*R24-ERP_i)*Q24*Ramure*Pc/MaxiM</f>
        <v>9.1382474981327282E-3</v>
      </c>
      <c r="Q24" s="305">
        <f t="shared" si="4"/>
        <v>0.7</v>
      </c>
      <c r="R24" s="177">
        <f t="shared" si="5"/>
        <v>0.50034998891509375</v>
      </c>
      <c r="S24" s="919">
        <f t="shared" si="6"/>
        <v>1</v>
      </c>
      <c r="T24" s="176">
        <f t="shared" si="7"/>
        <v>7</v>
      </c>
      <c r="U24" s="251">
        <f t="shared" si="8"/>
        <v>1.5003499889150937</v>
      </c>
      <c r="V24" s="383">
        <f t="shared" si="9"/>
        <v>27.61120154413484</v>
      </c>
      <c r="W24" s="402">
        <f t="shared" si="10"/>
        <v>23.708295071643647</v>
      </c>
      <c r="X24" s="157">
        <f t="shared" si="11"/>
        <v>45667</v>
      </c>
      <c r="Y24" s="385">
        <f t="shared" si="12"/>
        <v>22.90548623703636</v>
      </c>
      <c r="Z24" s="385">
        <f t="shared" si="22"/>
        <v>24.154455552300941</v>
      </c>
      <c r="AA24" s="386">
        <f t="shared" si="13"/>
        <v>26.028261212608466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7.1991196223273921E-2</v>
      </c>
      <c r="AD24" s="231">
        <f>(INDEX(Models!$BJ24:$BT24,,AH24)*(1-AF24)+INDEX(Models!$BJ24:$BT24,,AH24+1)*AF24-ERP_i)*AE24*Ramure*Pc/MaxiM</f>
        <v>9.1382474981327282E-3</v>
      </c>
      <c r="AE24" s="305">
        <f t="shared" si="15"/>
        <v>0.7</v>
      </c>
      <c r="AF24" s="177">
        <f t="shared" si="23"/>
        <v>0.50034998891509375</v>
      </c>
      <c r="AG24" s="919">
        <f t="shared" si="24"/>
        <v>1</v>
      </c>
      <c r="AH24" s="176">
        <f t="shared" si="16"/>
        <v>7</v>
      </c>
      <c r="AI24" s="225">
        <f t="shared" si="17"/>
        <v>1.5003499889150937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1090">
        <f>IF(t&gt;Tmaj,'2024'!Wh/'2024'!Env_an*'2025'!Env_an,0.001*'[3]mon-tableau (2)'!$B$48)</f>
        <v>4.7866176411707997</v>
      </c>
      <c r="C25" s="953"/>
      <c r="D25" s="393">
        <f t="shared" si="0"/>
        <v>5.0477284896967234</v>
      </c>
      <c r="E25" s="385">
        <f t="shared" si="1"/>
        <v>5.2557068893830587</v>
      </c>
      <c r="F25" s="385">
        <f t="shared" si="2"/>
        <v>5.2557068893830587</v>
      </c>
      <c r="G25" s="110">
        <f t="shared" si="21"/>
        <v>0.17051062787911922</v>
      </c>
      <c r="H25" s="412" t="b">
        <f>Wh_hp&gt;='2024'!Maxi_hp</f>
        <v>0</v>
      </c>
      <c r="I25" s="390">
        <f>IF(H25,Wh_hp,'2024'!Maxi_hp)</f>
        <v>30.384642936610089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5.1728386156049355E-2</v>
      </c>
      <c r="M25" s="957"/>
      <c r="N25" s="957"/>
      <c r="O25" s="48">
        <f>IF(t&lt;Tnet,'2024'!Resal+('2024'!Salim-'2024'!Resal)*(1-EXP(('2024'!Tnet-t)/('2024'!Tau_j))),Resal+(Salim-Resal)*(1-EXP((Tnet-t)/(Tau_j))))*Salcycl</f>
        <v>3.9571917548611474E-2</v>
      </c>
      <c r="P25" s="169">
        <f>(INDEX(Models!$BJ25:$BT25,,T25)*(1-R25)+INDEX(Models!$BJ25:$BT25,,T25+1)*R25-ERP_i)*Q25*Ramure*Pc/MaxiM</f>
        <v>9.0563282281303503E-3</v>
      </c>
      <c r="Q25" s="305">
        <f t="shared" si="4"/>
        <v>0.7</v>
      </c>
      <c r="R25" s="177">
        <f t="shared" si="5"/>
        <v>0.50039222437245967</v>
      </c>
      <c r="S25" s="919">
        <f t="shared" si="6"/>
        <v>1</v>
      </c>
      <c r="T25" s="176">
        <f t="shared" si="7"/>
        <v>7</v>
      </c>
      <c r="U25" s="251">
        <f t="shared" si="8"/>
        <v>1.5003922243724597</v>
      </c>
      <c r="V25" s="383">
        <f t="shared" si="9"/>
        <v>27.8180223702681</v>
      </c>
      <c r="W25" s="402">
        <f t="shared" si="10"/>
        <v>4.7866176411707997</v>
      </c>
      <c r="X25" s="157">
        <f t="shared" si="11"/>
        <v>45668</v>
      </c>
      <c r="Y25" s="385">
        <f t="shared" si="12"/>
        <v>4.6246926665886807</v>
      </c>
      <c r="Z25" s="385">
        <f t="shared" si="22"/>
        <v>4.8769704787870287</v>
      </c>
      <c r="AA25" s="386">
        <f t="shared" si="13"/>
        <v>5.2557068893830587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7.2061935447942704E-2</v>
      </c>
      <c r="AD25" s="231">
        <f>(INDEX(Models!$BJ25:$BT25,,AH25)*(1-AF25)+INDEX(Models!$BJ25:$BT25,,AH25+1)*AF25-ERP_i)*AE25*Ramure*Pc/MaxiM</f>
        <v>9.0563282281303503E-3</v>
      </c>
      <c r="AE25" s="305">
        <f t="shared" si="15"/>
        <v>0.7</v>
      </c>
      <c r="AF25" s="177">
        <f t="shared" si="23"/>
        <v>0.50039222437245967</v>
      </c>
      <c r="AG25" s="919">
        <f t="shared" si="24"/>
        <v>1</v>
      </c>
      <c r="AH25" s="176">
        <f t="shared" si="16"/>
        <v>7</v>
      </c>
      <c r="AI25" s="225">
        <f t="shared" si="17"/>
        <v>1.5003922243724597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1090">
        <f>IF(t&gt;Tmaj,'2024'!Wh/'2024'!Env_an*'2025'!Env_an,0.001*'[3]mon-tableau (2)'!$B$49)</f>
        <v>23.023467691610687</v>
      </c>
      <c r="C26" s="953"/>
      <c r="D26" s="393">
        <f t="shared" si="0"/>
        <v>24.279933765343408</v>
      </c>
      <c r="E26" s="385">
        <f t="shared" si="1"/>
        <v>25.283120427906674</v>
      </c>
      <c r="F26" s="385">
        <f t="shared" si="2"/>
        <v>25.452979396052381</v>
      </c>
      <c r="G26" s="110">
        <f t="shared" si="21"/>
        <v>0.81953690387953826</v>
      </c>
      <c r="H26" s="412" t="b">
        <f>Wh_hp&gt;='2024'!Maxi_hp</f>
        <v>0</v>
      </c>
      <c r="I26" s="390">
        <f>IF(H26,Wh_hp,'2024'!Maxi_hp)</f>
        <v>30.267889314428743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5.1749155738067487E-2</v>
      </c>
      <c r="M26" s="957"/>
      <c r="N26" s="957"/>
      <c r="O26" s="48">
        <f>IF(t&lt;Tnet,'2024'!Resal+('2024'!Salim-'2024'!Resal)*(1-EXP(('2024'!Tnet-t)/('2024'!Tau_j))),Resal+(Salim-Resal)*(1-EXP((Tnet-t)/(Tau_j))))*Salcycl</f>
        <v>3.9678119060651322E-2</v>
      </c>
      <c r="P26" s="169">
        <f>(INDEX(Models!$BJ26:$BT26,,T26)*(1-R26)+INDEX(Models!$BJ26:$BT26,,T26+1)*R26-ERP_i)*Q26*Ramure*Pc/MaxiM</f>
        <v>8.9588961992141999E-3</v>
      </c>
      <c r="Q26" s="305">
        <f t="shared" si="4"/>
        <v>0.7</v>
      </c>
      <c r="R26" s="177">
        <f t="shared" si="5"/>
        <v>0.50043622410013078</v>
      </c>
      <c r="S26" s="919">
        <f t="shared" si="6"/>
        <v>1</v>
      </c>
      <c r="T26" s="176">
        <f t="shared" si="7"/>
        <v>7</v>
      </c>
      <c r="U26" s="251">
        <f t="shared" si="8"/>
        <v>1.5004362241001308</v>
      </c>
      <c r="V26" s="383">
        <f t="shared" si="9"/>
        <v>28.028628094851733</v>
      </c>
      <c r="W26" s="402">
        <f t="shared" si="10"/>
        <v>23.023467691610687</v>
      </c>
      <c r="X26" s="157">
        <f t="shared" si="11"/>
        <v>45669</v>
      </c>
      <c r="Y26" s="385">
        <f t="shared" si="12"/>
        <v>22.245378153100564</v>
      </c>
      <c r="Z26" s="385">
        <f t="shared" si="22"/>
        <v>23.459381331123591</v>
      </c>
      <c r="AA26" s="386">
        <f t="shared" si="13"/>
        <v>25.283120427906674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7.2132674524229209E-2</v>
      </c>
      <c r="AD26" s="231">
        <f>(INDEX(Models!$BJ26:$BT26,,AH26)*(1-AF26)+INDEX(Models!$BJ26:$BT26,,AH26+1)*AF26-ERP_i)*AE26*Ramure*Pc/MaxiM</f>
        <v>8.9588961992141999E-3</v>
      </c>
      <c r="AE26" s="305">
        <f t="shared" si="15"/>
        <v>0.7</v>
      </c>
      <c r="AF26" s="177">
        <f t="shared" si="23"/>
        <v>0.50043622410013078</v>
      </c>
      <c r="AG26" s="919">
        <f t="shared" si="24"/>
        <v>1</v>
      </c>
      <c r="AH26" s="176">
        <f t="shared" si="16"/>
        <v>7</v>
      </c>
      <c r="AI26" s="225">
        <f t="shared" si="17"/>
        <v>1.5004362241001308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1090">
        <f>IF(t&gt;Tmaj,'2024'!Wh/'2024'!Env_an*'2025'!Env_an,0.001*'[3]mon-tableau (2)'!$B$50)</f>
        <v>12.727053610746619</v>
      </c>
      <c r="C27" s="953"/>
      <c r="D27" s="393">
        <f t="shared" si="0"/>
        <v>13.421904603623817</v>
      </c>
      <c r="E27" s="385">
        <f t="shared" si="1"/>
        <v>13.978009145627926</v>
      </c>
      <c r="F27" s="385">
        <f t="shared" si="2"/>
        <v>14.004666560811371</v>
      </c>
      <c r="G27" s="110">
        <f t="shared" si="21"/>
        <v>0.44748675282622452</v>
      </c>
      <c r="H27" s="412" t="b">
        <f>Wh_hp&gt;='2024'!Maxi_hp</f>
        <v>0</v>
      </c>
      <c r="I27" s="390">
        <f>IF(H27,Wh_hp,'2024'!Maxi_hp)</f>
        <v>17.075177344016367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5.1769924865178507E-2</v>
      </c>
      <c r="M27" s="957"/>
      <c r="N27" s="957"/>
      <c r="O27" s="48">
        <f>IF(t&lt;Tnet,'2024'!Resal+('2024'!Salim-'2024'!Resal)*(1-EXP(('2024'!Tnet-t)/('2024'!Tau_j))),Resal+(Salim-Resal)*(1-EXP((Tnet-t)/(Tau_j))))*Salcycl</f>
        <v>3.9784245110330928E-2</v>
      </c>
      <c r="P27" s="169">
        <f>(INDEX(Models!$BJ27:$BT27,,T27)*(1-R27)+INDEX(Models!$BJ27:$BT27,,T27+1)*R27-ERP_i)*Q27*Ramure*Pc/MaxiM</f>
        <v>8.8462052656641445E-3</v>
      </c>
      <c r="Q27" s="305">
        <f t="shared" si="4"/>
        <v>0.7</v>
      </c>
      <c r="R27" s="177">
        <f t="shared" si="5"/>
        <v>0.50048206146459995</v>
      </c>
      <c r="S27" s="919">
        <f t="shared" si="6"/>
        <v>1</v>
      </c>
      <c r="T27" s="176">
        <f t="shared" si="7"/>
        <v>7</v>
      </c>
      <c r="U27" s="251">
        <f t="shared" si="8"/>
        <v>1.5004820614645999</v>
      </c>
      <c r="V27" s="383">
        <f t="shared" si="9"/>
        <v>28.243348907261769</v>
      </c>
      <c r="W27" s="402">
        <f t="shared" si="10"/>
        <v>12.727053610746619</v>
      </c>
      <c r="X27" s="157">
        <f t="shared" si="11"/>
        <v>45670</v>
      </c>
      <c r="Y27" s="385">
        <f t="shared" si="12"/>
        <v>12.29735801029314</v>
      </c>
      <c r="Z27" s="385">
        <f t="shared" si="22"/>
        <v>12.968749180988246</v>
      </c>
      <c r="AA27" s="386">
        <f t="shared" si="13"/>
        <v>13.978009145627926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7.220341281257206E-2</v>
      </c>
      <c r="AD27" s="231">
        <f>(INDEX(Models!$BJ27:$BT27,,AH27)*(1-AF27)+INDEX(Models!$BJ27:$BT27,,AH27+1)*AF27-ERP_i)*AE27*Ramure*Pc/MaxiM</f>
        <v>8.8462052656641445E-3</v>
      </c>
      <c r="AE27" s="305">
        <f t="shared" si="15"/>
        <v>0.7</v>
      </c>
      <c r="AF27" s="177">
        <f t="shared" si="23"/>
        <v>0.50048206146459995</v>
      </c>
      <c r="AG27" s="919">
        <f t="shared" si="24"/>
        <v>1</v>
      </c>
      <c r="AH27" s="176">
        <f t="shared" si="16"/>
        <v>7</v>
      </c>
      <c r="AI27" s="225">
        <f t="shared" si="17"/>
        <v>1.5004820614645999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1090">
        <f>IF(t&gt;Tmaj,'2024'!Wh/'2024'!Env_an*'2025'!Env_an,0.001*'[3]mon-tableau (2)'!$B$51)</f>
        <v>18.212870279232302</v>
      </c>
      <c r="C28" s="953"/>
      <c r="D28" s="393">
        <f t="shared" si="0"/>
        <v>19.207647673462819</v>
      </c>
      <c r="E28" s="385">
        <f t="shared" si="1"/>
        <v>20.005680182720319</v>
      </c>
      <c r="F28" s="385">
        <f t="shared" si="2"/>
        <v>20.0907310086385</v>
      </c>
      <c r="G28" s="110">
        <f t="shared" si="21"/>
        <v>0.63700748453616551</v>
      </c>
      <c r="H28" s="412" t="b">
        <f>Wh_hp&gt;='2024'!Maxi_hp</f>
        <v>0</v>
      </c>
      <c r="I28" s="390">
        <f>IF(H28,Wh_hp,'2024'!Maxi_hp)</f>
        <v>31.541619457007879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5.1790693537392296E-2</v>
      </c>
      <c r="M28" s="957"/>
      <c r="N28" s="957"/>
      <c r="O28" s="48">
        <f>IF(t&lt;Tnet,'2024'!Resal+('2024'!Salim-'2024'!Resal)*(1-EXP(('2024'!Tnet-t)/('2024'!Tau_j))),Resal+(Salim-Resal)*(1-EXP((Tnet-t)/(Tau_j))))*Salcycl</f>
        <v>3.9890296254300399E-2</v>
      </c>
      <c r="P28" s="169">
        <f>(INDEX(Models!$BJ28:$BT28,,T28)*(1-R28)+INDEX(Models!$BJ28:$BT28,,T28+1)*R28-ERP_i)*Q28*Ramure*Pc/MaxiM</f>
        <v>8.7185210499700194E-3</v>
      </c>
      <c r="Q28" s="305">
        <f t="shared" si="4"/>
        <v>0.7</v>
      </c>
      <c r="R28" s="177">
        <f t="shared" si="5"/>
        <v>0.50052981285498954</v>
      </c>
      <c r="S28" s="919">
        <f t="shared" si="6"/>
        <v>1</v>
      </c>
      <c r="T28" s="176">
        <f t="shared" si="7"/>
        <v>7</v>
      </c>
      <c r="U28" s="251">
        <f t="shared" si="8"/>
        <v>1.5005298128549895</v>
      </c>
      <c r="V28" s="383">
        <f t="shared" si="9"/>
        <v>28.462514731144971</v>
      </c>
      <c r="W28" s="402">
        <f t="shared" si="10"/>
        <v>18.212870279232302</v>
      </c>
      <c r="X28" s="157">
        <f t="shared" si="11"/>
        <v>45671</v>
      </c>
      <c r="Y28" s="385">
        <f t="shared" si="12"/>
        <v>17.598562415121396</v>
      </c>
      <c r="Z28" s="385">
        <f t="shared" si="22"/>
        <v>18.559786636955337</v>
      </c>
      <c r="AA28" s="386">
        <f t="shared" si="13"/>
        <v>20.005680182720319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7.2274150769132878E-2</v>
      </c>
      <c r="AD28" s="231">
        <f>(INDEX(Models!$BJ28:$BT28,,AH28)*(1-AF28)+INDEX(Models!$BJ28:$BT28,,AH28+1)*AF28-ERP_i)*AE28*Ramure*Pc/MaxiM</f>
        <v>8.7185210499700194E-3</v>
      </c>
      <c r="AE28" s="305">
        <f t="shared" si="15"/>
        <v>0.7</v>
      </c>
      <c r="AF28" s="177">
        <f t="shared" si="23"/>
        <v>0.50052981285498954</v>
      </c>
      <c r="AG28" s="919">
        <f t="shared" si="24"/>
        <v>1</v>
      </c>
      <c r="AH28" s="176">
        <f t="shared" si="16"/>
        <v>7</v>
      </c>
      <c r="AI28" s="225">
        <f t="shared" si="17"/>
        <v>1.5005298128549895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1090">
        <f>IF(t&gt;Tmaj,'2024'!Wh/'2024'!Env_an*'2025'!Env_an,0.001*'[3]mon-tableau (2)'!$B$52)</f>
        <v>6.4762362482953648</v>
      </c>
      <c r="C29" s="953"/>
      <c r="D29" s="393">
        <f t="shared" si="0"/>
        <v>6.8301144625522427</v>
      </c>
      <c r="E29" s="385">
        <f t="shared" si="1"/>
        <v>7.1146749481450966</v>
      </c>
      <c r="F29" s="385">
        <f t="shared" si="2"/>
        <v>7.1146749481450966</v>
      </c>
      <c r="G29" s="110">
        <f t="shared" si="21"/>
        <v>0.22382323667033402</v>
      </c>
      <c r="H29" s="412" t="b">
        <f>Wh_hp&gt;='2024'!Maxi_hp</f>
        <v>0</v>
      </c>
      <c r="I29" s="390">
        <f>IF(H29,Wh_hp,'2024'!Maxi_hp)</f>
        <v>31.364833627737337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5.1811461754718846E-2</v>
      </c>
      <c r="M29" s="957"/>
      <c r="N29" s="957"/>
      <c r="O29" s="48">
        <f>IF(t&lt;Tnet,'2024'!Resal+('2024'!Salim-'2024'!Resal)*(1-EXP(('2024'!Tnet-t)/('2024'!Tau_j))),Resal+(Salim-Resal)*(1-EXP((Tnet-t)/(Tau_j))))*Salcycl</f>
        <v>3.9996273570733307E-2</v>
      </c>
      <c r="P29" s="169">
        <f>(INDEX(Models!$BJ29:$BT29,,T29)*(1-R29)+INDEX(Models!$BJ29:$BT29,,T29+1)*R29-ERP_i)*Q29*Ramure*Pc/MaxiM</f>
        <v>8.5761219596305893E-3</v>
      </c>
      <c r="Q29" s="305">
        <f t="shared" si="4"/>
        <v>0.7</v>
      </c>
      <c r="R29" s="177">
        <f t="shared" si="5"/>
        <v>0.50057955780516172</v>
      </c>
      <c r="S29" s="919">
        <f t="shared" si="6"/>
        <v>1</v>
      </c>
      <c r="T29" s="176">
        <f t="shared" si="7"/>
        <v>7</v>
      </c>
      <c r="U29" s="251">
        <f t="shared" si="8"/>
        <v>1.5005795578051617</v>
      </c>
      <c r="V29" s="383">
        <f t="shared" si="9"/>
        <v>28.686455222017688</v>
      </c>
      <c r="W29" s="402">
        <f t="shared" si="10"/>
        <v>6.4762362482953648</v>
      </c>
      <c r="X29" s="157">
        <f t="shared" si="11"/>
        <v>45672</v>
      </c>
      <c r="Y29" s="385">
        <f t="shared" si="12"/>
        <v>6.258010761042553</v>
      </c>
      <c r="Z29" s="385">
        <f t="shared" si="22"/>
        <v>6.5999645731044536</v>
      </c>
      <c r="AA29" s="386">
        <f t="shared" si="13"/>
        <v>7.1146749481450966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7.2344889793571759E-2</v>
      </c>
      <c r="AD29" s="231">
        <f>(INDEX(Models!$BJ29:$BT29,,AH29)*(1-AF29)+INDEX(Models!$BJ29:$BT29,,AH29+1)*AF29-ERP_i)*AE29*Ramure*Pc/MaxiM</f>
        <v>8.5761219596305893E-3</v>
      </c>
      <c r="AE29" s="305">
        <f t="shared" si="15"/>
        <v>0.7</v>
      </c>
      <c r="AF29" s="177">
        <f t="shared" si="23"/>
        <v>0.50057955780516172</v>
      </c>
      <c r="AG29" s="919">
        <f t="shared" si="24"/>
        <v>1</v>
      </c>
      <c r="AH29" s="176">
        <f t="shared" si="16"/>
        <v>7</v>
      </c>
      <c r="AI29" s="225">
        <f t="shared" si="17"/>
        <v>1.5005795578051617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1090">
        <f>IF(t&gt;Tmaj,'2024'!Wh/'2024'!Env_an*'2025'!Env_an,0.001*'[3]mon-tableau (2)'!$B$53)</f>
        <v>3.2717088209495535</v>
      </c>
      <c r="C30" s="953"/>
      <c r="D30" s="393">
        <f t="shared" si="0"/>
        <v>3.4505589862894346</v>
      </c>
      <c r="E30" s="385">
        <f t="shared" si="1"/>
        <v>3.5947148845264145</v>
      </c>
      <c r="F30" s="385">
        <f t="shared" si="2"/>
        <v>3.5947148845264145</v>
      </c>
      <c r="G30" s="110">
        <f t="shared" si="21"/>
        <v>0.11219461358359106</v>
      </c>
      <c r="H30" s="412" t="b">
        <f>Wh_hp&gt;='2024'!Maxi_hp</f>
        <v>0</v>
      </c>
      <c r="I30" s="390">
        <f>IF(H30,Wh_hp,'2024'!Maxi_hp)</f>
        <v>32.204114318448951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5.1832229517168149E-2</v>
      </c>
      <c r="M30" s="957"/>
      <c r="N30" s="957"/>
      <c r="O30" s="48">
        <f>IF(t&lt;Tnet,'2024'!Resal+('2024'!Salim-'2024'!Resal)*(1-EXP(('2024'!Tnet-t)/('2024'!Tau_j))),Resal+(Salim-Resal)*(1-EXP((Tnet-t)/(Tau_j))))*Salcycl</f>
        <v>4.0102178578196666E-2</v>
      </c>
      <c r="P30" s="169">
        <f>(INDEX(Models!$BJ30:$BT30,,T30)*(1-R30)+INDEX(Models!$BJ30:$BT30,,T30+1)*R30-ERP_i)*Q30*Ramure*Pc/MaxiM</f>
        <v>8.4109213379851069E-3</v>
      </c>
      <c r="Q30" s="305">
        <f t="shared" si="4"/>
        <v>0.7</v>
      </c>
      <c r="R30" s="177">
        <f t="shared" si="5"/>
        <v>0.500631379120555</v>
      </c>
      <c r="S30" s="919">
        <f t="shared" si="6"/>
        <v>1</v>
      </c>
      <c r="T30" s="176">
        <f t="shared" si="7"/>
        <v>7</v>
      </c>
      <c r="U30" s="251">
        <f t="shared" si="8"/>
        <v>1.500631379120555</v>
      </c>
      <c r="V30" s="383">
        <f t="shared" si="9"/>
        <v>28.915744096740053</v>
      </c>
      <c r="W30" s="402">
        <f t="shared" si="10"/>
        <v>3.2717088209495535</v>
      </c>
      <c r="X30" s="157">
        <f t="shared" si="11"/>
        <v>45673</v>
      </c>
      <c r="Y30" s="385">
        <f t="shared" si="12"/>
        <v>3.1615718787870888</v>
      </c>
      <c r="Z30" s="385">
        <f t="shared" si="22"/>
        <v>3.3344013340351504</v>
      </c>
      <c r="AA30" s="386">
        <f t="shared" si="13"/>
        <v>3.5947148845264145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7.2415632074686626E-2</v>
      </c>
      <c r="AD30" s="231">
        <f>(INDEX(Models!$BJ30:$BT30,,AH30)*(1-AF30)+INDEX(Models!$BJ30:$BT30,,AH30+1)*AF30-ERP_i)*AE30*Ramure*Pc/MaxiM</f>
        <v>8.4109213379851069E-3</v>
      </c>
      <c r="AE30" s="305">
        <f t="shared" si="15"/>
        <v>0.7</v>
      </c>
      <c r="AF30" s="177">
        <f t="shared" si="23"/>
        <v>0.500631379120555</v>
      </c>
      <c r="AG30" s="919">
        <f t="shared" si="24"/>
        <v>1</v>
      </c>
      <c r="AH30" s="176">
        <f t="shared" si="16"/>
        <v>7</v>
      </c>
      <c r="AI30" s="225">
        <f t="shared" si="17"/>
        <v>1.500631379120555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1090">
        <f>IF(t&gt;Tmaj,'2024'!Wh/'2024'!Env_an*'2025'!Env_an,0.001*'[3]mon-tableau (2)'!$B$54)</f>
        <v>5.9279109184900065</v>
      </c>
      <c r="C31" s="953"/>
      <c r="D31" s="393">
        <f t="shared" si="0"/>
        <v>6.2521010968109625</v>
      </c>
      <c r="E31" s="385">
        <f t="shared" si="1"/>
        <v>6.5140167687294266</v>
      </c>
      <c r="F31" s="385">
        <f t="shared" si="2"/>
        <v>6.5140167687294266</v>
      </c>
      <c r="G31" s="110">
        <f t="shared" si="21"/>
        <v>0.2016816434619392</v>
      </c>
      <c r="H31" s="412" t="b">
        <f>Wh_hp&gt;='2024'!Maxi_hp</f>
        <v>0</v>
      </c>
      <c r="I31" s="390">
        <f>IF(H31,Wh_hp,'2024'!Maxi_hp)</f>
        <v>21.487958895001182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5.1852996824750197E-2</v>
      </c>
      <c r="M31" s="957"/>
      <c r="N31" s="957"/>
      <c r="O31" s="48">
        <f>IF(t&lt;Tnet,'2024'!Resal+('2024'!Salim-'2024'!Resal)*(1-EXP(('2024'!Tnet-t)/('2024'!Tau_j))),Resal+(Salim-Resal)*(1-EXP((Tnet-t)/(Tau_j))))*Salcycl</f>
        <v>4.0208013153388199E-2</v>
      </c>
      <c r="P31" s="169">
        <f>(INDEX(Models!$BJ31:$BT31,,T31)*(1-R31)+INDEX(Models!$BJ31:$BT31,,T31+1)*R31-ERP_i)*Q31*Ramure*Pc/MaxiM</f>
        <v>8.2318566534098046E-3</v>
      </c>
      <c r="Q31" s="305">
        <f t="shared" si="4"/>
        <v>0.7</v>
      </c>
      <c r="R31" s="177">
        <f t="shared" si="5"/>
        <v>0.50068536300990907</v>
      </c>
      <c r="S31" s="919">
        <f t="shared" si="6"/>
        <v>1</v>
      </c>
      <c r="T31" s="176">
        <f t="shared" si="7"/>
        <v>7</v>
      </c>
      <c r="U31" s="251">
        <f t="shared" si="8"/>
        <v>1.5006853630099091</v>
      </c>
      <c r="V31" s="383">
        <f t="shared" si="9"/>
        <v>29.150462603525462</v>
      </c>
      <c r="W31" s="402">
        <f t="shared" si="10"/>
        <v>5.9279109184900065</v>
      </c>
      <c r="X31" s="157">
        <f t="shared" si="11"/>
        <v>45674</v>
      </c>
      <c r="Y31" s="385">
        <f t="shared" si="12"/>
        <v>5.7285517985290069</v>
      </c>
      <c r="Z31" s="385">
        <f t="shared" si="22"/>
        <v>6.0418392710673112</v>
      </c>
      <c r="AA31" s="386">
        <f t="shared" si="13"/>
        <v>6.5140167687294266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7.2486380435617837E-2</v>
      </c>
      <c r="AD31" s="231">
        <f>(INDEX(Models!$BJ31:$BT31,,AH31)*(1-AF31)+INDEX(Models!$BJ31:$BT31,,AH31+1)*AF31-ERP_i)*AE31*Ramure*Pc/MaxiM</f>
        <v>8.2318566534098046E-3</v>
      </c>
      <c r="AE31" s="305">
        <f t="shared" si="15"/>
        <v>0.7</v>
      </c>
      <c r="AF31" s="177">
        <f t="shared" si="23"/>
        <v>0.50068536300990907</v>
      </c>
      <c r="AG31" s="919">
        <f t="shared" si="24"/>
        <v>1</v>
      </c>
      <c r="AH31" s="176">
        <f t="shared" si="16"/>
        <v>7</v>
      </c>
      <c r="AI31" s="225">
        <f t="shared" si="17"/>
        <v>1.5006853630099091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1090">
        <f>IF(t&gt;Tmaj,'2024'!Wh/'2024'!Env_an*'2025'!Env_an,0.001*'[3]mon-tableau (2)'!$B$55)</f>
        <v>20.670074228473961</v>
      </c>
      <c r="C32" s="953"/>
      <c r="D32" s="393">
        <f t="shared" si="0"/>
        <v>21.80097273612688</v>
      </c>
      <c r="E32" s="385">
        <f t="shared" si="1"/>
        <v>22.716771658555803</v>
      </c>
      <c r="F32" s="385">
        <f t="shared" si="2"/>
        <v>22.822474642056857</v>
      </c>
      <c r="G32" s="110">
        <f t="shared" si="21"/>
        <v>0.70087275156067541</v>
      </c>
      <c r="H32" s="412" t="b">
        <f>Wh_hp&gt;='2024'!Maxi_hp</f>
        <v>0</v>
      </c>
      <c r="I32" s="390">
        <f>IF(H32,Wh_hp,'2024'!Maxi_hp)</f>
        <v>30.961638796552403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5.1873763677474871E-2</v>
      </c>
      <c r="M32" s="957"/>
      <c r="N32" s="957"/>
      <c r="O32" s="48">
        <f>IF(t&lt;Tnet,'2024'!Resal+('2024'!Salim-'2024'!Resal)*(1-EXP(('2024'!Tnet-t)/('2024'!Tau_j))),Resal+(Salim-Resal)*(1-EXP((Tnet-t)/(Tau_j))))*Salcycl</f>
        <v>4.0313779448674598E-2</v>
      </c>
      <c r="P32" s="169">
        <f>(INDEX(Models!$BJ32:$BT32,,T32)*(1-R32)+INDEX(Models!$BJ32:$BT32,,T32+1)*R32-ERP_i)*Q32*Ramure*Pc/MaxiM</f>
        <v>8.039246540777336E-3</v>
      </c>
      <c r="Q32" s="305">
        <f t="shared" si="4"/>
        <v>0.7</v>
      </c>
      <c r="R32" s="177">
        <f t="shared" si="5"/>
        <v>0.50074159922205075</v>
      </c>
      <c r="S32" s="919">
        <f t="shared" si="6"/>
        <v>1</v>
      </c>
      <c r="T32" s="176">
        <f t="shared" si="7"/>
        <v>7</v>
      </c>
      <c r="U32" s="251">
        <f t="shared" si="8"/>
        <v>1.5007415992220507</v>
      </c>
      <c r="V32" s="383">
        <f t="shared" si="9"/>
        <v>29.390939629214923</v>
      </c>
      <c r="W32" s="402">
        <f t="shared" si="10"/>
        <v>20.670074228473961</v>
      </c>
      <c r="X32" s="157">
        <f t="shared" si="11"/>
        <v>45675</v>
      </c>
      <c r="Y32" s="385">
        <f t="shared" si="12"/>
        <v>19.975604927898974</v>
      </c>
      <c r="Z32" s="385">
        <f t="shared" si="22"/>
        <v>21.068507718315953</v>
      </c>
      <c r="AA32" s="386">
        <f t="shared" si="13"/>
        <v>22.716771658555803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7.2557138180286487E-2</v>
      </c>
      <c r="AD32" s="231">
        <f>(INDEX(Models!$BJ32:$BT32,,AH32)*(1-AF32)+INDEX(Models!$BJ32:$BT32,,AH32+1)*AF32-ERP_i)*AE32*Ramure*Pc/MaxiM</f>
        <v>8.039246540777336E-3</v>
      </c>
      <c r="AE32" s="305">
        <f t="shared" si="15"/>
        <v>0.7</v>
      </c>
      <c r="AF32" s="177">
        <f t="shared" si="23"/>
        <v>0.50074159922205075</v>
      </c>
      <c r="AG32" s="919">
        <f t="shared" si="24"/>
        <v>1</v>
      </c>
      <c r="AH32" s="176">
        <f t="shared" si="16"/>
        <v>7</v>
      </c>
      <c r="AI32" s="225">
        <f t="shared" si="17"/>
        <v>1.5007415992220507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1090">
        <f>IF(t&gt;Tmaj,'2024'!Wh/'2024'!Env_an*'2025'!Env_an,0.001*'[3]mon-tableau (2)'!$B$56)</f>
        <v>9.2986214261963234</v>
      </c>
      <c r="C33" s="953"/>
      <c r="D33" s="393">
        <f t="shared" si="0"/>
        <v>9.8075812461406287</v>
      </c>
      <c r="E33" s="385">
        <f t="shared" si="1"/>
        <v>10.220696481210616</v>
      </c>
      <c r="F33" s="385">
        <f t="shared" si="2"/>
        <v>10.222268829218276</v>
      </c>
      <c r="G33" s="110">
        <f t="shared" si="21"/>
        <v>0.31133528400142829</v>
      </c>
      <c r="H33" s="412" t="b">
        <f>Wh_hp&gt;='2024'!Maxi_hp</f>
        <v>0</v>
      </c>
      <c r="I33" s="390">
        <f>IF(H33,Wh_hp,'2024'!Maxi_hp)</f>
        <v>32.578902251016416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5.1894530075352163E-2</v>
      </c>
      <c r="M33" s="957"/>
      <c r="N33" s="957"/>
      <c r="O33" s="48">
        <f>IF(t&lt;Tnet,'2024'!Resal+('2024'!Salim-'2024'!Resal)*(1-EXP(('2024'!Tnet-t)/('2024'!Tau_j))),Resal+(Salim-Resal)*(1-EXP((Tnet-t)/(Tau_j))))*Salcycl</f>
        <v>4.0419479810348151E-2</v>
      </c>
      <c r="P33" s="169">
        <f>(INDEX(Models!$BJ33:$BT33,,T33)*(1-R33)+INDEX(Models!$BJ33:$BT33,,T33+1)*R33-ERP_i)*Q33*Ramure*Pc/MaxiM</f>
        <v>7.8334250338346276E-3</v>
      </c>
      <c r="Q33" s="305">
        <f t="shared" si="4"/>
        <v>0.7</v>
      </c>
      <c r="R33" s="177">
        <f t="shared" si="5"/>
        <v>0.5008001811879117</v>
      </c>
      <c r="S33" s="919">
        <f t="shared" si="6"/>
        <v>1</v>
      </c>
      <c r="T33" s="176">
        <f t="shared" si="7"/>
        <v>7</v>
      </c>
      <c r="U33" s="251">
        <f t="shared" si="8"/>
        <v>1.5008001811879117</v>
      </c>
      <c r="V33" s="383">
        <f t="shared" si="9"/>
        <v>29.637503801029567</v>
      </c>
      <c r="W33" s="402">
        <f t="shared" si="10"/>
        <v>9.2986214261963234</v>
      </c>
      <c r="X33" s="157">
        <f t="shared" si="11"/>
        <v>45676</v>
      </c>
      <c r="Y33" s="385">
        <f t="shared" si="12"/>
        <v>8.9865121420532184</v>
      </c>
      <c r="Z33" s="385">
        <f t="shared" si="22"/>
        <v>9.4783886678424452</v>
      </c>
      <c r="AA33" s="386">
        <f t="shared" si="13"/>
        <v>10.220696481210616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7.2627908942683589E-2</v>
      </c>
      <c r="AD33" s="231">
        <f>(INDEX(Models!$BJ33:$BT33,,AH33)*(1-AF33)+INDEX(Models!$BJ33:$BT33,,AH33+1)*AF33-ERP_i)*AE33*Ramure*Pc/MaxiM</f>
        <v>7.8334250338346276E-3</v>
      </c>
      <c r="AE33" s="305">
        <f t="shared" si="15"/>
        <v>0.7</v>
      </c>
      <c r="AF33" s="177">
        <f t="shared" si="23"/>
        <v>0.5008001811879117</v>
      </c>
      <c r="AG33" s="919">
        <f t="shared" si="24"/>
        <v>1</v>
      </c>
      <c r="AH33" s="176">
        <f t="shared" si="16"/>
        <v>7</v>
      </c>
      <c r="AI33" s="225">
        <f t="shared" si="17"/>
        <v>1.5008001811879117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1090">
        <f>IF(t&gt;Tmaj,'2024'!Wh/'2024'!Env_an*'2025'!Env_an,0.001*'[3]mon-tableau (2)'!$B$57)</f>
        <v>17.882874370532388</v>
      </c>
      <c r="C34" s="953"/>
      <c r="D34" s="393">
        <f t="shared" si="0"/>
        <v>18.862106197295322</v>
      </c>
      <c r="E34" s="385">
        <f t="shared" si="1"/>
        <v>19.658780574215502</v>
      </c>
      <c r="F34" s="385">
        <f t="shared" si="2"/>
        <v>19.722776391437023</v>
      </c>
      <c r="G34" s="110">
        <f t="shared" si="21"/>
        <v>0.59565688440399844</v>
      </c>
      <c r="H34" s="412" t="b">
        <f>Wh_hp&gt;='2024'!Maxi_hp</f>
        <v>0</v>
      </c>
      <c r="I34" s="390">
        <f>IF(H34,Wh_hp,'2024'!Maxi_hp)</f>
        <v>19.774595283033769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5.1915296018392065E-2</v>
      </c>
      <c r="M34" s="957"/>
      <c r="N34" s="957"/>
      <c r="O34" s="48">
        <f>IF(t&lt;Tnet,'2024'!Resal+('2024'!Salim-'2024'!Resal)*(1-EXP(('2024'!Tnet-t)/('2024'!Tau_j))),Resal+(Salim-Resal)*(1-EXP((Tnet-t)/(Tau_j))))*Salcycl</f>
        <v>4.0525116698494491E-2</v>
      </c>
      <c r="P34" s="169">
        <f>(INDEX(Models!$BJ34:$BT34,,T34)*(1-R34)+INDEX(Models!$BJ34:$BT34,,T34+1)*R34-ERP_i)*Q34*Ramure*Pc/MaxiM</f>
        <v>7.6147843020614829E-3</v>
      </c>
      <c r="Q34" s="305">
        <f t="shared" si="4"/>
        <v>0.7</v>
      </c>
      <c r="R34" s="177">
        <f t="shared" si="5"/>
        <v>0.50086120616795449</v>
      </c>
      <c r="S34" s="919">
        <f t="shared" si="6"/>
        <v>1</v>
      </c>
      <c r="T34" s="176">
        <f t="shared" si="7"/>
        <v>7</v>
      </c>
      <c r="U34" s="251">
        <f t="shared" si="8"/>
        <v>1.5008612061679545</v>
      </c>
      <c r="V34" s="383">
        <f t="shared" si="9"/>
        <v>29.890482205752726</v>
      </c>
      <c r="W34" s="402">
        <f t="shared" si="10"/>
        <v>17.882874370532388</v>
      </c>
      <c r="X34" s="157">
        <f t="shared" si="11"/>
        <v>45677</v>
      </c>
      <c r="Y34" s="385">
        <f t="shared" si="12"/>
        <v>17.2832171034383</v>
      </c>
      <c r="Z34" s="385">
        <f t="shared" si="22"/>
        <v>18.229612850893101</v>
      </c>
      <c r="AA34" s="386">
        <f t="shared" si="13"/>
        <v>19.658780574215502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7.2698696540562588E-2</v>
      </c>
      <c r="AD34" s="231">
        <f>(INDEX(Models!$BJ34:$BT34,,AH34)*(1-AF34)+INDEX(Models!$BJ34:$BT34,,AH34+1)*AF34-ERP_i)*AE34*Ramure*Pc/MaxiM</f>
        <v>7.6147843020614829E-3</v>
      </c>
      <c r="AE34" s="305">
        <f t="shared" si="15"/>
        <v>0.7</v>
      </c>
      <c r="AF34" s="177">
        <f t="shared" si="23"/>
        <v>0.50086120616795449</v>
      </c>
      <c r="AG34" s="919">
        <f t="shared" si="24"/>
        <v>1</v>
      </c>
      <c r="AH34" s="176">
        <f t="shared" si="16"/>
        <v>7</v>
      </c>
      <c r="AI34" s="225">
        <f t="shared" si="17"/>
        <v>1.5008612061679545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1090">
        <f>IF(t&gt;Tmaj,'2024'!Wh/'2024'!Env_an*'2025'!Env_an,0.001*'[3]mon-tableau (2)'!$B$58)</f>
        <v>4.9799059251449016</v>
      </c>
      <c r="C35" s="953"/>
      <c r="D35" s="393">
        <f t="shared" si="0"/>
        <v>5.2527110492765496</v>
      </c>
      <c r="E35" s="385">
        <f t="shared" si="1"/>
        <v>5.4751710408196006</v>
      </c>
      <c r="F35" s="385">
        <f t="shared" si="2"/>
        <v>5.4751710408196006</v>
      </c>
      <c r="G35" s="110">
        <f t="shared" si="21"/>
        <v>0.16395033418705049</v>
      </c>
      <c r="H35" s="412" t="b">
        <f>Wh_hp&gt;='2024'!Maxi_hp</f>
        <v>0</v>
      </c>
      <c r="I35" s="390">
        <f>IF(H35,Wh_hp,'2024'!Maxi_hp)</f>
        <v>18.089681774090039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5.1936061506604458E-2</v>
      </c>
      <c r="M35" s="957"/>
      <c r="N35" s="957"/>
      <c r="O35" s="48">
        <f>IF(t&lt;Tnet,'2024'!Resal+('2024'!Salim-'2024'!Resal)*(1-EXP(('2024'!Tnet-t)/('2024'!Tau_j))),Resal+(Salim-Resal)*(1-EXP((Tnet-t)/(Tau_j))))*Salcycl</f>
        <v>4.0630692609330804E-2</v>
      </c>
      <c r="P35" s="169">
        <f>(INDEX(Models!$BJ35:$BT35,,T35)*(1-R35)+INDEX(Models!$BJ35:$BT35,,T35+1)*R35-ERP_i)*Q35*Ramure*Pc/MaxiM</f>
        <v>7.3837457780882342E-3</v>
      </c>
      <c r="Q35" s="305">
        <f t="shared" si="4"/>
        <v>0.7</v>
      </c>
      <c r="R35" s="177">
        <f t="shared" si="5"/>
        <v>0.50092477540519065</v>
      </c>
      <c r="S35" s="919">
        <f t="shared" si="6"/>
        <v>1</v>
      </c>
      <c r="T35" s="176">
        <f t="shared" si="7"/>
        <v>7</v>
      </c>
      <c r="U35" s="251">
        <f t="shared" si="8"/>
        <v>1.5009247754051906</v>
      </c>
      <c r="V35" s="383">
        <f t="shared" si="9"/>
        <v>30.150201219811034</v>
      </c>
      <c r="W35" s="402">
        <f t="shared" si="10"/>
        <v>4.9799059251449016</v>
      </c>
      <c r="X35" s="157">
        <f t="shared" si="11"/>
        <v>45678</v>
      </c>
      <c r="Y35" s="385">
        <f t="shared" si="12"/>
        <v>4.8130793858791483</v>
      </c>
      <c r="Z35" s="385">
        <f t="shared" si="22"/>
        <v>5.0767455552921836</v>
      </c>
      <c r="AA35" s="386">
        <f t="shared" si="13"/>
        <v>5.4751710408196006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7.2769504835007881E-2</v>
      </c>
      <c r="AD35" s="231">
        <f>(INDEX(Models!$BJ35:$BT35,,AH35)*(1-AF35)+INDEX(Models!$BJ35:$BT35,,AH35+1)*AF35-ERP_i)*AE35*Ramure*Pc/MaxiM</f>
        <v>7.3837457780882342E-3</v>
      </c>
      <c r="AE35" s="305">
        <f t="shared" si="15"/>
        <v>0.7</v>
      </c>
      <c r="AF35" s="177">
        <f t="shared" si="23"/>
        <v>0.50092477540519065</v>
      </c>
      <c r="AG35" s="919">
        <f t="shared" si="24"/>
        <v>1</v>
      </c>
      <c r="AH35" s="176">
        <f t="shared" si="16"/>
        <v>7</v>
      </c>
      <c r="AI35" s="225">
        <f t="shared" si="17"/>
        <v>1.5009247754051906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1090">
        <f>IF(t&gt;Tmaj,'2024'!Wh/'2024'!Env_an*'2025'!Env_an,0.001*'[3]mon-tableau (2)'!$B$59)</f>
        <v>29.532167787254359</v>
      </c>
      <c r="C36" s="953"/>
      <c r="D36" s="393">
        <f t="shared" si="0"/>
        <v>31.150657073425325</v>
      </c>
      <c r="E36" s="385">
        <f t="shared" si="1"/>
        <v>32.473504575266361</v>
      </c>
      <c r="F36" s="385">
        <f t="shared" si="2"/>
        <v>32.697283592485974</v>
      </c>
      <c r="G36" s="110">
        <f t="shared" si="21"/>
        <v>0.9706202271720934</v>
      </c>
      <c r="H36" s="412" t="b">
        <f>Wh_hp&gt;='2024'!Maxi_hp</f>
        <v>0</v>
      </c>
      <c r="I36" s="390">
        <f>IF(H36,Wh_hp,'2024'!Maxi_hp)</f>
        <v>32.705445690362119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5.1956826539999446E-2</v>
      </c>
      <c r="M36" s="957"/>
      <c r="N36" s="957"/>
      <c r="O36" s="48">
        <f>IF(t&lt;Tnet,'2024'!Resal+('2024'!Salim-'2024'!Resal)*(1-EXP(('2024'!Tnet-t)/('2024'!Tau_j))),Resal+(Salim-Resal)*(1-EXP((Tnet-t)/(Tau_j))))*Salcycl</f>
        <v>4.0736210000832135E-2</v>
      </c>
      <c r="P36" s="169">
        <f>(INDEX(Models!$BJ36:$BT36,,T36)*(1-R36)+INDEX(Models!$BJ36:$BT36,,T36+1)*R36-ERP_i)*Q36*Ramure*Pc/MaxiM</f>
        <v>7.1407076517317611E-3</v>
      </c>
      <c r="Q36" s="305">
        <f t="shared" si="4"/>
        <v>0.7</v>
      </c>
      <c r="R36" s="177">
        <f t="shared" si="5"/>
        <v>0.50099099428397276</v>
      </c>
      <c r="S36" s="919">
        <f t="shared" si="6"/>
        <v>1</v>
      </c>
      <c r="T36" s="176">
        <f t="shared" si="7"/>
        <v>7</v>
      </c>
      <c r="U36" s="251">
        <f t="shared" si="8"/>
        <v>1.5009909942839728</v>
      </c>
      <c r="V36" s="383">
        <f t="shared" si="9"/>
        <v>30.416988100922577</v>
      </c>
      <c r="W36" s="402">
        <f t="shared" si="10"/>
        <v>29.532167787254359</v>
      </c>
      <c r="X36" s="157">
        <f t="shared" si="11"/>
        <v>45679</v>
      </c>
      <c r="Y36" s="385">
        <f t="shared" si="12"/>
        <v>28.543800986875141</v>
      </c>
      <c r="Z36" s="385">
        <f t="shared" si="22"/>
        <v>30.108123539037802</v>
      </c>
      <c r="AA36" s="386">
        <f t="shared" si="13"/>
        <v>32.473504575266361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7.2840337597259747E-2</v>
      </c>
      <c r="AD36" s="231">
        <f>(INDEX(Models!$BJ36:$BT36,,AH36)*(1-AF36)+INDEX(Models!$BJ36:$BT36,,AH36+1)*AF36-ERP_i)*AE36*Ramure*Pc/MaxiM</f>
        <v>7.1407076517317611E-3</v>
      </c>
      <c r="AE36" s="305">
        <f t="shared" si="15"/>
        <v>0.7</v>
      </c>
      <c r="AF36" s="177">
        <f t="shared" si="23"/>
        <v>0.50099099428397276</v>
      </c>
      <c r="AG36" s="919">
        <f t="shared" si="24"/>
        <v>1</v>
      </c>
      <c r="AH36" s="176">
        <f t="shared" si="16"/>
        <v>7</v>
      </c>
      <c r="AI36" s="225">
        <f t="shared" si="17"/>
        <v>1.5009909942839728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1090">
        <f>IF(t&gt;Tmaj,'2024'!Wh/'2024'!Env_an*'2025'!Env_an,0.001*'[3]mon-tableau (2)'!$B$60)</f>
        <v>29.597067065459058</v>
      </c>
      <c r="C37" s="953"/>
      <c r="D37" s="393">
        <f t="shared" si="0"/>
        <v>31.219796903726266</v>
      </c>
      <c r="E37" s="385">
        <f t="shared" si="1"/>
        <v>32.549158952218903</v>
      </c>
      <c r="F37" s="385">
        <f t="shared" si="2"/>
        <v>32.763253978619069</v>
      </c>
      <c r="G37" s="110">
        <f t="shared" si="21"/>
        <v>0.96396301711174537</v>
      </c>
      <c r="H37" s="412" t="b">
        <f>Wh_hp&gt;='2024'!Maxi_hp</f>
        <v>0</v>
      </c>
      <c r="I37" s="390">
        <f>IF(H37,Wh_hp,'2024'!Maxi_hp)</f>
        <v>32.772948392052989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5.1977591118586908E-2</v>
      </c>
      <c r="M37" s="957"/>
      <c r="N37" s="957"/>
      <c r="O37" s="48">
        <f>IF(t&lt;Tnet,'2024'!Resal+('2024'!Salim-'2024'!Resal)*(1-EXP(('2024'!Tnet-t)/('2024'!Tau_j))),Resal+(Salim-Resal)*(1-EXP((Tnet-t)/(Tau_j))))*Salcycl</f>
        <v>4.0841671222414534E-2</v>
      </c>
      <c r="P37" s="169">
        <f>(INDEX(Models!$BJ37:$BT37,,T37)*(1-R37)+INDEX(Models!$BJ37:$BT37,,T37+1)*R37-ERP_i)*Q37*Ramure*Pc/MaxiM</f>
        <v>6.8857432281799131E-3</v>
      </c>
      <c r="Q37" s="305">
        <f t="shared" si="4"/>
        <v>0.7</v>
      </c>
      <c r="R37" s="177">
        <f t="shared" si="5"/>
        <v>0.50105997249474998</v>
      </c>
      <c r="S37" s="919">
        <f t="shared" si="6"/>
        <v>1</v>
      </c>
      <c r="T37" s="176">
        <f t="shared" si="7"/>
        <v>7</v>
      </c>
      <c r="U37" s="251">
        <f t="shared" si="8"/>
        <v>1.50105997249475</v>
      </c>
      <c r="V37" s="383">
        <f t="shared" si="9"/>
        <v>30.692677637707504</v>
      </c>
      <c r="W37" s="402">
        <f t="shared" si="10"/>
        <v>29.597067065459058</v>
      </c>
      <c r="X37" s="157">
        <f t="shared" si="11"/>
        <v>45680</v>
      </c>
      <c r="Y37" s="385">
        <f t="shared" si="12"/>
        <v>28.607487016281166</v>
      </c>
      <c r="Z37" s="385">
        <f t="shared" si="22"/>
        <v>30.17596076661901</v>
      </c>
      <c r="AA37" s="386">
        <f t="shared" si="13"/>
        <v>32.549158952218903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7.2911198384071049E-2</v>
      </c>
      <c r="AD37" s="231">
        <f>(INDEX(Models!$BJ37:$BT37,,AH37)*(1-AF37)+INDEX(Models!$BJ37:$BT37,,AH37+1)*AF37-ERP_i)*AE37*Ramure*Pc/MaxiM</f>
        <v>6.8857432281799131E-3</v>
      </c>
      <c r="AE37" s="305">
        <f t="shared" si="15"/>
        <v>0.7</v>
      </c>
      <c r="AF37" s="177">
        <f t="shared" si="23"/>
        <v>0.50105997249474998</v>
      </c>
      <c r="AG37" s="919">
        <f t="shared" si="24"/>
        <v>1</v>
      </c>
      <c r="AH37" s="176">
        <f t="shared" si="16"/>
        <v>7</v>
      </c>
      <c r="AI37" s="225">
        <f t="shared" si="17"/>
        <v>1.50105997249475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1090">
        <f>IF(t&gt;Tmaj,'2024'!Wh/'2024'!Env_an*'2025'!Env_an,0.001*'[3]mon-tableau (2)'!$B$61)</f>
        <v>29.882000544645525</v>
      </c>
      <c r="C38" s="953"/>
      <c r="D38" s="393">
        <f t="shared" si="0"/>
        <v>31.521042932668635</v>
      </c>
      <c r="E38" s="385">
        <f t="shared" si="1"/>
        <v>32.866844179677692</v>
      </c>
      <c r="F38" s="385">
        <f t="shared" si="2"/>
        <v>33.074709609410142</v>
      </c>
      <c r="G38" s="110">
        <f t="shared" si="21"/>
        <v>0.96429023929682822</v>
      </c>
      <c r="H38" s="412" t="b">
        <f>Wh_hp&gt;='2024'!Maxi_hp</f>
        <v>0</v>
      </c>
      <c r="I38" s="390">
        <f>IF(H38,Wh_hp,'2024'!Maxi_hp)</f>
        <v>33.084036887792983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5.1998355242376726E-2</v>
      </c>
      <c r="M38" s="957"/>
      <c r="N38" s="957"/>
      <c r="O38" s="48">
        <f>IF(t&lt;Tnet,'2024'!Resal+('2024'!Salim-'2024'!Resal)*(1-EXP(('2024'!Tnet-t)/('2024'!Tau_j))),Resal+(Salim-Resal)*(1-EXP((Tnet-t)/(Tau_j))))*Salcycl</f>
        <v>4.0947078449387525E-2</v>
      </c>
      <c r="P38" s="169">
        <f>(INDEX(Models!$BJ38:$BT38,,T38)*(1-R38)+INDEX(Models!$BJ38:$BT38,,T38+1)*R38-ERP_i)*Q38*Ramure*Pc/MaxiM</f>
        <v>6.619330989801245E-3</v>
      </c>
      <c r="Q38" s="305">
        <f t="shared" si="4"/>
        <v>0.7</v>
      </c>
      <c r="R38" s="177">
        <f t="shared" si="5"/>
        <v>0.50113182420497937</v>
      </c>
      <c r="S38" s="919">
        <f t="shared" si="6"/>
        <v>1</v>
      </c>
      <c r="T38" s="176">
        <f t="shared" si="7"/>
        <v>7</v>
      </c>
      <c r="U38" s="251">
        <f t="shared" si="8"/>
        <v>1.5011318242049794</v>
      </c>
      <c r="V38" s="383">
        <f t="shared" si="9"/>
        <v>30.978161317077873</v>
      </c>
      <c r="W38" s="402">
        <f t="shared" si="10"/>
        <v>29.882000544645525</v>
      </c>
      <c r="X38" s="157">
        <f t="shared" si="11"/>
        <v>45681</v>
      </c>
      <c r="Y38" s="385">
        <f t="shared" si="12"/>
        <v>28.883859332909037</v>
      </c>
      <c r="Z38" s="385">
        <f t="shared" si="22"/>
        <v>30.4681531858458</v>
      </c>
      <c r="AA38" s="386">
        <f t="shared" si="13"/>
        <v>32.866844179677692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7.2982090422756718E-2</v>
      </c>
      <c r="AD38" s="231">
        <f>(INDEX(Models!$BJ38:$BT38,,AH38)*(1-AF38)+INDEX(Models!$BJ38:$BT38,,AH38+1)*AF38-ERP_i)*AE38*Ramure*Pc/MaxiM</f>
        <v>6.619330989801245E-3</v>
      </c>
      <c r="AE38" s="305">
        <f t="shared" si="15"/>
        <v>0.7</v>
      </c>
      <c r="AF38" s="177">
        <f t="shared" si="23"/>
        <v>0.50113182420497937</v>
      </c>
      <c r="AG38" s="919">
        <f t="shared" si="24"/>
        <v>1</v>
      </c>
      <c r="AH38" s="176">
        <f t="shared" si="16"/>
        <v>7</v>
      </c>
      <c r="AI38" s="225">
        <f t="shared" si="17"/>
        <v>1.5011318242049794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1090">
        <f>IF(t&gt;Tmaj,'2024'!Wh/'2024'!Env_an*'2025'!Env_an,0.001*'[3]mon-tableau (2)'!$B$62)</f>
        <v>29.439285313633878</v>
      </c>
      <c r="C39" s="953"/>
      <c r="D39" s="393">
        <f t="shared" si="0"/>
        <v>31.054724732240434</v>
      </c>
      <c r="E39" s="385">
        <f t="shared" si="1"/>
        <v>32.384173880916812</v>
      </c>
      <c r="F39" s="385">
        <f t="shared" si="2"/>
        <v>32.573650514430355</v>
      </c>
      <c r="G39" s="110">
        <f t="shared" si="21"/>
        <v>0.94088613392684195</v>
      </c>
      <c r="H39" s="412" t="b">
        <f>Wh_hp&gt;='2024'!Maxi_hp</f>
        <v>0</v>
      </c>
      <c r="I39" s="390">
        <f>IF(H39,Wh_hp,'2024'!Maxi_hp)</f>
        <v>32.588227286146612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5.2019118911379003E-2</v>
      </c>
      <c r="M39" s="957"/>
      <c r="N39" s="957"/>
      <c r="O39" s="48">
        <f>IF(t&lt;Tnet,'2024'!Resal+('2024'!Salim-'2024'!Resal)*(1-EXP(('2024'!Tnet-t)/('2024'!Tau_j))),Resal+(Salim-Resal)*(1-EXP((Tnet-t)/(Tau_j))))*Salcycl</f>
        <v>4.1052433622825658E-2</v>
      </c>
      <c r="P39" s="169">
        <f>(INDEX(Models!$BJ39:$BT39,,T39)*(1-R39)+INDEX(Models!$BJ39:$BT39,,T39+1)*R39-ERP_i)*Q39*Ramure*Pc/MaxiM</f>
        <v>6.3484170764785E-3</v>
      </c>
      <c r="Q39" s="305">
        <f t="shared" si="4"/>
        <v>0.7</v>
      </c>
      <c r="R39" s="177">
        <f t="shared" si="5"/>
        <v>0.5012066682363876</v>
      </c>
      <c r="S39" s="919">
        <f t="shared" si="6"/>
        <v>1</v>
      </c>
      <c r="T39" s="176">
        <f t="shared" si="7"/>
        <v>7</v>
      </c>
      <c r="U39" s="251">
        <f t="shared" si="8"/>
        <v>1.5012066682363876</v>
      </c>
      <c r="V39" s="383">
        <f t="shared" si="9"/>
        <v>31.272163844052898</v>
      </c>
      <c r="W39" s="402">
        <f t="shared" si="10"/>
        <v>29.439285313633878</v>
      </c>
      <c r="X39" s="157">
        <f t="shared" si="11"/>
        <v>45682</v>
      </c>
      <c r="Y39" s="385">
        <f t="shared" si="12"/>
        <v>28.456880933290101</v>
      </c>
      <c r="Z39" s="385">
        <f t="shared" si="22"/>
        <v>30.018412291829584</v>
      </c>
      <c r="AA39" s="386">
        <f t="shared" si="13"/>
        <v>32.384173880916812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7.3053016506970839E-2</v>
      </c>
      <c r="AD39" s="231">
        <f>(INDEX(Models!$BJ39:$BT39,,AH39)*(1-AF39)+INDEX(Models!$BJ39:$BT39,,AH39+1)*AF39-ERP_i)*AE39*Ramure*Pc/MaxiM</f>
        <v>6.3484170764785E-3</v>
      </c>
      <c r="AE39" s="305">
        <f t="shared" si="15"/>
        <v>0.7</v>
      </c>
      <c r="AF39" s="177">
        <f t="shared" si="23"/>
        <v>0.5012066682363876</v>
      </c>
      <c r="AG39" s="919">
        <f t="shared" si="24"/>
        <v>1</v>
      </c>
      <c r="AH39" s="176">
        <f t="shared" si="16"/>
        <v>7</v>
      </c>
      <c r="AI39" s="225">
        <f t="shared" si="17"/>
        <v>1.5012066682363876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1090">
        <f>IF(t&gt;Tmaj,'2024'!Wh/'2024'!Env_an*'2025'!Env_an,0.001*'[3]mon-tableau (2)'!$B$63)</f>
        <v>30.204747939604101</v>
      </c>
      <c r="C40" s="953"/>
      <c r="D40" s="393">
        <f t="shared" si="0"/>
        <v>31.862888923356792</v>
      </c>
      <c r="E40" s="385">
        <f t="shared" si="1"/>
        <v>33.230584632384016</v>
      </c>
      <c r="F40" s="385">
        <f t="shared" si="2"/>
        <v>33.420996937119646</v>
      </c>
      <c r="G40" s="110">
        <f t="shared" si="21"/>
        <v>0.95628360906346566</v>
      </c>
      <c r="H40" s="412" t="b">
        <f>Wh_hp&gt;='2024'!Maxi_hp</f>
        <v>0</v>
      </c>
      <c r="I40" s="390">
        <f>IF(H40,Wh_hp,'2024'!Maxi_hp)</f>
        <v>33.431556002273844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5.2039882125603731E-2</v>
      </c>
      <c r="M40" s="957"/>
      <c r="N40" s="957"/>
      <c r="O40" s="48">
        <f>IF(t&lt;Tnet,'2024'!Resal+('2024'!Salim-'2024'!Resal)*(1-EXP(('2024'!Tnet-t)/('2024'!Tau_j))),Resal+(Salim-Resal)*(1-EXP((Tnet-t)/(Tau_j))))*Salcycl</f>
        <v>4.1157738395441033E-2</v>
      </c>
      <c r="P40" s="169">
        <f>(INDEX(Models!$BJ40:$BT40,,T40)*(1-R40)+INDEX(Models!$BJ40:$BT40,,T40+1)*R40-ERP_i)*Q40*Ramure*Pc/MaxiM</f>
        <v>6.0735506611817956E-3</v>
      </c>
      <c r="Q40" s="305">
        <f t="shared" si="4"/>
        <v>0.7</v>
      </c>
      <c r="R40" s="177">
        <f t="shared" si="5"/>
        <v>0.5012846282487804</v>
      </c>
      <c r="S40" s="919">
        <f t="shared" si="6"/>
        <v>1</v>
      </c>
      <c r="T40" s="176">
        <f t="shared" si="7"/>
        <v>7</v>
      </c>
      <c r="U40" s="251">
        <f t="shared" si="8"/>
        <v>1.5012846282487804</v>
      </c>
      <c r="V40" s="383">
        <f t="shared" si="9"/>
        <v>31.573604918408744</v>
      </c>
      <c r="W40" s="402">
        <f t="shared" si="10"/>
        <v>30.204747939604101</v>
      </c>
      <c r="X40" s="157">
        <f t="shared" si="11"/>
        <v>45683</v>
      </c>
      <c r="Y40" s="385">
        <f t="shared" si="12"/>
        <v>29.197770800814354</v>
      </c>
      <c r="Z40" s="385">
        <f t="shared" si="22"/>
        <v>30.800632062754172</v>
      </c>
      <c r="AA40" s="386">
        <f t="shared" si="13"/>
        <v>33.230584632384016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7.3123978904114595E-2</v>
      </c>
      <c r="AD40" s="231">
        <f>(INDEX(Models!$BJ40:$BT40,,AH40)*(1-AF40)+INDEX(Models!$BJ40:$BT40,,AH40+1)*AF40-ERP_i)*AE40*Ramure*Pc/MaxiM</f>
        <v>6.0735506611817956E-3</v>
      </c>
      <c r="AE40" s="305">
        <f t="shared" si="15"/>
        <v>0.7</v>
      </c>
      <c r="AF40" s="177">
        <f t="shared" si="23"/>
        <v>0.5012846282487804</v>
      </c>
      <c r="AG40" s="919">
        <f t="shared" si="24"/>
        <v>1</v>
      </c>
      <c r="AH40" s="176">
        <f t="shared" si="16"/>
        <v>7</v>
      </c>
      <c r="AI40" s="225">
        <f t="shared" si="17"/>
        <v>1.5012846282487804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1090">
        <f>IF(t&gt;Tmaj,'2024'!Wh/'2024'!Env_an*'2025'!Env_an,0.001*'[3]mon-tableau (2)'!$B$64)</f>
        <v>29.934615123200015</v>
      </c>
      <c r="C41" s="953"/>
      <c r="D41" s="393">
        <f t="shared" si="0"/>
        <v>31.578618359578911</v>
      </c>
      <c r="E41" s="385">
        <f t="shared" si="1"/>
        <v>32.93772761948081</v>
      </c>
      <c r="F41" s="385">
        <f t="shared" si="2"/>
        <v>33.11288447191199</v>
      </c>
      <c r="G41" s="110">
        <f t="shared" si="21"/>
        <v>0.9384593198950606</v>
      </c>
      <c r="H41" s="412" t="b">
        <f>Wh_hp&gt;='2024'!Maxi_hp</f>
        <v>0</v>
      </c>
      <c r="I41" s="390">
        <f>IF(H41,Wh_hp,'2024'!Maxi_hp)</f>
        <v>33.12688956731003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5.2060644885060681E-2</v>
      </c>
      <c r="M41" s="957"/>
      <c r="N41" s="957"/>
      <c r="O41" s="48">
        <f>IF(t&lt;Tnet,'2024'!Resal+('2024'!Salim-'2024'!Resal)*(1-EXP(('2024'!Tnet-t)/('2024'!Tau_j))),Resal+(Salim-Resal)*(1-EXP((Tnet-t)/(Tau_j))))*Salcycl</f>
        <v>4.1262994083965256E-2</v>
      </c>
      <c r="P41" s="169">
        <f>(INDEX(Models!$BJ41:$BT41,,T41)*(1-R41)+INDEX(Models!$BJ41:$BT41,,T41+1)*R41-ERP_i)*Q41*Ramure*Pc/MaxiM</f>
        <v>5.7952269939604961E-3</v>
      </c>
      <c r="Q41" s="305">
        <f t="shared" si="4"/>
        <v>0.7</v>
      </c>
      <c r="R41" s="177">
        <f t="shared" si="5"/>
        <v>0.50136583293060211</v>
      </c>
      <c r="S41" s="919">
        <f t="shared" si="6"/>
        <v>1</v>
      </c>
      <c r="T41" s="176">
        <f t="shared" si="7"/>
        <v>7</v>
      </c>
      <c r="U41" s="251">
        <f t="shared" si="8"/>
        <v>1.5013658329306021</v>
      </c>
      <c r="V41" s="383">
        <f t="shared" si="9"/>
        <v>31.881404895321285</v>
      </c>
      <c r="W41" s="402">
        <f t="shared" si="10"/>
        <v>29.934615123200015</v>
      </c>
      <c r="X41" s="157">
        <f t="shared" si="11"/>
        <v>45684</v>
      </c>
      <c r="Y41" s="385">
        <f t="shared" si="12"/>
        <v>28.937603762504512</v>
      </c>
      <c r="Z41" s="385">
        <f t="shared" si="22"/>
        <v>30.526851329002767</v>
      </c>
      <c r="AA41" s="386">
        <f t="shared" si="13"/>
        <v>32.93772761948081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7.3194979275138142E-2</v>
      </c>
      <c r="AD41" s="231">
        <f>(INDEX(Models!$BJ41:$BT41,,AH41)*(1-AF41)+INDEX(Models!$BJ41:$BT41,,AH41+1)*AF41-ERP_i)*AE41*Ramure*Pc/MaxiM</f>
        <v>5.7952269939604961E-3</v>
      </c>
      <c r="AE41" s="305">
        <f t="shared" si="15"/>
        <v>0.7</v>
      </c>
      <c r="AF41" s="177">
        <f t="shared" si="23"/>
        <v>0.50136583293060211</v>
      </c>
      <c r="AG41" s="919">
        <f t="shared" si="24"/>
        <v>1</v>
      </c>
      <c r="AH41" s="176">
        <f t="shared" si="16"/>
        <v>7</v>
      </c>
      <c r="AI41" s="225">
        <f t="shared" si="17"/>
        <v>1.5013658329306021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1090">
        <f>IF(t&gt;Tmaj,'2024'!Wh/'2024'!Env_an*'2025'!Env_an,0.001*'[3]mon-tableau (2)'!$B$65)</f>
        <v>4.0563386758745255</v>
      </c>
      <c r="C42" s="953"/>
      <c r="D42" s="393">
        <f t="shared" si="0"/>
        <v>4.2792057320544057</v>
      </c>
      <c r="E42" s="385">
        <f t="shared" si="1"/>
        <v>4.463867920220979</v>
      </c>
      <c r="F42" s="385">
        <f t="shared" si="2"/>
        <v>4.463867920220979</v>
      </c>
      <c r="G42" s="110">
        <f t="shared" si="21"/>
        <v>0.12530010981241471</v>
      </c>
      <c r="H42" s="412" t="b">
        <f>Wh_hp&gt;='2024'!Maxi_hp</f>
        <v>0</v>
      </c>
      <c r="I42" s="390">
        <f>IF(H42,Wh_hp,'2024'!Maxi_hp)</f>
        <v>17.427879917759782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5.2081407189759843E-2</v>
      </c>
      <c r="M42" s="957"/>
      <c r="N42" s="957"/>
      <c r="O42" s="48">
        <f>IF(t&lt;Tnet,'2024'!Resal+('2024'!Salim-'2024'!Resal)*(1-EXP(('2024'!Tnet-t)/('2024'!Tau_j))),Resal+(Salim-Resal)*(1-EXP((Tnet-t)/(Tau_j))))*Salcycl</f>
        <v>4.1368201628472899E-2</v>
      </c>
      <c r="P42" s="169">
        <f>(INDEX(Models!$BJ42:$BT42,,T42)*(1-R42)+INDEX(Models!$BJ42:$BT42,,T42+1)*R42-ERP_i)*Q42*Ramure*Pc/MaxiM</f>
        <v>5.5138875330104781E-3</v>
      </c>
      <c r="Q42" s="305">
        <f t="shared" si="4"/>
        <v>0.7</v>
      </c>
      <c r="R42" s="177">
        <f t="shared" si="5"/>
        <v>0.50145041619644815</v>
      </c>
      <c r="S42" s="919">
        <f t="shared" si="6"/>
        <v>1</v>
      </c>
      <c r="T42" s="176">
        <f t="shared" si="7"/>
        <v>7</v>
      </c>
      <c r="U42" s="251">
        <f t="shared" si="8"/>
        <v>1.5014504161964481</v>
      </c>
      <c r="V42" s="383">
        <f t="shared" si="9"/>
        <v>32.194484798610034</v>
      </c>
      <c r="W42" s="402">
        <f t="shared" si="10"/>
        <v>4.0563386758745255</v>
      </c>
      <c r="X42" s="157">
        <f t="shared" si="11"/>
        <v>45685</v>
      </c>
      <c r="Y42" s="385">
        <f t="shared" si="12"/>
        <v>3.921366782695928</v>
      </c>
      <c r="Z42" s="385">
        <f t="shared" si="22"/>
        <v>4.1368180901172913</v>
      </c>
      <c r="AA42" s="386">
        <f t="shared" si="13"/>
        <v>4.463867920220979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7.3266018607355446E-2</v>
      </c>
      <c r="AD42" s="231">
        <f>(INDEX(Models!$BJ42:$BT42,,AH42)*(1-AF42)+INDEX(Models!$BJ42:$BT42,,AH42+1)*AF42-ERP_i)*AE42*Ramure*Pc/MaxiM</f>
        <v>5.5138875330104781E-3</v>
      </c>
      <c r="AE42" s="305">
        <f t="shared" si="15"/>
        <v>0.7</v>
      </c>
      <c r="AF42" s="177">
        <f t="shared" si="23"/>
        <v>0.50145041619644815</v>
      </c>
      <c r="AG42" s="919">
        <f t="shared" si="24"/>
        <v>1</v>
      </c>
      <c r="AH42" s="176">
        <f t="shared" si="16"/>
        <v>7</v>
      </c>
      <c r="AI42" s="225">
        <f t="shared" si="17"/>
        <v>1.5014504161964481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1090">
        <f>IF(t&gt;Tmaj,'2024'!Wh/'2024'!Env_an*'2025'!Env_an,0.001*'[3]mon-tableau (2)'!$B$66)</f>
        <v>6.0317135085518574</v>
      </c>
      <c r="C43" s="953"/>
      <c r="D43" s="393">
        <f t="shared" si="0"/>
        <v>6.3632527805673931</v>
      </c>
      <c r="E43" s="385">
        <f t="shared" si="1"/>
        <v>6.6385768797379665</v>
      </c>
      <c r="F43" s="385">
        <f t="shared" si="2"/>
        <v>6.6385768797379665</v>
      </c>
      <c r="G43" s="110">
        <f t="shared" si="21"/>
        <v>0.18455374182299439</v>
      </c>
      <c r="H43" s="412" t="b">
        <f>Wh_hp&gt;='2024'!Maxi_hp</f>
        <v>0</v>
      </c>
      <c r="I43" s="390">
        <f>IF(H43,Wh_hp,'2024'!Maxi_hp)</f>
        <v>22.511927090396647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5.2102169039711321E-2</v>
      </c>
      <c r="M43" s="957"/>
      <c r="N43" s="957"/>
      <c r="O43" s="48">
        <f>IF(t&lt;Tnet,'2024'!Resal+('2024'!Salim-'2024'!Resal)*(1-EXP(('2024'!Tnet-t)/('2024'!Tau_j))),Resal+(Salim-Resal)*(1-EXP((Tnet-t)/(Tau_j))))*Salcycl</f>
        <v>4.1473361558997349E-2</v>
      </c>
      <c r="P43" s="169">
        <f>(INDEX(Models!$BJ43:$BT43,,T43)*(1-R43)+INDEX(Models!$BJ43:$BT43,,T43+1)*R43-ERP_i)*Q43*Ramure*Pc/MaxiM</f>
        <v>5.2299205739054482E-3</v>
      </c>
      <c r="Q43" s="305">
        <f t="shared" si="4"/>
        <v>0.7</v>
      </c>
      <c r="R43" s="177">
        <f t="shared" si="5"/>
        <v>0.50153851739173327</v>
      </c>
      <c r="S43" s="919">
        <f t="shared" si="6"/>
        <v>1</v>
      </c>
      <c r="T43" s="176">
        <f t="shared" si="7"/>
        <v>7</v>
      </c>
      <c r="U43" s="251">
        <f t="shared" si="8"/>
        <v>1.5015385173917333</v>
      </c>
      <c r="V43" s="383">
        <f t="shared" si="9"/>
        <v>32.511766311042031</v>
      </c>
      <c r="W43" s="402">
        <f t="shared" si="10"/>
        <v>6.0317135085518574</v>
      </c>
      <c r="X43" s="157">
        <f t="shared" si="11"/>
        <v>45686</v>
      </c>
      <c r="Y43" s="385">
        <f t="shared" si="12"/>
        <v>5.8312048145268642</v>
      </c>
      <c r="Z43" s="385">
        <f t="shared" si="22"/>
        <v>6.1517229220995624</v>
      </c>
      <c r="AA43" s="386">
        <f t="shared" si="13"/>
        <v>6.6385768797379665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7.3337097160742798E-2</v>
      </c>
      <c r="AD43" s="231">
        <f>(INDEX(Models!$BJ43:$BT43,,AH43)*(1-AF43)+INDEX(Models!$BJ43:$BT43,,AH43+1)*AF43-ERP_i)*AE43*Ramure*Pc/MaxiM</f>
        <v>5.2299205739054482E-3</v>
      </c>
      <c r="AE43" s="305">
        <f t="shared" si="15"/>
        <v>0.7</v>
      </c>
      <c r="AF43" s="177">
        <f t="shared" si="23"/>
        <v>0.50153851739173327</v>
      </c>
      <c r="AG43" s="919">
        <f t="shared" si="24"/>
        <v>1</v>
      </c>
      <c r="AH43" s="176">
        <f t="shared" si="16"/>
        <v>7</v>
      </c>
      <c r="AI43" s="225">
        <f t="shared" si="17"/>
        <v>1.5015385173917333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1090">
        <f>IF(t&gt;Tmaj,'2024'!Wh/'2024'!Env_an*'2025'!Env_an,0.001*'[3]mon-tableau (2)'!$B$67)</f>
        <v>4.9470199408647346</v>
      </c>
      <c r="C44" s="953"/>
      <c r="D44" s="393">
        <f t="shared" si="0"/>
        <v>5.2190522375803772</v>
      </c>
      <c r="E44" s="385">
        <f t="shared" si="1"/>
        <v>5.4454664214370156</v>
      </c>
      <c r="F44" s="385">
        <f t="shared" si="2"/>
        <v>5.4454664214370156</v>
      </c>
      <c r="G44" s="110">
        <f t="shared" si="21"/>
        <v>0.1499310973794119</v>
      </c>
      <c r="H44" s="412" t="b">
        <f>Wh_hp&gt;='2024'!Maxi_hp</f>
        <v>0</v>
      </c>
      <c r="I44" s="390">
        <f>IF(H44,Wh_hp,'2024'!Maxi_hp)</f>
        <v>10.423685229998675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5.2122930434925108E-2</v>
      </c>
      <c r="M44" s="957"/>
      <c r="N44" s="957"/>
      <c r="O44" s="48">
        <f>IF(t&lt;Tnet,'2024'!Resal+('2024'!Salim-'2024'!Resal)*(1-EXP(('2024'!Tnet-t)/('2024'!Tau_j))),Resal+(Salim-Resal)*(1-EXP((Tnet-t)/(Tau_j))))*Salcycl</f>
        <v>4.1578473969708117E-2</v>
      </c>
      <c r="P44" s="169">
        <f>(INDEX(Models!$BJ44:$BT44,,T44)*(1-R44)+INDEX(Models!$BJ44:$BT44,,T44+1)*R44-ERP_i)*Q44*Ramure*Pc/MaxiM</f>
        <v>4.9538963223103149E-3</v>
      </c>
      <c r="Q44" s="305">
        <f t="shared" si="4"/>
        <v>0.7</v>
      </c>
      <c r="R44" s="177">
        <f t="shared" si="5"/>
        <v>0.50163028150472688</v>
      </c>
      <c r="S44" s="919">
        <f t="shared" si="6"/>
        <v>1</v>
      </c>
      <c r="T44" s="176">
        <f t="shared" si="7"/>
        <v>7</v>
      </c>
      <c r="U44" s="251">
        <f t="shared" si="8"/>
        <v>1.5016302815047269</v>
      </c>
      <c r="V44" s="383">
        <f t="shared" si="9"/>
        <v>32.831834109214178</v>
      </c>
      <c r="W44" s="402">
        <f t="shared" si="10"/>
        <v>4.9470199408647346</v>
      </c>
      <c r="X44" s="157">
        <f t="shared" si="11"/>
        <v>45687</v>
      </c>
      <c r="Y44" s="385">
        <f t="shared" si="12"/>
        <v>4.7827265099647374</v>
      </c>
      <c r="Z44" s="385">
        <f t="shared" si="22"/>
        <v>5.045724454711463</v>
      </c>
      <c r="AA44" s="386">
        <f t="shared" si="13"/>
        <v>5.4454664214370156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7.340821442804224E-2</v>
      </c>
      <c r="AD44" s="231">
        <f>(INDEX(Models!$BJ44:$BT44,,AH44)*(1-AF44)+INDEX(Models!$BJ44:$BT44,,AH44+1)*AF44-ERP_i)*AE44*Ramure*Pc/MaxiM</f>
        <v>4.9538963223103149E-3</v>
      </c>
      <c r="AE44" s="305">
        <f t="shared" si="15"/>
        <v>0.7</v>
      </c>
      <c r="AF44" s="177">
        <f t="shared" si="23"/>
        <v>0.50163028150472688</v>
      </c>
      <c r="AG44" s="919">
        <f t="shared" si="24"/>
        <v>1</v>
      </c>
      <c r="AH44" s="176">
        <f t="shared" si="16"/>
        <v>7</v>
      </c>
      <c r="AI44" s="225">
        <f t="shared" si="17"/>
        <v>1.5016302815047269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1090">
        <f>IF(t&gt;Tmaj,'2024'!Wh/'2024'!Env_an*'2025'!Env_an,0.001*'[3]mon-tableau (2)'!$B$68)</f>
        <v>6.789463701930055</v>
      </c>
      <c r="C45" s="953"/>
      <c r="D45" s="393">
        <f t="shared" si="0"/>
        <v>7.1629672558513411</v>
      </c>
      <c r="E45" s="385">
        <f t="shared" si="1"/>
        <v>7.4745322068722242</v>
      </c>
      <c r="F45" s="385">
        <f t="shared" si="2"/>
        <v>7.4745322068722242</v>
      </c>
      <c r="G45" s="110">
        <f t="shared" si="21"/>
        <v>0.20382846139476685</v>
      </c>
      <c r="H45" s="412" t="b">
        <f>Wh_hp&gt;='2024'!Maxi_hp</f>
        <v>0</v>
      </c>
      <c r="I45" s="390">
        <f>IF(H45,Wh_hp,'2024'!Maxi_hp)</f>
        <v>26.210661022055326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5.2143691375410861E-2</v>
      </c>
      <c r="M45" s="957"/>
      <c r="N45" s="957"/>
      <c r="O45" s="48">
        <f>IF(t&lt;Tnet,'2024'!Resal+('2024'!Salim-'2024'!Resal)*(1-EXP(('2024'!Tnet-t)/('2024'!Tau_j))),Resal+(Salim-Resal)*(1-EXP((Tnet-t)/(Tau_j))))*Salcycl</f>
        <v>4.1683538500834207E-2</v>
      </c>
      <c r="P45" s="169">
        <f>(INDEX(Models!$BJ45:$BT45,,T45)*(1-R45)+INDEX(Models!$BJ45:$BT45,,T45+1)*R45-ERP_i)*Q45*Ramure*Pc/MaxiM</f>
        <v>4.6931361417768729E-3</v>
      </c>
      <c r="Q45" s="305">
        <f t="shared" si="4"/>
        <v>0.7</v>
      </c>
      <c r="R45" s="177">
        <f t="shared" si="5"/>
        <v>0.50172585938615688</v>
      </c>
      <c r="S45" s="919">
        <f t="shared" si="6"/>
        <v>1</v>
      </c>
      <c r="T45" s="176">
        <f t="shared" si="7"/>
        <v>7</v>
      </c>
      <c r="U45" s="251">
        <f t="shared" si="8"/>
        <v>1.5017258593861569</v>
      </c>
      <c r="V45" s="383">
        <f t="shared" si="9"/>
        <v>33.15336719026395</v>
      </c>
      <c r="W45" s="402">
        <f t="shared" si="10"/>
        <v>6.789463701930055</v>
      </c>
      <c r="X45" s="157">
        <f t="shared" si="11"/>
        <v>45688</v>
      </c>
      <c r="Y45" s="385">
        <f t="shared" si="12"/>
        <v>6.5641971574651254</v>
      </c>
      <c r="Z45" s="385">
        <f t="shared" si="22"/>
        <v>6.925308295927544</v>
      </c>
      <c r="AA45" s="386">
        <f t="shared" si="13"/>
        <v>7.4745322068722242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7.3479369108840509E-2</v>
      </c>
      <c r="AD45" s="231">
        <f>(INDEX(Models!$BJ45:$BT45,,AH45)*(1-AF45)+INDEX(Models!$BJ45:$BT45,,AH45+1)*AF45-ERP_i)*AE45*Ramure*Pc/MaxiM</f>
        <v>4.6931361417768729E-3</v>
      </c>
      <c r="AE45" s="305">
        <f t="shared" si="15"/>
        <v>0.7</v>
      </c>
      <c r="AF45" s="177">
        <f t="shared" si="23"/>
        <v>0.50172585938615688</v>
      </c>
      <c r="AG45" s="919">
        <f t="shared" si="24"/>
        <v>1</v>
      </c>
      <c r="AH45" s="176">
        <f t="shared" si="16"/>
        <v>7</v>
      </c>
      <c r="AI45" s="225">
        <f t="shared" si="17"/>
        <v>1.5017258593861569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1090">
        <f>IF(t&gt;Tmaj,'2024'!Wh/'2024'!Env_an*'2025'!Env_an,0.001*'[4]mon-tableau'!$B$35)</f>
        <v>14.0492792516186</v>
      </c>
      <c r="C46" s="953"/>
      <c r="D46" s="393">
        <f t="shared" si="0"/>
        <v>14.822486115029024</v>
      </c>
      <c r="E46" s="385">
        <f t="shared" si="1"/>
        <v>15.468909479202296</v>
      </c>
      <c r="F46" s="385">
        <f t="shared" si="2"/>
        <v>15.480681707812476</v>
      </c>
      <c r="G46" s="110">
        <f t="shared" si="21"/>
        <v>0.41814249413100252</v>
      </c>
      <c r="H46" s="412" t="b">
        <f>Wh_hp&gt;='2024'!Maxi_hp</f>
        <v>0</v>
      </c>
      <c r="I46" s="390">
        <f>IF(H46,Wh_hp,'2024'!Maxi_hp)</f>
        <v>29.47119267155292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5.2164451861178907E-2</v>
      </c>
      <c r="M46" s="957"/>
      <c r="N46" s="957"/>
      <c r="O46" s="48">
        <f>IF(t&lt;Tnet,'2024'!Resal+('2024'!Salim-'2024'!Resal)*(1-EXP(('2024'!Tnet-t)/('2024'!Tau_j))),Resal+(Salim-Resal)*(1-EXP((Tnet-t)/(Tau_j))))*Salcycl</f>
        <v>4.1788554328433876E-2</v>
      </c>
      <c r="P46" s="169">
        <f>(INDEX(Models!$BJ46:$BT46,,T46)*(1-R46)+INDEX(Models!$BJ46:$BT46,,T46+1)*R46-ERP_i)*Q46*Ramure*Pc/MaxiM</f>
        <v>4.4473875560710049E-3</v>
      </c>
      <c r="Q46" s="305">
        <f t="shared" si="4"/>
        <v>0.7</v>
      </c>
      <c r="R46" s="177">
        <f t="shared" si="5"/>
        <v>0.50182540797659736</v>
      </c>
      <c r="S46" s="919">
        <f t="shared" si="6"/>
        <v>1</v>
      </c>
      <c r="T46" s="176">
        <f t="shared" si="7"/>
        <v>7</v>
      </c>
      <c r="U46" s="251">
        <f t="shared" si="8"/>
        <v>1.5018254079765974</v>
      </c>
      <c r="V46" s="383">
        <f t="shared" si="9"/>
        <v>33.475289313817704</v>
      </c>
      <c r="W46" s="402">
        <f t="shared" si="10"/>
        <v>14.0492792516186</v>
      </c>
      <c r="X46" s="157">
        <f t="shared" si="11"/>
        <v>45689</v>
      </c>
      <c r="Y46" s="385">
        <f t="shared" si="12"/>
        <v>13.583585300028254</v>
      </c>
      <c r="Z46" s="385">
        <f t="shared" si="22"/>
        <v>14.331162538376105</v>
      </c>
      <c r="AA46" s="386">
        <f t="shared" si="13"/>
        <v>15.468909479202296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7.3550559097645116E-2</v>
      </c>
      <c r="AD46" s="231">
        <f>(INDEX(Models!$BJ46:$BT46,,AH46)*(1-AF46)+INDEX(Models!$BJ46:$BT46,,AH46+1)*AF46-ERP_i)*AE46*Ramure*Pc/MaxiM</f>
        <v>4.4473875560710049E-3</v>
      </c>
      <c r="AE46" s="305">
        <f t="shared" si="15"/>
        <v>0.7</v>
      </c>
      <c r="AF46" s="177">
        <f t="shared" si="23"/>
        <v>0.50182540797659736</v>
      </c>
      <c r="AG46" s="919">
        <f t="shared" si="24"/>
        <v>1</v>
      </c>
      <c r="AH46" s="176">
        <f t="shared" si="16"/>
        <v>7</v>
      </c>
      <c r="AI46" s="225">
        <f t="shared" si="17"/>
        <v>1.5018254079765974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1090">
        <f>IF(t&gt;Tmaj,'2024'!Wh/'2024'!Env_an*'2025'!Env_an,0.001*'[4]mon-tableau'!$B$36)</f>
        <v>5.2880287576890206</v>
      </c>
      <c r="C47" s="953"/>
      <c r="D47" s="393">
        <f t="shared" si="0"/>
        <v>5.5791794177912761</v>
      </c>
      <c r="E47" s="385">
        <f t="shared" si="1"/>
        <v>5.8231308682253955</v>
      </c>
      <c r="F47" s="385">
        <f t="shared" si="2"/>
        <v>5.8231308682253955</v>
      </c>
      <c r="G47" s="110">
        <f t="shared" si="21"/>
        <v>0.15580692044408173</v>
      </c>
      <c r="H47" s="412" t="b">
        <f>Wh_hp&gt;='2024'!Maxi_hp</f>
        <v>0</v>
      </c>
      <c r="I47" s="390">
        <f>IF(H47,Wh_hp,'2024'!Maxi_hp)</f>
        <v>31.55257955620117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5.2185211892238903E-2</v>
      </c>
      <c r="M47" s="957"/>
      <c r="N47" s="957"/>
      <c r="O47" s="48">
        <f>IF(t&lt;Tnet,'2024'!Resal+('2024'!Salim-'2024'!Resal)*(1-EXP(('2024'!Tnet-t)/('2024'!Tau_j))),Resal+(Salim-Resal)*(1-EXP((Tnet-t)/(Tau_j))))*Salcycl</f>
        <v>4.1893520162026424E-2</v>
      </c>
      <c r="P47" s="169">
        <f>(INDEX(Models!$BJ47:$BT47,,T47)*(1-R47)+INDEX(Models!$BJ47:$BT47,,T47+1)*R47-ERP_i)*Q47*Ramure*Pc/MaxiM</f>
        <v>4.2163722310063333E-3</v>
      </c>
      <c r="Q47" s="305">
        <f t="shared" si="4"/>
        <v>0.7</v>
      </c>
      <c r="R47" s="177">
        <f t="shared" si="5"/>
        <v>0.50192909054184209</v>
      </c>
      <c r="S47" s="919">
        <f t="shared" si="6"/>
        <v>1</v>
      </c>
      <c r="T47" s="176">
        <f t="shared" si="7"/>
        <v>7</v>
      </c>
      <c r="U47" s="251">
        <f t="shared" si="8"/>
        <v>1.5019290905418421</v>
      </c>
      <c r="V47" s="383">
        <f t="shared" si="9"/>
        <v>33.796524859550004</v>
      </c>
      <c r="W47" s="402">
        <f t="shared" si="10"/>
        <v>5.2880287576890206</v>
      </c>
      <c r="X47" s="157">
        <f t="shared" si="11"/>
        <v>45690</v>
      </c>
      <c r="Y47" s="385">
        <f t="shared" si="12"/>
        <v>5.1129125656556118</v>
      </c>
      <c r="Z47" s="385">
        <f t="shared" si="22"/>
        <v>5.3944215998814986</v>
      </c>
      <c r="AA47" s="386">
        <f t="shared" si="13"/>
        <v>5.8231308682253955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7.3621781485832649E-2</v>
      </c>
      <c r="AD47" s="231">
        <f>(INDEX(Models!$BJ47:$BT47,,AH47)*(1-AF47)+INDEX(Models!$BJ47:$BT47,,AH47+1)*AF47-ERP_i)*AE47*Ramure*Pc/MaxiM</f>
        <v>4.2163722310063333E-3</v>
      </c>
      <c r="AE47" s="305">
        <f t="shared" si="15"/>
        <v>0.7</v>
      </c>
      <c r="AF47" s="177">
        <f t="shared" si="23"/>
        <v>0.50192909054184209</v>
      </c>
      <c r="AG47" s="919">
        <f t="shared" si="24"/>
        <v>1</v>
      </c>
      <c r="AH47" s="176">
        <f t="shared" si="16"/>
        <v>7</v>
      </c>
      <c r="AI47" s="225">
        <f t="shared" si="17"/>
        <v>1.5019290905418421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1090">
        <f>IF(t&gt;Tmaj,'2024'!Wh/'2024'!Env_an*'2025'!Env_an,0.001*'[4]mon-tableau'!$B$37)</f>
        <v>11.56830989692914</v>
      </c>
      <c r="C48" s="953"/>
      <c r="D48" s="393">
        <f t="shared" si="0"/>
        <v>12.205510425987979</v>
      </c>
      <c r="E48" s="385">
        <f t="shared" si="1"/>
        <v>12.740595487892318</v>
      </c>
      <c r="F48" s="385">
        <f t="shared" si="2"/>
        <v>12.743441681107278</v>
      </c>
      <c r="G48" s="110">
        <f t="shared" si="21"/>
        <v>0.33780670168147603</v>
      </c>
      <c r="H48" s="412" t="b">
        <f>Wh_hp&gt;='2024'!Maxi_hp</f>
        <v>0</v>
      </c>
      <c r="I48" s="390">
        <f>IF(H48,Wh_hp,'2024'!Maxi_hp)</f>
        <v>28.70079034414249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5.2205971468600954E-2</v>
      </c>
      <c r="M48" s="957"/>
      <c r="N48" s="957"/>
      <c r="O48" s="48">
        <f>IF(t&lt;Tnet,'2024'!Resal+('2024'!Salim-'2024'!Resal)*(1-EXP(('2024'!Tnet-t)/('2024'!Tau_j))),Resal+(Salim-Resal)*(1-EXP((Tnet-t)/(Tau_j))))*Salcycl</f>
        <v>4.1998434250019333E-2</v>
      </c>
      <c r="P48" s="169">
        <f>(INDEX(Models!$BJ48:$BT48,,T48)*(1-R48)+INDEX(Models!$BJ48:$BT48,,T48+1)*R48-ERP_i)*Q48*Ramure*Pc/MaxiM</f>
        <v>3.9997920728881689E-3</v>
      </c>
      <c r="Q48" s="305">
        <f t="shared" si="4"/>
        <v>0.7</v>
      </c>
      <c r="R48" s="177">
        <f t="shared" si="5"/>
        <v>0.50203707691647526</v>
      </c>
      <c r="S48" s="919">
        <f t="shared" si="6"/>
        <v>1</v>
      </c>
      <c r="T48" s="176">
        <f t="shared" si="7"/>
        <v>7</v>
      </c>
      <c r="U48" s="251">
        <f t="shared" si="8"/>
        <v>1.5020370769164753</v>
      </c>
      <c r="V48" s="383">
        <f t="shared" si="9"/>
        <v>34.115998819412312</v>
      </c>
      <c r="W48" s="402">
        <f t="shared" si="10"/>
        <v>11.56830989692914</v>
      </c>
      <c r="X48" s="157">
        <f t="shared" si="11"/>
        <v>45691</v>
      </c>
      <c r="Y48" s="385">
        <f t="shared" si="12"/>
        <v>11.185583032364457</v>
      </c>
      <c r="Z48" s="385">
        <f t="shared" si="22"/>
        <v>11.80170236955011</v>
      </c>
      <c r="AA48" s="386">
        <f t="shared" si="13"/>
        <v>12.740595487892318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7.3693032577202514E-2</v>
      </c>
      <c r="AD48" s="231">
        <f>(INDEX(Models!$BJ48:$BT48,,AH48)*(1-AF48)+INDEX(Models!$BJ48:$BT48,,AH48+1)*AF48-ERP_i)*AE48*Ramure*Pc/MaxiM</f>
        <v>3.9997920728881689E-3</v>
      </c>
      <c r="AE48" s="305">
        <f t="shared" si="15"/>
        <v>0.7</v>
      </c>
      <c r="AF48" s="177">
        <f t="shared" si="23"/>
        <v>0.50203707691647526</v>
      </c>
      <c r="AG48" s="919">
        <f t="shared" si="24"/>
        <v>1</v>
      </c>
      <c r="AH48" s="176">
        <f t="shared" si="16"/>
        <v>7</v>
      </c>
      <c r="AI48" s="225">
        <f t="shared" si="17"/>
        <v>1.5020370769164753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1090">
        <f>IF(t&gt;Tmaj,'2024'!Wh/'2024'!Env_an*'2025'!Env_an,0.001*'[4]mon-tableau'!$B$38)</f>
        <v>11.096479869767679</v>
      </c>
      <c r="C49" s="953"/>
      <c r="D49" s="393">
        <f t="shared" si="0"/>
        <v>11.707947700063949</v>
      </c>
      <c r="E49" s="385">
        <f t="shared" si="1"/>
        <v>12.222557642728498</v>
      </c>
      <c r="F49" s="385">
        <f t="shared" si="2"/>
        <v>12.224034179474717</v>
      </c>
      <c r="G49" s="110">
        <f t="shared" si="21"/>
        <v>0.3210813711122299</v>
      </c>
      <c r="H49" s="412" t="b">
        <f>Wh_hp&gt;='2024'!Maxi_hp</f>
        <v>0</v>
      </c>
      <c r="I49" s="390">
        <f>IF(H49,Wh_hp,'2024'!Maxi_hp)</f>
        <v>29.923583051666235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5.222673059027505E-2</v>
      </c>
      <c r="M49" s="957"/>
      <c r="N49" s="957"/>
      <c r="O49" s="48">
        <f>IF(t&lt;Tnet,'2024'!Resal+('2024'!Salim-'2024'!Resal)*(1-EXP(('2024'!Tnet-t)/('2024'!Tau_j))),Resal+(Salim-Resal)*(1-EXP((Tnet-t)/(Tau_j))))*Salcycl</f>
        <v>4.2103294392782251E-2</v>
      </c>
      <c r="P49" s="169">
        <f>(INDEX(Models!$BJ49:$BT49,,T49)*(1-R49)+INDEX(Models!$BJ49:$BT49,,T49+1)*R49-ERP_i)*Q49*Ramure*Pc/MaxiM</f>
        <v>3.7973347913252803E-3</v>
      </c>
      <c r="Q49" s="305">
        <f t="shared" si="4"/>
        <v>0.7</v>
      </c>
      <c r="R49" s="177">
        <f t="shared" si="5"/>
        <v>0.5021495437558412</v>
      </c>
      <c r="S49" s="919">
        <f t="shared" si="6"/>
        <v>1</v>
      </c>
      <c r="T49" s="176">
        <f t="shared" si="7"/>
        <v>7</v>
      </c>
      <c r="U49" s="251">
        <f t="shared" si="8"/>
        <v>1.5021495437558412</v>
      </c>
      <c r="V49" s="383">
        <f t="shared" si="9"/>
        <v>34.432636791870962</v>
      </c>
      <c r="W49" s="402">
        <f t="shared" si="10"/>
        <v>11.096479869767679</v>
      </c>
      <c r="X49" s="157">
        <f t="shared" si="11"/>
        <v>45692</v>
      </c>
      <c r="Y49" s="385">
        <f t="shared" si="12"/>
        <v>10.729711932088806</v>
      </c>
      <c r="Z49" s="385">
        <f t="shared" si="22"/>
        <v>11.320969137240272</v>
      </c>
      <c r="AA49" s="386">
        <f t="shared" si="13"/>
        <v>12.222557642728498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7.376430791673165E-2</v>
      </c>
      <c r="AD49" s="231">
        <f>(INDEX(Models!$BJ49:$BT49,,AH49)*(1-AF49)+INDEX(Models!$BJ49:$BT49,,AH49+1)*AF49-ERP_i)*AE49*Ramure*Pc/MaxiM</f>
        <v>3.7973347913252803E-3</v>
      </c>
      <c r="AE49" s="305">
        <f t="shared" si="15"/>
        <v>0.7</v>
      </c>
      <c r="AF49" s="177">
        <f t="shared" si="23"/>
        <v>0.5021495437558412</v>
      </c>
      <c r="AG49" s="919">
        <f t="shared" si="24"/>
        <v>1</v>
      </c>
      <c r="AH49" s="176">
        <f t="shared" si="16"/>
        <v>7</v>
      </c>
      <c r="AI49" s="225">
        <f t="shared" si="17"/>
        <v>1.5021495437558412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1090">
        <f>IF(t&gt;Tmaj,'2024'!Wh/'2024'!Env_an*'2025'!Env_an,0.001*'[4]mon-tableau'!$B$39)</f>
        <v>10.48537162486234</v>
      </c>
      <c r="C50" s="953"/>
      <c r="D50" s="393">
        <f t="shared" si="0"/>
        <v>11.063406855704587</v>
      </c>
      <c r="E50" s="385">
        <f t="shared" si="1"/>
        <v>11.550950506239346</v>
      </c>
      <c r="F50" s="385">
        <f t="shared" si="2"/>
        <v>11.551056357811374</v>
      </c>
      <c r="G50" s="110">
        <f t="shared" si="21"/>
        <v>0.30069130177795583</v>
      </c>
      <c r="H50" s="412" t="b">
        <f>Wh_hp&gt;='2024'!Maxi_hp</f>
        <v>0</v>
      </c>
      <c r="I50" s="390">
        <f>IF(H50,Wh_hp,'2024'!Maxi_hp)</f>
        <v>37.591562892350396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5.2247489257271185E-2</v>
      </c>
      <c r="M50" s="957"/>
      <c r="N50" s="957"/>
      <c r="O50" s="48">
        <f>IF(t&lt;Tnet,'2024'!Resal+('2024'!Salim-'2024'!Resal)*(1-EXP(('2024'!Tnet-t)/('2024'!Tau_j))),Resal+(Salim-Resal)*(1-EXP((Tnet-t)/(Tau_j))))*Salcycl</f>
        <v>4.2208097963142288E-2</v>
      </c>
      <c r="P50" s="169">
        <f>(INDEX(Models!$BJ50:$BT50,,T50)*(1-R50)+INDEX(Models!$BJ50:$BT50,,T50+1)*R50-ERP_i)*Q50*Ramure*Pc/MaxiM</f>
        <v>3.6086789429695563E-3</v>
      </c>
      <c r="Q50" s="305">
        <f t="shared" si="4"/>
        <v>0.7</v>
      </c>
      <c r="R50" s="177">
        <f t="shared" si="5"/>
        <v>0.50226667479662201</v>
      </c>
      <c r="S50" s="919">
        <f t="shared" si="6"/>
        <v>1</v>
      </c>
      <c r="T50" s="176">
        <f t="shared" si="7"/>
        <v>7</v>
      </c>
      <c r="U50" s="251">
        <f t="shared" si="8"/>
        <v>1.502266674796622</v>
      </c>
      <c r="V50" s="383">
        <f t="shared" si="9"/>
        <v>34.745364974906927</v>
      </c>
      <c r="W50" s="402">
        <f t="shared" si="10"/>
        <v>10.48537162486234</v>
      </c>
      <c r="X50" s="157">
        <f t="shared" si="11"/>
        <v>45693</v>
      </c>
      <c r="Y50" s="385">
        <f t="shared" si="12"/>
        <v>10.139131344307499</v>
      </c>
      <c r="Z50" s="385">
        <f t="shared" si="22"/>
        <v>10.698079118104079</v>
      </c>
      <c r="AA50" s="386">
        <f t="shared" si="13"/>
        <v>11.550950506239346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7.3835602331996944E-2</v>
      </c>
      <c r="AD50" s="231">
        <f>(INDEX(Models!$BJ50:$BT50,,AH50)*(1-AF50)+INDEX(Models!$BJ50:$BT50,,AH50+1)*AF50-ERP_i)*AE50*Ramure*Pc/MaxiM</f>
        <v>3.6086789429695563E-3</v>
      </c>
      <c r="AE50" s="305">
        <f t="shared" si="15"/>
        <v>0.7</v>
      </c>
      <c r="AF50" s="177">
        <f t="shared" si="23"/>
        <v>0.50226667479662201</v>
      </c>
      <c r="AG50" s="919">
        <f t="shared" si="24"/>
        <v>1</v>
      </c>
      <c r="AH50" s="176">
        <f t="shared" si="16"/>
        <v>7</v>
      </c>
      <c r="AI50" s="225">
        <f t="shared" si="17"/>
        <v>1.502266674796622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1090">
        <f>IF(t&gt;Tmaj,'2024'!Wh/'2024'!Env_an*'2025'!Env_an,0.001*'[4]mon-tableau'!$B$40)</f>
        <v>23.141717558813632</v>
      </c>
      <c r="C51" s="953"/>
      <c r="D51" s="393">
        <f t="shared" si="0"/>
        <v>24.418003825477296</v>
      </c>
      <c r="E51" s="385">
        <f t="shared" si="1"/>
        <v>25.496847921390312</v>
      </c>
      <c r="F51" s="385">
        <f t="shared" si="2"/>
        <v>25.541960070009047</v>
      </c>
      <c r="G51" s="110">
        <f t="shared" si="21"/>
        <v>0.65901725295242664</v>
      </c>
      <c r="H51" s="412" t="b">
        <f>Wh_hp&gt;='2024'!Maxi_hp</f>
        <v>0</v>
      </c>
      <c r="I51" s="390">
        <f>IF(H51,Wh_hp,'2024'!Maxi_hp)</f>
        <v>39.747861870771352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5.2268247469599127E-2</v>
      </c>
      <c r="M51" s="957"/>
      <c r="N51" s="957"/>
      <c r="O51" s="48">
        <f>IF(t&lt;Tnet,'2024'!Resal+('2024'!Salim-'2024'!Resal)*(1-EXP(('2024'!Tnet-t)/('2024'!Tau_j))),Resal+(Salim-Resal)*(1-EXP((Tnet-t)/(Tau_j))))*Salcycl</f>
        <v>4.2312841933999659E-2</v>
      </c>
      <c r="P51" s="169">
        <f>(INDEX(Models!$BJ51:$BT51,,T51)*(1-R51)+INDEX(Models!$BJ51:$BT51,,T51+1)*R51-ERP_i)*Q51*Ramure*Pc/MaxiM</f>
        <v>3.4331327763635149E-3</v>
      </c>
      <c r="Q51" s="305">
        <f t="shared" si="4"/>
        <v>0.7</v>
      </c>
      <c r="R51" s="177">
        <f t="shared" si="5"/>
        <v>0.50238866112621605</v>
      </c>
      <c r="S51" s="919">
        <f t="shared" si="6"/>
        <v>1</v>
      </c>
      <c r="T51" s="176">
        <f t="shared" si="7"/>
        <v>7</v>
      </c>
      <c r="U51" s="251">
        <f t="shared" si="8"/>
        <v>1.5023886611262161</v>
      </c>
      <c r="V51" s="383">
        <f t="shared" si="9"/>
        <v>35.056856947792056</v>
      </c>
      <c r="W51" s="402">
        <f t="shared" si="10"/>
        <v>23.141717558813632</v>
      </c>
      <c r="X51" s="157">
        <f t="shared" si="11"/>
        <v>45694</v>
      </c>
      <c r="Y51" s="385">
        <f t="shared" si="12"/>
        <v>22.378273052693356</v>
      </c>
      <c r="Z51" s="385">
        <f t="shared" si="22"/>
        <v>23.612454677121853</v>
      </c>
      <c r="AA51" s="386">
        <f t="shared" si="13"/>
        <v>25.496847921390312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7.3906909986609162E-2</v>
      </c>
      <c r="AD51" s="231">
        <f>(INDEX(Models!$BJ51:$BT51,,AH51)*(1-AF51)+INDEX(Models!$BJ51:$BT51,,AH51+1)*AF51-ERP_i)*AE51*Ramure*Pc/MaxiM</f>
        <v>3.4331327763635149E-3</v>
      </c>
      <c r="AE51" s="305">
        <f t="shared" si="15"/>
        <v>0.7</v>
      </c>
      <c r="AF51" s="177">
        <f t="shared" si="23"/>
        <v>0.50238866112621605</v>
      </c>
      <c r="AG51" s="919">
        <f t="shared" si="24"/>
        <v>1</v>
      </c>
      <c r="AH51" s="176">
        <f t="shared" si="16"/>
        <v>7</v>
      </c>
      <c r="AI51" s="225">
        <f t="shared" si="17"/>
        <v>1.5023886611262161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1090">
        <f>IF(t&gt;Tmaj,'2024'!Wh/'2024'!Env_an*'2025'!Env_an,0.001*'[4]mon-tableau'!$B$41)</f>
        <v>9.1149365480382372</v>
      </c>
      <c r="C52" s="953"/>
      <c r="D52" s="393">
        <f t="shared" si="0"/>
        <v>9.6178440456144276</v>
      </c>
      <c r="E52" s="385">
        <f t="shared" si="1"/>
        <v>10.043880580259961</v>
      </c>
      <c r="F52" s="385">
        <f t="shared" si="2"/>
        <v>10.043880580259961</v>
      </c>
      <c r="G52" s="110">
        <f t="shared" si="21"/>
        <v>0.25685849852707082</v>
      </c>
      <c r="H52" s="412" t="b">
        <f>Wh_hp&gt;='2024'!Maxi_hp</f>
        <v>0</v>
      </c>
      <c r="I52" s="390">
        <f>IF(H52,Wh_hp,'2024'!Maxi_hp)</f>
        <v>25.290736794333089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5.2289005227268981E-2</v>
      </c>
      <c r="M52" s="957"/>
      <c r="N52" s="957"/>
      <c r="O52" s="48">
        <f>IF(t&lt;Tnet,'2024'!Resal+('2024'!Salim-'2024'!Resal)*(1-EXP(('2024'!Tnet-t)/('2024'!Tau_j))),Resal+(Salim-Resal)*(1-EXP((Tnet-t)/(Tau_j))))*Salcycl</f>
        <v>4.2417522912693399E-2</v>
      </c>
      <c r="P52" s="169">
        <f>(INDEX(Models!$BJ52:$BT52,,T52)*(1-R52)+INDEX(Models!$BJ52:$BT52,,T52+1)*R52-ERP_i)*Q52*Ramure*Pc/MaxiM</f>
        <v>3.2757304516568162E-3</v>
      </c>
      <c r="Q52" s="305">
        <f t="shared" si="4"/>
        <v>0.7</v>
      </c>
      <c r="R52" s="177">
        <f t="shared" si="5"/>
        <v>0.50251570146111768</v>
      </c>
      <c r="S52" s="919">
        <f t="shared" si="6"/>
        <v>1</v>
      </c>
      <c r="T52" s="176">
        <f t="shared" si="7"/>
        <v>7</v>
      </c>
      <c r="U52" s="251">
        <f t="shared" si="8"/>
        <v>1.5025157014611177</v>
      </c>
      <c r="V52" s="383">
        <f t="shared" si="9"/>
        <v>35.369974226744979</v>
      </c>
      <c r="W52" s="402">
        <f t="shared" si="10"/>
        <v>9.1149365480382372</v>
      </c>
      <c r="X52" s="157">
        <f t="shared" si="11"/>
        <v>45695</v>
      </c>
      <c r="Y52" s="385">
        <f t="shared" si="12"/>
        <v>8.8145198228360666</v>
      </c>
      <c r="Z52" s="385">
        <f t="shared" si="22"/>
        <v>9.3008521283958103</v>
      </c>
      <c r="AA52" s="386">
        <f t="shared" si="13"/>
        <v>10.043880580259961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7.397822444489062E-2</v>
      </c>
      <c r="AD52" s="231">
        <f>(INDEX(Models!$BJ52:$BT52,,AH52)*(1-AF52)+INDEX(Models!$BJ52:$BT52,,AH52+1)*AF52-ERP_i)*AE52*Ramure*Pc/MaxiM</f>
        <v>3.2757304516568162E-3</v>
      </c>
      <c r="AE52" s="305">
        <f t="shared" si="15"/>
        <v>0.7</v>
      </c>
      <c r="AF52" s="177">
        <f t="shared" si="23"/>
        <v>0.50251570146111768</v>
      </c>
      <c r="AG52" s="919">
        <f t="shared" si="24"/>
        <v>1</v>
      </c>
      <c r="AH52" s="176">
        <f t="shared" si="16"/>
        <v>7</v>
      </c>
      <c r="AI52" s="225">
        <f t="shared" si="17"/>
        <v>1.5025157014611177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1090">
        <f>IF(t&gt;Tmaj,'2024'!Wh/'2024'!Env_an*'2025'!Env_an,0.001*'[4]mon-tableau'!$B$42)</f>
        <v>35.209085161341548</v>
      </c>
      <c r="C53" s="953"/>
      <c r="D53" s="393">
        <f t="shared" si="0"/>
        <v>37.152524917158829</v>
      </c>
      <c r="E53" s="385">
        <f t="shared" si="1"/>
        <v>38.802489707491581</v>
      </c>
      <c r="F53" s="385">
        <f t="shared" si="2"/>
        <v>38.922226886439994</v>
      </c>
      <c r="G53" s="110">
        <f t="shared" si="21"/>
        <v>0.98662566501218152</v>
      </c>
      <c r="H53" s="412" t="b">
        <f>Wh_hp&gt;='2024'!Maxi_hp</f>
        <v>0</v>
      </c>
      <c r="I53" s="390">
        <f>IF(H53,Wh_hp,'2024'!Maxi_hp)</f>
        <v>38.92391427435124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5.2309762530290627E-2</v>
      </c>
      <c r="M53" s="957"/>
      <c r="N53" s="957"/>
      <c r="O53" s="48">
        <f>IF(t&lt;Tnet,'2024'!Resal+('2024'!Salim-'2024'!Resal)*(1-EXP(('2024'!Tnet-t)/('2024'!Tau_j))),Resal+(Salim-Resal)*(1-EXP((Tnet-t)/(Tau_j))))*Salcycl</f>
        <v>4.2522137181681879E-2</v>
      </c>
      <c r="P53" s="169">
        <f>(INDEX(Models!$BJ53:$BT53,,T53)*(1-R53)+INDEX(Models!$BJ53:$BT53,,T53+1)*R53-ERP_i)*Q53*Ramure*Pc/MaxiM</f>
        <v>3.1359707853621786E-3</v>
      </c>
      <c r="Q53" s="305">
        <f t="shared" si="4"/>
        <v>0.7</v>
      </c>
      <c r="R53" s="177">
        <f t="shared" si="5"/>
        <v>0.50264800243448393</v>
      </c>
      <c r="S53" s="919">
        <f t="shared" si="6"/>
        <v>1</v>
      </c>
      <c r="T53" s="176">
        <f t="shared" si="7"/>
        <v>7</v>
      </c>
      <c r="U53" s="251">
        <f t="shared" si="8"/>
        <v>1.5026480024344839</v>
      </c>
      <c r="V53" s="383">
        <f t="shared" si="9"/>
        <v>35.684231251524871</v>
      </c>
      <c r="W53" s="402">
        <f t="shared" si="10"/>
        <v>35.209085161341548</v>
      </c>
      <c r="X53" s="157">
        <f t="shared" si="11"/>
        <v>45696</v>
      </c>
      <c r="Y53" s="385">
        <f t="shared" si="12"/>
        <v>34.049736199101254</v>
      </c>
      <c r="Z53" s="385">
        <f t="shared" si="22"/>
        <v>35.929183242419519</v>
      </c>
      <c r="AA53" s="386">
        <f t="shared" si="13"/>
        <v>38.802489707491581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7.4049538746925228E-2</v>
      </c>
      <c r="AD53" s="231">
        <f>(INDEX(Models!$BJ53:$BT53,,AH53)*(1-AF53)+INDEX(Models!$BJ53:$BT53,,AH53+1)*AF53-ERP_i)*AE53*Ramure*Pc/MaxiM</f>
        <v>3.1359707853621786E-3</v>
      </c>
      <c r="AE53" s="305">
        <f t="shared" si="15"/>
        <v>0.7</v>
      </c>
      <c r="AF53" s="177">
        <f t="shared" si="23"/>
        <v>0.50264800243448393</v>
      </c>
      <c r="AG53" s="919">
        <f t="shared" si="24"/>
        <v>1</v>
      </c>
      <c r="AH53" s="176">
        <f t="shared" si="16"/>
        <v>7</v>
      </c>
      <c r="AI53" s="225">
        <f t="shared" si="17"/>
        <v>1.5026480024344839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1090">
        <f>IF(t&gt;Tmaj,'2024'!Wh/'2024'!Env_an*'2025'!Env_an,0.001*'[4]mon-tableau'!$B$43)</f>
        <v>35.290663571265419</v>
      </c>
      <c r="C54" s="953"/>
      <c r="D54" s="393">
        <f t="shared" si="0"/>
        <v>37.239421858481293</v>
      </c>
      <c r="E54" s="385">
        <f t="shared" si="1"/>
        <v>38.89749286878142</v>
      </c>
      <c r="F54" s="385">
        <f t="shared" si="2"/>
        <v>39.011747903403837</v>
      </c>
      <c r="G54" s="110">
        <f t="shared" si="21"/>
        <v>0.98023635363744488</v>
      </c>
      <c r="H54" s="412" t="b">
        <f>Wh_hp&gt;='2024'!Maxi_hp</f>
        <v>0</v>
      </c>
      <c r="I54" s="390">
        <f>IF(H54,Wh_hp,'2024'!Maxi_hp)</f>
        <v>39.014114888067162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5.2330519378674056E-2</v>
      </c>
      <c r="M54" s="957"/>
      <c r="N54" s="957"/>
      <c r="O54" s="48">
        <f>IF(t&lt;Tnet,'2024'!Resal+('2024'!Salim-'2024'!Resal)*(1-EXP(('2024'!Tnet-t)/('2024'!Tau_j))),Resal+(Salim-Resal)*(1-EXP((Tnet-t)/(Tau_j))))*Salcycl</f>
        <v>4.262668074504284E-2</v>
      </c>
      <c r="P54" s="169">
        <f>(INDEX(Models!$BJ54:$BT54,,T54)*(1-R54)+INDEX(Models!$BJ54:$BT54,,T54+1)*R54-ERP_i)*Q54*Ramure*Pc/MaxiM</f>
        <v>3.0134567326022973E-3</v>
      </c>
      <c r="Q54" s="305">
        <f t="shared" si="4"/>
        <v>0.7</v>
      </c>
      <c r="R54" s="177">
        <f t="shared" si="5"/>
        <v>0.50278577889307496</v>
      </c>
      <c r="S54" s="919">
        <f t="shared" si="6"/>
        <v>1</v>
      </c>
      <c r="T54" s="176">
        <f t="shared" si="7"/>
        <v>7</v>
      </c>
      <c r="U54" s="251">
        <f t="shared" si="8"/>
        <v>1.502785778893075</v>
      </c>
      <c r="V54" s="383">
        <f t="shared" si="9"/>
        <v>35.999139124356411</v>
      </c>
      <c r="W54" s="402">
        <f t="shared" si="10"/>
        <v>35.290663571265419</v>
      </c>
      <c r="X54" s="157">
        <f t="shared" si="11"/>
        <v>45697</v>
      </c>
      <c r="Y54" s="385">
        <f t="shared" si="12"/>
        <v>34.12972671390262</v>
      </c>
      <c r="Z54" s="385">
        <f t="shared" si="22"/>
        <v>36.014377809788655</v>
      </c>
      <c r="AA54" s="386">
        <f t="shared" si="13"/>
        <v>38.89749286878142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7.4120845493019255E-2</v>
      </c>
      <c r="AD54" s="231">
        <f>(INDEX(Models!$BJ54:$BT54,,AH54)*(1-AF54)+INDEX(Models!$BJ54:$BT54,,AH54+1)*AF54-ERP_i)*AE54*Ramure*Pc/MaxiM</f>
        <v>3.0134567326022973E-3</v>
      </c>
      <c r="AE54" s="305">
        <f t="shared" si="15"/>
        <v>0.7</v>
      </c>
      <c r="AF54" s="177">
        <f t="shared" si="23"/>
        <v>0.50278577889307496</v>
      </c>
      <c r="AG54" s="919">
        <f t="shared" si="24"/>
        <v>1</v>
      </c>
      <c r="AH54" s="176">
        <f t="shared" si="16"/>
        <v>7</v>
      </c>
      <c r="AI54" s="225">
        <f t="shared" si="17"/>
        <v>1.502785778893075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1090">
        <f>IF(t&gt;Tmaj,'2024'!Wh/'2024'!Env_an*'2025'!Env_an,0.001*'[4]mon-tableau'!$B$44)</f>
        <v>32.792573604735672</v>
      </c>
      <c r="C55" s="953"/>
      <c r="D55" s="393">
        <f t="shared" si="0"/>
        <v>34.604144728274633</v>
      </c>
      <c r="E55" s="385">
        <f t="shared" si="1"/>
        <v>36.148825594681426</v>
      </c>
      <c r="F55" s="385">
        <f t="shared" si="2"/>
        <v>36.239604154106594</v>
      </c>
      <c r="G55" s="110">
        <f t="shared" si="21"/>
        <v>0.90265851798800745</v>
      </c>
      <c r="H55" s="412" t="b">
        <f>Wh_hp&gt;='2024'!Maxi_hp</f>
        <v>0</v>
      </c>
      <c r="I55" s="390">
        <f>IF(H55,Wh_hp,'2024'!Maxi_hp)</f>
        <v>36.249913549485477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5.2351275772429262E-2</v>
      </c>
      <c r="M55" s="957"/>
      <c r="N55" s="957"/>
      <c r="O55" s="48">
        <f>IF(t&lt;Tnet,'2024'!Resal+('2024'!Salim-'2024'!Resal)*(1-EXP(('2024'!Tnet-t)/('2024'!Tau_j))),Resal+(Salim-Resal)*(1-EXP((Tnet-t)/(Tau_j))))*Salcycl</f>
        <v>4.2731149380246053E-2</v>
      </c>
      <c r="P55" s="169">
        <f>(INDEX(Models!$BJ55:$BT55,,T55)*(1-R55)+INDEX(Models!$BJ55:$BT55,,T55+1)*R55-ERP_i)*Q55*Ramure*Pc/MaxiM</f>
        <v>2.9077954716564729E-3</v>
      </c>
      <c r="Q55" s="305">
        <f t="shared" si="4"/>
        <v>0.7</v>
      </c>
      <c r="R55" s="177">
        <f t="shared" si="5"/>
        <v>0.50292925420373757</v>
      </c>
      <c r="S55" s="919">
        <f t="shared" si="6"/>
        <v>1</v>
      </c>
      <c r="T55" s="176">
        <f t="shared" si="7"/>
        <v>7</v>
      </c>
      <c r="U55" s="251">
        <f t="shared" si="8"/>
        <v>1.5029292542037376</v>
      </c>
      <c r="V55" s="383">
        <f t="shared" si="9"/>
        <v>36.314209177889495</v>
      </c>
      <c r="W55" s="402">
        <f t="shared" si="10"/>
        <v>32.792573604735672</v>
      </c>
      <c r="X55" s="157">
        <f t="shared" si="11"/>
        <v>45698</v>
      </c>
      <c r="Y55" s="385">
        <f t="shared" si="12"/>
        <v>31.714833793762804</v>
      </c>
      <c r="Z55" s="385">
        <f t="shared" si="22"/>
        <v>33.466866976066044</v>
      </c>
      <c r="AA55" s="386">
        <f t="shared" si="13"/>
        <v>36.148825594681426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7.4192136936531081E-2</v>
      </c>
      <c r="AD55" s="231">
        <f>(INDEX(Models!$BJ55:$BT55,,AH55)*(1-AF55)+INDEX(Models!$BJ55:$BT55,,AH55+1)*AF55-ERP_i)*AE55*Ramure*Pc/MaxiM</f>
        <v>2.9077954716564729E-3</v>
      </c>
      <c r="AE55" s="305">
        <f t="shared" si="15"/>
        <v>0.7</v>
      </c>
      <c r="AF55" s="177">
        <f t="shared" si="23"/>
        <v>0.50292925420373757</v>
      </c>
      <c r="AG55" s="919">
        <f t="shared" si="24"/>
        <v>1</v>
      </c>
      <c r="AH55" s="176">
        <f t="shared" si="16"/>
        <v>7</v>
      </c>
      <c r="AI55" s="225">
        <f t="shared" si="17"/>
        <v>1.5029292542037376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1090">
        <f>IF(t&gt;Tmaj,'2024'!Wh/'2024'!Env_an*'2025'!Env_an,0.001*'[4]mon-tableau'!$B$45)</f>
        <v>16.508692628849094</v>
      </c>
      <c r="C56" s="953"/>
      <c r="D56" s="393">
        <f t="shared" si="0"/>
        <v>17.421069429458068</v>
      </c>
      <c r="E56" s="385">
        <f t="shared" si="1"/>
        <v>18.200706496874037</v>
      </c>
      <c r="F56" s="385">
        <f t="shared" si="2"/>
        <v>18.211757519661468</v>
      </c>
      <c r="G56" s="110">
        <f t="shared" si="21"/>
        <v>0.44970318019760908</v>
      </c>
      <c r="H56" s="412" t="b">
        <f>Wh_hp&gt;='2024'!Maxi_hp</f>
        <v>0</v>
      </c>
      <c r="I56" s="390">
        <f>IF(H56,Wh_hp,'2024'!Maxi_hp)</f>
        <v>32.069160070810902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5.2372031711566236E-2</v>
      </c>
      <c r="M56" s="957"/>
      <c r="N56" s="957"/>
      <c r="O56" s="48">
        <f>IF(t&lt;Tnet,'2024'!Resal+('2024'!Salim-'2024'!Resal)*(1-EXP(('2024'!Tnet-t)/('2024'!Tau_j))),Resal+(Salim-Resal)*(1-EXP((Tnet-t)/(Tau_j))))*Salcycl</f>
        <v>4.2835538694603548E-2</v>
      </c>
      <c r="P56" s="169">
        <f>(INDEX(Models!$BJ56:$BT56,,T56)*(1-R56)+INDEX(Models!$BJ56:$BT56,,T56+1)*R56-ERP_i)*Q56*Ramure*Pc/MaxiM</f>
        <v>2.8186006772094011E-3</v>
      </c>
      <c r="Q56" s="305">
        <f t="shared" si="4"/>
        <v>0.7</v>
      </c>
      <c r="R56" s="177">
        <f t="shared" si="5"/>
        <v>0.50307866056959871</v>
      </c>
      <c r="S56" s="919">
        <f t="shared" si="6"/>
        <v>1</v>
      </c>
      <c r="T56" s="176">
        <f t="shared" si="7"/>
        <v>7</v>
      </c>
      <c r="U56" s="251">
        <f t="shared" si="8"/>
        <v>1.5030786605695987</v>
      </c>
      <c r="V56" s="383">
        <f t="shared" si="9"/>
        <v>36.628952968715382</v>
      </c>
      <c r="W56" s="402">
        <f t="shared" si="10"/>
        <v>16.508692628849094</v>
      </c>
      <c r="X56" s="157">
        <f t="shared" si="11"/>
        <v>45699</v>
      </c>
      <c r="Y56" s="385">
        <f t="shared" si="12"/>
        <v>15.966640549841845</v>
      </c>
      <c r="Z56" s="385">
        <f t="shared" si="22"/>
        <v>16.849060057482397</v>
      </c>
      <c r="AA56" s="386">
        <f t="shared" si="13"/>
        <v>18.200706496874037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7.4263405083961259E-2</v>
      </c>
      <c r="AD56" s="231">
        <f>(INDEX(Models!$BJ56:$BT56,,AH56)*(1-AF56)+INDEX(Models!$BJ56:$BT56,,AH56+1)*AF56-ERP_i)*AE56*Ramure*Pc/MaxiM</f>
        <v>2.8186006772094011E-3</v>
      </c>
      <c r="AE56" s="305">
        <f t="shared" si="15"/>
        <v>0.7</v>
      </c>
      <c r="AF56" s="177">
        <f t="shared" si="23"/>
        <v>0.50307866056959871</v>
      </c>
      <c r="AG56" s="919">
        <f t="shared" si="24"/>
        <v>1</v>
      </c>
      <c r="AH56" s="176">
        <f t="shared" si="16"/>
        <v>7</v>
      </c>
      <c r="AI56" s="225">
        <f t="shared" si="17"/>
        <v>1.5030786605695987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1090">
        <f>IF(t&gt;Tmaj,'2024'!Wh/'2024'!Env_an*'2025'!Env_an,0.001*'[4]mon-tableau'!$B$46)</f>
        <v>27.458978715337594</v>
      </c>
      <c r="C57" s="953"/>
      <c r="D57" s="393">
        <f t="shared" si="0"/>
        <v>28.977173605600097</v>
      </c>
      <c r="E57" s="385">
        <f t="shared" si="1"/>
        <v>30.277275079900555</v>
      </c>
      <c r="F57" s="385">
        <f t="shared" si="2"/>
        <v>30.330007188578818</v>
      </c>
      <c r="G57" s="110">
        <f t="shared" si="21"/>
        <v>0.74253227962082446</v>
      </c>
      <c r="H57" s="412" t="b">
        <f>Wh_hp&gt;='2024'!Maxi_hp</f>
        <v>0</v>
      </c>
      <c r="I57" s="390">
        <f>IF(H57,Wh_hp,'2024'!Maxi_hp)</f>
        <v>40.986650074876621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5.2392787196094859E-2</v>
      </c>
      <c r="M57" s="957"/>
      <c r="N57" s="957"/>
      <c r="O57" s="48">
        <f>IF(t&lt;Tnet,'2024'!Resal+('2024'!Salim-'2024'!Resal)*(1-EXP(('2024'!Tnet-t)/('2024'!Tau_j))),Resal+(Salim-Resal)*(1-EXP((Tnet-t)/(Tau_j))))*Salcycl</f>
        <v>4.2939844185764409E-2</v>
      </c>
      <c r="P57" s="169">
        <f>(INDEX(Models!$BJ57:$BT57,,T57)*(1-R57)+INDEX(Models!$BJ57:$BT57,,T57+1)*R57-ERP_i)*Q57*Ramure*Pc/MaxiM</f>
        <v>2.7454945590812889E-3</v>
      </c>
      <c r="Q57" s="305">
        <f t="shared" si="4"/>
        <v>0.7</v>
      </c>
      <c r="R57" s="177">
        <f t="shared" si="5"/>
        <v>0.50323423935612155</v>
      </c>
      <c r="S57" s="919">
        <f t="shared" si="6"/>
        <v>1</v>
      </c>
      <c r="T57" s="176">
        <f t="shared" si="7"/>
        <v>7</v>
      </c>
      <c r="U57" s="251">
        <f t="shared" si="8"/>
        <v>1.5032342393561215</v>
      </c>
      <c r="V57" s="383">
        <f t="shared" si="9"/>
        <v>36.942882273810852</v>
      </c>
      <c r="W57" s="402">
        <f t="shared" si="10"/>
        <v>27.458978715337594</v>
      </c>
      <c r="X57" s="157">
        <f t="shared" si="11"/>
        <v>45700</v>
      </c>
      <c r="Y57" s="385">
        <f t="shared" si="12"/>
        <v>26.558231699326353</v>
      </c>
      <c r="Z57" s="385">
        <f t="shared" si="22"/>
        <v>28.026624682121568</v>
      </c>
      <c r="AA57" s="386">
        <f t="shared" si="13"/>
        <v>30.277275079900555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7.4334641801139967E-2</v>
      </c>
      <c r="AD57" s="231">
        <f>(INDEX(Models!$BJ57:$BT57,,AH57)*(1-AF57)+INDEX(Models!$BJ57:$BT57,,AH57+1)*AF57-ERP_i)*AE57*Ramure*Pc/MaxiM</f>
        <v>2.7454945590812889E-3</v>
      </c>
      <c r="AE57" s="305">
        <f t="shared" si="15"/>
        <v>0.7</v>
      </c>
      <c r="AF57" s="177">
        <f t="shared" si="23"/>
        <v>0.50323423935612155</v>
      </c>
      <c r="AG57" s="919">
        <f t="shared" si="24"/>
        <v>1</v>
      </c>
      <c r="AH57" s="176">
        <f t="shared" si="16"/>
        <v>7</v>
      </c>
      <c r="AI57" s="225">
        <f t="shared" si="17"/>
        <v>1.5032342393561215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1090">
        <f>IF(t&gt;Tmaj,'2024'!Wh/'2024'!Env_an*'2025'!Env_an,0.001*'[4]mon-tableau'!$B$47)</f>
        <v>33.557114985249868</v>
      </c>
      <c r="C58" s="953"/>
      <c r="D58" s="393">
        <f t="shared" si="0"/>
        <v>35.413248796400751</v>
      </c>
      <c r="E58" s="385">
        <f t="shared" si="1"/>
        <v>37.006143506163461</v>
      </c>
      <c r="F58" s="385">
        <f t="shared" si="2"/>
        <v>37.091731899193036</v>
      </c>
      <c r="G58" s="110">
        <f t="shared" si="21"/>
        <v>0.90038529602676987</v>
      </c>
      <c r="H58" s="412" t="b">
        <f>Wh_hp&gt;='2024'!Maxi_hp</f>
        <v>0</v>
      </c>
      <c r="I58" s="390">
        <f>IF(H58,Wh_hp,'2024'!Maxi_hp)</f>
        <v>42.930559585857665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5.2413542226025012E-2</v>
      </c>
      <c r="M58" s="957"/>
      <c r="N58" s="957"/>
      <c r="O58" s="48">
        <f>IF(t&lt;Tnet,'2024'!Resal+('2024'!Salim-'2024'!Resal)*(1-EXP(('2024'!Tnet-t)/('2024'!Tau_j))),Resal+(Salim-Resal)*(1-EXP((Tnet-t)/(Tau_j))))*Salcycl</f>
        <v>4.3044061305588723E-2</v>
      </c>
      <c r="P58" s="169">
        <f>(INDEX(Models!$BJ58:$BT58,,T58)*(1-R58)+INDEX(Models!$BJ58:$BT58,,T58+1)*R58-ERP_i)*Q58*Ramure*Pc/MaxiM</f>
        <v>2.6887895170631978E-3</v>
      </c>
      <c r="Q58" s="305">
        <f t="shared" si="4"/>
        <v>0.7</v>
      </c>
      <c r="R58" s="177">
        <f t="shared" si="5"/>
        <v>0.50339624142716066</v>
      </c>
      <c r="S58" s="919">
        <f t="shared" si="6"/>
        <v>1</v>
      </c>
      <c r="T58" s="176">
        <f t="shared" si="7"/>
        <v>7</v>
      </c>
      <c r="U58" s="251">
        <f t="shared" si="8"/>
        <v>1.5033962414271607</v>
      </c>
      <c r="V58" s="383">
        <f t="shared" si="9"/>
        <v>37.255483690036172</v>
      </c>
      <c r="W58" s="402">
        <f t="shared" si="10"/>
        <v>33.557114985249868</v>
      </c>
      <c r="X58" s="157">
        <f t="shared" si="11"/>
        <v>45701</v>
      </c>
      <c r="Y58" s="385">
        <f t="shared" si="12"/>
        <v>32.457366569320655</v>
      </c>
      <c r="Z58" s="385">
        <f t="shared" si="22"/>
        <v>34.252670353234002</v>
      </c>
      <c r="AA58" s="386">
        <f t="shared" si="13"/>
        <v>37.006143506163461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7.4405838924308923E-2</v>
      </c>
      <c r="AD58" s="231">
        <f>(INDEX(Models!$BJ58:$BT58,,AH58)*(1-AF58)+INDEX(Models!$BJ58:$BT58,,AH58+1)*AF58-ERP_i)*AE58*Ramure*Pc/MaxiM</f>
        <v>2.6887895170631978E-3</v>
      </c>
      <c r="AE58" s="305">
        <f t="shared" si="15"/>
        <v>0.7</v>
      </c>
      <c r="AF58" s="177">
        <f t="shared" si="23"/>
        <v>0.50339624142716066</v>
      </c>
      <c r="AG58" s="919">
        <f t="shared" si="24"/>
        <v>1</v>
      </c>
      <c r="AH58" s="176">
        <f t="shared" si="16"/>
        <v>7</v>
      </c>
      <c r="AI58" s="225">
        <f t="shared" si="17"/>
        <v>1.5033962414271607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1090">
        <f>IF(t&gt;Tmaj,'2024'!Wh/'2024'!Env_an*'2025'!Env_an,0.001*'[4]mon-tableau'!$B$48)</f>
        <v>18.616359321638125</v>
      </c>
      <c r="C59" s="953"/>
      <c r="D59" s="393">
        <f t="shared" si="0"/>
        <v>19.646510272370712</v>
      </c>
      <c r="E59" s="385">
        <f t="shared" si="1"/>
        <v>20.532448154665797</v>
      </c>
      <c r="F59" s="385">
        <f t="shared" si="2"/>
        <v>20.547597655130616</v>
      </c>
      <c r="G59" s="110">
        <f t="shared" si="21"/>
        <v>0.49461287357896427</v>
      </c>
      <c r="H59" s="412" t="b">
        <f>Wh_hp&gt;='2024'!Maxi_hp</f>
        <v>0</v>
      </c>
      <c r="I59" s="390">
        <f>IF(H59,Wh_hp,'2024'!Maxi_hp)</f>
        <v>42.898613753230741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5.2434296801366798E-2</v>
      </c>
      <c r="M59" s="957"/>
      <c r="N59" s="957"/>
      <c r="O59" s="48">
        <f>IF(t&lt;Tnet,'2024'!Resal+('2024'!Salim-'2024'!Resal)*(1-EXP(('2024'!Tnet-t)/('2024'!Tau_j))),Resal+(Salim-Resal)*(1-EXP((Tnet-t)/(Tau_j))))*Salcycl</f>
        <v>4.3148185526710521E-2</v>
      </c>
      <c r="P59" s="169">
        <f>(INDEX(Models!$BJ59:$BT59,,T59)*(1-R59)+INDEX(Models!$BJ59:$BT59,,T59+1)*R59-ERP_i)*Q59*Ramure*Pc/MaxiM</f>
        <v>2.6391498351283353E-3</v>
      </c>
      <c r="Q59" s="305">
        <f t="shared" si="4"/>
        <v>0.7</v>
      </c>
      <c r="R59" s="177">
        <f t="shared" si="5"/>
        <v>0.50356492749114246</v>
      </c>
      <c r="S59" s="919">
        <f t="shared" si="6"/>
        <v>1</v>
      </c>
      <c r="T59" s="176">
        <f t="shared" si="7"/>
        <v>7</v>
      </c>
      <c r="U59" s="251">
        <f t="shared" si="8"/>
        <v>1.5035649274911425</v>
      </c>
      <c r="V59" s="383">
        <f t="shared" si="9"/>
        <v>37.566607038284644</v>
      </c>
      <c r="W59" s="402">
        <f t="shared" si="10"/>
        <v>18.616359321638125</v>
      </c>
      <c r="X59" s="157">
        <f t="shared" si="11"/>
        <v>45702</v>
      </c>
      <c r="Y59" s="385">
        <f t="shared" si="12"/>
        <v>18.006831030928797</v>
      </c>
      <c r="Z59" s="385">
        <f t="shared" si="22"/>
        <v>19.003253252143214</v>
      </c>
      <c r="AA59" s="386">
        <f t="shared" si="13"/>
        <v>20.532448154665797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7.4476988374866077E-2</v>
      </c>
      <c r="AD59" s="231">
        <f>(INDEX(Models!$BJ59:$BT59,,AH59)*(1-AF59)+INDEX(Models!$BJ59:$BT59,,AH59+1)*AF59-ERP_i)*AE59*Ramure*Pc/MaxiM</f>
        <v>2.6391498351283353E-3</v>
      </c>
      <c r="AE59" s="305">
        <f t="shared" si="15"/>
        <v>0.7</v>
      </c>
      <c r="AF59" s="177">
        <f t="shared" si="23"/>
        <v>0.50356492749114246</v>
      </c>
      <c r="AG59" s="919">
        <f t="shared" si="24"/>
        <v>1</v>
      </c>
      <c r="AH59" s="176">
        <f t="shared" si="16"/>
        <v>7</v>
      </c>
      <c r="AI59" s="225">
        <f t="shared" si="17"/>
        <v>1.5035649274911425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1090">
        <f>IF(t&gt;Tmaj,'2024'!Wh/'2024'!Env_an*'2025'!Env_an,0.001*'[4]mon-tableau'!$B$49)</f>
        <v>18.346038620811932</v>
      </c>
      <c r="C60" s="953"/>
      <c r="D60" s="393">
        <f t="shared" si="0"/>
        <v>19.361655231940073</v>
      </c>
      <c r="E60" s="385">
        <f t="shared" si="1"/>
        <v>20.23694800563171</v>
      </c>
      <c r="F60" s="385">
        <f t="shared" si="2"/>
        <v>20.250797097482423</v>
      </c>
      <c r="G60" s="110">
        <f t="shared" si="21"/>
        <v>0.48344705108047348</v>
      </c>
      <c r="H60" s="412" t="b">
        <f>Wh_hp&gt;='2024'!Maxi_hp</f>
        <v>0</v>
      </c>
      <c r="I60" s="390">
        <f>IF(H60,Wh_hp,'2024'!Maxi_hp)</f>
        <v>43.307632323541206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5.2455050922130098E-2</v>
      </c>
      <c r="M60" s="957"/>
      <c r="N60" s="957"/>
      <c r="O60" s="48">
        <f>IF(t&lt;Tnet,'2024'!Resal+('2024'!Salim-'2024'!Resal)*(1-EXP(('2024'!Tnet-t)/('2024'!Tau_j))),Resal+(Salim-Resal)*(1-EXP((Tnet-t)/(Tau_j))))*Salcycl</f>
        <v>4.325221241108361E-2</v>
      </c>
      <c r="P60" s="169">
        <f>(INDEX(Models!$BJ60:$BT60,,T60)*(1-R60)+INDEX(Models!$BJ60:$BT60,,T60+1)*R60-ERP_i)*Q60*Ramure*Pc/MaxiM</f>
        <v>2.5964343930384346E-3</v>
      </c>
      <c r="Q60" s="305">
        <f t="shared" si="4"/>
        <v>0.7</v>
      </c>
      <c r="R60" s="177">
        <f t="shared" si="5"/>
        <v>0.50374056845747295</v>
      </c>
      <c r="S60" s="919">
        <f t="shared" si="6"/>
        <v>1</v>
      </c>
      <c r="T60" s="176">
        <f t="shared" si="7"/>
        <v>7</v>
      </c>
      <c r="U60" s="251">
        <f t="shared" si="8"/>
        <v>1.5037405684574729</v>
      </c>
      <c r="V60" s="383">
        <f t="shared" si="9"/>
        <v>37.875764780882086</v>
      </c>
      <c r="W60" s="402">
        <f t="shared" si="10"/>
        <v>18.346038620811932</v>
      </c>
      <c r="X60" s="157">
        <f t="shared" si="11"/>
        <v>45703</v>
      </c>
      <c r="Y60" s="385">
        <f t="shared" si="12"/>
        <v>17.745927238615497</v>
      </c>
      <c r="Z60" s="385">
        <f t="shared" si="22"/>
        <v>18.728322340682041</v>
      </c>
      <c r="AA60" s="386">
        <f t="shared" si="13"/>
        <v>20.23694800563171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7.454808227652876E-2</v>
      </c>
      <c r="AD60" s="231">
        <f>(INDEX(Models!$BJ60:$BT60,,AH60)*(1-AF60)+INDEX(Models!$BJ60:$BT60,,AH60+1)*AF60-ERP_i)*AE60*Ramure*Pc/MaxiM</f>
        <v>2.5964343930384346E-3</v>
      </c>
      <c r="AE60" s="305">
        <f t="shared" si="15"/>
        <v>0.7</v>
      </c>
      <c r="AF60" s="177">
        <f t="shared" si="23"/>
        <v>0.50374056845747295</v>
      </c>
      <c r="AG60" s="919">
        <f t="shared" si="24"/>
        <v>1</v>
      </c>
      <c r="AH60" s="176">
        <f t="shared" si="16"/>
        <v>7</v>
      </c>
      <c r="AI60" s="225">
        <f t="shared" si="17"/>
        <v>1.5037405684574729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1090">
        <f>IF(t&gt;Tmaj,'2024'!Wh/'2024'!Env_an*'2025'!Env_an,0.001*'[4]mon-tableau'!$B$50)</f>
        <v>7.9793808058814273</v>
      </c>
      <c r="C61" s="953"/>
      <c r="D61" s="393">
        <f t="shared" si="0"/>
        <v>8.4212950387135912</v>
      </c>
      <c r="E61" s="385">
        <f t="shared" si="1"/>
        <v>8.8029572659243573</v>
      </c>
      <c r="F61" s="385">
        <f t="shared" si="2"/>
        <v>8.8029572659243573</v>
      </c>
      <c r="G61" s="110">
        <f t="shared" si="21"/>
        <v>0.20844512229499845</v>
      </c>
      <c r="H61" s="412" t="b">
        <f>Wh_hp&gt;='2024'!Maxi_hp</f>
        <v>0</v>
      </c>
      <c r="I61" s="390">
        <f>IF(H61,Wh_hp,'2024'!Maxi_hp)</f>
        <v>43.625435149292962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5.2475804588324904E-2</v>
      </c>
      <c r="M61" s="957"/>
      <c r="N61" s="957"/>
      <c r="O61" s="48">
        <f>IF(t&lt;Tnet,'2024'!Resal+('2024'!Salim-'2024'!Resal)*(1-EXP(('2024'!Tnet-t)/('2024'!Tau_j))),Resal+(Salim-Resal)*(1-EXP((Tnet-t)/(Tau_j))))*Salcycl</f>
        <v>4.335613767979473E-2</v>
      </c>
      <c r="P61" s="169">
        <f>(INDEX(Models!$BJ61:$BT61,,T61)*(1-R61)+INDEX(Models!$BJ61:$BT61,,T61+1)*R61-ERP_i)*Q61*Ramure*Pc/MaxiM</f>
        <v>2.5605070485299132E-3</v>
      </c>
      <c r="Q61" s="305">
        <f t="shared" si="4"/>
        <v>0.7</v>
      </c>
      <c r="R61" s="177">
        <f t="shared" si="5"/>
        <v>0.50392344580326087</v>
      </c>
      <c r="S61" s="919">
        <f t="shared" si="6"/>
        <v>1</v>
      </c>
      <c r="T61" s="176">
        <f t="shared" si="7"/>
        <v>7</v>
      </c>
      <c r="U61" s="251">
        <f t="shared" si="8"/>
        <v>1.5039234458032609</v>
      </c>
      <c r="V61" s="383">
        <f t="shared" si="9"/>
        <v>38.182469598982962</v>
      </c>
      <c r="W61" s="402">
        <f t="shared" si="10"/>
        <v>7.9793808058814273</v>
      </c>
      <c r="X61" s="157">
        <f t="shared" si="11"/>
        <v>45704</v>
      </c>
      <c r="Y61" s="385">
        <f t="shared" si="12"/>
        <v>7.7186158591565279</v>
      </c>
      <c r="Z61" s="385">
        <f t="shared" si="22"/>
        <v>8.1460884023156641</v>
      </c>
      <c r="AA61" s="386">
        <f t="shared" si="13"/>
        <v>8.8029572659243573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7.4619113073669793E-2</v>
      </c>
      <c r="AD61" s="231">
        <f>(INDEX(Models!$BJ61:$BT61,,AH61)*(1-AF61)+INDEX(Models!$BJ61:$BT61,,AH61+1)*AF61-ERP_i)*AE61*Ramure*Pc/MaxiM</f>
        <v>2.5605070485299132E-3</v>
      </c>
      <c r="AE61" s="305">
        <f t="shared" si="15"/>
        <v>0.7</v>
      </c>
      <c r="AF61" s="177">
        <f t="shared" si="23"/>
        <v>0.50392344580326087</v>
      </c>
      <c r="AG61" s="919">
        <f t="shared" si="24"/>
        <v>1</v>
      </c>
      <c r="AH61" s="176">
        <f t="shared" si="16"/>
        <v>7</v>
      </c>
      <c r="AI61" s="225">
        <f t="shared" si="17"/>
        <v>1.5039234458032609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1090">
        <f>IF(t&gt;Tmaj,'2024'!Wh/'2024'!Env_an*'2025'!Env_an,0.001*'[4]mon-tableau'!$B$51)</f>
        <v>9.3248181395934822</v>
      </c>
      <c r="C62" s="953"/>
      <c r="D62" s="393">
        <f t="shared" si="0"/>
        <v>9.8414609639220796</v>
      </c>
      <c r="E62" s="385">
        <f t="shared" si="1"/>
        <v>10.288603220386198</v>
      </c>
      <c r="F62" s="385">
        <f t="shared" si="2"/>
        <v>10.288603220386198</v>
      </c>
      <c r="G62" s="110">
        <f t="shared" si="21"/>
        <v>0.24167640613906821</v>
      </c>
      <c r="H62" s="412" t="b">
        <f>Wh_hp&gt;='2024'!Maxi_hp</f>
        <v>0</v>
      </c>
      <c r="I62" s="390">
        <f>IF(H62,Wh_hp,'2024'!Maxi_hp)</f>
        <v>44.343925318135149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5.2496557799961208E-2</v>
      </c>
      <c r="M62" s="957"/>
      <c r="N62" s="957"/>
      <c r="O62" s="48">
        <f>IF(t&lt;Tnet,'2024'!Resal+('2024'!Salim-'2024'!Resal)*(1-EXP(('2024'!Tnet-t)/('2024'!Tau_j))),Resal+(Salim-Resal)*(1-EXP((Tnet-t)/(Tau_j))))*Salcycl</f>
        <v>4.345995728342756E-2</v>
      </c>
      <c r="P62" s="169">
        <f>(INDEX(Models!$BJ62:$BT62,,T62)*(1-R62)+INDEX(Models!$BJ62:$BT62,,T62+1)*R62-ERP_i)*Q62*Ramure*Pc/MaxiM</f>
        <v>2.5312373050343268E-3</v>
      </c>
      <c r="Q62" s="305">
        <f t="shared" si="4"/>
        <v>0.7</v>
      </c>
      <c r="R62" s="177">
        <f t="shared" si="5"/>
        <v>0.50411385195041736</v>
      </c>
      <c r="S62" s="919">
        <f t="shared" si="6"/>
        <v>1</v>
      </c>
      <c r="T62" s="176">
        <f t="shared" si="7"/>
        <v>7</v>
      </c>
      <c r="U62" s="251">
        <f t="shared" si="8"/>
        <v>1.5041138519504174</v>
      </c>
      <c r="V62" s="383">
        <f t="shared" si="9"/>
        <v>38.486234385261717</v>
      </c>
      <c r="W62" s="402">
        <f t="shared" si="10"/>
        <v>9.3248181395934822</v>
      </c>
      <c r="X62" s="157">
        <f t="shared" si="11"/>
        <v>45705</v>
      </c>
      <c r="Y62" s="385">
        <f t="shared" si="12"/>
        <v>9.0203717572279434</v>
      </c>
      <c r="Z62" s="385">
        <f t="shared" si="22"/>
        <v>9.5201466881041092</v>
      </c>
      <c r="AA62" s="386">
        <f t="shared" si="13"/>
        <v>10.288603220386198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7.4690073649593514E-2</v>
      </c>
      <c r="AD62" s="231">
        <f>(INDEX(Models!$BJ62:$BT62,,AH62)*(1-AF62)+INDEX(Models!$BJ62:$BT62,,AH62+1)*AF62-ERP_i)*AE62*Ramure*Pc/MaxiM</f>
        <v>2.5312373050343268E-3</v>
      </c>
      <c r="AE62" s="305">
        <f t="shared" si="15"/>
        <v>0.7</v>
      </c>
      <c r="AF62" s="177">
        <f t="shared" si="23"/>
        <v>0.50411385195041736</v>
      </c>
      <c r="AG62" s="919">
        <f t="shared" si="24"/>
        <v>1</v>
      </c>
      <c r="AH62" s="176">
        <f t="shared" si="16"/>
        <v>7</v>
      </c>
      <c r="AI62" s="225">
        <f t="shared" si="17"/>
        <v>1.5041138519504174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1090">
        <f>IF(t&gt;Tmaj,'2024'!Wh/'2024'!Env_an*'2025'!Env_an,0.001*'[4]mon-tableau'!$B$52)</f>
        <v>30.561266479525475</v>
      </c>
      <c r="C63" s="953"/>
      <c r="D63" s="393">
        <f t="shared" si="0"/>
        <v>32.255224100709654</v>
      </c>
      <c r="E63" s="385">
        <f t="shared" si="1"/>
        <v>33.724381857664739</v>
      </c>
      <c r="F63" s="385">
        <f t="shared" si="2"/>
        <v>33.783453837351992</v>
      </c>
      <c r="G63" s="110">
        <f t="shared" si="21"/>
        <v>0.78733435054851197</v>
      </c>
      <c r="H63" s="412" t="b">
        <f>Wh_hp&gt;='2024'!Maxi_hp</f>
        <v>0</v>
      </c>
      <c r="I63" s="390">
        <f>IF(H63,Wh_hp,'2024'!Maxi_hp)</f>
        <v>43.682090944826165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5.2517310557048891E-2</v>
      </c>
      <c r="M63" s="957"/>
      <c r="N63" s="957"/>
      <c r="O63" s="48">
        <f>IF(t&lt;Tnet,'2024'!Resal+('2024'!Salim-'2024'!Resal)*(1-EXP(('2024'!Tnet-t)/('2024'!Tau_j))),Resal+(Salim-Resal)*(1-EXP((Tnet-t)/(Tau_j))))*Salcycl</f>
        <v>4.3563667472267718E-2</v>
      </c>
      <c r="P63" s="169">
        <f>(INDEX(Models!$BJ63:$BT63,,T63)*(1-R63)+INDEX(Models!$BJ63:$BT63,,T63+1)*R63-ERP_i)*Q63*Ramure*Pc/MaxiM</f>
        <v>2.5085009243801751E-3</v>
      </c>
      <c r="Q63" s="305">
        <f t="shared" si="4"/>
        <v>0.7</v>
      </c>
      <c r="R63" s="177">
        <f t="shared" si="5"/>
        <v>0.50431209065316551</v>
      </c>
      <c r="S63" s="919">
        <f t="shared" si="6"/>
        <v>1</v>
      </c>
      <c r="T63" s="176">
        <f t="shared" si="7"/>
        <v>7</v>
      </c>
      <c r="U63" s="251">
        <f t="shared" si="8"/>
        <v>1.5043120906531655</v>
      </c>
      <c r="V63" s="383">
        <f t="shared" si="9"/>
        <v>38.786572239762279</v>
      </c>
      <c r="W63" s="402">
        <f t="shared" si="10"/>
        <v>30.561266479525475</v>
      </c>
      <c r="X63" s="157">
        <f t="shared" si="11"/>
        <v>45706</v>
      </c>
      <c r="Y63" s="385">
        <f t="shared" si="12"/>
        <v>29.564411111503823</v>
      </c>
      <c r="Z63" s="385">
        <f t="shared" si="22"/>
        <v>31.203114780794024</v>
      </c>
      <c r="AA63" s="386">
        <f t="shared" si="13"/>
        <v>33.724381857664739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7.476095744354444E-2</v>
      </c>
      <c r="AD63" s="231">
        <f>(INDEX(Models!$BJ63:$BT63,,AH63)*(1-AF63)+INDEX(Models!$BJ63:$BT63,,AH63+1)*AF63-ERP_i)*AE63*Ramure*Pc/MaxiM</f>
        <v>2.5085009243801751E-3</v>
      </c>
      <c r="AE63" s="305">
        <f t="shared" si="15"/>
        <v>0.7</v>
      </c>
      <c r="AF63" s="177">
        <f t="shared" si="23"/>
        <v>0.50431209065316551</v>
      </c>
      <c r="AG63" s="919">
        <f t="shared" si="24"/>
        <v>1</v>
      </c>
      <c r="AH63" s="176">
        <f t="shared" si="16"/>
        <v>7</v>
      </c>
      <c r="AI63" s="225">
        <f t="shared" si="17"/>
        <v>1.5043120906531655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1090">
        <f>IF(t&gt;Tmaj,'2024'!Wh/'2024'!Env_an*'2025'!Env_an,0.001*'[4]mon-tableau'!$B$53)</f>
        <v>18.63453678636489</v>
      </c>
      <c r="C64" s="953"/>
      <c r="D64" s="393">
        <f t="shared" si="0"/>
        <v>19.667847388790126</v>
      </c>
      <c r="E64" s="385">
        <f t="shared" si="1"/>
        <v>20.565904173537621</v>
      </c>
      <c r="F64" s="385">
        <f t="shared" si="2"/>
        <v>20.578857166737222</v>
      </c>
      <c r="G64" s="110">
        <f t="shared" si="21"/>
        <v>0.4759052569083515</v>
      </c>
      <c r="H64" s="412" t="b">
        <f>Wh_hp&gt;='2024'!Maxi_hp</f>
        <v>0</v>
      </c>
      <c r="I64" s="390">
        <f>IF(H64,Wh_hp,'2024'!Maxi_hp)</f>
        <v>40.826390842051637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5.2538062859597945E-2</v>
      </c>
      <c r="M64" s="957"/>
      <c r="N64" s="957"/>
      <c r="O64" s="48">
        <f>IF(t&lt;Tnet,'2024'!Resal+('2024'!Salim-'2024'!Resal)*(1-EXP(('2024'!Tnet-t)/('2024'!Tau_j))),Resal+(Salim-Resal)*(1-EXP((Tnet-t)/(Tau_j))))*Salcycl</f>
        <v>4.3667264865652491E-2</v>
      </c>
      <c r="P64" s="169">
        <f>(INDEX(Models!$BJ64:$BT64,,T64)*(1-R64)+INDEX(Models!$BJ64:$BT64,,T64+1)*R64-ERP_i)*Q64*Ramure*Pc/MaxiM</f>
        <v>2.4921804937313159E-3</v>
      </c>
      <c r="Q64" s="305">
        <f t="shared" si="4"/>
        <v>0.7</v>
      </c>
      <c r="R64" s="177">
        <f t="shared" si="5"/>
        <v>0.50451847739597455</v>
      </c>
      <c r="S64" s="919">
        <f t="shared" si="6"/>
        <v>1</v>
      </c>
      <c r="T64" s="176">
        <f t="shared" si="7"/>
        <v>7</v>
      </c>
      <c r="U64" s="251">
        <f t="shared" si="8"/>
        <v>1.5045184773959746</v>
      </c>
      <c r="V64" s="383">
        <f t="shared" si="9"/>
        <v>39.082996458981384</v>
      </c>
      <c r="W64" s="402">
        <f t="shared" si="10"/>
        <v>18.63453678636489</v>
      </c>
      <c r="X64" s="157">
        <f t="shared" si="11"/>
        <v>45707</v>
      </c>
      <c r="Y64" s="385">
        <f t="shared" si="12"/>
        <v>18.02728380532735</v>
      </c>
      <c r="Z64" s="385">
        <f t="shared" si="22"/>
        <v>19.026921397746801</v>
      </c>
      <c r="AA64" s="386">
        <f t="shared" si="13"/>
        <v>20.565904173537621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7.4831758565278406E-2</v>
      </c>
      <c r="AD64" s="231">
        <f>(INDEX(Models!$BJ64:$BT64,,AH64)*(1-AF64)+INDEX(Models!$BJ64:$BT64,,AH64+1)*AF64-ERP_i)*AE64*Ramure*Pc/MaxiM</f>
        <v>2.4921804937313159E-3</v>
      </c>
      <c r="AE64" s="305">
        <f t="shared" si="15"/>
        <v>0.7</v>
      </c>
      <c r="AF64" s="177">
        <f t="shared" si="23"/>
        <v>0.50451847739597455</v>
      </c>
      <c r="AG64" s="919">
        <f t="shared" si="24"/>
        <v>1</v>
      </c>
      <c r="AH64" s="176">
        <f t="shared" si="16"/>
        <v>7</v>
      </c>
      <c r="AI64" s="225">
        <f t="shared" si="17"/>
        <v>1.5045184773959746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1090">
        <f>IF(t&gt;Tmaj,'2024'!Wh/'2024'!Env_an*'2025'!Env_an,0.001*'[4]mon-tableau'!$B$54)</f>
        <v>21.964408487185647</v>
      </c>
      <c r="C65" s="953"/>
      <c r="D65" s="393">
        <f t="shared" si="0"/>
        <v>23.182872803241498</v>
      </c>
      <c r="E65" s="385">
        <f t="shared" si="1"/>
        <v>24.244053106372867</v>
      </c>
      <c r="F65" s="385">
        <f t="shared" si="2"/>
        <v>24.266236433644497</v>
      </c>
      <c r="G65" s="110">
        <f t="shared" si="21"/>
        <v>0.55693625967949201</v>
      </c>
      <c r="H65" s="412" t="b">
        <f>Wh_hp&gt;='2024'!Maxi_hp</f>
        <v>0</v>
      </c>
      <c r="I65" s="390">
        <f>IF(H65,Wh_hp,'2024'!Maxi_hp)</f>
        <v>43.218540620250515</v>
      </c>
      <c r="J65" s="85">
        <f>IF(H65,An,'2024'!An_max)</f>
        <v>2019</v>
      </c>
      <c r="K65" s="197">
        <f t="shared" si="3"/>
        <v>45708</v>
      </c>
      <c r="L65" s="147">
        <f>IF(t&lt;Tvie,1-EXP((T0-t)*PertePVj)+'2024'!Pspv,1-EXP((T0-t)*PertePVj)+Pspv)</f>
        <v>5.2558814707618251E-2</v>
      </c>
      <c r="M65" s="957"/>
      <c r="N65" s="957"/>
      <c r="O65" s="48">
        <f>IF(t&lt;Tnet,'2024'!Resal+('2024'!Salim-'2024'!Resal)*(1-EXP(('2024'!Tnet-t)/('2024'!Tau_j))),Resal+(Salim-Resal)*(1-EXP((Tnet-t)/(Tau_j))))*Salcycl</f>
        <v>4.3770746519789842E-2</v>
      </c>
      <c r="P65" s="169">
        <f>(INDEX(Models!$BJ65:$BT65,,T65)*(1-R65)+INDEX(Models!$BJ65:$BT65,,T65+1)*R65-ERP_i)*Q65*Ramure*Pc/MaxiM</f>
        <v>2.4821025601302143E-3</v>
      </c>
      <c r="Q65" s="305">
        <f t="shared" si="4"/>
        <v>0.7</v>
      </c>
      <c r="R65" s="177">
        <f t="shared" si="5"/>
        <v>0.50473333980188473</v>
      </c>
      <c r="S65" s="919">
        <f t="shared" si="6"/>
        <v>1</v>
      </c>
      <c r="T65" s="176">
        <f t="shared" si="7"/>
        <v>7</v>
      </c>
      <c r="U65" s="251">
        <f t="shared" si="8"/>
        <v>1.5047333398018847</v>
      </c>
      <c r="V65" s="383">
        <f t="shared" si="9"/>
        <v>39.37602868957223</v>
      </c>
      <c r="W65" s="402">
        <f t="shared" si="10"/>
        <v>21.964408487185647</v>
      </c>
      <c r="X65" s="157">
        <f t="shared" si="11"/>
        <v>45708</v>
      </c>
      <c r="Y65" s="385">
        <f t="shared" si="12"/>
        <v>21.249318532756224</v>
      </c>
      <c r="Z65" s="385">
        <f t="shared" si="22"/>
        <v>22.428113599683396</v>
      </c>
      <c r="AA65" s="386">
        <f t="shared" si="13"/>
        <v>24.244053106372867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7.4902471906074491E-2</v>
      </c>
      <c r="AD65" s="231">
        <f>(INDEX(Models!$BJ65:$BT65,,AH65)*(1-AF65)+INDEX(Models!$BJ65:$BT65,,AH65+1)*AF65-ERP_i)*AE65*Ramure*Pc/MaxiM</f>
        <v>2.4821025601302143E-3</v>
      </c>
      <c r="AE65" s="305">
        <f t="shared" si="15"/>
        <v>0.7</v>
      </c>
      <c r="AF65" s="177">
        <f t="shared" si="23"/>
        <v>0.50473333980188473</v>
      </c>
      <c r="AG65" s="919">
        <f t="shared" si="24"/>
        <v>1</v>
      </c>
      <c r="AH65" s="176">
        <f t="shared" si="16"/>
        <v>7</v>
      </c>
      <c r="AI65" s="225">
        <f t="shared" si="17"/>
        <v>1.5047333398018847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1090">
        <f>IF(t&gt;Tmaj,'2024'!Wh/'2024'!Env_an*'2025'!Env_an,0.001*'[4]mon-tableau'!$B$55)</f>
        <v>21.626353623756845</v>
      </c>
      <c r="C66" s="953"/>
      <c r="D66" s="393">
        <f t="shared" si="0"/>
        <v>22.826564479677522</v>
      </c>
      <c r="E66" s="385">
        <f t="shared" si="1"/>
        <v>23.874015669129044</v>
      </c>
      <c r="F66" s="385">
        <f t="shared" si="2"/>
        <v>23.894750203397574</v>
      </c>
      <c r="G66" s="110">
        <f t="shared" si="21"/>
        <v>0.544324654705021</v>
      </c>
      <c r="H66" s="412" t="b">
        <f>Wh_hp&gt;='2024'!Maxi_hp</f>
        <v>0</v>
      </c>
      <c r="I66" s="390">
        <f>IF(H66,Wh_hp,'2024'!Maxi_hp)</f>
        <v>42.441850727741603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5.2579566101119801E-2</v>
      </c>
      <c r="M66" s="957"/>
      <c r="N66" s="957"/>
      <c r="O66" s="48">
        <f>IF(t&lt;Tnet,'2024'!Resal+('2024'!Salim-'2024'!Resal)*(1-EXP(('2024'!Tnet-t)/('2024'!Tau_j))),Resal+(Salim-Resal)*(1-EXP((Tnet-t)/(Tau_j))))*Salcycl</f>
        <v>4.3874109993399898E-2</v>
      </c>
      <c r="P66" s="169">
        <f>(INDEX(Models!$BJ66:$BT66,,T66)*(1-R66)+INDEX(Models!$BJ66:$BT66,,T66+1)*R66-ERP_i)*Q66*Ramure*Pc/MaxiM</f>
        <v>2.4772179392201473E-3</v>
      </c>
      <c r="Q66" s="305">
        <f t="shared" si="4"/>
        <v>0.7</v>
      </c>
      <c r="R66" s="177">
        <f t="shared" si="5"/>
        <v>0.50495701805117155</v>
      </c>
      <c r="S66" s="919">
        <f t="shared" si="6"/>
        <v>1</v>
      </c>
      <c r="T66" s="176">
        <f t="shared" si="7"/>
        <v>7</v>
      </c>
      <c r="U66" s="251">
        <f t="shared" si="8"/>
        <v>1.5049570180511715</v>
      </c>
      <c r="V66" s="383">
        <f t="shared" si="9"/>
        <v>39.666614697851813</v>
      </c>
      <c r="W66" s="402">
        <f t="shared" si="10"/>
        <v>21.626353623756845</v>
      </c>
      <c r="X66" s="157">
        <f t="shared" si="11"/>
        <v>45709</v>
      </c>
      <c r="Y66" s="385">
        <f t="shared" si="12"/>
        <v>20.922934109474582</v>
      </c>
      <c r="Z66" s="385">
        <f t="shared" si="22"/>
        <v>22.08410686623181</v>
      </c>
      <c r="AA66" s="386">
        <f t="shared" si="13"/>
        <v>23.874015669129044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7.4973093245126937E-2</v>
      </c>
      <c r="AD66" s="231">
        <f>(INDEX(Models!$BJ66:$BT66,,AH66)*(1-AF66)+INDEX(Models!$BJ66:$BT66,,AH66+1)*AF66-ERP_i)*AE66*Ramure*Pc/MaxiM</f>
        <v>2.4772179392201473E-3</v>
      </c>
      <c r="AE66" s="305">
        <f t="shared" si="15"/>
        <v>0.7</v>
      </c>
      <c r="AF66" s="177">
        <f t="shared" si="23"/>
        <v>0.50495701805117155</v>
      </c>
      <c r="AG66" s="919">
        <f t="shared" si="24"/>
        <v>1</v>
      </c>
      <c r="AH66" s="176">
        <f t="shared" si="16"/>
        <v>7</v>
      </c>
      <c r="AI66" s="225">
        <f t="shared" si="17"/>
        <v>1.5049570180511715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1090">
        <f>IF(t&gt;Tmaj,'2024'!Wh/'2024'!Env_an*'2025'!Env_an,0.001*'[4]mon-tableau'!$B$56)</f>
        <v>35.412471250770579</v>
      </c>
      <c r="C67" s="953"/>
      <c r="D67" s="393">
        <f t="shared" si="0"/>
        <v>37.378597320334904</v>
      </c>
      <c r="E67" s="385">
        <f t="shared" si="1"/>
        <v>39.098024982652078</v>
      </c>
      <c r="F67" s="385">
        <f t="shared" si="2"/>
        <v>39.179156886452034</v>
      </c>
      <c r="G67" s="110">
        <f t="shared" si="21"/>
        <v>0.88595100345872002</v>
      </c>
      <c r="H67" s="412" t="b">
        <f>Wh_hp&gt;='2024'!Maxi_hp</f>
        <v>0</v>
      </c>
      <c r="I67" s="390">
        <f>IF(H67,Wh_hp,'2024'!Maxi_hp)</f>
        <v>42.464770609772728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5.2600317040112698E-2</v>
      </c>
      <c r="M67" s="957"/>
      <c r="N67" s="957"/>
      <c r="O67" s="48">
        <f>IF(t&lt;Tnet,'2024'!Resal+('2024'!Salim-'2024'!Resal)*(1-EXP(('2024'!Tnet-t)/('2024'!Tau_j))),Resal+(Salim-Resal)*(1-EXP((Tnet-t)/(Tau_j))))*Salcycl</f>
        <v>4.3977353410564607E-2</v>
      </c>
      <c r="P67" s="169">
        <f>(INDEX(Models!$BJ67:$BT67,,T67)*(1-R67)+INDEX(Models!$BJ67:$BT67,,T67+1)*R67-ERP_i)*Q67*Ramure*Pc/MaxiM</f>
        <v>2.4723449616113669E-3</v>
      </c>
      <c r="Q67" s="305">
        <f t="shared" si="4"/>
        <v>0.7</v>
      </c>
      <c r="R67" s="177">
        <f t="shared" si="5"/>
        <v>0.50518986531024068</v>
      </c>
      <c r="S67" s="919">
        <f t="shared" si="6"/>
        <v>1</v>
      </c>
      <c r="T67" s="176">
        <f t="shared" si="7"/>
        <v>7</v>
      </c>
      <c r="U67" s="251">
        <f t="shared" si="8"/>
        <v>1.5051898653102407</v>
      </c>
      <c r="V67" s="383">
        <f t="shared" si="9"/>
        <v>39.955055798207844</v>
      </c>
      <c r="W67" s="402">
        <f t="shared" si="10"/>
        <v>35.412471250770579</v>
      </c>
      <c r="X67" s="157">
        <f t="shared" si="11"/>
        <v>45710</v>
      </c>
      <c r="Y67" s="385">
        <f t="shared" si="12"/>
        <v>34.261731513186739</v>
      </c>
      <c r="Z67" s="385">
        <f t="shared" si="22"/>
        <v>36.163967678504463</v>
      </c>
      <c r="AA67" s="386">
        <f t="shared" si="13"/>
        <v>39.098024982652078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7.5043619350324359E-2</v>
      </c>
      <c r="AD67" s="231">
        <f>(INDEX(Models!$BJ67:$BT67,,AH67)*(1-AF67)+INDEX(Models!$BJ67:$BT67,,AH67+1)*AF67-ERP_i)*AE67*Ramure*Pc/MaxiM</f>
        <v>2.4723449616113669E-3</v>
      </c>
      <c r="AE67" s="305">
        <f t="shared" si="15"/>
        <v>0.7</v>
      </c>
      <c r="AF67" s="177">
        <f t="shared" si="23"/>
        <v>0.50518986531024068</v>
      </c>
      <c r="AG67" s="919">
        <f t="shared" si="24"/>
        <v>1</v>
      </c>
      <c r="AH67" s="176">
        <f t="shared" si="16"/>
        <v>7</v>
      </c>
      <c r="AI67" s="225">
        <f t="shared" si="17"/>
        <v>1.5051898653102407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1090">
        <f>IF(t&gt;Tmaj,'2024'!Wh/'2024'!Env_an*'2025'!Env_an,0.001*'[4]mon-tableau'!$B$57)</f>
        <v>36.937589346980552</v>
      </c>
      <c r="C68" s="953"/>
      <c r="D68" s="393">
        <f t="shared" si="0"/>
        <v>38.989245043128449</v>
      </c>
      <c r="E68" s="385">
        <f t="shared" si="1"/>
        <v>40.787162564073007</v>
      </c>
      <c r="F68" s="385">
        <f t="shared" si="2"/>
        <v>40.876193475413551</v>
      </c>
      <c r="G68" s="110">
        <f t="shared" si="21"/>
        <v>0.91763282152403303</v>
      </c>
      <c r="H68" s="412" t="b">
        <f>Wh_hp&gt;='2024'!Maxi_hp</f>
        <v>0</v>
      </c>
      <c r="I68" s="390">
        <f>IF(H68,Wh_hp,'2024'!Maxi_hp)</f>
        <v>43.491209699160983</v>
      </c>
      <c r="J68" s="85">
        <f>IF(H68,An,'2024'!An_max)</f>
        <v>2019</v>
      </c>
      <c r="K68" s="197">
        <f t="shared" si="3"/>
        <v>45711</v>
      </c>
      <c r="L68" s="147">
        <f>IF(t&lt;Tvie,1-EXP((T0-t)*PertePVj)+'2024'!Pspv,1-EXP((T0-t)*PertePVj)+Pspv)</f>
        <v>5.2621067524606713E-2</v>
      </c>
      <c r="M68" s="957"/>
      <c r="N68" s="957"/>
      <c r="O68" s="48">
        <f>IF(t&lt;Tnet,'2024'!Resal+('2024'!Salim-'2024'!Resal)*(1-EXP(('2024'!Tnet-t)/('2024'!Tau_j))),Resal+(Salim-Resal)*(1-EXP((Tnet-t)/(Tau_j))))*Salcycl</f>
        <v>4.4080475520212783E-2</v>
      </c>
      <c r="P68" s="169">
        <f>(INDEX(Models!$BJ68:$BT68,,T68)*(1-R68)+INDEX(Models!$BJ68:$BT68,,T68+1)*R68-ERP_i)*Q68*Ramure*Pc/MaxiM</f>
        <v>2.4674643707673582E-3</v>
      </c>
      <c r="Q68" s="305">
        <f t="shared" si="4"/>
        <v>0.7</v>
      </c>
      <c r="R68" s="177">
        <f t="shared" si="5"/>
        <v>0.5054322481706186</v>
      </c>
      <c r="S68" s="919">
        <f t="shared" si="6"/>
        <v>1</v>
      </c>
      <c r="T68" s="176">
        <f t="shared" si="7"/>
        <v>7</v>
      </c>
      <c r="U68" s="251">
        <f t="shared" si="8"/>
        <v>1.5054322481706186</v>
      </c>
      <c r="V68" s="383">
        <f t="shared" si="9"/>
        <v>40.241450987781541</v>
      </c>
      <c r="W68" s="402">
        <f t="shared" si="10"/>
        <v>36.937589346980552</v>
      </c>
      <c r="X68" s="157">
        <f t="shared" si="11"/>
        <v>45711</v>
      </c>
      <c r="Y68" s="385">
        <f t="shared" si="12"/>
        <v>35.738424219005935</v>
      </c>
      <c r="Z68" s="385">
        <f t="shared" si="22"/>
        <v>37.723473674494223</v>
      </c>
      <c r="AA68" s="386">
        <f t="shared" si="13"/>
        <v>40.787162564073007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7.5114048072503187E-2</v>
      </c>
      <c r="AD68" s="231">
        <f>(INDEX(Models!$BJ68:$BT68,,AH68)*(1-AF68)+INDEX(Models!$BJ68:$BT68,,AH68+1)*AF68-ERP_i)*AE68*Ramure*Pc/MaxiM</f>
        <v>2.4674643707673582E-3</v>
      </c>
      <c r="AE68" s="305">
        <f t="shared" si="15"/>
        <v>0.7</v>
      </c>
      <c r="AF68" s="177">
        <f t="shared" si="23"/>
        <v>0.5054322481706186</v>
      </c>
      <c r="AG68" s="919">
        <f t="shared" si="24"/>
        <v>1</v>
      </c>
      <c r="AH68" s="176">
        <f t="shared" si="16"/>
        <v>7</v>
      </c>
      <c r="AI68" s="225">
        <f t="shared" si="17"/>
        <v>1.5054322481706186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1090">
        <f>IF(t&gt;Tmaj,'2024'!Wh/'2024'!Env_an*'2025'!Env_an,0.001*'[4]mon-tableau'!$B$58)</f>
        <v>21.011031152828664</v>
      </c>
      <c r="C69" s="953"/>
      <c r="D69" s="393">
        <f t="shared" si="0"/>
        <v>22.178550354200244</v>
      </c>
      <c r="E69" s="385">
        <f t="shared" si="1"/>
        <v>23.203773728062288</v>
      </c>
      <c r="F69" s="385">
        <f t="shared" si="2"/>
        <v>23.221620255040722</v>
      </c>
      <c r="G69" s="110">
        <f t="shared" si="21"/>
        <v>0.51758038560163755</v>
      </c>
      <c r="H69" s="412" t="b">
        <f>Wh_hp&gt;='2024'!Maxi_hp</f>
        <v>0</v>
      </c>
      <c r="I69" s="390">
        <f>IF(H69,Wh_hp,'2024'!Maxi_hp)</f>
        <v>44.144707241290959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5.2641817554611836E-2</v>
      </c>
      <c r="M69" s="957"/>
      <c r="N69" s="957"/>
      <c r="O69" s="48">
        <f>IF(t&lt;Tnet,'2024'!Resal+('2024'!Salim-'2024'!Resal)*(1-EXP(('2024'!Tnet-t)/('2024'!Tau_j))),Resal+(Salim-Resal)*(1-EXP((Tnet-t)/(Tau_j))))*Salcycl</f>
        <v>4.4183475751711658E-2</v>
      </c>
      <c r="P69" s="169">
        <f>(INDEX(Models!$BJ69:$BT69,,T69)*(1-R69)+INDEX(Models!$BJ69:$BT69,,T69+1)*R69-ERP_i)*Q69*Ramure*Pc/MaxiM</f>
        <v>2.4625700523211529E-3</v>
      </c>
      <c r="Q69" s="305">
        <f t="shared" si="4"/>
        <v>0.7</v>
      </c>
      <c r="R69" s="177">
        <f t="shared" si="5"/>
        <v>0.50568454709783683</v>
      </c>
      <c r="S69" s="919">
        <f t="shared" si="6"/>
        <v>1</v>
      </c>
      <c r="T69" s="176">
        <f t="shared" si="7"/>
        <v>7</v>
      </c>
      <c r="U69" s="251">
        <f t="shared" si="8"/>
        <v>1.5056845470978368</v>
      </c>
      <c r="V69" s="383">
        <f t="shared" si="9"/>
        <v>40.525898673898723</v>
      </c>
      <c r="W69" s="402">
        <f t="shared" si="10"/>
        <v>21.011031152828664</v>
      </c>
      <c r="X69" s="157">
        <f t="shared" si="11"/>
        <v>45712</v>
      </c>
      <c r="Y69" s="385">
        <f t="shared" si="12"/>
        <v>20.329560477794121</v>
      </c>
      <c r="Z69" s="385">
        <f t="shared" si="22"/>
        <v>21.45921242303309</v>
      </c>
      <c r="AA69" s="386">
        <f t="shared" si="13"/>
        <v>23.203773728062288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7.5184378432347446E-2</v>
      </c>
      <c r="AD69" s="231">
        <f>(INDEX(Models!$BJ69:$BT69,,AH69)*(1-AF69)+INDEX(Models!$BJ69:$BT69,,AH69+1)*AF69-ERP_i)*AE69*Ramure*Pc/MaxiM</f>
        <v>2.4625700523211529E-3</v>
      </c>
      <c r="AE69" s="305">
        <f t="shared" si="15"/>
        <v>0.7</v>
      </c>
      <c r="AF69" s="177">
        <f t="shared" si="23"/>
        <v>0.50568454709783683</v>
      </c>
      <c r="AG69" s="919">
        <f t="shared" si="24"/>
        <v>1</v>
      </c>
      <c r="AH69" s="176">
        <f t="shared" si="16"/>
        <v>7</v>
      </c>
      <c r="AI69" s="225">
        <f t="shared" si="17"/>
        <v>1.5056845470978368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1090">
        <f>IF(t&gt;Tmaj,'2024'!Wh/'2024'!Env_an*'2025'!Env_an,0.001*'[4]mon-tableau'!$B$59)</f>
        <v>30.557795540476228</v>
      </c>
      <c r="C70" s="953"/>
      <c r="D70" s="393">
        <f t="shared" si="0"/>
        <v>32.256505950476914</v>
      </c>
      <c r="E70" s="385">
        <f t="shared" si="1"/>
        <v>33.751224641881535</v>
      </c>
      <c r="F70" s="385">
        <f t="shared" si="2"/>
        <v>33.804491828940797</v>
      </c>
      <c r="G70" s="110">
        <f t="shared" si="21"/>
        <v>0.74814819935362886</v>
      </c>
      <c r="H70" s="412" t="b">
        <f>Wh_hp&gt;='2024'!Maxi_hp</f>
        <v>0</v>
      </c>
      <c r="I70" s="390">
        <f>IF(H70,Wh_hp,'2024'!Maxi_hp)</f>
        <v>44.223095559004854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5.266256713013806E-2</v>
      </c>
      <c r="M70" s="957"/>
      <c r="N70" s="957"/>
      <c r="O70" s="48">
        <f>IF(t&lt;Tnet,'2024'!Resal+('2024'!Salim-'2024'!Resal)*(1-EXP(('2024'!Tnet-t)/('2024'!Tau_j))),Resal+(Salim-Resal)*(1-EXP((Tnet-t)/(Tau_j))))*Salcycl</f>
        <v>4.4286354266086188E-2</v>
      </c>
      <c r="P70" s="169">
        <f>(INDEX(Models!$BJ70:$BT70,,T70)*(1-R70)+INDEX(Models!$BJ70:$BT70,,T70+1)*R70-ERP_i)*Q70*Ramure*Pc/MaxiM</f>
        <v>2.4576567522968536E-3</v>
      </c>
      <c r="Q70" s="305">
        <f t="shared" si="4"/>
        <v>0.7</v>
      </c>
      <c r="R70" s="177">
        <f t="shared" si="5"/>
        <v>0.50594715688997294</v>
      </c>
      <c r="S70" s="919">
        <f t="shared" si="6"/>
        <v>1</v>
      </c>
      <c r="T70" s="176">
        <f t="shared" si="7"/>
        <v>7</v>
      </c>
      <c r="U70" s="251">
        <f t="shared" si="8"/>
        <v>1.5059471568899729</v>
      </c>
      <c r="V70" s="383">
        <f t="shared" si="9"/>
        <v>40.808497154140127</v>
      </c>
      <c r="W70" s="402">
        <f t="shared" si="10"/>
        <v>30.557795540476228</v>
      </c>
      <c r="X70" s="157">
        <f t="shared" si="11"/>
        <v>45713</v>
      </c>
      <c r="Y70" s="385">
        <f t="shared" si="12"/>
        <v>29.567622749125668</v>
      </c>
      <c r="Z70" s="385">
        <f t="shared" si="22"/>
        <v>31.211289370835456</v>
      </c>
      <c r="AA70" s="386">
        <f t="shared" si="13"/>
        <v>33.751224641881535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7.5254610699201141E-2</v>
      </c>
      <c r="AD70" s="231">
        <f>(INDEX(Models!$BJ70:$BT70,,AH70)*(1-AF70)+INDEX(Models!$BJ70:$BT70,,AH70+1)*AF70-ERP_i)*AE70*Ramure*Pc/MaxiM</f>
        <v>2.4576567522968536E-3</v>
      </c>
      <c r="AE70" s="305">
        <f t="shared" si="15"/>
        <v>0.7</v>
      </c>
      <c r="AF70" s="177">
        <f t="shared" si="23"/>
        <v>0.50594715688997294</v>
      </c>
      <c r="AG70" s="919">
        <f t="shared" si="24"/>
        <v>1</v>
      </c>
      <c r="AH70" s="176">
        <f t="shared" si="16"/>
        <v>7</v>
      </c>
      <c r="AI70" s="225">
        <f t="shared" si="17"/>
        <v>1.5059471568899729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1090">
        <f>IF(t&gt;Tmaj,'2024'!Wh/'2024'!Env_an*'2025'!Env_an,0.001*'[4]mon-tableau'!$B$60)</f>
        <v>41.243688932464728</v>
      </c>
      <c r="C71" s="953"/>
      <c r="D71" s="393">
        <f t="shared" si="0"/>
        <v>43.537382630327578</v>
      </c>
      <c r="E71" s="385">
        <f t="shared" si="1"/>
        <v>45.559738987024616</v>
      </c>
      <c r="F71" s="385">
        <f t="shared" si="2"/>
        <v>45.671759028125585</v>
      </c>
      <c r="G71" s="110">
        <f t="shared" si="21"/>
        <v>1.0037563100773261</v>
      </c>
      <c r="H71" s="412" t="b">
        <f>Wh_hp&gt;='2024'!Maxi_hp</f>
        <v>1</v>
      </c>
      <c r="I71" s="390">
        <f>IF(H71,Wh_hp,'2024'!Maxi_hp)</f>
        <v>45.671759028125585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5.2683316251195378E-2</v>
      </c>
      <c r="M71" s="957"/>
      <c r="N71" s="957"/>
      <c r="O71" s="48">
        <f>IF(t&lt;Tnet,'2024'!Resal+('2024'!Salim-'2024'!Resal)*(1-EXP(('2024'!Tnet-t)/('2024'!Tau_j))),Resal+(Salim-Resal)*(1-EXP((Tnet-t)/(Tau_j))))*Salcycl</f>
        <v>4.4389112002441528E-2</v>
      </c>
      <c r="P71" s="169">
        <f>(INDEX(Models!$BJ71:$BT71,,T71)*(1-R71)+INDEX(Models!$BJ71:$BT71,,T71+1)*R71-ERP_i)*Q71*Ramure*Pc/MaxiM</f>
        <v>2.4527200940954877E-3</v>
      </c>
      <c r="Q71" s="305">
        <f t="shared" si="4"/>
        <v>0.7</v>
      </c>
      <c r="R71" s="177">
        <f t="shared" si="5"/>
        <v>0.50622048714553824</v>
      </c>
      <c r="S71" s="919">
        <f t="shared" si="6"/>
        <v>1</v>
      </c>
      <c r="T71" s="176">
        <f t="shared" si="7"/>
        <v>7</v>
      </c>
      <c r="U71" s="251">
        <f t="shared" si="8"/>
        <v>1.5062204871455382</v>
      </c>
      <c r="V71" s="383">
        <f t="shared" si="9"/>
        <v>41.089344613223361</v>
      </c>
      <c r="W71" s="402">
        <f t="shared" si="10"/>
        <v>41.243688932464728</v>
      </c>
      <c r="X71" s="157">
        <f t="shared" si="11"/>
        <v>45714</v>
      </c>
      <c r="Y71" s="385">
        <f t="shared" si="12"/>
        <v>39.908522390759373</v>
      </c>
      <c r="Z71" s="385">
        <f t="shared" si="22"/>
        <v>42.127963198990514</v>
      </c>
      <c r="AA71" s="386">
        <f t="shared" si="13"/>
        <v>45.559738987024616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7.5324746461156569E-2</v>
      </c>
      <c r="AD71" s="231">
        <f>(INDEX(Models!$BJ71:$BT71,,AH71)*(1-AF71)+INDEX(Models!$BJ71:$BT71,,AH71+1)*AF71-ERP_i)*AE71*Ramure*Pc/MaxiM</f>
        <v>2.4527200940954877E-3</v>
      </c>
      <c r="AE71" s="305">
        <f t="shared" si="15"/>
        <v>0.7</v>
      </c>
      <c r="AF71" s="177">
        <f t="shared" si="23"/>
        <v>0.50622048714553824</v>
      </c>
      <c r="AG71" s="919">
        <f t="shared" si="24"/>
        <v>1</v>
      </c>
      <c r="AH71" s="176">
        <f t="shared" si="16"/>
        <v>7</v>
      </c>
      <c r="AI71" s="225">
        <f t="shared" si="17"/>
        <v>1.5062204871455382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1090">
        <f>IF(t&gt;Tmaj,'2024'!Wh/'2024'!Env_an*'2025'!Env_an,0.001*'[4]mon-tableau'!$B$61)</f>
        <v>28.463130416430712</v>
      </c>
      <c r="C72" s="953"/>
      <c r="D72" s="393">
        <f t="shared" si="0"/>
        <v>30.046714402886867</v>
      </c>
      <c r="E72" s="385">
        <f t="shared" si="1"/>
        <v>31.445792776256329</v>
      </c>
      <c r="F72" s="385">
        <f t="shared" si="2"/>
        <v>31.488483864716414</v>
      </c>
      <c r="G72" s="110">
        <f t="shared" si="21"/>
        <v>0.68728573506358137</v>
      </c>
      <c r="H72" s="412" t="b">
        <f>Wh_hp&gt;='2024'!Maxi_hp</f>
        <v>0</v>
      </c>
      <c r="I72" s="390">
        <f>IF(H72,Wh_hp,'2024'!Maxi_hp)</f>
        <v>44.962572405256154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5.2704064917793669E-2</v>
      </c>
      <c r="M72" s="957"/>
      <c r="N72" s="957"/>
      <c r="O72" s="48">
        <f>IF(t&lt;Tnet,'2024'!Resal+('2024'!Salim-'2024'!Resal)*(1-EXP(('2024'!Tnet-t)/('2024'!Tau_j))),Resal+(Salim-Resal)*(1-EXP((Tnet-t)/(Tau_j))))*Salcycl</f>
        <v>4.4491750719220471E-2</v>
      </c>
      <c r="P72" s="169">
        <f>(INDEX(Models!$BJ72:$BT72,,T72)*(1-R72)+INDEX(Models!$BJ72:$BT72,,T72+1)*R72-ERP_i)*Q72*Ramure*Pc/MaxiM</f>
        <v>2.4457424418473164E-3</v>
      </c>
      <c r="Q72" s="305">
        <f t="shared" si="4"/>
        <v>0.7</v>
      </c>
      <c r="R72" s="177">
        <f t="shared" si="5"/>
        <v>0.5065049627403484</v>
      </c>
      <c r="S72" s="919">
        <f t="shared" si="6"/>
        <v>1</v>
      </c>
      <c r="T72" s="176">
        <f t="shared" si="7"/>
        <v>7</v>
      </c>
      <c r="U72" s="251">
        <f t="shared" si="8"/>
        <v>1.5065049627403484</v>
      </c>
      <c r="V72" s="383">
        <f t="shared" si="9"/>
        <v>41.368622643227923</v>
      </c>
      <c r="W72" s="402">
        <f t="shared" si="10"/>
        <v>28.463130416430712</v>
      </c>
      <c r="X72" s="157">
        <f t="shared" si="11"/>
        <v>45715</v>
      </c>
      <c r="Y72" s="385">
        <f t="shared" si="12"/>
        <v>27.542576145370059</v>
      </c>
      <c r="Z72" s="385">
        <f t="shared" si="22"/>
        <v>29.074943874830325</v>
      </c>
      <c r="AA72" s="386">
        <f t="shared" si="13"/>
        <v>31.445792776256329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7.5394788685885936E-2</v>
      </c>
      <c r="AD72" s="231">
        <f>(INDEX(Models!$BJ72:$BT72,,AH72)*(1-AF72)+INDEX(Models!$BJ72:$BT72,,AH72+1)*AF72-ERP_i)*AE72*Ramure*Pc/MaxiM</f>
        <v>2.4457424418473164E-3</v>
      </c>
      <c r="AE72" s="305">
        <f t="shared" si="15"/>
        <v>0.7</v>
      </c>
      <c r="AF72" s="177">
        <f t="shared" si="23"/>
        <v>0.5065049627403484</v>
      </c>
      <c r="AG72" s="919">
        <f t="shared" si="24"/>
        <v>1</v>
      </c>
      <c r="AH72" s="176">
        <f t="shared" si="16"/>
        <v>7</v>
      </c>
      <c r="AI72" s="225">
        <f t="shared" si="17"/>
        <v>1.5065049627403484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1090">
        <f>IF(t&gt;Tmaj,'2024'!Wh/'2024'!Env_an*'2025'!Env_an,0.001*'[4]mon-tableau'!$B$62)</f>
        <v>32.976886540093588</v>
      </c>
      <c r="C73" s="953"/>
      <c r="D73" s="393">
        <f t="shared" si="0"/>
        <v>34.812361811201121</v>
      </c>
      <c r="E73" s="385">
        <f t="shared" si="1"/>
        <v>36.437254695558046</v>
      </c>
      <c r="F73" s="385">
        <f t="shared" si="2"/>
        <v>36.499730152717028</v>
      </c>
      <c r="G73" s="110">
        <f t="shared" si="21"/>
        <v>0.79125473404136326</v>
      </c>
      <c r="H73" s="412" t="b">
        <f>Wh_hp&gt;='2024'!Maxi_hp</f>
        <v>0</v>
      </c>
      <c r="I73" s="390">
        <f>IF(H73,Wh_hp,'2024'!Maxi_hp)</f>
        <v>37.080698817786207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5.2724813129942816E-2</v>
      </c>
      <c r="M73" s="957"/>
      <c r="N73" s="957"/>
      <c r="O73" s="48">
        <f>IF(t&lt;Tnet,'2024'!Resal+('2024'!Salim-'2024'!Resal)*(1-EXP(('2024'!Tnet-t)/('2024'!Tau_j))),Resal+(Salim-Resal)*(1-EXP((Tnet-t)/(Tau_j))))*Salcycl</f>
        <v>4.4594273029987877E-2</v>
      </c>
      <c r="P73" s="169">
        <f>(INDEX(Models!$BJ73:$BT73,,T73)*(1-R73)+INDEX(Models!$BJ73:$BT73,,T73+1)*R73-ERP_i)*Q73*Ramure*Pc/MaxiM</f>
        <v>2.4361462718223304E-3</v>
      </c>
      <c r="Q73" s="305">
        <f t="shared" si="4"/>
        <v>0.7</v>
      </c>
      <c r="R73" s="177">
        <f t="shared" si="5"/>
        <v>0.50680102431293594</v>
      </c>
      <c r="S73" s="919">
        <f t="shared" si="6"/>
        <v>1</v>
      </c>
      <c r="T73" s="176">
        <f t="shared" si="7"/>
        <v>7</v>
      </c>
      <c r="U73" s="251">
        <f t="shared" si="8"/>
        <v>1.5068010243129359</v>
      </c>
      <c r="V73" s="383">
        <f t="shared" si="9"/>
        <v>41.646454870328213</v>
      </c>
      <c r="W73" s="402">
        <f t="shared" si="10"/>
        <v>32.976886540093588</v>
      </c>
      <c r="X73" s="157">
        <f t="shared" si="11"/>
        <v>45716</v>
      </c>
      <c r="Y73" s="385">
        <f t="shared" si="12"/>
        <v>31.911358130120156</v>
      </c>
      <c r="Z73" s="385">
        <f t="shared" si="22"/>
        <v>33.687526679084868</v>
      </c>
      <c r="AA73" s="386">
        <f t="shared" si="13"/>
        <v>36.437254695558046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7.5464741771788538E-2</v>
      </c>
      <c r="AD73" s="231">
        <f>(INDEX(Models!$BJ73:$BT73,,AH73)*(1-AF73)+INDEX(Models!$BJ73:$BT73,,AH73+1)*AF73-ERP_i)*AE73*Ramure*Pc/MaxiM</f>
        <v>2.4361462718223304E-3</v>
      </c>
      <c r="AE73" s="305">
        <f t="shared" si="15"/>
        <v>0.7</v>
      </c>
      <c r="AF73" s="177">
        <f t="shared" si="23"/>
        <v>0.50680102431293594</v>
      </c>
      <c r="AG73" s="919">
        <f t="shared" si="24"/>
        <v>1</v>
      </c>
      <c r="AH73" s="176">
        <f t="shared" si="16"/>
        <v>7</v>
      </c>
      <c r="AI73" s="225">
        <f t="shared" si="17"/>
        <v>1.5068010243129359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1090">
        <f>IF(t&gt;Tmaj,'2024'!Wh/'2024'!Env_an*'2025'!Env_an,0.001*'[5]mon-tableau'!$B$38)</f>
        <v>42.14879086722658</v>
      </c>
      <c r="C74" s="953"/>
      <c r="D74" s="393">
        <f t="shared" si="0"/>
        <v>44.495743832800997</v>
      </c>
      <c r="E74" s="385">
        <f t="shared" si="1"/>
        <v>46.577608404153125</v>
      </c>
      <c r="F74" s="385">
        <f t="shared" si="2"/>
        <v>46.69078585834697</v>
      </c>
      <c r="G74" s="110">
        <f t="shared" si="21"/>
        <v>1.0053873048316821</v>
      </c>
      <c r="H74" s="412" t="b">
        <f>Wh_hp&gt;='2024'!Maxi_hp</f>
        <v>1</v>
      </c>
      <c r="I74" s="390">
        <f>IF(H74,Wh_hp,'2024'!Maxi_hp)</f>
        <v>46.69078585834697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5.2745560887653031E-2</v>
      </c>
      <c r="M74" s="957"/>
      <c r="N74" s="957"/>
      <c r="O74" s="48">
        <f>IF(t&lt;Tnet,'2024'!Resal+('2024'!Salim-'2024'!Resal)*(1-EXP(('2024'!Tnet-t)/('2024'!Tau_j))),Resal+(Salim-Resal)*(1-EXP((Tnet-t)/(Tau_j))))*Salcycl</f>
        <v>4.4696682433495095E-2</v>
      </c>
      <c r="P74" s="169">
        <f>(INDEX(Models!$BJ74:$BT74,,T74)*(1-R74)+INDEX(Models!$BJ74:$BT74,,T74+1)*R74-ERP_i)*Q74*Ramure*Pc/MaxiM</f>
        <v>2.4239783527569315E-3</v>
      </c>
      <c r="Q74" s="305">
        <f t="shared" si="4"/>
        <v>0.7</v>
      </c>
      <c r="R74" s="177">
        <f t="shared" si="5"/>
        <v>0.50710912875799474</v>
      </c>
      <c r="S74" s="919">
        <f t="shared" si="6"/>
        <v>1</v>
      </c>
      <c r="T74" s="176">
        <f t="shared" si="7"/>
        <v>7</v>
      </c>
      <c r="U74" s="251">
        <f t="shared" si="8"/>
        <v>1.5071091287579947</v>
      </c>
      <c r="V74" s="383">
        <f t="shared" si="9"/>
        <v>41.922939214239392</v>
      </c>
      <c r="W74" s="402">
        <f t="shared" si="10"/>
        <v>42.14879086722658</v>
      </c>
      <c r="X74" s="157">
        <f t="shared" si="11"/>
        <v>45717</v>
      </c>
      <c r="Y74" s="385">
        <f t="shared" si="12"/>
        <v>40.78819533399809</v>
      </c>
      <c r="Z74" s="385">
        <f t="shared" si="22"/>
        <v>43.059386844594663</v>
      </c>
      <c r="AA74" s="386">
        <f t="shared" si="13"/>
        <v>46.577608404153125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7.5534611589133452E-2</v>
      </c>
      <c r="AD74" s="231">
        <f>(INDEX(Models!$BJ74:$BT74,,AH74)*(1-AF74)+INDEX(Models!$BJ74:$BT74,,AH74+1)*AF74-ERP_i)*AE74*Ramure*Pc/MaxiM</f>
        <v>2.4239783527569315E-3</v>
      </c>
      <c r="AE74" s="305">
        <f t="shared" si="15"/>
        <v>0.7</v>
      </c>
      <c r="AF74" s="177">
        <f t="shared" si="23"/>
        <v>0.50710912875799474</v>
      </c>
      <c r="AG74" s="919">
        <f t="shared" si="24"/>
        <v>1</v>
      </c>
      <c r="AH74" s="176">
        <f t="shared" si="16"/>
        <v>7</v>
      </c>
      <c r="AI74" s="225">
        <f t="shared" si="17"/>
        <v>1.5071091287579947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1090">
        <f>IF(t&gt;Tmaj,'2024'!Wh/'2024'!Env_an*'2025'!Env_an,0.001*'[5]mon-tableau'!$B$39)</f>
        <v>10.62945554076326</v>
      </c>
      <c r="C75" s="953"/>
      <c r="D75" s="393">
        <f t="shared" si="0"/>
        <v>11.221576716156164</v>
      </c>
      <c r="E75" s="385">
        <f t="shared" si="1"/>
        <v>11.747869317987833</v>
      </c>
      <c r="F75" s="385">
        <f t="shared" si="2"/>
        <v>11.747869317987833</v>
      </c>
      <c r="G75" s="110">
        <f t="shared" si="21"/>
        <v>0.25128685169575327</v>
      </c>
      <c r="H75" s="412" t="b">
        <f>Wh_hp&gt;='2024'!Maxi_hp</f>
        <v>0</v>
      </c>
      <c r="I75" s="390">
        <f>IF(H75,Wh_hp,'2024'!Maxi_hp)</f>
        <v>32.956677810715547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5.2766308190933975E-2</v>
      </c>
      <c r="M75" s="957"/>
      <c r="N75" s="957"/>
      <c r="O75" s="48">
        <f>IF(t&lt;Tnet,'2024'!Resal+('2024'!Salim-'2024'!Resal)*(1-EXP(('2024'!Tnet-t)/('2024'!Tau_j))),Resal+(Salim-Resal)*(1-EXP((Tnet-t)/(Tau_j))))*Salcycl</f>
        <v>4.4798983337840777E-2</v>
      </c>
      <c r="P75" s="169">
        <f>(INDEX(Models!$BJ75:$BT75,,T75)*(1-R75)+INDEX(Models!$BJ75:$BT75,,T75+1)*R75-ERP_i)*Q75*Ramure*Pc/MaxiM</f>
        <v>2.4092844404529474E-3</v>
      </c>
      <c r="Q75" s="305">
        <f t="shared" si="4"/>
        <v>0.7</v>
      </c>
      <c r="R75" s="177">
        <f t="shared" si="5"/>
        <v>0.50742974972725641</v>
      </c>
      <c r="S75" s="919">
        <f t="shared" si="6"/>
        <v>1</v>
      </c>
      <c r="T75" s="176">
        <f t="shared" si="7"/>
        <v>7</v>
      </c>
      <c r="U75" s="251">
        <f t="shared" si="8"/>
        <v>1.5074297497272564</v>
      </c>
      <c r="V75" s="383">
        <f t="shared" si="9"/>
        <v>42.198173471316636</v>
      </c>
      <c r="W75" s="402">
        <f t="shared" si="10"/>
        <v>10.62945554076326</v>
      </c>
      <c r="X75" s="157">
        <f t="shared" si="11"/>
        <v>45718</v>
      </c>
      <c r="Y75" s="385">
        <f t="shared" si="12"/>
        <v>10.2866534920928</v>
      </c>
      <c r="Z75" s="385">
        <f t="shared" si="22"/>
        <v>10.859678642180604</v>
      </c>
      <c r="AA75" s="386">
        <f t="shared" si="13"/>
        <v>11.747869317987833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7.5604405510986475E-2</v>
      </c>
      <c r="AD75" s="231">
        <f>(INDEX(Models!$BJ75:$BT75,,AH75)*(1-AF75)+INDEX(Models!$BJ75:$BT75,,AH75+1)*AF75-ERP_i)*AE75*Ramure*Pc/MaxiM</f>
        <v>2.4092844404529474E-3</v>
      </c>
      <c r="AE75" s="305">
        <f t="shared" si="15"/>
        <v>0.7</v>
      </c>
      <c r="AF75" s="177">
        <f t="shared" si="23"/>
        <v>0.50742974972725641</v>
      </c>
      <c r="AG75" s="919">
        <f t="shared" si="24"/>
        <v>1</v>
      </c>
      <c r="AH75" s="176">
        <f t="shared" si="16"/>
        <v>7</v>
      </c>
      <c r="AI75" s="225">
        <f t="shared" si="17"/>
        <v>1.5074297497272564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1090">
        <f>IF(t&gt;Tmaj,'2024'!Wh/'2024'!Env_an*'2025'!Env_an,0.001*'[5]mon-tableau'!$B$40)</f>
        <v>39.852390172753772</v>
      </c>
      <c r="C76" s="953"/>
      <c r="D76" s="393">
        <f t="shared" si="0"/>
        <v>42.073316654712855</v>
      </c>
      <c r="E76" s="385">
        <f t="shared" si="1"/>
        <v>44.05127073890305</v>
      </c>
      <c r="F76" s="385">
        <f t="shared" si="2"/>
        <v>44.147570548128343</v>
      </c>
      <c r="G76" s="110">
        <f t="shared" si="21"/>
        <v>0.93811762290465839</v>
      </c>
      <c r="H76" s="412" t="b">
        <f>Wh_hp&gt;='2024'!Maxi_hp</f>
        <v>0</v>
      </c>
      <c r="I76" s="390">
        <f>IF(H76,Wh_hp,'2024'!Maxi_hp)</f>
        <v>44.153749243212872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5.2787055039795749E-2</v>
      </c>
      <c r="M76" s="957"/>
      <c r="N76" s="957"/>
      <c r="O76" s="48">
        <f>IF(t&lt;Tnet,'2024'!Resal+('2024'!Salim-'2024'!Resal)*(1-EXP(('2024'!Tnet-t)/('2024'!Tau_j))),Resal+(Salim-Resal)*(1-EXP((Tnet-t)/(Tau_j))))*Salcycl</f>
        <v>4.4901181078606266E-2</v>
      </c>
      <c r="P76" s="169">
        <f>(INDEX(Models!$BJ76:$BT76,,T76)*(1-R76)+INDEX(Models!$BJ76:$BT76,,T76+1)*R76-ERP_i)*Q76*Ramure*Pc/MaxiM</f>
        <v>2.392109367827926E-3</v>
      </c>
      <c r="Q76" s="305">
        <f t="shared" si="4"/>
        <v>0.7</v>
      </c>
      <c r="R76" s="177">
        <f t="shared" si="5"/>
        <v>0.50776337813711425</v>
      </c>
      <c r="S76" s="919">
        <f t="shared" si="6"/>
        <v>1</v>
      </c>
      <c r="T76" s="176">
        <f t="shared" si="7"/>
        <v>7</v>
      </c>
      <c r="U76" s="251">
        <f t="shared" si="8"/>
        <v>1.5077633781371143</v>
      </c>
      <c r="V76" s="383">
        <f t="shared" si="9"/>
        <v>42.472255314763828</v>
      </c>
      <c r="W76" s="402">
        <f t="shared" si="10"/>
        <v>39.852390172753772</v>
      </c>
      <c r="X76" s="157">
        <f t="shared" si="11"/>
        <v>45719</v>
      </c>
      <c r="Y76" s="385">
        <f t="shared" si="12"/>
        <v>38.568360039034268</v>
      </c>
      <c r="Z76" s="385">
        <f t="shared" si="22"/>
        <v>40.717729043129431</v>
      </c>
      <c r="AA76" s="386">
        <f t="shared" si="13"/>
        <v>44.05127073890305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7.5674132433815766E-2</v>
      </c>
      <c r="AD76" s="231">
        <f>(INDEX(Models!$BJ76:$BT76,,AH76)*(1-AF76)+INDEX(Models!$BJ76:$BT76,,AH76+1)*AF76-ERP_i)*AE76*Ramure*Pc/MaxiM</f>
        <v>2.392109367827926E-3</v>
      </c>
      <c r="AE76" s="305">
        <f t="shared" si="15"/>
        <v>0.7</v>
      </c>
      <c r="AF76" s="177">
        <f t="shared" si="23"/>
        <v>0.50776337813711425</v>
      </c>
      <c r="AG76" s="919">
        <f t="shared" si="24"/>
        <v>1</v>
      </c>
      <c r="AH76" s="176">
        <f t="shared" si="16"/>
        <v>7</v>
      </c>
      <c r="AI76" s="225">
        <f t="shared" si="17"/>
        <v>1.5077633781371143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1090">
        <f>IF(t&gt;Tmaj,'2024'!Wh/'2024'!Env_an*'2025'!Env_an,0.001*'[5]mon-tableau'!$B$41)</f>
        <v>4.2608697149667583</v>
      </c>
      <c r="C77" s="953"/>
      <c r="D77" s="393">
        <f t="shared" si="0"/>
        <v>4.4984214623163199</v>
      </c>
      <c r="E77" s="385">
        <f t="shared" si="1"/>
        <v>4.7104051534456337</v>
      </c>
      <c r="F77" s="385">
        <f t="shared" si="2"/>
        <v>4.7104051534456337</v>
      </c>
      <c r="G77" s="110">
        <f t="shared" si="21"/>
        <v>9.9443975707275839E-2</v>
      </c>
      <c r="H77" s="412" t="b">
        <f>Wh_hp&gt;='2024'!Maxi_hp</f>
        <v>0</v>
      </c>
      <c r="I77" s="390">
        <f>IF(H77,Wh_hp,'2024'!Maxi_hp)</f>
        <v>33.323703114447028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5.2807801434248347E-2</v>
      </c>
      <c r="M77" s="957"/>
      <c r="N77" s="957"/>
      <c r="O77" s="48">
        <f>IF(t&lt;Tnet,'2024'!Resal+('2024'!Salim-'2024'!Resal)*(1-EXP(('2024'!Tnet-t)/('2024'!Tau_j))),Resal+(Salim-Resal)*(1-EXP((Tnet-t)/(Tau_j))))*Salcycl</f>
        <v>4.5003281930907614E-2</v>
      </c>
      <c r="P77" s="169">
        <f>(INDEX(Models!$BJ77:$BT77,,T77)*(1-R77)+INDEX(Models!$BJ77:$BT77,,T77+1)*R77-ERP_i)*Q77*Ramure*Pc/MaxiM</f>
        <v>2.3724971139744556E-3</v>
      </c>
      <c r="Q77" s="305">
        <f t="shared" si="4"/>
        <v>0.7</v>
      </c>
      <c r="R77" s="177">
        <f t="shared" si="5"/>
        <v>0.50811052268221246</v>
      </c>
      <c r="S77" s="919">
        <f t="shared" si="6"/>
        <v>1</v>
      </c>
      <c r="T77" s="176">
        <f t="shared" si="7"/>
        <v>7</v>
      </c>
      <c r="U77" s="251">
        <f t="shared" si="8"/>
        <v>1.5081105226822125</v>
      </c>
      <c r="V77" s="383">
        <f t="shared" si="9"/>
        <v>42.745282292187873</v>
      </c>
      <c r="W77" s="402">
        <f t="shared" si="10"/>
        <v>4.2608697149667583</v>
      </c>
      <c r="X77" s="157">
        <f t="shared" si="11"/>
        <v>45720</v>
      </c>
      <c r="Y77" s="385">
        <f t="shared" si="12"/>
        <v>4.1237159930082443</v>
      </c>
      <c r="Z77" s="385">
        <f t="shared" si="22"/>
        <v>4.3536211544525161</v>
      </c>
      <c r="AA77" s="386">
        <f t="shared" si="13"/>
        <v>4.7104051534456337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7.5743802787777662E-2</v>
      </c>
      <c r="AD77" s="231">
        <f>(INDEX(Models!$BJ77:$BT77,,AH77)*(1-AF77)+INDEX(Models!$BJ77:$BT77,,AH77+1)*AF77-ERP_i)*AE77*Ramure*Pc/MaxiM</f>
        <v>2.3724971139744556E-3</v>
      </c>
      <c r="AE77" s="305">
        <f t="shared" si="15"/>
        <v>0.7</v>
      </c>
      <c r="AF77" s="177">
        <f t="shared" si="23"/>
        <v>0.50811052268221246</v>
      </c>
      <c r="AG77" s="919">
        <f t="shared" si="24"/>
        <v>1</v>
      </c>
      <c r="AH77" s="176">
        <f t="shared" si="16"/>
        <v>7</v>
      </c>
      <c r="AI77" s="225">
        <f t="shared" si="17"/>
        <v>1.5081105226822125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1090">
        <f>IF(t&gt;Tmaj,'2024'!Wh/'2024'!Env_an*'2025'!Env_an,0.001*'[5]mon-tableau'!$B$42)</f>
        <v>15.148575588660572</v>
      </c>
      <c r="C78" s="953"/>
      <c r="D78" s="393">
        <f t="shared" si="0"/>
        <v>15.993488345395647</v>
      </c>
      <c r="E78" s="385">
        <f t="shared" si="1"/>
        <v>16.748954863908274</v>
      </c>
      <c r="F78" s="385">
        <f t="shared" si="2"/>
        <v>16.751888333151346</v>
      </c>
      <c r="G78" s="110">
        <f t="shared" si="21"/>
        <v>0.35138415768079861</v>
      </c>
      <c r="H78" s="412" t="b">
        <f>Wh_hp&gt;='2024'!Maxi_hp</f>
        <v>0</v>
      </c>
      <c r="I78" s="390">
        <f>IF(H78,Wh_hp,'2024'!Maxi_hp)</f>
        <v>47.032781812856342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5.2828547374301649E-2</v>
      </c>
      <c r="M78" s="957"/>
      <c r="N78" s="957"/>
      <c r="O78" s="48">
        <f>IF(t&lt;Tnet,'2024'!Resal+('2024'!Salim-'2024'!Resal)*(1-EXP(('2024'!Tnet-t)/('2024'!Tau_j))),Resal+(Salim-Resal)*(1-EXP((Tnet-t)/(Tau_j))))*Salcycl</f>
        <v>4.5105293115366638E-2</v>
      </c>
      <c r="P78" s="169">
        <f>(INDEX(Models!$BJ78:$BT78,,T78)*(1-R78)+INDEX(Models!$BJ78:$BT78,,T78+1)*R78-ERP_i)*Q78*Ramure*Pc/MaxiM</f>
        <v>2.3504908529506357E-3</v>
      </c>
      <c r="Q78" s="305">
        <f t="shared" si="4"/>
        <v>0.7</v>
      </c>
      <c r="R78" s="177">
        <f t="shared" si="5"/>
        <v>0.5084717103541081</v>
      </c>
      <c r="S78" s="919">
        <f t="shared" si="6"/>
        <v>1</v>
      </c>
      <c r="T78" s="176">
        <f t="shared" si="7"/>
        <v>7</v>
      </c>
      <c r="U78" s="251">
        <f t="shared" si="8"/>
        <v>1.5084717103541081</v>
      </c>
      <c r="V78" s="383">
        <f t="shared" si="9"/>
        <v>43.017351826995508</v>
      </c>
      <c r="W78" s="402">
        <f t="shared" si="10"/>
        <v>15.148575588660572</v>
      </c>
      <c r="X78" s="157">
        <f t="shared" si="11"/>
        <v>45721</v>
      </c>
      <c r="Y78" s="385">
        <f t="shared" si="12"/>
        <v>14.661417677673866</v>
      </c>
      <c r="Z78" s="385">
        <f t="shared" si="22"/>
        <v>15.479159171267527</v>
      </c>
      <c r="AA78" s="386">
        <f t="shared" si="13"/>
        <v>16.748954863908274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7.5813428536784952E-2</v>
      </c>
      <c r="AD78" s="231">
        <f>(INDEX(Models!$BJ78:$BT78,,AH78)*(1-AF78)+INDEX(Models!$BJ78:$BT78,,AH78+1)*AF78-ERP_i)*AE78*Ramure*Pc/MaxiM</f>
        <v>2.3504908529506357E-3</v>
      </c>
      <c r="AE78" s="305">
        <f t="shared" si="15"/>
        <v>0.7</v>
      </c>
      <c r="AF78" s="177">
        <f t="shared" si="23"/>
        <v>0.5084717103541081</v>
      </c>
      <c r="AG78" s="919">
        <f t="shared" si="24"/>
        <v>1</v>
      </c>
      <c r="AH78" s="176">
        <f t="shared" si="16"/>
        <v>7</v>
      </c>
      <c r="AI78" s="225">
        <f t="shared" si="17"/>
        <v>1.5084717103541081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1090">
        <f>IF(t&gt;Tmaj,'2024'!Wh/'2024'!Env_an*'2025'!Env_an,0.001*'[5]mon-tableau'!$B$43)</f>
        <v>21.447421643768426</v>
      </c>
      <c r="C79" s="953"/>
      <c r="D79" s="393">
        <f t="shared" ref="D79:D142" si="25">Wh/(1-Ppv)</f>
        <v>22.64414890057984</v>
      </c>
      <c r="E79" s="385">
        <f t="shared" si="1"/>
        <v>23.716296814623533</v>
      </c>
      <c r="F79" s="385">
        <f t="shared" ref="F79:F142" si="26">Wh_sa/(1-Pvg*MEDIAN((-Sdif+Wh/Env_an)/Csdif,0,1))</f>
        <v>23.731710011962623</v>
      </c>
      <c r="G79" s="110">
        <f t="shared" si="21"/>
        <v>0.49461671836732113</v>
      </c>
      <c r="H79" s="412" t="b">
        <f>Wh_hp&gt;='2024'!Maxi_hp</f>
        <v>0</v>
      </c>
      <c r="I79" s="390">
        <f>IF(H79,Wh_hp,'2024'!Maxi_hp)</f>
        <v>24.181479709212134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5.2849292859965646E-2</v>
      </c>
      <c r="M79" s="957"/>
      <c r="N79" s="957"/>
      <c r="O79" s="48">
        <f>IF(t&lt;Tnet,'2024'!Resal+('2024'!Salim-'2024'!Resal)*(1-EXP(('2024'!Tnet-t)/('2024'!Tau_j))),Resal+(Salim-Resal)*(1-EXP((Tnet-t)/(Tau_j))))*Salcycl</f>
        <v>4.5207222798063697E-2</v>
      </c>
      <c r="P79" s="169">
        <f>(INDEX(Models!$BJ79:$BT79,,T79)*(1-R79)+INDEX(Models!$BJ79:$BT79,,T79+1)*R79-ERP_i)*Q79*Ramure*Pc/MaxiM</f>
        <v>2.3261120998736592E-3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0.50884748696400628</v>
      </c>
      <c r="S79" s="91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1.5088474869640063</v>
      </c>
      <c r="V79" s="383">
        <f t="shared" ref="V79:V142" si="33">MaxiM*(1-Ppv)*(1-Pvg)*(1-Psa)</f>
        <v>43.288950770257621</v>
      </c>
      <c r="W79" s="402">
        <f t="shared" ref="W79:W142" si="34">Wh*(A79&gt;Tmaj)</f>
        <v>21.447421643768426</v>
      </c>
      <c r="X79" s="157">
        <f t="shared" ref="X79:X142" si="35">t</f>
        <v>45722</v>
      </c>
      <c r="Y79" s="385">
        <f t="shared" ref="Y79:Y142" si="36">Wh_pvt_s*(1-Ppv)</f>
        <v>20.758353983732157</v>
      </c>
      <c r="Z79" s="385">
        <f t="shared" ref="Z79:Z142" si="37">Wh_sa_s*(1-Psa_s)</f>
        <v>21.916632513967045</v>
      </c>
      <c r="AA79" s="386">
        <f t="shared" ref="AA79:AA142" si="38">Wh_hp*(1-Pvg_s*MEDIAN((-Sdif+Wh/Env_an)/Csdif,0,1))</f>
        <v>23.716296814623533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7.5883023168558508E-2</v>
      </c>
      <c r="AD79" s="231">
        <f>(INDEX(Models!$BJ79:$BT79,,AH79)*(1-AF79)+INDEX(Models!$BJ79:$BT79,,AH79+1)*AF79-ERP_i)*AE79*Ramure*Pc/MaxiM</f>
        <v>2.3261120998736592E-3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0.50884748696400628</v>
      </c>
      <c r="AG79" s="91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1.5088474869640063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1090">
        <f>IF(t&gt;Tmaj,'2024'!Wh/'2024'!Env_an*'2025'!Env_an,0.001*'[5]mon-tableau'!$B$44)</f>
        <v>32.542203235859084</v>
      </c>
      <c r="C80" s="953"/>
      <c r="D80" s="393">
        <f t="shared" si="25"/>
        <v>34.35875174237448</v>
      </c>
      <c r="E80" s="385">
        <f t="shared" ref="E80:E143" si="47">Wh_pvt/(1-Psa)</f>
        <v>35.989398270823493</v>
      </c>
      <c r="F80" s="385">
        <f t="shared" si="26"/>
        <v>36.042301586287969</v>
      </c>
      <c r="G80" s="110">
        <f t="shared" ref="G80:G143" si="48">+Wh_hp/MaxiM</f>
        <v>0.74643878443784362</v>
      </c>
      <c r="H80" s="412" t="b">
        <f>Wh_hp&gt;='2024'!Maxi_hp</f>
        <v>0</v>
      </c>
      <c r="I80" s="390">
        <f>IF(H80,Wh_hp,'2024'!Maxi_hp)</f>
        <v>43.018931785268983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5.2870037891250221E-2</v>
      </c>
      <c r="M80" s="957"/>
      <c r="N80" s="957"/>
      <c r="O80" s="48">
        <f>IF(t&lt;Tnet,'2024'!Resal+('2024'!Salim-'2024'!Resal)*(1-EXP(('2024'!Tnet-t)/('2024'!Tau_j))),Resal+(Salim-Resal)*(1-EXP((Tnet-t)/(Tau_j))))*Salcycl</f>
        <v>4.5309080084591738E-2</v>
      </c>
      <c r="P80" s="169">
        <f>(INDEX(Models!$BJ80:$BT80,,T80)*(1-R80)+INDEX(Models!$BJ80:$BT80,,T80+1)*R80-ERP_i)*Q80*Ramure*Pc/MaxiM</f>
        <v>2.2982776767871672E-3</v>
      </c>
      <c r="Q80" s="305">
        <f t="shared" si="28"/>
        <v>0.7</v>
      </c>
      <c r="R80" s="177">
        <f t="shared" si="29"/>
        <v>0.50923841766844191</v>
      </c>
      <c r="S80" s="919">
        <f t="shared" si="30"/>
        <v>1</v>
      </c>
      <c r="T80" s="176">
        <f t="shared" si="31"/>
        <v>7</v>
      </c>
      <c r="U80" s="251">
        <f t="shared" si="32"/>
        <v>1.5092384176684419</v>
      </c>
      <c r="V80" s="383">
        <f t="shared" si="33"/>
        <v>43.560354845050647</v>
      </c>
      <c r="W80" s="402">
        <f t="shared" si="34"/>
        <v>32.542203235859084</v>
      </c>
      <c r="X80" s="157">
        <f t="shared" si="35"/>
        <v>45723</v>
      </c>
      <c r="Y80" s="385">
        <f t="shared" si="36"/>
        <v>31.497668626119211</v>
      </c>
      <c r="Z80" s="385">
        <f t="shared" si="37"/>
        <v>33.255909839438317</v>
      </c>
      <c r="AA80" s="386">
        <f t="shared" si="38"/>
        <v>35.989398270823493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7.5952601674955086E-2</v>
      </c>
      <c r="AD80" s="231">
        <f>(INDEX(Models!$BJ80:$BT80,,AH80)*(1-AF80)+INDEX(Models!$BJ80:$BT80,,AH80+1)*AF80-ERP_i)*AE80*Ramure*Pc/MaxiM</f>
        <v>2.2982776767871672E-3</v>
      </c>
      <c r="AE80" s="305">
        <f t="shared" si="40"/>
        <v>0.7</v>
      </c>
      <c r="AF80" s="177">
        <f t="shared" si="41"/>
        <v>0.50923841766844191</v>
      </c>
      <c r="AG80" s="919">
        <f t="shared" ref="AG80:AG143" si="49">INDEX(Echel_vg,AH80)</f>
        <v>1</v>
      </c>
      <c r="AH80" s="176">
        <f t="shared" si="42"/>
        <v>7</v>
      </c>
      <c r="AI80" s="225">
        <f t="shared" si="43"/>
        <v>1.5092384176684419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1090">
        <f>IF(t&gt;Tmaj,'2024'!Wh/'2024'!Env_an*'2025'!Env_an,0.001*'[5]mon-tableau'!$B$45)</f>
        <v>31.217534703194413</v>
      </c>
      <c r="C81" s="953"/>
      <c r="D81" s="393">
        <f t="shared" si="25"/>
        <v>32.960860400606457</v>
      </c>
      <c r="E81" s="385">
        <f t="shared" si="47"/>
        <v>34.528845487209985</v>
      </c>
      <c r="F81" s="385">
        <f t="shared" si="26"/>
        <v>34.575020721667983</v>
      </c>
      <c r="G81" s="110">
        <f t="shared" si="48"/>
        <v>0.71155624034369991</v>
      </c>
      <c r="H81" s="412" t="b">
        <f>Wh_hp&gt;='2024'!Maxi_hp</f>
        <v>0</v>
      </c>
      <c r="I81" s="390">
        <f>IF(H81,Wh_hp,'2024'!Maxi_hp)</f>
        <v>34.596892262682907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5.2890782468165365E-2</v>
      </c>
      <c r="M81" s="957"/>
      <c r="N81" s="957"/>
      <c r="O81" s="48">
        <f>IF(t&lt;Tnet,'2024'!Resal+('2024'!Salim-'2024'!Resal)*(1-EXP(('2024'!Tnet-t)/('2024'!Tau_j))),Resal+(Salim-Resal)*(1-EXP((Tnet-t)/(Tau_j))))*Salcycl</f>
        <v>4.541087500838497E-2</v>
      </c>
      <c r="P81" s="169">
        <f>(INDEX(Models!$BJ81:$BT81,,T81)*(1-R81)+INDEX(Models!$BJ81:$BT81,,T81+1)*R81-ERP_i)*Q81*Ramure*Pc/MaxiM</f>
        <v>2.2678504747964817E-3</v>
      </c>
      <c r="Q81" s="305">
        <f t="shared" si="28"/>
        <v>0.7</v>
      </c>
      <c r="R81" s="177">
        <f t="shared" si="29"/>
        <v>0.50964508749665205</v>
      </c>
      <c r="S81" s="919">
        <f t="shared" si="30"/>
        <v>1</v>
      </c>
      <c r="T81" s="176">
        <f t="shared" si="31"/>
        <v>7</v>
      </c>
      <c r="U81" s="251">
        <f t="shared" si="32"/>
        <v>1.509645087496652</v>
      </c>
      <c r="V81" s="383">
        <f t="shared" si="33"/>
        <v>43.831237216077135</v>
      </c>
      <c r="W81" s="402">
        <f t="shared" si="34"/>
        <v>31.217534703194413</v>
      </c>
      <c r="X81" s="157">
        <f t="shared" si="35"/>
        <v>45724</v>
      </c>
      <c r="Y81" s="385">
        <f t="shared" si="36"/>
        <v>30.216465795962268</v>
      </c>
      <c r="Z81" s="385">
        <f t="shared" si="37"/>
        <v>31.903887362332231</v>
      </c>
      <c r="AA81" s="386">
        <f t="shared" si="38"/>
        <v>34.528845487209985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7.6022180522950872E-2</v>
      </c>
      <c r="AD81" s="231">
        <f>(INDEX(Models!$BJ81:$BT81,,AH81)*(1-AF81)+INDEX(Models!$BJ81:$BT81,,AH81+1)*AF81-ERP_i)*AE81*Ramure*Pc/MaxiM</f>
        <v>2.2678504747964817E-3</v>
      </c>
      <c r="AE81" s="305">
        <f t="shared" si="40"/>
        <v>0.7</v>
      </c>
      <c r="AF81" s="177">
        <f t="shared" si="41"/>
        <v>0.50964508749665205</v>
      </c>
      <c r="AG81" s="919">
        <f t="shared" si="49"/>
        <v>1</v>
      </c>
      <c r="AH81" s="176">
        <f t="shared" si="42"/>
        <v>7</v>
      </c>
      <c r="AI81" s="225">
        <f t="shared" si="43"/>
        <v>1.509645087496652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1090">
        <f>IF(t&gt;Tmaj,'2024'!Wh/'2024'!Env_an*'2025'!Env_an,0.001*'[5]mon-tableau'!$B$46)</f>
        <v>32.950991840738034</v>
      </c>
      <c r="C82" s="953"/>
      <c r="D82" s="393">
        <f t="shared" si="25"/>
        <v>34.791883510230882</v>
      </c>
      <c r="E82" s="385">
        <f t="shared" si="47"/>
        <v>36.450857481267462</v>
      </c>
      <c r="F82" s="385">
        <f t="shared" si="26"/>
        <v>36.502971682446749</v>
      </c>
      <c r="G82" s="110">
        <f t="shared" si="48"/>
        <v>0.74656191265763006</v>
      </c>
      <c r="H82" s="412" t="b">
        <f>Wh_hp&gt;='2024'!Maxi_hp</f>
        <v>0</v>
      </c>
      <c r="I82" s="390">
        <f>IF(H82,Wh_hp,'2024'!Maxi_hp)</f>
        <v>44.616353864796501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5.2911526590720959E-2</v>
      </c>
      <c r="M82" s="957"/>
      <c r="N82" s="957"/>
      <c r="O82" s="48">
        <f>IF(t&lt;Tnet,'2024'!Resal+('2024'!Salim-'2024'!Resal)*(1-EXP(('2024'!Tnet-t)/('2024'!Tau_j))),Resal+(Salim-Resal)*(1-EXP((Tnet-t)/(Tau_j))))*Salcycl</f>
        <v>4.5512618513546474E-2</v>
      </c>
      <c r="P82" s="169">
        <f>(INDEX(Models!$BJ82:$BT82,,T82)*(1-R82)+INDEX(Models!$BJ82:$BT82,,T82+1)*R82-ERP_i)*Q82*Ramure*Pc/MaxiM</f>
        <v>2.234895494056074E-3</v>
      </c>
      <c r="Q82" s="305">
        <f t="shared" si="28"/>
        <v>0.7</v>
      </c>
      <c r="R82" s="177">
        <f t="shared" si="29"/>
        <v>0.51006810187823892</v>
      </c>
      <c r="S82" s="919">
        <f t="shared" si="30"/>
        <v>1</v>
      </c>
      <c r="T82" s="176">
        <f t="shared" si="31"/>
        <v>7</v>
      </c>
      <c r="U82" s="251">
        <f t="shared" si="32"/>
        <v>1.5100681018782389</v>
      </c>
      <c r="V82" s="383">
        <f t="shared" si="33"/>
        <v>44.101305432790895</v>
      </c>
      <c r="W82" s="402">
        <f t="shared" si="34"/>
        <v>32.950991840738034</v>
      </c>
      <c r="X82" s="157">
        <f t="shared" si="35"/>
        <v>45725</v>
      </c>
      <c r="Y82" s="385">
        <f t="shared" si="36"/>
        <v>31.895332392902549</v>
      </c>
      <c r="Z82" s="385">
        <f t="shared" si="37"/>
        <v>33.677246939863409</v>
      </c>
      <c r="AA82" s="386">
        <f t="shared" si="38"/>
        <v>36.450857481267462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7.6091777616739117E-2</v>
      </c>
      <c r="AD82" s="231">
        <f>(INDEX(Models!$BJ82:$BT82,,AH82)*(1-AF82)+INDEX(Models!$BJ82:$BT82,,AH82+1)*AF82-ERP_i)*AE82*Ramure*Pc/MaxiM</f>
        <v>2.234895494056074E-3</v>
      </c>
      <c r="AE82" s="305">
        <f t="shared" si="40"/>
        <v>0.7</v>
      </c>
      <c r="AF82" s="177">
        <f t="shared" si="41"/>
        <v>0.51006810187823892</v>
      </c>
      <c r="AG82" s="919">
        <f t="shared" si="49"/>
        <v>1</v>
      </c>
      <c r="AH82" s="176">
        <f t="shared" si="42"/>
        <v>7</v>
      </c>
      <c r="AI82" s="225">
        <f t="shared" si="43"/>
        <v>1.5100681018782389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1090">
        <f>IF(t&gt;Tmaj,'2024'!Wh/'2024'!Env_an*'2025'!Env_an,0.001*'[5]mon-tableau'!$B$47)</f>
        <v>23.848159263685595</v>
      </c>
      <c r="C83" s="953"/>
      <c r="D83" s="393">
        <f t="shared" si="25"/>
        <v>25.181049374584493</v>
      </c>
      <c r="E83" s="385">
        <f t="shared" si="47"/>
        <v>26.38456335468431</v>
      </c>
      <c r="F83" s="385">
        <f t="shared" si="26"/>
        <v>26.404265942860327</v>
      </c>
      <c r="G83" s="110">
        <f t="shared" si="48"/>
        <v>0.53669893681247027</v>
      </c>
      <c r="H83" s="412" t="b">
        <f>Wh_hp&gt;='2024'!Maxi_hp</f>
        <v>0</v>
      </c>
      <c r="I83" s="390">
        <f>IF(H83,Wh_hp,'2024'!Maxi_hp)</f>
        <v>45.293809105395539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5.2932270258927216E-2</v>
      </c>
      <c r="M83" s="957"/>
      <c r="N83" s="957"/>
      <c r="O83" s="48">
        <f>IF(t&lt;Tnet,'2024'!Resal+('2024'!Salim-'2024'!Resal)*(1-EXP(('2024'!Tnet-t)/('2024'!Tau_j))),Resal+(Salim-Resal)*(1-EXP((Tnet-t)/(Tau_j))))*Salcycl</f>
        <v>4.5614322432443982E-2</v>
      </c>
      <c r="P83" s="169">
        <f>(INDEX(Models!$BJ83:$BT83,,T83)*(1-R83)+INDEX(Models!$BJ83:$BT83,,T83+1)*R83-ERP_i)*Q83*Ramure*Pc/MaxiM</f>
        <v>2.1994749692251358E-3</v>
      </c>
      <c r="Q83" s="305">
        <f t="shared" si="28"/>
        <v>0.7</v>
      </c>
      <c r="R83" s="177">
        <f t="shared" si="29"/>
        <v>0.51050808716957574</v>
      </c>
      <c r="S83" s="919">
        <f t="shared" si="30"/>
        <v>1</v>
      </c>
      <c r="T83" s="176">
        <f t="shared" si="31"/>
        <v>7</v>
      </c>
      <c r="U83" s="251">
        <f t="shared" si="32"/>
        <v>1.5105080871695757</v>
      </c>
      <c r="V83" s="383">
        <f t="shared" si="33"/>
        <v>44.370267142449187</v>
      </c>
      <c r="W83" s="402">
        <f t="shared" si="34"/>
        <v>23.848159263685595</v>
      </c>
      <c r="X83" s="157">
        <f t="shared" si="35"/>
        <v>45726</v>
      </c>
      <c r="Y83" s="385">
        <f t="shared" si="36"/>
        <v>23.084849545016127</v>
      </c>
      <c r="Z83" s="385">
        <f t="shared" si="37"/>
        <v>24.375077747953146</v>
      </c>
      <c r="AA83" s="386">
        <f t="shared" si="38"/>
        <v>26.38456335468431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7.6161412251470897E-2</v>
      </c>
      <c r="AD83" s="231">
        <f>(INDEX(Models!$BJ83:$BT83,,AH83)*(1-AF83)+INDEX(Models!$BJ83:$BT83,,AH83+1)*AF83-ERP_i)*AE83*Ramure*Pc/MaxiM</f>
        <v>2.1994749692251358E-3</v>
      </c>
      <c r="AE83" s="305">
        <f t="shared" si="40"/>
        <v>0.7</v>
      </c>
      <c r="AF83" s="177">
        <f t="shared" si="41"/>
        <v>0.51050808716957574</v>
      </c>
      <c r="AG83" s="919">
        <f t="shared" si="49"/>
        <v>1</v>
      </c>
      <c r="AH83" s="176">
        <f t="shared" si="42"/>
        <v>7</v>
      </c>
      <c r="AI83" s="225">
        <f t="shared" si="43"/>
        <v>1.5105080871695757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1090">
        <f>IF(t&gt;Tmaj,'2024'!Wh/'2024'!Env_an*'2025'!Env_an,0.001*'[5]mon-tableau'!$B$48)</f>
        <v>15.900607398494131</v>
      </c>
      <c r="C84" s="953"/>
      <c r="D84" s="393">
        <f t="shared" si="25"/>
        <v>16.789671077251612</v>
      </c>
      <c r="E84" s="385">
        <f t="shared" si="47"/>
        <v>17.593998293718059</v>
      </c>
      <c r="F84" s="385">
        <f t="shared" si="26"/>
        <v>17.597052998308719</v>
      </c>
      <c r="G84" s="110">
        <f t="shared" si="48"/>
        <v>0.35550542158227488</v>
      </c>
      <c r="H84" s="412" t="b">
        <f>Wh_hp&gt;='2024'!Maxi_hp</f>
        <v>0</v>
      </c>
      <c r="I84" s="390">
        <f>IF(H84,Wh_hp,'2024'!Maxi_hp)</f>
        <v>36.273412618426136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5.2953013472793797E-2</v>
      </c>
      <c r="M84" s="957"/>
      <c r="N84" s="957"/>
      <c r="O84" s="48">
        <f>IF(t&lt;Tnet,'2024'!Resal+('2024'!Salim-'2024'!Resal)*(1-EXP(('2024'!Tnet-t)/('2024'!Tau_j))),Resal+(Salim-Resal)*(1-EXP((Tnet-t)/(Tau_j))))*Salcycl</f>
        <v>4.5715999458385344E-2</v>
      </c>
      <c r="P84" s="169">
        <f>(INDEX(Models!$BJ84:$BT84,,T84)*(1-R84)+INDEX(Models!$BJ84:$BT84,,T84+1)*R84-ERP_i)*Q84*Ramure*Pc/MaxiM</f>
        <v>2.1616481668301187E-3</v>
      </c>
      <c r="Q84" s="305">
        <f t="shared" si="28"/>
        <v>0.7</v>
      </c>
      <c r="R84" s="177">
        <f t="shared" si="29"/>
        <v>0.51096569117724044</v>
      </c>
      <c r="S84" s="919">
        <f t="shared" si="30"/>
        <v>1</v>
      </c>
      <c r="T84" s="176">
        <f t="shared" si="31"/>
        <v>7</v>
      </c>
      <c r="U84" s="251">
        <f t="shared" si="32"/>
        <v>1.5109656911772404</v>
      </c>
      <c r="V84" s="383">
        <f t="shared" si="33"/>
        <v>44.637830095845636</v>
      </c>
      <c r="W84" s="402">
        <f t="shared" si="34"/>
        <v>15.900607398494131</v>
      </c>
      <c r="X84" s="157">
        <f t="shared" si="35"/>
        <v>45727</v>
      </c>
      <c r="Y84" s="385">
        <f t="shared" si="36"/>
        <v>15.392154240307207</v>
      </c>
      <c r="Z84" s="385">
        <f t="shared" si="37"/>
        <v>16.252788361377707</v>
      </c>
      <c r="AA84" s="386">
        <f t="shared" si="38"/>
        <v>17.593998293718059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7.623110505923103E-2</v>
      </c>
      <c r="AD84" s="231">
        <f>(INDEX(Models!$BJ84:$BT84,,AH84)*(1-AF84)+INDEX(Models!$BJ84:$BT84,,AH84+1)*AF84-ERP_i)*AE84*Ramure*Pc/MaxiM</f>
        <v>2.1616481668301187E-3</v>
      </c>
      <c r="AE84" s="305">
        <f t="shared" si="40"/>
        <v>0.7</v>
      </c>
      <c r="AF84" s="177">
        <f t="shared" si="41"/>
        <v>0.51096569117724044</v>
      </c>
      <c r="AG84" s="919">
        <f t="shared" si="49"/>
        <v>1</v>
      </c>
      <c r="AH84" s="176">
        <f t="shared" si="42"/>
        <v>7</v>
      </c>
      <c r="AI84" s="225">
        <f t="shared" si="43"/>
        <v>1.5109656911772404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1090">
        <f>IF(t&gt;Tmaj,'2024'!Wh/'2024'!Env_an*'2025'!Env_an,0.001*'[5]mon-tableau'!$B$49)</f>
        <v>13.130120428747963</v>
      </c>
      <c r="C85" s="953"/>
      <c r="D85" s="393">
        <f t="shared" si="25"/>
        <v>13.864579271331293</v>
      </c>
      <c r="E85" s="385">
        <f t="shared" si="47"/>
        <v>14.530324797852233</v>
      </c>
      <c r="F85" s="385">
        <f t="shared" si="26"/>
        <v>14.530324797852233</v>
      </c>
      <c r="G85" s="110">
        <f t="shared" si="48"/>
        <v>0.29178585791965406</v>
      </c>
      <c r="H85" s="412" t="b">
        <f>Wh_hp&gt;='2024'!Maxi_hp</f>
        <v>0</v>
      </c>
      <c r="I85" s="390">
        <f>IF(H85,Wh_hp,'2024'!Maxi_hp)</f>
        <v>43.935491435363161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5.2973756232330693E-2</v>
      </c>
      <c r="M85" s="957"/>
      <c r="N85" s="957"/>
      <c r="O85" s="48">
        <f>IF(t&lt;Tnet,'2024'!Resal+('2024'!Salim-'2024'!Resal)*(1-EXP(('2024'!Tnet-t)/('2024'!Tau_j))),Resal+(Salim-Resal)*(1-EXP((Tnet-t)/(Tau_j))))*Salcycl</f>
        <v>4.5817663113721062E-2</v>
      </c>
      <c r="P85" s="169">
        <f>(INDEX(Models!$BJ85:$BT85,,T85)*(1-R85)+INDEX(Models!$BJ85:$BT85,,T85+1)*R85-ERP_i)*Q85*Ramure*Pc/MaxiM</f>
        <v>2.1214711853404498E-3</v>
      </c>
      <c r="Q85" s="305">
        <f t="shared" si="28"/>
        <v>0.7</v>
      </c>
      <c r="R85" s="177">
        <f t="shared" si="29"/>
        <v>0.51144158367659576</v>
      </c>
      <c r="S85" s="919">
        <f t="shared" si="30"/>
        <v>1</v>
      </c>
      <c r="T85" s="176">
        <f t="shared" si="31"/>
        <v>7</v>
      </c>
      <c r="U85" s="251">
        <f t="shared" si="32"/>
        <v>1.5114415836765958</v>
      </c>
      <c r="V85" s="383">
        <f t="shared" si="33"/>
        <v>44.903702153399614</v>
      </c>
      <c r="W85" s="402">
        <f t="shared" si="34"/>
        <v>13.130120428747963</v>
      </c>
      <c r="X85" s="157">
        <f t="shared" si="35"/>
        <v>45728</v>
      </c>
      <c r="Y85" s="385">
        <f t="shared" si="36"/>
        <v>12.710653135804568</v>
      </c>
      <c r="Z85" s="385">
        <f t="shared" si="37"/>
        <v>13.421648258908048</v>
      </c>
      <c r="AA85" s="386">
        <f t="shared" si="38"/>
        <v>14.530324797852233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7.6300877947894294E-2</v>
      </c>
      <c r="AD85" s="231">
        <f>(INDEX(Models!$BJ85:$BT85,,AH85)*(1-AF85)+INDEX(Models!$BJ85:$BT85,,AH85+1)*AF85-ERP_i)*AE85*Ramure*Pc/MaxiM</f>
        <v>2.1214711853404498E-3</v>
      </c>
      <c r="AE85" s="305">
        <f t="shared" si="40"/>
        <v>0.7</v>
      </c>
      <c r="AF85" s="177">
        <f t="shared" si="41"/>
        <v>0.51144158367659576</v>
      </c>
      <c r="AG85" s="919">
        <f t="shared" si="49"/>
        <v>1</v>
      </c>
      <c r="AH85" s="176">
        <f t="shared" si="42"/>
        <v>7</v>
      </c>
      <c r="AI85" s="225">
        <f t="shared" si="43"/>
        <v>1.5114415836765958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1090">
        <f>IF(t&gt;Tmaj,'2024'!Wh/'2024'!Env_an*'2025'!Env_an,0.001*'[5]mon-tableau'!$B$50)</f>
        <v>12.359580224660537</v>
      </c>
      <c r="C86" s="953"/>
      <c r="D86" s="393">
        <f t="shared" si="25"/>
        <v>13.051223256437</v>
      </c>
      <c r="E86" s="385">
        <f t="shared" si="47"/>
        <v>13.679370765537634</v>
      </c>
      <c r="F86" s="385">
        <f t="shared" si="26"/>
        <v>13.679370765537634</v>
      </c>
      <c r="G86" s="110">
        <f t="shared" si="48"/>
        <v>0.27306934782505454</v>
      </c>
      <c r="H86" s="412" t="b">
        <f>Wh_hp&gt;='2024'!Maxi_hp</f>
        <v>0</v>
      </c>
      <c r="I86" s="390">
        <f>IF(H86,Wh_hp,'2024'!Maxi_hp)</f>
        <v>42.800557177693996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5.2994498537548007E-2</v>
      </c>
      <c r="M86" s="957"/>
      <c r="N86" s="957"/>
      <c r="O86" s="48">
        <f>IF(t&lt;Tnet,'2024'!Resal+('2024'!Salim-'2024'!Resal)*(1-EXP(('2024'!Tnet-t)/('2024'!Tau_j))),Resal+(Salim-Resal)*(1-EXP((Tnet-t)/(Tau_j))))*Salcycl</f>
        <v>4.5919327713751457E-2</v>
      </c>
      <c r="P86" s="169">
        <f>(INDEX(Models!$BJ86:$BT86,,T86)*(1-R86)+INDEX(Models!$BJ86:$BT86,,T86+1)*R86-ERP_i)*Q86*Ramure*Pc/MaxiM</f>
        <v>2.079425711040151E-3</v>
      </c>
      <c r="Q86" s="305">
        <f t="shared" si="28"/>
        <v>0.7</v>
      </c>
      <c r="R86" s="177">
        <f t="shared" si="29"/>
        <v>0.51193645692344147</v>
      </c>
      <c r="S86" s="919">
        <f t="shared" si="30"/>
        <v>1</v>
      </c>
      <c r="T86" s="176">
        <f t="shared" si="31"/>
        <v>7</v>
      </c>
      <c r="U86" s="251">
        <f t="shared" si="32"/>
        <v>1.5119364569234415</v>
      </c>
      <c r="V86" s="383">
        <f t="shared" si="33"/>
        <v>45.167571878721354</v>
      </c>
      <c r="W86" s="402">
        <f t="shared" si="34"/>
        <v>12.359580224660537</v>
      </c>
      <c r="X86" s="157">
        <f t="shared" si="35"/>
        <v>45729</v>
      </c>
      <c r="Y86" s="385">
        <f t="shared" si="36"/>
        <v>11.965099068624738</v>
      </c>
      <c r="Z86" s="385">
        <f t="shared" si="37"/>
        <v>12.634666905469023</v>
      </c>
      <c r="AA86" s="386">
        <f t="shared" si="38"/>
        <v>13.679370765537634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7.6370754033550092E-2</v>
      </c>
      <c r="AD86" s="231">
        <f>(INDEX(Models!$BJ86:$BT86,,AH86)*(1-AF86)+INDEX(Models!$BJ86:$BT86,,AH86+1)*AF86-ERP_i)*AE86*Ramure*Pc/MaxiM</f>
        <v>2.079425711040151E-3</v>
      </c>
      <c r="AE86" s="305">
        <f t="shared" si="40"/>
        <v>0.7</v>
      </c>
      <c r="AF86" s="177">
        <f t="shared" si="41"/>
        <v>0.51193645692344147</v>
      </c>
      <c r="AG86" s="919">
        <f t="shared" si="49"/>
        <v>1</v>
      </c>
      <c r="AH86" s="176">
        <f t="shared" si="42"/>
        <v>7</v>
      </c>
      <c r="AI86" s="225">
        <f t="shared" si="43"/>
        <v>1.5119364569234415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1090">
        <f>IF(t&gt;Tmaj,'2024'!Wh/'2024'!Env_an*'2025'!Env_an,0.001*'[5]mon-tableau'!$B$51)</f>
        <v>13.057577041908369</v>
      </c>
      <c r="C87" s="953"/>
      <c r="D87" s="393">
        <f t="shared" si="25"/>
        <v>13.788582033004017</v>
      </c>
      <c r="E87" s="385">
        <f t="shared" si="47"/>
        <v>14.453758576822111</v>
      </c>
      <c r="F87" s="385">
        <f t="shared" si="26"/>
        <v>14.453758576822111</v>
      </c>
      <c r="G87" s="110">
        <f t="shared" si="48"/>
        <v>0.28684222347105798</v>
      </c>
      <c r="H87" s="412" t="b">
        <f>Wh_hp&gt;='2024'!Maxi_hp</f>
        <v>0</v>
      </c>
      <c r="I87" s="390">
        <f>IF(H87,Wh_hp,'2024'!Maxi_hp)</f>
        <v>36.891466840324576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5.301524038845562E-2</v>
      </c>
      <c r="M87" s="957"/>
      <c r="N87" s="957"/>
      <c r="O87" s="48">
        <f>IF(t&lt;Tnet,'2024'!Resal+('2024'!Salim-'2024'!Resal)*(1-EXP(('2024'!Tnet-t)/('2024'!Tau_j))),Resal+(Salim-Resal)*(1-EXP((Tnet-t)/(Tau_j))))*Salcycl</f>
        <v>4.6021008326841951E-2</v>
      </c>
      <c r="P87" s="169">
        <f>(INDEX(Models!$BJ87:$BT87,,T87)*(1-R87)+INDEX(Models!$BJ87:$BT87,,T87+1)*R87-ERP_i)*Q87*Ramure*Pc/MaxiM</f>
        <v>2.0373941059135411E-3</v>
      </c>
      <c r="Q87" s="305">
        <f t="shared" si="28"/>
        <v>0.7</v>
      </c>
      <c r="R87" s="177">
        <f t="shared" si="29"/>
        <v>0.51245102615647919</v>
      </c>
      <c r="S87" s="919">
        <f t="shared" si="30"/>
        <v>1</v>
      </c>
      <c r="T87" s="176">
        <f t="shared" si="31"/>
        <v>7</v>
      </c>
      <c r="U87" s="251">
        <f t="shared" si="32"/>
        <v>1.5124510261564792</v>
      </c>
      <c r="V87" s="383">
        <f t="shared" si="33"/>
        <v>45.429063593632627</v>
      </c>
      <c r="W87" s="402">
        <f t="shared" si="34"/>
        <v>13.057577041908369</v>
      </c>
      <c r="X87" s="157">
        <f t="shared" si="35"/>
        <v>45730</v>
      </c>
      <c r="Y87" s="385">
        <f t="shared" si="36"/>
        <v>12.64120705601896</v>
      </c>
      <c r="Z87" s="385">
        <f t="shared" si="37"/>
        <v>13.348902321516151</v>
      </c>
      <c r="AA87" s="386">
        <f t="shared" si="38"/>
        <v>14.453758576822111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7.6440757567218104E-2</v>
      </c>
      <c r="AD87" s="231">
        <f>(INDEX(Models!$BJ87:$BT87,,AH87)*(1-AF87)+INDEX(Models!$BJ87:$BT87,,AH87+1)*AF87-ERP_i)*AE87*Ramure*Pc/MaxiM</f>
        <v>2.0373941059135411E-3</v>
      </c>
      <c r="AE87" s="305">
        <f t="shared" si="40"/>
        <v>0.7</v>
      </c>
      <c r="AF87" s="177">
        <f t="shared" si="41"/>
        <v>0.51245102615647919</v>
      </c>
      <c r="AG87" s="919">
        <f t="shared" si="49"/>
        <v>1</v>
      </c>
      <c r="AH87" s="176">
        <f t="shared" si="42"/>
        <v>7</v>
      </c>
      <c r="AI87" s="225">
        <f t="shared" si="43"/>
        <v>1.5124510261564792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1090">
        <f>IF(t&gt;Tmaj,'2024'!Wh/'2024'!Env_an*'2025'!Env_an,0.001*'[5]mon-tableau'!$B$52)</f>
        <v>14.824276017077187</v>
      </c>
      <c r="C88" s="953"/>
      <c r="D88" s="393">
        <f t="shared" si="25"/>
        <v>15.654529350567632</v>
      </c>
      <c r="E88" s="385">
        <f t="shared" si="47"/>
        <v>16.411471046429764</v>
      </c>
      <c r="F88" s="385">
        <f t="shared" si="26"/>
        <v>16.412615801516136</v>
      </c>
      <c r="G88" s="110">
        <f t="shared" si="48"/>
        <v>0.32384356822514981</v>
      </c>
      <c r="H88" s="412" t="b">
        <f>Wh_hp&gt;='2024'!Maxi_hp</f>
        <v>0</v>
      </c>
      <c r="I88" s="390">
        <f>IF(H88,Wh_hp,'2024'!Maxi_hp)</f>
        <v>34.951737117929945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5.3035981785063413E-2</v>
      </c>
      <c r="M88" s="957"/>
      <c r="N88" s="957"/>
      <c r="O88" s="48">
        <f>IF(t&lt;Tnet,'2024'!Resal+('2024'!Salim-'2024'!Resal)*(1-EXP(('2024'!Tnet-t)/('2024'!Tau_j))),Resal+(Salim-Resal)*(1-EXP((Tnet-t)/(Tau_j))))*Salcycl</f>
        <v>4.612272073116809E-2</v>
      </c>
      <c r="P88" s="169">
        <f>(INDEX(Models!$BJ88:$BT88,,T88)*(1-R88)+INDEX(Models!$BJ88:$BT88,,T88+1)*R88-ERP_i)*Q88*Ramure*Pc/MaxiM</f>
        <v>1.9953858416323403E-3</v>
      </c>
      <c r="Q88" s="305">
        <f t="shared" si="28"/>
        <v>0.7</v>
      </c>
      <c r="R88" s="177">
        <f t="shared" si="29"/>
        <v>0.51298603008811083</v>
      </c>
      <c r="S88" s="919">
        <f t="shared" si="30"/>
        <v>1</v>
      </c>
      <c r="T88" s="176">
        <f t="shared" si="31"/>
        <v>7</v>
      </c>
      <c r="U88" s="251">
        <f t="shared" si="32"/>
        <v>1.5129860300881108</v>
      </c>
      <c r="V88" s="383">
        <f t="shared" si="33"/>
        <v>45.687885442006937</v>
      </c>
      <c r="W88" s="402">
        <f t="shared" si="34"/>
        <v>14.824276017077187</v>
      </c>
      <c r="X88" s="157">
        <f t="shared" si="35"/>
        <v>45731</v>
      </c>
      <c r="Y88" s="385">
        <f t="shared" si="36"/>
        <v>14.352010902536495</v>
      </c>
      <c r="Z88" s="385">
        <f t="shared" si="37"/>
        <v>15.155814398936281</v>
      </c>
      <c r="AA88" s="386">
        <f t="shared" si="38"/>
        <v>16.411471046429764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7.6510913856600582E-2</v>
      </c>
      <c r="AD88" s="231">
        <f>(INDEX(Models!$BJ88:$BT88,,AH88)*(1-AF88)+INDEX(Models!$BJ88:$BT88,,AH88+1)*AF88-ERP_i)*AE88*Ramure*Pc/MaxiM</f>
        <v>1.9953858416323403E-3</v>
      </c>
      <c r="AE88" s="305">
        <f t="shared" si="40"/>
        <v>0.7</v>
      </c>
      <c r="AF88" s="177">
        <f t="shared" si="41"/>
        <v>0.51298603008811083</v>
      </c>
      <c r="AG88" s="919">
        <f t="shared" si="49"/>
        <v>1</v>
      </c>
      <c r="AH88" s="176">
        <f t="shared" si="42"/>
        <v>7</v>
      </c>
      <c r="AI88" s="225">
        <f t="shared" si="43"/>
        <v>1.5129860300881108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1090">
        <f>IF(t&gt;Tmaj,'2024'!Wh/'2024'!Env_an*'2025'!Env_an,0.001*'[5]mon-tableau'!$B$53)</f>
        <v>10.175646112367133</v>
      </c>
      <c r="C89" s="953"/>
      <c r="D89" s="393">
        <f t="shared" si="25"/>
        <v>10.745782093384705</v>
      </c>
      <c r="E89" s="385">
        <f t="shared" si="47"/>
        <v>11.266573615564486</v>
      </c>
      <c r="F89" s="385">
        <f t="shared" si="26"/>
        <v>11.266573615564486</v>
      </c>
      <c r="G89" s="110">
        <f t="shared" si="48"/>
        <v>0.22104790902045335</v>
      </c>
      <c r="H89" s="412" t="b">
        <f>Wh_hp&gt;='2024'!Maxi_hp</f>
        <v>0</v>
      </c>
      <c r="I89" s="390">
        <f>IF(H89,Wh_hp,'2024'!Maxi_hp)</f>
        <v>52.275659986289419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5.3056722727381378E-2</v>
      </c>
      <c r="M89" s="957"/>
      <c r="N89" s="957"/>
      <c r="O89" s="48">
        <f>IF(t&lt;Tnet,'2024'!Resal+('2024'!Salim-'2024'!Resal)*(1-EXP(('2024'!Tnet-t)/('2024'!Tau_j))),Resal+(Salim-Resal)*(1-EXP((Tnet-t)/(Tau_j))))*Salcycl</f>
        <v>4.6224481368525451E-2</v>
      </c>
      <c r="P89" s="169">
        <f>(INDEX(Models!$BJ89:$BT89,,T89)*(1-R89)+INDEX(Models!$BJ89:$BT89,,T89+1)*R89-ERP_i)*Q89*Ramure*Pc/MaxiM</f>
        <v>1.9534086935123693E-3</v>
      </c>
      <c r="Q89" s="305">
        <f t="shared" si="28"/>
        <v>0.7</v>
      </c>
      <c r="R89" s="177">
        <f t="shared" si="29"/>
        <v>0.51354223138088262</v>
      </c>
      <c r="S89" s="919">
        <f t="shared" si="30"/>
        <v>1</v>
      </c>
      <c r="T89" s="176">
        <f t="shared" si="31"/>
        <v>7</v>
      </c>
      <c r="U89" s="251">
        <f t="shared" si="32"/>
        <v>1.5135422313808826</v>
      </c>
      <c r="V89" s="383">
        <f t="shared" si="33"/>
        <v>45.943745687499018</v>
      </c>
      <c r="W89" s="402">
        <f t="shared" si="34"/>
        <v>10.175646112367133</v>
      </c>
      <c r="X89" s="157">
        <f t="shared" si="35"/>
        <v>45732</v>
      </c>
      <c r="Y89" s="385">
        <f t="shared" si="36"/>
        <v>9.8517756414149851</v>
      </c>
      <c r="Z89" s="385">
        <f t="shared" si="37"/>
        <v>10.403765334065227</v>
      </c>
      <c r="AA89" s="386">
        <f t="shared" si="38"/>
        <v>11.266573615564486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7.6581249183630393E-2</v>
      </c>
      <c r="AD89" s="231">
        <f>(INDEX(Models!$BJ89:$BT89,,AH89)*(1-AF89)+INDEX(Models!$BJ89:$BT89,,AH89+1)*AF89-ERP_i)*AE89*Ramure*Pc/MaxiM</f>
        <v>1.9534086935123693E-3</v>
      </c>
      <c r="AE89" s="305">
        <f t="shared" si="40"/>
        <v>0.7</v>
      </c>
      <c r="AF89" s="177">
        <f t="shared" si="41"/>
        <v>0.51354223138088262</v>
      </c>
      <c r="AG89" s="919">
        <f t="shared" si="49"/>
        <v>1</v>
      </c>
      <c r="AH89" s="176">
        <f t="shared" si="42"/>
        <v>7</v>
      </c>
      <c r="AI89" s="225">
        <f t="shared" si="43"/>
        <v>1.5135422313808826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1090">
        <f>IF(t&gt;Tmaj,'2024'!Wh/'2024'!Env_an*'2025'!Env_an,0.001*'[5]mon-tableau'!$B$54)</f>
        <v>11.019209948623693</v>
      </c>
      <c r="C90" s="953"/>
      <c r="D90" s="393">
        <f t="shared" si="25"/>
        <v>11.636865235081528</v>
      </c>
      <c r="E90" s="385">
        <f t="shared" si="47"/>
        <v>12.2021455809299</v>
      </c>
      <c r="F90" s="385">
        <f t="shared" si="26"/>
        <v>12.2021455809299</v>
      </c>
      <c r="G90" s="110">
        <f t="shared" si="48"/>
        <v>0.23807392629994575</v>
      </c>
      <c r="H90" s="412" t="b">
        <f>Wh_hp&gt;='2024'!Maxi_hp</f>
        <v>0</v>
      </c>
      <c r="I90" s="390">
        <f>IF(H90,Wh_hp,'2024'!Maxi_hp)</f>
        <v>27.107916637934526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5.3077463215419507E-2</v>
      </c>
      <c r="M90" s="957"/>
      <c r="N90" s="957"/>
      <c r="O90" s="48">
        <f>IF(t&lt;Tnet,'2024'!Resal+('2024'!Salim-'2024'!Resal)*(1-EXP(('2024'!Tnet-t)/('2024'!Tau_j))),Resal+(Salim-Resal)*(1-EXP((Tnet-t)/(Tau_j))))*Salcycl</f>
        <v>4.6326307295646366E-2</v>
      </c>
      <c r="P90" s="169">
        <f>(INDEX(Models!$BJ90:$BT90,,T90)*(1-R90)+INDEX(Models!$BJ90:$BT90,,T90+1)*R90-ERP_i)*Q90*Ramure*Pc/MaxiM</f>
        <v>1.9114687078010896E-3</v>
      </c>
      <c r="Q90" s="305">
        <f t="shared" si="28"/>
        <v>0.7</v>
      </c>
      <c r="R90" s="177">
        <f t="shared" si="29"/>
        <v>0.51412041710664691</v>
      </c>
      <c r="S90" s="919">
        <f t="shared" si="30"/>
        <v>1</v>
      </c>
      <c r="T90" s="176">
        <f t="shared" si="31"/>
        <v>7</v>
      </c>
      <c r="U90" s="251">
        <f t="shared" si="32"/>
        <v>1.5141204171066469</v>
      </c>
      <c r="V90" s="383">
        <f t="shared" si="33"/>
        <v>46.196352723505761</v>
      </c>
      <c r="W90" s="402">
        <f t="shared" si="34"/>
        <v>11.019209948623693</v>
      </c>
      <c r="X90" s="157">
        <f t="shared" si="35"/>
        <v>45733</v>
      </c>
      <c r="Y90" s="385">
        <f t="shared" si="36"/>
        <v>10.668814555328122</v>
      </c>
      <c r="Z90" s="385">
        <f t="shared" si="37"/>
        <v>11.26682927154285</v>
      </c>
      <c r="AA90" s="386">
        <f t="shared" si="38"/>
        <v>12.2021455809299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7.6651790718577126E-2</v>
      </c>
      <c r="AD90" s="231">
        <f>(INDEX(Models!$BJ90:$BT90,,AH90)*(1-AF90)+INDEX(Models!$BJ90:$BT90,,AH90+1)*AF90-ERP_i)*AE90*Ramure*Pc/MaxiM</f>
        <v>1.9114687078010896E-3</v>
      </c>
      <c r="AE90" s="305">
        <f t="shared" si="40"/>
        <v>0.7</v>
      </c>
      <c r="AF90" s="177">
        <f t="shared" si="41"/>
        <v>0.51412041710664691</v>
      </c>
      <c r="AG90" s="919">
        <f t="shared" si="49"/>
        <v>1</v>
      </c>
      <c r="AH90" s="176">
        <f t="shared" si="42"/>
        <v>7</v>
      </c>
      <c r="AI90" s="225">
        <f t="shared" si="43"/>
        <v>1.5141204171066469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1090">
        <f>IF(t&gt;Tmaj,'2024'!Wh/'2024'!Env_an*'2025'!Env_an,0.001*'[5]mon-tableau'!$B$55)</f>
        <v>13.515294405327937</v>
      </c>
      <c r="C91" s="953"/>
      <c r="D91" s="393">
        <f t="shared" si="25"/>
        <v>14.273174316179523</v>
      </c>
      <c r="E91" s="385">
        <f t="shared" si="47"/>
        <v>14.968117301358051</v>
      </c>
      <c r="F91" s="385">
        <f t="shared" si="26"/>
        <v>14.968117301358051</v>
      </c>
      <c r="G91" s="110">
        <f t="shared" si="48"/>
        <v>0.29044904848237874</v>
      </c>
      <c r="H91" s="412" t="b">
        <f>Wh_hp&gt;='2024'!Maxi_hp</f>
        <v>0</v>
      </c>
      <c r="I91" s="390">
        <f>IF(H91,Wh_hp,'2024'!Maxi_hp)</f>
        <v>38.270489516966428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5.3098203249187681E-2</v>
      </c>
      <c r="M91" s="957"/>
      <c r="N91" s="957"/>
      <c r="O91" s="48">
        <f>IF(t&lt;Tnet,'2024'!Resal+('2024'!Salim-'2024'!Resal)*(1-EXP(('2024'!Tnet-t)/('2024'!Tau_j))),Resal+(Salim-Resal)*(1-EXP((Tnet-t)/(Tau_j))))*Salcycl</f>
        <v>4.6428216133466392E-2</v>
      </c>
      <c r="P91" s="169">
        <f>(INDEX(Models!$BJ91:$BT91,,T91)*(1-R91)+INDEX(Models!$BJ91:$BT91,,T91+1)*R91-ERP_i)*Q91*Ramure*Pc/MaxiM</f>
        <v>1.8695701700727884E-3</v>
      </c>
      <c r="Q91" s="305">
        <f t="shared" si="28"/>
        <v>0.7</v>
      </c>
      <c r="R91" s="177">
        <f t="shared" si="29"/>
        <v>0.51472139918527238</v>
      </c>
      <c r="S91" s="919">
        <f t="shared" si="30"/>
        <v>1</v>
      </c>
      <c r="T91" s="176">
        <f t="shared" si="31"/>
        <v>7</v>
      </c>
      <c r="U91" s="251">
        <f t="shared" si="32"/>
        <v>1.5147213991852724</v>
      </c>
      <c r="V91" s="383">
        <f t="shared" si="33"/>
        <v>46.445415072125499</v>
      </c>
      <c r="W91" s="402">
        <f t="shared" si="34"/>
        <v>13.515294405327937</v>
      </c>
      <c r="X91" s="157">
        <f t="shared" si="35"/>
        <v>45734</v>
      </c>
      <c r="Y91" s="385">
        <f t="shared" si="36"/>
        <v>13.085922364310287</v>
      </c>
      <c r="Z91" s="385">
        <f t="shared" si="37"/>
        <v>13.819724927350615</v>
      </c>
      <c r="AA91" s="386">
        <f t="shared" si="38"/>
        <v>14.968117301358051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7.6722566431467173E-2</v>
      </c>
      <c r="AD91" s="231">
        <f>(INDEX(Models!$BJ91:$BT91,,AH91)*(1-AF91)+INDEX(Models!$BJ91:$BT91,,AH91+1)*AF91-ERP_i)*AE91*Ramure*Pc/MaxiM</f>
        <v>1.8695701700727884E-3</v>
      </c>
      <c r="AE91" s="305">
        <f t="shared" si="40"/>
        <v>0.7</v>
      </c>
      <c r="AF91" s="177">
        <f t="shared" si="41"/>
        <v>0.51472139918527238</v>
      </c>
      <c r="AG91" s="919">
        <f t="shared" si="49"/>
        <v>1</v>
      </c>
      <c r="AH91" s="176">
        <f t="shared" si="42"/>
        <v>7</v>
      </c>
      <c r="AI91" s="225">
        <f t="shared" si="43"/>
        <v>1.5147213991852724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1090">
        <f>IF(t&gt;Tmaj,'2024'!Wh/'2024'!Env_an*'2025'!Env_an,0.001*'[5]mon-tableau'!$B$56)</f>
        <v>30.968742582878313</v>
      </c>
      <c r="C92" s="953"/>
      <c r="D92" s="393">
        <f t="shared" si="25"/>
        <v>32.706053572762137</v>
      </c>
      <c r="E92" s="385">
        <f t="shared" si="47"/>
        <v>34.302139894860531</v>
      </c>
      <c r="F92" s="385">
        <f t="shared" si="26"/>
        <v>34.334707034750579</v>
      </c>
      <c r="G92" s="110">
        <f t="shared" si="48"/>
        <v>0.66269145614914227</v>
      </c>
      <c r="H92" s="412" t="b">
        <f>Wh_hp&gt;='2024'!Maxi_hp</f>
        <v>0</v>
      </c>
      <c r="I92" s="390">
        <f>IF(H92,Wh_hp,'2024'!Maxi_hp)</f>
        <v>46.831517578729603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5.3118942828696003E-2</v>
      </c>
      <c r="M92" s="957"/>
      <c r="N92" s="957"/>
      <c r="O92" s="48">
        <f>IF(t&lt;Tnet,'2024'!Resal+('2024'!Salim-'2024'!Resal)*(1-EXP(('2024'!Tnet-t)/('2024'!Tau_j))),Resal+(Salim-Resal)*(1-EXP((Tnet-t)/(Tau_j))))*Salcycl</f>
        <v>4.6530226014777978E-2</v>
      </c>
      <c r="P92" s="169">
        <f>(INDEX(Models!$BJ92:$BT92,,T92)*(1-R92)+INDEX(Models!$BJ92:$BT92,,T92+1)*R92-ERP_i)*Q92*Ramure*Pc/MaxiM</f>
        <v>1.8277155737068884E-3</v>
      </c>
      <c r="Q92" s="305">
        <f t="shared" si="28"/>
        <v>0.7</v>
      </c>
      <c r="R92" s="177">
        <f t="shared" si="29"/>
        <v>0.51534601479947884</v>
      </c>
      <c r="S92" s="919">
        <f t="shared" si="30"/>
        <v>1</v>
      </c>
      <c r="T92" s="176">
        <f t="shared" si="31"/>
        <v>7</v>
      </c>
      <c r="U92" s="251">
        <f t="shared" si="32"/>
        <v>1.5153460147994788</v>
      </c>
      <c r="V92" s="383">
        <f t="shared" si="33"/>
        <v>46.690641397480562</v>
      </c>
      <c r="W92" s="402">
        <f t="shared" si="34"/>
        <v>30.968742582878313</v>
      </c>
      <c r="X92" s="157">
        <f t="shared" si="35"/>
        <v>45735</v>
      </c>
      <c r="Y92" s="385">
        <f t="shared" si="36"/>
        <v>29.985786626537568</v>
      </c>
      <c r="Z92" s="385">
        <f t="shared" si="37"/>
        <v>31.667954913066467</v>
      </c>
      <c r="AA92" s="386">
        <f t="shared" si="38"/>
        <v>34.302139894860531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7.6793605001556867E-2</v>
      </c>
      <c r="AD92" s="231">
        <f>(INDEX(Models!$BJ92:$BT92,,AH92)*(1-AF92)+INDEX(Models!$BJ92:$BT92,,AH92+1)*AF92-ERP_i)*AE92*Ramure*Pc/MaxiM</f>
        <v>1.8277155737068884E-3</v>
      </c>
      <c r="AE92" s="305">
        <f t="shared" si="40"/>
        <v>0.7</v>
      </c>
      <c r="AF92" s="177">
        <f t="shared" si="41"/>
        <v>0.51534601479947884</v>
      </c>
      <c r="AG92" s="919">
        <f t="shared" si="49"/>
        <v>1</v>
      </c>
      <c r="AH92" s="176">
        <f t="shared" si="42"/>
        <v>7</v>
      </c>
      <c r="AI92" s="225">
        <f t="shared" si="43"/>
        <v>1.5153460147994788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1090">
        <f>IF(t&gt;Tmaj,'2024'!Wh/'2024'!Env_an*'2025'!Env_an,0.001*'[5]mon-tableau'!$B$57)</f>
        <v>31.929942244386709</v>
      </c>
      <c r="C93" s="953"/>
      <c r="D93" s="393">
        <f t="shared" si="25"/>
        <v>33.721914030865484</v>
      </c>
      <c r="E93" s="385">
        <f t="shared" si="47"/>
        <v>35.371364055088137</v>
      </c>
      <c r="F93" s="385">
        <f t="shared" si="26"/>
        <v>35.405716591893253</v>
      </c>
      <c r="G93" s="110">
        <f t="shared" si="48"/>
        <v>0.67976123910713371</v>
      </c>
      <c r="H93" s="412" t="b">
        <f>Wh_hp&gt;='2024'!Maxi_hp</f>
        <v>0</v>
      </c>
      <c r="I93" s="390">
        <f>IF(H93,Wh_hp,'2024'!Maxi_hp)</f>
        <v>53.139538604347429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5.3139681953954243E-2</v>
      </c>
      <c r="M93" s="957"/>
      <c r="N93" s="957"/>
      <c r="O93" s="48">
        <f>IF(t&lt;Tnet,'2024'!Resal+('2024'!Salim-'2024'!Resal)*(1-EXP(('2024'!Tnet-t)/('2024'!Tau_j))),Resal+(Salim-Resal)*(1-EXP((Tnet-t)/(Tau_j))))*Salcycl</f>
        <v>4.6632355530698853E-2</v>
      </c>
      <c r="P93" s="169">
        <f>(INDEX(Models!$BJ93:$BT93,,T93)*(1-R93)+INDEX(Models!$BJ93:$BT93,,T93+1)*R93-ERP_i)*Q93*Ramure*Pc/MaxiM</f>
        <v>1.7858219531539825E-3</v>
      </c>
      <c r="Q93" s="305">
        <f t="shared" si="28"/>
        <v>0.7</v>
      </c>
      <c r="R93" s="177">
        <f t="shared" si="29"/>
        <v>0.51599512678210036</v>
      </c>
      <c r="S93" s="919">
        <f t="shared" si="30"/>
        <v>1</v>
      </c>
      <c r="T93" s="176">
        <f t="shared" si="31"/>
        <v>7</v>
      </c>
      <c r="U93" s="251">
        <f t="shared" si="32"/>
        <v>1.5159951267821004</v>
      </c>
      <c r="V93" s="383">
        <f t="shared" si="33"/>
        <v>46.933943977863017</v>
      </c>
      <c r="W93" s="402">
        <f t="shared" si="34"/>
        <v>31.929942244386709</v>
      </c>
      <c r="X93" s="157">
        <f t="shared" si="35"/>
        <v>45736</v>
      </c>
      <c r="Y93" s="385">
        <f t="shared" si="36"/>
        <v>30.917400498166145</v>
      </c>
      <c r="Z93" s="385">
        <f t="shared" si="37"/>
        <v>32.652546430467936</v>
      </c>
      <c r="AA93" s="386">
        <f t="shared" si="38"/>
        <v>35.371364055088137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7.686493572557325E-2</v>
      </c>
      <c r="AD93" s="231">
        <f>(INDEX(Models!$BJ93:$BT93,,AH93)*(1-AF93)+INDEX(Models!$BJ93:$BT93,,AH93+1)*AF93-ERP_i)*AE93*Ramure*Pc/MaxiM</f>
        <v>1.7858219531539825E-3</v>
      </c>
      <c r="AE93" s="305">
        <f t="shared" si="40"/>
        <v>0.7</v>
      </c>
      <c r="AF93" s="177">
        <f t="shared" si="41"/>
        <v>0.51599512678210036</v>
      </c>
      <c r="AG93" s="919">
        <f t="shared" si="49"/>
        <v>1</v>
      </c>
      <c r="AH93" s="176">
        <f t="shared" si="42"/>
        <v>7</v>
      </c>
      <c r="AI93" s="225">
        <f t="shared" si="43"/>
        <v>1.5159951267821004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1090">
        <f>IF(t&gt;Tmaj,'2024'!Wh/'2024'!Env_an*'2025'!Env_an,0.001*'[5]mon-tableau'!$B$58)</f>
        <v>46.04389735379381</v>
      </c>
      <c r="C94" s="953"/>
      <c r="D94" s="393">
        <f t="shared" si="25"/>
        <v>48.62903743861829</v>
      </c>
      <c r="E94" s="385">
        <f t="shared" si="47"/>
        <v>51.013116228097111</v>
      </c>
      <c r="F94" s="385">
        <f t="shared" si="26"/>
        <v>51.099171236971415</v>
      </c>
      <c r="G94" s="110">
        <f t="shared" si="48"/>
        <v>0.9759239947075099</v>
      </c>
      <c r="H94" s="412" t="b">
        <f>Wh_hp&gt;='2024'!Maxi_hp</f>
        <v>0</v>
      </c>
      <c r="I94" s="390">
        <f>IF(H94,Wh_hp,'2024'!Maxi_hp)</f>
        <v>53.219933275475654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5.3160420624972393E-2</v>
      </c>
      <c r="M94" s="957"/>
      <c r="N94" s="957"/>
      <c r="O94" s="48">
        <f>IF(t&lt;Tnet,'2024'!Resal+('2024'!Salim-'2024'!Resal)*(1-EXP(('2024'!Tnet-t)/('2024'!Tau_j))),Resal+(Salim-Resal)*(1-EXP((Tnet-t)/(Tau_j))))*Salcycl</f>
        <v>4.673462367636573E-2</v>
      </c>
      <c r="P94" s="169">
        <f>(INDEX(Models!$BJ94:$BT94,,T94)*(1-R94)+INDEX(Models!$BJ94:$BT94,,T94+1)*R94-ERP_i)*Q94*Ramure*Pc/MaxiM</f>
        <v>1.7439133006937242E-3</v>
      </c>
      <c r="Q94" s="305">
        <f t="shared" si="28"/>
        <v>0.7</v>
      </c>
      <c r="R94" s="177">
        <f t="shared" si="29"/>
        <v>0.51666962397180072</v>
      </c>
      <c r="S94" s="919">
        <f t="shared" si="30"/>
        <v>1</v>
      </c>
      <c r="T94" s="176">
        <f t="shared" si="31"/>
        <v>7</v>
      </c>
      <c r="U94" s="251">
        <f t="shared" si="32"/>
        <v>1.5166696239718007</v>
      </c>
      <c r="V94" s="383">
        <f t="shared" si="33"/>
        <v>47.176970668242006</v>
      </c>
      <c r="W94" s="402">
        <f t="shared" si="34"/>
        <v>46.04389735379381</v>
      </c>
      <c r="X94" s="157">
        <f t="shared" si="35"/>
        <v>45737</v>
      </c>
      <c r="Y94" s="385">
        <f t="shared" si="36"/>
        <v>44.585105081120901</v>
      </c>
      <c r="Z94" s="385">
        <f t="shared" si="37"/>
        <v>47.088341100558779</v>
      </c>
      <c r="AA94" s="386">
        <f t="shared" si="38"/>
        <v>51.013116228097111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7.6936588425402519E-2</v>
      </c>
      <c r="AD94" s="231">
        <f>(INDEX(Models!$BJ94:$BT94,,AH94)*(1-AF94)+INDEX(Models!$BJ94:$BT94,,AH94+1)*AF94-ERP_i)*AE94*Ramure*Pc/MaxiM</f>
        <v>1.7439133006937242E-3</v>
      </c>
      <c r="AE94" s="305">
        <f t="shared" si="40"/>
        <v>0.7</v>
      </c>
      <c r="AF94" s="177">
        <f t="shared" si="41"/>
        <v>0.51666962397180072</v>
      </c>
      <c r="AG94" s="919">
        <f t="shared" si="49"/>
        <v>1</v>
      </c>
      <c r="AH94" s="176">
        <f t="shared" si="42"/>
        <v>7</v>
      </c>
      <c r="AI94" s="225">
        <f t="shared" si="43"/>
        <v>1.5166696239718007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1090">
        <f>IF(t&gt;Tmaj,'2024'!Wh/'2024'!Env_an*'2025'!Env_an,0.001*'[5]mon-tableau'!$B$59)</f>
        <v>40.632228610249491</v>
      </c>
      <c r="C95" s="953"/>
      <c r="D95" s="393">
        <f t="shared" si="25"/>
        <v>42.914469847837267</v>
      </c>
      <c r="E95" s="385">
        <f t="shared" si="47"/>
        <v>45.023224873211305</v>
      </c>
      <c r="F95" s="385">
        <f t="shared" si="26"/>
        <v>45.084307142882565</v>
      </c>
      <c r="G95" s="110">
        <f t="shared" si="48"/>
        <v>0.85657792964249446</v>
      </c>
      <c r="H95" s="412" t="b">
        <f>Wh_hp&gt;='2024'!Maxi_hp</f>
        <v>0</v>
      </c>
      <c r="I95" s="390">
        <f>IF(H95,Wh_hp,'2024'!Maxi_hp)</f>
        <v>52.117627843898426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5.3181158841760445E-2</v>
      </c>
      <c r="M95" s="957"/>
      <c r="N95" s="957"/>
      <c r="O95" s="48">
        <f>IF(t&lt;Tnet,'2024'!Resal+('2024'!Salim-'2024'!Resal)*(1-EXP(('2024'!Tnet-t)/('2024'!Tau_j))),Resal+(Salim-Resal)*(1-EXP((Tnet-t)/(Tau_j))))*Salcycl</f>
        <v>4.68370497962428E-2</v>
      </c>
      <c r="P95" s="169">
        <f>(INDEX(Models!$BJ95:$BT95,,T95)*(1-R95)+INDEX(Models!$BJ95:$BT95,,T95+1)*R95-ERP_i)*Q95*Ramure*Pc/MaxiM</f>
        <v>1.7030553123530687E-3</v>
      </c>
      <c r="Q95" s="305">
        <f t="shared" si="28"/>
        <v>0.7</v>
      </c>
      <c r="R95" s="177">
        <f t="shared" si="29"/>
        <v>0.5173704215329753</v>
      </c>
      <c r="S95" s="919">
        <f t="shared" si="30"/>
        <v>1</v>
      </c>
      <c r="T95" s="176">
        <f t="shared" si="31"/>
        <v>7</v>
      </c>
      <c r="U95" s="251">
        <f t="shared" si="32"/>
        <v>1.5173704215329753</v>
      </c>
      <c r="V95" s="383">
        <f t="shared" si="33"/>
        <v>47.4189906930281</v>
      </c>
      <c r="W95" s="402">
        <f t="shared" si="34"/>
        <v>40.632228610249491</v>
      </c>
      <c r="X95" s="157">
        <f t="shared" si="35"/>
        <v>45738</v>
      </c>
      <c r="Y95" s="385">
        <f t="shared" si="36"/>
        <v>39.346050779715313</v>
      </c>
      <c r="Z95" s="385">
        <f t="shared" si="37"/>
        <v>41.556049657380555</v>
      </c>
      <c r="AA95" s="386">
        <f t="shared" si="38"/>
        <v>45.023224873211305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7.700859335586395E-2</v>
      </c>
      <c r="AD95" s="231">
        <f>(INDEX(Models!$BJ95:$BT95,,AH95)*(1-AF95)+INDEX(Models!$BJ95:$BT95,,AH95+1)*AF95-ERP_i)*AE95*Ramure*Pc/MaxiM</f>
        <v>1.7030553123530687E-3</v>
      </c>
      <c r="AE95" s="305">
        <f t="shared" si="40"/>
        <v>0.7</v>
      </c>
      <c r="AF95" s="177">
        <f t="shared" si="41"/>
        <v>0.5173704215329753</v>
      </c>
      <c r="AG95" s="919">
        <f t="shared" si="49"/>
        <v>1</v>
      </c>
      <c r="AH95" s="176">
        <f t="shared" si="42"/>
        <v>7</v>
      </c>
      <c r="AI95" s="225">
        <f t="shared" si="43"/>
        <v>1.5173704215329753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1090">
        <f>IF(t&gt;Tmaj,'2024'!Wh/'2024'!Env_an*'2025'!Env_an,0.001*'[5]mon-tableau'!$B$60)</f>
        <v>47.847190455589569</v>
      </c>
      <c r="C96" s="953"/>
      <c r="D96" s="393">
        <f t="shared" si="25"/>
        <v>50.535790348530078</v>
      </c>
      <c r="E96" s="385">
        <f t="shared" si="47"/>
        <v>53.024753926313394</v>
      </c>
      <c r="F96" s="385">
        <f t="shared" si="26"/>
        <v>53.113094499750886</v>
      </c>
      <c r="G96" s="110">
        <f t="shared" si="48"/>
        <v>1.0039418816445129</v>
      </c>
      <c r="H96" s="412" t="b">
        <f>Wh_hp&gt;='2024'!Maxi_hp</f>
        <v>1</v>
      </c>
      <c r="I96" s="390">
        <f>IF(H96,Wh_hp,'2024'!Maxi_hp)</f>
        <v>53.113094499750886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5.320189660432828E-2</v>
      </c>
      <c r="M96" s="957"/>
      <c r="N96" s="957"/>
      <c r="O96" s="48">
        <f>IF(t&lt;Tnet,'2024'!Resal+('2024'!Salim-'2024'!Resal)*(1-EXP(('2024'!Tnet-t)/('2024'!Tau_j))),Resal+(Salim-Resal)*(1-EXP((Tnet-t)/(Tau_j))))*Salcycl</f>
        <v>4.6939653529408987E-2</v>
      </c>
      <c r="P96" s="169">
        <f>(INDEX(Models!$BJ96:$BT96,,T96)*(1-R96)+INDEX(Models!$BJ96:$BT96,,T96+1)*R96-ERP_i)*Q96*Ramure*Pc/MaxiM</f>
        <v>1.6632541234800108E-3</v>
      </c>
      <c r="Q96" s="305">
        <f t="shared" si="28"/>
        <v>0.7</v>
      </c>
      <c r="R96" s="177">
        <f t="shared" si="29"/>
        <v>0.51809846123526992</v>
      </c>
      <c r="S96" s="919">
        <f t="shared" si="30"/>
        <v>1</v>
      </c>
      <c r="T96" s="176">
        <f t="shared" si="31"/>
        <v>7</v>
      </c>
      <c r="U96" s="251">
        <f t="shared" si="32"/>
        <v>1.5180984612352699</v>
      </c>
      <c r="V96" s="383">
        <f t="shared" si="33"/>
        <v>47.659323044889007</v>
      </c>
      <c r="W96" s="402">
        <f t="shared" si="34"/>
        <v>47.847190455589569</v>
      </c>
      <c r="X96" s="157">
        <f t="shared" si="35"/>
        <v>45739</v>
      </c>
      <c r="Y96" s="385">
        <f t="shared" si="36"/>
        <v>46.333983189308114</v>
      </c>
      <c r="Z96" s="385">
        <f t="shared" si="37"/>
        <v>48.937553870389308</v>
      </c>
      <c r="AA96" s="386">
        <f t="shared" si="38"/>
        <v>53.024753926313394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7.7080981113159322E-2</v>
      </c>
      <c r="AD96" s="231">
        <f>(INDEX(Models!$BJ96:$BT96,,AH96)*(1-AF96)+INDEX(Models!$BJ96:$BT96,,AH96+1)*AF96-ERP_i)*AE96*Ramure*Pc/MaxiM</f>
        <v>1.6632541234800108E-3</v>
      </c>
      <c r="AE96" s="305">
        <f t="shared" si="40"/>
        <v>0.7</v>
      </c>
      <c r="AF96" s="177">
        <f t="shared" si="41"/>
        <v>0.51809846123526992</v>
      </c>
      <c r="AG96" s="919">
        <f t="shared" si="49"/>
        <v>1</v>
      </c>
      <c r="AH96" s="176">
        <f t="shared" si="42"/>
        <v>7</v>
      </c>
      <c r="AI96" s="225">
        <f t="shared" si="43"/>
        <v>1.5180984612352699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1090">
        <f>IF(t&gt;Tmaj,'2024'!Wh/'2024'!Env_an*'2025'!Env_an,0.001*'[5]mon-tableau'!$B$61)</f>
        <v>45.036500545455127</v>
      </c>
      <c r="C97" s="953"/>
      <c r="D97" s="393">
        <f t="shared" si="25"/>
        <v>47.568205745744194</v>
      </c>
      <c r="E97" s="385">
        <f t="shared" si="47"/>
        <v>49.916395523708772</v>
      </c>
      <c r="F97" s="385">
        <f t="shared" si="26"/>
        <v>49.990676748994552</v>
      </c>
      <c r="G97" s="110">
        <f t="shared" si="48"/>
        <v>0.94014194618301483</v>
      </c>
      <c r="H97" s="412" t="b">
        <f>Wh_hp&gt;='2024'!Maxi_hp</f>
        <v>0</v>
      </c>
      <c r="I97" s="390">
        <f>IF(H97,Wh_hp,'2024'!Maxi_hp)</f>
        <v>52.635831121779191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5.3222633912685891E-2</v>
      </c>
      <c r="M97" s="957"/>
      <c r="N97" s="957"/>
      <c r="O97" s="48">
        <f>IF(t&lt;Tnet,'2024'!Resal+('2024'!Salim-'2024'!Resal)*(1-EXP(('2024'!Tnet-t)/('2024'!Tau_j))),Resal+(Salim-Resal)*(1-EXP((Tnet-t)/(Tau_j))))*Salcycl</f>
        <v>4.7042454755156768E-2</v>
      </c>
      <c r="P97" s="169">
        <f>(INDEX(Models!$BJ97:$BT97,,T97)*(1-R97)+INDEX(Models!$BJ97:$BT97,,T97+1)*R97-ERP_i)*Q97*Ramure*Pc/MaxiM</f>
        <v>1.6245132286082794E-3</v>
      </c>
      <c r="Q97" s="305">
        <f t="shared" si="28"/>
        <v>0.7</v>
      </c>
      <c r="R97" s="177">
        <f t="shared" si="29"/>
        <v>0.51885471168782971</v>
      </c>
      <c r="S97" s="919">
        <f t="shared" si="30"/>
        <v>1</v>
      </c>
      <c r="T97" s="176">
        <f t="shared" si="31"/>
        <v>7</v>
      </c>
      <c r="U97" s="251">
        <f t="shared" si="32"/>
        <v>1.5188547116878297</v>
      </c>
      <c r="V97" s="383">
        <f t="shared" si="33"/>
        <v>47.897287058372974</v>
      </c>
      <c r="W97" s="402">
        <f t="shared" si="34"/>
        <v>45.036500545455127</v>
      </c>
      <c r="X97" s="157">
        <f t="shared" si="35"/>
        <v>45740</v>
      </c>
      <c r="Y97" s="385">
        <f t="shared" si="36"/>
        <v>43.613447821671826</v>
      </c>
      <c r="Z97" s="385">
        <f t="shared" si="37"/>
        <v>46.065156798065757</v>
      </c>
      <c r="AA97" s="386">
        <f t="shared" si="38"/>
        <v>49.916395523708772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7.7153782544530702E-2</v>
      </c>
      <c r="AD97" s="231">
        <f>(INDEX(Models!$BJ97:$BT97,,AH97)*(1-AF97)+INDEX(Models!$BJ97:$BT97,,AH97+1)*AF97-ERP_i)*AE97*Ramure*Pc/MaxiM</f>
        <v>1.6245132286082794E-3</v>
      </c>
      <c r="AE97" s="305">
        <f t="shared" si="40"/>
        <v>0.7</v>
      </c>
      <c r="AF97" s="177">
        <f t="shared" si="41"/>
        <v>0.51885471168782971</v>
      </c>
      <c r="AG97" s="919">
        <f t="shared" si="49"/>
        <v>1</v>
      </c>
      <c r="AH97" s="176">
        <f t="shared" si="42"/>
        <v>7</v>
      </c>
      <c r="AI97" s="225">
        <f t="shared" si="43"/>
        <v>1.5188547116878297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1090">
        <f>IF(t&gt;Tmaj,'2024'!Wh/'2024'!Env_an*'2025'!Env_an,0.001*'[5]mon-tableau'!$B$62)</f>
        <v>41.000474780196157</v>
      </c>
      <c r="C98" s="953"/>
      <c r="D98" s="393">
        <f t="shared" si="25"/>
        <v>43.306245252705821</v>
      </c>
      <c r="E98" s="385">
        <f t="shared" si="47"/>
        <v>45.448957894505533</v>
      </c>
      <c r="F98" s="385">
        <f t="shared" si="26"/>
        <v>45.505883357032566</v>
      </c>
      <c r="G98" s="110">
        <f t="shared" si="48"/>
        <v>0.85154395547801587</v>
      </c>
      <c r="H98" s="412" t="b">
        <f>Wh_hp&gt;='2024'!Maxi_hp</f>
        <v>0</v>
      </c>
      <c r="I98" s="390">
        <f>IF(H98,Wh_hp,'2024'!Maxi_hp)</f>
        <v>47.578792902284313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5.3243370766843268E-2</v>
      </c>
      <c r="M98" s="957"/>
      <c r="N98" s="957"/>
      <c r="O98" s="48">
        <f>IF(t&lt;Tnet,'2024'!Resal+('2024'!Salim-'2024'!Resal)*(1-EXP(('2024'!Tnet-t)/('2024'!Tau_j))),Resal+(Salim-Resal)*(1-EXP((Tnet-t)/(Tau_j))))*Salcycl</f>
        <v>4.7145473539201899E-2</v>
      </c>
      <c r="P98" s="169">
        <f>(INDEX(Models!$BJ98:$BT98,,T98)*(1-R98)+INDEX(Models!$BJ98:$BT98,,T98+1)*R98-ERP_i)*Q98*Ramure*Pc/MaxiM</f>
        <v>1.5868336873757316E-3</v>
      </c>
      <c r="Q98" s="305">
        <f t="shared" si="28"/>
        <v>0.7</v>
      </c>
      <c r="R98" s="177">
        <f t="shared" si="29"/>
        <v>0.51964016852307693</v>
      </c>
      <c r="S98" s="919">
        <f t="shared" si="30"/>
        <v>1</v>
      </c>
      <c r="T98" s="176">
        <f t="shared" si="31"/>
        <v>7</v>
      </c>
      <c r="U98" s="251">
        <f t="shared" si="32"/>
        <v>1.5196401685230769</v>
      </c>
      <c r="V98" s="383">
        <f t="shared" si="33"/>
        <v>48.132202415060725</v>
      </c>
      <c r="W98" s="402">
        <f t="shared" si="34"/>
        <v>41.000474780196157</v>
      </c>
      <c r="X98" s="157">
        <f t="shared" si="35"/>
        <v>45741</v>
      </c>
      <c r="Y98" s="385">
        <f t="shared" si="36"/>
        <v>39.706092471236531</v>
      </c>
      <c r="Z98" s="385">
        <f t="shared" si="37"/>
        <v>41.9390699206376</v>
      </c>
      <c r="AA98" s="386">
        <f t="shared" si="38"/>
        <v>45.448957894505533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7.7227028659600114E-2</v>
      </c>
      <c r="AD98" s="231">
        <f>(INDEX(Models!$BJ98:$BT98,,AH98)*(1-AF98)+INDEX(Models!$BJ98:$BT98,,AH98+1)*AF98-ERP_i)*AE98*Ramure*Pc/MaxiM</f>
        <v>1.5868336873757316E-3</v>
      </c>
      <c r="AE98" s="305">
        <f t="shared" si="40"/>
        <v>0.7</v>
      </c>
      <c r="AF98" s="177">
        <f t="shared" si="41"/>
        <v>0.51964016852307693</v>
      </c>
      <c r="AG98" s="919">
        <f t="shared" si="49"/>
        <v>1</v>
      </c>
      <c r="AH98" s="176">
        <f t="shared" si="42"/>
        <v>7</v>
      </c>
      <c r="AI98" s="225">
        <f t="shared" si="43"/>
        <v>1.5196401685230769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1090">
        <f>IF(t&gt;Tmaj,'2024'!Wh/'2024'!Env_an*'2025'!Env_an,0.001*'[5]mon-tableau'!$B$63)</f>
        <v>44.535568049614092</v>
      </c>
      <c r="C99" s="953"/>
      <c r="D99" s="393">
        <f t="shared" si="25"/>
        <v>47.041174193087286</v>
      </c>
      <c r="E99" s="385">
        <f t="shared" si="47"/>
        <v>49.374034628235179</v>
      </c>
      <c r="F99" s="385">
        <f t="shared" si="26"/>
        <v>49.442014225653224</v>
      </c>
      <c r="G99" s="110">
        <f t="shared" si="48"/>
        <v>0.92069129059778665</v>
      </c>
      <c r="H99" s="412" t="b">
        <f>Wh_hp&gt;='2024'!Maxi_hp</f>
        <v>0</v>
      </c>
      <c r="I99" s="390">
        <f>IF(H99,Wh_hp,'2024'!Maxi_hp)</f>
        <v>56.081839676566283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5.3264107166810293E-2</v>
      </c>
      <c r="M99" s="957"/>
      <c r="N99" s="957"/>
      <c r="O99" s="48">
        <f>IF(t&lt;Tnet,'2024'!Resal+('2024'!Salim-'2024'!Resal)*(1-EXP(('2024'!Tnet-t)/('2024'!Tau_j))),Resal+(Salim-Resal)*(1-EXP((Tnet-t)/(Tau_j))))*Salcycl</f>
        <v>4.7248730080766382E-2</v>
      </c>
      <c r="P99" s="169">
        <f>(INDEX(Models!$BJ99:$BT99,,T99)*(1-R99)+INDEX(Models!$BJ99:$BT99,,T99+1)*R99-ERP_i)*Q99*Ramure*Pc/MaxiM</f>
        <v>1.5502143262705985E-3</v>
      </c>
      <c r="Q99" s="305">
        <f t="shared" si="28"/>
        <v>0.7</v>
      </c>
      <c r="R99" s="177">
        <f t="shared" si="29"/>
        <v>0.52045585452448062</v>
      </c>
      <c r="S99" s="919">
        <f t="shared" si="30"/>
        <v>1</v>
      </c>
      <c r="T99" s="176">
        <f t="shared" si="31"/>
        <v>7</v>
      </c>
      <c r="U99" s="251">
        <f t="shared" si="32"/>
        <v>1.5204558545244806</v>
      </c>
      <c r="V99" s="383">
        <f t="shared" si="33"/>
        <v>48.363389150885553</v>
      </c>
      <c r="W99" s="402">
        <f t="shared" si="34"/>
        <v>44.535568049614092</v>
      </c>
      <c r="X99" s="157">
        <f t="shared" si="35"/>
        <v>45742</v>
      </c>
      <c r="Y99" s="385">
        <f t="shared" si="36"/>
        <v>43.130811273511128</v>
      </c>
      <c r="Z99" s="385">
        <f t="shared" si="37"/>
        <v>45.557384694097124</v>
      </c>
      <c r="AA99" s="386">
        <f t="shared" si="38"/>
        <v>49.374034628235179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7.7300750543798119E-2</v>
      </c>
      <c r="AD99" s="231">
        <f>(INDEX(Models!$BJ99:$BT99,,AH99)*(1-AF99)+INDEX(Models!$BJ99:$BT99,,AH99+1)*AF99-ERP_i)*AE99*Ramure*Pc/MaxiM</f>
        <v>1.5502143262705985E-3</v>
      </c>
      <c r="AE99" s="305">
        <f t="shared" si="40"/>
        <v>0.7</v>
      </c>
      <c r="AF99" s="177">
        <f t="shared" si="41"/>
        <v>0.52045585452448062</v>
      </c>
      <c r="AG99" s="919">
        <f t="shared" si="49"/>
        <v>1</v>
      </c>
      <c r="AH99" s="176">
        <f t="shared" si="42"/>
        <v>7</v>
      </c>
      <c r="AI99" s="225">
        <f t="shared" si="43"/>
        <v>1.5204558545244806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1090">
        <f>IF(t&gt;Tmaj,'2024'!Wh/'2024'!Env_an*'2025'!Env_an,0.001*'[5]mon-tableau'!$B$64)</f>
        <v>45.268696106370342</v>
      </c>
      <c r="C100" s="953"/>
      <c r="D100" s="393">
        <f t="shared" si="25"/>
        <v>47.816595918041635</v>
      </c>
      <c r="E100" s="385">
        <f t="shared" si="47"/>
        <v>50.193364388932878</v>
      </c>
      <c r="F100" s="385">
        <f t="shared" si="26"/>
        <v>50.262078809570262</v>
      </c>
      <c r="G100" s="110">
        <f t="shared" si="48"/>
        <v>0.93150550168878032</v>
      </c>
      <c r="H100" s="412" t="b">
        <f>Wh_hp&gt;='2024'!Maxi_hp</f>
        <v>0</v>
      </c>
      <c r="I100" s="390">
        <f>IF(H100,Wh_hp,'2024'!Maxi_hp)</f>
        <v>55.275486537639232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5.3284843112596958E-2</v>
      </c>
      <c r="M100" s="957"/>
      <c r="N100" s="957"/>
      <c r="O100" s="48">
        <f>IF(t&lt;Tnet,'2024'!Resal+('2024'!Salim-'2024'!Resal)*(1-EXP(('2024'!Tnet-t)/('2024'!Tau_j))),Resal+(Salim-Resal)*(1-EXP((Tnet-t)/(Tau_j))))*Salcycl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1.5150725592193578E-3</v>
      </c>
      <c r="Q100" s="305">
        <f t="shared" si="28"/>
        <v>0.7</v>
      </c>
      <c r="R100" s="177">
        <f t="shared" si="29"/>
        <v>0.52130281969244519</v>
      </c>
      <c r="S100" s="919">
        <f t="shared" si="30"/>
        <v>1</v>
      </c>
      <c r="T100" s="176">
        <f t="shared" si="31"/>
        <v>7</v>
      </c>
      <c r="U100" s="251">
        <f t="shared" si="32"/>
        <v>1.5213028196924452</v>
      </c>
      <c r="V100" s="383">
        <f t="shared" si="33"/>
        <v>48.590147187342737</v>
      </c>
      <c r="W100" s="402">
        <f t="shared" si="34"/>
        <v>45.268696106370342</v>
      </c>
      <c r="X100" s="157">
        <f t="shared" si="35"/>
        <v>45743</v>
      </c>
      <c r="Y100" s="385">
        <f t="shared" si="36"/>
        <v>43.842051219126454</v>
      </c>
      <c r="Z100" s="385">
        <f t="shared" si="37"/>
        <v>46.309653859635816</v>
      </c>
      <c r="AA100" s="386">
        <f t="shared" si="38"/>
        <v>50.193364388932878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7.7374979274220074E-2</v>
      </c>
      <c r="AD100" s="231">
        <f>(INDEX(Models!$BJ100:$BT100,,AH100)*(1-AF100)+INDEX(Models!$BJ100:$BT100,,AH100+1)*AF100-ERP_i)*AE100*Ramure*Pc/MaxiM</f>
        <v>1.5150725592193578E-3</v>
      </c>
      <c r="AE100" s="305">
        <f t="shared" si="40"/>
        <v>0.7</v>
      </c>
      <c r="AF100" s="177">
        <f t="shared" si="41"/>
        <v>0.52130281969244519</v>
      </c>
      <c r="AG100" s="919">
        <f t="shared" si="49"/>
        <v>1</v>
      </c>
      <c r="AH100" s="176">
        <f t="shared" si="42"/>
        <v>7</v>
      </c>
      <c r="AI100" s="225">
        <f t="shared" si="43"/>
        <v>1.5213028196924452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1090">
        <f>IF(t&gt;Tmaj,'2024'!Wh/'2024'!Env_an*'2025'!Env_an,0.001*'[5]mon-tableau'!$B$65)</f>
        <v>34.729978516649638</v>
      </c>
      <c r="C101" s="953"/>
      <c r="D101" s="393">
        <f t="shared" si="25"/>
        <v>36.68552146472404</v>
      </c>
      <c r="E101" s="385">
        <f t="shared" si="47"/>
        <v>38.513205597308072</v>
      </c>
      <c r="F101" s="385">
        <f t="shared" si="26"/>
        <v>38.546765682206171</v>
      </c>
      <c r="G101" s="110">
        <f t="shared" si="48"/>
        <v>0.71107293981446751</v>
      </c>
      <c r="H101" s="412" t="b">
        <f>Wh_hp&gt;='2024'!Maxi_hp</f>
        <v>0</v>
      </c>
      <c r="I101" s="390">
        <f>IF(H101,Wh_hp,'2024'!Maxi_hp)</f>
        <v>54.062253279945516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5.3305578604213255E-2</v>
      </c>
      <c r="M101" s="957"/>
      <c r="N101" s="957"/>
      <c r="O101" s="48">
        <f>IF(t&lt;Tnet,'2024'!Resal+('2024'!Salim-'2024'!Resal)*(1-EXP(('2024'!Tnet-t)/('2024'!Tau_j))),Resal+(Salim-Resal)*(1-EXP((Tnet-t)/(Tau_j))))*Salcycl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1.4810007789364107E-3</v>
      </c>
      <c r="Q101" s="305">
        <f t="shared" si="28"/>
        <v>0.7</v>
      </c>
      <c r="R101" s="177">
        <f t="shared" si="29"/>
        <v>0.52218214124210949</v>
      </c>
      <c r="S101" s="919">
        <f t="shared" si="30"/>
        <v>1</v>
      </c>
      <c r="T101" s="176">
        <f t="shared" si="31"/>
        <v>7</v>
      </c>
      <c r="U101" s="251">
        <f t="shared" si="32"/>
        <v>1.5221821412421095</v>
      </c>
      <c r="V101" s="383">
        <f t="shared" si="33"/>
        <v>48.811816679212349</v>
      </c>
      <c r="W101" s="402">
        <f t="shared" si="34"/>
        <v>34.729978516649638</v>
      </c>
      <c r="X101" s="157">
        <f t="shared" si="35"/>
        <v>45744</v>
      </c>
      <c r="Y101" s="385">
        <f t="shared" si="36"/>
        <v>33.636400808784622</v>
      </c>
      <c r="Z101" s="385">
        <f t="shared" si="37"/>
        <v>35.530367612383102</v>
      </c>
      <c r="AA101" s="386">
        <f t="shared" si="38"/>
        <v>38.513205597308072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7.7449745838177139E-2</v>
      </c>
      <c r="AD101" s="231">
        <f>(INDEX(Models!$BJ101:$BT101,,AH101)*(1-AF101)+INDEX(Models!$BJ101:$BT101,,AH101+1)*AF101-ERP_i)*AE101*Ramure*Pc/MaxiM</f>
        <v>1.4810007789364107E-3</v>
      </c>
      <c r="AE101" s="305">
        <f t="shared" si="40"/>
        <v>0.7</v>
      </c>
      <c r="AF101" s="177">
        <f t="shared" si="41"/>
        <v>0.52218214124210949</v>
      </c>
      <c r="AG101" s="919">
        <f t="shared" si="49"/>
        <v>1</v>
      </c>
      <c r="AH101" s="176">
        <f t="shared" si="42"/>
        <v>7</v>
      </c>
      <c r="AI101" s="225">
        <f t="shared" si="43"/>
        <v>1.5221821412421095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1090">
        <f>IF(t&gt;Tmaj,'2024'!Wh/'2024'!Env_an*'2025'!Env_an,0.001*'[5]mon-tableau'!$B$66)</f>
        <v>27.370754688165697</v>
      </c>
      <c r="C102" s="953"/>
      <c r="D102" s="393">
        <f t="shared" si="25"/>
        <v>28.912554645366399</v>
      </c>
      <c r="E102" s="385">
        <f t="shared" si="47"/>
        <v>30.356304403820246</v>
      </c>
      <c r="F102" s="385">
        <f t="shared" si="26"/>
        <v>30.372530912044336</v>
      </c>
      <c r="G102" s="110">
        <f t="shared" si="48"/>
        <v>0.55776063398069287</v>
      </c>
      <c r="H102" s="412" t="b">
        <f>Wh_hp&gt;='2024'!Maxi_hp</f>
        <v>0</v>
      </c>
      <c r="I102" s="390">
        <f>IF(H102,Wh_hp,'2024'!Maxi_hp)</f>
        <v>54.934926813744624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5.3326313641668954E-2</v>
      </c>
      <c r="M102" s="957"/>
      <c r="N102" s="957"/>
      <c r="O102" s="48">
        <f>IF(t&lt;Tnet,'2024'!Resal+('2024'!Salim-'2024'!Resal)*(1-EXP(('2024'!Tnet-t)/('2024'!Tau_j))),Resal+(Salim-Resal)*(1-EXP((Tnet-t)/(Tau_j))))*Salcycl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1.4479929535800183E-3</v>
      </c>
      <c r="Q102" s="305">
        <f t="shared" si="28"/>
        <v>0.7</v>
      </c>
      <c r="R102" s="177">
        <f t="shared" si="29"/>
        <v>0.52309492352649589</v>
      </c>
      <c r="S102" s="919">
        <f t="shared" si="30"/>
        <v>1</v>
      </c>
      <c r="T102" s="176">
        <f t="shared" si="31"/>
        <v>7</v>
      </c>
      <c r="U102" s="251">
        <f t="shared" si="32"/>
        <v>1.5230949235264959</v>
      </c>
      <c r="V102" s="383">
        <f t="shared" si="33"/>
        <v>49.027718710331243</v>
      </c>
      <c r="W102" s="402">
        <f t="shared" si="34"/>
        <v>27.370754688165697</v>
      </c>
      <c r="X102" s="157">
        <f t="shared" si="35"/>
        <v>45745</v>
      </c>
      <c r="Y102" s="385">
        <f t="shared" si="36"/>
        <v>26.509636445957508</v>
      </c>
      <c r="Z102" s="385">
        <f t="shared" si="37"/>
        <v>28.002929444394834</v>
      </c>
      <c r="AA102" s="386">
        <f t="shared" si="38"/>
        <v>30.356304403820246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7.7525081054637499E-2</v>
      </c>
      <c r="AD102" s="231">
        <f>(INDEX(Models!$BJ102:$BT102,,AH102)*(1-AF102)+INDEX(Models!$BJ102:$BT102,,AH102+1)*AF102-ERP_i)*AE102*Ramure*Pc/MaxiM</f>
        <v>1.4479929535800183E-3</v>
      </c>
      <c r="AE102" s="305">
        <f t="shared" si="40"/>
        <v>0.7</v>
      </c>
      <c r="AF102" s="177">
        <f t="shared" si="41"/>
        <v>0.52309492352649589</v>
      </c>
      <c r="AG102" s="919">
        <f t="shared" si="49"/>
        <v>1</v>
      </c>
      <c r="AH102" s="176">
        <f t="shared" si="42"/>
        <v>7</v>
      </c>
      <c r="AI102" s="225">
        <f t="shared" si="43"/>
        <v>1.5230949235264959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1090">
        <f>IF(t&gt;Tmaj,'2024'!Wh/'2024'!Env_an*'2025'!Env_an,0.001*'[5]mon-tableau'!$B$67)</f>
        <v>7.1448440290985564</v>
      </c>
      <c r="C103" s="953"/>
      <c r="D103" s="393">
        <f t="shared" si="25"/>
        <v>7.5474797978515618</v>
      </c>
      <c r="E103" s="385">
        <f t="shared" si="47"/>
        <v>7.9252323491065102</v>
      </c>
      <c r="F103" s="385">
        <f t="shared" si="26"/>
        <v>7.9252323491065102</v>
      </c>
      <c r="G103" s="110">
        <f t="shared" si="48"/>
        <v>0.14490528082806658</v>
      </c>
      <c r="H103" s="412" t="b">
        <f>Wh_hp&gt;='2024'!Maxi_hp</f>
        <v>0</v>
      </c>
      <c r="I103" s="390">
        <f>IF(H103,Wh_hp,'2024'!Maxi_hp)</f>
        <v>56.1503147173473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5.3347048224974158E-2</v>
      </c>
      <c r="M103" s="957"/>
      <c r="N103" s="957"/>
      <c r="O103" s="48">
        <f>IF(t&lt;Tnet,'2024'!Resal+('2024'!Salim-'2024'!Resal)*(1-EXP(('2024'!Tnet-t)/('2024'!Tau_j))),Resal+(Salim-Resal)*(1-EXP((Tnet-t)/(Tau_j))))*Salcycl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1.416041659936974E-3</v>
      </c>
      <c r="Q103" s="305">
        <f t="shared" si="28"/>
        <v>0.7</v>
      </c>
      <c r="R103" s="177">
        <f t="shared" si="29"/>
        <v>0.52404229787811407</v>
      </c>
      <c r="S103" s="919">
        <f t="shared" si="30"/>
        <v>1</v>
      </c>
      <c r="T103" s="176">
        <f t="shared" si="31"/>
        <v>7</v>
      </c>
      <c r="U103" s="251">
        <f t="shared" si="32"/>
        <v>1.5240422978781141</v>
      </c>
      <c r="V103" s="383">
        <f t="shared" si="33"/>
        <v>49.237174735992653</v>
      </c>
      <c r="W103" s="402">
        <f t="shared" si="34"/>
        <v>7.1448440290985564</v>
      </c>
      <c r="X103" s="157">
        <f t="shared" si="35"/>
        <v>45746</v>
      </c>
      <c r="Y103" s="385">
        <f t="shared" si="36"/>
        <v>6.9202472773515415</v>
      </c>
      <c r="Z103" s="385">
        <f t="shared" si="37"/>
        <v>7.3102262707528682</v>
      </c>
      <c r="AA103" s="386">
        <f t="shared" si="38"/>
        <v>7.9252323491065102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7.7601015498678511E-2</v>
      </c>
      <c r="AD103" s="231">
        <f>(INDEX(Models!$BJ103:$BT103,,AH103)*(1-AF103)+INDEX(Models!$BJ103:$BT103,,AH103+1)*AF103-ERP_i)*AE103*Ramure*Pc/MaxiM</f>
        <v>1.416041659936974E-3</v>
      </c>
      <c r="AE103" s="305">
        <f t="shared" si="40"/>
        <v>0.7</v>
      </c>
      <c r="AF103" s="177">
        <f t="shared" si="41"/>
        <v>0.52404229787811407</v>
      </c>
      <c r="AG103" s="919">
        <f t="shared" si="49"/>
        <v>1</v>
      </c>
      <c r="AH103" s="176">
        <f t="shared" si="42"/>
        <v>7</v>
      </c>
      <c r="AI103" s="225">
        <f t="shared" si="43"/>
        <v>1.5240422978781141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1090">
        <f>IF(t&gt;Tmaj,'2024'!Wh/'2024'!Env_an*'2025'!Env_an,0.001*'[5]mon-tableau'!$B$68)</f>
        <v>21.29764034451091</v>
      </c>
      <c r="C104" s="953"/>
      <c r="D104" s="393">
        <f t="shared" si="25"/>
        <v>22.498326116002151</v>
      </c>
      <c r="E104" s="385">
        <f t="shared" si="47"/>
        <v>23.626969659061096</v>
      </c>
      <c r="F104" s="385">
        <f t="shared" si="26"/>
        <v>23.626969659061096</v>
      </c>
      <c r="G104" s="110">
        <f t="shared" si="48"/>
        <v>0.43018512193077929</v>
      </c>
      <c r="H104" s="412" t="b">
        <f>Wh_hp&gt;='2024'!Maxi_hp</f>
        <v>0</v>
      </c>
      <c r="I104" s="390">
        <f>IF(H104,Wh_hp,'2024'!Maxi_hp)</f>
        <v>49.506417533337903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5.336778235413886E-2</v>
      </c>
      <c r="M104" s="957"/>
      <c r="N104" s="957"/>
      <c r="O104" s="48">
        <f>IF(t&lt;Tnet,'2024'!Resal+('2024'!Salim-'2024'!Resal)*(1-EXP(('2024'!Tnet-t)/('2024'!Tau_j))),Resal+(Salim-Resal)*(1-EXP((Tnet-t)/(Tau_j))))*Salcycl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3.7855987799595425E-5</v>
      </c>
      <c r="S104" s="919">
        <f t="shared" si="30"/>
        <v>-2</v>
      </c>
      <c r="T104" s="176">
        <f t="shared" si="31"/>
        <v>4</v>
      </c>
      <c r="U104" s="251">
        <f t="shared" si="32"/>
        <v>-1.9999621440122004</v>
      </c>
      <c r="V104" s="383">
        <f t="shared" si="33"/>
        <v>49.508082122695754</v>
      </c>
      <c r="W104" s="402">
        <f t="shared" si="34"/>
        <v>21.29764034451091</v>
      </c>
      <c r="X104" s="157">
        <f t="shared" si="35"/>
        <v>45747</v>
      </c>
      <c r="Y104" s="385">
        <f t="shared" si="36"/>
        <v>20.62339592088021</v>
      </c>
      <c r="Z104" s="385">
        <f t="shared" si="37"/>
        <v>21.786070172181169</v>
      </c>
      <c r="AA104" s="386">
        <f t="shared" si="38"/>
        <v>23.620883203396126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7.7677579429000873E-2</v>
      </c>
      <c r="AD104" s="231">
        <f>(INDEX(Models!$BJ104:$BT104,,AH104)*(1-AF104)+INDEX(Models!$BJ104:$BT104,,AH104+1)*AF104-ERP_i)*AE104*Ramure*Pc/MaxiM</f>
        <v>1.3851382589992749E-3</v>
      </c>
      <c r="AE104" s="305">
        <f t="shared" si="40"/>
        <v>0.7</v>
      </c>
      <c r="AF104" s="177">
        <f t="shared" si="41"/>
        <v>0.52502542236177852</v>
      </c>
      <c r="AG104" s="919">
        <f t="shared" si="49"/>
        <v>1</v>
      </c>
      <c r="AH104" s="176">
        <f t="shared" si="42"/>
        <v>7</v>
      </c>
      <c r="AI104" s="225">
        <f t="shared" si="43"/>
        <v>1.5250254223617785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1090">
        <f>IF(t&gt;Tmaj,'2024'!Wh/'2024'!Env_an*'2025'!Env_an,0.001*'[6]mon-tableau'!$B$37)</f>
        <v>31.723921772691948</v>
      </c>
      <c r="C105" s="953"/>
      <c r="D105" s="393">
        <f t="shared" si="25"/>
        <v>33.513138504951435</v>
      </c>
      <c r="E105" s="385">
        <f t="shared" si="47"/>
        <v>35.198232685713258</v>
      </c>
      <c r="F105" s="385">
        <f t="shared" si="26"/>
        <v>35.198234126027209</v>
      </c>
      <c r="G105" s="110">
        <f t="shared" si="48"/>
        <v>0.63829038995641507</v>
      </c>
      <c r="H105" s="412" t="b">
        <f>Wh_hp&gt;='2024'!Maxi_hp</f>
        <v>0</v>
      </c>
      <c r="I105" s="390">
        <f>IF(H105,Wh_hp,'2024'!Maxi_hp)</f>
        <v>49.445909039564896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5.3388516029172828E-2</v>
      </c>
      <c r="M105" s="957"/>
      <c r="N105" s="957"/>
      <c r="O105" s="48">
        <f>IF(t&lt;Tnet,'2024'!Resal+('2024'!Salim-'2024'!Resal)*(1-EXP(('2024'!Tnet-t)/('2024'!Tau_j))),Resal+(Salim-Resal)*(1-EXP((Tnet-t)/(Tau_j))))*Salcycl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8.4672939368854748E-8</v>
      </c>
      <c r="Q105" s="305">
        <f t="shared" si="28"/>
        <v>0.7</v>
      </c>
      <c r="R105" s="177">
        <f t="shared" si="29"/>
        <v>1.0579150570848572E-3</v>
      </c>
      <c r="S105" s="919">
        <f t="shared" si="30"/>
        <v>-2</v>
      </c>
      <c r="T105" s="176">
        <f t="shared" si="31"/>
        <v>4</v>
      </c>
      <c r="U105" s="251">
        <f t="shared" si="32"/>
        <v>-1.9989420849429151</v>
      </c>
      <c r="V105" s="383">
        <f t="shared" si="33"/>
        <v>49.701391222332653</v>
      </c>
      <c r="W105" s="402">
        <f t="shared" si="34"/>
        <v>31.723921772691948</v>
      </c>
      <c r="X105" s="157">
        <f t="shared" si="35"/>
        <v>45748</v>
      </c>
      <c r="Y105" s="385">
        <f t="shared" si="36"/>
        <v>30.708210272526518</v>
      </c>
      <c r="Z105" s="385">
        <f t="shared" si="37"/>
        <v>32.440141274974103</v>
      </c>
      <c r="AA105" s="386">
        <f t="shared" si="38"/>
        <v>35.175180494945664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7.7754802718483756E-2</v>
      </c>
      <c r="AD105" s="231">
        <f>(INDEX(Models!$BJ105:$BT105,,AH105)*(1-AF105)+INDEX(Models!$BJ105:$BT105,,AH105+1)*AF105-ERP_i)*AE105*Ramure*Pc/MaxiM</f>
        <v>1.3552730638870453E-3</v>
      </c>
      <c r="AE105" s="305">
        <f t="shared" si="40"/>
        <v>0.7</v>
      </c>
      <c r="AF105" s="177">
        <f t="shared" si="41"/>
        <v>0.52604548143106378</v>
      </c>
      <c r="AG105" s="919">
        <f t="shared" si="49"/>
        <v>1</v>
      </c>
      <c r="AH105" s="176">
        <f t="shared" si="42"/>
        <v>7</v>
      </c>
      <c r="AI105" s="225">
        <f t="shared" si="43"/>
        <v>1.5260454814310638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1090">
        <f>IF(t&gt;Tmaj,'2024'!Wh/'2024'!Env_an*'2025'!Env_an,0.001*'[6]mon-tableau'!$B$38)</f>
        <v>19.458981836718785</v>
      </c>
      <c r="C106" s="953"/>
      <c r="D106" s="393">
        <f t="shared" si="25"/>
        <v>20.556911021265389</v>
      </c>
      <c r="E106" s="385">
        <f t="shared" si="47"/>
        <v>21.592937677903087</v>
      </c>
      <c r="F106" s="385">
        <f t="shared" si="26"/>
        <v>21.59293814193191</v>
      </c>
      <c r="G106" s="110">
        <f t="shared" si="48"/>
        <v>0.39006698595189476</v>
      </c>
      <c r="H106" s="412" t="b">
        <f>Wh_hp&gt;='2024'!Maxi_hp</f>
        <v>0</v>
      </c>
      <c r="I106" s="390">
        <f>IF(H106,Wh_hp,'2024'!Maxi_hp)</f>
        <v>44.480418756560418</v>
      </c>
      <c r="J106" s="85">
        <f>IF(H106,An,'2024'!An_max)</f>
        <v>2020</v>
      </c>
      <c r="K106" s="197">
        <f t="shared" si="27"/>
        <v>45749</v>
      </c>
      <c r="L106" s="147">
        <f>IF(t&lt;Tvie,1-EXP((T0-t)*PertePVj)+'2024'!Pspv,1-EXP((T0-t)*PertePVj)+Pspv)</f>
        <v>5.3409249250086055E-2</v>
      </c>
      <c r="M106" s="957"/>
      <c r="N106" s="957"/>
      <c r="O106" s="48">
        <f>IF(t&lt;Tnet,'2024'!Resal+('2024'!Salim-'2024'!Resal)*(1-EXP(('2024'!Tnet-t)/('2024'!Tau_j))),Resal+(Salim-Resal)*(1-EXP((Tnet-t)/(Tau_j))))*Salcycl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1.6701879748435409E-7</v>
      </c>
      <c r="Q106" s="305">
        <f t="shared" si="28"/>
        <v>0.7</v>
      </c>
      <c r="R106" s="177">
        <f t="shared" si="29"/>
        <v>2.1161191065242058E-3</v>
      </c>
      <c r="S106" s="919">
        <f t="shared" si="30"/>
        <v>-2</v>
      </c>
      <c r="T106" s="176">
        <f t="shared" si="31"/>
        <v>4</v>
      </c>
      <c r="U106" s="251">
        <f t="shared" si="32"/>
        <v>-1.9978838808934758</v>
      </c>
      <c r="V106" s="383">
        <f t="shared" si="33"/>
        <v>49.886249556308783</v>
      </c>
      <c r="W106" s="402">
        <f t="shared" si="34"/>
        <v>19.458981836718785</v>
      </c>
      <c r="X106" s="157">
        <f t="shared" si="35"/>
        <v>45749</v>
      </c>
      <c r="Y106" s="385">
        <f t="shared" si="36"/>
        <v>18.84558318995316</v>
      </c>
      <c r="Z106" s="385">
        <f t="shared" si="37"/>
        <v>19.908902738615602</v>
      </c>
      <c r="AA106" s="386">
        <f t="shared" si="38"/>
        <v>21.589252902234623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7.7832714787693935E-2</v>
      </c>
      <c r="AD106" s="231">
        <f>(INDEX(Models!$BJ106:$BT106,,AH106)*(1-AF106)+INDEX(Models!$BJ106:$BT106,,AH106+1)*AF106-ERP_i)*AE106*Ramure*Pc/MaxiM</f>
        <v>1.3264355008544969E-3</v>
      </c>
      <c r="AE106" s="305">
        <f t="shared" si="40"/>
        <v>0.7</v>
      </c>
      <c r="AF106" s="177">
        <f t="shared" si="41"/>
        <v>0.52710368548050313</v>
      </c>
      <c r="AG106" s="919">
        <f t="shared" si="49"/>
        <v>1</v>
      </c>
      <c r="AH106" s="176">
        <f t="shared" si="42"/>
        <v>7</v>
      </c>
      <c r="AI106" s="225">
        <f t="shared" si="43"/>
        <v>1.5271036854805031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1090">
        <f>IF(t&gt;Tmaj,'2024'!Wh/'2024'!Env_an*'2025'!Env_an,0.001*'[6]mon-tableau'!$B$39)</f>
        <v>24.85022941187367</v>
      </c>
      <c r="C107" s="953"/>
      <c r="D107" s="393">
        <f t="shared" si="25"/>
        <v>26.252922593959706</v>
      </c>
      <c r="E107" s="385">
        <f t="shared" si="47"/>
        <v>27.579084084475181</v>
      </c>
      <c r="F107" s="385">
        <f t="shared" si="26"/>
        <v>27.579085998895913</v>
      </c>
      <c r="G107" s="110">
        <f t="shared" si="48"/>
        <v>0.49638276200938269</v>
      </c>
      <c r="H107" s="412" t="b">
        <f>Wh_hp&gt;='2024'!Maxi_hp</f>
        <v>0</v>
      </c>
      <c r="I107" s="390">
        <f>IF(H107,Wh_hp,'2024'!Maxi_hp)</f>
        <v>52.947397962650761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5.3429982016888644E-2</v>
      </c>
      <c r="M107" s="957"/>
      <c r="N107" s="957"/>
      <c r="O107" s="48">
        <f>IF(t&lt;Tnet,'2024'!Resal+('2024'!Salim-'2024'!Resal)*(1-EXP(('2024'!Tnet-t)/('2024'!Tau_j))),Resal+(Salim-Resal)*(1-EXP((Tnet-t)/(Tau_j))))*Salcycl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2.4742979810446907E-7</v>
      </c>
      <c r="Q107" s="305">
        <f t="shared" si="28"/>
        <v>0.7</v>
      </c>
      <c r="R107" s="177">
        <f t="shared" si="29"/>
        <v>3.2137039113377952E-3</v>
      </c>
      <c r="S107" s="919">
        <f t="shared" si="30"/>
        <v>-2</v>
      </c>
      <c r="T107" s="176">
        <f t="shared" si="31"/>
        <v>4</v>
      </c>
      <c r="U107" s="251">
        <f t="shared" si="32"/>
        <v>-1.9967862960886622</v>
      </c>
      <c r="V107" s="383">
        <f t="shared" si="33"/>
        <v>50.06262684785117</v>
      </c>
      <c r="W107" s="402">
        <f t="shared" si="34"/>
        <v>24.85022941187367</v>
      </c>
      <c r="X107" s="157">
        <f t="shared" si="35"/>
        <v>45750</v>
      </c>
      <c r="Y107" s="385">
        <f t="shared" si="36"/>
        <v>24.062848812920159</v>
      </c>
      <c r="Z107" s="385">
        <f t="shared" si="37"/>
        <v>25.421097600568082</v>
      </c>
      <c r="AA107" s="386">
        <f t="shared" si="38"/>
        <v>27.569038454246417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7.7911344541198177E-2</v>
      </c>
      <c r="AD107" s="231">
        <f>(INDEX(Models!$BJ107:$BT107,,AH107)*(1-AF107)+INDEX(Models!$BJ107:$BT107,,AH107+1)*AF107-ERP_i)*AE107*Ramure*Pc/MaxiM</f>
        <v>1.2985974821363294E-3</v>
      </c>
      <c r="AE107" s="305">
        <f t="shared" si="40"/>
        <v>0.7</v>
      </c>
      <c r="AF107" s="177">
        <f t="shared" si="41"/>
        <v>0.52820127028531672</v>
      </c>
      <c r="AG107" s="919">
        <f t="shared" si="49"/>
        <v>1</v>
      </c>
      <c r="AH107" s="176">
        <f t="shared" si="42"/>
        <v>7</v>
      </c>
      <c r="AI107" s="225">
        <f t="shared" si="43"/>
        <v>1.5282012702853167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1090">
        <f>IF(t&gt;Tmaj,'2024'!Wh/'2024'!Env_an*'2025'!Env_an,0.001*'[6]mon-tableau'!$B$40)</f>
        <v>43.578729041342939</v>
      </c>
      <c r="C108" s="953"/>
      <c r="D108" s="393">
        <f t="shared" si="25"/>
        <v>46.039577337462745</v>
      </c>
      <c r="E108" s="385">
        <f t="shared" si="47"/>
        <v>48.37065968422587</v>
      </c>
      <c r="F108" s="385">
        <f t="shared" si="26"/>
        <v>48.370672544646034</v>
      </c>
      <c r="G108" s="110">
        <f t="shared" si="48"/>
        <v>0.86756172501831919</v>
      </c>
      <c r="H108" s="412" t="b">
        <f>Wh_hp&gt;='2024'!Maxi_hp</f>
        <v>0</v>
      </c>
      <c r="I108" s="390">
        <f>IF(H108,Wh_hp,'2024'!Maxi_hp)</f>
        <v>55.741875297523443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5.3450714329590365E-2</v>
      </c>
      <c r="M108" s="957"/>
      <c r="N108" s="957"/>
      <c r="O108" s="48">
        <f>IF(t&lt;Tnet,'2024'!Resal+('2024'!Salim-'2024'!Resal)*(1-EXP(('2024'!Tnet-t)/('2024'!Tau_j))),Resal+(Salim-Resal)*(1-EXP((Tnet-t)/(Tau_j))))*Salcycl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3.2791246855601411E-7</v>
      </c>
      <c r="Q108" s="305">
        <f t="shared" si="28"/>
        <v>0.7</v>
      </c>
      <c r="R108" s="177">
        <f t="shared" si="29"/>
        <v>4.3519299461904914E-3</v>
      </c>
      <c r="S108" s="919">
        <f t="shared" si="30"/>
        <v>-2</v>
      </c>
      <c r="T108" s="176">
        <f t="shared" si="31"/>
        <v>4</v>
      </c>
      <c r="U108" s="251">
        <f t="shared" si="32"/>
        <v>-1.9956480700538095</v>
      </c>
      <c r="V108" s="383">
        <f t="shared" si="33"/>
        <v>50.23126894721954</v>
      </c>
      <c r="W108" s="402">
        <f t="shared" si="34"/>
        <v>43.578729041342939</v>
      </c>
      <c r="X108" s="157">
        <f t="shared" si="35"/>
        <v>45751</v>
      </c>
      <c r="Y108" s="385">
        <f t="shared" si="36"/>
        <v>42.170828652259772</v>
      </c>
      <c r="Z108" s="385">
        <f t="shared" si="37"/>
        <v>44.552174187519</v>
      </c>
      <c r="AA108" s="386">
        <f t="shared" si="38"/>
        <v>48.320743802413638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7.7990720306470043E-2</v>
      </c>
      <c r="AD108" s="231">
        <f>(INDEX(Models!$BJ108:$BT108,,AH108)*(1-AF108)+INDEX(Models!$BJ108:$BT108,,AH108+1)*AF108-ERP_i)*AE108*Ramure*Pc/MaxiM</f>
        <v>1.2730732674734149E-3</v>
      </c>
      <c r="AE108" s="305">
        <f t="shared" si="40"/>
        <v>0.7</v>
      </c>
      <c r="AF108" s="177">
        <f t="shared" si="41"/>
        <v>0.52933949632016941</v>
      </c>
      <c r="AG108" s="919">
        <f t="shared" si="49"/>
        <v>1</v>
      </c>
      <c r="AH108" s="176">
        <f t="shared" si="42"/>
        <v>7</v>
      </c>
      <c r="AI108" s="225">
        <f t="shared" si="43"/>
        <v>1.5293394963201694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1090">
        <f>IF(t&gt;Tmaj,'2024'!Wh/'2024'!Env_an*'2025'!Env_an,0.001*'[6]mon-tableau'!$B$41)</f>
        <v>50.219460481045822</v>
      </c>
      <c r="C109" s="953"/>
      <c r="D109" s="393">
        <f t="shared" si="25"/>
        <v>53.056466472992547</v>
      </c>
      <c r="E109" s="385">
        <f t="shared" si="47"/>
        <v>55.749080840332503</v>
      </c>
      <c r="F109" s="385">
        <f t="shared" si="26"/>
        <v>55.749103582265022</v>
      </c>
      <c r="G109" s="110">
        <f t="shared" si="48"/>
        <v>0.99656294634486309</v>
      </c>
      <c r="H109" s="412" t="b">
        <f>Wh_hp&gt;='2024'!Maxi_hp</f>
        <v>0</v>
      </c>
      <c r="I109" s="390">
        <f>IF(H109,Wh_hp,'2024'!Maxi_hp)</f>
        <v>58.256884739736201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5.347144618820121E-2</v>
      </c>
      <c r="M109" s="957"/>
      <c r="N109" s="957"/>
      <c r="O109" s="48">
        <f>IF(t&lt;Tnet,'2024'!Resal+('2024'!Salim-'2024'!Resal)*(1-EXP(('2024'!Tnet-t)/('2024'!Tau_j))),Resal+(Salim-Resal)*(1-EXP((Tnet-t)/(Tau_j))))*Salcycl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4.0994646731341917E-7</v>
      </c>
      <c r="Q109" s="305">
        <f t="shared" si="28"/>
        <v>0.7</v>
      </c>
      <c r="R109" s="177">
        <f t="shared" si="29"/>
        <v>5.5320815742092577E-3</v>
      </c>
      <c r="S109" s="919">
        <f t="shared" si="30"/>
        <v>-2</v>
      </c>
      <c r="T109" s="176">
        <f t="shared" si="31"/>
        <v>4</v>
      </c>
      <c r="U109" s="251">
        <f t="shared" si="32"/>
        <v>-1.9944679184257907</v>
      </c>
      <c r="V109" s="383">
        <f t="shared" si="33"/>
        <v>50.39266266536675</v>
      </c>
      <c r="W109" s="402">
        <f t="shared" si="34"/>
        <v>50.219460481045822</v>
      </c>
      <c r="X109" s="157">
        <f t="shared" si="35"/>
        <v>45752</v>
      </c>
      <c r="Y109" s="385">
        <f t="shared" si="36"/>
        <v>48.58796582623804</v>
      </c>
      <c r="Z109" s="385">
        <f t="shared" si="37"/>
        <v>51.332805154760216</v>
      </c>
      <c r="AA109" s="386">
        <f t="shared" si="38"/>
        <v>55.679773500854097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7.8070869775129406E-2</v>
      </c>
      <c r="AD109" s="231">
        <f>(INDEX(Models!$BJ109:$BT109,,AH109)*(1-AF109)+INDEX(Models!$BJ109:$BT109,,AH109+1)*AF109-ERP_i)*AE109*Ramure*Pc/MaxiM</f>
        <v>1.2497452418696968E-3</v>
      </c>
      <c r="AE109" s="305">
        <f t="shared" si="40"/>
        <v>0.7</v>
      </c>
      <c r="AF109" s="177">
        <f t="shared" si="41"/>
        <v>0.53051964794818818</v>
      </c>
      <c r="AG109" s="919">
        <f t="shared" si="49"/>
        <v>1</v>
      </c>
      <c r="AH109" s="176">
        <f t="shared" si="42"/>
        <v>7</v>
      </c>
      <c r="AI109" s="225">
        <f t="shared" si="43"/>
        <v>1.5305196479481882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1090">
        <f>IF(t&gt;Tmaj,'2024'!Wh/'2024'!Env_an*'2025'!Env_an,0.001*'[6]mon-tableau'!$B$42)</f>
        <v>11.794122641750718</v>
      </c>
      <c r="C110" s="953"/>
      <c r="D110" s="393">
        <f t="shared" si="25"/>
        <v>12.460671071639466</v>
      </c>
      <c r="E110" s="385">
        <f t="shared" si="47"/>
        <v>13.09452471371964</v>
      </c>
      <c r="F110" s="385">
        <f t="shared" si="26"/>
        <v>13.09452471371964</v>
      </c>
      <c r="G110" s="110">
        <f t="shared" si="48"/>
        <v>0.23332834927287321</v>
      </c>
      <c r="H110" s="412" t="b">
        <f>Wh_hp&gt;='2024'!Maxi_hp</f>
        <v>0</v>
      </c>
      <c r="I110" s="390">
        <f>IF(H110,Wh_hp,'2024'!Maxi_hp)</f>
        <v>57.685469912803519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5.3492177592731283E-2</v>
      </c>
      <c r="M110" s="957"/>
      <c r="N110" s="957"/>
      <c r="O110" s="48">
        <f>IF(t&lt;Tnet,'2024'!Resal+('2024'!Salim-'2024'!Resal)*(1-EXP(('2024'!Tnet-t)/('2024'!Tau_j))),Resal+(Salim-Resal)*(1-EXP((Tnet-t)/(Tau_j))))*Salcycl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4.9521386526344105E-7</v>
      </c>
      <c r="Q110" s="305">
        <f t="shared" si="28"/>
        <v>0.7</v>
      </c>
      <c r="R110" s="177">
        <f t="shared" si="29"/>
        <v>6.7554660972493075E-3</v>
      </c>
      <c r="S110" s="919">
        <f t="shared" si="30"/>
        <v>-2</v>
      </c>
      <c r="T110" s="176">
        <f t="shared" si="31"/>
        <v>4</v>
      </c>
      <c r="U110" s="251">
        <f t="shared" si="32"/>
        <v>-1.9932445339027507</v>
      </c>
      <c r="V110" s="383">
        <f t="shared" si="33"/>
        <v>50.547294565327995</v>
      </c>
      <c r="W110" s="402">
        <f t="shared" si="34"/>
        <v>11.794122641750718</v>
      </c>
      <c r="X110" s="157">
        <f t="shared" si="35"/>
        <v>45753</v>
      </c>
      <c r="Y110" s="385">
        <f t="shared" si="36"/>
        <v>11.425450939554491</v>
      </c>
      <c r="Z110" s="385">
        <f t="shared" si="37"/>
        <v>12.071163776011861</v>
      </c>
      <c r="AA110" s="386">
        <f t="shared" si="38"/>
        <v>13.09452471371964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7.8151819946207221E-2</v>
      </c>
      <c r="AD110" s="231">
        <f>(INDEX(Models!$BJ110:$BT110,,AH110)*(1-AF110)+INDEX(Models!$BJ110:$BT110,,AH110+1)*AF110-ERP_i)*AE110*Ramure*Pc/MaxiM</f>
        <v>1.2285777868780191E-3</v>
      </c>
      <c r="AE110" s="305">
        <f t="shared" si="40"/>
        <v>0.7</v>
      </c>
      <c r="AF110" s="177">
        <f t="shared" si="41"/>
        <v>0.53174303247122823</v>
      </c>
      <c r="AG110" s="919">
        <f t="shared" si="49"/>
        <v>1</v>
      </c>
      <c r="AH110" s="176">
        <f t="shared" si="42"/>
        <v>7</v>
      </c>
      <c r="AI110" s="225">
        <f t="shared" si="43"/>
        <v>1.5317430324712282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1090">
        <f>IF(t&gt;Tmaj,'2024'!Wh/'2024'!Env_an*'2025'!Env_an,0.001*'[6]mon-tableau'!$B$43)</f>
        <v>38.848276987016952</v>
      </c>
      <c r="C111" s="953"/>
      <c r="D111" s="393">
        <f t="shared" si="25"/>
        <v>41.04469816616583</v>
      </c>
      <c r="E111" s="385">
        <f t="shared" si="47"/>
        <v>43.137454542210506</v>
      </c>
      <c r="F111" s="385">
        <f t="shared" si="26"/>
        <v>43.137471367468891</v>
      </c>
      <c r="G111" s="110">
        <f t="shared" si="48"/>
        <v>0.76630378837448487</v>
      </c>
      <c r="H111" s="412" t="b">
        <f>Wh_hp&gt;='2024'!Maxi_hp</f>
        <v>0</v>
      </c>
      <c r="I111" s="390">
        <f>IF(H111,Wh_hp,'2024'!Maxi_hp)</f>
        <v>56.268394657199678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5.3512908543190241E-2</v>
      </c>
      <c r="M111" s="957"/>
      <c r="N111" s="957"/>
      <c r="O111" s="48">
        <f>IF(t&lt;Tnet,'2024'!Resal+('2024'!Salim-'2024'!Resal)*(1-EXP(('2024'!Tnet-t)/('2024'!Tau_j))),Resal+(Salim-Resal)*(1-EXP((Tnet-t)/(Tau_j))))*Salcycl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5.8551228941260738E-7</v>
      </c>
      <c r="Q111" s="305">
        <f t="shared" si="28"/>
        <v>0.7</v>
      </c>
      <c r="R111" s="177">
        <f t="shared" si="29"/>
        <v>8.0234126581983922E-3</v>
      </c>
      <c r="S111" s="919">
        <f t="shared" si="30"/>
        <v>-2</v>
      </c>
      <c r="T111" s="176">
        <f t="shared" si="31"/>
        <v>4</v>
      </c>
      <c r="U111" s="251">
        <f t="shared" si="32"/>
        <v>-1.9919765873418016</v>
      </c>
      <c r="V111" s="383">
        <f t="shared" si="33"/>
        <v>50.695650970988929</v>
      </c>
      <c r="W111" s="402">
        <f t="shared" si="34"/>
        <v>38.848276987016952</v>
      </c>
      <c r="X111" s="157">
        <f t="shared" si="35"/>
        <v>45754</v>
      </c>
      <c r="Y111" s="385">
        <f t="shared" si="36"/>
        <v>37.604531957434688</v>
      </c>
      <c r="Z111" s="385">
        <f t="shared" si="37"/>
        <v>39.730633726398437</v>
      </c>
      <c r="AA111" s="386">
        <f t="shared" si="38"/>
        <v>43.102714093456235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7.8233597071088928E-2</v>
      </c>
      <c r="AD111" s="231">
        <f>(INDEX(Models!$BJ111:$BT111,,AH111)*(1-AF111)+INDEX(Models!$BJ111:$BT111,,AH111+1)*AF111-ERP_i)*AE111*Ramure*Pc/MaxiM</f>
        <v>1.2095392902399613E-3</v>
      </c>
      <c r="AE111" s="305">
        <f t="shared" si="40"/>
        <v>0.7</v>
      </c>
      <c r="AF111" s="177">
        <f t="shared" si="41"/>
        <v>0.53301097903217731</v>
      </c>
      <c r="AG111" s="919">
        <f t="shared" si="49"/>
        <v>1</v>
      </c>
      <c r="AH111" s="176">
        <f t="shared" si="42"/>
        <v>7</v>
      </c>
      <c r="AI111" s="225">
        <f t="shared" si="43"/>
        <v>1.5330109790321773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1090">
        <f>IF(t&gt;Tmaj,'2024'!Wh/'2024'!Env_an*'2025'!Env_an,0.001*'[6]mon-tableau'!$B$44)</f>
        <v>31.519922228873554</v>
      </c>
      <c r="C112" s="953"/>
      <c r="D112" s="393">
        <f t="shared" si="25"/>
        <v>33.302739039651883</v>
      </c>
      <c r="E112" s="385">
        <f t="shared" si="47"/>
        <v>35.00473327975542</v>
      </c>
      <c r="F112" s="385">
        <f t="shared" si="26"/>
        <v>35.004744205627837</v>
      </c>
      <c r="G112" s="110">
        <f t="shared" si="48"/>
        <v>0.6200042370692922</v>
      </c>
      <c r="H112" s="412" t="b">
        <f>Wh_hp&gt;='2024'!Maxi_hp</f>
        <v>0</v>
      </c>
      <c r="I112" s="390">
        <f>IF(H112,Wh_hp,'2024'!Maxi_hp)</f>
        <v>56.211155978326396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5.3533639039588299E-2</v>
      </c>
      <c r="M112" s="957"/>
      <c r="N112" s="957"/>
      <c r="O112" s="48">
        <f>IF(t&lt;Tnet,'2024'!Resal+('2024'!Salim-'2024'!Resal)*(1-EXP(('2024'!Tnet-t)/('2024'!Tau_j))),Resal+(Salim-Resal)*(1-EXP((Tnet-t)/(Tau_j))))*Salcycl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6.8276494610138397E-7</v>
      </c>
      <c r="Q112" s="305">
        <f t="shared" si="28"/>
        <v>0.7</v>
      </c>
      <c r="R112" s="177">
        <f t="shared" si="29"/>
        <v>9.3372709859420588E-3</v>
      </c>
      <c r="S112" s="919">
        <f t="shared" si="30"/>
        <v>-2</v>
      </c>
      <c r="T112" s="176">
        <f t="shared" si="31"/>
        <v>4</v>
      </c>
      <c r="U112" s="251">
        <f t="shared" si="32"/>
        <v>-1.9906627290140579</v>
      </c>
      <c r="V112" s="383">
        <f t="shared" si="33"/>
        <v>50.838217969823177</v>
      </c>
      <c r="W112" s="402">
        <f t="shared" si="34"/>
        <v>31.519922228873554</v>
      </c>
      <c r="X112" s="157">
        <f t="shared" si="35"/>
        <v>45755</v>
      </c>
      <c r="Y112" s="385">
        <f t="shared" si="36"/>
        <v>30.519484407374961</v>
      </c>
      <c r="Z112" s="385">
        <f t="shared" si="37"/>
        <v>32.245714867674536</v>
      </c>
      <c r="AA112" s="386">
        <f t="shared" si="38"/>
        <v>34.985659722222138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7.8316226599758676E-2</v>
      </c>
      <c r="AD112" s="231">
        <f>(INDEX(Models!$BJ112:$BT112,,AH112)*(1-AF112)+INDEX(Models!$BJ112:$BT112,,AH112+1)*AF112-ERP_i)*AE112*Ramure*Pc/MaxiM</f>
        <v>1.1926019074394584E-3</v>
      </c>
      <c r="AE112" s="305">
        <f t="shared" si="40"/>
        <v>0.7</v>
      </c>
      <c r="AF112" s="177">
        <f t="shared" si="41"/>
        <v>0.53432483735992098</v>
      </c>
      <c r="AG112" s="919">
        <f t="shared" si="49"/>
        <v>1</v>
      </c>
      <c r="AH112" s="176">
        <f t="shared" si="42"/>
        <v>7</v>
      </c>
      <c r="AI112" s="225">
        <f t="shared" si="43"/>
        <v>1.534324837359921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1090">
        <f>IF(t&gt;Tmaj,'2024'!Wh/'2024'!Env_an*'2025'!Env_an,0.001*'[6]mon-tableau'!$B$45)</f>
        <v>34.400460983878943</v>
      </c>
      <c r="C113" s="953"/>
      <c r="D113" s="393">
        <f t="shared" si="25"/>
        <v>36.347001729523583</v>
      </c>
      <c r="E113" s="385">
        <f t="shared" si="47"/>
        <v>38.208942513205926</v>
      </c>
      <c r="F113" s="385">
        <f t="shared" si="26"/>
        <v>38.208958657197236</v>
      </c>
      <c r="G113" s="110">
        <f t="shared" si="48"/>
        <v>0.67484303092655695</v>
      </c>
      <c r="H113" s="412" t="b">
        <f>Wh_hp&gt;='2024'!Maxi_hp</f>
        <v>0</v>
      </c>
      <c r="I113" s="390">
        <f>IF(H113,Wh_hp,'2024'!Maxi_hp)</f>
        <v>45.992596170964376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5.3554369081935116E-2</v>
      </c>
      <c r="M113" s="957"/>
      <c r="N113" s="957"/>
      <c r="O113" s="48">
        <f>IF(t&lt;Tnet,'2024'!Resal+('2024'!Salim-'2024'!Resal)*(1-EXP(('2024'!Tnet-t)/('2024'!Tau_j))),Resal+(Salim-Resal)*(1-EXP((Tnet-t)/(Tau_j))))*Salcycl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7.8903092685065151E-7</v>
      </c>
      <c r="Q113" s="305">
        <f t="shared" si="28"/>
        <v>0.7</v>
      </c>
      <c r="R113" s="177">
        <f t="shared" si="29"/>
        <v>1.0698409973507905E-2</v>
      </c>
      <c r="S113" s="919">
        <f t="shared" si="30"/>
        <v>-2</v>
      </c>
      <c r="T113" s="176">
        <f t="shared" si="31"/>
        <v>4</v>
      </c>
      <c r="U113" s="251">
        <f t="shared" si="32"/>
        <v>-1.9893015900264921</v>
      </c>
      <c r="V113" s="383">
        <f t="shared" si="33"/>
        <v>50.975481407053962</v>
      </c>
      <c r="W113" s="402">
        <f t="shared" si="34"/>
        <v>34.400460983878943</v>
      </c>
      <c r="X113" s="157">
        <f t="shared" si="35"/>
        <v>45756</v>
      </c>
      <c r="Y113" s="385">
        <f t="shared" si="36"/>
        <v>33.306537136185824</v>
      </c>
      <c r="Z113" s="385">
        <f t="shared" si="37"/>
        <v>35.191178497890085</v>
      </c>
      <c r="AA113" s="386">
        <f t="shared" si="38"/>
        <v>38.1848614446806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7.8399733127944918E-2</v>
      </c>
      <c r="AD113" s="231">
        <f>(INDEX(Models!$BJ113:$BT113,,AH113)*(1-AF113)+INDEX(Models!$BJ113:$BT113,,AH113+1)*AF113-ERP_i)*AE113*Ramure*Pc/MaxiM</f>
        <v>1.1777413378148652E-3</v>
      </c>
      <c r="AE113" s="305">
        <f t="shared" si="40"/>
        <v>0.7</v>
      </c>
      <c r="AF113" s="177">
        <f t="shared" si="41"/>
        <v>0.53568597634748683</v>
      </c>
      <c r="AG113" s="919">
        <f t="shared" si="49"/>
        <v>1</v>
      </c>
      <c r="AH113" s="176">
        <f t="shared" si="42"/>
        <v>7</v>
      </c>
      <c r="AI113" s="225">
        <f t="shared" si="43"/>
        <v>1.5356859763474868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1090">
        <f>IF(t&gt;Tmaj,'2024'!Wh/'2024'!Env_an*'2025'!Env_an,0.001*'[6]mon-tableau'!$B$46)</f>
        <v>52.588551602679992</v>
      </c>
      <c r="C114" s="953"/>
      <c r="D114" s="393">
        <f t="shared" si="25"/>
        <v>55.565477544801801</v>
      </c>
      <c r="E114" s="385">
        <f t="shared" si="47"/>
        <v>58.418625010042931</v>
      </c>
      <c r="F114" s="385">
        <f t="shared" si="26"/>
        <v>58.418678511810612</v>
      </c>
      <c r="G114" s="110">
        <f t="shared" si="48"/>
        <v>1.0289705588508635</v>
      </c>
      <c r="H114" s="412" t="b">
        <f>Wh_hp&gt;='2024'!Maxi_hp</f>
        <v>1</v>
      </c>
      <c r="I114" s="390">
        <f>IF(H114,Wh_hp,'2024'!Maxi_hp)</f>
        <v>58.418678511810612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5.3575098670240906E-2</v>
      </c>
      <c r="M114" s="957"/>
      <c r="N114" s="957"/>
      <c r="O114" s="48">
        <f>IF(t&lt;Tnet,'2024'!Resal+('2024'!Salim-'2024'!Resal)*(1-EXP(('2024'!Tnet-t)/('2024'!Tau_j))),Resal+(Salim-Resal)*(1-EXP((Tnet-t)/(Tau_j))))*Salcycl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9.1583324100495871E-7</v>
      </c>
      <c r="Q114" s="305">
        <f t="shared" si="28"/>
        <v>0.7</v>
      </c>
      <c r="R114" s="177">
        <f t="shared" si="29"/>
        <v>1.2108216079850465E-2</v>
      </c>
      <c r="S114" s="919">
        <f t="shared" si="30"/>
        <v>-2</v>
      </c>
      <c r="T114" s="176">
        <f t="shared" si="31"/>
        <v>4</v>
      </c>
      <c r="U114" s="251">
        <f t="shared" si="32"/>
        <v>-1.9878917839201495</v>
      </c>
      <c r="V114" s="383">
        <f t="shared" si="33"/>
        <v>51.10792641279258</v>
      </c>
      <c r="W114" s="402">
        <f t="shared" si="34"/>
        <v>52.588551602679992</v>
      </c>
      <c r="X114" s="157">
        <f t="shared" si="35"/>
        <v>45757</v>
      </c>
      <c r="Y114" s="385">
        <f t="shared" si="36"/>
        <v>50.890116365359553</v>
      </c>
      <c r="Z114" s="385">
        <f t="shared" si="37"/>
        <v>53.770897504764733</v>
      </c>
      <c r="AA114" s="386">
        <f t="shared" si="38"/>
        <v>58.350485172204401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7.848414034475211E-2</v>
      </c>
      <c r="AD114" s="231">
        <f>(INDEX(Models!$BJ114:$BT114,,AH114)*(1-AF114)+INDEX(Models!$BJ114:$BT114,,AH114+1)*AF114-ERP_i)*AE114*Ramure*Pc/MaxiM</f>
        <v>1.1673208183308242E-3</v>
      </c>
      <c r="AE114" s="305">
        <f t="shared" si="40"/>
        <v>0.7</v>
      </c>
      <c r="AF114" s="177">
        <f t="shared" si="41"/>
        <v>0.53709578245382938</v>
      </c>
      <c r="AG114" s="919">
        <f t="shared" si="49"/>
        <v>1</v>
      </c>
      <c r="AH114" s="176">
        <f t="shared" si="42"/>
        <v>7</v>
      </c>
      <c r="AI114" s="225">
        <f t="shared" si="43"/>
        <v>1.5370957824538294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1090">
        <f>IF(t&gt;Tmaj,'2024'!Wh/'2024'!Env_an*'2025'!Env_an,0.001*'[6]mon-tableau'!$B$47)</f>
        <v>43.394722466141431</v>
      </c>
      <c r="C115" s="953"/>
      <c r="D115" s="393">
        <f t="shared" si="25"/>
        <v>45.852209596111159</v>
      </c>
      <c r="E115" s="385">
        <f t="shared" si="47"/>
        <v>48.212167271047569</v>
      </c>
      <c r="F115" s="385">
        <f t="shared" si="26"/>
        <v>48.21220748417764</v>
      </c>
      <c r="G115" s="110">
        <f t="shared" si="48"/>
        <v>0.84695682608557799</v>
      </c>
      <c r="H115" s="412" t="b">
        <f>Wh_hp&gt;='2024'!Maxi_hp</f>
        <v>0</v>
      </c>
      <c r="I115" s="390">
        <f>IF(H115,Wh_hp,'2024'!Maxi_hp)</f>
        <v>56.926003902955259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5.359582780451555E-2</v>
      </c>
      <c r="M115" s="957"/>
      <c r="N115" s="957"/>
      <c r="O115" s="48">
        <f>IF(t&lt;Tnet,'2024'!Resal+('2024'!Salim-'2024'!Resal)*(1-EXP(('2024'!Tnet-t)/('2024'!Tau_j))),Resal+(Salim-Resal)*(1-EXP((Tnet-t)/(Tau_j))))*Salcycl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1.067470047894431E-6</v>
      </c>
      <c r="Q115" s="305">
        <f t="shared" si="28"/>
        <v>0.7</v>
      </c>
      <c r="R115" s="177">
        <f t="shared" si="29"/>
        <v>1.3568091545747674E-2</v>
      </c>
      <c r="S115" s="919">
        <f t="shared" si="30"/>
        <v>-2</v>
      </c>
      <c r="T115" s="176">
        <f t="shared" si="31"/>
        <v>4</v>
      </c>
      <c r="U115" s="251">
        <f t="shared" si="32"/>
        <v>-1.9864319084542523</v>
      </c>
      <c r="V115" s="383">
        <f t="shared" si="33"/>
        <v>51.236038251275417</v>
      </c>
      <c r="W115" s="402">
        <f t="shared" si="34"/>
        <v>43.394722466141431</v>
      </c>
      <c r="X115" s="157">
        <f t="shared" si="35"/>
        <v>45758</v>
      </c>
      <c r="Y115" s="385">
        <f t="shared" si="36"/>
        <v>42.005110552016724</v>
      </c>
      <c r="Z115" s="385">
        <f t="shared" si="37"/>
        <v>44.383902550400379</v>
      </c>
      <c r="AA115" s="386">
        <f t="shared" si="38"/>
        <v>48.168474076524056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7.8569470980359879E-2</v>
      </c>
      <c r="AD115" s="231">
        <f>(INDEX(Models!$BJ115:$BT115,,AH115)*(1-AF115)+INDEX(Models!$BJ115:$BT115,,AH115+1)*AF115-ERP_i)*AE115*Ramure*Pc/MaxiM</f>
        <v>1.1609169114958678E-3</v>
      </c>
      <c r="AE115" s="305">
        <f t="shared" si="40"/>
        <v>0.7</v>
      </c>
      <c r="AF115" s="177">
        <f t="shared" si="41"/>
        <v>0.53855565791972659</v>
      </c>
      <c r="AG115" s="919">
        <f t="shared" si="49"/>
        <v>1</v>
      </c>
      <c r="AH115" s="176">
        <f t="shared" si="42"/>
        <v>7</v>
      </c>
      <c r="AI115" s="225">
        <f t="shared" si="43"/>
        <v>1.5385556579197266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1090">
        <f>IF(t&gt;Tmaj,'2024'!Wh/'2024'!Env_an*'2025'!Env_an,0.001*'[6]mon-tableau'!$B$48)</f>
        <v>2.4519542509504868</v>
      </c>
      <c r="C116" s="953"/>
      <c r="D116" s="393">
        <f t="shared" si="25"/>
        <v>2.590867652801478</v>
      </c>
      <c r="E116" s="385">
        <f t="shared" si="47"/>
        <v>2.7245324234935144</v>
      </c>
      <c r="F116" s="385">
        <f t="shared" si="26"/>
        <v>2.7245324234935144</v>
      </c>
      <c r="G116" s="110">
        <f t="shared" si="48"/>
        <v>4.7740202000476809E-2</v>
      </c>
      <c r="H116" s="412" t="b">
        <f>Wh_hp&gt;='2024'!Maxi_hp</f>
        <v>0</v>
      </c>
      <c r="I116" s="390">
        <f>IF(H116,Wh_hp,'2024'!Maxi_hp)</f>
        <v>56.893751444283453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5.3616556484768929E-2</v>
      </c>
      <c r="M116" s="957"/>
      <c r="N116" s="957"/>
      <c r="O116" s="48">
        <f>IF(t&lt;Tnet,'2024'!Resal+('2024'!Salim-'2024'!Resal)*(1-EXP(('2024'!Tnet-t)/('2024'!Tau_j))),Resal+(Salim-Resal)*(1-EXP((Tnet-t)/(Tau_j))))*Salcycl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1.2496324086908855E-6</v>
      </c>
      <c r="Q116" s="305">
        <f t="shared" si="28"/>
        <v>0.7</v>
      </c>
      <c r="R116" s="177">
        <f t="shared" si="29"/>
        <v>1.5079452414376027E-2</v>
      </c>
      <c r="S116" s="919">
        <f t="shared" si="30"/>
        <v>-2</v>
      </c>
      <c r="T116" s="176">
        <f t="shared" si="31"/>
        <v>4</v>
      </c>
      <c r="U116" s="251">
        <f t="shared" si="32"/>
        <v>-1.984920547585624</v>
      </c>
      <c r="V116" s="383">
        <f t="shared" si="33"/>
        <v>51.360301887379975</v>
      </c>
      <c r="W116" s="402">
        <f t="shared" si="34"/>
        <v>2.4519542509504868</v>
      </c>
      <c r="X116" s="157">
        <f t="shared" si="35"/>
        <v>45759</v>
      </c>
      <c r="Y116" s="385">
        <f t="shared" si="36"/>
        <v>2.3756422797404517</v>
      </c>
      <c r="Z116" s="385">
        <f t="shared" si="37"/>
        <v>2.5102322911698511</v>
      </c>
      <c r="AA116" s="386">
        <f t="shared" si="38"/>
        <v>2.7245324234935144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7.8655746753374389E-2</v>
      </c>
      <c r="AD116" s="231">
        <f>(INDEX(Models!$BJ116:$BT116,,AH116)*(1-AF116)+INDEX(Models!$BJ116:$BT116,,AH116+1)*AF116-ERP_i)*AE116*Ramure*Pc/MaxiM</f>
        <v>1.1585226774567939E-3</v>
      </c>
      <c r="AE116" s="305">
        <f t="shared" si="40"/>
        <v>0.7</v>
      </c>
      <c r="AF116" s="177">
        <f t="shared" si="41"/>
        <v>0.54006701878835495</v>
      </c>
      <c r="AG116" s="919">
        <f t="shared" si="49"/>
        <v>1</v>
      </c>
      <c r="AH116" s="176">
        <f t="shared" si="42"/>
        <v>7</v>
      </c>
      <c r="AI116" s="225">
        <f t="shared" si="43"/>
        <v>1.5400670187883549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1090">
        <f>IF(t&gt;Tmaj,'2024'!Wh/'2024'!Env_an*'2025'!Env_an,0.001*'[6]mon-tableau'!$B$49)</f>
        <v>0</v>
      </c>
      <c r="C117" s="953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2" t="b">
        <f>Wh_hp&gt;='2024'!Maxi_hp</f>
        <v>0</v>
      </c>
      <c r="I117" s="390">
        <f>IF(H117,Wh_hp,'2024'!Maxi_hp)</f>
        <v>58.336070770675065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5.3637284711010924E-2</v>
      </c>
      <c r="M117" s="957"/>
      <c r="N117" s="957"/>
      <c r="O117" s="48">
        <f>IF(t&lt;Tnet,'2024'!Resal+('2024'!Salim-'2024'!Resal)*(1-EXP(('2024'!Tnet-t)/('2024'!Tau_j))),Resal+(Salim-Resal)*(1-EXP((Tnet-t)/(Tau_j))))*Salcycl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1.4684306747975587E-6</v>
      </c>
      <c r="Q117" s="305">
        <f t="shared" si="28"/>
        <v>0.7</v>
      </c>
      <c r="R117" s="177">
        <f t="shared" si="29"/>
        <v>1.6643726347297605E-2</v>
      </c>
      <c r="S117" s="919">
        <f t="shared" si="30"/>
        <v>-2</v>
      </c>
      <c r="T117" s="176">
        <f t="shared" si="31"/>
        <v>4</v>
      </c>
      <c r="U117" s="251">
        <f t="shared" si="32"/>
        <v>-1.9833562736527024</v>
      </c>
      <c r="V117" s="383">
        <f t="shared" si="33"/>
        <v>51.48120202894205</v>
      </c>
      <c r="W117" s="402">
        <f t="shared" si="34"/>
        <v>0</v>
      </c>
      <c r="X117" s="157">
        <f t="shared" si="35"/>
        <v>45760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7.8742988317429791E-2</v>
      </c>
      <c r="AD117" s="231">
        <f>(INDEX(Models!$BJ117:$BT117,,AH117)*(1-AF117)+INDEX(Models!$BJ117:$BT117,,AH117+1)*AF117-ERP_i)*AE117*Ramure*Pc/MaxiM</f>
        <v>1.1601365976092568E-3</v>
      </c>
      <c r="AE117" s="305">
        <f t="shared" si="40"/>
        <v>0.7</v>
      </c>
      <c r="AF117" s="177">
        <f t="shared" si="41"/>
        <v>0.54163129272127652</v>
      </c>
      <c r="AG117" s="919">
        <f t="shared" si="49"/>
        <v>1</v>
      </c>
      <c r="AH117" s="176">
        <f t="shared" si="42"/>
        <v>7</v>
      </c>
      <c r="AI117" s="225">
        <f t="shared" si="43"/>
        <v>1.5416312927212765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1090">
        <f>IF(t&gt;Tmaj,'2024'!Wh/'2024'!Env_an*'2025'!Env_an,0.001*'[6]mon-tableau'!$B$50)</f>
        <v>41.184033737896563</v>
      </c>
      <c r="C118" s="953"/>
      <c r="D118" s="393">
        <f t="shared" si="25"/>
        <v>43.519186806838881</v>
      </c>
      <c r="E118" s="385">
        <f t="shared" si="47"/>
        <v>45.77507486045004</v>
      </c>
      <c r="F118" s="385">
        <f t="shared" si="26"/>
        <v>45.775131230139422</v>
      </c>
      <c r="G118" s="110">
        <f t="shared" si="48"/>
        <v>0.79815180712148881</v>
      </c>
      <c r="H118" s="412" t="b">
        <f>Wh_hp&gt;='2024'!Maxi_hp</f>
        <v>0</v>
      </c>
      <c r="I118" s="390">
        <f>IF(H118,Wh_hp,'2024'!Maxi_hp)</f>
        <v>56.615625243922842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5.3658012483251638E-2</v>
      </c>
      <c r="M118" s="957"/>
      <c r="N118" s="957"/>
      <c r="O118" s="48">
        <f>IF(t&lt;Tnet,'2024'!Resal+('2024'!Salim-'2024'!Resal)*(1-EXP(('2024'!Tnet-t)/('2024'!Tau_j))),Resal+(Salim-Resal)*(1-EXP((Tnet-t)/(Tau_j))))*Salcycl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1.7304219937093135E-6</v>
      </c>
      <c r="Q118" s="305">
        <f t="shared" si="28"/>
        <v>0.7</v>
      </c>
      <c r="R118" s="177">
        <f t="shared" si="29"/>
        <v>1.8262350226861068E-2</v>
      </c>
      <c r="S118" s="919">
        <f t="shared" si="30"/>
        <v>-2</v>
      </c>
      <c r="T118" s="176">
        <f t="shared" si="31"/>
        <v>4</v>
      </c>
      <c r="U118" s="251">
        <f t="shared" si="32"/>
        <v>-1.9817376497731389</v>
      </c>
      <c r="V118" s="383">
        <f t="shared" si="33"/>
        <v>51.599223131041235</v>
      </c>
      <c r="W118" s="402">
        <f t="shared" si="34"/>
        <v>41.184033737896563</v>
      </c>
      <c r="X118" s="157">
        <f t="shared" si="35"/>
        <v>45761</v>
      </c>
      <c r="Y118" s="385">
        <f t="shared" si="36"/>
        <v>39.870940082602147</v>
      </c>
      <c r="Z118" s="385">
        <f t="shared" si="37"/>
        <v>42.131640156034514</v>
      </c>
      <c r="AA118" s="386">
        <f t="shared" si="38"/>
        <v>45.73715572167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7.8831215206659949E-2</v>
      </c>
      <c r="AD118" s="231">
        <f>(INDEX(Models!$BJ118:$BT118,,AH118)*(1-AF118)+INDEX(Models!$BJ118:$BT118,,AH118+1)*AF118-ERP_i)*AE118*Ramure*Pc/MaxiM</f>
        <v>1.1657622349419115E-3</v>
      </c>
      <c r="AE118" s="305">
        <f t="shared" si="40"/>
        <v>0.7</v>
      </c>
      <c r="AF118" s="177">
        <f t="shared" si="41"/>
        <v>0.54324991660083999</v>
      </c>
      <c r="AG118" s="919">
        <f t="shared" si="49"/>
        <v>1</v>
      </c>
      <c r="AH118" s="176">
        <f t="shared" si="42"/>
        <v>7</v>
      </c>
      <c r="AI118" s="225">
        <f t="shared" si="43"/>
        <v>1.54324991660084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1090">
        <f>IF(t&gt;Tmaj,'2024'!Wh/'2024'!Env_an*'2025'!Env_an,0.001*'[6]mon-tableau'!$B$51)</f>
        <v>45.836794405439669</v>
      </c>
      <c r="C119" s="953"/>
      <c r="D119" s="393">
        <f t="shared" si="25"/>
        <v>48.436821968709658</v>
      </c>
      <c r="E119" s="385">
        <f t="shared" si="47"/>
        <v>50.953628801631751</v>
      </c>
      <c r="F119" s="385">
        <f t="shared" si="26"/>
        <v>50.953715981596574</v>
      </c>
      <c r="G119" s="110">
        <f t="shared" si="48"/>
        <v>0.88633689820149086</v>
      </c>
      <c r="H119" s="412" t="b">
        <f>Wh_hp&gt;='2024'!Maxi_hp</f>
        <v>0</v>
      </c>
      <c r="I119" s="390">
        <f>IF(H119,Wh_hp,'2024'!Maxi_hp)</f>
        <v>56.990205602590848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5.3678739801500952E-2</v>
      </c>
      <c r="M119" s="957"/>
      <c r="N119" s="957"/>
      <c r="O119" s="48">
        <f>IF(t&lt;Tnet,'2024'!Resal+('2024'!Salim-'2024'!Resal)*(1-EXP(('2024'!Tnet-t)/('2024'!Tau_j))),Resal+(Salim-Resal)*(1-EXP((Tnet-t)/(Tau_j))))*Salcycl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2.0426380824087133E-6</v>
      </c>
      <c r="Q119" s="305">
        <f t="shared" si="28"/>
        <v>0.7</v>
      </c>
      <c r="R119" s="177">
        <f t="shared" si="29"/>
        <v>1.9936767536392619E-2</v>
      </c>
      <c r="S119" s="919">
        <f t="shared" si="30"/>
        <v>-2</v>
      </c>
      <c r="T119" s="176">
        <f t="shared" si="31"/>
        <v>4</v>
      </c>
      <c r="U119" s="251">
        <f t="shared" si="32"/>
        <v>-1.9800632324636074</v>
      </c>
      <c r="V119" s="383">
        <f t="shared" si="33"/>
        <v>51.714849393654447</v>
      </c>
      <c r="W119" s="402">
        <f t="shared" si="34"/>
        <v>45.836794405439669</v>
      </c>
      <c r="X119" s="157">
        <f t="shared" si="35"/>
        <v>45762</v>
      </c>
      <c r="Y119" s="385">
        <f t="shared" si="36"/>
        <v>44.369425526150351</v>
      </c>
      <c r="Z119" s="385">
        <f t="shared" si="37"/>
        <v>46.886218657756331</v>
      </c>
      <c r="AA119" s="386">
        <f t="shared" si="38"/>
        <v>50.903549474014156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7.8920445779692344E-2</v>
      </c>
      <c r="AD119" s="231">
        <f>(INDEX(Models!$BJ119:$BT119,,AH119)*(1-AF119)+INDEX(Models!$BJ119:$BT119,,AH119+1)*AF119-ERP_i)*AE119*Ramure*Pc/MaxiM</f>
        <v>1.1754078939998842E-3</v>
      </c>
      <c r="AE119" s="305">
        <f t="shared" si="40"/>
        <v>0.7</v>
      </c>
      <c r="AF119" s="177">
        <f t="shared" si="41"/>
        <v>0.54492433391037154</v>
      </c>
      <c r="AG119" s="919">
        <f t="shared" si="49"/>
        <v>1</v>
      </c>
      <c r="AH119" s="176">
        <f t="shared" si="42"/>
        <v>7</v>
      </c>
      <c r="AI119" s="225">
        <f t="shared" si="43"/>
        <v>1.5449243339103715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1090">
        <f>IF(t&gt;Tmaj,'2024'!Wh/'2024'!Env_an*'2025'!Env_an,0.001*'[6]mon-tableau'!$B$52)</f>
        <v>41.24079106690975</v>
      </c>
      <c r="C120" s="953"/>
      <c r="D120" s="393">
        <f t="shared" si="25"/>
        <v>43.581071355418544</v>
      </c>
      <c r="E120" s="385">
        <f t="shared" si="47"/>
        <v>45.851004385343337</v>
      </c>
      <c r="F120" s="385">
        <f t="shared" si="26"/>
        <v>45.851082723205579</v>
      </c>
      <c r="G120" s="110">
        <f t="shared" si="48"/>
        <v>0.79571491558136165</v>
      </c>
      <c r="H120" s="412" t="b">
        <f>Wh_hp&gt;='2024'!Maxi_hp</f>
        <v>0</v>
      </c>
      <c r="I120" s="390">
        <f>IF(H120,Wh_hp,'2024'!Maxi_hp)</f>
        <v>53.394011325702145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5.3699466665768858E-2</v>
      </c>
      <c r="M120" s="957"/>
      <c r="N120" s="957"/>
      <c r="O120" s="48">
        <f>IF(t&lt;Tnet,'2024'!Resal+('2024'!Salim-'2024'!Resal)*(1-EXP(('2024'!Tnet-t)/('2024'!Tau_j))),Resal+(Salim-Resal)*(1-EXP((Tnet-t)/(Tau_j))))*Salcycl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2.4126131077094475E-6</v>
      </c>
      <c r="Q120" s="305">
        <f t="shared" si="28"/>
        <v>0.7</v>
      </c>
      <c r="R120" s="177">
        <f t="shared" si="29"/>
        <v>2.1668425510035005E-2</v>
      </c>
      <c r="S120" s="919">
        <f t="shared" si="30"/>
        <v>-2</v>
      </c>
      <c r="T120" s="176">
        <f t="shared" si="31"/>
        <v>4</v>
      </c>
      <c r="U120" s="251">
        <f t="shared" si="32"/>
        <v>-1.978331574489965</v>
      </c>
      <c r="V120" s="383">
        <f t="shared" si="33"/>
        <v>51.828564756393185</v>
      </c>
      <c r="W120" s="402">
        <f t="shared" si="34"/>
        <v>41.24079106690975</v>
      </c>
      <c r="X120" s="157">
        <f t="shared" si="35"/>
        <v>45763</v>
      </c>
      <c r="Y120" s="385">
        <f t="shared" si="36"/>
        <v>39.927066787771217</v>
      </c>
      <c r="Z120" s="385">
        <f t="shared" si="37"/>
        <v>42.19279751126281</v>
      </c>
      <c r="AA120" s="386">
        <f t="shared" si="38"/>
        <v>45.812472936700082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7.9010697161854576E-2</v>
      </c>
      <c r="AD120" s="231">
        <f>(INDEX(Models!$BJ120:$BT120,,AH120)*(1-AF120)+INDEX(Models!$BJ120:$BT120,,AH120+1)*AF120-ERP_i)*AE120*Ramure*Pc/MaxiM</f>
        <v>1.1890862775578266E-3</v>
      </c>
      <c r="AE120" s="305">
        <f t="shared" si="40"/>
        <v>0.7</v>
      </c>
      <c r="AF120" s="177">
        <f t="shared" si="41"/>
        <v>0.54665599188401393</v>
      </c>
      <c r="AG120" s="919">
        <f t="shared" si="49"/>
        <v>1</v>
      </c>
      <c r="AH120" s="176">
        <f t="shared" si="42"/>
        <v>7</v>
      </c>
      <c r="AI120" s="225">
        <f t="shared" si="43"/>
        <v>1.5466559918840139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1090">
        <f>IF(t&gt;Tmaj,'2024'!Wh/'2024'!Env_an*'2025'!Env_an,0.001*'[6]mon-tableau'!$B$53)</f>
        <v>52.077862490545137</v>
      </c>
      <c r="C121" s="953"/>
      <c r="D121" s="393">
        <f t="shared" si="25"/>
        <v>55.034316604339551</v>
      </c>
      <c r="E121" s="385">
        <f t="shared" si="47"/>
        <v>57.907697044364355</v>
      </c>
      <c r="F121" s="385">
        <f t="shared" si="26"/>
        <v>57.907861992961585</v>
      </c>
      <c r="G121" s="110">
        <f t="shared" si="48"/>
        <v>1.0026571186575348</v>
      </c>
      <c r="H121" s="412" t="b">
        <f>Wh_hp&gt;='2024'!Maxi_hp</f>
        <v>1</v>
      </c>
      <c r="I121" s="390">
        <f>IF(H121,Wh_hp,'2024'!Maxi_hp)</f>
        <v>57.907861992961585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5.3720193076065126E-2</v>
      </c>
      <c r="M121" s="957"/>
      <c r="N121" s="957"/>
      <c r="O121" s="48">
        <f>IF(t&lt;Tnet,'2024'!Resal+('2024'!Salim-'2024'!Resal)*(1-EXP(('2024'!Tnet-t)/('2024'!Tau_j))),Resal+(Salim-Resal)*(1-EXP((Tnet-t)/(Tau_j))))*Salcycl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2.8484663663451923E-6</v>
      </c>
      <c r="Q121" s="305">
        <f t="shared" si="28"/>
        <v>0.7</v>
      </c>
      <c r="R121" s="177">
        <f t="shared" si="29"/>
        <v>2.3458772044711695E-2</v>
      </c>
      <c r="S121" s="919">
        <f t="shared" si="30"/>
        <v>-2</v>
      </c>
      <c r="T121" s="176">
        <f t="shared" si="31"/>
        <v>4</v>
      </c>
      <c r="U121" s="251">
        <f t="shared" si="32"/>
        <v>-1.9765412279552883</v>
      </c>
      <c r="V121" s="383">
        <f t="shared" si="33"/>
        <v>51.939852140353395</v>
      </c>
      <c r="W121" s="402">
        <f t="shared" si="34"/>
        <v>52.077862490545137</v>
      </c>
      <c r="X121" s="157">
        <f t="shared" si="35"/>
        <v>45764</v>
      </c>
      <c r="Y121" s="385">
        <f t="shared" si="36"/>
        <v>50.401585768311023</v>
      </c>
      <c r="Z121" s="385">
        <f t="shared" si="37"/>
        <v>53.26287785021124</v>
      </c>
      <c r="AA121" s="386">
        <f t="shared" si="38"/>
        <v>57.837976619952286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7.9101985185332027E-2</v>
      </c>
      <c r="AD121" s="231">
        <f>(INDEX(Models!$BJ121:$BT121,,AH121)*(1-AF121)+INDEX(Models!$BJ121:$BT121,,AH121+1)*AF121-ERP_i)*AE121*Ramure*Pc/MaxiM</f>
        <v>1.206837389675921E-3</v>
      </c>
      <c r="AE121" s="305">
        <f t="shared" si="40"/>
        <v>0.7</v>
      </c>
      <c r="AF121" s="177">
        <f t="shared" si="41"/>
        <v>0.54844633841869062</v>
      </c>
      <c r="AG121" s="919">
        <f t="shared" si="49"/>
        <v>1</v>
      </c>
      <c r="AH121" s="176">
        <f t="shared" si="42"/>
        <v>7</v>
      </c>
      <c r="AI121" s="225">
        <f t="shared" si="43"/>
        <v>1.5484463384186906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1090">
        <f>IF(t&gt;Tmaj,'2024'!Wh/'2024'!Env_an*'2025'!Env_an,0.001*'[6]mon-tableau'!$B$54)</f>
        <v>37.135877286499486</v>
      </c>
      <c r="C122" s="953"/>
      <c r="D122" s="393">
        <f t="shared" si="25"/>
        <v>39.244936226689717</v>
      </c>
      <c r="E122" s="385">
        <f t="shared" si="47"/>
        <v>41.298892445562728</v>
      </c>
      <c r="F122" s="385">
        <f t="shared" si="26"/>
        <v>41.298974863904348</v>
      </c>
      <c r="G122" s="110">
        <f t="shared" si="48"/>
        <v>0.7134945445402775</v>
      </c>
      <c r="H122" s="412" t="b">
        <f>Wh_hp&gt;='2024'!Maxi_hp</f>
        <v>0</v>
      </c>
      <c r="I122" s="390">
        <f>IF(H122,Wh_hp,'2024'!Maxi_hp)</f>
        <v>42.269665111428111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5.3740919032399859E-2</v>
      </c>
      <c r="M122" s="957"/>
      <c r="N122" s="957"/>
      <c r="O122" s="48">
        <f>IF(t&lt;Tnet,'2024'!Resal+('2024'!Salim-'2024'!Resal)*(1-EXP(('2024'!Tnet-t)/('2024'!Tau_j))),Resal+(Salim-Resal)*(1-EXP((Tnet-t)/(Tau_j))))*Salcycl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3.3784058449170209E-6</v>
      </c>
      <c r="Q122" s="305">
        <f t="shared" si="28"/>
        <v>0.7</v>
      </c>
      <c r="R122" s="177">
        <f t="shared" si="29"/>
        <v>2.5309252367434754E-2</v>
      </c>
      <c r="S122" s="919">
        <f t="shared" si="30"/>
        <v>-2</v>
      </c>
      <c r="T122" s="176">
        <f t="shared" si="31"/>
        <v>4</v>
      </c>
      <c r="U122" s="251">
        <f t="shared" si="32"/>
        <v>-1.9746907476325652</v>
      </c>
      <c r="V122" s="383">
        <f t="shared" si="33"/>
        <v>52.047806420876476</v>
      </c>
      <c r="W122" s="402">
        <f t="shared" si="34"/>
        <v>37.135877286499486</v>
      </c>
      <c r="X122" s="157">
        <f t="shared" si="35"/>
        <v>45765</v>
      </c>
      <c r="Y122" s="385">
        <f t="shared" si="36"/>
        <v>35.958487877890356</v>
      </c>
      <c r="Z122" s="385">
        <f t="shared" si="37"/>
        <v>38.000679307744022</v>
      </c>
      <c r="AA122" s="386">
        <f t="shared" si="38"/>
        <v>41.268945567665973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7.9194324327070395E-2</v>
      </c>
      <c r="AD122" s="231">
        <f>(INDEX(Models!$BJ122:$BT122,,AH122)*(1-AF122)+INDEX(Models!$BJ122:$BT122,,AH122+1)*AF122-ERP_i)*AE122*Ramure*Pc/MaxiM</f>
        <v>1.2309292802561687E-3</v>
      </c>
      <c r="AE122" s="305">
        <f t="shared" si="40"/>
        <v>0.7</v>
      </c>
      <c r="AF122" s="177">
        <f t="shared" si="41"/>
        <v>0.55029681874141367</v>
      </c>
      <c r="AG122" s="919">
        <f t="shared" si="49"/>
        <v>1</v>
      </c>
      <c r="AH122" s="176">
        <f t="shared" si="42"/>
        <v>7</v>
      </c>
      <c r="AI122" s="225">
        <f t="shared" si="43"/>
        <v>1.5502968187414137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1090">
        <f>IF(t&gt;Tmaj,'2024'!Wh/'2024'!Env_an*'2025'!Env_an,0.001*'[6]mon-tableau'!$B$55)</f>
        <v>8.8893236371086068</v>
      </c>
      <c r="C123" s="953"/>
      <c r="D123" s="393">
        <f t="shared" si="25"/>
        <v>9.3943810095693916</v>
      </c>
      <c r="E123" s="385">
        <f t="shared" si="47"/>
        <v>9.8872453354974628</v>
      </c>
      <c r="F123" s="385">
        <f t="shared" si="26"/>
        <v>9.8872453354974628</v>
      </c>
      <c r="G123" s="110">
        <f t="shared" si="48"/>
        <v>0.17044852704311214</v>
      </c>
      <c r="H123" s="412" t="b">
        <f>Wh_hp&gt;='2024'!Maxi_hp</f>
        <v>0</v>
      </c>
      <c r="I123" s="390">
        <f>IF(H123,Wh_hp,'2024'!Maxi_hp)</f>
        <v>56.035337326864806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5.3761644534782937E-2</v>
      </c>
      <c r="M123" s="957"/>
      <c r="N123" s="957"/>
      <c r="O123" s="48">
        <f>IF(t&lt;Tnet,'2024'!Resal+('2024'!Salim-'2024'!Resal)*(1-EXP(('2024'!Tnet-t)/('2024'!Tau_j))),Resal+(Salim-Resal)*(1-EXP((Tnet-t)/(Tau_j))))*Salcycl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4.0061654596031832E-6</v>
      </c>
      <c r="Q123" s="305">
        <f t="shared" si="28"/>
        <v>0.7</v>
      </c>
      <c r="R123" s="177">
        <f t="shared" si="29"/>
        <v>2.7221305452071576E-2</v>
      </c>
      <c r="S123" s="919">
        <f t="shared" si="30"/>
        <v>-2</v>
      </c>
      <c r="T123" s="176">
        <f t="shared" si="31"/>
        <v>4</v>
      </c>
      <c r="U123" s="251">
        <f t="shared" si="32"/>
        <v>-1.9727786945479284</v>
      </c>
      <c r="V123" s="383">
        <f t="shared" si="33"/>
        <v>52.152331141934091</v>
      </c>
      <c r="W123" s="402">
        <f t="shared" si="34"/>
        <v>8.8893236371086068</v>
      </c>
      <c r="X123" s="157">
        <f t="shared" si="35"/>
        <v>45766</v>
      </c>
      <c r="Y123" s="385">
        <f t="shared" si="36"/>
        <v>8.6138993049364281</v>
      </c>
      <c r="Z123" s="385">
        <f t="shared" si="37"/>
        <v>9.1033081201843835</v>
      </c>
      <c r="AA123" s="386">
        <f t="shared" si="38"/>
        <v>9.8872453354974628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7.9287727644277883E-2</v>
      </c>
      <c r="AD123" s="231">
        <f>(INDEX(Models!$BJ123:$BT123,,AH123)*(1-AF123)+INDEX(Models!$BJ123:$BT123,,AH123+1)*AF123-ERP_i)*AE123*Ramure*Pc/MaxiM</f>
        <v>1.2600387091808787E-3</v>
      </c>
      <c r="AE123" s="305">
        <f t="shared" si="40"/>
        <v>0.7</v>
      </c>
      <c r="AF123" s="177">
        <f t="shared" si="41"/>
        <v>0.5522088718260505</v>
      </c>
      <c r="AG123" s="919">
        <f t="shared" si="49"/>
        <v>1</v>
      </c>
      <c r="AH123" s="176">
        <f t="shared" si="42"/>
        <v>7</v>
      </c>
      <c r="AI123" s="225">
        <f t="shared" si="43"/>
        <v>1.5522088718260505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1090">
        <f>IF(t&gt;Tmaj,'2024'!Wh/'2024'!Env_an*'2025'!Env_an,0.001*'[6]mon-tableau'!$B$56)</f>
        <v>10.02941848968184</v>
      </c>
      <c r="C124" s="953"/>
      <c r="D124" s="393">
        <f t="shared" si="25"/>
        <v>10.599483847351516</v>
      </c>
      <c r="E124" s="385">
        <f t="shared" si="47"/>
        <v>11.156925363733299</v>
      </c>
      <c r="F124" s="385">
        <f t="shared" si="26"/>
        <v>11.156925363733299</v>
      </c>
      <c r="G124" s="110">
        <f t="shared" si="48"/>
        <v>0.19193745170397167</v>
      </c>
      <c r="H124" s="412" t="b">
        <f>Wh_hp&gt;='2024'!Maxi_hp</f>
        <v>0</v>
      </c>
      <c r="I124" s="390">
        <f>IF(H124,Wh_hp,'2024'!Maxi_hp)</f>
        <v>54.638540839726012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5.3782369583224354E-2</v>
      </c>
      <c r="M124" s="957"/>
      <c r="N124" s="957"/>
      <c r="O124" s="48">
        <f>IF(t&lt;Tnet,'2024'!Resal+('2024'!Salim-'2024'!Resal)*(1-EXP(('2024'!Tnet-t)/('2024'!Tau_j))),Resal+(Salim-Resal)*(1-EXP((Tnet-t)/(Tau_j))))*Salcycl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4.7443656788360165E-6</v>
      </c>
      <c r="Q124" s="305">
        <f t="shared" si="28"/>
        <v>0.7</v>
      </c>
      <c r="R124" s="177">
        <f t="shared" si="29"/>
        <v>2.9196360180740788E-2</v>
      </c>
      <c r="S124" s="919">
        <f t="shared" si="30"/>
        <v>-2</v>
      </c>
      <c r="T124" s="176">
        <f t="shared" si="31"/>
        <v>4</v>
      </c>
      <c r="U124" s="251">
        <f t="shared" si="32"/>
        <v>-1.9708036398192592</v>
      </c>
      <c r="V124" s="383">
        <f t="shared" si="33"/>
        <v>52.253329495701784</v>
      </c>
      <c r="W124" s="402">
        <f t="shared" si="34"/>
        <v>10.02941848968184</v>
      </c>
      <c r="X124" s="157">
        <f t="shared" si="35"/>
        <v>45767</v>
      </c>
      <c r="Y124" s="385">
        <f t="shared" si="36"/>
        <v>9.7188510913091157</v>
      </c>
      <c r="Z124" s="385">
        <f t="shared" si="37"/>
        <v>10.27126400828983</v>
      </c>
      <c r="AA124" s="386">
        <f t="shared" si="38"/>
        <v>11.156925363733299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7.9382206707450165E-2</v>
      </c>
      <c r="AD124" s="231">
        <f>(INDEX(Models!$BJ124:$BT124,,AH124)*(1-AF124)+INDEX(Models!$BJ124:$BT124,,AH124+1)*AF124-ERP_i)*AE124*Ramure*Pc/MaxiM</f>
        <v>1.2942197437451949E-3</v>
      </c>
      <c r="AE124" s="305">
        <f t="shared" si="40"/>
        <v>0.7</v>
      </c>
      <c r="AF124" s="177">
        <f t="shared" si="41"/>
        <v>0.55418392655471971</v>
      </c>
      <c r="AG124" s="919">
        <f t="shared" si="49"/>
        <v>1</v>
      </c>
      <c r="AH124" s="176">
        <f t="shared" si="42"/>
        <v>7</v>
      </c>
      <c r="AI124" s="225">
        <f t="shared" si="43"/>
        <v>1.5541839265547197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1090">
        <f>IF(t&gt;Tmaj,'2024'!Wh/'2024'!Env_an*'2025'!Env_an,0.001*'[6]mon-tableau'!$B$57)</f>
        <v>9.0579532625325712</v>
      </c>
      <c r="C125" s="953"/>
      <c r="D125" s="393">
        <f t="shared" si="25"/>
        <v>9.5730108678182688</v>
      </c>
      <c r="E125" s="385">
        <f t="shared" si="47"/>
        <v>10.077698069473087</v>
      </c>
      <c r="F125" s="385">
        <f t="shared" si="26"/>
        <v>10.077698069473087</v>
      </c>
      <c r="G125" s="110">
        <f t="shared" si="48"/>
        <v>0.17302350604875588</v>
      </c>
      <c r="H125" s="412" t="b">
        <f>Wh_hp&gt;='2024'!Maxi_hp</f>
        <v>0</v>
      </c>
      <c r="I125" s="390">
        <f>IF(H125,Wh_hp,'2024'!Maxi_hp)</f>
        <v>49.293646269634195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5.3803094177734101E-2</v>
      </c>
      <c r="M125" s="957"/>
      <c r="N125" s="957"/>
      <c r="O125" s="48">
        <f>IF(t&lt;Tnet,'2024'!Resal+('2024'!Salim-'2024'!Resal)*(1-EXP(('2024'!Tnet-t)/('2024'!Tau_j))),Resal+(Salim-Resal)*(1-EXP((Tnet-t)/(Tau_j))))*Salcycl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5.6065523667496606E-6</v>
      </c>
      <c r="Q125" s="305">
        <f t="shared" si="28"/>
        <v>0.7</v>
      </c>
      <c r="R125" s="177">
        <f t="shared" si="29"/>
        <v>3.1235831246213763E-2</v>
      </c>
      <c r="S125" s="919">
        <f t="shared" si="30"/>
        <v>-2</v>
      </c>
      <c r="T125" s="176">
        <f t="shared" si="31"/>
        <v>4</v>
      </c>
      <c r="U125" s="251">
        <f t="shared" si="32"/>
        <v>-1.9687641687537862</v>
      </c>
      <c r="V125" s="383">
        <f t="shared" si="33"/>
        <v>52.350704742342138</v>
      </c>
      <c r="W125" s="402">
        <f t="shared" si="34"/>
        <v>9.0579532625325712</v>
      </c>
      <c r="X125" s="157">
        <f t="shared" si="35"/>
        <v>45768</v>
      </c>
      <c r="Y125" s="385">
        <f t="shared" si="36"/>
        <v>8.7776274952923448</v>
      </c>
      <c r="Z125" s="385">
        <f t="shared" si="37"/>
        <v>9.2767450847499795</v>
      </c>
      <c r="AA125" s="386">
        <f t="shared" si="38"/>
        <v>10.077698069473087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7.9477771530913233E-2</v>
      </c>
      <c r="AD125" s="231">
        <f>(INDEX(Models!$BJ125:$BT125,,AH125)*(1-AF125)+INDEX(Models!$BJ125:$BT125,,AH125+1)*AF125-ERP_i)*AE125*Ramure*Pc/MaxiM</f>
        <v>1.3335367654056783E-3</v>
      </c>
      <c r="AE125" s="305">
        <f t="shared" si="40"/>
        <v>0.7</v>
      </c>
      <c r="AF125" s="177">
        <f t="shared" si="41"/>
        <v>0.55622339762019268</v>
      </c>
      <c r="AG125" s="919">
        <f t="shared" si="49"/>
        <v>1</v>
      </c>
      <c r="AH125" s="176">
        <f t="shared" si="42"/>
        <v>7</v>
      </c>
      <c r="AI125" s="225">
        <f t="shared" si="43"/>
        <v>1.5562233976201927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1090">
        <f>IF(t&gt;Tmaj,'2024'!Wh/'2024'!Env_an*'2025'!Env_an,0.001*'[6]mon-tableau'!$B$58)</f>
        <v>27.387232939463598</v>
      </c>
      <c r="C126" s="953"/>
      <c r="D126" s="393">
        <f t="shared" si="25"/>
        <v>28.945172653561343</v>
      </c>
      <c r="E126" s="385">
        <f t="shared" si="47"/>
        <v>30.474895803557608</v>
      </c>
      <c r="F126" s="385">
        <f t="shared" si="26"/>
        <v>30.474959723907102</v>
      </c>
      <c r="G126" s="110">
        <f t="shared" si="48"/>
        <v>0.52221267106415203</v>
      </c>
      <c r="H126" s="412" t="b">
        <f>Wh_hp&gt;='2024'!Maxi_hp</f>
        <v>0</v>
      </c>
      <c r="I126" s="390">
        <f>IF(H126,Wh_hp,'2024'!Maxi_hp)</f>
        <v>60.094501166563738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5.3823818318321948E-2</v>
      </c>
      <c r="M126" s="957"/>
      <c r="N126" s="957"/>
      <c r="O126" s="48">
        <f>IF(t&lt;Tnet,'2024'!Resal+('2024'!Salim-'2024'!Resal)*(1-EXP(('2024'!Tnet-t)/('2024'!Tau_j))),Resal+(Salim-Resal)*(1-EXP((Tnet-t)/(Tau_j))))*Salcycl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6.6072481507047488E-6</v>
      </c>
      <c r="Q126" s="305">
        <f t="shared" si="28"/>
        <v>0.7</v>
      </c>
      <c r="R126" s="177">
        <f t="shared" si="29"/>
        <v>3.3341114793096205E-2</v>
      </c>
      <c r="S126" s="919">
        <f t="shared" si="30"/>
        <v>-2</v>
      </c>
      <c r="T126" s="176">
        <f t="shared" si="31"/>
        <v>4</v>
      </c>
      <c r="U126" s="251">
        <f t="shared" si="32"/>
        <v>-1.9666588852069038</v>
      </c>
      <c r="V126" s="383">
        <f t="shared" si="33"/>
        <v>52.444360212637399</v>
      </c>
      <c r="W126" s="402">
        <f t="shared" si="34"/>
        <v>27.387232939463598</v>
      </c>
      <c r="X126" s="157">
        <f t="shared" si="35"/>
        <v>45769</v>
      </c>
      <c r="Y126" s="385">
        <f t="shared" si="36"/>
        <v>26.528567291492013</v>
      </c>
      <c r="Z126" s="385">
        <f t="shared" si="37"/>
        <v>28.037661278200527</v>
      </c>
      <c r="AA126" s="386">
        <f t="shared" si="38"/>
        <v>30.461627976567929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7.9574430500956639E-2</v>
      </c>
      <c r="AD126" s="231">
        <f>(INDEX(Models!$BJ126:$BT126,,AH126)*(1-AF126)+INDEX(Models!$BJ126:$BT126,,AH126+1)*AF126-ERP_i)*AE126*Ramure*Pc/MaxiM</f>
        <v>1.3780613474214084E-3</v>
      </c>
      <c r="AE126" s="305">
        <f t="shared" si="40"/>
        <v>0.7</v>
      </c>
      <c r="AF126" s="177">
        <f t="shared" si="41"/>
        <v>0.55832868116707512</v>
      </c>
      <c r="AG126" s="919">
        <f t="shared" si="49"/>
        <v>1</v>
      </c>
      <c r="AH126" s="176">
        <f t="shared" si="42"/>
        <v>7</v>
      </c>
      <c r="AI126" s="225">
        <f t="shared" si="43"/>
        <v>1.5583286811670751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1090">
        <f>IF(t&gt;Tmaj,'2024'!Wh/'2024'!Env_an*'2025'!Env_an,0.001*'[6]mon-tableau'!$B$59)</f>
        <v>9.410622154250099</v>
      </c>
      <c r="C127" s="953"/>
      <c r="D127" s="393">
        <f t="shared" si="25"/>
        <v>9.9461690726724203</v>
      </c>
      <c r="E127" s="385">
        <f t="shared" si="47"/>
        <v>10.473106838191137</v>
      </c>
      <c r="F127" s="385">
        <f t="shared" si="26"/>
        <v>10.473106838191137</v>
      </c>
      <c r="G127" s="110">
        <f t="shared" si="48"/>
        <v>0.17913186521599023</v>
      </c>
      <c r="H127" s="412" t="b">
        <f>Wh_hp&gt;='2024'!Maxi_hp</f>
        <v>0</v>
      </c>
      <c r="I127" s="390">
        <f>IF(H127,Wh_hp,'2024'!Maxi_hp)</f>
        <v>60.511949341362161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5.3844542004997886E-2</v>
      </c>
      <c r="M127" s="957"/>
      <c r="N127" s="957"/>
      <c r="O127" s="48">
        <f>IF(t&lt;Tnet,'2024'!Resal+('2024'!Salim-'2024'!Resal)*(1-EXP(('2024'!Tnet-t)/('2024'!Tau_j))),Resal+(Salim-Resal)*(1-EXP((Tnet-t)/(Tau_j))))*Salcycl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7.7619919555793961E-6</v>
      </c>
      <c r="Q127" s="305">
        <f t="shared" si="28"/>
        <v>0.7</v>
      </c>
      <c r="R127" s="177">
        <f t="shared" si="29"/>
        <v>3.5513583797129655E-2</v>
      </c>
      <c r="S127" s="919">
        <f t="shared" si="30"/>
        <v>-2</v>
      </c>
      <c r="T127" s="176">
        <f t="shared" si="31"/>
        <v>4</v>
      </c>
      <c r="U127" s="251">
        <f t="shared" si="32"/>
        <v>-1.9644864162028703</v>
      </c>
      <c r="V127" s="383">
        <f t="shared" si="33"/>
        <v>52.534199304684094</v>
      </c>
      <c r="W127" s="402">
        <f t="shared" si="34"/>
        <v>9.410622154250099</v>
      </c>
      <c r="X127" s="157">
        <f t="shared" si="35"/>
        <v>45770</v>
      </c>
      <c r="Y127" s="385">
        <f t="shared" si="36"/>
        <v>9.1197005490151692</v>
      </c>
      <c r="Z127" s="385">
        <f t="shared" si="37"/>
        <v>9.6386914771286367</v>
      </c>
      <c r="AA127" s="386">
        <f t="shared" si="38"/>
        <v>10.473106838191137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7.967219030170973E-2</v>
      </c>
      <c r="AD127" s="231">
        <f>(INDEX(Models!$BJ127:$BT127,,AH127)*(1-AF127)+INDEX(Models!$BJ127:$BT127,,AH127+1)*AF127-ERP_i)*AE127*Ramure*Pc/MaxiM</f>
        <v>1.4278683644477102E-3</v>
      </c>
      <c r="AE127" s="305">
        <f t="shared" si="40"/>
        <v>0.7</v>
      </c>
      <c r="AF127" s="177">
        <f t="shared" si="41"/>
        <v>0.56050115017110858</v>
      </c>
      <c r="AG127" s="919">
        <f t="shared" si="49"/>
        <v>1</v>
      </c>
      <c r="AH127" s="176">
        <f t="shared" si="42"/>
        <v>7</v>
      </c>
      <c r="AI127" s="225">
        <f t="shared" si="43"/>
        <v>1.5605011501711086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1090">
        <f>IF(t&gt;Tmaj,'2024'!Wh/'2024'!Env_an*'2025'!Env_an,0.001*'[6]mon-tableau'!$B$60)</f>
        <v>24.190415414110998</v>
      </c>
      <c r="C128" s="953"/>
      <c r="D128" s="393">
        <f t="shared" si="25"/>
        <v>25.567622163444049</v>
      </c>
      <c r="E128" s="385">
        <f t="shared" si="47"/>
        <v>26.925511815503963</v>
      </c>
      <c r="F128" s="385">
        <f t="shared" si="26"/>
        <v>26.925567742565573</v>
      </c>
      <c r="G128" s="110">
        <f t="shared" si="48"/>
        <v>0.45971471191133129</v>
      </c>
      <c r="H128" s="412" t="b">
        <f>Wh_hp&gt;='2024'!Maxi_hp</f>
        <v>0</v>
      </c>
      <c r="I128" s="390">
        <f>IF(H128,Wh_hp,'2024'!Maxi_hp)</f>
        <v>59.112989516648078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5.386526523777202E-2</v>
      </c>
      <c r="M128" s="957"/>
      <c r="N128" s="957"/>
      <c r="O128" s="48">
        <f>IF(t&lt;Tnet,'2024'!Resal+('2024'!Salim-'2024'!Resal)*(1-EXP(('2024'!Tnet-t)/('2024'!Tau_j))),Resal+(Salim-Resal)*(1-EXP((Tnet-t)/(Tau_j))))*Salcycl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9.1033547505629342E-6</v>
      </c>
      <c r="Q128" s="305">
        <f t="shared" si="28"/>
        <v>0.7</v>
      </c>
      <c r="R128" s="177">
        <f t="shared" si="29"/>
        <v>3.7754583183711166E-2</v>
      </c>
      <c r="S128" s="919">
        <f t="shared" si="30"/>
        <v>-2</v>
      </c>
      <c r="T128" s="176">
        <f t="shared" si="31"/>
        <v>4</v>
      </c>
      <c r="U128" s="251">
        <f t="shared" si="32"/>
        <v>-1.9622454168162888</v>
      </c>
      <c r="V128" s="383">
        <f t="shared" si="33"/>
        <v>52.620124653245625</v>
      </c>
      <c r="W128" s="402">
        <f t="shared" si="34"/>
        <v>24.190415414110998</v>
      </c>
      <c r="X128" s="157">
        <f t="shared" si="35"/>
        <v>45771</v>
      </c>
      <c r="Y128" s="385">
        <f t="shared" si="36"/>
        <v>23.435090255852476</v>
      </c>
      <c r="Z128" s="385">
        <f t="shared" si="37"/>
        <v>24.769294895131317</v>
      </c>
      <c r="AA128" s="386">
        <f t="shared" si="38"/>
        <v>26.916448403732904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7.9771055838994409E-2</v>
      </c>
      <c r="AD128" s="231">
        <f>(INDEX(Models!$BJ128:$BT128,,AH128)*(1-AF128)+INDEX(Models!$BJ128:$BT128,,AH128+1)*AF128-ERP_i)*AE128*Ramure*Pc/MaxiM</f>
        <v>1.4843722179826758E-3</v>
      </c>
      <c r="AE128" s="305">
        <f t="shared" si="40"/>
        <v>0.7</v>
      </c>
      <c r="AF128" s="177">
        <f t="shared" si="41"/>
        <v>0.56274214955769009</v>
      </c>
      <c r="AG128" s="919">
        <f t="shared" si="49"/>
        <v>1</v>
      </c>
      <c r="AH128" s="176">
        <f t="shared" si="42"/>
        <v>7</v>
      </c>
      <c r="AI128" s="225">
        <f t="shared" si="43"/>
        <v>1.5627421495576901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1090">
        <f>IF(t&gt;Tmaj,'2024'!Wh/'2024'!Env_an*'2025'!Env_an,0.001*'[6]mon-tableau'!$B$61)</f>
        <v>45.879944383924027</v>
      </c>
      <c r="C129" s="953"/>
      <c r="D129" s="393">
        <f t="shared" si="25"/>
        <v>48.493039742372645</v>
      </c>
      <c r="E129" s="385">
        <f t="shared" si="47"/>
        <v>51.074872248004695</v>
      </c>
      <c r="F129" s="385">
        <f t="shared" si="26"/>
        <v>51.075314380745176</v>
      </c>
      <c r="G129" s="110">
        <f t="shared" si="48"/>
        <v>0.87055174969568905</v>
      </c>
      <c r="H129" s="412" t="b">
        <f>Wh_hp&gt;='2024'!Maxi_hp</f>
        <v>0</v>
      </c>
      <c r="I129" s="390">
        <f>IF(H129,Wh_hp,'2024'!Maxi_hp)</f>
        <v>55.415664195239167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5.3885988016654007E-2</v>
      </c>
      <c r="M129" s="957"/>
      <c r="N129" s="957"/>
      <c r="O129" s="48">
        <f>IF(t&lt;Tnet,'2024'!Resal+('2024'!Salim-'2024'!Resal)*(1-EXP(('2024'!Tnet-t)/('2024'!Tau_j))),Resal+(Salim-Resal)*(1-EXP((Tnet-t)/(Tau_j))))*Salcycl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1.0620459928861486E-5</v>
      </c>
      <c r="Q129" s="305">
        <f t="shared" si="28"/>
        <v>0.7</v>
      </c>
      <c r="R129" s="177">
        <f t="shared" si="29"/>
        <v>4.0065424688676909E-2</v>
      </c>
      <c r="S129" s="919">
        <f t="shared" si="30"/>
        <v>-2</v>
      </c>
      <c r="T129" s="176">
        <f t="shared" si="31"/>
        <v>4</v>
      </c>
      <c r="U129" s="251">
        <f t="shared" si="32"/>
        <v>-1.9599345753113231</v>
      </c>
      <c r="V129" s="383">
        <f t="shared" si="33"/>
        <v>52.702041311345518</v>
      </c>
      <c r="W129" s="402">
        <f t="shared" si="34"/>
        <v>45.879944383924027</v>
      </c>
      <c r="X129" s="157">
        <f t="shared" si="35"/>
        <v>45772</v>
      </c>
      <c r="Y129" s="385">
        <f t="shared" si="36"/>
        <v>44.407457030029427</v>
      </c>
      <c r="Z129" s="385">
        <f t="shared" si="37"/>
        <v>46.936686770908018</v>
      </c>
      <c r="AA129" s="386">
        <f t="shared" si="38"/>
        <v>51.010986839373068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7.9871030162472392E-2</v>
      </c>
      <c r="AD129" s="231">
        <f>(INDEX(Models!$BJ129:$BT129,,AH129)*(1-AF129)+INDEX(Models!$BJ129:$BT129,,AH129+1)*AF129-ERP_i)*AE129*Ramure*Pc/MaxiM</f>
        <v>1.5452103246589824E-3</v>
      </c>
      <c r="AE129" s="305">
        <f t="shared" si="40"/>
        <v>0.7</v>
      </c>
      <c r="AF129" s="177">
        <f t="shared" si="41"/>
        <v>0.56505299106265583</v>
      </c>
      <c r="AG129" s="919">
        <f t="shared" si="49"/>
        <v>1</v>
      </c>
      <c r="AH129" s="176">
        <f t="shared" si="42"/>
        <v>7</v>
      </c>
      <c r="AI129" s="225">
        <f t="shared" si="43"/>
        <v>1.5650529910626558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1090">
        <f>IF(t&gt;Tmaj,'2024'!Wh/'2024'!Env_an*'2025'!Env_an,0.001*'[6]mon-tableau'!$B$62)</f>
        <v>51.313285882490987</v>
      </c>
      <c r="C130" s="953"/>
      <c r="D130" s="393">
        <f t="shared" si="25"/>
        <v>54.237025506249267</v>
      </c>
      <c r="E130" s="385">
        <f t="shared" si="47"/>
        <v>57.131854405890522</v>
      </c>
      <c r="F130" s="385">
        <f t="shared" si="26"/>
        <v>57.132530865836813</v>
      </c>
      <c r="G130" s="110">
        <f t="shared" si="48"/>
        <v>0.97221302839559387</v>
      </c>
      <c r="H130" s="412" t="b">
        <f>Wh_hp&gt;='2024'!Maxi_hp</f>
        <v>1</v>
      </c>
      <c r="I130" s="390">
        <f>IF(H130,Wh_hp,'2024'!Maxi_hp)</f>
        <v>57.132530865836813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5.3906710341654063E-2</v>
      </c>
      <c r="M130" s="957"/>
      <c r="N130" s="957"/>
      <c r="O130" s="48">
        <f>IF(t&lt;Tnet,'2024'!Resal+('2024'!Salim-'2024'!Resal)*(1-EXP(('2024'!Tnet-t)/('2024'!Tau_j))),Resal+(Salim-Resal)*(1-EXP((Tnet-t)/(Tau_j))))*Salcycl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1.2329612596370386E-5</v>
      </c>
      <c r="Q130" s="305">
        <f t="shared" si="28"/>
        <v>0.7</v>
      </c>
      <c r="R130" s="177">
        <f t="shared" si="29"/>
        <v>4.2447381466536038E-2</v>
      </c>
      <c r="S130" s="919">
        <f t="shared" si="30"/>
        <v>-2</v>
      </c>
      <c r="T130" s="176">
        <f t="shared" si="31"/>
        <v>4</v>
      </c>
      <c r="U130" s="251">
        <f t="shared" si="32"/>
        <v>-1.957552618533464</v>
      </c>
      <c r="V130" s="383">
        <f t="shared" si="33"/>
        <v>52.779853046122589</v>
      </c>
      <c r="W130" s="402">
        <f t="shared" si="34"/>
        <v>51.313285882490987</v>
      </c>
      <c r="X130" s="157">
        <f t="shared" si="35"/>
        <v>45773</v>
      </c>
      <c r="Y130" s="385">
        <f t="shared" si="36"/>
        <v>49.653085704766092</v>
      </c>
      <c r="Z130" s="385">
        <f t="shared" si="37"/>
        <v>52.482230079759745</v>
      </c>
      <c r="AA130" s="386">
        <f t="shared" si="38"/>
        <v>57.044173226078193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7.9972114386486035E-2</v>
      </c>
      <c r="AD130" s="231">
        <f>(INDEX(Models!$BJ130:$BT130,,AH130)*(1-AF130)+INDEX(Models!$BJ130:$BT130,,AH130+1)*AF130-ERP_i)*AE130*Ramure*Pc/MaxiM</f>
        <v>1.6104655924225617E-3</v>
      </c>
      <c r="AE130" s="305">
        <f t="shared" si="40"/>
        <v>0.7</v>
      </c>
      <c r="AF130" s="177">
        <f t="shared" si="41"/>
        <v>0.56743494784051496</v>
      </c>
      <c r="AG130" s="919">
        <f t="shared" si="49"/>
        <v>1</v>
      </c>
      <c r="AH130" s="176">
        <f t="shared" si="42"/>
        <v>7</v>
      </c>
      <c r="AI130" s="225">
        <f t="shared" si="43"/>
        <v>1.567434947840515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1090">
        <f>IF(t&gt;Tmaj,'2024'!Wh/'2024'!Env_an*'2025'!Env_an,0.001*'[6]mon-tableau'!$B$63)</f>
        <v>37.823823207192746</v>
      </c>
      <c r="C131" s="953"/>
      <c r="D131" s="393">
        <f t="shared" si="25"/>
        <v>39.979832937825691</v>
      </c>
      <c r="E131" s="385">
        <f t="shared" si="47"/>
        <v>42.119027268461174</v>
      </c>
      <c r="F131" s="385">
        <f t="shared" si="26"/>
        <v>42.119383601475008</v>
      </c>
      <c r="G131" s="110">
        <f t="shared" si="48"/>
        <v>0.7156315143641242</v>
      </c>
      <c r="H131" s="412" t="b">
        <f>Wh_hp&gt;='2024'!Maxi_hp</f>
        <v>1</v>
      </c>
      <c r="I131" s="390">
        <f>IF(H131,Wh_hp,'2024'!Maxi_hp)</f>
        <v>42.119383601475008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5.3927432212782067E-2</v>
      </c>
      <c r="M131" s="957"/>
      <c r="N131" s="957"/>
      <c r="O131" s="48">
        <f>IF(t&lt;Tnet,'2024'!Resal+('2024'!Salim-'2024'!Resal)*(1-EXP(('2024'!Tnet-t)/('2024'!Tau_j))),Resal+(Salim-Resal)*(1-EXP((Tnet-t)/(Tau_j))))*Salcycl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1.4248176833007025E-5</v>
      </c>
      <c r="Q131" s="305">
        <f t="shared" si="28"/>
        <v>0.7</v>
      </c>
      <c r="R131" s="177">
        <f t="shared" si="29"/>
        <v>4.4901682453670988E-2</v>
      </c>
      <c r="S131" s="919">
        <f t="shared" si="30"/>
        <v>-2</v>
      </c>
      <c r="T131" s="176">
        <f t="shared" si="31"/>
        <v>4</v>
      </c>
      <c r="U131" s="251">
        <f t="shared" si="32"/>
        <v>-1.955098317546329</v>
      </c>
      <c r="V131" s="383">
        <f t="shared" si="33"/>
        <v>52.853463714061405</v>
      </c>
      <c r="W131" s="402">
        <f t="shared" si="34"/>
        <v>37.823823207192746</v>
      </c>
      <c r="X131" s="157">
        <f t="shared" si="35"/>
        <v>45774</v>
      </c>
      <c r="Y131" s="385">
        <f t="shared" si="36"/>
        <v>36.620621504685012</v>
      </c>
      <c r="Z131" s="385">
        <f t="shared" si="37"/>
        <v>38.708047090232711</v>
      </c>
      <c r="AA131" s="386">
        <f t="shared" si="38"/>
        <v>42.077362780977381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8.0074307610074183E-2</v>
      </c>
      <c r="AD131" s="231">
        <f>(INDEX(Models!$BJ131:$BT131,,AH131)*(1-AF131)+INDEX(Models!$BJ131:$BT131,,AH131+1)*AF131-ERP_i)*AE131*Ramure*Pc/MaxiM</f>
        <v>1.6802262430930777E-3</v>
      </c>
      <c r="AE131" s="305">
        <f t="shared" si="40"/>
        <v>0.7</v>
      </c>
      <c r="AF131" s="177">
        <f t="shared" si="41"/>
        <v>0.56988924882764991</v>
      </c>
      <c r="AG131" s="919">
        <f t="shared" si="49"/>
        <v>1</v>
      </c>
      <c r="AH131" s="176">
        <f t="shared" si="42"/>
        <v>7</v>
      </c>
      <c r="AI131" s="225">
        <f t="shared" si="43"/>
        <v>1.5698892488276499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1090">
        <f>IF(t&gt;Tmaj,'2024'!Wh/'2024'!Env_an*'2025'!Env_an,0.001*'[6]mon-tableau'!$B$64)</f>
        <v>20.342579512538812</v>
      </c>
      <c r="C132" s="953"/>
      <c r="D132" s="393">
        <f t="shared" si="25"/>
        <v>21.502605370513567</v>
      </c>
      <c r="E132" s="385">
        <f t="shared" si="47"/>
        <v>22.656022502022363</v>
      </c>
      <c r="F132" s="385">
        <f t="shared" si="26"/>
        <v>22.656067277417083</v>
      </c>
      <c r="G132" s="110">
        <f t="shared" si="48"/>
        <v>0.38437677043294222</v>
      </c>
      <c r="H132" s="412" t="b">
        <f>Wh_hp&gt;='2024'!Maxi_hp</f>
        <v>0</v>
      </c>
      <c r="I132" s="390">
        <f>IF(H132,Wh_hp,'2024'!Maxi_hp)</f>
        <v>44.927139058198264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5.394815363004779E-2</v>
      </c>
      <c r="M132" s="957"/>
      <c r="N132" s="957"/>
      <c r="O132" s="48">
        <f>IF(t&lt;Tnet,'2024'!Resal+('2024'!Salim-'2024'!Resal)*(1-EXP(('2024'!Tnet-t)/('2024'!Tau_j))),Resal+(Salim-Resal)*(1-EXP((Tnet-t)/(Tau_j))))*Salcycl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1.6394626003533572E-5</v>
      </c>
      <c r="Q132" s="305">
        <f t="shared" si="28"/>
        <v>0.7</v>
      </c>
      <c r="R132" s="177">
        <f t="shared" si="29"/>
        <v>4.7429506496548202E-2</v>
      </c>
      <c r="S132" s="919">
        <f t="shared" si="30"/>
        <v>-2</v>
      </c>
      <c r="T132" s="176">
        <f t="shared" si="31"/>
        <v>4</v>
      </c>
      <c r="U132" s="251">
        <f t="shared" si="32"/>
        <v>-1.9525704935034518</v>
      </c>
      <c r="V132" s="383">
        <f t="shared" si="33"/>
        <v>52.922777261724484</v>
      </c>
      <c r="W132" s="402">
        <f t="shared" si="34"/>
        <v>20.342579512538812</v>
      </c>
      <c r="X132" s="157">
        <f t="shared" si="35"/>
        <v>45775</v>
      </c>
      <c r="Y132" s="385">
        <f t="shared" si="36"/>
        <v>19.711132389346176</v>
      </c>
      <c r="Z132" s="385">
        <f t="shared" si="37"/>
        <v>20.835150277417423</v>
      </c>
      <c r="AA132" s="386">
        <f t="shared" si="38"/>
        <v>22.651275324756071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8.0177606836722606E-2</v>
      </c>
      <c r="AD132" s="231">
        <f>(INDEX(Models!$BJ132:$BT132,,AH132)*(1-AF132)+INDEX(Models!$BJ132:$BT132,,AH132+1)*AF132-ERP_i)*AE132*Ramure*Pc/MaxiM</f>
        <v>1.7545857985838413E-3</v>
      </c>
      <c r="AE132" s="305">
        <f t="shared" si="40"/>
        <v>0.7</v>
      </c>
      <c r="AF132" s="177">
        <f t="shared" si="41"/>
        <v>0.57241707287052712</v>
      </c>
      <c r="AG132" s="919">
        <f t="shared" si="49"/>
        <v>1</v>
      </c>
      <c r="AH132" s="176">
        <f t="shared" si="42"/>
        <v>7</v>
      </c>
      <c r="AI132" s="225">
        <f t="shared" si="43"/>
        <v>1.5724170728705271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1090">
        <f>IF(t&gt;Tmaj,'2024'!Wh/'2024'!Env_an*'2025'!Env_an,0.001*'[6]mon-tableau'!$B$65)</f>
        <v>41.184016298900687</v>
      </c>
      <c r="C133" s="953"/>
      <c r="D133" s="393">
        <f t="shared" si="25"/>
        <v>43.533468606757147</v>
      </c>
      <c r="E133" s="385">
        <f t="shared" si="47"/>
        <v>45.874506349727199</v>
      </c>
      <c r="F133" s="385">
        <f t="shared" si="26"/>
        <v>45.875093984634766</v>
      </c>
      <c r="G133" s="110">
        <f t="shared" si="48"/>
        <v>0.77723267502245796</v>
      </c>
      <c r="H133" s="412" t="b">
        <f>Wh_hp&gt;='2024'!Maxi_hp</f>
        <v>0</v>
      </c>
      <c r="I133" s="390">
        <f>IF(H133,Wh_hp,'2024'!Maxi_hp)</f>
        <v>53.012856919854819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5.3968874593461336E-2</v>
      </c>
      <c r="M133" s="957"/>
      <c r="N133" s="957"/>
      <c r="O133" s="48">
        <f>IF(t&lt;Tnet,'2024'!Resal+('2024'!Salim-'2024'!Resal)*(1-EXP(('2024'!Tnet-t)/('2024'!Tau_j))),Resal+(Salim-Resal)*(1-EXP((Tnet-t)/(Tau_j))))*Salcycl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1.8788593018594429E-5</v>
      </c>
      <c r="Q133" s="305">
        <f t="shared" si="28"/>
        <v>0.7</v>
      </c>
      <c r="R133" s="177">
        <f t="shared" si="29"/>
        <v>5.0031976257680189E-2</v>
      </c>
      <c r="S133" s="919">
        <f t="shared" si="30"/>
        <v>-2</v>
      </c>
      <c r="T133" s="176">
        <f t="shared" si="31"/>
        <v>4</v>
      </c>
      <c r="U133" s="251">
        <f t="shared" si="32"/>
        <v>-1.9499680237423198</v>
      </c>
      <c r="V133" s="383">
        <f t="shared" si="33"/>
        <v>52.987697731054432</v>
      </c>
      <c r="W133" s="402">
        <f t="shared" si="34"/>
        <v>41.184016298900687</v>
      </c>
      <c r="X133" s="157">
        <f t="shared" si="35"/>
        <v>45776</v>
      </c>
      <c r="Y133" s="385">
        <f t="shared" si="36"/>
        <v>39.865187969358765</v>
      </c>
      <c r="Z133" s="385">
        <f t="shared" si="37"/>
        <v>42.139404189505356</v>
      </c>
      <c r="AA133" s="386">
        <f t="shared" si="38"/>
        <v>45.817744684126033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8.0282006894483227E-2</v>
      </c>
      <c r="AD133" s="231">
        <f>(INDEX(Models!$BJ133:$BT133,,AH133)*(1-AF133)+INDEX(Models!$BJ133:$BT133,,AH133+1)*AF133-ERP_i)*AE133*Ramure*Pc/MaxiM</f>
        <v>1.8336430550239106E-3</v>
      </c>
      <c r="AE133" s="305">
        <f t="shared" si="40"/>
        <v>0.7</v>
      </c>
      <c r="AF133" s="177">
        <f t="shared" si="41"/>
        <v>0.57501954263165933</v>
      </c>
      <c r="AG133" s="919">
        <f t="shared" si="49"/>
        <v>1</v>
      </c>
      <c r="AH133" s="176">
        <f t="shared" si="42"/>
        <v>7</v>
      </c>
      <c r="AI133" s="225">
        <f t="shared" si="43"/>
        <v>1.5750195426316593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1090">
        <f>IF(t&gt;Tmaj,'2024'!Wh/'2024'!Env_an*'2025'!Env_an,0.001*'[6]mon-tableau'!$B$66)</f>
        <v>41.982390789257984</v>
      </c>
      <c r="C134" s="953"/>
      <c r="D134" s="393">
        <f t="shared" si="25"/>
        <v>44.378360504217085</v>
      </c>
      <c r="E134" s="385">
        <f t="shared" si="47"/>
        <v>44.740242412721472</v>
      </c>
      <c r="F134" s="385">
        <f t="shared" si="26"/>
        <v>44.740869039190173</v>
      </c>
      <c r="G134" s="110">
        <f t="shared" si="48"/>
        <v>0.75703670117073052</v>
      </c>
      <c r="H134" s="412" t="b">
        <f>Wh_hp&gt;='2024'!Maxi_hp</f>
        <v>0</v>
      </c>
      <c r="I134" s="390">
        <f>IF(H134,Wh_hp,'2024'!Maxi_hp)</f>
        <v>59.629748537925202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5.3989595103032695E-2</v>
      </c>
      <c r="M134" s="957"/>
      <c r="N134" s="957"/>
      <c r="O134" s="48">
        <f>IF(t&lt;Tnet,'2024'!Resal+('2024'!Salim-'2024'!Resal)*(1-EXP(('2024'!Tnet-t)/('2024'!Tau_j))),Resal+(Salim-Resal)*(1-EXP((Tnet-t)/(Tau_j))))*Salcycl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2.1450920223024696E-5</v>
      </c>
      <c r="Q134" s="305">
        <f t="shared" si="28"/>
        <v>0.7</v>
      </c>
      <c r="R134" s="177">
        <f t="shared" si="29"/>
        <v>5.2710151914959535E-2</v>
      </c>
      <c r="S134" s="919">
        <f t="shared" si="30"/>
        <v>-2</v>
      </c>
      <c r="T134" s="176">
        <f t="shared" si="31"/>
        <v>4</v>
      </c>
      <c r="U134" s="251">
        <f t="shared" si="32"/>
        <v>-1.9472898480850405</v>
      </c>
      <c r="V134" s="383">
        <f t="shared" si="33"/>
        <v>55.455803068906839</v>
      </c>
      <c r="W134" s="402">
        <f t="shared" si="34"/>
        <v>41.982390789257984</v>
      </c>
      <c r="X134" s="157">
        <f t="shared" si="35"/>
        <v>45777</v>
      </c>
      <c r="Y134" s="385">
        <f t="shared" si="36"/>
        <v>40.109962799702878</v>
      </c>
      <c r="Z134" s="385">
        <f t="shared" si="37"/>
        <v>42.399071502888354</v>
      </c>
      <c r="AA134" s="386">
        <f t="shared" si="38"/>
        <v>44.684854773951962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5.1153422845989734E-2</v>
      </c>
      <c r="AD134" s="231">
        <f>(INDEX(Models!$BJ134:$BT134,,AH134)*(1-AF134)+INDEX(Models!$BJ134:$BT134,,AH134+1)*AF134-ERP_i)*AE134*Ramure*Pc/MaxiM</f>
        <v>1.917502044667339E-3</v>
      </c>
      <c r="AE134" s="305">
        <f t="shared" si="40"/>
        <v>0.7</v>
      </c>
      <c r="AF134" s="177">
        <f t="shared" si="41"/>
        <v>0.57769771828893823</v>
      </c>
      <c r="AG134" s="919">
        <f t="shared" si="49"/>
        <v>1</v>
      </c>
      <c r="AH134" s="176">
        <f t="shared" si="42"/>
        <v>7</v>
      </c>
      <c r="AI134" s="225">
        <f t="shared" si="43"/>
        <v>1.5776977182889382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1090">
        <f>IF(t&gt;Tmaj,'2024'!Wh/'2024'!Env_an*'2025'!Env_an,0.001*[7]mois!$B$38)</f>
        <v>46.992918439630088</v>
      </c>
      <c r="C135" s="953"/>
      <c r="D135" s="393">
        <f t="shared" si="25"/>
        <v>49.675931136096075</v>
      </c>
      <c r="E135" s="385">
        <f t="shared" si="47"/>
        <v>50.088415313123107</v>
      </c>
      <c r="F135" s="385">
        <f t="shared" si="26"/>
        <v>50.089369682034501</v>
      </c>
      <c r="G135" s="110">
        <f t="shared" si="48"/>
        <v>0.84652013439238261</v>
      </c>
      <c r="H135" s="412" t="b">
        <f>Wh_hp&gt;='2024'!Maxi_hp</f>
        <v>0</v>
      </c>
      <c r="I135" s="390">
        <f>IF(H135,Wh_hp,'2024'!Maxi_hp)</f>
        <v>57.486763345827086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5.4010315158771638E-2</v>
      </c>
      <c r="M135" s="957"/>
      <c r="N135" s="957"/>
      <c r="O135" s="48">
        <f>IF(t&lt;Tnet,'2024'!Resal+('2024'!Salim-'2024'!Resal)*(1-EXP(('2024'!Tnet-t)/('2024'!Tau_j))),Resal+(Salim-Resal)*(1-EXP((Tnet-t)/(Tau_j))))*Salcycl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2.4403886210911224E-5</v>
      </c>
      <c r="Q135" s="305">
        <f t="shared" si="28"/>
        <v>0.7</v>
      </c>
      <c r="R135" s="177">
        <f t="shared" si="29"/>
        <v>5.5465024673019503E-2</v>
      </c>
      <c r="S135" s="919">
        <f t="shared" si="30"/>
        <v>-2</v>
      </c>
      <c r="T135" s="176">
        <f t="shared" si="31"/>
        <v>4</v>
      </c>
      <c r="U135" s="251">
        <f t="shared" si="32"/>
        <v>-1.9445349753269805</v>
      </c>
      <c r="V135" s="383">
        <f t="shared" si="33"/>
        <v>55.512757567146245</v>
      </c>
      <c r="W135" s="402">
        <f t="shared" si="34"/>
        <v>46.992918439630088</v>
      </c>
      <c r="X135" s="157">
        <f t="shared" si="35"/>
        <v>45778</v>
      </c>
      <c r="Y135" s="385">
        <f t="shared" si="36"/>
        <v>44.883937946454402</v>
      </c>
      <c r="Z135" s="385">
        <f t="shared" si="37"/>
        <v>47.446540555024725</v>
      </c>
      <c r="AA135" s="386">
        <f t="shared" si="38"/>
        <v>50.010909328100318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5.1276187686407758E-2</v>
      </c>
      <c r="AD135" s="231">
        <f>(INDEX(Models!$BJ135:$BT135,,AH135)*(1-AF135)+INDEX(Models!$BJ135:$BT135,,AH135+1)*AF135-ERP_i)*AE135*Ramure*Pc/MaxiM</f>
        <v>2.0062865906645159E-3</v>
      </c>
      <c r="AE135" s="305">
        <f t="shared" si="40"/>
        <v>0.7</v>
      </c>
      <c r="AF135" s="177">
        <f t="shared" si="41"/>
        <v>0.58045259104699842</v>
      </c>
      <c r="AG135" s="919">
        <f t="shared" si="49"/>
        <v>1</v>
      </c>
      <c r="AH135" s="176">
        <f t="shared" si="42"/>
        <v>7</v>
      </c>
      <c r="AI135" s="225">
        <f t="shared" si="43"/>
        <v>1.5804525910469984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1090">
        <f>IF(t&gt;Tmaj,'2024'!Wh/'2024'!Env_an*'2025'!Env_an,0.001*[7]mois!$B$39)</f>
        <v>27.527826277357185</v>
      </c>
      <c r="C136" s="953"/>
      <c r="D136" s="393">
        <f t="shared" si="25"/>
        <v>29.100136779215774</v>
      </c>
      <c r="E136" s="385">
        <f t="shared" si="47"/>
        <v>29.346111138566318</v>
      </c>
      <c r="F136" s="385">
        <f t="shared" si="26"/>
        <v>29.34633803426626</v>
      </c>
      <c r="G136" s="110">
        <f t="shared" si="48"/>
        <v>0.49541290457599685</v>
      </c>
      <c r="H136" s="412" t="b">
        <f>Wh_hp&gt;='2024'!Maxi_hp</f>
        <v>0</v>
      </c>
      <c r="I136" s="390">
        <f>IF(H136,Wh_hp,'2024'!Maxi_hp)</f>
        <v>52.039309618554178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5.4031034760688157E-2</v>
      </c>
      <c r="M136" s="957"/>
      <c r="N136" s="957"/>
      <c r="O136" s="48">
        <f>IF(t&lt;Tnet,'2024'!Resal+('2024'!Salim-'2024'!Resal)*(1-EXP(('2024'!Tnet-t)/('2024'!Tau_j))),Resal+(Salim-Resal)*(1-EXP((Tnet-t)/(Tau_j))))*Salcycl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2.7694604643223608E-5</v>
      </c>
      <c r="Q136" s="305">
        <f t="shared" si="28"/>
        <v>0.7</v>
      </c>
      <c r="R136" s="177">
        <f t="shared" si="29"/>
        <v>5.8297510108454409E-2</v>
      </c>
      <c r="S136" s="919">
        <f t="shared" si="30"/>
        <v>-2</v>
      </c>
      <c r="T136" s="176">
        <f t="shared" si="31"/>
        <v>4</v>
      </c>
      <c r="U136" s="251">
        <f t="shared" si="32"/>
        <v>-1.9417024898915456</v>
      </c>
      <c r="V136" s="383">
        <f t="shared" si="33"/>
        <v>55.564311066948392</v>
      </c>
      <c r="W136" s="402">
        <f t="shared" si="34"/>
        <v>27.527826277357185</v>
      </c>
      <c r="X136" s="157">
        <f t="shared" si="35"/>
        <v>45779</v>
      </c>
      <c r="Y136" s="385">
        <f t="shared" si="36"/>
        <v>26.31838484991162</v>
      </c>
      <c r="Z136" s="385">
        <f t="shared" si="37"/>
        <v>27.821615525466608</v>
      </c>
      <c r="AA136" s="386">
        <f t="shared" si="38"/>
        <v>29.329121630663384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5.1399633585367505E-2</v>
      </c>
      <c r="AD136" s="231">
        <f>(INDEX(Models!$BJ136:$BT136,,AH136)*(1-AF136)+INDEX(Models!$BJ136:$BT136,,AH136+1)*AF136-ERP_i)*AE136*Ramure*Pc/MaxiM</f>
        <v>2.1014126370776831E-3</v>
      </c>
      <c r="AE136" s="305">
        <f t="shared" si="40"/>
        <v>0.7</v>
      </c>
      <c r="AF136" s="177">
        <f t="shared" si="41"/>
        <v>0.58328507648243333</v>
      </c>
      <c r="AG136" s="919">
        <f t="shared" si="49"/>
        <v>1</v>
      </c>
      <c r="AH136" s="176">
        <f t="shared" si="42"/>
        <v>7</v>
      </c>
      <c r="AI136" s="225">
        <f t="shared" si="43"/>
        <v>1.5832850764824333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1090">
        <f>IF(t&gt;Tmaj,'2024'!Wh/'2024'!Env_an*'2025'!Env_an,0.001*[7]mois!$B$40)</f>
        <v>31.441693495941898</v>
      </c>
      <c r="C137" s="953"/>
      <c r="D137" s="393">
        <f t="shared" si="25"/>
        <v>33.23828087410007</v>
      </c>
      <c r="E137" s="385">
        <f t="shared" si="47"/>
        <v>33.524197526298053</v>
      </c>
      <c r="F137" s="385">
        <f t="shared" si="26"/>
        <v>33.524595376176329</v>
      </c>
      <c r="G137" s="110">
        <f t="shared" si="48"/>
        <v>0.56537757526697219</v>
      </c>
      <c r="H137" s="412" t="b">
        <f>Wh_hp&gt;='2024'!Maxi_hp</f>
        <v>0</v>
      </c>
      <c r="I137" s="390">
        <f>IF(H137,Wh_hp,'2024'!Maxi_hp)</f>
        <v>59.632265422182535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5.4051753908792244E-2</v>
      </c>
      <c r="M137" s="957"/>
      <c r="N137" s="957"/>
      <c r="O137" s="48">
        <f>IF(t&lt;Tnet,'2024'!Resal+('2024'!Salim-'2024'!Resal)*(1-EXP(('2024'!Tnet-t)/('2024'!Tau_j))),Resal+(Salim-Resal)*(1-EXP((Tnet-t)/(Tau_j))))*Salcycl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3.130195919938207E-5</v>
      </c>
      <c r="Q137" s="305">
        <f t="shared" si="28"/>
        <v>0.7</v>
      </c>
      <c r="R137" s="177">
        <f t="shared" si="29"/>
        <v>6.1208441374018374E-2</v>
      </c>
      <c r="S137" s="919">
        <f t="shared" si="30"/>
        <v>-2</v>
      </c>
      <c r="T137" s="176">
        <f t="shared" si="31"/>
        <v>4</v>
      </c>
      <c r="U137" s="251">
        <f t="shared" si="32"/>
        <v>-1.9387915586259816</v>
      </c>
      <c r="V137" s="383">
        <f t="shared" si="33"/>
        <v>55.610770233466134</v>
      </c>
      <c r="W137" s="402">
        <f t="shared" si="34"/>
        <v>31.441693495941898</v>
      </c>
      <c r="X137" s="157">
        <f t="shared" si="35"/>
        <v>45780</v>
      </c>
      <c r="Y137" s="385">
        <f t="shared" si="36"/>
        <v>30.053488114476696</v>
      </c>
      <c r="Z137" s="385">
        <f t="shared" si="37"/>
        <v>31.770753039251321</v>
      </c>
      <c r="AA137" s="386">
        <f t="shared" si="38"/>
        <v>33.496624877772156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5.1523753357792725E-2</v>
      </c>
      <c r="AD137" s="231">
        <f>(INDEX(Models!$BJ137:$BT137,,AH137)*(1-AF137)+INDEX(Models!$BJ137:$BT137,,AH137+1)*AF137-ERP_i)*AE137*Ramure*Pc/MaxiM</f>
        <v>2.2006577044455427E-3</v>
      </c>
      <c r="AE137" s="305">
        <f t="shared" si="40"/>
        <v>0.7</v>
      </c>
      <c r="AF137" s="177">
        <f t="shared" si="41"/>
        <v>0.58619600774799729</v>
      </c>
      <c r="AG137" s="919">
        <f t="shared" si="49"/>
        <v>1</v>
      </c>
      <c r="AH137" s="176">
        <f t="shared" si="42"/>
        <v>7</v>
      </c>
      <c r="AI137" s="225">
        <f t="shared" si="43"/>
        <v>1.5861960077479973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1090">
        <f>IF(t&gt;Tmaj,'2024'!Wh/'2024'!Env_an*'2025'!Env_an,0.001*[7]mois!$B$41)</f>
        <v>18.545306908466941</v>
      </c>
      <c r="C138" s="953"/>
      <c r="D138" s="393">
        <f t="shared" si="25"/>
        <v>19.60542046968618</v>
      </c>
      <c r="E138" s="385">
        <f t="shared" si="47"/>
        <v>19.776997889490644</v>
      </c>
      <c r="F138" s="385">
        <f t="shared" si="26"/>
        <v>19.777030986245915</v>
      </c>
      <c r="G138" s="110">
        <f t="shared" si="48"/>
        <v>0.33322320709863346</v>
      </c>
      <c r="H138" s="412" t="b">
        <f>Wh_hp&gt;='2024'!Maxi_hp</f>
        <v>0</v>
      </c>
      <c r="I138" s="390">
        <f>IF(H138,Wh_hp,'2024'!Maxi_hp)</f>
        <v>56.02715044671482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5.407247260309378E-2</v>
      </c>
      <c r="M138" s="957"/>
      <c r="N138" s="957"/>
      <c r="O138" s="48">
        <f>IF(t&lt;Tnet,'2024'!Resal+('2024'!Salim-'2024'!Resal)*(1-EXP(('2024'!Tnet-t)/('2024'!Tau_j))),Resal+(Salim-Resal)*(1-EXP((Tnet-t)/(Tau_j))))*Salcycl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3.5248008411539347E-5</v>
      </c>
      <c r="Q138" s="305">
        <f t="shared" si="28"/>
        <v>0.7</v>
      </c>
      <c r="R138" s="177">
        <f t="shared" si="29"/>
        <v>6.4198562290308736E-2</v>
      </c>
      <c r="S138" s="919">
        <f t="shared" si="30"/>
        <v>-2</v>
      </c>
      <c r="T138" s="176">
        <f t="shared" si="31"/>
        <v>4</v>
      </c>
      <c r="U138" s="251">
        <f t="shared" si="32"/>
        <v>-1.9358014377096913</v>
      </c>
      <c r="V138" s="383">
        <f t="shared" si="33"/>
        <v>55.652439154015674</v>
      </c>
      <c r="W138" s="402">
        <f t="shared" si="34"/>
        <v>18.545306908466941</v>
      </c>
      <c r="X138" s="157">
        <f t="shared" si="35"/>
        <v>45781</v>
      </c>
      <c r="Y138" s="385">
        <f t="shared" si="36"/>
        <v>17.73947505910893</v>
      </c>
      <c r="Z138" s="385">
        <f t="shared" si="37"/>
        <v>18.753524498780695</v>
      </c>
      <c r="AA138" s="386">
        <f t="shared" si="38"/>
        <v>19.774867496961459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5.1648538142553928E-2</v>
      </c>
      <c r="AD138" s="231">
        <f>(INDEX(Models!$BJ138:$BT138,,AH138)*(1-AF138)+INDEX(Models!$BJ138:$BT138,,AH138+1)*AF138-ERP_i)*AE138*Ramure*Pc/MaxiM</f>
        <v>2.3041137379871063E-3</v>
      </c>
      <c r="AE138" s="305">
        <f t="shared" si="40"/>
        <v>0.7</v>
      </c>
      <c r="AF138" s="177">
        <f t="shared" si="41"/>
        <v>0.58918612866428766</v>
      </c>
      <c r="AG138" s="919">
        <f t="shared" si="49"/>
        <v>1</v>
      </c>
      <c r="AH138" s="176">
        <f t="shared" si="42"/>
        <v>7</v>
      </c>
      <c r="AI138" s="225">
        <f t="shared" si="43"/>
        <v>1.5891861286642877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1090">
        <f>IF(t&gt;Tmaj,'2024'!Wh/'2024'!Env_an*'2025'!Env_an,0.001*[7]mois!$B$42)</f>
        <v>38.948244852317806</v>
      </c>
      <c r="C139" s="953"/>
      <c r="D139" s="393">
        <f t="shared" si="25"/>
        <v>41.175562407731924</v>
      </c>
      <c r="E139" s="385">
        <f t="shared" si="47"/>
        <v>41.542074036640017</v>
      </c>
      <c r="F139" s="385">
        <f t="shared" si="26"/>
        <v>41.543011593262179</v>
      </c>
      <c r="G139" s="110">
        <f t="shared" si="48"/>
        <v>0.69936878772280664</v>
      </c>
      <c r="H139" s="412" t="b">
        <f>Wh_hp&gt;='2024'!Maxi_hp</f>
        <v>0</v>
      </c>
      <c r="I139" s="390">
        <f>IF(H139,Wh_hp,'2024'!Maxi_hp)</f>
        <v>58.496922298592779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5.4093190843602756E-2</v>
      </c>
      <c r="M139" s="957"/>
      <c r="N139" s="957"/>
      <c r="O139" s="48">
        <f>IF(t&lt;Tnet,'2024'!Resal+('2024'!Salim-'2024'!Resal)*(1-EXP(('2024'!Tnet-t)/('2024'!Tau_j))),Resal+(Salim-Resal)*(1-EXP((Tnet-t)/(Tau_j))))*Salcycl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3.9555832487495107E-5</v>
      </c>
      <c r="Q139" s="305">
        <f t="shared" si="28"/>
        <v>0.7</v>
      </c>
      <c r="R139" s="177">
        <f t="shared" si="29"/>
        <v>6.726852035688502E-2</v>
      </c>
      <c r="S139" s="919">
        <f t="shared" si="30"/>
        <v>-2</v>
      </c>
      <c r="T139" s="176">
        <f t="shared" si="31"/>
        <v>4</v>
      </c>
      <c r="U139" s="251">
        <f t="shared" si="32"/>
        <v>-1.932731479643115</v>
      </c>
      <c r="V139" s="383">
        <f t="shared" si="33"/>
        <v>55.689621681585713</v>
      </c>
      <c r="W139" s="402">
        <f t="shared" si="34"/>
        <v>38.948244852317806</v>
      </c>
      <c r="X139" s="157">
        <f t="shared" si="35"/>
        <v>45782</v>
      </c>
      <c r="Y139" s="385">
        <f t="shared" si="36"/>
        <v>37.210042246499874</v>
      </c>
      <c r="Z139" s="385">
        <f t="shared" si="37"/>
        <v>39.337957911187345</v>
      </c>
      <c r="AA139" s="386">
        <f t="shared" si="38"/>
        <v>41.485845116830227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5.1773977355266884E-2</v>
      </c>
      <c r="AD139" s="231">
        <f>(INDEX(Models!$BJ139:$BT139,,AH139)*(1-AF139)+INDEX(Models!$BJ139:$BT139,,AH139+1)*AF139-ERP_i)*AE139*Ramure*Pc/MaxiM</f>
        <v>2.4118730668510283E-3</v>
      </c>
      <c r="AE139" s="305">
        <f t="shared" si="40"/>
        <v>0.7</v>
      </c>
      <c r="AF139" s="177">
        <f t="shared" si="41"/>
        <v>0.59225608673086394</v>
      </c>
      <c r="AG139" s="919">
        <f t="shared" si="49"/>
        <v>1</v>
      </c>
      <c r="AH139" s="176">
        <f t="shared" si="42"/>
        <v>7</v>
      </c>
      <c r="AI139" s="225">
        <f t="shared" si="43"/>
        <v>1.5922560867308639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1090">
        <f>IF(t&gt;Tmaj,'2024'!Wh/'2024'!Env_an*'2025'!Env_an,0.001*[7]mois!$B$43)</f>
        <v>36.374171745056124</v>
      </c>
      <c r="C140" s="953"/>
      <c r="D140" s="393">
        <f t="shared" si="25"/>
        <v>38.455129086828265</v>
      </c>
      <c r="E140" s="385">
        <f t="shared" si="47"/>
        <v>38.803187287151523</v>
      </c>
      <c r="F140" s="385">
        <f t="shared" si="26"/>
        <v>38.80405261746796</v>
      </c>
      <c r="G140" s="110">
        <f t="shared" si="48"/>
        <v>0.65275775609298659</v>
      </c>
      <c r="H140" s="412" t="b">
        <f>Wh_hp&gt;='2024'!Maxi_hp</f>
        <v>0</v>
      </c>
      <c r="I140" s="390">
        <f>IF(H140,Wh_hp,'2024'!Maxi_hp)</f>
        <v>61.787025291973102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5.4113908630329166E-2</v>
      </c>
      <c r="M140" s="957"/>
      <c r="N140" s="957"/>
      <c r="O140" s="48">
        <f>IF(t&lt;Tnet,'2024'!Resal+('2024'!Salim-'2024'!Resal)*(1-EXP(('2024'!Tnet-t)/('2024'!Tau_j))),Resal+(Salim-Resal)*(1-EXP((Tnet-t)/(Tau_j))))*Salcycl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4.4249530109949172E-5</v>
      </c>
      <c r="Q140" s="305">
        <f t="shared" si="28"/>
        <v>0.7</v>
      </c>
      <c r="R140" s="177">
        <f t="shared" si="29"/>
        <v>7.0418859718226479E-2</v>
      </c>
      <c r="S140" s="919">
        <f t="shared" si="30"/>
        <v>-2</v>
      </c>
      <c r="T140" s="176">
        <f t="shared" si="31"/>
        <v>4</v>
      </c>
      <c r="U140" s="251">
        <f t="shared" si="32"/>
        <v>-1.9295811402817735</v>
      </c>
      <c r="V140" s="383">
        <f t="shared" si="33"/>
        <v>55.722621434526062</v>
      </c>
      <c r="W140" s="402">
        <f t="shared" si="34"/>
        <v>36.374171745056124</v>
      </c>
      <c r="X140" s="157">
        <f t="shared" si="35"/>
        <v>45783</v>
      </c>
      <c r="Y140" s="385">
        <f t="shared" si="36"/>
        <v>34.754997827283233</v>
      </c>
      <c r="Z140" s="385">
        <f t="shared" si="37"/>
        <v>36.743322630906832</v>
      </c>
      <c r="AA140" s="386">
        <f t="shared" si="38"/>
        <v>38.754693496124304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5.190005864499013E-2</v>
      </c>
      <c r="AD140" s="231">
        <f>(INDEX(Models!$BJ140:$BT140,,AH140)*(1-AF140)+INDEX(Models!$BJ140:$BT140,,AH140+1)*AF140-ERP_i)*AE140*Ramure*Pc/MaxiM</f>
        <v>2.5240279747586578E-3</v>
      </c>
      <c r="AE140" s="305">
        <f t="shared" si="40"/>
        <v>0.7</v>
      </c>
      <c r="AF140" s="177">
        <f t="shared" si="41"/>
        <v>0.5954064260922054</v>
      </c>
      <c r="AG140" s="919">
        <f t="shared" si="49"/>
        <v>1</v>
      </c>
      <c r="AH140" s="176">
        <f t="shared" si="42"/>
        <v>7</v>
      </c>
      <c r="AI140" s="225">
        <f t="shared" si="43"/>
        <v>1.5954064260922054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1090">
        <f>IF(t&gt;Tmaj,'2024'!Wh/'2024'!Env_an*'2025'!Env_an,0.001*[7]mois!$B$44)</f>
        <v>47.068125258135446</v>
      </c>
      <c r="C141" s="953"/>
      <c r="D141" s="393">
        <f t="shared" si="25"/>
        <v>49.76197094229218</v>
      </c>
      <c r="E141" s="385">
        <f t="shared" si="47"/>
        <v>50.219831700494638</v>
      </c>
      <c r="F141" s="385">
        <f t="shared" si="26"/>
        <v>50.22175883691019</v>
      </c>
      <c r="G141" s="110">
        <f t="shared" si="48"/>
        <v>0.84423565674122614</v>
      </c>
      <c r="H141" s="412" t="b">
        <f>Wh_hp&gt;='2024'!Maxi_hp</f>
        <v>0</v>
      </c>
      <c r="I141" s="390">
        <f>IF(H141,Wh_hp,'2024'!Maxi_hp)</f>
        <v>57.268675300754929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5.4134625963282779E-2</v>
      </c>
      <c r="M141" s="957"/>
      <c r="N141" s="957"/>
      <c r="O141" s="48">
        <f>IF(t&lt;Tnet,'2024'!Resal+('2024'!Salim-'2024'!Resal)*(1-EXP(('2024'!Tnet-t)/('2024'!Tau_j))),Resal+(Salim-Resal)*(1-EXP((Tnet-t)/(Tau_j))))*Salcycl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4.9354208233487753E-5</v>
      </c>
      <c r="Q141" s="305">
        <f t="shared" si="28"/>
        <v>0.7</v>
      </c>
      <c r="R141" s="177">
        <f t="shared" si="29"/>
        <v>7.3650014123378682E-2</v>
      </c>
      <c r="S141" s="919">
        <f t="shared" si="30"/>
        <v>-2</v>
      </c>
      <c r="T141" s="176">
        <f t="shared" si="31"/>
        <v>4</v>
      </c>
      <c r="U141" s="251">
        <f t="shared" si="32"/>
        <v>-1.9263499858766213</v>
      </c>
      <c r="V141" s="383">
        <f t="shared" si="33"/>
        <v>55.751741798509975</v>
      </c>
      <c r="W141" s="402">
        <f t="shared" si="34"/>
        <v>47.068125258135446</v>
      </c>
      <c r="X141" s="157">
        <f t="shared" si="35"/>
        <v>45784</v>
      </c>
      <c r="Y141" s="385">
        <f t="shared" si="36"/>
        <v>44.939139517377953</v>
      </c>
      <c r="Z141" s="385">
        <f t="shared" si="37"/>
        <v>47.511137156431602</v>
      </c>
      <c r="AA141" s="386">
        <f t="shared" si="38"/>
        <v>50.118648444272075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5.2026767855478363E-2</v>
      </c>
      <c r="AD141" s="231">
        <f>(INDEX(Models!$BJ141:$BT141,,AH141)*(1-AF141)+INDEX(Models!$BJ141:$BT141,,AH141+1)*AF141-ERP_i)*AE141*Ramure*Pc/MaxiM</f>
        <v>2.6406702443223318E-3</v>
      </c>
      <c r="AE141" s="305">
        <f t="shared" si="40"/>
        <v>0.7</v>
      </c>
      <c r="AF141" s="177">
        <f t="shared" si="41"/>
        <v>0.5986375804973576</v>
      </c>
      <c r="AG141" s="919">
        <f t="shared" si="49"/>
        <v>1</v>
      </c>
      <c r="AH141" s="176">
        <f t="shared" si="42"/>
        <v>7</v>
      </c>
      <c r="AI141" s="225">
        <f t="shared" si="43"/>
        <v>1.5986375804973576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1090">
        <f>IF(t&gt;Tmaj,'2024'!Wh/'2024'!Env_an*'2025'!Env_an,0.001*[7]mois!$B$45)</f>
        <v>49.104001017679636</v>
      </c>
      <c r="C142" s="953"/>
      <c r="D142" s="393">
        <f t="shared" si="25"/>
        <v>51.915502874698355</v>
      </c>
      <c r="E142" s="385">
        <f t="shared" si="47"/>
        <v>52.400974204310451</v>
      </c>
      <c r="F142" s="385">
        <f t="shared" si="26"/>
        <v>52.403359449002558</v>
      </c>
      <c r="G142" s="110">
        <f t="shared" si="48"/>
        <v>0.88035012165877158</v>
      </c>
      <c r="H142" s="412" t="b">
        <f>Wh_hp&gt;='2024'!Maxi_hp</f>
        <v>0</v>
      </c>
      <c r="I142" s="390">
        <f>IF(H142,Wh_hp,'2024'!Maxi_hp)</f>
        <v>59.229596839292704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5.4155342842473697E-2</v>
      </c>
      <c r="M142" s="957"/>
      <c r="N142" s="957"/>
      <c r="O142" s="48">
        <f>IF(t&lt;Tnet,'2024'!Resal+('2024'!Salim-'2024'!Resal)*(1-EXP(('2024'!Tnet-t)/('2024'!Tau_j))),Resal+(Salim-Resal)*(1-EXP((Tnet-t)/(Tau_j))))*Salcycl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5.4900409879354984E-5</v>
      </c>
      <c r="Q142" s="305">
        <f t="shared" si="28"/>
        <v>0.7</v>
      </c>
      <c r="R142" s="177">
        <f t="shared" si="29"/>
        <v>7.6962299921511823E-2</v>
      </c>
      <c r="S142" s="919">
        <f t="shared" si="30"/>
        <v>-2</v>
      </c>
      <c r="T142" s="176">
        <f t="shared" si="31"/>
        <v>4</v>
      </c>
      <c r="U142" s="251">
        <f t="shared" si="32"/>
        <v>-1.9230377000784882</v>
      </c>
      <c r="V142" s="383">
        <f t="shared" si="33"/>
        <v>55.777285680536387</v>
      </c>
      <c r="W142" s="402">
        <f t="shared" si="34"/>
        <v>49.104001017679636</v>
      </c>
      <c r="X142" s="157">
        <f t="shared" si="35"/>
        <v>45785</v>
      </c>
      <c r="Y142" s="385">
        <f t="shared" si="36"/>
        <v>46.872814065137909</v>
      </c>
      <c r="Z142" s="385">
        <f t="shared" si="37"/>
        <v>49.556566937747625</v>
      </c>
      <c r="AA142" s="386">
        <f t="shared" si="38"/>
        <v>52.283357835059718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5.2154088991652033E-2</v>
      </c>
      <c r="AD142" s="231">
        <f>(INDEX(Models!$BJ142:$BT142,,AH142)*(1-AF142)+INDEX(Models!$BJ142:$BT142,,AH142+1)*AF142-ERP_i)*AE142*Ramure*Pc/MaxiM</f>
        <v>2.7620385503630278E-3</v>
      </c>
      <c r="AE142" s="305">
        <f t="shared" si="40"/>
        <v>0.7</v>
      </c>
      <c r="AF142" s="177">
        <f t="shared" si="41"/>
        <v>0.60194986629549074</v>
      </c>
      <c r="AG142" s="919">
        <f t="shared" si="49"/>
        <v>1</v>
      </c>
      <c r="AH142" s="176">
        <f t="shared" si="42"/>
        <v>7</v>
      </c>
      <c r="AI142" s="225">
        <f t="shared" si="43"/>
        <v>1.6019498662954907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1090">
        <f>IF(t&gt;Tmaj,'2024'!Wh/'2024'!Env_an*'2025'!Env_an,0.001*[7]mois!$B$46)</f>
        <v>53.41790394048703</v>
      </c>
      <c r="C143" s="953"/>
      <c r="D143" s="393">
        <f t="shared" ref="D143:D206" si="50">Wh/(1-Ppv)</f>
        <v>56.477639907423381</v>
      </c>
      <c r="E143" s="385">
        <f t="shared" si="47"/>
        <v>57.014263184585339</v>
      </c>
      <c r="F143" s="385">
        <f t="shared" ref="F143:F206" si="51">Wh_sa/(1-Pvg*MEDIAN((-Sdif+Wh/Env_an)/Csdif,0,1))</f>
        <v>57.017522723417969</v>
      </c>
      <c r="G143" s="110">
        <f t="shared" si="48"/>
        <v>0.95731413558483081</v>
      </c>
      <c r="H143" s="412" t="b">
        <f>Wh_hp&gt;='2024'!Maxi_hp</f>
        <v>1</v>
      </c>
      <c r="I143" s="390">
        <f>IF(H143,Wh_hp,'2024'!Maxi_hp)</f>
        <v>57.017522723417969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5.4176059267911802E-2</v>
      </c>
      <c r="M143" s="957"/>
      <c r="N143" s="957"/>
      <c r="O143" s="48">
        <f>IF(t&lt;Tnet,'2024'!Resal+('2024'!Salim-'2024'!Resal)*(1-EXP(('2024'!Tnet-t)/('2024'!Tau_j))),Resal+(Salim-Resal)*(1-EXP((Tnet-t)/(Tau_j))))*Salcycl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6.0879424045298798E-5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8.035590913885704E-2</v>
      </c>
      <c r="S143" s="919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-1.919644090861143</v>
      </c>
      <c r="V143" s="383">
        <f t="shared" ref="V143:V206" si="58">MaxiM*(1-Ppv)*(1-Pvg)*(1-Psa)</f>
        <v>55.799558003574113</v>
      </c>
      <c r="W143" s="402">
        <f t="shared" ref="W143:W206" si="59">Wh*(A143&gt;Tmaj)</f>
        <v>53.41790394048703</v>
      </c>
      <c r="X143" s="157">
        <f t="shared" ref="X143:X206" si="60">t</f>
        <v>45786</v>
      </c>
      <c r="Y143" s="385">
        <f t="shared" ref="Y143:Y206" si="61">Wh_pvt_s*(1-Ppv)</f>
        <v>50.970501668073844</v>
      </c>
      <c r="Z143" s="385">
        <f t="shared" ref="Z143:Z206" si="62">Wh_sa_s*(1-Psa_s)</f>
        <v>53.890052337458883</v>
      </c>
      <c r="AA143" s="386">
        <f t="shared" ref="AA143:AA206" si="63">Wh_hp*(1-Pvg_s*MEDIAN((-Sdif+Wh/Env_an)/Csdif,0,1))</f>
        <v>56.862961952632489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5.228200419193902E-2</v>
      </c>
      <c r="AD143" s="231">
        <f>(INDEX(Models!$BJ143:$BT143,,AH143)*(1-AF143)+INDEX(Models!$BJ143:$BT143,,AH143+1)*AF143-ERP_i)*AE143*Ramure*Pc/MaxiM</f>
        <v>2.8867797527725152E-3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0.60534347551283596</v>
      </c>
      <c r="AG143" s="91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1.605343475512836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1090">
        <f>IF(t&gt;Tmaj,'2024'!Wh/'2024'!Env_an*'2025'!Env_an,0.001*[7]mois!$B$47)</f>
        <v>50.913077759446672</v>
      </c>
      <c r="C144" s="953"/>
      <c r="D144" s="393">
        <f t="shared" si="50"/>
        <v>53.830518258536117</v>
      </c>
      <c r="E144" s="385">
        <f t="shared" ref="E144:E169" si="72">Wh_pvt/(1-Psa)</f>
        <v>54.350091674738998</v>
      </c>
      <c r="F144" s="385">
        <f t="shared" si="51"/>
        <v>54.353291069772212</v>
      </c>
      <c r="G144" s="110">
        <f t="shared" ref="G144:G169" si="73">+Wh_hp/MaxiM</f>
        <v>0.91210472331063341</v>
      </c>
      <c r="H144" s="412" t="b">
        <f>Wh_hp&gt;='2024'!Maxi_hp</f>
        <v>1</v>
      </c>
      <c r="I144" s="390">
        <f>IF(H144,Wh_hp,'2024'!Maxi_hp)</f>
        <v>54.353291069772212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5.4196775239606976E-2</v>
      </c>
      <c r="M144" s="957"/>
      <c r="N144" s="957"/>
      <c r="O144" s="48">
        <f>IF(t&lt;Tnet,'2024'!Resal+('2024'!Salim-'2024'!Resal)*(1-EXP(('2024'!Tnet-t)/('2024'!Tau_j))),Resal+(Salim-Resal)*(1-EXP((Tnet-t)/(Tau_j))))*Salcycl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6.7314536567120514E-5</v>
      </c>
      <c r="Q144" s="305">
        <f t="shared" si="53"/>
        <v>0.7</v>
      </c>
      <c r="R144" s="177">
        <f t="shared" si="54"/>
        <v>8.383090268557547E-2</v>
      </c>
      <c r="S144" s="919">
        <f t="shared" si="55"/>
        <v>-2</v>
      </c>
      <c r="T144" s="176">
        <f t="shared" si="56"/>
        <v>4</v>
      </c>
      <c r="U144" s="251">
        <f t="shared" si="57"/>
        <v>-1.9161690973144245</v>
      </c>
      <c r="V144" s="383">
        <f t="shared" si="58"/>
        <v>55.818861734447324</v>
      </c>
      <c r="W144" s="402">
        <f t="shared" si="59"/>
        <v>50.913077759446672</v>
      </c>
      <c r="X144" s="157">
        <f t="shared" si="60"/>
        <v>45787</v>
      </c>
      <c r="Y144" s="385">
        <f t="shared" si="61"/>
        <v>48.584796232716712</v>
      </c>
      <c r="Z144" s="385">
        <f t="shared" si="62"/>
        <v>51.368820660370488</v>
      </c>
      <c r="AA144" s="386">
        <f t="shared" si="63"/>
        <v>54.20999316606423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5.2410493707133098E-2</v>
      </c>
      <c r="AD144" s="231">
        <f>(INDEX(Models!$BJ144:$BT144,,AH144)*(1-AF144)+INDEX(Models!$BJ144:$BT144,,AH144+1)*AF144-ERP_i)*AE144*Ramure*Pc/MaxiM</f>
        <v>3.0149549771148463E-3</v>
      </c>
      <c r="AE144" s="305">
        <f t="shared" si="65"/>
        <v>0.7</v>
      </c>
      <c r="AF144" s="177">
        <f t="shared" si="66"/>
        <v>0.60881846905955417</v>
      </c>
      <c r="AG144" s="919">
        <f t="shared" ref="AG144:AG207" si="74">INDEX(Echel_vg,AH144)</f>
        <v>1</v>
      </c>
      <c r="AH144" s="176">
        <f t="shared" si="67"/>
        <v>7</v>
      </c>
      <c r="AI144" s="225">
        <f t="shared" si="68"/>
        <v>1.6088184690595542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1090">
        <f>IF(t&gt;Tmaj,'2024'!Wh/'2024'!Env_an*'2025'!Env_an,0.001*[7]mois!$B$48)</f>
        <v>54.617887878897804</v>
      </c>
      <c r="C145" s="953"/>
      <c r="D145" s="393">
        <f t="shared" si="50"/>
        <v>57.748887661970599</v>
      </c>
      <c r="E145" s="385">
        <f t="shared" si="72"/>
        <v>58.314982683452406</v>
      </c>
      <c r="F145" s="385">
        <f t="shared" si="51"/>
        <v>58.319176830397367</v>
      </c>
      <c r="G145" s="110">
        <f t="shared" si="73"/>
        <v>0.97819061220246573</v>
      </c>
      <c r="H145" s="412" t="b">
        <f>Wh_hp&gt;='2024'!Maxi_hp</f>
        <v>1</v>
      </c>
      <c r="I145" s="390">
        <f>IF(H145,Wh_hp,'2024'!Maxi_hp)</f>
        <v>58.319176830397367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5.4217490757569209E-2</v>
      </c>
      <c r="M145" s="957"/>
      <c r="N145" s="957"/>
      <c r="O145" s="48">
        <f>IF(t&lt;Tnet,'2024'!Resal+('2024'!Salim-'2024'!Resal)*(1-EXP(('2024'!Tnet-t)/('2024'!Tau_j))),Resal+(Salim-Resal)*(1-EXP((Tnet-t)/(Tau_j))))*Salcycl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7.4229592166097499E-5</v>
      </c>
      <c r="Q145" s="305">
        <f t="shared" si="53"/>
        <v>0.7</v>
      </c>
      <c r="R145" s="177">
        <f t="shared" si="54"/>
        <v>8.7387203743939601E-2</v>
      </c>
      <c r="S145" s="919">
        <f t="shared" si="55"/>
        <v>-2</v>
      </c>
      <c r="T145" s="176">
        <f t="shared" si="56"/>
        <v>4</v>
      </c>
      <c r="U145" s="251">
        <f t="shared" si="57"/>
        <v>-1.9126127962560604</v>
      </c>
      <c r="V145" s="383">
        <f t="shared" si="58"/>
        <v>55.835499631526567</v>
      </c>
      <c r="W145" s="402">
        <f t="shared" si="59"/>
        <v>54.617887878897804</v>
      </c>
      <c r="X145" s="157">
        <f t="shared" si="60"/>
        <v>45788</v>
      </c>
      <c r="Y145" s="385">
        <f t="shared" si="61"/>
        <v>52.100003209447578</v>
      </c>
      <c r="Z145" s="385">
        <f t="shared" si="62"/>
        <v>55.086663900328986</v>
      </c>
      <c r="AA145" s="386">
        <f t="shared" si="63"/>
        <v>58.141385299770896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5.253953588639295E-2</v>
      </c>
      <c r="AD145" s="231">
        <f>(INDEX(Models!$BJ145:$BT145,,AH145)*(1-AF145)+INDEX(Models!$BJ145:$BT145,,AH145+1)*AF145-ERP_i)*AE145*Ramure*Pc/MaxiM</f>
        <v>3.1466214661010029E-3</v>
      </c>
      <c r="AE145" s="305">
        <f t="shared" si="65"/>
        <v>0.7</v>
      </c>
      <c r="AF145" s="177">
        <f t="shared" si="66"/>
        <v>0.61237477011791852</v>
      </c>
      <c r="AG145" s="919">
        <f t="shared" si="74"/>
        <v>1</v>
      </c>
      <c r="AH145" s="176">
        <f t="shared" si="67"/>
        <v>7</v>
      </c>
      <c r="AI145" s="225">
        <f t="shared" si="68"/>
        <v>1.6123747701179185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1090">
        <f>IF(t&gt;Tmaj,'2024'!Wh/'2024'!Env_an*'2025'!Env_an,0.001*[7]mois!$B$49)</f>
        <v>42.047207824642861</v>
      </c>
      <c r="C146" s="953"/>
      <c r="D146" s="393">
        <f t="shared" si="50"/>
        <v>44.458560372677439</v>
      </c>
      <c r="E146" s="385">
        <f t="shared" si="72"/>
        <v>44.901080738780607</v>
      </c>
      <c r="F146" s="385">
        <f t="shared" si="51"/>
        <v>44.90345265138788</v>
      </c>
      <c r="G146" s="110">
        <f t="shared" si="73"/>
        <v>0.75284092461447982</v>
      </c>
      <c r="H146" s="412" t="b">
        <f>Wh_hp&gt;='2024'!Maxi_hp</f>
        <v>0</v>
      </c>
      <c r="I146" s="390">
        <f>IF(H146,Wh_hp,'2024'!Maxi_hp)</f>
        <v>54.342875304504368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5.4238205821808494E-2</v>
      </c>
      <c r="M146" s="957"/>
      <c r="N146" s="957"/>
      <c r="O146" s="48">
        <f>IF(t&lt;Tnet,'2024'!Resal+('2024'!Salim-'2024'!Resal)*(1-EXP(('2024'!Tnet-t)/('2024'!Tau_j))),Resal+(Salim-Resal)*(1-EXP((Tnet-t)/(Tau_j))))*Salcycl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8.1648931457896113E-5</v>
      </c>
      <c r="Q146" s="305">
        <f t="shared" si="53"/>
        <v>0.7</v>
      </c>
      <c r="R146" s="177">
        <f t="shared" si="54"/>
        <v>9.1024591391768439E-2</v>
      </c>
      <c r="S146" s="919">
        <f t="shared" si="55"/>
        <v>-2</v>
      </c>
      <c r="T146" s="176">
        <f t="shared" si="56"/>
        <v>4</v>
      </c>
      <c r="U146" s="251">
        <f t="shared" si="57"/>
        <v>-1.9089754086082316</v>
      </c>
      <c r="V146" s="383">
        <f t="shared" si="58"/>
        <v>55.849774254996326</v>
      </c>
      <c r="W146" s="402">
        <f t="shared" si="59"/>
        <v>42.047207824642861</v>
      </c>
      <c r="X146" s="157">
        <f t="shared" si="60"/>
        <v>45789</v>
      </c>
      <c r="Y146" s="385">
        <f t="shared" si="61"/>
        <v>40.145802157765822</v>
      </c>
      <c r="Z146" s="385">
        <f t="shared" si="62"/>
        <v>42.448111569837771</v>
      </c>
      <c r="AA146" s="386">
        <f t="shared" si="63"/>
        <v>44.808114979840532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5.266910717097871E-2</v>
      </c>
      <c r="AD146" s="231">
        <f>(INDEX(Models!$BJ146:$BT146,,AH146)*(1-AF146)+INDEX(Models!$BJ146:$BT146,,AH146+1)*AF146-ERP_i)*AE146*Ramure*Pc/MaxiM</f>
        <v>3.2818321322853664E-3</v>
      </c>
      <c r="AE146" s="305">
        <f t="shared" si="65"/>
        <v>0.7</v>
      </c>
      <c r="AF146" s="177">
        <f t="shared" si="66"/>
        <v>0.61601215776574736</v>
      </c>
      <c r="AG146" s="919">
        <f t="shared" si="74"/>
        <v>1</v>
      </c>
      <c r="AH146" s="176">
        <f t="shared" si="67"/>
        <v>7</v>
      </c>
      <c r="AI146" s="225">
        <f t="shared" si="68"/>
        <v>1.6160121577657474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1090">
        <f>IF(t&gt;Tmaj,'2024'!Wh/'2024'!Env_an*'2025'!Env_an,0.001*[7]mois!$B$50)</f>
        <v>38.502844766665589</v>
      </c>
      <c r="C147" s="953"/>
      <c r="D147" s="393">
        <f t="shared" si="50"/>
        <v>40.711824407867233</v>
      </c>
      <c r="E147" s="385">
        <f t="shared" si="72"/>
        <v>41.123199592575261</v>
      </c>
      <c r="F147" s="385">
        <f t="shared" si="51"/>
        <v>41.125248552772227</v>
      </c>
      <c r="G147" s="110">
        <f t="shared" si="73"/>
        <v>0.68922203892583989</v>
      </c>
      <c r="H147" s="412" t="b">
        <f>Wh_hp&gt;='2024'!Maxi_hp</f>
        <v>0</v>
      </c>
      <c r="I147" s="390">
        <f>IF(H147,Wh_hp,'2024'!Maxi_hp)</f>
        <v>61.987907498178245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5.4258920432334601E-2</v>
      </c>
      <c r="M147" s="957"/>
      <c r="N147" s="957"/>
      <c r="O147" s="48">
        <f>IF(t&lt;Tnet,'2024'!Resal+('2024'!Salim-'2024'!Resal)*(1-EXP(('2024'!Tnet-t)/('2024'!Tau_j))),Resal+(Salim-Resal)*(1-EXP((Tnet-t)/(Tau_j))))*Salcycl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8.9597318649114801E-5</v>
      </c>
      <c r="Q147" s="305">
        <f t="shared" si="53"/>
        <v>0.7</v>
      </c>
      <c r="R147" s="177">
        <f t="shared" si="54"/>
        <v>9.4742694517220505E-2</v>
      </c>
      <c r="S147" s="919">
        <f t="shared" si="55"/>
        <v>-2</v>
      </c>
      <c r="T147" s="176">
        <f t="shared" si="56"/>
        <v>4</v>
      </c>
      <c r="U147" s="251">
        <f t="shared" si="57"/>
        <v>-1.9052573054827795</v>
      </c>
      <c r="V147" s="383">
        <f t="shared" si="58"/>
        <v>55.861987965965746</v>
      </c>
      <c r="W147" s="402">
        <f t="shared" si="59"/>
        <v>38.502844766665589</v>
      </c>
      <c r="X147" s="157">
        <f t="shared" si="60"/>
        <v>45790</v>
      </c>
      <c r="Y147" s="385">
        <f t="shared" si="61"/>
        <v>36.770199753361133</v>
      </c>
      <c r="Z147" s="385">
        <f t="shared" si="62"/>
        <v>38.87977433545575</v>
      </c>
      <c r="AA147" s="386">
        <f t="shared" si="63"/>
        <v>41.047023609525652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5.2799182096286174E-2</v>
      </c>
      <c r="AD147" s="231">
        <f>(INDEX(Models!$BJ147:$BT147,,AH147)*(1-AF147)+INDEX(Models!$BJ147:$BT147,,AH147+1)*AF147-ERP_i)*AE147*Ramure*Pc/MaxiM</f>
        <v>3.4206350990915345E-3</v>
      </c>
      <c r="AE147" s="305">
        <f t="shared" si="65"/>
        <v>0.7</v>
      </c>
      <c r="AF147" s="177">
        <f t="shared" si="66"/>
        <v>0.61973026089119942</v>
      </c>
      <c r="AG147" s="919">
        <f t="shared" si="74"/>
        <v>1</v>
      </c>
      <c r="AH147" s="176">
        <f t="shared" si="67"/>
        <v>7</v>
      </c>
      <c r="AI147" s="225">
        <f t="shared" si="68"/>
        <v>1.6197302608911994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1090">
        <f>IF(t&gt;Tmaj,'2024'!Wh/'2024'!Env_an*'2025'!Env_an,0.001*[7]mois!$B$51)</f>
        <v>50.255501881694158</v>
      </c>
      <c r="C148" s="953"/>
      <c r="D148" s="393">
        <f t="shared" si="50"/>
        <v>53.139917167652435</v>
      </c>
      <c r="E148" s="385">
        <f t="shared" si="72"/>
        <v>53.6849066431067</v>
      </c>
      <c r="F148" s="385">
        <f t="shared" si="51"/>
        <v>53.689417150460976</v>
      </c>
      <c r="G148" s="110">
        <f t="shared" si="73"/>
        <v>0.89945581662415597</v>
      </c>
      <c r="H148" s="412" t="b">
        <f>Wh_hp&gt;='2024'!Maxi_hp</f>
        <v>0</v>
      </c>
      <c r="I148" s="390">
        <f>IF(H148,Wh_hp,'2024'!Maxi_hp)</f>
        <v>60.924968033525275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5.4279634589157633E-2</v>
      </c>
      <c r="M148" s="957"/>
      <c r="N148" s="957"/>
      <c r="O148" s="48">
        <f>IF(t&lt;Tnet,'2024'!Resal+('2024'!Salim-'2024'!Resal)*(1-EXP(('2024'!Tnet-t)/('2024'!Tau_j))),Resal+(Salim-Resal)*(1-EXP((Tnet-t)/(Tau_j))))*Salcycl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9.8099859594712275E-5</v>
      </c>
      <c r="Q148" s="305">
        <f t="shared" si="53"/>
        <v>0.7</v>
      </c>
      <c r="R148" s="177">
        <f t="shared" si="54"/>
        <v>9.8540986082822801E-2</v>
      </c>
      <c r="S148" s="919">
        <f t="shared" si="55"/>
        <v>-2</v>
      </c>
      <c r="T148" s="176">
        <f t="shared" si="56"/>
        <v>4</v>
      </c>
      <c r="U148" s="251">
        <f t="shared" si="57"/>
        <v>-1.9014590139171772</v>
      </c>
      <c r="V148" s="383">
        <f t="shared" si="58"/>
        <v>55.872442932746267</v>
      </c>
      <c r="W148" s="402">
        <f t="shared" si="59"/>
        <v>50.255501881694158</v>
      </c>
      <c r="X148" s="157">
        <f t="shared" si="60"/>
        <v>45791</v>
      </c>
      <c r="Y148" s="385">
        <f t="shared" si="61"/>
        <v>47.940926094302789</v>
      </c>
      <c r="Z148" s="385">
        <f t="shared" si="62"/>
        <v>50.692496268150222</v>
      </c>
      <c r="AA148" s="386">
        <f t="shared" si="63"/>
        <v>53.525591553970948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5.2929733302696159E-2</v>
      </c>
      <c r="AD148" s="231">
        <f>(INDEX(Models!$BJ148:$BT148,,AH148)*(1-AF148)+INDEX(Models!$BJ148:$BT148,,AH148+1)*AF148-ERP_i)*AE148*Ramure*Pc/MaxiM</f>
        <v>3.5630732313182492E-3</v>
      </c>
      <c r="AE148" s="305">
        <f t="shared" si="65"/>
        <v>0.7</v>
      </c>
      <c r="AF148" s="177">
        <f t="shared" si="66"/>
        <v>0.62352855245680172</v>
      </c>
      <c r="AG148" s="919">
        <f t="shared" si="74"/>
        <v>1</v>
      </c>
      <c r="AH148" s="176">
        <f t="shared" si="67"/>
        <v>7</v>
      </c>
      <c r="AI148" s="225">
        <f t="shared" si="68"/>
        <v>1.6235285524568017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1090">
        <f>IF(t&gt;Tmaj,'2024'!Wh/'2024'!Env_an*'2025'!Env_an,0.001*[7]mois!$B$52)</f>
        <v>51.274194050688578</v>
      </c>
      <c r="C149" s="953"/>
      <c r="D149" s="393">
        <f t="shared" si="50"/>
        <v>54.218264708144247</v>
      </c>
      <c r="E149" s="385">
        <f t="shared" si="72"/>
        <v>54.782519236499709</v>
      </c>
      <c r="F149" s="385">
        <f t="shared" si="51"/>
        <v>54.787700070851294</v>
      </c>
      <c r="G149" s="110">
        <f t="shared" si="73"/>
        <v>0.91755759664821457</v>
      </c>
      <c r="H149" s="412" t="b">
        <f>Wh_hp&gt;='2024'!Maxi_hp</f>
        <v>0</v>
      </c>
      <c r="I149" s="390">
        <f>IF(H149,Wh_hp,'2024'!Maxi_hp)</f>
        <v>61.115724809852011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5.430034829228747E-2</v>
      </c>
      <c r="M149" s="957"/>
      <c r="N149" s="957"/>
      <c r="O149" s="48">
        <f>IF(t&lt;Tnet,'2024'!Resal+('2024'!Salim-'2024'!Resal)*(1-EXP(('2024'!Tnet-t)/('2024'!Tau_j))),Resal+(Salim-Resal)*(1-EXP((Tnet-t)/(Tau_j))))*Salcycl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1.0718377862620764E-4</v>
      </c>
      <c r="Q149" s="305">
        <f t="shared" si="53"/>
        <v>0.7</v>
      </c>
      <c r="R149" s="177">
        <f t="shared" si="54"/>
        <v>0.10241877779786246</v>
      </c>
      <c r="S149" s="919">
        <f t="shared" si="55"/>
        <v>-2</v>
      </c>
      <c r="T149" s="176">
        <f t="shared" si="56"/>
        <v>4</v>
      </c>
      <c r="U149" s="251">
        <f t="shared" si="57"/>
        <v>-1.8975812222021375</v>
      </c>
      <c r="V149" s="383">
        <f t="shared" si="58"/>
        <v>55.880466801347794</v>
      </c>
      <c r="W149" s="402">
        <f t="shared" si="59"/>
        <v>51.274194050688578</v>
      </c>
      <c r="X149" s="157">
        <f t="shared" si="60"/>
        <v>45792</v>
      </c>
      <c r="Y149" s="385">
        <f t="shared" si="61"/>
        <v>48.902930653473305</v>
      </c>
      <c r="Z149" s="385">
        <f t="shared" si="62"/>
        <v>51.710847693732404</v>
      </c>
      <c r="AA149" s="386">
        <f t="shared" si="63"/>
        <v>54.608409870557971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5.3060731555704607E-2</v>
      </c>
      <c r="AD149" s="231">
        <f>(INDEX(Models!$BJ149:$BT149,,AH149)*(1-AF149)+INDEX(Models!$BJ149:$BT149,,AH149+1)*AF149-ERP_i)*AE149*Ramure*Pc/MaxiM</f>
        <v>3.7092483244935883E-3</v>
      </c>
      <c r="AE149" s="305">
        <f t="shared" si="65"/>
        <v>0.7</v>
      </c>
      <c r="AF149" s="177">
        <f t="shared" si="66"/>
        <v>0.62740634417184138</v>
      </c>
      <c r="AG149" s="919">
        <f t="shared" si="74"/>
        <v>1</v>
      </c>
      <c r="AH149" s="176">
        <f t="shared" si="67"/>
        <v>7</v>
      </c>
      <c r="AI149" s="225">
        <f t="shared" si="68"/>
        <v>1.6274063441718414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1090">
        <f>IF(t&gt;Tmaj,'2024'!Wh/'2024'!Env_an*'2025'!Env_an,0.001*[7]mois!$B$53)</f>
        <v>49.374504304217574</v>
      </c>
      <c r="C150" s="953"/>
      <c r="D150" s="393">
        <f t="shared" si="50"/>
        <v>52.210641790027061</v>
      </c>
      <c r="E150" s="385">
        <f t="shared" si="72"/>
        <v>52.761913166680039</v>
      </c>
      <c r="F150" s="385">
        <f t="shared" si="51"/>
        <v>52.767053920094938</v>
      </c>
      <c r="G150" s="110">
        <f t="shared" si="73"/>
        <v>0.88348071693826669</v>
      </c>
      <c r="H150" s="412" t="b">
        <f>Wh_hp&gt;='2024'!Maxi_hp</f>
        <v>0</v>
      </c>
      <c r="I150" s="390">
        <f>IF(H150,Wh_hp,'2024'!Maxi_hp)</f>
        <v>53.059049152756259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5.4321061541733995E-2</v>
      </c>
      <c r="M150" s="957"/>
      <c r="N150" s="957"/>
      <c r="O150" s="48">
        <f>IF(t&lt;Tnet,'2024'!Resal+('2024'!Salim-'2024'!Resal)*(1-EXP(('2024'!Tnet-t)/('2024'!Tau_j))),Resal+(Salim-Resal)*(1-EXP((Tnet-t)/(Tau_j))))*Salcycl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1.1687528013023897E-4</v>
      </c>
      <c r="Q150" s="305">
        <f t="shared" si="53"/>
        <v>0.7</v>
      </c>
      <c r="R150" s="177">
        <f t="shared" si="54"/>
        <v>0.10637521525898852</v>
      </c>
      <c r="S150" s="919">
        <f t="shared" si="55"/>
        <v>-2</v>
      </c>
      <c r="T150" s="176">
        <f t="shared" si="56"/>
        <v>4</v>
      </c>
      <c r="U150" s="251">
        <f t="shared" si="57"/>
        <v>-1.8936247847410115</v>
      </c>
      <c r="V150" s="383">
        <f t="shared" si="58"/>
        <v>55.885253457406485</v>
      </c>
      <c r="W150" s="402">
        <f t="shared" si="59"/>
        <v>49.374504304217574</v>
      </c>
      <c r="X150" s="157">
        <f t="shared" si="60"/>
        <v>45793</v>
      </c>
      <c r="Y150" s="385">
        <f t="shared" si="61"/>
        <v>47.094390212715915</v>
      </c>
      <c r="Z150" s="385">
        <f t="shared" si="62"/>
        <v>49.799554899143232</v>
      </c>
      <c r="AA150" s="386">
        <f t="shared" si="63"/>
        <v>52.597319167726106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5.3192145775741127E-2</v>
      </c>
      <c r="AD150" s="231">
        <f>(INDEX(Models!$BJ150:$BT150,,AH150)*(1-AF150)+INDEX(Models!$BJ150:$BT150,,AH150+1)*AF150-ERP_i)*AE150*Ramure*Pc/MaxiM</f>
        <v>3.8589278904993655E-3</v>
      </c>
      <c r="AE150" s="305">
        <f t="shared" si="65"/>
        <v>0.7</v>
      </c>
      <c r="AF150" s="177">
        <f t="shared" si="66"/>
        <v>0.63136278163296744</v>
      </c>
      <c r="AG150" s="919">
        <f t="shared" si="74"/>
        <v>1</v>
      </c>
      <c r="AH150" s="176">
        <f t="shared" si="67"/>
        <v>7</v>
      </c>
      <c r="AI150" s="225">
        <f t="shared" si="68"/>
        <v>1.6313627816329674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1090">
        <f>IF(t&gt;Tmaj,'2024'!Wh/'2024'!Env_an*'2025'!Env_an,0.001*[7]mois!$B$54)</f>
        <v>52.869306756318103</v>
      </c>
      <c r="C151" s="953"/>
      <c r="D151" s="393">
        <f t="shared" si="50"/>
        <v>55.907414879492904</v>
      </c>
      <c r="E151" s="385">
        <f t="shared" si="72"/>
        <v>56.506198269242944</v>
      </c>
      <c r="F151" s="385">
        <f t="shared" si="51"/>
        <v>56.512829738857199</v>
      </c>
      <c r="G151" s="110">
        <f t="shared" si="73"/>
        <v>0.94599596161484334</v>
      </c>
      <c r="H151" s="412" t="b">
        <f>Wh_hp&gt;='2024'!Maxi_hp</f>
        <v>1</v>
      </c>
      <c r="I151" s="390">
        <f>IF(H151,Wh_hp,'2024'!Maxi_hp)</f>
        <v>56.512829738857199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5.4341774337507309E-2</v>
      </c>
      <c r="M151" s="957"/>
      <c r="N151" s="957"/>
      <c r="O151" s="48">
        <f>IF(t&lt;Tnet,'2024'!Resal+('2024'!Salim-'2024'!Resal)*(1-EXP(('2024'!Tnet-t)/('2024'!Tau_j))),Resal+(Salim-Resal)*(1-EXP((Tnet-t)/(Tau_j))))*Salcycl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1.2715244877957275E-4</v>
      </c>
      <c r="Q151" s="305">
        <f t="shared" si="53"/>
        <v>0.7</v>
      </c>
      <c r="R151" s="177">
        <f t="shared" si="54"/>
        <v>0.11040927361896236</v>
      </c>
      <c r="S151" s="919">
        <f t="shared" si="55"/>
        <v>-2</v>
      </c>
      <c r="T151" s="176">
        <f t="shared" si="56"/>
        <v>4</v>
      </c>
      <c r="U151" s="251">
        <f t="shared" si="57"/>
        <v>-1.8895907263810376</v>
      </c>
      <c r="V151" s="383">
        <f t="shared" si="58"/>
        <v>55.886906816848978</v>
      </c>
      <c r="W151" s="402">
        <f t="shared" si="59"/>
        <v>52.869306756318103</v>
      </c>
      <c r="X151" s="157">
        <f t="shared" si="60"/>
        <v>45794</v>
      </c>
      <c r="Y151" s="385">
        <f t="shared" si="61"/>
        <v>50.40483423679818</v>
      </c>
      <c r="Z151" s="385">
        <f t="shared" si="62"/>
        <v>53.301322686096704</v>
      </c>
      <c r="AA151" s="386">
        <f t="shared" si="63"/>
        <v>56.303655613093682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5.3323943078018687E-2</v>
      </c>
      <c r="AD151" s="231">
        <f>(INDEX(Models!$BJ151:$BT151,,AH151)*(1-AF151)+INDEX(Models!$BJ151:$BT151,,AH151+1)*AF151-ERP_i)*AE151*Ramure*Pc/MaxiM</f>
        <v>4.0107252025979034E-3</v>
      </c>
      <c r="AE151" s="305">
        <f t="shared" si="65"/>
        <v>0.7</v>
      </c>
      <c r="AF151" s="177">
        <f t="shared" si="66"/>
        <v>0.63539683999294128</v>
      </c>
      <c r="AG151" s="919">
        <f t="shared" si="74"/>
        <v>1</v>
      </c>
      <c r="AH151" s="176">
        <f t="shared" si="67"/>
        <v>7</v>
      </c>
      <c r="AI151" s="225">
        <f t="shared" si="68"/>
        <v>1.6353968399929413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1090">
        <f>IF(t&gt;Tmaj,'2024'!Wh/'2024'!Env_an*'2025'!Env_an,0.001*[7]mois!$B$55)</f>
        <v>51.221153269745464</v>
      </c>
      <c r="C152" s="953"/>
      <c r="D152" s="393">
        <f t="shared" si="50"/>
        <v>54.165737450383581</v>
      </c>
      <c r="E152" s="385">
        <f t="shared" si="72"/>
        <v>54.754090386787247</v>
      </c>
      <c r="F152" s="385">
        <f t="shared" si="51"/>
        <v>54.760748061475994</v>
      </c>
      <c r="G152" s="110">
        <f t="shared" si="73"/>
        <v>0.91652189064234657</v>
      </c>
      <c r="H152" s="412" t="b">
        <f>Wh_hp&gt;='2024'!Maxi_hp</f>
        <v>0</v>
      </c>
      <c r="I152" s="390">
        <f>IF(H152,Wh_hp,'2024'!Maxi_hp)</f>
        <v>59.62470514235855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5.4362486679617184E-2</v>
      </c>
      <c r="M152" s="957"/>
      <c r="N152" s="957"/>
      <c r="O152" s="48">
        <f>IF(t&lt;Tnet,'2024'!Resal+('2024'!Salim-'2024'!Resal)*(1-EXP(('2024'!Tnet-t)/('2024'!Tau_j))),Resal+(Salim-Resal)*(1-EXP((Tnet-t)/(Tau_j))))*Salcycl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1.3803591854934057E-4</v>
      </c>
      <c r="Q152" s="305">
        <f t="shared" si="53"/>
        <v>0.7</v>
      </c>
      <c r="R152" s="177">
        <f t="shared" si="54"/>
        <v>0.11451975384291946</v>
      </c>
      <c r="S152" s="919">
        <f t="shared" si="55"/>
        <v>-2</v>
      </c>
      <c r="T152" s="176">
        <f t="shared" si="56"/>
        <v>4</v>
      </c>
      <c r="U152" s="251">
        <f t="shared" si="57"/>
        <v>-1.8854802461570805</v>
      </c>
      <c r="V152" s="383">
        <f t="shared" si="58"/>
        <v>55.885528399125761</v>
      </c>
      <c r="W152" s="402">
        <f t="shared" si="59"/>
        <v>51.221153269745464</v>
      </c>
      <c r="X152" s="157">
        <f t="shared" si="60"/>
        <v>45795</v>
      </c>
      <c r="Y152" s="385">
        <f t="shared" si="61"/>
        <v>48.835863540675206</v>
      </c>
      <c r="Z152" s="385">
        <f t="shared" si="62"/>
        <v>51.64332299931673</v>
      </c>
      <c r="AA152" s="386">
        <f t="shared" si="63"/>
        <v>54.559880835409515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5.3456088822685502E-2</v>
      </c>
      <c r="AD152" s="231">
        <f>(INDEX(Models!$BJ152:$BT152,,AH152)*(1-AF152)+INDEX(Models!$BJ152:$BT152,,AH152+1)*AF152-ERP_i)*AE152*Ramure*Pc/MaxiM</f>
        <v>4.1646510760614298E-3</v>
      </c>
      <c r="AE152" s="305">
        <f t="shared" si="65"/>
        <v>0.7</v>
      </c>
      <c r="AF152" s="177">
        <f t="shared" si="66"/>
        <v>0.63950732021689838</v>
      </c>
      <c r="AG152" s="919">
        <f t="shared" si="74"/>
        <v>1</v>
      </c>
      <c r="AH152" s="176">
        <f t="shared" si="67"/>
        <v>7</v>
      </c>
      <c r="AI152" s="225">
        <f t="shared" si="68"/>
        <v>1.6395073202168984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1090">
        <f>IF(t&gt;Tmaj,'2024'!Wh/'2024'!Env_an*'2025'!Env_an,0.001*[7]mois!$B$56)</f>
        <v>53.510973882382586</v>
      </c>
      <c r="C153" s="953"/>
      <c r="D153" s="393">
        <f t="shared" si="50"/>
        <v>56.588433920962608</v>
      </c>
      <c r="E153" s="385">
        <f t="shared" si="72"/>
        <v>57.211701928789353</v>
      </c>
      <c r="F153" s="385">
        <f t="shared" si="51"/>
        <v>57.219740413378993</v>
      </c>
      <c r="G153" s="110">
        <f t="shared" si="73"/>
        <v>0.95757553597833844</v>
      </c>
      <c r="H153" s="412" t="b">
        <f>Wh_hp&gt;='2024'!Maxi_hp</f>
        <v>0</v>
      </c>
      <c r="I153" s="390">
        <f>IF(H153,Wh_hp,'2024'!Maxi_hp)</f>
        <v>59.775748831066402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5.438319856807361E-2</v>
      </c>
      <c r="M153" s="957"/>
      <c r="N153" s="957"/>
      <c r="O153" s="48">
        <f>IF(t&lt;Tnet,'2024'!Resal+('2024'!Salim-'2024'!Resal)*(1-EXP(('2024'!Tnet-t)/('2024'!Tau_j))),Resal+(Salim-Resal)*(1-EXP((Tnet-t)/(Tau_j))))*Salcycl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1.4954605505624005E-4</v>
      </c>
      <c r="Q153" s="305">
        <f t="shared" si="53"/>
        <v>0.7</v>
      </c>
      <c r="R153" s="177">
        <f t="shared" si="54"/>
        <v>0.11870527961021593</v>
      </c>
      <c r="S153" s="919">
        <f t="shared" si="55"/>
        <v>-2</v>
      </c>
      <c r="T153" s="176">
        <f t="shared" si="56"/>
        <v>4</v>
      </c>
      <c r="U153" s="251">
        <f t="shared" si="57"/>
        <v>-1.8812947203897841</v>
      </c>
      <c r="V153" s="383">
        <f t="shared" si="58"/>
        <v>55.881219715001855</v>
      </c>
      <c r="W153" s="402">
        <f t="shared" si="59"/>
        <v>53.510973882382586</v>
      </c>
      <c r="X153" s="157">
        <f t="shared" si="60"/>
        <v>45796</v>
      </c>
      <c r="Y153" s="385">
        <f t="shared" si="61"/>
        <v>51.000531834149761</v>
      </c>
      <c r="Z153" s="385">
        <f t="shared" si="62"/>
        <v>53.933614289552381</v>
      </c>
      <c r="AA153" s="386">
        <f t="shared" si="63"/>
        <v>56.98749111720484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5.3588546675473393E-2</v>
      </c>
      <c r="AD153" s="231">
        <f>(INDEX(Models!$BJ153:$BT153,,AH153)*(1-AF153)+INDEX(Models!$BJ153:$BT153,,AH153+1)*AF153-ERP_i)*AE153*Ramure*Pc/MaxiM</f>
        <v>4.3207106569795508E-3</v>
      </c>
      <c r="AE153" s="305">
        <f t="shared" si="65"/>
        <v>0.7</v>
      </c>
      <c r="AF153" s="177">
        <f t="shared" si="66"/>
        <v>0.64369284598419485</v>
      </c>
      <c r="AG153" s="919">
        <f t="shared" si="74"/>
        <v>1</v>
      </c>
      <c r="AH153" s="176">
        <f t="shared" si="67"/>
        <v>7</v>
      </c>
      <c r="AI153" s="225">
        <f t="shared" si="68"/>
        <v>1.6436928459841949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1090">
        <f>IF(t&gt;Tmaj,'2024'!Wh/'2024'!Env_an*'2025'!Env_an,0.001*[7]mois!$B$57)</f>
        <v>48.538457086065662</v>
      </c>
      <c r="C154" s="953"/>
      <c r="D154" s="393">
        <f t="shared" si="50"/>
        <v>51.331067883554624</v>
      </c>
      <c r="E154" s="385">
        <f t="shared" si="72"/>
        <v>51.904238832225438</v>
      </c>
      <c r="F154" s="385">
        <f t="shared" si="51"/>
        <v>51.911058630416001</v>
      </c>
      <c r="G154" s="110">
        <f t="shared" si="73"/>
        <v>0.86868513693108473</v>
      </c>
      <c r="H154" s="412" t="b">
        <f>Wh_hp&gt;='2024'!Maxi_hp</f>
        <v>0</v>
      </c>
      <c r="I154" s="390">
        <f>IF(H154,Wh_hp,'2024'!Maxi_hp)</f>
        <v>61.745336141235896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5.4403910002886469E-2</v>
      </c>
      <c r="M154" s="957"/>
      <c r="N154" s="957"/>
      <c r="O154" s="48">
        <f>IF(t&lt;Tnet,'2024'!Resal+('2024'!Salim-'2024'!Resal)*(1-EXP(('2024'!Tnet-t)/('2024'!Tau_j))),Resal+(Salim-Resal)*(1-EXP((Tnet-t)/(Tau_j))))*Salcycl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1.6170285117060753E-4</v>
      </c>
      <c r="Q154" s="305">
        <f t="shared" si="53"/>
        <v>0.7</v>
      </c>
      <c r="R154" s="177">
        <f t="shared" si="54"/>
        <v>0.12296429491787664</v>
      </c>
      <c r="S154" s="919">
        <f t="shared" si="55"/>
        <v>-2</v>
      </c>
      <c r="T154" s="176">
        <f t="shared" si="56"/>
        <v>4</v>
      </c>
      <c r="U154" s="251">
        <f t="shared" si="57"/>
        <v>-1.8770357050821234</v>
      </c>
      <c r="V154" s="383">
        <f t="shared" si="58"/>
        <v>55.874082272194102</v>
      </c>
      <c r="W154" s="402">
        <f t="shared" si="59"/>
        <v>48.538457086065662</v>
      </c>
      <c r="X154" s="157">
        <f t="shared" si="60"/>
        <v>45797</v>
      </c>
      <c r="Y154" s="385">
        <f t="shared" si="61"/>
        <v>46.280858615423462</v>
      </c>
      <c r="Z154" s="385">
        <f t="shared" si="62"/>
        <v>48.943580779362925</v>
      </c>
      <c r="AA154" s="386">
        <f t="shared" si="63"/>
        <v>51.722161427275488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5.3721278678955001E-2</v>
      </c>
      <c r="AD154" s="231">
        <f>(INDEX(Models!$BJ154:$BT154,,AH154)*(1-AF154)+INDEX(Models!$BJ154:$BT154,,AH154+1)*AF154-ERP_i)*AE154*Ramure*Pc/MaxiM</f>
        <v>4.4789032567332104E-3</v>
      </c>
      <c r="AE154" s="305">
        <f t="shared" si="65"/>
        <v>0.7</v>
      </c>
      <c r="AF154" s="177">
        <f t="shared" si="66"/>
        <v>0.64795186129185556</v>
      </c>
      <c r="AG154" s="919">
        <f t="shared" si="74"/>
        <v>1</v>
      </c>
      <c r="AH154" s="176">
        <f t="shared" si="67"/>
        <v>7</v>
      </c>
      <c r="AI154" s="225">
        <f t="shared" si="68"/>
        <v>1.6479518612918556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1090">
        <f>IF(t&gt;Tmaj,'2024'!Wh/'2024'!Env_an*'2025'!Env_an,0.001*[7]mois!$B$58)</f>
        <v>49.134956475433377</v>
      </c>
      <c r="C155" s="953"/>
      <c r="D155" s="393">
        <f t="shared" si="50"/>
        <v>51.963024382644583</v>
      </c>
      <c r="E155" s="385">
        <f t="shared" si="72"/>
        <v>52.55116283193933</v>
      </c>
      <c r="F155" s="385">
        <f t="shared" si="51"/>
        <v>52.558757207283719</v>
      </c>
      <c r="G155" s="110">
        <f t="shared" si="73"/>
        <v>0.87951613264628603</v>
      </c>
      <c r="H155" s="412" t="b">
        <f>Wh_hp&gt;='2024'!Maxi_hp</f>
        <v>0</v>
      </c>
      <c r="I155" s="390">
        <f>IF(H155,Wh_hp,'2024'!Maxi_hp)</f>
        <v>58.246676654523853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5.4424620984065863E-2</v>
      </c>
      <c r="M155" s="957"/>
      <c r="N155" s="957"/>
      <c r="O155" s="48">
        <f>IF(t&lt;Tnet,'2024'!Resal+('2024'!Salim-'2024'!Resal)*(1-EXP(('2024'!Tnet-t)/('2024'!Tau_j))),Resal+(Salim-Resal)*(1-EXP((Tnet-t)/(Tau_j))))*Salcycl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1.7452581789260041E-4</v>
      </c>
      <c r="Q155" s="305">
        <f t="shared" si="53"/>
        <v>0.7</v>
      </c>
      <c r="R155" s="177">
        <f t="shared" si="54"/>
        <v>0.12729506243881961</v>
      </c>
      <c r="S155" s="919">
        <f t="shared" si="55"/>
        <v>-2</v>
      </c>
      <c r="T155" s="176">
        <f t="shared" si="56"/>
        <v>4</v>
      </c>
      <c r="U155" s="251">
        <f t="shared" si="57"/>
        <v>-1.8727049375611804</v>
      </c>
      <c r="V155" s="383">
        <f t="shared" si="58"/>
        <v>55.864217584959754</v>
      </c>
      <c r="W155" s="402">
        <f t="shared" si="59"/>
        <v>49.134956475433377</v>
      </c>
      <c r="X155" s="157">
        <f t="shared" si="60"/>
        <v>45798</v>
      </c>
      <c r="Y155" s="385">
        <f t="shared" si="61"/>
        <v>46.841198291835752</v>
      </c>
      <c r="Z155" s="385">
        <f t="shared" si="62"/>
        <v>49.537244022347181</v>
      </c>
      <c r="AA155" s="386">
        <f t="shared" si="63"/>
        <v>52.356884526588821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5.3854245334435884E-2</v>
      </c>
      <c r="AD155" s="231">
        <f>(INDEX(Models!$BJ155:$BT155,,AH155)*(1-AF155)+INDEX(Models!$BJ155:$BT155,,AH155+1)*AF155-ERP_i)*AE155*Ramure*Pc/MaxiM</f>
        <v>4.6392222020600138E-3</v>
      </c>
      <c r="AE155" s="305">
        <f t="shared" si="65"/>
        <v>0.7</v>
      </c>
      <c r="AF155" s="177">
        <f t="shared" si="66"/>
        <v>0.6522826288127983</v>
      </c>
      <c r="AG155" s="919">
        <f t="shared" si="74"/>
        <v>1</v>
      </c>
      <c r="AH155" s="176">
        <f t="shared" si="67"/>
        <v>7</v>
      </c>
      <c r="AI155" s="225">
        <f t="shared" si="68"/>
        <v>1.6522826288127983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1090">
        <f>IF(t&gt;Tmaj,'2024'!Wh/'2024'!Env_an*'2025'!Env_an,0.001*[7]mois!$B$59)</f>
        <v>37.587554476235645</v>
      </c>
      <c r="C156" s="953"/>
      <c r="D156" s="393">
        <f t="shared" si="50"/>
        <v>39.751857538100261</v>
      </c>
      <c r="E156" s="385">
        <f t="shared" si="72"/>
        <v>40.207842055469925</v>
      </c>
      <c r="F156" s="385">
        <f t="shared" si="51"/>
        <v>40.211871009002181</v>
      </c>
      <c r="G156" s="110">
        <f t="shared" si="73"/>
        <v>0.67292909867401185</v>
      </c>
      <c r="H156" s="412" t="b">
        <f>Wh_hp&gt;='2024'!Maxi_hp</f>
        <v>0</v>
      </c>
      <c r="I156" s="390">
        <f>IF(H156,Wh_hp,'2024'!Maxi_hp)</f>
        <v>58.677512490213942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5.4445331511621453E-2</v>
      </c>
      <c r="M156" s="957"/>
      <c r="N156" s="957"/>
      <c r="O156" s="48">
        <f>IF(t&lt;Tnet,'2024'!Resal+('2024'!Salim-'2024'!Resal)*(1-EXP(('2024'!Tnet-t)/('2024'!Tau_j))),Resal+(Salim-Resal)*(1-EXP((Tnet-t)/(Tau_j))))*Salcycl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1.8803595488613736E-4</v>
      </c>
      <c r="Q156" s="305">
        <f t="shared" si="53"/>
        <v>0.7</v>
      </c>
      <c r="R156" s="177">
        <f t="shared" si="54"/>
        <v>0.13169566268437505</v>
      </c>
      <c r="S156" s="919">
        <f t="shared" si="55"/>
        <v>-2</v>
      </c>
      <c r="T156" s="176">
        <f t="shared" si="56"/>
        <v>4</v>
      </c>
      <c r="U156" s="251">
        <f t="shared" si="57"/>
        <v>-1.868304337315625</v>
      </c>
      <c r="V156" s="383">
        <f t="shared" si="58"/>
        <v>55.851727058274633</v>
      </c>
      <c r="W156" s="402">
        <f t="shared" si="59"/>
        <v>37.587554476235645</v>
      </c>
      <c r="X156" s="157">
        <f t="shared" si="60"/>
        <v>45799</v>
      </c>
      <c r="Y156" s="385">
        <f t="shared" si="61"/>
        <v>35.877754240286514</v>
      </c>
      <c r="Z156" s="385">
        <f t="shared" si="62"/>
        <v>37.943606473481729</v>
      </c>
      <c r="AA156" s="386">
        <f t="shared" si="63"/>
        <v>40.108986605335978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5.3987405694417949E-2</v>
      </c>
      <c r="AD156" s="231">
        <f>(INDEX(Models!$BJ156:$BT156,,AH156)*(1-AF156)+INDEX(Models!$BJ156:$BT156,,AH156+1)*AF156-ERP_i)*AE156*Ramure*Pc/MaxiM</f>
        <v>4.8017349744530445E-3</v>
      </c>
      <c r="AE156" s="305">
        <f t="shared" si="65"/>
        <v>0.7</v>
      </c>
      <c r="AF156" s="177">
        <f t="shared" si="66"/>
        <v>0.65668322905835397</v>
      </c>
      <c r="AG156" s="919">
        <f t="shared" si="74"/>
        <v>1</v>
      </c>
      <c r="AH156" s="176">
        <f t="shared" si="67"/>
        <v>7</v>
      </c>
      <c r="AI156" s="225">
        <f t="shared" si="68"/>
        <v>1.656683229058354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1090">
        <f>IF(t&gt;Tmaj,'2024'!Wh/'2024'!Env_an*'2025'!Env_an,0.001*[7]mois!$B$60)</f>
        <v>17.55673120466766</v>
      </c>
      <c r="C157" s="953"/>
      <c r="D157" s="393">
        <f t="shared" si="50"/>
        <v>18.568059928919418</v>
      </c>
      <c r="E157" s="385">
        <f t="shared" si="72"/>
        <v>18.783881342129217</v>
      </c>
      <c r="F157" s="385">
        <f t="shared" si="51"/>
        <v>18.783959653209845</v>
      </c>
      <c r="G157" s="110">
        <f t="shared" si="73"/>
        <v>0.31436760527673957</v>
      </c>
      <c r="H157" s="412" t="b">
        <f>Wh_hp&gt;='2024'!Maxi_hp</f>
        <v>0</v>
      </c>
      <c r="I157" s="390">
        <f>IF(H157,Wh_hp,'2024'!Maxi_hp)</f>
        <v>53.955691624579302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5.4466041585563452E-2</v>
      </c>
      <c r="M157" s="957"/>
      <c r="N157" s="957"/>
      <c r="O157" s="48">
        <f>IF(t&lt;Tnet,'2024'!Resal+('2024'!Salim-'2024'!Resal)*(1-EXP(('2024'!Tnet-t)/('2024'!Tau_j))),Resal+(Salim-Resal)*(1-EXP((Tnet-t)/(Tau_j))))*Salcycl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2.022419401502523E-4</v>
      </c>
      <c r="Q157" s="305">
        <f t="shared" si="53"/>
        <v>0.7</v>
      </c>
      <c r="R157" s="177">
        <f t="shared" si="54"/>
        <v>0.13616399401614743</v>
      </c>
      <c r="S157" s="919">
        <f t="shared" si="55"/>
        <v>-2</v>
      </c>
      <c r="T157" s="176">
        <f t="shared" si="56"/>
        <v>4</v>
      </c>
      <c r="U157" s="251">
        <f t="shared" si="57"/>
        <v>-1.8638360059838526</v>
      </c>
      <c r="V157" s="383">
        <f t="shared" si="58"/>
        <v>55.836712761965373</v>
      </c>
      <c r="W157" s="402">
        <f t="shared" si="59"/>
        <v>17.55673120466766</v>
      </c>
      <c r="X157" s="157">
        <f t="shared" si="60"/>
        <v>45800</v>
      </c>
      <c r="Y157" s="385">
        <f t="shared" si="61"/>
        <v>16.797920752887862</v>
      </c>
      <c r="Z157" s="385">
        <f t="shared" si="62"/>
        <v>17.765539358370852</v>
      </c>
      <c r="AA157" s="386">
        <f t="shared" si="63"/>
        <v>18.782036657751267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5.412071746547837E-2</v>
      </c>
      <c r="AD157" s="231">
        <f>(INDEX(Models!$BJ157:$BT157,,AH157)*(1-AF157)+INDEX(Models!$BJ157:$BT157,,AH157+1)*AF157-ERP_i)*AE157*Ramure*Pc/MaxiM</f>
        <v>4.9662235449360534E-3</v>
      </c>
      <c r="AE157" s="305">
        <f t="shared" si="65"/>
        <v>0.7</v>
      </c>
      <c r="AF157" s="177">
        <f t="shared" si="66"/>
        <v>0.66115156039012635</v>
      </c>
      <c r="AG157" s="919">
        <f t="shared" si="74"/>
        <v>1</v>
      </c>
      <c r="AH157" s="176">
        <f t="shared" si="67"/>
        <v>7</v>
      </c>
      <c r="AI157" s="225">
        <f t="shared" si="68"/>
        <v>1.6611515603901263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1090">
        <f>IF(t&gt;Tmaj,'2024'!Wh/'2024'!Env_an*'2025'!Env_an,0.001*[7]mois!$B$61)</f>
        <v>16.690202799534063</v>
      </c>
      <c r="C158" s="953"/>
      <c r="D158" s="393">
        <f t="shared" si="50"/>
        <v>17.652003100771612</v>
      </c>
      <c r="E158" s="385">
        <f t="shared" si="72"/>
        <v>17.859870626489293</v>
      </c>
      <c r="F158" s="385">
        <f t="shared" si="51"/>
        <v>17.859870626489293</v>
      </c>
      <c r="G158" s="110">
        <f t="shared" si="73"/>
        <v>0.29893935314546655</v>
      </c>
      <c r="H158" s="412" t="b">
        <f>Wh_hp&gt;='2024'!Maxi_hp</f>
        <v>0</v>
      </c>
      <c r="I158" s="390">
        <f>IF(H158,Wh_hp,'2024'!Maxi_hp)</f>
        <v>25.770368698840517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5.448675120590174E-2</v>
      </c>
      <c r="M158" s="957"/>
      <c r="N158" s="957"/>
      <c r="O158" s="48">
        <f>IF(t&lt;Tnet,'2024'!Resal+('2024'!Salim-'2024'!Resal)*(1-EXP(('2024'!Tnet-t)/('2024'!Tau_j))),Resal+(Salim-Resal)*(1-EXP((Tnet-t)/(Tau_j))))*Salcycl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2.1715914941062488E-4</v>
      </c>
      <c r="Q158" s="305">
        <f t="shared" si="53"/>
        <v>0.7</v>
      </c>
      <c r="R158" s="177">
        <f t="shared" si="54"/>
        <v>0.14069777354697699</v>
      </c>
      <c r="S158" s="919">
        <f t="shared" si="55"/>
        <v>-2</v>
      </c>
      <c r="T158" s="176">
        <f t="shared" si="56"/>
        <v>4</v>
      </c>
      <c r="U158" s="251">
        <f t="shared" si="57"/>
        <v>-1.859302226453023</v>
      </c>
      <c r="V158" s="383">
        <f t="shared" si="58"/>
        <v>55.819276363961315</v>
      </c>
      <c r="W158" s="402">
        <f t="shared" si="59"/>
        <v>16.690202799534063</v>
      </c>
      <c r="X158" s="157">
        <f t="shared" si="60"/>
        <v>45801</v>
      </c>
      <c r="Y158" s="385">
        <f t="shared" si="61"/>
        <v>15.970568558358552</v>
      </c>
      <c r="Z158" s="385">
        <f t="shared" si="62"/>
        <v>16.890898756550811</v>
      </c>
      <c r="AA158" s="386">
        <f t="shared" si="63"/>
        <v>17.859870626489293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5.4254137121314251E-2</v>
      </c>
      <c r="AD158" s="231">
        <f>(INDEX(Models!$BJ158:$BT158,,AH158)*(1-AF158)+INDEX(Models!$BJ158:$BT158,,AH158+1)*AF158-ERP_i)*AE158*Ramure*Pc/MaxiM</f>
        <v>5.1326306497492848E-3</v>
      </c>
      <c r="AE158" s="305">
        <f t="shared" si="65"/>
        <v>0.7</v>
      </c>
      <c r="AF158" s="177">
        <f t="shared" si="66"/>
        <v>0.66568533992095591</v>
      </c>
      <c r="AG158" s="919">
        <f t="shared" si="74"/>
        <v>1</v>
      </c>
      <c r="AH158" s="176">
        <f t="shared" si="67"/>
        <v>7</v>
      </c>
      <c r="AI158" s="225">
        <f t="shared" si="68"/>
        <v>1.6656853399209559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1090">
        <f>IF(t&gt;Tmaj,'2024'!Wh/'2024'!Env_an*'2025'!Env_an,0.001*[7]mois!$B$62)</f>
        <v>38.881281383627758</v>
      </c>
      <c r="C159" s="953"/>
      <c r="D159" s="393">
        <f t="shared" si="50"/>
        <v>41.122779666724817</v>
      </c>
      <c r="E159" s="385">
        <f t="shared" si="72"/>
        <v>41.613315233723362</v>
      </c>
      <c r="F159" s="385">
        <f t="shared" si="51"/>
        <v>41.618807548383991</v>
      </c>
      <c r="G159" s="110">
        <f t="shared" si="73"/>
        <v>0.69673288559617841</v>
      </c>
      <c r="H159" s="412" t="b">
        <f>Wh_hp&gt;='2024'!Maxi_hp</f>
        <v>0</v>
      </c>
      <c r="I159" s="390">
        <f>IF(H159,Wh_hp,'2024'!Maxi_hp)</f>
        <v>55.122596698708996</v>
      </c>
      <c r="J159" s="85">
        <f>IF(H159,An,'2024'!An_max)</f>
        <v>2021</v>
      </c>
      <c r="K159" s="197">
        <f t="shared" si="52"/>
        <v>45802</v>
      </c>
      <c r="L159" s="147">
        <f>IF(t&lt;Tvie,1-EXP((T0-t)*PertePVj)+'2024'!Pspv,1-EXP((T0-t)*PertePVj)+Pspv)</f>
        <v>5.4507460372646088E-2</v>
      </c>
      <c r="M159" s="957"/>
      <c r="N159" s="957"/>
      <c r="O159" s="48">
        <f>IF(t&lt;Tnet,'2024'!Resal+('2024'!Salim-'2024'!Resal)*(1-EXP(('2024'!Tnet-t)/('2024'!Tau_j))),Resal+(Salim-Resal)*(1-EXP((Tnet-t)/(Tau_j))))*Salcycl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2.3280306738225344E-4</v>
      </c>
      <c r="Q159" s="305">
        <f t="shared" si="53"/>
        <v>0.7</v>
      </c>
      <c r="R159" s="177">
        <f t="shared" si="54"/>
        <v>0.14529453896469402</v>
      </c>
      <c r="S159" s="919">
        <f t="shared" si="55"/>
        <v>-2</v>
      </c>
      <c r="T159" s="176">
        <f t="shared" si="56"/>
        <v>4</v>
      </c>
      <c r="U159" s="251">
        <f t="shared" si="57"/>
        <v>-1.854705461035306</v>
      </c>
      <c r="V159" s="383">
        <f t="shared" si="58"/>
        <v>55.799519499518468</v>
      </c>
      <c r="W159" s="402">
        <f t="shared" si="59"/>
        <v>38.881281383627758</v>
      </c>
      <c r="X159" s="157">
        <f t="shared" si="60"/>
        <v>45802</v>
      </c>
      <c r="Y159" s="385">
        <f t="shared" si="61"/>
        <v>37.098292168601915</v>
      </c>
      <c r="Z159" s="385">
        <f t="shared" si="62"/>
        <v>39.237001471448345</v>
      </c>
      <c r="AA159" s="386">
        <f t="shared" si="63"/>
        <v>41.493747652194394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5.4387620025608853E-2</v>
      </c>
      <c r="AD159" s="231">
        <f>(INDEX(Models!$BJ159:$BT159,,AH159)*(1-AF159)+INDEX(Models!$BJ159:$BT159,,AH159+1)*AF159-ERP_i)*AE159*Ramure*Pc/MaxiM</f>
        <v>5.3009212396657275E-3</v>
      </c>
      <c r="AE159" s="305">
        <f t="shared" si="65"/>
        <v>0.7</v>
      </c>
      <c r="AF159" s="177">
        <f t="shared" si="66"/>
        <v>0.67028210533867294</v>
      </c>
      <c r="AG159" s="919">
        <f t="shared" si="74"/>
        <v>1</v>
      </c>
      <c r="AH159" s="176">
        <f t="shared" si="67"/>
        <v>7</v>
      </c>
      <c r="AI159" s="225">
        <f t="shared" si="68"/>
        <v>1.6702821053386729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1090">
        <f>IF(t&gt;Tmaj,'2024'!Wh/'2024'!Env_an*'2025'!Env_an,0.001*[7]mois!$B$63)</f>
        <v>26.460105541349865</v>
      </c>
      <c r="C160" s="953"/>
      <c r="D160" s="393">
        <f t="shared" si="50"/>
        <v>27.98613842970353</v>
      </c>
      <c r="E160" s="385">
        <f t="shared" si="72"/>
        <v>28.324248803929041</v>
      </c>
      <c r="F160" s="385">
        <f t="shared" si="51"/>
        <v>28.326007242329247</v>
      </c>
      <c r="G160" s="110">
        <f t="shared" si="73"/>
        <v>0.47429758427829927</v>
      </c>
      <c r="H160" s="412" t="b">
        <f>Wh_hp&gt;='2024'!Maxi_hp</f>
        <v>0</v>
      </c>
      <c r="I160" s="390">
        <f>IF(H160,Wh_hp,'2024'!Maxi_hp)</f>
        <v>58.823190702914935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5.4528169085806599E-2</v>
      </c>
      <c r="M160" s="957"/>
      <c r="N160" s="957"/>
      <c r="O160" s="48">
        <f>IF(t&lt;Tnet,'2024'!Resal+('2024'!Salim-'2024'!Resal)*(1-EXP(('2024'!Tnet-t)/('2024'!Tau_j))),Resal+(Salim-Resal)*(1-EXP((Tnet-t)/(Tau_j))))*Salcycl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2.4918812632080209E-4</v>
      </c>
      <c r="Q160" s="305">
        <f t="shared" si="53"/>
        <v>0.7</v>
      </c>
      <c r="R160" s="177">
        <f t="shared" si="54"/>
        <v>0.14995165130552635</v>
      </c>
      <c r="S160" s="919">
        <f t="shared" si="55"/>
        <v>-2</v>
      </c>
      <c r="T160" s="176">
        <f t="shared" si="56"/>
        <v>4</v>
      </c>
      <c r="U160" s="251">
        <f t="shared" si="57"/>
        <v>-1.8500483486944737</v>
      </c>
      <c r="V160" s="383">
        <f t="shared" si="58"/>
        <v>55.777543830382726</v>
      </c>
      <c r="W160" s="402">
        <f t="shared" si="59"/>
        <v>26.460105541349865</v>
      </c>
      <c r="X160" s="157">
        <f t="shared" si="60"/>
        <v>45803</v>
      </c>
      <c r="Y160" s="385">
        <f t="shared" si="61"/>
        <v>25.28677561350688</v>
      </c>
      <c r="Z160" s="385">
        <f t="shared" si="62"/>
        <v>26.745139079454805</v>
      </c>
      <c r="AA160" s="386">
        <f t="shared" si="63"/>
        <v>28.287399815231009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5.452112056428008E-2</v>
      </c>
      <c r="AD160" s="231">
        <f>(INDEX(Models!$BJ160:$BT160,,AH160)*(1-AF160)+INDEX(Models!$BJ160:$BT160,,AH160+1)*AF160-ERP_i)*AE160*Ramure*Pc/MaxiM</f>
        <v>5.4710545558771988E-3</v>
      </c>
      <c r="AE160" s="305">
        <f t="shared" si="65"/>
        <v>0.7</v>
      </c>
      <c r="AF160" s="177">
        <f t="shared" si="66"/>
        <v>0.67493921767950527</v>
      </c>
      <c r="AG160" s="919">
        <f t="shared" si="74"/>
        <v>1</v>
      </c>
      <c r="AH160" s="176">
        <f t="shared" si="67"/>
        <v>7</v>
      </c>
      <c r="AI160" s="225">
        <f t="shared" si="68"/>
        <v>1.6749392176795053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1090">
        <f>IF(t&gt;Tmaj,'2024'!Wh/'2024'!Env_an*'2025'!Env_an,0.001*[7]mois!$B$64)</f>
        <v>42.171547723001552</v>
      </c>
      <c r="C161" s="953"/>
      <c r="D161" s="393">
        <f t="shared" si="50"/>
        <v>44.604683111056708</v>
      </c>
      <c r="E161" s="385">
        <f t="shared" si="72"/>
        <v>45.150386729602722</v>
      </c>
      <c r="F161" s="385">
        <f t="shared" si="51"/>
        <v>45.158228145150346</v>
      </c>
      <c r="G161" s="110">
        <f t="shared" si="73"/>
        <v>0.75632337729108345</v>
      </c>
      <c r="H161" s="412" t="b">
        <f>Wh_hp&gt;='2024'!Maxi_hp</f>
        <v>0</v>
      </c>
      <c r="I161" s="390">
        <f>IF(H161,Wh_hp,'2024'!Maxi_hp)</f>
        <v>60.55384086599669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5.4548877345393043E-2</v>
      </c>
      <c r="M161" s="957"/>
      <c r="N161" s="957"/>
      <c r="O161" s="48">
        <f>IF(t&lt;Tnet,'2024'!Resal+('2024'!Salim-'2024'!Resal)*(1-EXP(('2024'!Tnet-t)/('2024'!Tau_j))),Resal+(Salim-Resal)*(1-EXP((Tnet-t)/(Tau_j))))*Salcycl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2.6632759661574044E-4</v>
      </c>
      <c r="Q161" s="305">
        <f t="shared" si="53"/>
        <v>0.7</v>
      </c>
      <c r="R161" s="177">
        <f t="shared" si="54"/>
        <v>0.15466629869650217</v>
      </c>
      <c r="S161" s="919">
        <f t="shared" si="55"/>
        <v>-2</v>
      </c>
      <c r="T161" s="176">
        <f t="shared" si="56"/>
        <v>4</v>
      </c>
      <c r="U161" s="251">
        <f t="shared" si="57"/>
        <v>-1.8453337013034978</v>
      </c>
      <c r="V161" s="383">
        <f t="shared" si="58"/>
        <v>55.75345105330571</v>
      </c>
      <c r="W161" s="402">
        <f t="shared" si="59"/>
        <v>42.171547723001552</v>
      </c>
      <c r="X161" s="157">
        <f t="shared" si="60"/>
        <v>45804</v>
      </c>
      <c r="Y161" s="385">
        <f t="shared" si="61"/>
        <v>40.212928605646525</v>
      </c>
      <c r="Z161" s="385">
        <f t="shared" si="62"/>
        <v>42.533059237095166</v>
      </c>
      <c r="AA161" s="386">
        <f t="shared" si="63"/>
        <v>44.992083200544805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5.4654592286579456E-2</v>
      </c>
      <c r="AD161" s="231">
        <f>(INDEX(Models!$BJ161:$BT161,,AH161)*(1-AF161)+INDEX(Models!$BJ161:$BT161,,AH161+1)*AF161-ERP_i)*AE161*Ramure*Pc/MaxiM</f>
        <v>5.6429841675770618E-3</v>
      </c>
      <c r="AE161" s="305">
        <f t="shared" si="65"/>
        <v>0.7</v>
      </c>
      <c r="AF161" s="177">
        <f t="shared" si="66"/>
        <v>0.67965386507048109</v>
      </c>
      <c r="AG161" s="919">
        <f t="shared" si="74"/>
        <v>1</v>
      </c>
      <c r="AH161" s="176">
        <f t="shared" si="67"/>
        <v>7</v>
      </c>
      <c r="AI161" s="225">
        <f t="shared" si="68"/>
        <v>1.6796538650704811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1090">
        <f>IF(t&gt;Tmaj,'2024'!Wh/'2024'!Env_an*'2025'!Env_an,0.001*[7]mois!$B$65)</f>
        <v>51.946464999995833</v>
      </c>
      <c r="C162" s="953"/>
      <c r="D162" s="393">
        <f t="shared" si="50"/>
        <v>54.944778784502425</v>
      </c>
      <c r="E162" s="385">
        <f t="shared" si="72"/>
        <v>55.625388685525579</v>
      </c>
      <c r="F162" s="385">
        <f t="shared" si="51"/>
        <v>55.639670540694851</v>
      </c>
      <c r="G162" s="110">
        <f t="shared" si="73"/>
        <v>0.9321283030998595</v>
      </c>
      <c r="H162" s="412" t="b">
        <f>Wh_hp&gt;='2024'!Maxi_hp</f>
        <v>0</v>
      </c>
      <c r="I162" s="390">
        <f>IF(H162,Wh_hp,'2024'!Maxi_hp)</f>
        <v>57.676626455771242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5.4569585151415523E-2</v>
      </c>
      <c r="M162" s="957"/>
      <c r="N162" s="957"/>
      <c r="O162" s="48">
        <f>IF(t&lt;Tnet,'2024'!Resal+('2024'!Salim-'2024'!Resal)*(1-EXP(('2024'!Tnet-t)/('2024'!Tau_j))),Resal+(Salim-Resal)*(1-EXP((Tnet-t)/(Tau_j))))*Salcycl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2.8423347970349129E-4</v>
      </c>
      <c r="Q162" s="305">
        <f t="shared" si="53"/>
        <v>0.7</v>
      </c>
      <c r="R162" s="177">
        <f t="shared" si="54"/>
        <v>0.15943550107804461</v>
      </c>
      <c r="S162" s="919">
        <f t="shared" si="55"/>
        <v>-2</v>
      </c>
      <c r="T162" s="176">
        <f t="shared" si="56"/>
        <v>4</v>
      </c>
      <c r="U162" s="251">
        <f t="shared" si="57"/>
        <v>-1.8405644989219554</v>
      </c>
      <c r="V162" s="383">
        <f t="shared" si="58"/>
        <v>55.727342900038913</v>
      </c>
      <c r="W162" s="402">
        <f t="shared" si="59"/>
        <v>51.946464999995833</v>
      </c>
      <c r="X162" s="157">
        <f t="shared" si="60"/>
        <v>45805</v>
      </c>
      <c r="Y162" s="385">
        <f t="shared" si="61"/>
        <v>49.460219246093914</v>
      </c>
      <c r="Z162" s="385">
        <f t="shared" si="62"/>
        <v>52.315028657096057</v>
      </c>
      <c r="AA162" s="386">
        <f t="shared" si="63"/>
        <v>55.347401425224348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5.4787988054418368E-2</v>
      </c>
      <c r="AD162" s="231">
        <f>(INDEX(Models!$BJ162:$BT162,,AH162)*(1-AF162)+INDEX(Models!$BJ162:$BT162,,AH162+1)*AF162-ERP_i)*AE162*Ramure*Pc/MaxiM</f>
        <v>5.8166580402497755E-3</v>
      </c>
      <c r="AE162" s="305">
        <f t="shared" si="65"/>
        <v>0.7</v>
      </c>
      <c r="AF162" s="177">
        <f t="shared" si="66"/>
        <v>0.68442306745202353</v>
      </c>
      <c r="AG162" s="919">
        <f t="shared" si="74"/>
        <v>1</v>
      </c>
      <c r="AH162" s="176">
        <f t="shared" si="67"/>
        <v>7</v>
      </c>
      <c r="AI162" s="225">
        <f t="shared" si="68"/>
        <v>1.6844230674520235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1090">
        <f>IF(t&gt;Tmaj,'2024'!Wh/'2024'!Env_an*'2025'!Env_an,0.001*[7]mois!$B$66)</f>
        <v>56.246657444144596</v>
      </c>
      <c r="C163" s="953"/>
      <c r="D163" s="393">
        <f t="shared" si="50"/>
        <v>59.494478423658101</v>
      </c>
      <c r="E163" s="385">
        <f t="shared" si="72"/>
        <v>60.240548669092419</v>
      </c>
      <c r="F163" s="385">
        <f t="shared" si="51"/>
        <v>60.258802059722214</v>
      </c>
      <c r="G163" s="110">
        <f t="shared" si="73"/>
        <v>1.0098272319624233</v>
      </c>
      <c r="H163" s="412" t="b">
        <f>Wh_hp&gt;='2024'!Maxi_hp</f>
        <v>1</v>
      </c>
      <c r="I163" s="390">
        <f>IF(H163,Wh_hp,'2024'!Maxi_hp)</f>
        <v>60.258802059722214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5.4590292503883919E-2</v>
      </c>
      <c r="M163" s="957"/>
      <c r="N163" s="957"/>
      <c r="O163" s="48">
        <f>IF(t&lt;Tnet,'2024'!Resal+('2024'!Salim-'2024'!Resal)*(1-EXP(('2024'!Tnet-t)/('2024'!Tau_j))),Resal+(Salim-Resal)*(1-EXP((Tnet-t)/(Tau_j))))*Salcycl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3.0291658655442078E-4</v>
      </c>
      <c r="Q163" s="305">
        <f t="shared" si="53"/>
        <v>0.7</v>
      </c>
      <c r="R163" s="177">
        <f t="shared" si="54"/>
        <v>0.16425611590926659</v>
      </c>
      <c r="S163" s="919">
        <f t="shared" si="55"/>
        <v>-2</v>
      </c>
      <c r="T163" s="176">
        <f t="shared" si="56"/>
        <v>4</v>
      </c>
      <c r="U163" s="251">
        <f t="shared" si="57"/>
        <v>-1.8357438840907334</v>
      </c>
      <c r="V163" s="383">
        <f t="shared" si="58"/>
        <v>55.699287624516735</v>
      </c>
      <c r="W163" s="402">
        <f t="shared" si="59"/>
        <v>56.246657444144596</v>
      </c>
      <c r="X163" s="157">
        <f t="shared" si="60"/>
        <v>45806</v>
      </c>
      <c r="Y163" s="385">
        <f t="shared" si="61"/>
        <v>53.517820001327877</v>
      </c>
      <c r="Z163" s="385">
        <f t="shared" si="62"/>
        <v>56.608071164265823</v>
      </c>
      <c r="AA163" s="386">
        <f t="shared" si="63"/>
        <v>59.89772997771388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5.492126019921019E-2</v>
      </c>
      <c r="AD163" s="231">
        <f>(INDEX(Models!$BJ163:$BT163,,AH163)*(1-AF163)+INDEX(Models!$BJ163:$BT163,,AH163+1)*AF163-ERP_i)*AE163*Ramure*Pc/MaxiM</f>
        <v>5.9920222385183679E-3</v>
      </c>
      <c r="AE163" s="305">
        <f t="shared" si="65"/>
        <v>0.7</v>
      </c>
      <c r="AF163" s="177">
        <f t="shared" si="66"/>
        <v>0.68924368228324551</v>
      </c>
      <c r="AG163" s="919">
        <f t="shared" si="74"/>
        <v>1</v>
      </c>
      <c r="AH163" s="176">
        <f t="shared" si="67"/>
        <v>7</v>
      </c>
      <c r="AI163" s="225">
        <f t="shared" si="68"/>
        <v>1.6892436822832455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1090">
        <f>IF(t&gt;Tmaj,'2024'!Wh/'2024'!Env_an*'2025'!Env_an,0.001*[7]mois!$B$67)</f>
        <v>47.132012404982824</v>
      </c>
      <c r="C164" s="953"/>
      <c r="D164" s="393">
        <f t="shared" si="50"/>
        <v>49.854623202946136</v>
      </c>
      <c r="E164" s="385">
        <f t="shared" si="72"/>
        <v>50.487437962467901</v>
      </c>
      <c r="F164" s="385">
        <f t="shared" si="51"/>
        <v>50.500146445163793</v>
      </c>
      <c r="G164" s="110">
        <f t="shared" si="73"/>
        <v>0.84658412887622381</v>
      </c>
      <c r="H164" s="412" t="b">
        <f>Wh_hp&gt;='2024'!Maxi_hp</f>
        <v>0</v>
      </c>
      <c r="I164" s="390">
        <f>IF(H164,Wh_hp,'2024'!Maxi_hp)</f>
        <v>58.524365554999449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5.4610999402808114E-2</v>
      </c>
      <c r="M164" s="957"/>
      <c r="N164" s="957"/>
      <c r="O164" s="48">
        <f>IF(t&lt;Tnet,'2024'!Resal+('2024'!Salim-'2024'!Resal)*(1-EXP(('2024'!Tnet-t)/('2024'!Tau_j))),Resal+(Salim-Resal)*(1-EXP((Tnet-t)/(Tau_j))))*Salcycl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3.2225123136027492E-4</v>
      </c>
      <c r="Q164" s="305">
        <f t="shared" si="53"/>
        <v>0.7</v>
      </c>
      <c r="R164" s="177">
        <f t="shared" si="54"/>
        <v>0.16912484484935408</v>
      </c>
      <c r="S164" s="919">
        <f t="shared" si="55"/>
        <v>-2</v>
      </c>
      <c r="T164" s="176">
        <f t="shared" si="56"/>
        <v>4</v>
      </c>
      <c r="U164" s="251">
        <f t="shared" si="57"/>
        <v>-1.8308751551506459</v>
      </c>
      <c r="V164" s="383">
        <f t="shared" si="58"/>
        <v>55.669227067412876</v>
      </c>
      <c r="W164" s="402">
        <f t="shared" si="59"/>
        <v>47.132012404982824</v>
      </c>
      <c r="X164" s="157">
        <f t="shared" si="60"/>
        <v>45807</v>
      </c>
      <c r="Y164" s="385">
        <f t="shared" si="61"/>
        <v>44.896598295282246</v>
      </c>
      <c r="Z164" s="385">
        <f t="shared" si="62"/>
        <v>47.490078969526358</v>
      </c>
      <c r="AA164" s="386">
        <f t="shared" si="63"/>
        <v>50.256942826863735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5.5054360685433637E-2</v>
      </c>
      <c r="AD164" s="231">
        <f>(INDEX(Models!$BJ164:$BT164,,AH164)*(1-AF164)+INDEX(Models!$BJ164:$BT164,,AH164+1)*AF164-ERP_i)*AE164*Ramure*Pc/MaxiM</f>
        <v>6.1669569329289792E-3</v>
      </c>
      <c r="AE164" s="305">
        <f t="shared" si="65"/>
        <v>0.7</v>
      </c>
      <c r="AF164" s="177">
        <f t="shared" si="66"/>
        <v>0.694112411223333</v>
      </c>
      <c r="AG164" s="919">
        <f t="shared" si="74"/>
        <v>1</v>
      </c>
      <c r="AH164" s="176">
        <f t="shared" si="67"/>
        <v>7</v>
      </c>
      <c r="AI164" s="225">
        <f t="shared" si="68"/>
        <v>1.694112411223333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1090">
        <f>IF(t&gt;Tmaj,'2024'!Wh/'2024'!Env_an*'2025'!Env_an,0.001*[7]mois!$B$68)</f>
        <v>52.371667397277584</v>
      </c>
      <c r="C165" s="953"/>
      <c r="D165" s="393">
        <f t="shared" si="50"/>
        <v>55.398163574193276</v>
      </c>
      <c r="E165" s="385">
        <f t="shared" si="72"/>
        <v>56.109823600948069</v>
      </c>
      <c r="F165" s="385">
        <f t="shared" si="51"/>
        <v>56.127421862228182</v>
      </c>
      <c r="G165" s="110">
        <f t="shared" si="73"/>
        <v>0.94128197219807519</v>
      </c>
      <c r="H165" s="412" t="b">
        <f>Wh_hp&gt;='2024'!Maxi_hp</f>
        <v>0</v>
      </c>
      <c r="I165" s="390">
        <f>IF(H165,Wh_hp,'2024'!Maxi_hp)</f>
        <v>59.313017833892296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5.4631705848198098E-2</v>
      </c>
      <c r="M165" s="957"/>
      <c r="N165" s="957"/>
      <c r="O165" s="48">
        <f>IF(t&lt;Tnet,'2024'!Resal+('2024'!Salim-'2024'!Resal)*(1-EXP(('2024'!Tnet-t)/('2024'!Tau_j))),Resal+(Salim-Resal)*(1-EXP((Tnet-t)/(Tau_j))))*Salcycl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3.422357536720193E-4</v>
      </c>
      <c r="Q165" s="305">
        <f t="shared" si="53"/>
        <v>0.7</v>
      </c>
      <c r="R165" s="177">
        <f t="shared" si="54"/>
        <v>0.17403824139898072</v>
      </c>
      <c r="S165" s="919">
        <f t="shared" si="55"/>
        <v>-2</v>
      </c>
      <c r="T165" s="176">
        <f t="shared" si="56"/>
        <v>4</v>
      </c>
      <c r="U165" s="251">
        <f t="shared" si="57"/>
        <v>-1.8259617586010193</v>
      </c>
      <c r="V165" s="383">
        <f t="shared" si="58"/>
        <v>55.637062743237827</v>
      </c>
      <c r="W165" s="402">
        <f t="shared" si="59"/>
        <v>52.371667397277584</v>
      </c>
      <c r="X165" s="157">
        <f t="shared" si="60"/>
        <v>45808</v>
      </c>
      <c r="Y165" s="385">
        <f t="shared" si="61"/>
        <v>49.841516622280167</v>
      </c>
      <c r="Z165" s="385">
        <f t="shared" si="62"/>
        <v>52.721798404502977</v>
      </c>
      <c r="AA165" s="386">
        <f t="shared" si="63"/>
        <v>55.801319275081667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5.5187241280043771E-2</v>
      </c>
      <c r="AD165" s="231">
        <f>(INDEX(Models!$BJ165:$BT165,,AH165)*(1-AF165)+INDEX(Models!$BJ165:$BT165,,AH165+1)*AF165-ERP_i)*AE165*Ramure*Pc/MaxiM</f>
        <v>6.3417608654679422E-3</v>
      </c>
      <c r="AE165" s="305">
        <f t="shared" si="65"/>
        <v>0.7</v>
      </c>
      <c r="AF165" s="177">
        <f t="shared" si="66"/>
        <v>0.69902580777295964</v>
      </c>
      <c r="AG165" s="919">
        <f t="shared" si="74"/>
        <v>1</v>
      </c>
      <c r="AH165" s="176">
        <f t="shared" si="67"/>
        <v>7</v>
      </c>
      <c r="AI165" s="225">
        <f t="shared" si="68"/>
        <v>1.6990258077729596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1090">
        <f>IF(t&gt;Tmaj,'2024'!Wh/'2024'!Env_an*'2025'!Env_an,0.001*'[8]mon-tableau'!$B$37)</f>
        <v>53.235682286188414</v>
      </c>
      <c r="C166" s="953"/>
      <c r="D166" s="393">
        <f t="shared" si="50"/>
        <v>56.313342259441903</v>
      </c>
      <c r="E166" s="385">
        <f t="shared" si="72"/>
        <v>57.045380055753697</v>
      </c>
      <c r="F166" s="385">
        <f t="shared" si="51"/>
        <v>57.064827515474299</v>
      </c>
      <c r="G166" s="110">
        <f t="shared" si="73"/>
        <v>0.95740873025428852</v>
      </c>
      <c r="H166" s="412" t="b">
        <f>Wh_hp&gt;='2024'!Maxi_hp</f>
        <v>0</v>
      </c>
      <c r="I166" s="390">
        <f>IF(H166,Wh_hp,'2024'!Maxi_hp)</f>
        <v>60.331915443766647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5.4652411840063864E-2</v>
      </c>
      <c r="M166" s="957"/>
      <c r="N166" s="957"/>
      <c r="O166" s="48">
        <f>IF(t&lt;Tnet,'2024'!Resal+('2024'!Salim-'2024'!Resal)*(1-EXP(('2024'!Tnet-t)/('2024'!Tau_j))),Resal+(Salim-Resal)*(1-EXP((Tnet-t)/(Tau_j))))*Salcycl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3.6286324719127662E-4</v>
      </c>
      <c r="Q166" s="305">
        <f t="shared" si="53"/>
        <v>0.7</v>
      </c>
      <c r="R166" s="177">
        <f t="shared" si="54"/>
        <v>0.17899271947606321</v>
      </c>
      <c r="S166" s="919">
        <f t="shared" si="55"/>
        <v>-2</v>
      </c>
      <c r="T166" s="176">
        <f t="shared" si="56"/>
        <v>4</v>
      </c>
      <c r="U166" s="251">
        <f t="shared" si="57"/>
        <v>-1.8210072805239368</v>
      </c>
      <c r="V166" s="383">
        <f t="shared" si="58"/>
        <v>55.602696563785983</v>
      </c>
      <c r="W166" s="402">
        <f t="shared" si="59"/>
        <v>53.235682286188414</v>
      </c>
      <c r="X166" s="157">
        <f t="shared" si="60"/>
        <v>45809</v>
      </c>
      <c r="Y166" s="385">
        <f t="shared" si="61"/>
        <v>50.649917378895317</v>
      </c>
      <c r="Z166" s="385">
        <f t="shared" si="62"/>
        <v>53.578089174038539</v>
      </c>
      <c r="AA166" s="386">
        <f t="shared" si="63"/>
        <v>56.71558715974426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5.5319853726784024E-2</v>
      </c>
      <c r="AD166" s="231">
        <f>(INDEX(Models!$BJ166:$BT166,,AH166)*(1-AF166)+INDEX(Models!$BJ166:$BT166,,AH166+1)*AF166-ERP_i)*AE166*Ramure*Pc/MaxiM</f>
        <v>6.5163518192640447E-3</v>
      </c>
      <c r="AE166" s="305">
        <f t="shared" si="65"/>
        <v>0.7</v>
      </c>
      <c r="AF166" s="177">
        <f t="shared" si="66"/>
        <v>0.70398028585004213</v>
      </c>
      <c r="AG166" s="919">
        <f t="shared" si="74"/>
        <v>1</v>
      </c>
      <c r="AH166" s="176">
        <f t="shared" si="67"/>
        <v>7</v>
      </c>
      <c r="AI166" s="225">
        <f t="shared" si="68"/>
        <v>1.7039802858500421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1090">
        <f>IF(t&gt;Tmaj,'2024'!Wh/'2024'!Env_an*'2025'!Env_an,0.001*'[8]mon-tableau'!$B$38)</f>
        <v>42.144178791252401</v>
      </c>
      <c r="C167" s="953"/>
      <c r="D167" s="393">
        <f t="shared" si="50"/>
        <v>44.581593484761562</v>
      </c>
      <c r="E167" s="385">
        <f t="shared" si="72"/>
        <v>45.167951290445018</v>
      </c>
      <c r="F167" s="385">
        <f t="shared" si="51"/>
        <v>45.179317306351628</v>
      </c>
      <c r="G167" s="110">
        <f t="shared" si="73"/>
        <v>0.75835165319942632</v>
      </c>
      <c r="H167" s="412" t="b">
        <f>Wh_hp&gt;='2024'!Maxi_hp</f>
        <v>0</v>
      </c>
      <c r="I167" s="390">
        <f>IF(H167,Wh_hp,'2024'!Maxi_hp)</f>
        <v>59.300139796564821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5.4673117378415181E-2</v>
      </c>
      <c r="M167" s="957"/>
      <c r="N167" s="957"/>
      <c r="O167" s="48">
        <f>IF(t&lt;Tnet,'2024'!Resal+('2024'!Salim-'2024'!Resal)*(1-EXP(('2024'!Tnet-t)/('2024'!Tau_j))),Resal+(Salim-Resal)*(1-EXP((Tnet-t)/(Tau_j))))*Salcycl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3.841249917909797E-4</v>
      </c>
      <c r="Q167" s="305">
        <f t="shared" si="53"/>
        <v>0.7</v>
      </c>
      <c r="R167" s="177">
        <f t="shared" si="54"/>
        <v>0.18398456289047571</v>
      </c>
      <c r="S167" s="919">
        <f t="shared" si="55"/>
        <v>-2</v>
      </c>
      <c r="T167" s="176">
        <f t="shared" si="56"/>
        <v>4</v>
      </c>
      <c r="U167" s="251">
        <f t="shared" si="57"/>
        <v>-1.8160154371095243</v>
      </c>
      <c r="V167" s="383">
        <f t="shared" si="58"/>
        <v>55.566030646093346</v>
      </c>
      <c r="W167" s="402">
        <f t="shared" si="59"/>
        <v>42.144178791252401</v>
      </c>
      <c r="X167" s="157">
        <f t="shared" si="60"/>
        <v>45810</v>
      </c>
      <c r="Y167" s="385">
        <f t="shared" si="61"/>
        <v>40.164134477189585</v>
      </c>
      <c r="Z167" s="385">
        <f t="shared" si="62"/>
        <v>42.487033020584612</v>
      </c>
      <c r="AA167" s="386">
        <f t="shared" si="63"/>
        <v>44.981345325367535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5.545214992438742E-2</v>
      </c>
      <c r="AD167" s="231">
        <f>(INDEX(Models!$BJ167:$BT167,,AH167)*(1-AF167)+INDEX(Models!$BJ167:$BT167,,AH167+1)*AF167-ERP_i)*AE167*Ramure*Pc/MaxiM</f>
        <v>6.6906457104400751E-3</v>
      </c>
      <c r="AE167" s="305">
        <f t="shared" si="65"/>
        <v>0.7</v>
      </c>
      <c r="AF167" s="177">
        <f t="shared" si="66"/>
        <v>0.70897212926445463</v>
      </c>
      <c r="AG167" s="919">
        <f t="shared" si="74"/>
        <v>1</v>
      </c>
      <c r="AH167" s="176">
        <f t="shared" si="67"/>
        <v>7</v>
      </c>
      <c r="AI167" s="225">
        <f t="shared" si="68"/>
        <v>1.7089721292644546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1090">
        <f>IF(t&gt;Tmaj,'2024'!Wh/'2024'!Env_an*'2025'!Env_an,0.001*'[8]mon-tableau'!$B$39)</f>
        <v>52.942117618076843</v>
      </c>
      <c r="C168" s="953"/>
      <c r="D168" s="393">
        <f t="shared" si="50"/>
        <v>56.005259328816059</v>
      </c>
      <c r="E168" s="385">
        <f t="shared" si="72"/>
        <v>56.750440231911696</v>
      </c>
      <c r="F168" s="385">
        <f t="shared" si="51"/>
        <v>56.771957373225192</v>
      </c>
      <c r="G168" s="110">
        <f t="shared" si="73"/>
        <v>0.95342299756400906</v>
      </c>
      <c r="H168" s="412" t="b">
        <f>Wh_hp&gt;='2024'!Maxi_hp</f>
        <v>1</v>
      </c>
      <c r="I168" s="390">
        <f>IF(H168,Wh_hp,'2024'!Maxi_hp)</f>
        <v>56.771957373225192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5.4693822463262043E-2</v>
      </c>
      <c r="M168" s="957"/>
      <c r="N168" s="957"/>
      <c r="O168" s="48">
        <f>IF(t&lt;Tnet,'2024'!Resal+('2024'!Salim-'2024'!Resal)*(1-EXP(('2024'!Tnet-t)/('2024'!Tau_j))),Resal+(Salim-Resal)*(1-EXP((Tnet-t)/(Tau_j))))*Salcycl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4.0601045029098348E-4</v>
      </c>
      <c r="Q168" s="305">
        <f t="shared" si="53"/>
        <v>0.7</v>
      </c>
      <c r="R168" s="177">
        <f t="shared" si="54"/>
        <v>0.18900993567274771</v>
      </c>
      <c r="S168" s="919">
        <f t="shared" si="55"/>
        <v>-2</v>
      </c>
      <c r="T168" s="176">
        <f t="shared" si="56"/>
        <v>4</v>
      </c>
      <c r="U168" s="251">
        <f t="shared" si="57"/>
        <v>-1.8109900643272523</v>
      </c>
      <c r="V168" s="383">
        <f t="shared" si="58"/>
        <v>55.526967308289798</v>
      </c>
      <c r="W168" s="402">
        <f t="shared" si="59"/>
        <v>52.942117618076843</v>
      </c>
      <c r="X168" s="157">
        <f t="shared" si="60"/>
        <v>45811</v>
      </c>
      <c r="Y168" s="385">
        <f t="shared" si="61"/>
        <v>50.35907285960635</v>
      </c>
      <c r="Z168" s="385">
        <f t="shared" si="62"/>
        <v>53.272763953400926</v>
      </c>
      <c r="AA168" s="386">
        <f t="shared" si="63"/>
        <v>56.408159735687789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5.5584082107596043E-2</v>
      </c>
      <c r="AD168" s="231">
        <f>(INDEX(Models!$BJ168:$BT168,,AH168)*(1-AF168)+INDEX(Models!$BJ168:$BT168,,AH168+1)*AF168-ERP_i)*AE168*Ramure*Pc/MaxiM</f>
        <v>6.8645569817727412E-3</v>
      </c>
      <c r="AE168" s="305">
        <f t="shared" si="65"/>
        <v>0.7</v>
      </c>
      <c r="AF168" s="177">
        <f t="shared" si="66"/>
        <v>0.71399750204672641</v>
      </c>
      <c r="AG168" s="919">
        <f t="shared" si="74"/>
        <v>1</v>
      </c>
      <c r="AH168" s="176">
        <f t="shared" si="67"/>
        <v>7</v>
      </c>
      <c r="AI168" s="225">
        <f t="shared" si="68"/>
        <v>1.7139975020467264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1090">
        <f>IF(t&gt;Tmaj,'2024'!Wh/'2024'!Env_an*'2025'!Env_an,0.001*'[8]mon-tableau'!$B$40)</f>
        <v>21.927683662627761</v>
      </c>
      <c r="C169" s="953"/>
      <c r="D169" s="393">
        <f t="shared" si="50"/>
        <v>23.196890559665377</v>
      </c>
      <c r="E169" s="385">
        <f t="shared" si="72"/>
        <v>23.509088628790572</v>
      </c>
      <c r="F169" s="385">
        <f t="shared" si="51"/>
        <v>23.510458708646237</v>
      </c>
      <c r="G169" s="110">
        <f t="shared" si="73"/>
        <v>0.39505097339052803</v>
      </c>
      <c r="H169" s="412" t="b">
        <f>Wh_hp&gt;='2024'!Maxi_hp</f>
        <v>0</v>
      </c>
      <c r="I169" s="390">
        <f>IF(H169,Wh_hp,'2024'!Maxi_hp)</f>
        <v>57.111684044434135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5.471452709461444E-2</v>
      </c>
      <c r="M169" s="957"/>
      <c r="N169" s="957"/>
      <c r="O169" s="48">
        <f>IF(t&lt;Tnet,'2024'!Resal+('2024'!Salim-'2024'!Resal)*(1-EXP(('2024'!Tnet-t)/('2024'!Tau_j))),Resal+(Salim-Resal)*(1-EXP((Tnet-t)/(Tau_j))))*Salcycl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4.2850727823156464E-4</v>
      </c>
      <c r="Q169" s="305">
        <f t="shared" si="53"/>
        <v>0.7</v>
      </c>
      <c r="R169" s="177">
        <f t="shared" si="54"/>
        <v>0.19406489320240738</v>
      </c>
      <c r="S169" s="919">
        <f t="shared" si="55"/>
        <v>-2</v>
      </c>
      <c r="T169" s="176">
        <f t="shared" si="56"/>
        <v>4</v>
      </c>
      <c r="U169" s="251">
        <f t="shared" si="57"/>
        <v>-1.8059351067975926</v>
      </c>
      <c r="V169" s="383">
        <f t="shared" si="58"/>
        <v>55.485409066183422</v>
      </c>
      <c r="W169" s="402">
        <f t="shared" si="59"/>
        <v>21.927683662627761</v>
      </c>
      <c r="X169" s="157">
        <f t="shared" si="60"/>
        <v>45812</v>
      </c>
      <c r="Y169" s="385">
        <f t="shared" si="61"/>
        <v>20.965779793149999</v>
      </c>
      <c r="Z169" s="385">
        <f t="shared" si="62"/>
        <v>22.179310265618017</v>
      </c>
      <c r="AA169" s="386">
        <f t="shared" si="63"/>
        <v>23.487955892084713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5.5715603029878775E-2</v>
      </c>
      <c r="AD169" s="231">
        <f>(INDEX(Models!$BJ169:$BT169,,AH169)*(1-AF169)+INDEX(Models!$BJ169:$BT169,,AH169+1)*AF169-ERP_i)*AE169*Ramure*Pc/MaxiM</f>
        <v>7.0379990169606096E-3</v>
      </c>
      <c r="AE169" s="305">
        <f t="shared" si="65"/>
        <v>0.7</v>
      </c>
      <c r="AF169" s="177">
        <f t="shared" si="66"/>
        <v>0.7190524595763863</v>
      </c>
      <c r="AG169" s="919">
        <f t="shared" si="74"/>
        <v>1</v>
      </c>
      <c r="AH169" s="176">
        <f t="shared" si="67"/>
        <v>7</v>
      </c>
      <c r="AI169" s="225">
        <f t="shared" si="68"/>
        <v>1.7190524595763863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1090">
        <f>IF(t&gt;Tmaj,'2024'!Wh/'2024'!Env_an*'2025'!Env_an,0.001*'[8]mon-tableau'!$B$41)</f>
        <v>30.938534680934996</v>
      </c>
      <c r="C170" s="953"/>
      <c r="D170" s="393">
        <f t="shared" si="50"/>
        <v>32.730019889118864</v>
      </c>
      <c r="E170" s="385">
        <f t="shared" ref="E170:E232" si="75">Wh_pvt/(1-Psa)</f>
        <v>33.175529278626712</v>
      </c>
      <c r="F170" s="385">
        <f t="shared" si="51"/>
        <v>33.181049551810254</v>
      </c>
      <c r="G170" s="110">
        <f t="shared" ref="G170:G232" si="76">+Wh_hp/MaxiM</f>
        <v>0.55788250993743427</v>
      </c>
      <c r="H170" s="412" t="b">
        <f>Wh_hp&gt;='2024'!Maxi_hp</f>
        <v>0</v>
      </c>
      <c r="I170" s="390">
        <f>IF(H170,Wh_hp,'2024'!Maxi_hp)</f>
        <v>42.716075181662134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5.4735231272482254E-2</v>
      </c>
      <c r="M170" s="957"/>
      <c r="N170" s="957"/>
      <c r="O170" s="48">
        <f>IF(t&lt;Tnet,'2024'!Resal+('2024'!Salim-'2024'!Resal)*(1-EXP(('2024'!Tnet-t)/('2024'!Tau_j))),Resal+(Salim-Resal)*(1-EXP((Tnet-t)/(Tau_j))))*Salcycl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4.5131404874844107E-4</v>
      </c>
      <c r="Q170" s="305">
        <f t="shared" si="53"/>
        <v>0.7</v>
      </c>
      <c r="R170" s="177">
        <f t="shared" si="54"/>
        <v>0.19914539407267928</v>
      </c>
      <c r="S170" s="919">
        <f t="shared" si="55"/>
        <v>-2</v>
      </c>
      <c r="T170" s="176">
        <f t="shared" si="56"/>
        <v>4</v>
      </c>
      <c r="U170" s="251">
        <f t="shared" si="57"/>
        <v>-1.8008546059273207</v>
      </c>
      <c r="V170" s="383">
        <f t="shared" si="58"/>
        <v>55.441274565224781</v>
      </c>
      <c r="W170" s="402">
        <f t="shared" si="59"/>
        <v>30.938534680934996</v>
      </c>
      <c r="X170" s="157">
        <f t="shared" si="60"/>
        <v>45813</v>
      </c>
      <c r="Y170" s="385">
        <f t="shared" si="61"/>
        <v>29.53458849292144</v>
      </c>
      <c r="Z170" s="385">
        <f t="shared" si="62"/>
        <v>31.244778680030429</v>
      </c>
      <c r="AA170" s="386">
        <f t="shared" si="63"/>
        <v>33.092907221449984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5.5846666146685535E-2</v>
      </c>
      <c r="AD170" s="231">
        <f>(INDEX(Models!$BJ170:$BT170,,AH170)*(1-AF170)+INDEX(Models!$BJ170:$BT170,,AH170+1)*AF170-ERP_i)*AE170*Ramure*Pc/MaxiM</f>
        <v>7.2061419169648522E-3</v>
      </c>
      <c r="AE170" s="305">
        <f t="shared" si="65"/>
        <v>0.7</v>
      </c>
      <c r="AF170" s="177">
        <f t="shared" si="66"/>
        <v>0.7241329604466582</v>
      </c>
      <c r="AG170" s="919">
        <f t="shared" si="74"/>
        <v>1</v>
      </c>
      <c r="AH170" s="176">
        <f t="shared" si="67"/>
        <v>7</v>
      </c>
      <c r="AI170" s="225">
        <f t="shared" si="68"/>
        <v>1.7241329604466582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1090">
        <f>IF(t&gt;Tmaj,'2024'!Wh/'2024'!Env_an*'2025'!Env_an,0.001*'[8]mon-tableau'!$B$42)</f>
        <v>46.354835134076062</v>
      </c>
      <c r="C171" s="953"/>
      <c r="D171" s="393">
        <f t="shared" si="50"/>
        <v>49.040070020352715</v>
      </c>
      <c r="E171" s="385">
        <f t="shared" si="75"/>
        <v>49.715087904421218</v>
      </c>
      <c r="F171" s="385">
        <f t="shared" si="51"/>
        <v>49.733180527528731</v>
      </c>
      <c r="G171" s="110">
        <f t="shared" si="76"/>
        <v>0.83672085388855055</v>
      </c>
      <c r="H171" s="412" t="b">
        <f>Wh_hp&gt;='2024'!Maxi_hp</f>
        <v>0</v>
      </c>
      <c r="I171" s="390">
        <f>IF(H171,Wh_hp,'2024'!Maxi_hp)</f>
        <v>56.000265625104696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5.4755934996875477E-2</v>
      </c>
      <c r="M171" s="957"/>
      <c r="N171" s="957"/>
      <c r="O171" s="48">
        <f>IF(t&lt;Tnet,'2024'!Resal+('2024'!Salim-'2024'!Resal)*(1-EXP(('2024'!Tnet-t)/('2024'!Tau_j))),Resal+(Salim-Resal)*(1-EXP((Tnet-t)/(Tau_j))))*Salcycl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4.7438393055707469E-4</v>
      </c>
      <c r="Q171" s="305">
        <f t="shared" si="53"/>
        <v>0.7</v>
      </c>
      <c r="R171" s="177">
        <f t="shared" si="54"/>
        <v>0.20424731261981921</v>
      </c>
      <c r="S171" s="919">
        <f t="shared" si="55"/>
        <v>-2</v>
      </c>
      <c r="T171" s="176">
        <f t="shared" si="56"/>
        <v>4</v>
      </c>
      <c r="U171" s="251">
        <f t="shared" si="57"/>
        <v>-1.7957526873801808</v>
      </c>
      <c r="V171" s="383">
        <f t="shared" si="58"/>
        <v>55.394468377509192</v>
      </c>
      <c r="W171" s="402">
        <f t="shared" si="59"/>
        <v>46.354835134076062</v>
      </c>
      <c r="X171" s="157">
        <f t="shared" si="60"/>
        <v>45814</v>
      </c>
      <c r="Y171" s="385">
        <f t="shared" si="61"/>
        <v>44.127725928394028</v>
      </c>
      <c r="Z171" s="385">
        <f t="shared" si="62"/>
        <v>46.683949217124322</v>
      </c>
      <c r="AA171" s="386">
        <f t="shared" si="63"/>
        <v>49.452142991560123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5.5977225798045649E-2</v>
      </c>
      <c r="AD171" s="231">
        <f>(INDEX(Models!$BJ171:$BT171,,AH171)*(1-AF171)+INDEX(Models!$BJ171:$BT171,,AH171+1)*AF171-ERP_i)*AE171*Ramure*Pc/MaxiM</f>
        <v>7.3687320050052543E-3</v>
      </c>
      <c r="AE171" s="305">
        <f t="shared" si="65"/>
        <v>0.7</v>
      </c>
      <c r="AF171" s="177">
        <f t="shared" si="66"/>
        <v>0.72923487899379813</v>
      </c>
      <c r="AG171" s="919">
        <f t="shared" si="74"/>
        <v>1</v>
      </c>
      <c r="AH171" s="176">
        <f t="shared" si="67"/>
        <v>7</v>
      </c>
      <c r="AI171" s="225">
        <f t="shared" si="68"/>
        <v>1.7292348789937981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1090">
        <f>IF(t&gt;Tmaj,'2024'!Wh/'2024'!Env_an*'2025'!Env_an,0.001*'[8]mon-tableau'!$B$43)</f>
        <v>27.140635566475709</v>
      </c>
      <c r="C172" s="953"/>
      <c r="D172" s="393">
        <f t="shared" si="50"/>
        <v>28.713462516138367</v>
      </c>
      <c r="E172" s="385">
        <f t="shared" si="75"/>
        <v>29.113082896562343</v>
      </c>
      <c r="F172" s="385">
        <f t="shared" si="51"/>
        <v>29.117024179388725</v>
      </c>
      <c r="G172" s="110">
        <f t="shared" si="76"/>
        <v>0.49021324977630232</v>
      </c>
      <c r="H172" s="412" t="b">
        <f>Wh_hp&gt;='2024'!Maxi_hp</f>
        <v>0</v>
      </c>
      <c r="I172" s="390">
        <f>IF(H172,Wh_hp,'2024'!Maxi_hp)</f>
        <v>55.156942491889488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5.477663826780399E-2</v>
      </c>
      <c r="M172" s="957"/>
      <c r="N172" s="957"/>
      <c r="O172" s="48">
        <f>IF(t&lt;Tnet,'2024'!Resal+('2024'!Salim-'2024'!Resal)*(1-EXP(('2024'!Tnet-t)/('2024'!Tau_j))),Resal+(Salim-Resal)*(1-EXP((Tnet-t)/(Tau_j))))*Salcycl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4.9767102679716126E-4</v>
      </c>
      <c r="Q172" s="305">
        <f t="shared" si="53"/>
        <v>0.7</v>
      </c>
      <c r="R172" s="177">
        <f t="shared" si="54"/>
        <v>0.20936645203764526</v>
      </c>
      <c r="S172" s="919">
        <f t="shared" si="55"/>
        <v>-2</v>
      </c>
      <c r="T172" s="176">
        <f t="shared" si="56"/>
        <v>4</v>
      </c>
      <c r="U172" s="251">
        <f t="shared" si="57"/>
        <v>-1.7906335479623547</v>
      </c>
      <c r="V172" s="383">
        <f t="shared" si="58"/>
        <v>55.344895100981709</v>
      </c>
      <c r="W172" s="402">
        <f t="shared" si="59"/>
        <v>27.140635566475709</v>
      </c>
      <c r="X172" s="157">
        <f t="shared" si="60"/>
        <v>45815</v>
      </c>
      <c r="Y172" s="385">
        <f t="shared" si="61"/>
        <v>25.924729726103145</v>
      </c>
      <c r="Z172" s="385">
        <f t="shared" si="62"/>
        <v>27.427093717398225</v>
      </c>
      <c r="AA172" s="386">
        <f t="shared" si="63"/>
        <v>29.057425593070445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5.6107237389296391E-2</v>
      </c>
      <c r="AD172" s="231">
        <f>(INDEX(Models!$BJ172:$BT172,,AH172)*(1-AF172)+INDEX(Models!$BJ172:$BT172,,AH172+1)*AF172-ERP_i)*AE172*Ramure*Pc/MaxiM</f>
        <v>7.5255927968773499E-3</v>
      </c>
      <c r="AE172" s="305">
        <f t="shared" si="65"/>
        <v>0.7</v>
      </c>
      <c r="AF172" s="177">
        <f t="shared" si="66"/>
        <v>0.73435401841162418</v>
      </c>
      <c r="AG172" s="919">
        <f t="shared" si="74"/>
        <v>1</v>
      </c>
      <c r="AH172" s="176">
        <f t="shared" si="67"/>
        <v>7</v>
      </c>
      <c r="AI172" s="225">
        <f t="shared" si="68"/>
        <v>1.7343540184116242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1090">
        <f>IF(t&gt;Tmaj,'2024'!Wh/'2024'!Env_an*'2025'!Env_an,0.001*'[8]mon-tableau'!$B$44)</f>
        <v>20.180471987468007</v>
      </c>
      <c r="C173" s="953"/>
      <c r="D173" s="393">
        <f t="shared" si="50"/>
        <v>21.350418132169814</v>
      </c>
      <c r="E173" s="385">
        <f t="shared" si="75"/>
        <v>21.650826035719454</v>
      </c>
      <c r="F173" s="385">
        <f t="shared" si="51"/>
        <v>21.651873406416996</v>
      </c>
      <c r="G173" s="110">
        <f t="shared" si="76"/>
        <v>0.36480437477691963</v>
      </c>
      <c r="H173" s="412" t="b">
        <f>Wh_hp&gt;='2024'!Maxi_hp</f>
        <v>0</v>
      </c>
      <c r="I173" s="390">
        <f>IF(H173,Wh_hp,'2024'!Maxi_hp)</f>
        <v>61.487890344452325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5.4797341085277784E-2</v>
      </c>
      <c r="M173" s="957"/>
      <c r="N173" s="957"/>
      <c r="O173" s="48">
        <f>IF(t&lt;Tnet,'2024'!Resal+('2024'!Salim-'2024'!Resal)*(1-EXP(('2024'!Tnet-t)/('2024'!Tau_j))),Resal+(Salim-Resal)*(1-EXP((Tnet-t)/(Tau_j))))*Salcycl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5.2112728104847965E-4</v>
      </c>
      <c r="Q173" s="305">
        <f t="shared" si="53"/>
        <v>0.7</v>
      </c>
      <c r="R173" s="177">
        <f t="shared" si="54"/>
        <v>0.21449855799091178</v>
      </c>
      <c r="S173" s="919">
        <f t="shared" si="55"/>
        <v>-2</v>
      </c>
      <c r="T173" s="176">
        <f t="shared" si="56"/>
        <v>4</v>
      </c>
      <c r="U173" s="251">
        <f t="shared" si="57"/>
        <v>-1.7855014420090882</v>
      </c>
      <c r="V173" s="383">
        <f t="shared" si="58"/>
        <v>55.292459521807558</v>
      </c>
      <c r="W173" s="402">
        <f t="shared" si="59"/>
        <v>20.180471987468007</v>
      </c>
      <c r="X173" s="157">
        <f t="shared" si="60"/>
        <v>45816</v>
      </c>
      <c r="Y173" s="385">
        <f t="shared" si="61"/>
        <v>19.300739230299484</v>
      </c>
      <c r="Z173" s="385">
        <f t="shared" si="62"/>
        <v>20.419683597230367</v>
      </c>
      <c r="AA173" s="386">
        <f t="shared" si="63"/>
        <v>21.63644494246412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5.6236657568717006E-2</v>
      </c>
      <c r="AD173" s="231">
        <f>(INDEX(Models!$BJ173:$BT173,,AH173)*(1-AF173)+INDEX(Models!$BJ173:$BT173,,AH173+1)*AF173-ERP_i)*AE173*Ramure*Pc/MaxiM</f>
        <v>7.6765499449169992E-3</v>
      </c>
      <c r="AE173" s="305">
        <f t="shared" si="65"/>
        <v>0.7</v>
      </c>
      <c r="AF173" s="177">
        <f t="shared" si="66"/>
        <v>0.7394861243648907</v>
      </c>
      <c r="AG173" s="919">
        <f t="shared" si="74"/>
        <v>1</v>
      </c>
      <c r="AH173" s="176">
        <f t="shared" si="67"/>
        <v>7</v>
      </c>
      <c r="AI173" s="225">
        <f t="shared" si="68"/>
        <v>1.7394861243648907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1090">
        <f>IF(t&gt;Tmaj,'2024'!Wh/'2024'!Env_an*'2025'!Env_an,0.001*'[8]mon-tableau'!$B$45)</f>
        <v>44.839134623311551</v>
      </c>
      <c r="C174" s="953"/>
      <c r="D174" s="393">
        <f t="shared" si="50"/>
        <v>47.439685356400126</v>
      </c>
      <c r="E174" s="385">
        <f t="shared" si="75"/>
        <v>48.114423842334617</v>
      </c>
      <c r="F174" s="385">
        <f t="shared" si="51"/>
        <v>48.133591736664222</v>
      </c>
      <c r="G174" s="110">
        <f t="shared" si="76"/>
        <v>0.81163911724912929</v>
      </c>
      <c r="H174" s="412" t="b">
        <f>Wh_hp&gt;='2024'!Maxi_hp</f>
        <v>0</v>
      </c>
      <c r="I174" s="390">
        <f>IF(H174,Wh_hp,'2024'!Maxi_hp)</f>
        <v>58.767455716335284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5.481804344930663E-2</v>
      </c>
      <c r="M174" s="957"/>
      <c r="N174" s="957"/>
      <c r="O174" s="48">
        <f>IF(t&lt;Tnet,'2024'!Resal+('2024'!Salim-'2024'!Resal)*(1-EXP(('2024'!Tnet-t)/('2024'!Tau_j))),Resal+(Salim-Resal)*(1-EXP((Tnet-t)/(Tau_j))))*Salcycl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5.4470263474285148E-4</v>
      </c>
      <c r="Q174" s="305">
        <f t="shared" si="53"/>
        <v>0.7</v>
      </c>
      <c r="R174" s="177">
        <f t="shared" si="54"/>
        <v>0.21963933263521773</v>
      </c>
      <c r="S174" s="919">
        <f t="shared" si="55"/>
        <v>-2</v>
      </c>
      <c r="T174" s="176">
        <f t="shared" si="56"/>
        <v>4</v>
      </c>
      <c r="U174" s="251">
        <f t="shared" si="57"/>
        <v>-1.7803606673647823</v>
      </c>
      <c r="V174" s="383">
        <f t="shared" si="58"/>
        <v>55.237066604503497</v>
      </c>
      <c r="W174" s="402">
        <f t="shared" si="59"/>
        <v>44.839134623311551</v>
      </c>
      <c r="X174" s="157">
        <f t="shared" si="60"/>
        <v>45817</v>
      </c>
      <c r="Y174" s="385">
        <f t="shared" si="61"/>
        <v>42.685173931929342</v>
      </c>
      <c r="Z174" s="385">
        <f t="shared" si="62"/>
        <v>45.160800664988137</v>
      </c>
      <c r="AA174" s="386">
        <f t="shared" si="63"/>
        <v>47.858358298794478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5.6365444400843318E-2</v>
      </c>
      <c r="AD174" s="231">
        <f>(INDEX(Models!$BJ174:$BT174,,AH174)*(1-AF174)+INDEX(Models!$BJ174:$BT174,,AH174+1)*AF174-ERP_i)*AE174*Ramure*Pc/MaxiM</f>
        <v>7.8214318275642951E-3</v>
      </c>
      <c r="AE174" s="305">
        <f t="shared" si="65"/>
        <v>0.7</v>
      </c>
      <c r="AF174" s="177">
        <f t="shared" si="66"/>
        <v>0.74462689900919665</v>
      </c>
      <c r="AG174" s="919">
        <f t="shared" si="74"/>
        <v>1</v>
      </c>
      <c r="AH174" s="176">
        <f t="shared" si="67"/>
        <v>7</v>
      </c>
      <c r="AI174" s="225">
        <f t="shared" si="68"/>
        <v>1.7446268990091967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1090">
        <f>IF(t&gt;Tmaj,'2024'!Wh/'2024'!Env_an*'2025'!Env_an,0.001*'[8]mon-tableau'!$B$46)</f>
        <v>54.90510280140461</v>
      </c>
      <c r="C175" s="953"/>
      <c r="D175" s="393">
        <f t="shared" si="50"/>
        <v>58.090725293549518</v>
      </c>
      <c r="E175" s="385">
        <f t="shared" si="75"/>
        <v>58.925820023532268</v>
      </c>
      <c r="F175" s="385">
        <f t="shared" si="51"/>
        <v>58.95909184944972</v>
      </c>
      <c r="G175" s="110">
        <f t="shared" si="76"/>
        <v>0.99503902481846918</v>
      </c>
      <c r="H175" s="412" t="b">
        <f>Wh_hp&gt;='2024'!Maxi_hp</f>
        <v>1</v>
      </c>
      <c r="I175" s="390">
        <f>IF(H175,Wh_hp,'2024'!Maxi_hp)</f>
        <v>58.95909184944972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5.4838745359900742E-2</v>
      </c>
      <c r="M175" s="957"/>
      <c r="N175" s="957"/>
      <c r="O175" s="48">
        <f>IF(t&lt;Tnet,'2024'!Resal+('2024'!Salim-'2024'!Resal)*(1-EXP(('2024'!Tnet-t)/('2024'!Tau_j))),Resal+(Salim-Resal)*(1-EXP((Tnet-t)/(Tau_j))))*Salcycl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5.6834519937933861E-4</v>
      </c>
      <c r="Q175" s="305">
        <f t="shared" si="53"/>
        <v>0.7</v>
      </c>
      <c r="R175" s="177">
        <f t="shared" si="54"/>
        <v>0.22478444894622918</v>
      </c>
      <c r="S175" s="919">
        <f t="shared" si="55"/>
        <v>-2</v>
      </c>
      <c r="T175" s="176">
        <f t="shared" si="56"/>
        <v>4</v>
      </c>
      <c r="U175" s="251">
        <f t="shared" si="57"/>
        <v>-1.7752155510537708</v>
      </c>
      <c r="V175" s="383">
        <f t="shared" si="58"/>
        <v>55.1786214733877</v>
      </c>
      <c r="W175" s="402">
        <f t="shared" si="59"/>
        <v>54.90510280140461</v>
      </c>
      <c r="X175" s="157">
        <f t="shared" si="60"/>
        <v>45818</v>
      </c>
      <c r="Y175" s="385">
        <f t="shared" si="61"/>
        <v>52.162139310630735</v>
      </c>
      <c r="Z175" s="385">
        <f t="shared" si="62"/>
        <v>55.188613640847095</v>
      </c>
      <c r="AA175" s="386">
        <f t="shared" si="63"/>
        <v>58.493096768494446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5.6493557534249353E-2</v>
      </c>
      <c r="AD175" s="231">
        <f>(INDEX(Models!$BJ175:$BT175,,AH175)*(1-AF175)+INDEX(Models!$BJ175:$BT175,,AH175+1)*AF175-ERP_i)*AE175*Ramure*Pc/MaxiM</f>
        <v>7.9600701161509132E-3</v>
      </c>
      <c r="AE175" s="305">
        <f t="shared" si="65"/>
        <v>0.7</v>
      </c>
      <c r="AF175" s="177">
        <f t="shared" si="66"/>
        <v>0.7497720153202081</v>
      </c>
      <c r="AG175" s="919">
        <f t="shared" si="74"/>
        <v>1</v>
      </c>
      <c r="AH175" s="176">
        <f t="shared" si="67"/>
        <v>7</v>
      </c>
      <c r="AI175" s="225">
        <f t="shared" si="68"/>
        <v>1.7497720153202081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1090">
        <f>IF(t&gt;Tmaj,'2024'!Wh/'2024'!Env_an*'2025'!Env_an,0.001*'[8]mon-tableau'!$B$47)</f>
        <v>53.412585374683211</v>
      </c>
      <c r="C176" s="953"/>
      <c r="D176" s="393">
        <f t="shared" si="50"/>
        <v>56.512849009395225</v>
      </c>
      <c r="E176" s="385">
        <f t="shared" si="75"/>
        <v>57.333878363838373</v>
      </c>
      <c r="F176" s="385">
        <f t="shared" si="51"/>
        <v>57.366339016863442</v>
      </c>
      <c r="G176" s="110">
        <f t="shared" si="76"/>
        <v>0.96905055054096301</v>
      </c>
      <c r="H176" s="412" t="b">
        <f>Wh_hp&gt;='2024'!Maxi_hp</f>
        <v>1</v>
      </c>
      <c r="I176" s="390">
        <f>IF(H176,Wh_hp,'2024'!Maxi_hp)</f>
        <v>57.366339016863442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5.4859446817069779E-2</v>
      </c>
      <c r="M176" s="957"/>
      <c r="N176" s="957"/>
      <c r="O176" s="48">
        <f>IF(t&lt;Tnet,'2024'!Resal+('2024'!Salim-'2024'!Resal)*(1-EXP(('2024'!Tnet-t)/('2024'!Tau_j))),Resal+(Salim-Resal)*(1-EXP((Tnet-t)/(Tau_j))))*Salcycl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5.9200144185528726E-4</v>
      </c>
      <c r="Q176" s="305">
        <f t="shared" si="53"/>
        <v>0.7</v>
      </c>
      <c r="R176" s="177">
        <f t="shared" si="54"/>
        <v>0.22992956525724062</v>
      </c>
      <c r="S176" s="919">
        <f t="shared" si="55"/>
        <v>-2</v>
      </c>
      <c r="T176" s="176">
        <f t="shared" si="56"/>
        <v>4</v>
      </c>
      <c r="U176" s="251">
        <f t="shared" si="57"/>
        <v>-1.7700704347427594</v>
      </c>
      <c r="V176" s="383">
        <f t="shared" si="58"/>
        <v>55.117029399708798</v>
      </c>
      <c r="W176" s="402">
        <f t="shared" si="59"/>
        <v>53.412585374683211</v>
      </c>
      <c r="X176" s="157">
        <f t="shared" si="60"/>
        <v>45819</v>
      </c>
      <c r="Y176" s="385">
        <f t="shared" si="61"/>
        <v>50.753677408627418</v>
      </c>
      <c r="Z176" s="385">
        <f t="shared" si="62"/>
        <v>53.699608209282005</v>
      </c>
      <c r="AA176" s="386">
        <f t="shared" si="63"/>
        <v>56.922621596592947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5.6620958362603779E-2</v>
      </c>
      <c r="AD176" s="231">
        <f>(INDEX(Models!$BJ176:$BT176,,AH176)*(1-AF176)+INDEX(Models!$BJ176:$BT176,,AH176+1)*AF176-ERP_i)*AE176*Ramure*Pc/MaxiM</f>
        <v>8.0923003111976807E-3</v>
      </c>
      <c r="AE176" s="305">
        <f t="shared" si="65"/>
        <v>0.7</v>
      </c>
      <c r="AF176" s="177">
        <f t="shared" si="66"/>
        <v>0.75491713163121954</v>
      </c>
      <c r="AG176" s="919">
        <f t="shared" si="74"/>
        <v>1</v>
      </c>
      <c r="AH176" s="176">
        <f t="shared" si="67"/>
        <v>7</v>
      </c>
      <c r="AI176" s="225">
        <f t="shared" si="68"/>
        <v>1.7549171316312195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1090">
        <f>IF(t&gt;Tmaj,'2024'!Wh/'2024'!Env_an*'2025'!Env_an,0.001*'[8]mon-tableau'!$B$48)</f>
        <v>40.942853886335392</v>
      </c>
      <c r="C177" s="953"/>
      <c r="D177" s="393">
        <f t="shared" si="50"/>
        <v>43.320277097061151</v>
      </c>
      <c r="E177" s="385">
        <f t="shared" si="75"/>
        <v>43.956242130607571</v>
      </c>
      <c r="F177" s="385">
        <f t="shared" si="51"/>
        <v>43.973402009005468</v>
      </c>
      <c r="G177" s="110">
        <f t="shared" si="76"/>
        <v>0.74355039827639546</v>
      </c>
      <c r="H177" s="412" t="b">
        <f>Wh_hp&gt;='2024'!Maxi_hp</f>
        <v>0</v>
      </c>
      <c r="I177" s="390">
        <f>IF(H177,Wh_hp,'2024'!Maxi_hp)</f>
        <v>53.061432092137871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5.4880147820823733E-2</v>
      </c>
      <c r="M177" s="957"/>
      <c r="N177" s="957"/>
      <c r="O177" s="48">
        <f>IF(t&lt;Tnet,'2024'!Resal+('2024'!Salim-'2024'!Resal)*(1-EXP(('2024'!Tnet-t)/('2024'!Tau_j))),Resal+(Salim-Resal)*(1-EXP((Tnet-t)/(Tau_j))))*Salcycl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6.156232941372607E-4</v>
      </c>
      <c r="Q177" s="305">
        <f t="shared" si="53"/>
        <v>0.7</v>
      </c>
      <c r="R177" s="177">
        <f t="shared" si="54"/>
        <v>0.23507033990154658</v>
      </c>
      <c r="S177" s="919">
        <f t="shared" si="55"/>
        <v>-2</v>
      </c>
      <c r="T177" s="176">
        <f t="shared" si="56"/>
        <v>4</v>
      </c>
      <c r="U177" s="251">
        <f t="shared" si="57"/>
        <v>-1.7649296600984534</v>
      </c>
      <c r="V177" s="383">
        <f t="shared" si="58"/>
        <v>55.05157721955478</v>
      </c>
      <c r="W177" s="402">
        <f t="shared" si="59"/>
        <v>40.942853886335392</v>
      </c>
      <c r="X177" s="157">
        <f t="shared" si="60"/>
        <v>45820</v>
      </c>
      <c r="Y177" s="385">
        <f t="shared" si="61"/>
        <v>38.997484045696815</v>
      </c>
      <c r="Z177" s="385">
        <f t="shared" si="62"/>
        <v>41.261945726544376</v>
      </c>
      <c r="AA177" s="386">
        <f t="shared" si="63"/>
        <v>43.744332027956951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5.6747610177841745E-2</v>
      </c>
      <c r="AD177" s="231">
        <f>(INDEX(Models!$BJ177:$BT177,,AH177)*(1-AF177)+INDEX(Models!$BJ177:$BT177,,AH177+1)*AF177-ERP_i)*AE177*Ramure*Pc/MaxiM</f>
        <v>8.218054525278835E-3</v>
      </c>
      <c r="AE177" s="305">
        <f t="shared" si="65"/>
        <v>0.7</v>
      </c>
      <c r="AF177" s="177">
        <f t="shared" si="66"/>
        <v>0.7600579062755255</v>
      </c>
      <c r="AG177" s="919">
        <f t="shared" si="74"/>
        <v>1</v>
      </c>
      <c r="AH177" s="176">
        <f t="shared" si="67"/>
        <v>7</v>
      </c>
      <c r="AI177" s="225">
        <f t="shared" si="68"/>
        <v>1.7600579062755255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1090">
        <f>IF(t&gt;Tmaj,'2024'!Wh/'2024'!Env_an*'2025'!Env_an,0.001*'[8]mon-tableau'!$B$49)</f>
        <v>50.298479451785624</v>
      </c>
      <c r="C178" s="953"/>
      <c r="D178" s="393">
        <f t="shared" si="50"/>
        <v>53.220320180267763</v>
      </c>
      <c r="E178" s="385">
        <f t="shared" si="75"/>
        <v>54.009723080796434</v>
      </c>
      <c r="F178" s="385">
        <f t="shared" si="51"/>
        <v>54.040045923539672</v>
      </c>
      <c r="G178" s="110">
        <f t="shared" si="76"/>
        <v>0.91474765646569489</v>
      </c>
      <c r="H178" s="412" t="b">
        <f>Wh_hp&gt;='2024'!Maxi_hp</f>
        <v>0</v>
      </c>
      <c r="I178" s="390">
        <f>IF(H178,Wh_hp,'2024'!Maxi_hp)</f>
        <v>61.924411785677407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5.4900848371172595E-2</v>
      </c>
      <c r="M178" s="957"/>
      <c r="N178" s="957"/>
      <c r="O178" s="48">
        <f>IF(t&lt;Tnet,'2024'!Resal+('2024'!Salim-'2024'!Resal)*(1-EXP(('2024'!Tnet-t)/('2024'!Tau_j))),Resal+(Salim-Resal)*(1-EXP((Tnet-t)/(Tau_j))))*Salcycl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6.3885911336188962E-4</v>
      </c>
      <c r="Q178" s="305">
        <f t="shared" si="53"/>
        <v>0.7</v>
      </c>
      <c r="R178" s="177">
        <f t="shared" si="54"/>
        <v>0.2402024458548131</v>
      </c>
      <c r="S178" s="919">
        <f t="shared" si="55"/>
        <v>-2</v>
      </c>
      <c r="T178" s="176">
        <f t="shared" si="56"/>
        <v>4</v>
      </c>
      <c r="U178" s="251">
        <f t="shared" si="57"/>
        <v>-1.7597975541451869</v>
      </c>
      <c r="V178" s="383">
        <f t="shared" si="58"/>
        <v>54.98190308702582</v>
      </c>
      <c r="W178" s="402">
        <f t="shared" si="59"/>
        <v>50.298479451785624</v>
      </c>
      <c r="X178" s="157">
        <f t="shared" si="60"/>
        <v>45821</v>
      </c>
      <c r="Y178" s="385">
        <f t="shared" si="61"/>
        <v>47.815866244468154</v>
      </c>
      <c r="Z178" s="385">
        <f t="shared" si="62"/>
        <v>50.593491870202286</v>
      </c>
      <c r="AA178" s="386">
        <f t="shared" si="63"/>
        <v>53.644437630463223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5.687347831433677E-2</v>
      </c>
      <c r="AD178" s="231">
        <f>(INDEX(Models!$BJ178:$BT178,,AH178)*(1-AF178)+INDEX(Models!$BJ178:$BT178,,AH178+1)*AF178-ERP_i)*AE178*Ramure*Pc/MaxiM</f>
        <v>8.334903343115721E-3</v>
      </c>
      <c r="AE178" s="305">
        <f t="shared" si="65"/>
        <v>0.7</v>
      </c>
      <c r="AF178" s="177">
        <f t="shared" si="66"/>
        <v>0.76519001222879202</v>
      </c>
      <c r="AG178" s="919">
        <f t="shared" si="74"/>
        <v>1</v>
      </c>
      <c r="AH178" s="176">
        <f t="shared" si="67"/>
        <v>7</v>
      </c>
      <c r="AI178" s="225">
        <f t="shared" si="68"/>
        <v>1.765190012228792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1090">
        <f>IF(t&gt;Tmaj,'2024'!Wh/'2024'!Env_an*'2025'!Env_an,0.001*'[8]mon-tableau'!$B$50)</f>
        <v>47.890345696499345</v>
      </c>
      <c r="C179" s="953"/>
      <c r="D179" s="393">
        <f t="shared" si="50"/>
        <v>50.673407714326878</v>
      </c>
      <c r="E179" s="385">
        <f t="shared" si="75"/>
        <v>51.432736658005936</v>
      </c>
      <c r="F179" s="385">
        <f t="shared" si="51"/>
        <v>51.460576425428556</v>
      </c>
      <c r="G179" s="110">
        <f t="shared" si="76"/>
        <v>0.87208062608032422</v>
      </c>
      <c r="H179" s="412" t="b">
        <f>Wh_hp&gt;='2024'!Maxi_hp</f>
        <v>0</v>
      </c>
      <c r="I179" s="390">
        <f>IF(H179,Wh_hp,'2024'!Maxi_hp)</f>
        <v>57.572810186062441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5.4921548468126358E-2</v>
      </c>
      <c r="M179" s="957"/>
      <c r="N179" s="957"/>
      <c r="O179" s="48">
        <f>IF(t&lt;Tnet,'2024'!Resal+('2024'!Salim-'2024'!Resal)*(1-EXP(('2024'!Tnet-t)/('2024'!Tau_j))),Resal+(Salim-Resal)*(1-EXP((Tnet-t)/(Tau_j))))*Salcycl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6.6183801018131661E-4</v>
      </c>
      <c r="Q179" s="305">
        <f t="shared" si="53"/>
        <v>0.7</v>
      </c>
      <c r="R179" s="177">
        <f t="shared" si="54"/>
        <v>0.24532158527263914</v>
      </c>
      <c r="S179" s="919">
        <f t="shared" si="55"/>
        <v>-2</v>
      </c>
      <c r="T179" s="176">
        <f t="shared" si="56"/>
        <v>4</v>
      </c>
      <c r="U179" s="251">
        <f t="shared" si="57"/>
        <v>-1.7546784147273609</v>
      </c>
      <c r="V179" s="383">
        <f t="shared" si="58"/>
        <v>54.908403857875342</v>
      </c>
      <c r="W179" s="402">
        <f t="shared" si="59"/>
        <v>47.890345696499345</v>
      </c>
      <c r="X179" s="157">
        <f t="shared" si="60"/>
        <v>45822</v>
      </c>
      <c r="Y179" s="385">
        <f t="shared" si="61"/>
        <v>45.545616551381869</v>
      </c>
      <c r="Z179" s="385">
        <f t="shared" si="62"/>
        <v>48.192418817249695</v>
      </c>
      <c r="AA179" s="386">
        <f t="shared" si="63"/>
        <v>51.105348575663477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5.6998530283010836E-2</v>
      </c>
      <c r="AD179" s="231">
        <f>(INDEX(Models!$BJ179:$BT179,,AH179)*(1-AF179)+INDEX(Models!$BJ179:$BT179,,AH179+1)*AF179-ERP_i)*AE179*Ramure*Pc/MaxiM</f>
        <v>8.4448727491342589E-3</v>
      </c>
      <c r="AE179" s="305">
        <f t="shared" si="65"/>
        <v>0.7</v>
      </c>
      <c r="AF179" s="177">
        <f t="shared" si="66"/>
        <v>0.77030915164661806</v>
      </c>
      <c r="AG179" s="919">
        <f t="shared" si="74"/>
        <v>1</v>
      </c>
      <c r="AH179" s="176">
        <f t="shared" si="67"/>
        <v>7</v>
      </c>
      <c r="AI179" s="225">
        <f t="shared" si="68"/>
        <v>1.7703091516466181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1090">
        <f>IF(t&gt;Tmaj,'2024'!Wh/'2024'!Env_an*'2025'!Env_an,0.001*'[8]mon-tableau'!$B$51)</f>
        <v>51.414532867410799</v>
      </c>
      <c r="C180" s="953"/>
      <c r="D180" s="393">
        <f t="shared" si="50"/>
        <v>54.403588314767241</v>
      </c>
      <c r="E180" s="385">
        <f t="shared" si="75"/>
        <v>55.227074027082764</v>
      </c>
      <c r="F180" s="385">
        <f t="shared" si="51"/>
        <v>55.261532485244501</v>
      </c>
      <c r="G180" s="110">
        <f t="shared" si="76"/>
        <v>0.93762545287049515</v>
      </c>
      <c r="H180" s="412" t="b">
        <f>Wh_hp&gt;='2024'!Maxi_hp</f>
        <v>1</v>
      </c>
      <c r="I180" s="390">
        <f>IF(H180,Wh_hp,'2024'!Maxi_hp)</f>
        <v>55.261532485244501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5.4942248111694791E-2</v>
      </c>
      <c r="M180" s="957"/>
      <c r="N180" s="957"/>
      <c r="O180" s="48">
        <f>IF(t&lt;Tnet,'2024'!Resal+('2024'!Salim-'2024'!Resal)*(1-EXP(('2024'!Tnet-t)/('2024'!Tau_j))),Resal+(Salim-Resal)*(1-EXP((Tnet-t)/(Tau_j))))*Salcycl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6.8448883896271042E-4</v>
      </c>
      <c r="Q180" s="305">
        <f t="shared" si="53"/>
        <v>0.7</v>
      </c>
      <c r="R180" s="177">
        <f t="shared" si="54"/>
        <v>0.25042350381977907</v>
      </c>
      <c r="S180" s="919">
        <f t="shared" si="55"/>
        <v>-2</v>
      </c>
      <c r="T180" s="176">
        <f t="shared" si="56"/>
        <v>4</v>
      </c>
      <c r="U180" s="251">
        <f t="shared" si="57"/>
        <v>-1.7495764961802209</v>
      </c>
      <c r="V180" s="383">
        <f t="shared" si="58"/>
        <v>54.831487065348604</v>
      </c>
      <c r="W180" s="402">
        <f t="shared" si="59"/>
        <v>51.414532867410799</v>
      </c>
      <c r="X180" s="157">
        <f t="shared" si="60"/>
        <v>45823</v>
      </c>
      <c r="Y180" s="385">
        <f t="shared" si="61"/>
        <v>48.858648210282482</v>
      </c>
      <c r="Z180" s="385">
        <f t="shared" si="62"/>
        <v>51.699113744804251</v>
      </c>
      <c r="AA180" s="386">
        <f t="shared" si="63"/>
        <v>54.831223228024797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5.7122735894385365E-2</v>
      </c>
      <c r="AD180" s="231">
        <f>(INDEX(Models!$BJ180:$BT180,,AH180)*(1-AF180)+INDEX(Models!$BJ180:$BT180,,AH180+1)*AF180-ERP_i)*AE180*Ramure*Pc/MaxiM</f>
        <v>8.5477383371804581E-3</v>
      </c>
      <c r="AE180" s="305">
        <f t="shared" si="65"/>
        <v>0.7</v>
      </c>
      <c r="AF180" s="177">
        <f t="shared" si="66"/>
        <v>0.77541107019375799</v>
      </c>
      <c r="AG180" s="919">
        <f t="shared" si="74"/>
        <v>1</v>
      </c>
      <c r="AH180" s="176">
        <f t="shared" si="67"/>
        <v>7</v>
      </c>
      <c r="AI180" s="225">
        <f t="shared" si="68"/>
        <v>1.775411070193758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1090">
        <f>IF(t&gt;Tmaj,'2024'!Wh/'2024'!Env_an*'2025'!Env_an,0.001*'[8]mon-tableau'!$B$52)</f>
        <v>49.895844430568182</v>
      </c>
      <c r="C181" s="953"/>
      <c r="D181" s="393">
        <f t="shared" si="50"/>
        <v>52.797765217896902</v>
      </c>
      <c r="E181" s="385">
        <f t="shared" si="75"/>
        <v>53.604950979426185</v>
      </c>
      <c r="F181" s="385">
        <f t="shared" si="51"/>
        <v>53.638056326154832</v>
      </c>
      <c r="G181" s="110">
        <f t="shared" si="76"/>
        <v>0.91123200943526328</v>
      </c>
      <c r="H181" s="412" t="b">
        <f>Wh_hp&gt;='2024'!Maxi_hp</f>
        <v>0</v>
      </c>
      <c r="I181" s="390">
        <f>IF(H181,Wh_hp,'2024'!Maxi_hp)</f>
        <v>59.636866753529013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5.4962947301887888E-2</v>
      </c>
      <c r="M181" s="957"/>
      <c r="N181" s="957"/>
      <c r="O181" s="48">
        <f>IF(t&lt;Tnet,'2024'!Resal+('2024'!Salim-'2024'!Resal)*(1-EXP(('2024'!Tnet-t)/('2024'!Tau_j))),Resal+(Salim-Resal)*(1-EXP((Tnet-t)/(Tau_j))))*Salcycl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7.0673898624771657E-4</v>
      </c>
      <c r="Q181" s="305">
        <f t="shared" si="53"/>
        <v>0.7</v>
      </c>
      <c r="R181" s="177">
        <f t="shared" si="54"/>
        <v>0.25550400469005097</v>
      </c>
      <c r="S181" s="919">
        <f t="shared" si="55"/>
        <v>-2</v>
      </c>
      <c r="T181" s="176">
        <f t="shared" si="56"/>
        <v>4</v>
      </c>
      <c r="U181" s="251">
        <f t="shared" si="57"/>
        <v>-1.744495995309949</v>
      </c>
      <c r="V181" s="383">
        <f t="shared" si="58"/>
        <v>54.751559947585847</v>
      </c>
      <c r="W181" s="402">
        <f t="shared" si="59"/>
        <v>49.895844430568182</v>
      </c>
      <c r="X181" s="157">
        <f t="shared" si="60"/>
        <v>45824</v>
      </c>
      <c r="Y181" s="385">
        <f t="shared" si="61"/>
        <v>47.427434893035034</v>
      </c>
      <c r="Z181" s="385">
        <f t="shared" si="62"/>
        <v>50.185794046517152</v>
      </c>
      <c r="AA181" s="386">
        <f t="shared" si="63"/>
        <v>53.233184513476623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5.7246067369649614E-2</v>
      </c>
      <c r="AD181" s="231">
        <f>(INDEX(Models!$BJ181:$BT181,,AH181)*(1-AF181)+INDEX(Models!$BJ181:$BT181,,AH181+1)*AF181-ERP_i)*AE181*Ramure*Pc/MaxiM</f>
        <v>8.6432773774534413E-3</v>
      </c>
      <c r="AE181" s="305">
        <f t="shared" si="65"/>
        <v>0.7</v>
      </c>
      <c r="AF181" s="177">
        <f t="shared" si="66"/>
        <v>0.78049157106402989</v>
      </c>
      <c r="AG181" s="919">
        <f t="shared" si="74"/>
        <v>1</v>
      </c>
      <c r="AH181" s="176">
        <f t="shared" si="67"/>
        <v>7</v>
      </c>
      <c r="AI181" s="225">
        <f t="shared" si="68"/>
        <v>1.7804915710640299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1090">
        <f>IF(t&gt;Tmaj,'2024'!Wh/'2024'!Env_an*'2025'!Env_an,0.001*'[8]mon-tableau'!$B$53)</f>
        <v>50.548177765896156</v>
      </c>
      <c r="C182" s="953"/>
      <c r="D182" s="393">
        <f t="shared" si="50"/>
        <v>53.489209529560192</v>
      </c>
      <c r="E182" s="385">
        <f t="shared" si="75"/>
        <v>54.315066778133932</v>
      </c>
      <c r="F182" s="385">
        <f t="shared" si="51"/>
        <v>54.350398119669826</v>
      </c>
      <c r="G182" s="110">
        <f t="shared" si="76"/>
        <v>0.92454924236716263</v>
      </c>
      <c r="H182" s="412" t="b">
        <f>Wh_hp&gt;='2024'!Maxi_hp</f>
        <v>0</v>
      </c>
      <c r="I182" s="390">
        <f>IF(H182,Wh_hp,'2024'!Maxi_hp)</f>
        <v>58.647204437041879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5.4983646038715639E-2</v>
      </c>
      <c r="M182" s="957"/>
      <c r="N182" s="957"/>
      <c r="O182" s="48">
        <f>IF(t&lt;Tnet,'2024'!Resal+('2024'!Salim-'2024'!Resal)*(1-EXP(('2024'!Tnet-t)/('2024'!Tau_j))),Resal+(Salim-Resal)*(1-EXP((Tnet-t)/(Tau_j))))*Salcycl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7.2851463968222438E-4</v>
      </c>
      <c r="Q182" s="305">
        <f t="shared" si="53"/>
        <v>0.7</v>
      </c>
      <c r="R182" s="177">
        <f t="shared" si="54"/>
        <v>0.26055896221971064</v>
      </c>
      <c r="S182" s="919">
        <f t="shared" si="55"/>
        <v>-2</v>
      </c>
      <c r="T182" s="176">
        <f t="shared" si="56"/>
        <v>4</v>
      </c>
      <c r="U182" s="251">
        <f t="shared" si="57"/>
        <v>-1.7394410377802894</v>
      </c>
      <c r="V182" s="383">
        <f t="shared" si="58"/>
        <v>54.669029436620178</v>
      </c>
      <c r="W182" s="402">
        <f t="shared" si="59"/>
        <v>50.548177765896156</v>
      </c>
      <c r="X182" s="157">
        <f t="shared" si="60"/>
        <v>45825</v>
      </c>
      <c r="Y182" s="385">
        <f t="shared" si="61"/>
        <v>48.038245660875596</v>
      </c>
      <c r="Z182" s="385">
        <f t="shared" si="62"/>
        <v>50.833242683590257</v>
      </c>
      <c r="AA182" s="386">
        <f t="shared" si="63"/>
        <v>53.926950938232117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5.7368499438905624E-2</v>
      </c>
      <c r="AD182" s="231">
        <f>(INDEX(Models!$BJ182:$BT182,,AH182)*(1-AF182)+INDEX(Models!$BJ182:$BT182,,AH182+1)*AF182-ERP_i)*AE182*Ramure*Pc/MaxiM</f>
        <v>8.7312696716082151E-3</v>
      </c>
      <c r="AE182" s="305">
        <f t="shared" si="65"/>
        <v>0.7</v>
      </c>
      <c r="AF182" s="177">
        <f t="shared" si="66"/>
        <v>0.78554652859368979</v>
      </c>
      <c r="AG182" s="919">
        <f t="shared" si="74"/>
        <v>1</v>
      </c>
      <c r="AH182" s="176">
        <f t="shared" si="67"/>
        <v>7</v>
      </c>
      <c r="AI182" s="225">
        <f t="shared" si="68"/>
        <v>1.7855465285936898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1090">
        <f>IF(t&gt;Tmaj,'2024'!Wh/'2024'!Env_an*'2025'!Env_an,0.001*'[8]mon-tableau'!$B$54)</f>
        <v>52.252105081122487</v>
      </c>
      <c r="C183" s="953"/>
      <c r="D183" s="393">
        <f t="shared" si="50"/>
        <v>55.293487083434151</v>
      </c>
      <c r="E183" s="385">
        <f t="shared" si="75"/>
        <v>56.155563436772688</v>
      </c>
      <c r="F183" s="385">
        <f t="shared" si="51"/>
        <v>56.195123593443483</v>
      </c>
      <c r="G183" s="110">
        <f t="shared" si="76"/>
        <v>0.95722964592327631</v>
      </c>
      <c r="H183" s="412" t="b">
        <f>Wh_hp&gt;='2024'!Maxi_hp</f>
        <v>0</v>
      </c>
      <c r="I183" s="390">
        <f>IF(H183,Wh_hp,'2024'!Maxi_hp)</f>
        <v>56.677985927992459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5.5004344322187926E-2</v>
      </c>
      <c r="M183" s="957"/>
      <c r="N183" s="957"/>
      <c r="O183" s="48">
        <f>IF(t&lt;Tnet,'2024'!Resal+('2024'!Salim-'2024'!Resal)*(1-EXP(('2024'!Tnet-t)/('2024'!Tau_j))),Resal+(Salim-Resal)*(1-EXP((Tnet-t)/(Tau_j))))*Salcycl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7.4974106700843445E-4</v>
      </c>
      <c r="Q183" s="305">
        <f t="shared" si="53"/>
        <v>0.7</v>
      </c>
      <c r="R183" s="177">
        <f t="shared" si="54"/>
        <v>0.26558433500198264</v>
      </c>
      <c r="S183" s="919">
        <f t="shared" si="55"/>
        <v>-2</v>
      </c>
      <c r="T183" s="176">
        <f t="shared" si="56"/>
        <v>4</v>
      </c>
      <c r="U183" s="251">
        <f t="shared" si="57"/>
        <v>-1.7344156649980174</v>
      </c>
      <c r="V183" s="383">
        <f t="shared" si="58"/>
        <v>54.58430213341201</v>
      </c>
      <c r="W183" s="402">
        <f t="shared" si="59"/>
        <v>52.252105081122487</v>
      </c>
      <c r="X183" s="157">
        <f t="shared" si="60"/>
        <v>45826</v>
      </c>
      <c r="Y183" s="385">
        <f t="shared" si="61"/>
        <v>49.637083029417688</v>
      </c>
      <c r="Z183" s="385">
        <f t="shared" si="62"/>
        <v>52.526255259676041</v>
      </c>
      <c r="AA183" s="386">
        <f t="shared" si="63"/>
        <v>55.730184066991207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5.7490009425840823E-2</v>
      </c>
      <c r="AD183" s="231">
        <f>(INDEX(Models!$BJ183:$BT183,,AH183)*(1-AF183)+INDEX(Models!$BJ183:$BT183,,AH183+1)*AF183-ERP_i)*AE183*Ramure*Pc/MaxiM</f>
        <v>8.8114983860531713E-3</v>
      </c>
      <c r="AE183" s="305">
        <f t="shared" si="65"/>
        <v>0.7</v>
      </c>
      <c r="AF183" s="177">
        <f t="shared" si="66"/>
        <v>0.79057190137596156</v>
      </c>
      <c r="AG183" s="919">
        <f t="shared" si="74"/>
        <v>1</v>
      </c>
      <c r="AH183" s="176">
        <f t="shared" si="67"/>
        <v>7</v>
      </c>
      <c r="AI183" s="225">
        <f t="shared" si="68"/>
        <v>1.7905719013759616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1090">
        <f>IF(t&gt;Tmaj,'2024'!Wh/'2024'!Env_an*'2025'!Env_an,0.001*'[8]mon-tableau'!$B$55)</f>
        <v>53.351715927729487</v>
      </c>
      <c r="C184" s="953"/>
      <c r="D184" s="393">
        <f t="shared" si="50"/>
        <v>56.458338376760373</v>
      </c>
      <c r="E184" s="385">
        <f t="shared" si="75"/>
        <v>57.347100539826819</v>
      </c>
      <c r="F184" s="385">
        <f t="shared" si="51"/>
        <v>57.389962930332153</v>
      </c>
      <c r="G184" s="110">
        <f t="shared" si="76"/>
        <v>0.97894736349502265</v>
      </c>
      <c r="H184" s="412" t="b">
        <f>Wh_hp&gt;='2024'!Maxi_hp</f>
        <v>1</v>
      </c>
      <c r="I184" s="390">
        <f>IF(H184,Wh_hp,'2024'!Maxi_hp)</f>
        <v>57.389962930332153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5.502504215231474E-2</v>
      </c>
      <c r="M184" s="957"/>
      <c r="N184" s="957"/>
      <c r="O184" s="48">
        <f>IF(t&lt;Tnet,'2024'!Resal+('2024'!Salim-'2024'!Resal)*(1-EXP(('2024'!Tnet-t)/('2024'!Tau_j))),Resal+(Salim-Resal)*(1-EXP((Tnet-t)/(Tau_j))))*Salcycl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7.6999495870500154E-4</v>
      </c>
      <c r="Q184" s="305">
        <f t="shared" si="53"/>
        <v>0.7</v>
      </c>
      <c r="R184" s="177">
        <f t="shared" si="54"/>
        <v>0.27057617841639514</v>
      </c>
      <c r="S184" s="919">
        <f t="shared" si="55"/>
        <v>-2</v>
      </c>
      <c r="T184" s="176">
        <f t="shared" si="56"/>
        <v>4</v>
      </c>
      <c r="U184" s="251">
        <f t="shared" si="57"/>
        <v>-1.7294238215836049</v>
      </c>
      <c r="V184" s="383">
        <f t="shared" si="58"/>
        <v>54.497803272299151</v>
      </c>
      <c r="W184" s="402">
        <f t="shared" si="59"/>
        <v>53.351715927729487</v>
      </c>
      <c r="X184" s="157">
        <f t="shared" si="60"/>
        <v>45827</v>
      </c>
      <c r="Y184" s="385">
        <f t="shared" si="61"/>
        <v>50.667467899427841</v>
      </c>
      <c r="Z184" s="385">
        <f t="shared" si="62"/>
        <v>53.617788999224061</v>
      </c>
      <c r="AA184" s="386">
        <f t="shared" si="63"/>
        <v>56.895575978177078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5.7610577318177501E-2</v>
      </c>
      <c r="AD184" s="231">
        <f>(INDEX(Models!$BJ184:$BT184,,AH184)*(1-AF184)+INDEX(Models!$BJ184:$BT184,,AH184+1)*AF184-ERP_i)*AE184*Ramure*Pc/MaxiM</f>
        <v>8.8813399421006425E-3</v>
      </c>
      <c r="AE184" s="305">
        <f t="shared" si="65"/>
        <v>0.7</v>
      </c>
      <c r="AF184" s="177">
        <f t="shared" si="66"/>
        <v>0.79556374479037406</v>
      </c>
      <c r="AG184" s="919">
        <f t="shared" si="74"/>
        <v>1</v>
      </c>
      <c r="AH184" s="176">
        <f t="shared" si="67"/>
        <v>7</v>
      </c>
      <c r="AI184" s="225">
        <f t="shared" si="68"/>
        <v>1.7955637447903741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1090">
        <f>IF(t&gt;Tmaj,'2024'!Wh/'2024'!Env_an*'2025'!Env_an,0.001*'[8]mon-tableau'!$B$56)</f>
        <v>33.651376037961349</v>
      </c>
      <c r="C185" s="953"/>
      <c r="D185" s="393">
        <f t="shared" si="50"/>
        <v>35.611645394552781</v>
      </c>
      <c r="E185" s="385">
        <f t="shared" si="75"/>
        <v>36.177609188626306</v>
      </c>
      <c r="F185" s="385">
        <f t="shared" si="51"/>
        <v>36.190610572350366</v>
      </c>
      <c r="G185" s="110">
        <f t="shared" si="76"/>
        <v>0.61821246544552522</v>
      </c>
      <c r="H185" s="412" t="b">
        <f>Wh_hp&gt;='2024'!Maxi_hp</f>
        <v>0</v>
      </c>
      <c r="I185" s="390">
        <f>IF(H185,Wh_hp,'2024'!Maxi_hp)</f>
        <v>50.746590499850917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5.5045739529105853E-2</v>
      </c>
      <c r="M185" s="957"/>
      <c r="N185" s="957"/>
      <c r="O185" s="48">
        <f>IF(t&lt;Tnet,'2024'!Resal+('2024'!Salim-'2024'!Resal)*(1-EXP(('2024'!Tnet-t)/('2024'!Tau_j))),Resal+(Salim-Resal)*(1-EXP((Tnet-t)/(Tau_j))))*Salcycl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7.896075165157076E-4</v>
      </c>
      <c r="Q185" s="305">
        <f t="shared" si="53"/>
        <v>0.7</v>
      </c>
      <c r="R185" s="177">
        <f t="shared" si="54"/>
        <v>0.27553065649347763</v>
      </c>
      <c r="S185" s="919">
        <f t="shared" si="55"/>
        <v>-2</v>
      </c>
      <c r="T185" s="176">
        <f t="shared" si="56"/>
        <v>4</v>
      </c>
      <c r="U185" s="251">
        <f t="shared" si="57"/>
        <v>-1.7244693435065224</v>
      </c>
      <c r="V185" s="383">
        <f t="shared" si="58"/>
        <v>54.409916500057939</v>
      </c>
      <c r="W185" s="402">
        <f t="shared" si="59"/>
        <v>33.651376037961349</v>
      </c>
      <c r="X185" s="157">
        <f t="shared" si="60"/>
        <v>45828</v>
      </c>
      <c r="Y185" s="385">
        <f t="shared" si="61"/>
        <v>32.093034042811382</v>
      </c>
      <c r="Z185" s="385">
        <f t="shared" si="62"/>
        <v>33.962526426219434</v>
      </c>
      <c r="AA185" s="386">
        <f t="shared" si="63"/>
        <v>36.043313619141941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5.7730185823354402E-2</v>
      </c>
      <c r="AD185" s="231">
        <f>(INDEX(Models!$BJ185:$BT185,,AH185)*(1-AF185)+INDEX(Models!$BJ185:$BT185,,AH185+1)*AF185-ERP_i)*AE185*Ramure*Pc/MaxiM</f>
        <v>8.9457233077444125E-3</v>
      </c>
      <c r="AE185" s="305">
        <f t="shared" si="65"/>
        <v>0.7</v>
      </c>
      <c r="AF185" s="177">
        <f t="shared" si="66"/>
        <v>0.80051822286745633</v>
      </c>
      <c r="AG185" s="919">
        <f t="shared" si="74"/>
        <v>1</v>
      </c>
      <c r="AH185" s="176">
        <f t="shared" si="67"/>
        <v>7</v>
      </c>
      <c r="AI185" s="225">
        <f t="shared" si="68"/>
        <v>1.8005182228674563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1090">
        <f>IF(t&gt;Tmaj,'2024'!Wh/'2024'!Env_an*'2025'!Env_an,0.001*'[8]mon-tableau'!$B$57)</f>
        <v>23.791436958510214</v>
      </c>
      <c r="C186" s="953"/>
      <c r="D186" s="393">
        <f t="shared" si="50"/>
        <v>25.177893850223114</v>
      </c>
      <c r="E186" s="385">
        <f t="shared" si="75"/>
        <v>25.581826772846664</v>
      </c>
      <c r="F186" s="385">
        <f t="shared" si="51"/>
        <v>25.58590430841021</v>
      </c>
      <c r="G186" s="110">
        <f t="shared" si="76"/>
        <v>0.43769389154560606</v>
      </c>
      <c r="H186" s="412" t="b">
        <f>Wh_hp&gt;='2024'!Maxi_hp</f>
        <v>0</v>
      </c>
      <c r="I186" s="390">
        <f>IF(H186,Wh_hp,'2024'!Maxi_hp)</f>
        <v>50.271199376554243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5.5066436452571366E-2</v>
      </c>
      <c r="M186" s="957"/>
      <c r="N186" s="957"/>
      <c r="O186" s="48">
        <f>IF(t&lt;Tnet,'2024'!Resal+('2024'!Salim-'2024'!Resal)*(1-EXP(('2024'!Tnet-t)/('2024'!Tau_j))),Resal+(Salim-Resal)*(1-EXP((Tnet-t)/(Tau_j))))*Salcycl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8.0850815351548742E-4</v>
      </c>
      <c r="Q186" s="305">
        <f t="shared" si="53"/>
        <v>0.7</v>
      </c>
      <c r="R186" s="177">
        <f t="shared" si="54"/>
        <v>0.28044405304310427</v>
      </c>
      <c r="S186" s="919">
        <f t="shared" si="55"/>
        <v>-2</v>
      </c>
      <c r="T186" s="176">
        <f t="shared" si="56"/>
        <v>4</v>
      </c>
      <c r="U186" s="251">
        <f t="shared" si="57"/>
        <v>-1.7195559469568957</v>
      </c>
      <c r="V186" s="383">
        <f t="shared" si="58"/>
        <v>54.321047067279565</v>
      </c>
      <c r="W186" s="402">
        <f t="shared" si="59"/>
        <v>23.791436958510214</v>
      </c>
      <c r="X186" s="157">
        <f t="shared" si="60"/>
        <v>45829</v>
      </c>
      <c r="Y186" s="385">
        <f t="shared" si="61"/>
        <v>22.737940877019739</v>
      </c>
      <c r="Z186" s="385">
        <f t="shared" si="62"/>
        <v>24.063004801795742</v>
      </c>
      <c r="AA186" s="386">
        <f t="shared" si="63"/>
        <v>25.540492145052546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5.7848820409007157E-2</v>
      </c>
      <c r="AD186" s="231">
        <f>(INDEX(Models!$BJ186:$BT186,,AH186)*(1-AF186)+INDEX(Models!$BJ186:$BT186,,AH186+1)*AF186-ERP_i)*AE186*Ramure*Pc/MaxiM</f>
        <v>9.0044841476533202E-3</v>
      </c>
      <c r="AE186" s="305">
        <f t="shared" si="65"/>
        <v>0.7</v>
      </c>
      <c r="AF186" s="177">
        <f t="shared" si="66"/>
        <v>0.80543161941708319</v>
      </c>
      <c r="AG186" s="919">
        <f t="shared" si="74"/>
        <v>1</v>
      </c>
      <c r="AH186" s="176">
        <f t="shared" si="67"/>
        <v>7</v>
      </c>
      <c r="AI186" s="225">
        <f t="shared" si="68"/>
        <v>1.8054316194170832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1090">
        <f>IF(t&gt;Tmaj,'2024'!Wh/'2024'!Env_an*'2025'!Env_an,0.001*'[8]mon-tableau'!$B$58)</f>
        <v>42.011082013406259</v>
      </c>
      <c r="C187" s="953"/>
      <c r="D187" s="393">
        <f t="shared" si="50"/>
        <v>44.460270864287452</v>
      </c>
      <c r="E187" s="385">
        <f t="shared" si="75"/>
        <v>45.180233522425354</v>
      </c>
      <c r="F187" s="385">
        <f t="shared" si="51"/>
        <v>45.205572344585129</v>
      </c>
      <c r="G187" s="110">
        <f t="shared" si="76"/>
        <v>0.77445431499291839</v>
      </c>
      <c r="H187" s="412" t="b">
        <f>Wh_hp&gt;='2024'!Maxi_hp</f>
        <v>0</v>
      </c>
      <c r="I187" s="390">
        <f>IF(H187,Wh_hp,'2024'!Maxi_hp)</f>
        <v>58.651325061036623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5.508713292272116E-2</v>
      </c>
      <c r="M187" s="957"/>
      <c r="N187" s="957"/>
      <c r="O187" s="48">
        <f>IF(t&lt;Tnet,'2024'!Resal+('2024'!Salim-'2024'!Resal)*(1-EXP(('2024'!Tnet-t)/('2024'!Tau_j))),Resal+(Salim-Resal)*(1-EXP((Tnet-t)/(Tau_j))))*Salcycl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8.2662652192064018E-4</v>
      </c>
      <c r="Q187" s="305">
        <f t="shared" si="53"/>
        <v>0.7</v>
      </c>
      <c r="R187" s="177">
        <f t="shared" si="54"/>
        <v>0.28531278198319177</v>
      </c>
      <c r="S187" s="919">
        <f t="shared" si="55"/>
        <v>-2</v>
      </c>
      <c r="T187" s="176">
        <f t="shared" si="56"/>
        <v>4</v>
      </c>
      <c r="U187" s="251">
        <f t="shared" si="57"/>
        <v>-1.7146872180168082</v>
      </c>
      <c r="V187" s="383">
        <f t="shared" si="58"/>
        <v>54.231599835697835</v>
      </c>
      <c r="W187" s="402">
        <f t="shared" si="59"/>
        <v>42.011082013406259</v>
      </c>
      <c r="X187" s="157">
        <f t="shared" si="60"/>
        <v>45830</v>
      </c>
      <c r="Y187" s="385">
        <f t="shared" si="61"/>
        <v>39.992131003851199</v>
      </c>
      <c r="Z187" s="385">
        <f t="shared" si="62"/>
        <v>42.323617761234779</v>
      </c>
      <c r="AA187" s="386">
        <f t="shared" si="63"/>
        <v>44.927931313697584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5.796646932793012E-2</v>
      </c>
      <c r="AD187" s="231">
        <f>(INDEX(Models!$BJ187:$BT187,,AH187)*(1-AF187)+INDEX(Models!$BJ187:$BT187,,AH187+1)*AF187-ERP_i)*AE187*Ramure*Pc/MaxiM</f>
        <v>9.057462823563775E-3</v>
      </c>
      <c r="AE187" s="305">
        <f t="shared" si="65"/>
        <v>0.7</v>
      </c>
      <c r="AF187" s="177">
        <f t="shared" si="66"/>
        <v>0.81030034835717069</v>
      </c>
      <c r="AG187" s="919">
        <f t="shared" si="74"/>
        <v>1</v>
      </c>
      <c r="AH187" s="176">
        <f t="shared" si="67"/>
        <v>7</v>
      </c>
      <c r="AI187" s="225">
        <f t="shared" si="68"/>
        <v>1.8103003483571707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1090">
        <f>IF(t&gt;Tmaj,'2024'!Wh/'2024'!Env_an*'2025'!Env_an,0.001*'[8]mon-tableau'!$B$59)</f>
        <v>41.64455806433913</v>
      </c>
      <c r="C188" s="953"/>
      <c r="D188" s="393">
        <f t="shared" si="50"/>
        <v>44.073344387648184</v>
      </c>
      <c r="E188" s="385">
        <f t="shared" si="75"/>
        <v>44.793650878284168</v>
      </c>
      <c r="F188" s="385">
        <f t="shared" si="51"/>
        <v>44.819001004853625</v>
      </c>
      <c r="G188" s="110">
        <f t="shared" si="76"/>
        <v>0.76895900656411587</v>
      </c>
      <c r="H188" s="412" t="b">
        <f>Wh_hp&gt;='2024'!Maxi_hp</f>
        <v>0</v>
      </c>
      <c r="I188" s="390">
        <f>IF(H188,Wh_hp,'2024'!Maxi_hp)</f>
        <v>52.717054573900171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5.5107828939565007E-2</v>
      </c>
      <c r="M188" s="957"/>
      <c r="N188" s="957"/>
      <c r="O188" s="48">
        <f>IF(t&lt;Tnet,'2024'!Resal+('2024'!Salim-'2024'!Resal)*(1-EXP(('2024'!Tnet-t)/('2024'!Tau_j))),Resal+(Salim-Resal)*(1-EXP((Tnet-t)/(Tau_j))))*Salcycl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8.4388415644175076E-4</v>
      </c>
      <c r="Q188" s="305">
        <f t="shared" si="53"/>
        <v>0.7</v>
      </c>
      <c r="R188" s="177">
        <f t="shared" si="54"/>
        <v>0.29013339681441375</v>
      </c>
      <c r="S188" s="919">
        <f t="shared" si="55"/>
        <v>-2</v>
      </c>
      <c r="T188" s="176">
        <f t="shared" si="56"/>
        <v>4</v>
      </c>
      <c r="U188" s="251">
        <f t="shared" si="57"/>
        <v>-1.7098666031855863</v>
      </c>
      <c r="V188" s="383">
        <f t="shared" si="58"/>
        <v>54.141979733799481</v>
      </c>
      <c r="W188" s="402">
        <f t="shared" si="59"/>
        <v>41.64455806433913</v>
      </c>
      <c r="X188" s="157">
        <f t="shared" si="60"/>
        <v>45831</v>
      </c>
      <c r="Y188" s="385">
        <f t="shared" si="61"/>
        <v>39.645940667540458</v>
      </c>
      <c r="Z188" s="385">
        <f t="shared" si="62"/>
        <v>41.958163991396553</v>
      </c>
      <c r="AA188" s="386">
        <f t="shared" si="63"/>
        <v>44.545506131047844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5.8083123627322319E-2</v>
      </c>
      <c r="AD188" s="231">
        <f>(INDEX(Models!$BJ188:$BT188,,AH188)*(1-AF188)+INDEX(Models!$BJ188:$BT188,,AH188+1)*AF188-ERP_i)*AE188*Ramure*Pc/MaxiM</f>
        <v>9.1044117764227696E-3</v>
      </c>
      <c r="AE188" s="305">
        <f t="shared" si="65"/>
        <v>0.7</v>
      </c>
      <c r="AF188" s="177">
        <f t="shared" si="66"/>
        <v>0.81512096318839267</v>
      </c>
      <c r="AG188" s="919">
        <f t="shared" si="74"/>
        <v>1</v>
      </c>
      <c r="AH188" s="176">
        <f t="shared" si="67"/>
        <v>7</v>
      </c>
      <c r="AI188" s="225">
        <f t="shared" si="68"/>
        <v>1.8151209631883927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1090">
        <f>IF(t&gt;Tmaj,'2024'!Wh/'2024'!Env_an*'2025'!Env_an,0.001*'[8]mon-tableau'!$B$60)</f>
        <v>39.666406551056717</v>
      </c>
      <c r="C189" s="953"/>
      <c r="D189" s="393">
        <f t="shared" si="50"/>
        <v>41.980742968451914</v>
      </c>
      <c r="E189" s="385">
        <f t="shared" si="75"/>
        <v>42.673133319759842</v>
      </c>
      <c r="F189" s="385">
        <f t="shared" si="51"/>
        <v>42.695896170038843</v>
      </c>
      <c r="G189" s="110">
        <f t="shared" si="76"/>
        <v>0.73360823655022667</v>
      </c>
      <c r="H189" s="412" t="b">
        <f>Wh_hp&gt;='2024'!Maxi_hp</f>
        <v>0</v>
      </c>
      <c r="I189" s="390">
        <f>IF(H189,Wh_hp,'2024'!Maxi_hp)</f>
        <v>57.879746381610467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5.5128524503113119E-2</v>
      </c>
      <c r="M189" s="957"/>
      <c r="N189" s="957"/>
      <c r="O189" s="48">
        <f>IF(t&lt;Tnet,'2024'!Resal+('2024'!Salim-'2024'!Resal)*(1-EXP(('2024'!Tnet-t)/('2024'!Tau_j))),Resal+(Salim-Resal)*(1-EXP((Tnet-t)/(Tau_j))))*Salcycl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8.6020223919456478E-4</v>
      </c>
      <c r="Q189" s="305">
        <f t="shared" si="53"/>
        <v>0.7</v>
      </c>
      <c r="R189" s="177">
        <f t="shared" si="54"/>
        <v>0.29490259919595618</v>
      </c>
      <c r="S189" s="919">
        <f t="shared" si="55"/>
        <v>-2</v>
      </c>
      <c r="T189" s="176">
        <f t="shared" si="56"/>
        <v>4</v>
      </c>
      <c r="U189" s="251">
        <f t="shared" si="57"/>
        <v>-1.7050974008040438</v>
      </c>
      <c r="V189" s="383">
        <f t="shared" si="58"/>
        <v>54.052591334675938</v>
      </c>
      <c r="W189" s="402">
        <f t="shared" si="59"/>
        <v>39.666406551056717</v>
      </c>
      <c r="X189" s="157">
        <f t="shared" si="60"/>
        <v>45832</v>
      </c>
      <c r="Y189" s="385">
        <f t="shared" si="61"/>
        <v>37.778921119506265</v>
      </c>
      <c r="Z189" s="385">
        <f t="shared" si="62"/>
        <v>39.983132202863011</v>
      </c>
      <c r="AA189" s="386">
        <f t="shared" si="63"/>
        <v>42.453897098944161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5.8198777142242607E-2</v>
      </c>
      <c r="AD189" s="231">
        <f>(INDEX(Models!$BJ189:$BT189,,AH189)*(1-AF189)+INDEX(Models!$BJ189:$BT189,,AH189+1)*AF189-ERP_i)*AE189*Ramure*Pc/MaxiM</f>
        <v>9.1450824605514257E-3</v>
      </c>
      <c r="AE189" s="305">
        <f t="shared" si="65"/>
        <v>0.7</v>
      </c>
      <c r="AF189" s="177">
        <f t="shared" si="66"/>
        <v>0.8198901655699351</v>
      </c>
      <c r="AG189" s="919">
        <f t="shared" si="74"/>
        <v>1</v>
      </c>
      <c r="AH189" s="176">
        <f t="shared" si="67"/>
        <v>7</v>
      </c>
      <c r="AI189" s="225">
        <f t="shared" si="68"/>
        <v>1.8198901655699351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1090">
        <f>IF(t&gt;Tmaj,'2024'!Wh/'2024'!Env_an*'2025'!Env_an,0.001*'[8]mon-tableau'!$B$61)</f>
        <v>34.033437116576799</v>
      </c>
      <c r="C190" s="953"/>
      <c r="D190" s="393">
        <f t="shared" si="50"/>
        <v>36.019906871062339</v>
      </c>
      <c r="E190" s="385">
        <f t="shared" si="75"/>
        <v>36.619366339918017</v>
      </c>
      <c r="F190" s="385">
        <f t="shared" si="51"/>
        <v>36.634517658665992</v>
      </c>
      <c r="G190" s="110">
        <f t="shared" si="76"/>
        <v>0.63037972397418784</v>
      </c>
      <c r="H190" s="412" t="b">
        <f>Wh_hp&gt;='2024'!Maxi_hp</f>
        <v>0</v>
      </c>
      <c r="I190" s="390">
        <f>IF(H190,Wh_hp,'2024'!Maxi_hp)</f>
        <v>56.287194704165557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5.5149219613375156E-2</v>
      </c>
      <c r="M190" s="957"/>
      <c r="N190" s="957"/>
      <c r="O190" s="48">
        <f>IF(t&lt;Tnet,'2024'!Resal+('2024'!Salim-'2024'!Resal)*(1-EXP(('2024'!Tnet-t)/('2024'!Tau_j))),Resal+(Salim-Resal)*(1-EXP((Tnet-t)/(Tau_j))))*Salcycl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8.7551111452358337E-4</v>
      </c>
      <c r="Q190" s="305">
        <f t="shared" si="53"/>
        <v>0.7</v>
      </c>
      <c r="R190" s="177">
        <f t="shared" si="54"/>
        <v>0.29961724658693201</v>
      </c>
      <c r="S190" s="919">
        <f t="shared" si="55"/>
        <v>-2</v>
      </c>
      <c r="T190" s="176">
        <f t="shared" si="56"/>
        <v>4</v>
      </c>
      <c r="U190" s="251">
        <f t="shared" si="57"/>
        <v>-1.700382753413068</v>
      </c>
      <c r="V190" s="383">
        <f t="shared" si="58"/>
        <v>53.963838347822346</v>
      </c>
      <c r="W190" s="402">
        <f t="shared" si="59"/>
        <v>34.033437116576799</v>
      </c>
      <c r="X190" s="157">
        <f t="shared" si="60"/>
        <v>45833</v>
      </c>
      <c r="Y190" s="385">
        <f t="shared" si="61"/>
        <v>32.454341478864507</v>
      </c>
      <c r="Z190" s="385">
        <f t="shared" si="62"/>
        <v>34.348642296283515</v>
      </c>
      <c r="AA190" s="386">
        <f t="shared" si="63"/>
        <v>36.475663200384851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5.8313426473322882E-2</v>
      </c>
      <c r="AD190" s="231">
        <f>(INDEX(Models!$BJ190:$BT190,,AH190)*(1-AF190)+INDEX(Models!$BJ190:$BT190,,AH190+1)*AF190-ERP_i)*AE190*Ramure*Pc/MaxiM</f>
        <v>9.1793226801019836E-3</v>
      </c>
      <c r="AE190" s="305">
        <f t="shared" si="65"/>
        <v>0.7</v>
      </c>
      <c r="AF190" s="177">
        <f t="shared" si="66"/>
        <v>0.82460481296091093</v>
      </c>
      <c r="AG190" s="919">
        <f t="shared" si="74"/>
        <v>1</v>
      </c>
      <c r="AH190" s="176">
        <f t="shared" si="67"/>
        <v>7</v>
      </c>
      <c r="AI190" s="225">
        <f t="shared" si="68"/>
        <v>1.8246048129609109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1090">
        <f>IF(t&gt;Tmaj,'2024'!Wh/'2024'!Env_an*'2025'!Env_an,0.001*'[8]mon-tableau'!$B$62)</f>
        <v>11.027192449057747</v>
      </c>
      <c r="C191" s="953"/>
      <c r="D191" s="393">
        <f t="shared" si="50"/>
        <v>11.671085220092321</v>
      </c>
      <c r="E191" s="385">
        <f t="shared" si="75"/>
        <v>11.867060951751821</v>
      </c>
      <c r="F191" s="385">
        <f t="shared" si="51"/>
        <v>11.867060951751821</v>
      </c>
      <c r="G191" s="110">
        <f t="shared" si="76"/>
        <v>0.20449848124134223</v>
      </c>
      <c r="H191" s="412" t="b">
        <f>Wh_hp&gt;='2024'!Maxi_hp</f>
        <v>0</v>
      </c>
      <c r="I191" s="390">
        <f>IF(H191,Wh_hp,'2024'!Maxi_hp)</f>
        <v>59.196700093726733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5.5169914270361331E-2</v>
      </c>
      <c r="M191" s="957"/>
      <c r="N191" s="957"/>
      <c r="O191" s="48">
        <f>IF(t&lt;Tnet,'2024'!Resal+('2024'!Salim-'2024'!Resal)*(1-EXP(('2024'!Tnet-t)/('2024'!Tau_j))),Resal+(Salim-Resal)*(1-EXP((Tnet-t)/(Tau_j))))*Salcycl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8.8975903041493755E-4</v>
      </c>
      <c r="Q191" s="305">
        <f t="shared" si="53"/>
        <v>0.7</v>
      </c>
      <c r="R191" s="177">
        <f t="shared" si="54"/>
        <v>0.30427435892776433</v>
      </c>
      <c r="S191" s="919">
        <f t="shared" si="55"/>
        <v>-2</v>
      </c>
      <c r="T191" s="176">
        <f t="shared" si="56"/>
        <v>4</v>
      </c>
      <c r="U191" s="251">
        <f t="shared" si="57"/>
        <v>-1.6957256410722357</v>
      </c>
      <c r="V191" s="383">
        <f t="shared" si="58"/>
        <v>53.875123365800121</v>
      </c>
      <c r="W191" s="402">
        <f t="shared" si="59"/>
        <v>11.027192449057747</v>
      </c>
      <c r="X191" s="157">
        <f t="shared" si="60"/>
        <v>45834</v>
      </c>
      <c r="Y191" s="385">
        <f t="shared" si="61"/>
        <v>10.557251084242287</v>
      </c>
      <c r="Z191" s="385">
        <f t="shared" si="62"/>
        <v>11.173703339568744</v>
      </c>
      <c r="AA191" s="386">
        <f t="shared" si="63"/>
        <v>11.867060951751821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5.8427070948912793E-2</v>
      </c>
      <c r="AD191" s="231">
        <f>(INDEX(Models!$BJ191:$BT191,,AH191)*(1-AF191)+INDEX(Models!$BJ191:$BT191,,AH191+1)*AF191-ERP_i)*AE191*Ramure*Pc/MaxiM</f>
        <v>9.2071582836797915E-3</v>
      </c>
      <c r="AE191" s="305">
        <f t="shared" si="65"/>
        <v>0.7</v>
      </c>
      <c r="AF191" s="177">
        <f t="shared" si="66"/>
        <v>0.82926192530174325</v>
      </c>
      <c r="AG191" s="919">
        <f t="shared" si="74"/>
        <v>1</v>
      </c>
      <c r="AH191" s="176">
        <f t="shared" si="67"/>
        <v>7</v>
      </c>
      <c r="AI191" s="225">
        <f t="shared" si="68"/>
        <v>1.8292619253017433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1090">
        <f>IF(t&gt;Tmaj,'2024'!Wh/'2024'!Env_an*'2025'!Env_an,0.001*'[8]mon-tableau'!$B$63)</f>
        <v>10.339109853747054</v>
      </c>
      <c r="C192" s="953"/>
      <c r="D192" s="393">
        <f t="shared" si="50"/>
        <v>10.943064227006493</v>
      </c>
      <c r="E192" s="385">
        <f t="shared" si="75"/>
        <v>11.128443835404758</v>
      </c>
      <c r="F192" s="385">
        <f t="shared" si="51"/>
        <v>11.128443835404758</v>
      </c>
      <c r="G192" s="110">
        <f t="shared" si="76"/>
        <v>0.19205471418636066</v>
      </c>
      <c r="H192" s="412" t="b">
        <f>Wh_hp&gt;='2024'!Maxi_hp</f>
        <v>0</v>
      </c>
      <c r="I192" s="390">
        <f>IF(H192,Wh_hp,'2024'!Maxi_hp)</f>
        <v>57.199547222334189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5.5190608474081193E-2</v>
      </c>
      <c r="M192" s="957"/>
      <c r="N192" s="957"/>
      <c r="O192" s="48">
        <f>IF(t&lt;Tnet,'2024'!Resal+('2024'!Salim-'2024'!Resal)*(1-EXP(('2024'!Tnet-t)/('2024'!Tau_j))),Resal+(Salim-Resal)*(1-EXP((Tnet-t)/(Tau_j))))*Salcycl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9.0240379506361648E-4</v>
      </c>
      <c r="Q192" s="305">
        <f t="shared" si="53"/>
        <v>0.7</v>
      </c>
      <c r="R192" s="177">
        <f t="shared" si="54"/>
        <v>0.30887112434548136</v>
      </c>
      <c r="S192" s="919">
        <f t="shared" si="55"/>
        <v>-2</v>
      </c>
      <c r="T192" s="176">
        <f t="shared" si="56"/>
        <v>4</v>
      </c>
      <c r="U192" s="251">
        <f t="shared" si="57"/>
        <v>-1.6911288756545186</v>
      </c>
      <c r="V192" s="383">
        <f t="shared" si="58"/>
        <v>53.785609197564042</v>
      </c>
      <c r="W192" s="402">
        <f t="shared" si="59"/>
        <v>10.339109853747054</v>
      </c>
      <c r="X192" s="157">
        <f t="shared" si="60"/>
        <v>45835</v>
      </c>
      <c r="Y192" s="385">
        <f t="shared" si="61"/>
        <v>9.8987565929694945</v>
      </c>
      <c r="Z192" s="385">
        <f t="shared" si="62"/>
        <v>10.47698793190705</v>
      </c>
      <c r="AA192" s="386">
        <f t="shared" si="63"/>
        <v>11.128443835404758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5.8539712571952139E-2</v>
      </c>
      <c r="AD192" s="231">
        <f>(INDEX(Models!$BJ192:$BT192,,AH192)*(1-AF192)+INDEX(Models!$BJ192:$BT192,,AH192+1)*AF192-ERP_i)*AE192*Ramure*Pc/MaxiM</f>
        <v>9.2233209066817975E-3</v>
      </c>
      <c r="AE192" s="305">
        <f t="shared" si="65"/>
        <v>0.7</v>
      </c>
      <c r="AF192" s="177">
        <f t="shared" si="66"/>
        <v>0.83385869071946028</v>
      </c>
      <c r="AG192" s="919">
        <f t="shared" si="74"/>
        <v>1</v>
      </c>
      <c r="AH192" s="176">
        <f t="shared" si="67"/>
        <v>7</v>
      </c>
      <c r="AI192" s="225">
        <f t="shared" si="68"/>
        <v>1.8338586907194603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1090">
        <f>IF(t&gt;Tmaj,'2024'!Wh/'2024'!Env_an*'2025'!Env_an,0.001*'[8]mon-tableau'!$B$64)</f>
        <v>53.240743985937073</v>
      </c>
      <c r="C193" s="953"/>
      <c r="D193" s="393">
        <f t="shared" si="50"/>
        <v>56.352011948591958</v>
      </c>
      <c r="E193" s="385">
        <f t="shared" si="75"/>
        <v>57.315005148911332</v>
      </c>
      <c r="F193" s="385">
        <f t="shared" si="51"/>
        <v>57.36679187005182</v>
      </c>
      <c r="G193" s="110">
        <f t="shared" si="76"/>
        <v>0.9915239671100714</v>
      </c>
      <c r="H193" s="412" t="b">
        <f>Wh_hp&gt;='2024'!Maxi_hp</f>
        <v>1</v>
      </c>
      <c r="I193" s="390">
        <f>IF(H193,Wh_hp,'2024'!Maxi_hp)</f>
        <v>57.36679187005182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5.5211302224545067E-2</v>
      </c>
      <c r="M193" s="957"/>
      <c r="N193" s="957"/>
      <c r="O193" s="48">
        <f>IF(t&lt;Tnet,'2024'!Resal+('2024'!Salim-'2024'!Resal)*(1-EXP(('2024'!Tnet-t)/('2024'!Tau_j))),Resal+(Salim-Resal)*(1-EXP((Tnet-t)/(Tau_j))))*Salcycl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9.1378025020435896E-4</v>
      </c>
      <c r="Q193" s="305">
        <f t="shared" si="53"/>
        <v>0.7</v>
      </c>
      <c r="R193" s="177">
        <f t="shared" si="54"/>
        <v>0.31340490387631093</v>
      </c>
      <c r="S193" s="919">
        <f t="shared" si="55"/>
        <v>-2</v>
      </c>
      <c r="T193" s="176">
        <f t="shared" si="56"/>
        <v>4</v>
      </c>
      <c r="U193" s="251">
        <f t="shared" si="57"/>
        <v>-1.6865950961236891</v>
      </c>
      <c r="V193" s="383">
        <f t="shared" si="58"/>
        <v>53.695278071103012</v>
      </c>
      <c r="W193" s="402">
        <f t="shared" si="59"/>
        <v>53.240743985937073</v>
      </c>
      <c r="X193" s="157">
        <f t="shared" si="60"/>
        <v>45836</v>
      </c>
      <c r="Y193" s="385">
        <f t="shared" si="61"/>
        <v>50.555386162198786</v>
      </c>
      <c r="Z193" s="385">
        <f t="shared" si="62"/>
        <v>53.50972792248001</v>
      </c>
      <c r="AA193" s="386">
        <f t="shared" si="63"/>
        <v>56.843687257439633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5.8651355951988837E-2</v>
      </c>
      <c r="AD193" s="231">
        <f>(INDEX(Models!$BJ193:$BT193,,AH193)*(1-AF193)+INDEX(Models!$BJ193:$BT193,,AH193+1)*AF193-ERP_i)*AE193*Ramure*Pc/MaxiM</f>
        <v>9.2302168059471192E-3</v>
      </c>
      <c r="AE193" s="305">
        <f t="shared" si="65"/>
        <v>0.7</v>
      </c>
      <c r="AF193" s="177">
        <f t="shared" si="66"/>
        <v>0.83839247025028985</v>
      </c>
      <c r="AG193" s="919">
        <f t="shared" si="74"/>
        <v>1</v>
      </c>
      <c r="AH193" s="176">
        <f t="shared" si="67"/>
        <v>7</v>
      </c>
      <c r="AI193" s="225">
        <f t="shared" si="68"/>
        <v>1.8383924702502898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1090">
        <f>IF(t&gt;Tmaj,'2024'!Wh/'2024'!Env_an*'2025'!Env_an,0.001*'[8]mon-tableau'!$B$65)</f>
        <v>54.07175169633723</v>
      </c>
      <c r="C194" s="953"/>
      <c r="D194" s="393">
        <f t="shared" si="50"/>
        <v>57.232835405131212</v>
      </c>
      <c r="E194" s="385">
        <f t="shared" si="75"/>
        <v>58.219363246240952</v>
      </c>
      <c r="F194" s="385">
        <f t="shared" si="51"/>
        <v>58.273197772555612</v>
      </c>
      <c r="G194" s="110">
        <f t="shared" si="76"/>
        <v>1.0087235496234723</v>
      </c>
      <c r="H194" s="412" t="b">
        <f>Wh_hp&gt;='2024'!Maxi_hp</f>
        <v>1</v>
      </c>
      <c r="I194" s="390">
        <f>IF(H194,Wh_hp,'2024'!Maxi_hp)</f>
        <v>58.273197772555612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5.5231995521762611E-2</v>
      </c>
      <c r="M194" s="957"/>
      <c r="N194" s="957"/>
      <c r="O194" s="48">
        <f>IF(t&lt;Tnet,'2024'!Resal+('2024'!Salim-'2024'!Resal)*(1-EXP(('2024'!Tnet-t)/('2024'!Tau_j))),Resal+(Salim-Resal)*(1-EXP((Tnet-t)/(Tau_j))))*Salcycl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9.2382996596094115E-4</v>
      </c>
      <c r="Q194" s="305">
        <f t="shared" si="53"/>
        <v>0.7</v>
      </c>
      <c r="R194" s="177">
        <f t="shared" si="54"/>
        <v>0.3178732352080833</v>
      </c>
      <c r="S194" s="919">
        <f t="shared" si="55"/>
        <v>-2</v>
      </c>
      <c r="T194" s="176">
        <f t="shared" si="56"/>
        <v>4</v>
      </c>
      <c r="U194" s="251">
        <f t="shared" si="57"/>
        <v>-1.6821267647919167</v>
      </c>
      <c r="V194" s="383">
        <f t="shared" si="58"/>
        <v>53.604133378784177</v>
      </c>
      <c r="W194" s="402">
        <f t="shared" si="59"/>
        <v>54.07175169633723</v>
      </c>
      <c r="X194" s="157">
        <f t="shared" si="60"/>
        <v>45837</v>
      </c>
      <c r="Y194" s="385">
        <f t="shared" si="61"/>
        <v>51.341352150042631</v>
      </c>
      <c r="Z194" s="385">
        <f t="shared" si="62"/>
        <v>54.34281422177996</v>
      </c>
      <c r="AA194" s="386">
        <f t="shared" si="63"/>
        <v>57.735466158964719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5.8762008222877644E-2</v>
      </c>
      <c r="AD194" s="231">
        <f>(INDEX(Models!$BJ194:$BT194,,AH194)*(1-AF194)+INDEX(Models!$BJ194:$BT194,,AH194+1)*AF194-ERP_i)*AE194*Ramure*Pc/MaxiM</f>
        <v>9.2277690970331751E-3</v>
      </c>
      <c r="AE194" s="305">
        <f t="shared" si="65"/>
        <v>0.7</v>
      </c>
      <c r="AF194" s="177">
        <f t="shared" si="66"/>
        <v>0.84286080158206222</v>
      </c>
      <c r="AG194" s="919">
        <f t="shared" si="74"/>
        <v>1</v>
      </c>
      <c r="AH194" s="176">
        <f t="shared" si="67"/>
        <v>7</v>
      </c>
      <c r="AI194" s="225">
        <f t="shared" si="68"/>
        <v>1.8428608015820622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1090">
        <f>IF(t&gt;Tmaj,'2024'!Wh/'2024'!Env_an*'2025'!Env_an,0.001*'[8]mon-tableau'!$B$66)</f>
        <v>12.313043044483782</v>
      </c>
      <c r="C195" s="953"/>
      <c r="D195" s="393">
        <f t="shared" si="50"/>
        <v>13.033160182466421</v>
      </c>
      <c r="E195" s="385">
        <f t="shared" si="75"/>
        <v>13.259741605585837</v>
      </c>
      <c r="F195" s="385">
        <f t="shared" si="51"/>
        <v>13.259741605585837</v>
      </c>
      <c r="G195" s="110">
        <f t="shared" si="76"/>
        <v>0.22988339398947188</v>
      </c>
      <c r="H195" s="412" t="b">
        <f>Wh_hp&gt;='2024'!Maxi_hp</f>
        <v>0</v>
      </c>
      <c r="I195" s="390">
        <f>IF(H195,Wh_hp,'2024'!Maxi_hp)</f>
        <v>51.899795502885659</v>
      </c>
      <c r="J195" s="85">
        <f>IF(H195,An,'2024'!An_max)</f>
        <v>2021</v>
      </c>
      <c r="K195" s="197">
        <f t="shared" si="52"/>
        <v>45838</v>
      </c>
      <c r="L195" s="147">
        <f>IF(t&lt;Tvie,1-EXP((T0-t)*PertePVj)+'2024'!Pspv,1-EXP((T0-t)*PertePVj)+Pspv)</f>
        <v>5.5252688365743818E-2</v>
      </c>
      <c r="M195" s="957"/>
      <c r="N195" s="957"/>
      <c r="O195" s="48">
        <f>IF(t&lt;Tnet,'2024'!Resal+('2024'!Salim-'2024'!Resal)*(1-EXP(('2024'!Tnet-t)/('2024'!Tau_j))),Resal+(Salim-Resal)*(1-EXP((Tnet-t)/(Tau_j))))*Salcycl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9.3249698567685318E-4</v>
      </c>
      <c r="Q195" s="305">
        <f t="shared" si="53"/>
        <v>0.7</v>
      </c>
      <c r="R195" s="177">
        <f t="shared" si="54"/>
        <v>0.32227383545363875</v>
      </c>
      <c r="S195" s="919">
        <f t="shared" si="55"/>
        <v>-2</v>
      </c>
      <c r="T195" s="176">
        <f t="shared" si="56"/>
        <v>4</v>
      </c>
      <c r="U195" s="251">
        <f t="shared" si="57"/>
        <v>-1.6777261645463613</v>
      </c>
      <c r="V195" s="383">
        <f t="shared" si="58"/>
        <v>53.512178306901433</v>
      </c>
      <c r="W195" s="402">
        <f t="shared" si="59"/>
        <v>12.313043044483782</v>
      </c>
      <c r="X195" s="157">
        <f t="shared" si="60"/>
        <v>45838</v>
      </c>
      <c r="Y195" s="385">
        <f t="shared" si="61"/>
        <v>11.7896135173236</v>
      </c>
      <c r="Z195" s="385">
        <f t="shared" si="62"/>
        <v>12.479118354864143</v>
      </c>
      <c r="AA195" s="386">
        <f t="shared" si="63"/>
        <v>13.259741605585837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5.8871678946808927E-2</v>
      </c>
      <c r="AD195" s="231">
        <f>(INDEX(Models!$BJ195:$BT195,,AH195)*(1-AF195)+INDEX(Models!$BJ195:$BT195,,AH195+1)*AF195-ERP_i)*AE195*Ramure*Pc/MaxiM</f>
        <v>9.2159097877809824E-3</v>
      </c>
      <c r="AE195" s="305">
        <f t="shared" si="65"/>
        <v>0.7</v>
      </c>
      <c r="AF195" s="177">
        <f t="shared" si="66"/>
        <v>0.84726140182761789</v>
      </c>
      <c r="AG195" s="919">
        <f t="shared" si="74"/>
        <v>1</v>
      </c>
      <c r="AH195" s="176">
        <f t="shared" si="67"/>
        <v>7</v>
      </c>
      <c r="AI195" s="225">
        <f t="shared" si="68"/>
        <v>1.8472614018276179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1090">
        <f>IF(t&gt;Tmaj,'2024'!Wh/'2024'!Env_an*'2025'!Env_an,0.001*[9]mois!$B$38)</f>
        <v>46.081346447259541</v>
      </c>
      <c r="C196" s="953"/>
      <c r="D196" s="393">
        <f t="shared" si="50"/>
        <v>48.777440487661508</v>
      </c>
      <c r="E196" s="385">
        <f t="shared" si="75"/>
        <v>49.632635065296505</v>
      </c>
      <c r="F196" s="385">
        <f t="shared" si="51"/>
        <v>49.670151772589691</v>
      </c>
      <c r="G196" s="110">
        <f t="shared" si="76"/>
        <v>0.86247371675350759</v>
      </c>
      <c r="H196" s="412" t="b">
        <f>Wh_hp&gt;='2024'!Maxi_hp</f>
        <v>0</v>
      </c>
      <c r="I196" s="390">
        <f>IF(H196,Wh_hp,'2024'!Maxi_hp)</f>
        <v>55.368807466601659</v>
      </c>
      <c r="J196" s="85">
        <f>IF(H196,An,'2024'!An_max)</f>
        <v>2021</v>
      </c>
      <c r="K196" s="197">
        <f t="shared" si="52"/>
        <v>45839</v>
      </c>
      <c r="L196" s="147">
        <f>IF(t&lt;Tvie,1-EXP((T0-t)*PertePVj)+'2024'!Pspv,1-EXP((T0-t)*PertePVj)+Pspv)</f>
        <v>5.527338075649868E-2</v>
      </c>
      <c r="M196" s="957"/>
      <c r="N196" s="957"/>
      <c r="O196" s="48">
        <f>IF(t&lt;Tnet,'2024'!Resal+('2024'!Salim-'2024'!Resal)*(1-EXP(('2024'!Tnet-t)/('2024'!Tau_j))),Resal+(Salim-Resal)*(1-EXP((Tnet-t)/(Tau_j))))*Salcycl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9.3972792288674262E-4</v>
      </c>
      <c r="Q196" s="305">
        <f t="shared" si="53"/>
        <v>0.7</v>
      </c>
      <c r="R196" s="177">
        <f t="shared" si="54"/>
        <v>0.32660460297458171</v>
      </c>
      <c r="S196" s="919">
        <f t="shared" si="55"/>
        <v>-2</v>
      </c>
      <c r="T196" s="176">
        <f t="shared" si="56"/>
        <v>4</v>
      </c>
      <c r="U196" s="251">
        <f t="shared" si="57"/>
        <v>-1.6733953970254183</v>
      </c>
      <c r="V196" s="383">
        <f t="shared" si="58"/>
        <v>53.419415829921213</v>
      </c>
      <c r="W196" s="402">
        <f t="shared" si="59"/>
        <v>46.081346447259541</v>
      </c>
      <c r="X196" s="157">
        <f t="shared" si="60"/>
        <v>45839</v>
      </c>
      <c r="Y196" s="385">
        <f t="shared" si="61"/>
        <v>43.830745350786422</v>
      </c>
      <c r="Z196" s="385">
        <f t="shared" si="62"/>
        <v>46.395162852386122</v>
      </c>
      <c r="AA196" s="386">
        <f t="shared" si="63"/>
        <v>49.303077073625261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5.8980380005424264E-2</v>
      </c>
      <c r="AD196" s="231">
        <f>(INDEX(Models!$BJ196:$BT196,,AH196)*(1-AF196)+INDEX(Models!$BJ196:$BT196,,AH196+1)*AF196-ERP_i)*AE196*Ramure*Pc/MaxiM</f>
        <v>9.194579409818663E-3</v>
      </c>
      <c r="AE196" s="305">
        <f t="shared" si="65"/>
        <v>0.7</v>
      </c>
      <c r="AF196" s="177">
        <f t="shared" si="66"/>
        <v>0.85159216934856063</v>
      </c>
      <c r="AG196" s="919">
        <f t="shared" si="74"/>
        <v>1</v>
      </c>
      <c r="AH196" s="176">
        <f t="shared" si="67"/>
        <v>7</v>
      </c>
      <c r="AI196" s="225">
        <f t="shared" si="68"/>
        <v>1.8515921693485606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1090">
        <f>IF(t&gt;Tmaj,'2024'!Wh/'2024'!Env_an*'2025'!Env_an,0.001*[9]mois!$B$39)</f>
        <v>53.03285362970842</v>
      </c>
      <c r="C197" s="953"/>
      <c r="D197" s="393">
        <f t="shared" si="50"/>
        <v>56.136890959225042</v>
      </c>
      <c r="E197" s="385">
        <f t="shared" si="75"/>
        <v>57.129383425830895</v>
      </c>
      <c r="F197" s="385">
        <f t="shared" si="51"/>
        <v>57.183024010135604</v>
      </c>
      <c r="G197" s="110">
        <f t="shared" si="76"/>
        <v>0.99449818385314925</v>
      </c>
      <c r="H197" s="412" t="b">
        <f>Wh_hp&gt;='2024'!Maxi_hp</f>
        <v>1</v>
      </c>
      <c r="I197" s="390">
        <f>IF(H197,Wh_hp,'2024'!Maxi_hp)</f>
        <v>57.183024010135604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5.5294072694037077E-2</v>
      </c>
      <c r="M197" s="957"/>
      <c r="N197" s="957"/>
      <c r="O197" s="48">
        <f>IF(t&lt;Tnet,'2024'!Resal+('2024'!Salim-'2024'!Resal)*(1-EXP(('2024'!Tnet-t)/('2024'!Tau_j))),Resal+(Salim-Resal)*(1-EXP((Tnet-t)/(Tau_j))))*Salcycl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9.4547203443867776E-4</v>
      </c>
      <c r="Q197" s="305">
        <f t="shared" si="53"/>
        <v>0.7</v>
      </c>
      <c r="R197" s="177">
        <f t="shared" si="54"/>
        <v>0.33086361828224242</v>
      </c>
      <c r="S197" s="919">
        <f t="shared" si="55"/>
        <v>-2</v>
      </c>
      <c r="T197" s="176">
        <f t="shared" si="56"/>
        <v>4</v>
      </c>
      <c r="U197" s="251">
        <f t="shared" si="57"/>
        <v>-1.6691363817177576</v>
      </c>
      <c r="V197" s="383">
        <f t="shared" si="58"/>
        <v>53.325848709084909</v>
      </c>
      <c r="W197" s="402">
        <f t="shared" si="59"/>
        <v>53.03285362970842</v>
      </c>
      <c r="X197" s="157">
        <f t="shared" si="60"/>
        <v>45840</v>
      </c>
      <c r="Y197" s="385">
        <f t="shared" si="61"/>
        <v>50.367005465154243</v>
      </c>
      <c r="Z197" s="385">
        <f t="shared" si="62"/>
        <v>53.315009474733429</v>
      </c>
      <c r="AA197" s="386">
        <f t="shared" si="63"/>
        <v>56.663127460122773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5.9088125478877054E-2</v>
      </c>
      <c r="AD197" s="231">
        <f>(INDEX(Models!$BJ197:$BT197,,AH197)*(1-AF197)+INDEX(Models!$BJ197:$BT197,,AH197+1)*AF197-ERP_i)*AE197*Ramure*Pc/MaxiM</f>
        <v>9.1637265926485297E-3</v>
      </c>
      <c r="AE197" s="305">
        <f t="shared" si="65"/>
        <v>0.7</v>
      </c>
      <c r="AF197" s="177">
        <f t="shared" si="66"/>
        <v>0.85585118465622134</v>
      </c>
      <c r="AG197" s="919">
        <f t="shared" si="74"/>
        <v>1</v>
      </c>
      <c r="AH197" s="176">
        <f t="shared" si="67"/>
        <v>7</v>
      </c>
      <c r="AI197" s="225">
        <f t="shared" si="68"/>
        <v>1.8558511846562213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1090">
        <f>IF(t&gt;Tmaj,'2024'!Wh/'2024'!Env_an*'2025'!Env_an,0.001*[9]mois!$B$40)</f>
        <v>45.865017320713903</v>
      </c>
      <c r="C198" s="953"/>
      <c r="D198" s="393">
        <f t="shared" si="50"/>
        <v>48.550581274643541</v>
      </c>
      <c r="E198" s="385">
        <f t="shared" si="75"/>
        <v>49.416084089551099</v>
      </c>
      <c r="F198" s="385">
        <f t="shared" si="51"/>
        <v>49.453752006128255</v>
      </c>
      <c r="G198" s="110">
        <f t="shared" si="76"/>
        <v>0.86145244295785395</v>
      </c>
      <c r="H198" s="412" t="b">
        <f>Wh_hp&gt;='2024'!Maxi_hp</f>
        <v>1</v>
      </c>
      <c r="I198" s="390">
        <f>IF(H198,Wh_hp,'2024'!Maxi_hp)</f>
        <v>49.453752006128255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5.5314764178368891E-2</v>
      </c>
      <c r="M198" s="957"/>
      <c r="N198" s="957"/>
      <c r="O198" s="48">
        <f>IF(t&lt;Tnet,'2024'!Resal+('2024'!Salim-'2024'!Resal)*(1-EXP(('2024'!Tnet-t)/('2024'!Tau_j))),Resal+(Salim-Resal)*(1-EXP((Tnet-t)/(Tau_j))))*Salcycl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9.4936289524440512E-4</v>
      </c>
      <c r="Q198" s="305">
        <f t="shared" si="53"/>
        <v>0.7</v>
      </c>
      <c r="R198" s="177">
        <f t="shared" si="54"/>
        <v>0.33504914404953889</v>
      </c>
      <c r="S198" s="919">
        <f t="shared" si="55"/>
        <v>-2</v>
      </c>
      <c r="T198" s="176">
        <f t="shared" si="56"/>
        <v>4</v>
      </c>
      <c r="U198" s="251">
        <f t="shared" si="57"/>
        <v>-1.6649508559504611</v>
      </c>
      <c r="V198" s="383">
        <f t="shared" si="58"/>
        <v>53.231496455467564</v>
      </c>
      <c r="W198" s="402">
        <f t="shared" si="59"/>
        <v>45.865017320713903</v>
      </c>
      <c r="X198" s="157">
        <f t="shared" si="60"/>
        <v>45841</v>
      </c>
      <c r="Y198" s="385">
        <f t="shared" si="61"/>
        <v>43.631115404162607</v>
      </c>
      <c r="Z198" s="385">
        <f t="shared" si="62"/>
        <v>46.185876257730285</v>
      </c>
      <c r="AA198" s="386">
        <f t="shared" si="63"/>
        <v>49.091865897411751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5.9194931513790253E-2</v>
      </c>
      <c r="AD198" s="231">
        <f>(INDEX(Models!$BJ198:$BT198,,AH198)*(1-AF198)+INDEX(Models!$BJ198:$BT198,,AH198+1)*AF198-ERP_i)*AE198*Ramure*Pc/MaxiM</f>
        <v>9.1207923118367014E-3</v>
      </c>
      <c r="AE198" s="305">
        <f t="shared" si="65"/>
        <v>0.7</v>
      </c>
      <c r="AF198" s="177">
        <f t="shared" si="66"/>
        <v>0.86003671042351781</v>
      </c>
      <c r="AG198" s="919">
        <f t="shared" si="74"/>
        <v>1</v>
      </c>
      <c r="AH198" s="176">
        <f t="shared" si="67"/>
        <v>7</v>
      </c>
      <c r="AI198" s="225">
        <f t="shared" si="68"/>
        <v>1.8600367104235178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1090">
        <f>IF(t&gt;Tmaj,'2024'!Wh/'2024'!Env_an*'2025'!Env_an,0.001*[9]mois!$B$41)</f>
        <v>43.737393725517222</v>
      </c>
      <c r="C199" s="953"/>
      <c r="D199" s="393">
        <f t="shared" si="50"/>
        <v>46.299391637713192</v>
      </c>
      <c r="E199" s="385">
        <f t="shared" si="75"/>
        <v>47.131552847033291</v>
      </c>
      <c r="F199" s="385">
        <f t="shared" si="51"/>
        <v>47.165100943397782</v>
      </c>
      <c r="G199" s="110">
        <f t="shared" si="76"/>
        <v>0.82291834396694563</v>
      </c>
      <c r="H199" s="412" t="b">
        <f>Wh_hp&gt;='2024'!Maxi_hp</f>
        <v>0</v>
      </c>
      <c r="I199" s="390">
        <f>IF(H199,Wh_hp,'2024'!Maxi_hp)</f>
        <v>55.745011407918014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5.5335455209504225E-2</v>
      </c>
      <c r="M199" s="957"/>
      <c r="N199" s="957"/>
      <c r="O199" s="48">
        <f>IF(t&lt;Tnet,'2024'!Resal+('2024'!Salim-'2024'!Resal)*(1-EXP(('2024'!Tnet-t)/('2024'!Tau_j))),Resal+(Salim-Resal)*(1-EXP((Tnet-t)/(Tau_j))))*Salcycl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9.518023508565481E-4</v>
      </c>
      <c r="Q199" s="305">
        <f t="shared" si="53"/>
        <v>0.7</v>
      </c>
      <c r="R199" s="177">
        <f t="shared" si="54"/>
        <v>0.339159624273496</v>
      </c>
      <c r="S199" s="919">
        <f t="shared" si="55"/>
        <v>-2</v>
      </c>
      <c r="T199" s="176">
        <f t="shared" si="56"/>
        <v>4</v>
      </c>
      <c r="U199" s="251">
        <f t="shared" si="57"/>
        <v>-1.660840375726504</v>
      </c>
      <c r="V199" s="383">
        <f t="shared" si="58"/>
        <v>53.136337529077743</v>
      </c>
      <c r="W199" s="402">
        <f t="shared" si="59"/>
        <v>43.737393725517222</v>
      </c>
      <c r="X199" s="157">
        <f t="shared" si="60"/>
        <v>45842</v>
      </c>
      <c r="Y199" s="385">
        <f t="shared" si="61"/>
        <v>41.629001470304019</v>
      </c>
      <c r="Z199" s="385">
        <f t="shared" si="62"/>
        <v>44.067496446091717</v>
      </c>
      <c r="AA199" s="386">
        <f t="shared" si="63"/>
        <v>46.845471117765634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5.930081618114847E-2</v>
      </c>
      <c r="AD199" s="231">
        <f>(INDEX(Models!$BJ199:$BT199,,AH199)*(1-AF199)+INDEX(Models!$BJ199:$BT199,,AH199+1)*AF199-ERP_i)*AE199*Ramure*Pc/MaxiM</f>
        <v>9.0683064736447484E-3</v>
      </c>
      <c r="AE199" s="305">
        <f t="shared" si="65"/>
        <v>0.7</v>
      </c>
      <c r="AF199" s="177">
        <f t="shared" si="66"/>
        <v>0.86414719064747492</v>
      </c>
      <c r="AG199" s="919">
        <f t="shared" si="74"/>
        <v>1</v>
      </c>
      <c r="AH199" s="176">
        <f t="shared" si="67"/>
        <v>7</v>
      </c>
      <c r="AI199" s="225">
        <f t="shared" si="68"/>
        <v>1.8641471906474749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1090">
        <f>IF(t&gt;Tmaj,'2024'!Wh/'2024'!Env_an*'2025'!Env_an,0.001*[9]mois!$B$42)</f>
        <v>53.255327574140587</v>
      </c>
      <c r="C200" s="953"/>
      <c r="D200" s="393">
        <f t="shared" si="50"/>
        <v>56.376090668090029</v>
      </c>
      <c r="E200" s="385">
        <f t="shared" si="75"/>
        <v>57.397615440280923</v>
      </c>
      <c r="F200" s="385">
        <f t="shared" si="51"/>
        <v>57.45235340979238</v>
      </c>
      <c r="G200" s="110">
        <f t="shared" si="76"/>
        <v>1.0040526453175844</v>
      </c>
      <c r="H200" s="412" t="b">
        <f>Wh_hp&gt;='2024'!Maxi_hp</f>
        <v>0</v>
      </c>
      <c r="I200" s="390">
        <f>IF(H200,Wh_hp,'2024'!Maxi_hp)</f>
        <v>58.767865102105034</v>
      </c>
      <c r="J200" s="85">
        <f>IF(H200,An,'2024'!An_max)</f>
        <v>2021</v>
      </c>
      <c r="K200" s="197">
        <f t="shared" si="52"/>
        <v>45843</v>
      </c>
      <c r="L200" s="147">
        <f>IF(t&lt;Tvie,1-EXP((T0-t)*PertePVj)+'2024'!Pspv,1-EXP((T0-t)*PertePVj)+Pspv)</f>
        <v>5.5356145787452737E-2</v>
      </c>
      <c r="M200" s="957"/>
      <c r="N200" s="957"/>
      <c r="O200" s="48">
        <f>IF(t&lt;Tnet,'2024'!Resal+('2024'!Salim-'2024'!Resal)*(1-EXP(('2024'!Tnet-t)/('2024'!Tau_j))),Resal+(Salim-Resal)*(1-EXP((Tnet-t)/(Tau_j))))*Salcycl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9.5275417389824963E-4</v>
      </c>
      <c r="Q200" s="305">
        <f t="shared" si="53"/>
        <v>0.7</v>
      </c>
      <c r="R200" s="177">
        <f t="shared" si="54"/>
        <v>0.34319368263346983</v>
      </c>
      <c r="S200" s="919">
        <f t="shared" si="55"/>
        <v>-2</v>
      </c>
      <c r="T200" s="176">
        <f t="shared" si="56"/>
        <v>4</v>
      </c>
      <c r="U200" s="251">
        <f t="shared" si="57"/>
        <v>-1.6568063173665302</v>
      </c>
      <c r="V200" s="383">
        <f t="shared" si="58"/>
        <v>53.040373751812375</v>
      </c>
      <c r="W200" s="402">
        <f t="shared" si="59"/>
        <v>53.255327574140587</v>
      </c>
      <c r="X200" s="157">
        <f t="shared" si="60"/>
        <v>45843</v>
      </c>
      <c r="Y200" s="385">
        <f t="shared" si="61"/>
        <v>50.588190110893706</v>
      </c>
      <c r="Z200" s="385">
        <f t="shared" si="62"/>
        <v>53.552658904517926</v>
      </c>
      <c r="AA200" s="386">
        <f t="shared" si="63"/>
        <v>56.934923547370751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5.940579932523718E-2</v>
      </c>
      <c r="AD200" s="231">
        <f>(INDEX(Models!$BJ200:$BT200,,AH200)*(1-AF200)+INDEX(Models!$BJ200:$BT200,,AH200+1)*AF200-ERP_i)*AE200*Ramure*Pc/MaxiM</f>
        <v>9.0062431164645036E-3</v>
      </c>
      <c r="AE200" s="305">
        <f t="shared" si="65"/>
        <v>0.7</v>
      </c>
      <c r="AF200" s="177">
        <f t="shared" si="66"/>
        <v>0.86818124900744875</v>
      </c>
      <c r="AG200" s="919">
        <f t="shared" si="74"/>
        <v>1</v>
      </c>
      <c r="AH200" s="176">
        <f t="shared" si="67"/>
        <v>7</v>
      </c>
      <c r="AI200" s="225">
        <f t="shared" si="68"/>
        <v>1.8681812490074488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1090">
        <f>IF(t&gt;Tmaj,'2024'!Wh/'2024'!Env_an*'2025'!Env_an,0.001*[9]mois!$B$43)</f>
        <v>43.624938485470778</v>
      </c>
      <c r="C201" s="953"/>
      <c r="D201" s="393">
        <f t="shared" si="50"/>
        <v>46.18237212888959</v>
      </c>
      <c r="E201" s="385">
        <f t="shared" si="75"/>
        <v>47.025932676967493</v>
      </c>
      <c r="F201" s="385">
        <f t="shared" si="51"/>
        <v>47.059474928024294</v>
      </c>
      <c r="G201" s="110">
        <f t="shared" si="76"/>
        <v>0.82379136885465665</v>
      </c>
      <c r="H201" s="412" t="b">
        <f>Wh_hp&gt;='2024'!Maxi_hp</f>
        <v>0</v>
      </c>
      <c r="I201" s="390">
        <f>IF(H201,Wh_hp,'2024'!Maxi_hp)</f>
        <v>56.315415913154332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5.5376835912224531E-2</v>
      </c>
      <c r="M201" s="957"/>
      <c r="N201" s="957"/>
      <c r="O201" s="48">
        <f>IF(t&lt;Tnet,'2024'!Resal+('2024'!Salim-'2024'!Resal)*(1-EXP(('2024'!Tnet-t)/('2024'!Tau_j))),Resal+(Salim-Resal)*(1-EXP((Tnet-t)/(Tau_j))))*Salcycl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9.5218464079652155E-4</v>
      </c>
      <c r="Q201" s="305">
        <f t="shared" si="53"/>
        <v>0.7</v>
      </c>
      <c r="R201" s="177">
        <f t="shared" si="54"/>
        <v>0.34715012009459589</v>
      </c>
      <c r="S201" s="919">
        <f t="shared" si="55"/>
        <v>-2</v>
      </c>
      <c r="T201" s="176">
        <f t="shared" si="56"/>
        <v>4</v>
      </c>
      <c r="U201" s="251">
        <f t="shared" si="57"/>
        <v>-1.6528498799054041</v>
      </c>
      <c r="V201" s="383">
        <f t="shared" si="58"/>
        <v>52.943606753793098</v>
      </c>
      <c r="W201" s="402">
        <f t="shared" si="59"/>
        <v>43.624938485470778</v>
      </c>
      <c r="X201" s="157">
        <f t="shared" si="60"/>
        <v>45844</v>
      </c>
      <c r="Y201" s="385">
        <f t="shared" si="61"/>
        <v>41.528434966394911</v>
      </c>
      <c r="Z201" s="385">
        <f t="shared" si="62"/>
        <v>43.962964857524966</v>
      </c>
      <c r="AA201" s="386">
        <f t="shared" si="63"/>
        <v>46.744739758490915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5.950990240480817E-2</v>
      </c>
      <c r="AD201" s="231">
        <f>(INDEX(Models!$BJ201:$BT201,,AH201)*(1-AF201)+INDEX(Models!$BJ201:$BT201,,AH201+1)*AF201-ERP_i)*AE201*Ramure*Pc/MaxiM</f>
        <v>8.9345820541570017E-3</v>
      </c>
      <c r="AE201" s="305">
        <f t="shared" si="65"/>
        <v>0.7</v>
      </c>
      <c r="AF201" s="177">
        <f t="shared" si="66"/>
        <v>0.87213768646857481</v>
      </c>
      <c r="AG201" s="919">
        <f t="shared" si="74"/>
        <v>1</v>
      </c>
      <c r="AH201" s="176">
        <f t="shared" si="67"/>
        <v>7</v>
      </c>
      <c r="AI201" s="225">
        <f t="shared" si="68"/>
        <v>1.8721376864685748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1090">
        <f>IF(t&gt;Tmaj,'2024'!Wh/'2024'!Env_an*'2025'!Env_an,0.001*[9]mois!$B$44)</f>
        <v>51.529999830552057</v>
      </c>
      <c r="C202" s="953"/>
      <c r="D202" s="393">
        <f t="shared" si="50"/>
        <v>54.552048323186057</v>
      </c>
      <c r="E202" s="385">
        <f t="shared" si="75"/>
        <v>55.556437816202703</v>
      </c>
      <c r="F202" s="385">
        <f t="shared" si="51"/>
        <v>55.607388808829583</v>
      </c>
      <c r="G202" s="110">
        <f t="shared" si="76"/>
        <v>0.97506376100715397</v>
      </c>
      <c r="H202" s="412" t="b">
        <f>Wh_hp&gt;='2024'!Maxi_hp</f>
        <v>0</v>
      </c>
      <c r="I202" s="390">
        <f>IF(H202,Wh_hp,'2024'!Maxi_hp)</f>
        <v>56.989181729783134</v>
      </c>
      <c r="J202" s="85">
        <f>IF(H202,An,'2024'!An_max)</f>
        <v>2018</v>
      </c>
      <c r="K202" s="197">
        <f t="shared" si="52"/>
        <v>45845</v>
      </c>
      <c r="L202" s="147">
        <f>IF(t&lt;Tvie,1-EXP((T0-t)*PertePVj)+'2024'!Pspv,1-EXP((T0-t)*PertePVj)+Pspv)</f>
        <v>5.5397525583829488E-2</v>
      </c>
      <c r="M202" s="957"/>
      <c r="N202" s="957"/>
      <c r="O202" s="48">
        <f>IF(t&lt;Tnet,'2024'!Resal+('2024'!Salim-'2024'!Resal)*(1-EXP(('2024'!Tnet-t)/('2024'!Tau_j))),Resal+(Salim-Resal)*(1-EXP((Tnet-t)/(Tau_j))))*Salcycl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9.5006248749297329E-4</v>
      </c>
      <c r="Q202" s="305">
        <f t="shared" si="53"/>
        <v>0.7</v>
      </c>
      <c r="R202" s="177">
        <f t="shared" si="54"/>
        <v>0.35102791180963555</v>
      </c>
      <c r="S202" s="919">
        <f t="shared" si="55"/>
        <v>-2</v>
      </c>
      <c r="T202" s="176">
        <f t="shared" si="56"/>
        <v>4</v>
      </c>
      <c r="U202" s="251">
        <f t="shared" si="57"/>
        <v>-1.6489720881903644</v>
      </c>
      <c r="V202" s="383">
        <f t="shared" si="58"/>
        <v>52.846037978264825</v>
      </c>
      <c r="W202" s="402">
        <f t="shared" si="59"/>
        <v>51.529999830552057</v>
      </c>
      <c r="X202" s="157">
        <f t="shared" si="60"/>
        <v>45845</v>
      </c>
      <c r="Y202" s="385">
        <f t="shared" si="61"/>
        <v>48.973828141971083</v>
      </c>
      <c r="Z202" s="385">
        <f t="shared" si="62"/>
        <v>51.845966391566236</v>
      </c>
      <c r="AA202" s="386">
        <f t="shared" si="63"/>
        <v>55.132593888747216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5.9613148327704486E-2</v>
      </c>
      <c r="AD202" s="231">
        <f>(INDEX(Models!$BJ202:$BT202,,AH202)*(1-AF202)+INDEX(Models!$BJ202:$BT202,,AH202+1)*AF202-ERP_i)*AE202*Ramure*Pc/MaxiM</f>
        <v>8.853308239268106E-3</v>
      </c>
      <c r="AE202" s="305">
        <f t="shared" si="65"/>
        <v>0.7</v>
      </c>
      <c r="AF202" s="177">
        <f t="shared" si="66"/>
        <v>0.87601547818361447</v>
      </c>
      <c r="AG202" s="919">
        <f t="shared" si="74"/>
        <v>1</v>
      </c>
      <c r="AH202" s="176">
        <f t="shared" si="67"/>
        <v>7</v>
      </c>
      <c r="AI202" s="225">
        <f t="shared" si="68"/>
        <v>1.8760154781836145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1090">
        <f>IF(t&gt;Tmaj,'2024'!Wh/'2024'!Env_an*'2025'!Env_an,0.001*[9]mois!$B$45)</f>
        <v>54.003576310205844</v>
      </c>
      <c r="C203" s="953"/>
      <c r="D203" s="393">
        <f t="shared" si="50"/>
        <v>57.171943347289584</v>
      </c>
      <c r="E203" s="385">
        <f t="shared" si="75"/>
        <v>58.232883296733547</v>
      </c>
      <c r="F203" s="385">
        <f t="shared" si="51"/>
        <v>58.288044703587232</v>
      </c>
      <c r="G203" s="110">
        <f t="shared" si="76"/>
        <v>1.0238097275774947</v>
      </c>
      <c r="H203" s="412" t="b">
        <f>Wh_hp&gt;='2024'!Maxi_hp</f>
        <v>0</v>
      </c>
      <c r="I203" s="390">
        <f>IF(H203,Wh_hp,'2024'!Maxi_hp)</f>
        <v>59.606340921073496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5.5418214802277599E-2</v>
      </c>
      <c r="M203" s="957"/>
      <c r="N203" s="957"/>
      <c r="O203" s="48">
        <f>IF(t&lt;Tnet,'2024'!Resal+('2024'!Salim-'2024'!Resal)*(1-EXP(('2024'!Tnet-t)/('2024'!Tau_j))),Resal+(Salim-Resal)*(1-EXP((Tnet-t)/(Tau_j))))*Salcycl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9.46358848271564E-4</v>
      </c>
      <c r="Q203" s="305">
        <f t="shared" si="53"/>
        <v>0.7</v>
      </c>
      <c r="R203" s="177">
        <f t="shared" si="54"/>
        <v>0.35482620337523785</v>
      </c>
      <c r="S203" s="919">
        <f t="shared" si="55"/>
        <v>-2</v>
      </c>
      <c r="T203" s="176">
        <f t="shared" si="56"/>
        <v>4</v>
      </c>
      <c r="U203" s="251">
        <f t="shared" si="57"/>
        <v>-1.6451737966247622</v>
      </c>
      <c r="V203" s="383">
        <f t="shared" si="58"/>
        <v>52.747668688387392</v>
      </c>
      <c r="W203" s="402">
        <f t="shared" si="59"/>
        <v>54.003576310205844</v>
      </c>
      <c r="X203" s="157">
        <f t="shared" si="60"/>
        <v>45846</v>
      </c>
      <c r="Y203" s="385">
        <f t="shared" si="61"/>
        <v>51.31638621341375</v>
      </c>
      <c r="Z203" s="385">
        <f t="shared" si="62"/>
        <v>54.327096941290336</v>
      </c>
      <c r="AA203" s="386">
        <f t="shared" si="63"/>
        <v>57.777300893395747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5.9715561280222276E-2</v>
      </c>
      <c r="AD203" s="231">
        <f>(INDEX(Models!$BJ203:$BT203,,AH203)*(1-AF203)+INDEX(Models!$BJ203:$BT203,,AH203+1)*AF203-ERP_i)*AE203*Ramure*Pc/MaxiM</f>
        <v>8.7624111048633015E-3</v>
      </c>
      <c r="AE203" s="305">
        <f t="shared" si="65"/>
        <v>0.7</v>
      </c>
      <c r="AF203" s="177">
        <f t="shared" si="66"/>
        <v>0.87981376974921677</v>
      </c>
      <c r="AG203" s="919">
        <f t="shared" si="74"/>
        <v>1</v>
      </c>
      <c r="AH203" s="176">
        <f t="shared" si="67"/>
        <v>7</v>
      </c>
      <c r="AI203" s="225">
        <f t="shared" si="68"/>
        <v>1.8798137697492168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1090">
        <f>IF(t&gt;Tmaj,'2024'!Wh/'2024'!Env_an*'2025'!Env_an,0.001*[9]mois!$B$46)</f>
        <v>53.387922092072692</v>
      </c>
      <c r="C204" s="953"/>
      <c r="D204" s="393">
        <f t="shared" si="50"/>
        <v>56.521406919803553</v>
      </c>
      <c r="E204" s="385">
        <f t="shared" si="75"/>
        <v>57.57847731352431</v>
      </c>
      <c r="F204" s="385">
        <f t="shared" si="51"/>
        <v>57.632712414968978</v>
      </c>
      <c r="G204" s="110">
        <f t="shared" si="76"/>
        <v>1.0140445049204441</v>
      </c>
      <c r="H204" s="412" t="b">
        <f>Wh_hp&gt;='2024'!Maxi_hp</f>
        <v>1</v>
      </c>
      <c r="I204" s="390">
        <f>IF(H204,Wh_hp,'2024'!Maxi_hp)</f>
        <v>57.632712414968978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5.5438903567578635E-2</v>
      </c>
      <c r="M204" s="957"/>
      <c r="N204" s="957"/>
      <c r="O204" s="48">
        <f>IF(t&lt;Tnet,'2024'!Resal+('2024'!Salim-'2024'!Resal)*(1-EXP(('2024'!Tnet-t)/('2024'!Tau_j))),Resal+(Salim-Resal)*(1-EXP((Tnet-t)/(Tau_j))))*Salcycl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9.4104717914661408E-4</v>
      </c>
      <c r="Q204" s="305">
        <f t="shared" si="53"/>
        <v>0.7</v>
      </c>
      <c r="R204" s="177">
        <f t="shared" si="54"/>
        <v>0.35854430650068991</v>
      </c>
      <c r="S204" s="919">
        <f t="shared" si="55"/>
        <v>-2</v>
      </c>
      <c r="T204" s="176">
        <f t="shared" si="56"/>
        <v>4</v>
      </c>
      <c r="U204" s="251">
        <f t="shared" si="57"/>
        <v>-1.6414556934993101</v>
      </c>
      <c r="V204" s="383">
        <f t="shared" si="58"/>
        <v>52.648499975118135</v>
      </c>
      <c r="W204" s="402">
        <f t="shared" si="59"/>
        <v>53.387922092072692</v>
      </c>
      <c r="X204" s="157">
        <f t="shared" si="60"/>
        <v>45847</v>
      </c>
      <c r="Y204" s="385">
        <f t="shared" si="61"/>
        <v>50.737987365729758</v>
      </c>
      <c r="Z204" s="385">
        <f t="shared" si="62"/>
        <v>53.715940194197707</v>
      </c>
      <c r="AA204" s="386">
        <f t="shared" si="63"/>
        <v>57.133504551695538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5.9817166552518224E-2</v>
      </c>
      <c r="AD204" s="231">
        <f>(INDEX(Models!$BJ204:$BT204,,AH204)*(1-AF204)+INDEX(Models!$BJ204:$BT204,,AH204+1)*AF204-ERP_i)*AE204*Ramure*Pc/MaxiM</f>
        <v>8.6618838912010821E-3</v>
      </c>
      <c r="AE204" s="305">
        <f t="shared" si="65"/>
        <v>0.7</v>
      </c>
      <c r="AF204" s="177">
        <f t="shared" si="66"/>
        <v>0.88353187287466883</v>
      </c>
      <c r="AG204" s="919">
        <f t="shared" si="74"/>
        <v>1</v>
      </c>
      <c r="AH204" s="176">
        <f t="shared" si="67"/>
        <v>7</v>
      </c>
      <c r="AI204" s="225">
        <f t="shared" si="68"/>
        <v>1.8835318728746688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1090">
        <f>IF(t&gt;Tmaj,'2024'!Wh/'2024'!Env_an*'2025'!Env_an,0.001*[9]mois!$B$47)</f>
        <v>53.033894981978328</v>
      </c>
      <c r="C205" s="953"/>
      <c r="D205" s="393">
        <f t="shared" si="50"/>
        <v>56.147830760911333</v>
      </c>
      <c r="E205" s="385">
        <f t="shared" si="75"/>
        <v>57.20604607077518</v>
      </c>
      <c r="F205" s="385">
        <f t="shared" si="51"/>
        <v>57.259532821685092</v>
      </c>
      <c r="G205" s="110">
        <f t="shared" si="76"/>
        <v>1.0092447649986889</v>
      </c>
      <c r="H205" s="412" t="b">
        <f>Wh_hp&gt;='2024'!Maxi_hp</f>
        <v>1</v>
      </c>
      <c r="I205" s="390">
        <f>IF(H205,Wh_hp,'2024'!Maxi_hp)</f>
        <v>57.259532821685092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5.5459591879742698E-2</v>
      </c>
      <c r="M205" s="957"/>
      <c r="N205" s="957"/>
      <c r="O205" s="48">
        <f>IF(t&lt;Tnet,'2024'!Resal+('2024'!Salim-'2024'!Resal)*(1-EXP(('2024'!Tnet-t)/('2024'!Tau_j))),Resal+(Salim-Resal)*(1-EXP((Tnet-t)/(Tau_j))))*Salcycl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9.3411085061558647E-4</v>
      </c>
      <c r="Q205" s="305">
        <f t="shared" si="53"/>
        <v>0.7</v>
      </c>
      <c r="R205" s="177">
        <f t="shared" si="54"/>
        <v>0.36218169414851875</v>
      </c>
      <c r="S205" s="919">
        <f t="shared" si="55"/>
        <v>-2</v>
      </c>
      <c r="T205" s="176">
        <f t="shared" si="56"/>
        <v>4</v>
      </c>
      <c r="U205" s="251">
        <f t="shared" si="57"/>
        <v>-1.6378183058514812</v>
      </c>
      <c r="V205" s="383">
        <f t="shared" si="58"/>
        <v>52.548100145010139</v>
      </c>
      <c r="W205" s="402">
        <f t="shared" si="59"/>
        <v>53.033894981978328</v>
      </c>
      <c r="X205" s="157">
        <f t="shared" si="60"/>
        <v>45848</v>
      </c>
      <c r="Y205" s="385">
        <f t="shared" si="61"/>
        <v>50.408539608605203</v>
      </c>
      <c r="Z205" s="385">
        <f t="shared" si="62"/>
        <v>53.368325140185291</v>
      </c>
      <c r="AA205" s="386">
        <f t="shared" si="63"/>
        <v>56.769861132329744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5.9917990361391213E-2</v>
      </c>
      <c r="AD205" s="231">
        <f>(INDEX(Models!$BJ205:$BT205,,AH205)*(1-AF205)+INDEX(Models!$BJ205:$BT205,,AH205+1)*AF205-ERP_i)*AE205*Ramure*Pc/MaxiM</f>
        <v>8.5517933036628573E-3</v>
      </c>
      <c r="AE205" s="305">
        <f t="shared" si="65"/>
        <v>0.7</v>
      </c>
      <c r="AF205" s="177">
        <f t="shared" si="66"/>
        <v>0.88716926052249767</v>
      </c>
      <c r="AG205" s="919">
        <f t="shared" si="74"/>
        <v>1</v>
      </c>
      <c r="AH205" s="176">
        <f t="shared" si="67"/>
        <v>7</v>
      </c>
      <c r="AI205" s="225">
        <f t="shared" si="68"/>
        <v>1.8871692605224977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1090">
        <f>IF(t&gt;Tmaj,'2024'!Wh/'2024'!Env_an*'2025'!Env_an,0.001*[9]mois!$B$48)</f>
        <v>51.767769935958505</v>
      </c>
      <c r="C206" s="953"/>
      <c r="D206" s="393">
        <f t="shared" si="50"/>
        <v>54.808564422182087</v>
      </c>
      <c r="E206" s="385">
        <f t="shared" si="75"/>
        <v>55.849460264199905</v>
      </c>
      <c r="F206" s="385">
        <f t="shared" si="51"/>
        <v>55.900242127595675</v>
      </c>
      <c r="G206" s="110">
        <f t="shared" si="76"/>
        <v>0.98704792779148198</v>
      </c>
      <c r="H206" s="412" t="b">
        <f>Wh_hp&gt;='2024'!Maxi_hp</f>
        <v>0</v>
      </c>
      <c r="I206" s="390">
        <f>IF(H206,Wh_hp,'2024'!Maxi_hp)</f>
        <v>56.244702289420005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5.5480279738779559E-2</v>
      </c>
      <c r="M206" s="957"/>
      <c r="N206" s="957"/>
      <c r="O206" s="48">
        <f>IF(t&lt;Tnet,'2024'!Resal+('2024'!Salim-'2024'!Resal)*(1-EXP(('2024'!Tnet-t)/('2024'!Tau_j))),Resal+(Salim-Resal)*(1-EXP((Tnet-t)/(Tau_j))))*Salcycl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9.255401624516682E-4</v>
      </c>
      <c r="Q206" s="305">
        <f t="shared" si="53"/>
        <v>0.7</v>
      </c>
      <c r="R206" s="177">
        <f t="shared" si="54"/>
        <v>0.36573799520688288</v>
      </c>
      <c r="S206" s="919">
        <f t="shared" si="55"/>
        <v>-2</v>
      </c>
      <c r="T206" s="176">
        <f t="shared" si="56"/>
        <v>4</v>
      </c>
      <c r="U206" s="251">
        <f t="shared" si="57"/>
        <v>-1.6342620047931171</v>
      </c>
      <c r="V206" s="383">
        <f t="shared" si="58"/>
        <v>52.446170337629539</v>
      </c>
      <c r="W206" s="402">
        <f t="shared" si="59"/>
        <v>51.767769935958505</v>
      </c>
      <c r="X206" s="157">
        <f t="shared" si="60"/>
        <v>45849</v>
      </c>
      <c r="Y206" s="385">
        <f t="shared" si="61"/>
        <v>49.219236254971264</v>
      </c>
      <c r="Z206" s="385">
        <f t="shared" si="62"/>
        <v>52.110332054643578</v>
      </c>
      <c r="AA206" s="386">
        <f t="shared" si="63"/>
        <v>55.437588552443387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6.0018059671774045E-2</v>
      </c>
      <c r="AD206" s="231">
        <f>(INDEX(Models!$BJ206:$BT206,,AH206)*(1-AF206)+INDEX(Models!$BJ206:$BT206,,AH206+1)*AF206-ERP_i)*AE206*Ramure*Pc/MaxiM</f>
        <v>8.4322322276369471E-3</v>
      </c>
      <c r="AE206" s="305">
        <f t="shared" si="65"/>
        <v>0.7</v>
      </c>
      <c r="AF206" s="177">
        <f t="shared" si="66"/>
        <v>0.89072556158086202</v>
      </c>
      <c r="AG206" s="919">
        <f t="shared" si="74"/>
        <v>1</v>
      </c>
      <c r="AH206" s="176">
        <f t="shared" si="67"/>
        <v>7</v>
      </c>
      <c r="AI206" s="225">
        <f t="shared" si="68"/>
        <v>1.890725561580862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1090">
        <f>IF(t&gt;Tmaj,'2024'!Wh/'2024'!Env_an*'2025'!Env_an,0.001*[9]mois!$B$49)</f>
        <v>51.319751841934803</v>
      </c>
      <c r="C207" s="953"/>
      <c r="D207" s="393">
        <f t="shared" ref="D207:D270" si="77">Wh/(1-Ppv)</f>
        <v>54.335420214026939</v>
      </c>
      <c r="E207" s="385">
        <f t="shared" si="75"/>
        <v>55.375167976313897</v>
      </c>
      <c r="F207" s="385">
        <f t="shared" ref="F207:F270" si="78">Wh_sa/(1-Pvg*MEDIAN((-Sdif+Wh/Env_an)/Csdif,0,1))</f>
        <v>55.42451554680661</v>
      </c>
      <c r="G207" s="110">
        <f t="shared" si="76"/>
        <v>0.98042827400915278</v>
      </c>
      <c r="H207" s="412" t="b">
        <f>Wh_hp&gt;='2024'!Maxi_hp</f>
        <v>0</v>
      </c>
      <c r="I207" s="390">
        <f>IF(H207,Wh_hp,'2024'!Maxi_hp)</f>
        <v>57.631675116560842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5.5500967144699209E-2</v>
      </c>
      <c r="M207" s="957"/>
      <c r="N207" s="957"/>
      <c r="O207" s="48">
        <f>IF(t&lt;Tnet,'2024'!Resal+('2024'!Salim-'2024'!Resal)*(1-EXP(('2024'!Tnet-t)/('2024'!Tau_j))),Resal+(Salim-Resal)*(1-EXP((Tnet-t)/(Tau_j))))*Salcycl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9.1593264766245779E-4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0.36921298875360131</v>
      </c>
      <c r="S207" s="919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-1.6307870112463987</v>
      </c>
      <c r="V207" s="383">
        <f t="shared" ref="V207:V270" si="85">MaxiM*(1-Ppv)*(1-Pvg)*(1-Psa)</f>
        <v>52.342878581200523</v>
      </c>
      <c r="W207" s="402">
        <f t="shared" ref="W207:W270" si="86">Wh*(A207&gt;Tmaj)</f>
        <v>51.319751841934803</v>
      </c>
      <c r="X207" s="157">
        <f t="shared" ref="X207:X270" si="87">t</f>
        <v>45850</v>
      </c>
      <c r="Y207" s="385">
        <f t="shared" ref="Y207:Y270" si="88">Wh_pvt_s*(1-Ppv)</f>
        <v>48.803963489221118</v>
      </c>
      <c r="Z207" s="385">
        <f t="shared" ref="Z207:Z270" si="89">Wh_sa_s*(1-Psa_s)</f>
        <v>51.671798267153953</v>
      </c>
      <c r="AA207" s="386">
        <f t="shared" ref="AA207:AA270" si="90">Wh_hp*(1-Pvg_s*MEDIAN((-Sdif+Wh/Env_an)/Csdif,0,1))</f>
        <v>54.976864534051259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6.0117402018265854E-2</v>
      </c>
      <c r="AD207" s="231">
        <f>(INDEX(Models!$BJ207:$BT207,,AH207)*(1-AF207)+INDEX(Models!$BJ207:$BT207,,AH207+1)*AF207-ERP_i)*AE207*Ramure*Pc/MaxiM</f>
        <v>8.3087814303302414E-3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0.89420055512758001</v>
      </c>
      <c r="AG207" s="91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1.89420055512758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1090">
        <f>IF(t&gt;Tmaj,'2024'!Wh/'2024'!Env_an*'2025'!Env_an,0.001*[9]mois!$B$50)</f>
        <v>51.576482984791369</v>
      </c>
      <c r="C208" s="953"/>
      <c r="D208" s="393">
        <f t="shared" si="77"/>
        <v>54.608433542759407</v>
      </c>
      <c r="E208" s="385">
        <f t="shared" si="75"/>
        <v>55.66126723341641</v>
      </c>
      <c r="F208" s="385">
        <f t="shared" si="78"/>
        <v>55.710788562283746</v>
      </c>
      <c r="G208" s="110">
        <f t="shared" si="76"/>
        <v>0.9873122656209754</v>
      </c>
      <c r="H208" s="412" t="b">
        <f>Wh_hp&gt;='2024'!Maxi_hp</f>
        <v>1</v>
      </c>
      <c r="I208" s="390">
        <f>IF(H208,Wh_hp,'2024'!Maxi_hp)</f>
        <v>55.710788562283746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5.5521654097511641E-2</v>
      </c>
      <c r="M208" s="957"/>
      <c r="N208" s="957"/>
      <c r="O208" s="48">
        <f>IF(t&lt;Tnet,'2024'!Resal+('2024'!Salim-'2024'!Resal)*(1-EXP(('2024'!Tnet-t)/('2024'!Tau_j))),Resal+(Salim-Resal)*(1-EXP((Tnet-t)/(Tau_j))))*Salcycl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9.0528786186525316E-4</v>
      </c>
      <c r="Q208" s="305">
        <f t="shared" si="80"/>
        <v>0.7</v>
      </c>
      <c r="R208" s="177">
        <f t="shared" si="81"/>
        <v>0.37260659797094675</v>
      </c>
      <c r="S208" s="919">
        <f t="shared" si="82"/>
        <v>-2</v>
      </c>
      <c r="T208" s="176">
        <f t="shared" si="83"/>
        <v>4</v>
      </c>
      <c r="U208" s="251">
        <f t="shared" si="84"/>
        <v>-1.6273934020290532</v>
      </c>
      <c r="V208" s="383">
        <f t="shared" si="85"/>
        <v>52.238424264224115</v>
      </c>
      <c r="W208" s="402">
        <f t="shared" si="86"/>
        <v>51.576482984791369</v>
      </c>
      <c r="X208" s="157">
        <f t="shared" si="87"/>
        <v>45851</v>
      </c>
      <c r="Y208" s="385">
        <f t="shared" si="88"/>
        <v>49.051965001704225</v>
      </c>
      <c r="Z208" s="385">
        <f t="shared" si="89"/>
        <v>51.935510448186115</v>
      </c>
      <c r="AA208" s="386">
        <f t="shared" si="90"/>
        <v>55.263244482944479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6.0216045328018754E-2</v>
      </c>
      <c r="AD208" s="231">
        <f>(INDEX(Models!$BJ208:$BT208,,AH208)*(1-AF208)+INDEX(Models!$BJ208:$BT208,,AH208+1)*AF208-ERP_i)*AE208*Ramure*Pc/MaxiM</f>
        <v>8.1814489219566144E-3</v>
      </c>
      <c r="AE208" s="305">
        <f t="shared" si="92"/>
        <v>0.7</v>
      </c>
      <c r="AF208" s="177">
        <f t="shared" si="93"/>
        <v>0.89759416434492545</v>
      </c>
      <c r="AG208" s="919">
        <f t="shared" ref="AG208:AG271" si="99">INDEX(Echel_vg,AH208)</f>
        <v>1</v>
      </c>
      <c r="AH208" s="176">
        <f t="shared" si="94"/>
        <v>7</v>
      </c>
      <c r="AI208" s="225">
        <f t="shared" si="95"/>
        <v>1.8975941643449254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1090">
        <f>IF(t&gt;Tmaj,'2024'!Wh/'2024'!Env_an*'2025'!Env_an,0.001*[9]mois!$B$51)</f>
        <v>50.771684815328371</v>
      </c>
      <c r="C209" s="953"/>
      <c r="D209" s="393">
        <f t="shared" si="77"/>
        <v>53.757502318773909</v>
      </c>
      <c r="E209" s="385">
        <f t="shared" si="75"/>
        <v>54.801654586979026</v>
      </c>
      <c r="F209" s="385">
        <f t="shared" si="78"/>
        <v>54.848839490535575</v>
      </c>
      <c r="G209" s="110">
        <f t="shared" si="76"/>
        <v>0.97385503414645969</v>
      </c>
      <c r="H209" s="412" t="b">
        <f>Wh_hp&gt;='2024'!Maxi_hp</f>
        <v>0</v>
      </c>
      <c r="I209" s="390">
        <f>IF(H209,Wh_hp,'2024'!Maxi_hp)</f>
        <v>56.367501147703905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5.5542340597226625E-2</v>
      </c>
      <c r="M209" s="957"/>
      <c r="N209" s="957"/>
      <c r="O209" s="48">
        <f>IF(t&lt;Tnet,'2024'!Resal+('2024'!Salim-'2024'!Resal)*(1-EXP(('2024'!Tnet-t)/('2024'!Tau_j))),Resal+(Salim-Resal)*(1-EXP((Tnet-t)/(Tau_j))))*Salcycl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8.936063598467272E-4</v>
      </c>
      <c r="Q209" s="305">
        <f t="shared" si="80"/>
        <v>0.7</v>
      </c>
      <c r="R209" s="177">
        <f t="shared" si="81"/>
        <v>0.37591888376907967</v>
      </c>
      <c r="S209" s="919">
        <f t="shared" si="82"/>
        <v>-2</v>
      </c>
      <c r="T209" s="176">
        <f t="shared" si="83"/>
        <v>4</v>
      </c>
      <c r="U209" s="251">
        <f t="shared" si="84"/>
        <v>-1.6240811162309203</v>
      </c>
      <c r="V209" s="383">
        <f t="shared" si="85"/>
        <v>52.133006577290971</v>
      </c>
      <c r="W209" s="402">
        <f t="shared" si="86"/>
        <v>50.771684815328371</v>
      </c>
      <c r="X209" s="157">
        <f t="shared" si="87"/>
        <v>45852</v>
      </c>
      <c r="Y209" s="385">
        <f t="shared" si="88"/>
        <v>48.30074373054596</v>
      </c>
      <c r="Z209" s="385">
        <f t="shared" si="89"/>
        <v>51.141248365849322</v>
      </c>
      <c r="AA209" s="386">
        <f t="shared" si="90"/>
        <v>54.423764248555059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6.0314017746262265E-2</v>
      </c>
      <c r="AD209" s="231">
        <f>(INDEX(Models!$BJ209:$BT209,,AH209)*(1-AF209)+INDEX(Models!$BJ209:$BT209,,AH209+1)*AF209-ERP_i)*AE209*Ramure*Pc/MaxiM</f>
        <v>8.0502430018095164E-3</v>
      </c>
      <c r="AE209" s="305">
        <f t="shared" si="92"/>
        <v>0.7</v>
      </c>
      <c r="AF209" s="177">
        <f t="shared" si="93"/>
        <v>0.90090645014305837</v>
      </c>
      <c r="AG209" s="919">
        <f t="shared" si="99"/>
        <v>1</v>
      </c>
      <c r="AH209" s="176">
        <f t="shared" si="94"/>
        <v>7</v>
      </c>
      <c r="AI209" s="225">
        <f t="shared" si="95"/>
        <v>1.9009064501430584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1090">
        <f>IF(t&gt;Tmaj,'2024'!Wh/'2024'!Env_an*'2025'!Env_an,0.001*[9]mois!$B$52)</f>
        <v>48.693371615362523</v>
      </c>
      <c r="C210" s="953"/>
      <c r="D210" s="393">
        <f t="shared" si="77"/>
        <v>51.558095446354713</v>
      </c>
      <c r="E210" s="385">
        <f t="shared" si="75"/>
        <v>52.566922107539554</v>
      </c>
      <c r="F210" s="385">
        <f t="shared" si="78"/>
        <v>52.609023044908533</v>
      </c>
      <c r="G210" s="110">
        <f t="shared" si="76"/>
        <v>0.93585266499138753</v>
      </c>
      <c r="H210" s="412" t="b">
        <f>Wh_hp&gt;='2024'!Maxi_hp</f>
        <v>0</v>
      </c>
      <c r="I210" s="390">
        <f>IF(H210,Wh_hp,'2024'!Maxi_hp)</f>
        <v>57.830639820469678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5.5563026643854263E-2</v>
      </c>
      <c r="M210" s="957"/>
      <c r="N210" s="957"/>
      <c r="O210" s="48">
        <f>IF(t&lt;Tnet,'2024'!Resal+('2024'!Salim-'2024'!Resal)*(1-EXP(('2024'!Tnet-t)/('2024'!Tau_j))),Resal+(Salim-Resal)*(1-EXP((Tnet-t)/(Tau_j))))*Salcycl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8.8088961992421042E-4</v>
      </c>
      <c r="Q210" s="305">
        <f t="shared" si="80"/>
        <v>0.7</v>
      </c>
      <c r="R210" s="177">
        <f t="shared" si="81"/>
        <v>0.37915003817423187</v>
      </c>
      <c r="S210" s="919">
        <f t="shared" si="82"/>
        <v>-2</v>
      </c>
      <c r="T210" s="176">
        <f t="shared" si="83"/>
        <v>4</v>
      </c>
      <c r="U210" s="251">
        <f t="shared" si="84"/>
        <v>-1.6208499618257681</v>
      </c>
      <c r="V210" s="383">
        <f t="shared" si="85"/>
        <v>52.026824522552467</v>
      </c>
      <c r="W210" s="402">
        <f t="shared" si="86"/>
        <v>48.693371615362523</v>
      </c>
      <c r="X210" s="157">
        <f t="shared" si="87"/>
        <v>45853</v>
      </c>
      <c r="Y210" s="385">
        <f t="shared" si="88"/>
        <v>46.348621636524847</v>
      </c>
      <c r="Z210" s="385">
        <f t="shared" si="89"/>
        <v>49.075399358647147</v>
      </c>
      <c r="AA210" s="386">
        <f t="shared" si="90"/>
        <v>52.230728017286317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6.0411347465708004E-2</v>
      </c>
      <c r="AD210" s="231">
        <f>(INDEX(Models!$BJ210:$BT210,,AH210)*(1-AF210)+INDEX(Models!$BJ210:$BT210,,AH210+1)*AF210-ERP_i)*AE210*Ramure*Pc/MaxiM</f>
        <v>7.9151720585417182E-3</v>
      </c>
      <c r="AE210" s="305">
        <f t="shared" si="92"/>
        <v>0.7</v>
      </c>
      <c r="AF210" s="177">
        <f t="shared" si="93"/>
        <v>0.90413760454821079</v>
      </c>
      <c r="AG210" s="919">
        <f t="shared" si="99"/>
        <v>1</v>
      </c>
      <c r="AH210" s="176">
        <f t="shared" si="94"/>
        <v>7</v>
      </c>
      <c r="AI210" s="225">
        <f t="shared" si="95"/>
        <v>1.9041376045482108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1090">
        <f>IF(t&gt;Tmaj,'2024'!Wh/'2024'!Env_an*'2025'!Env_an,0.001*[9]mois!$B$53)</f>
        <v>50.535083731819356</v>
      </c>
      <c r="C211" s="953"/>
      <c r="D211" s="393">
        <f t="shared" si="77"/>
        <v>53.509330987441317</v>
      </c>
      <c r="E211" s="385">
        <f t="shared" si="75"/>
        <v>54.563997076834738</v>
      </c>
      <c r="F211" s="385">
        <f t="shared" si="78"/>
        <v>54.609546634485227</v>
      </c>
      <c r="G211" s="110">
        <f t="shared" si="76"/>
        <v>0.97329232558018541</v>
      </c>
      <c r="H211" s="412" t="b">
        <f>Wh_hp&gt;='2024'!Maxi_hp</f>
        <v>0</v>
      </c>
      <c r="I211" s="390">
        <f>IF(H211,Wh_hp,'2024'!Maxi_hp)</f>
        <v>57.203978991704709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5.5583712237404326E-2</v>
      </c>
      <c r="M211" s="957"/>
      <c r="N211" s="957"/>
      <c r="O211" s="48">
        <f>IF(t&lt;Tnet,'2024'!Resal+('2024'!Salim-'2024'!Resal)*(1-EXP(('2024'!Tnet-t)/('2024'!Tau_j))),Resal+(Salim-Resal)*(1-EXP((Tnet-t)/(Tau_j))))*Salcycl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8.6713997033221514E-4</v>
      </c>
      <c r="Q211" s="305">
        <f t="shared" si="80"/>
        <v>0.7</v>
      </c>
      <c r="R211" s="177">
        <f t="shared" si="81"/>
        <v>0.38230037753557333</v>
      </c>
      <c r="S211" s="919">
        <f t="shared" si="82"/>
        <v>-2</v>
      </c>
      <c r="T211" s="176">
        <f t="shared" si="83"/>
        <v>4</v>
      </c>
      <c r="U211" s="251">
        <f t="shared" si="84"/>
        <v>-1.6176996224644267</v>
      </c>
      <c r="V211" s="383">
        <f t="shared" si="85"/>
        <v>51.920076925070404</v>
      </c>
      <c r="W211" s="402">
        <f t="shared" si="86"/>
        <v>50.535083731819356</v>
      </c>
      <c r="X211" s="157">
        <f t="shared" si="87"/>
        <v>45854</v>
      </c>
      <c r="Y211" s="385">
        <f t="shared" si="88"/>
        <v>48.091065995742014</v>
      </c>
      <c r="Z211" s="385">
        <f t="shared" si="89"/>
        <v>50.921470350404405</v>
      </c>
      <c r="AA211" s="386">
        <f t="shared" si="90"/>
        <v>54.201072219113072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6.0508062561023937E-2</v>
      </c>
      <c r="AD211" s="231">
        <f>(INDEX(Models!$BJ211:$BT211,,AH211)*(1-AF211)+INDEX(Models!$BJ211:$BT211,,AH211+1)*AF211-ERP_i)*AE211*Ramure*Pc/MaxiM</f>
        <v>7.776244396162835E-3</v>
      </c>
      <c r="AE211" s="305">
        <f t="shared" si="92"/>
        <v>0.7</v>
      </c>
      <c r="AF211" s="177">
        <f t="shared" si="93"/>
        <v>0.90728794390955225</v>
      </c>
      <c r="AG211" s="919">
        <f t="shared" si="99"/>
        <v>1</v>
      </c>
      <c r="AH211" s="176">
        <f t="shared" si="94"/>
        <v>7</v>
      </c>
      <c r="AI211" s="225">
        <f t="shared" si="95"/>
        <v>1.9072879439095523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1090">
        <f>IF(t&gt;Tmaj,'2024'!Wh/'2024'!Env_an*'2025'!Env_an,0.001*[9]mois!$B$54)</f>
        <v>50.504449792745028</v>
      </c>
      <c r="C212" s="953"/>
      <c r="D212" s="393">
        <f t="shared" si="77"/>
        <v>53.478065391790786</v>
      </c>
      <c r="E212" s="385">
        <f t="shared" si="75"/>
        <v>54.539756966523051</v>
      </c>
      <c r="F212" s="385">
        <f t="shared" si="78"/>
        <v>54.584603630351872</v>
      </c>
      <c r="G212" s="110">
        <f t="shared" si="76"/>
        <v>0.97471544859648251</v>
      </c>
      <c r="H212" s="412" t="b">
        <f>Wh_hp&gt;='2024'!Maxi_hp</f>
        <v>0</v>
      </c>
      <c r="I212" s="390">
        <f>IF(H212,Wh_hp,'2024'!Maxi_hp)</f>
        <v>57.205914857920881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5.5604397377886916E-2</v>
      </c>
      <c r="M212" s="957"/>
      <c r="N212" s="957"/>
      <c r="O212" s="48">
        <f>IF(t&lt;Tnet,'2024'!Resal+('2024'!Salim-'2024'!Resal)*(1-EXP(('2024'!Tnet-t)/('2024'!Tau_j))),Resal+(Salim-Resal)*(1-EXP((Tnet-t)/(Tau_j))))*Salcycl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8.5235017958899015E-4</v>
      </c>
      <c r="Q212" s="305">
        <f t="shared" si="80"/>
        <v>0.7</v>
      </c>
      <c r="R212" s="177">
        <f t="shared" si="81"/>
        <v>0.38537033560214962</v>
      </c>
      <c r="S212" s="919">
        <f t="shared" si="82"/>
        <v>-2</v>
      </c>
      <c r="T212" s="176">
        <f t="shared" si="83"/>
        <v>4</v>
      </c>
      <c r="U212" s="251">
        <f t="shared" si="84"/>
        <v>-1.6146296643978504</v>
      </c>
      <c r="V212" s="383">
        <f t="shared" si="85"/>
        <v>51.812962977535683</v>
      </c>
      <c r="W212" s="402">
        <f t="shared" si="86"/>
        <v>50.504449792745028</v>
      </c>
      <c r="X212" s="157">
        <f t="shared" si="87"/>
        <v>45855</v>
      </c>
      <c r="Y212" s="385">
        <f t="shared" si="88"/>
        <v>48.069051734949461</v>
      </c>
      <c r="Z212" s="385">
        <f t="shared" si="89"/>
        <v>50.89927526291504</v>
      </c>
      <c r="AA212" s="386">
        <f t="shared" si="90"/>
        <v>54.182991627203506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6.0604190829504197E-2</v>
      </c>
      <c r="AD212" s="231">
        <f>(INDEX(Models!$BJ212:$BT212,,AH212)*(1-AF212)+INDEX(Models!$BJ212:$BT212,,AH212+1)*AF212-ERP_i)*AE212*Ramure*Pc/MaxiM</f>
        <v>7.6329883604106643E-3</v>
      </c>
      <c r="AE212" s="305">
        <f t="shared" si="92"/>
        <v>0.7</v>
      </c>
      <c r="AF212" s="177">
        <f t="shared" si="93"/>
        <v>0.91035790197612854</v>
      </c>
      <c r="AG212" s="919">
        <f t="shared" si="99"/>
        <v>1</v>
      </c>
      <c r="AH212" s="176">
        <f t="shared" si="94"/>
        <v>7</v>
      </c>
      <c r="AI212" s="225">
        <f t="shared" si="95"/>
        <v>1.9103579019761285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1090">
        <f>IF(t&gt;Tmaj,'2024'!Wh/'2024'!Env_an*'2025'!Env_an,0.001*[9]mois!$B$55)</f>
        <v>51.290782171408949</v>
      </c>
      <c r="C213" s="953"/>
      <c r="D213" s="393">
        <f t="shared" si="77"/>
        <v>54.311885245300587</v>
      </c>
      <c r="E213" s="385">
        <f t="shared" si="75"/>
        <v>55.397877719650182</v>
      </c>
      <c r="F213" s="385">
        <f t="shared" si="78"/>
        <v>55.443747072736329</v>
      </c>
      <c r="G213" s="110">
        <f t="shared" si="76"/>
        <v>0.99196661160616062</v>
      </c>
      <c r="H213" s="412" t="b">
        <f>Wh_hp&gt;='2024'!Maxi_hp</f>
        <v>1</v>
      </c>
      <c r="I213" s="390">
        <f>IF(H213,Wh_hp,'2024'!Maxi_hp)</f>
        <v>55.443747072736329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5.5625082065311693E-2</v>
      </c>
      <c r="M213" s="957"/>
      <c r="N213" s="957"/>
      <c r="O213" s="48">
        <f>IF(t&lt;Tnet,'2024'!Resal+('2024'!Salim-'2024'!Resal)*(1-EXP(('2024'!Tnet-t)/('2024'!Tau_j))),Resal+(Salim-Resal)*(1-EXP((Tnet-t)/(Tau_j))))*Salcycl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8.3690654523675115E-4</v>
      </c>
      <c r="Q213" s="305">
        <f t="shared" si="80"/>
        <v>0.7</v>
      </c>
      <c r="R213" s="177">
        <f t="shared" si="81"/>
        <v>0.38836045651843998</v>
      </c>
      <c r="S213" s="919">
        <f t="shared" si="82"/>
        <v>-2</v>
      </c>
      <c r="T213" s="176">
        <f t="shared" si="83"/>
        <v>4</v>
      </c>
      <c r="U213" s="251">
        <f t="shared" si="84"/>
        <v>-1.61163954348156</v>
      </c>
      <c r="V213" s="383">
        <f t="shared" si="85"/>
        <v>51.705661382444632</v>
      </c>
      <c r="W213" s="402">
        <f t="shared" si="86"/>
        <v>51.290782171408949</v>
      </c>
      <c r="X213" s="157">
        <f t="shared" si="87"/>
        <v>45856</v>
      </c>
      <c r="Y213" s="385">
        <f t="shared" si="88"/>
        <v>48.817412606180781</v>
      </c>
      <c r="Z213" s="385">
        <f t="shared" si="89"/>
        <v>51.692830547578062</v>
      </c>
      <c r="AA213" s="386">
        <f t="shared" si="90"/>
        <v>55.033341126060222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6.0699759638985704E-2</v>
      </c>
      <c r="AD213" s="231">
        <f>(INDEX(Models!$BJ213:$BT213,,AH213)*(1-AF213)+INDEX(Models!$BJ213:$BT213,,AH213+1)*AF213-ERP_i)*AE213*Ramure*Pc/MaxiM</f>
        <v>7.488037215877646E-3</v>
      </c>
      <c r="AE213" s="305">
        <f t="shared" si="92"/>
        <v>0.7</v>
      </c>
      <c r="AF213" s="177">
        <f t="shared" si="93"/>
        <v>0.91334802289241912</v>
      </c>
      <c r="AG213" s="919">
        <f t="shared" si="99"/>
        <v>1</v>
      </c>
      <c r="AH213" s="176">
        <f t="shared" si="94"/>
        <v>7</v>
      </c>
      <c r="AI213" s="225">
        <f t="shared" si="95"/>
        <v>1.9133480228924191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1090">
        <f>IF(t&gt;Tmaj,'2024'!Wh/'2024'!Env_an*'2025'!Env_an,0.001*[9]mois!$B$56)</f>
        <v>35.033650556034914</v>
      </c>
      <c r="C214" s="953"/>
      <c r="D214" s="393">
        <f t="shared" si="77"/>
        <v>37.097997028891143</v>
      </c>
      <c r="E214" s="385">
        <f t="shared" si="75"/>
        <v>37.845072127726461</v>
      </c>
      <c r="F214" s="385">
        <f t="shared" si="78"/>
        <v>37.861897210491094</v>
      </c>
      <c r="G214" s="110">
        <f t="shared" si="76"/>
        <v>0.67871245642797262</v>
      </c>
      <c r="H214" s="412" t="b">
        <f>Wh_hp&gt;='2024'!Maxi_hp</f>
        <v>0</v>
      </c>
      <c r="I214" s="390">
        <f>IF(H214,Wh_hp,'2024'!Maxi_hp)</f>
        <v>57.76277955645417</v>
      </c>
      <c r="J214" s="85">
        <f>IF(H214,An,'2024'!An_max)</f>
        <v>2021</v>
      </c>
      <c r="K214" s="197">
        <f t="shared" si="79"/>
        <v>45857</v>
      </c>
      <c r="L214" s="147">
        <f>IF(t&lt;Tvie,1-EXP((T0-t)*PertePVj)+'2024'!Pspv,1-EXP((T0-t)*PertePVj)+Pspv)</f>
        <v>5.564576629968887E-2</v>
      </c>
      <c r="M214" s="957"/>
      <c r="N214" s="957"/>
      <c r="O214" s="48">
        <f>IF(t&lt;Tnet,'2024'!Resal+('2024'!Salim-'2024'!Resal)*(1-EXP(('2024'!Tnet-t)/('2024'!Tau_j))),Resal+(Salim-Resal)*(1-EXP((Tnet-t)/(Tau_j))))*Salcycl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8.2082419624881641E-4</v>
      </c>
      <c r="Q214" s="305">
        <f t="shared" si="80"/>
        <v>0.7</v>
      </c>
      <c r="R214" s="177">
        <f t="shared" si="81"/>
        <v>0.39127138778400372</v>
      </c>
      <c r="S214" s="919">
        <f t="shared" si="82"/>
        <v>-2</v>
      </c>
      <c r="T214" s="176">
        <f t="shared" si="83"/>
        <v>4</v>
      </c>
      <c r="U214" s="251">
        <f t="shared" si="84"/>
        <v>-1.6087286122159963</v>
      </c>
      <c r="V214" s="383">
        <f t="shared" si="85"/>
        <v>51.598370058886239</v>
      </c>
      <c r="W214" s="402">
        <f t="shared" si="86"/>
        <v>35.033650556034914</v>
      </c>
      <c r="X214" s="157">
        <f t="shared" si="87"/>
        <v>45857</v>
      </c>
      <c r="Y214" s="385">
        <f t="shared" si="88"/>
        <v>33.447852838665064</v>
      </c>
      <c r="Z214" s="385">
        <f t="shared" si="89"/>
        <v>35.418756696419564</v>
      </c>
      <c r="AA214" s="386">
        <f t="shared" si="90"/>
        <v>37.711414435767075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6.0794795783980539E-2</v>
      </c>
      <c r="AD214" s="231">
        <f>(INDEX(Models!$BJ214:$BT214,,AH214)*(1-AF214)+INDEX(Models!$BJ214:$BT214,,AH214+1)*AF214-ERP_i)*AE214*Ramure*Pc/MaxiM</f>
        <v>7.3414142646451653E-3</v>
      </c>
      <c r="AE214" s="305">
        <f t="shared" si="92"/>
        <v>0.7</v>
      </c>
      <c r="AF214" s="177">
        <f t="shared" si="93"/>
        <v>0.91625895415798286</v>
      </c>
      <c r="AG214" s="919">
        <f t="shared" si="99"/>
        <v>1</v>
      </c>
      <c r="AH214" s="176">
        <f t="shared" si="94"/>
        <v>7</v>
      </c>
      <c r="AI214" s="225">
        <f t="shared" si="95"/>
        <v>1.9162589541579829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1090">
        <f>IF(t&gt;Tmaj,'2024'!Wh/'2024'!Env_an*'2025'!Env_an,0.001*[9]mois!$B$57)</f>
        <v>39.878115897287799</v>
      </c>
      <c r="C215" s="953"/>
      <c r="D215" s="393">
        <f t="shared" si="77"/>
        <v>42.228845835996744</v>
      </c>
      <c r="E215" s="385">
        <f t="shared" si="75"/>
        <v>43.085248554896708</v>
      </c>
      <c r="F215" s="385">
        <f t="shared" si="78"/>
        <v>43.108744343177015</v>
      </c>
      <c r="G215" s="110">
        <f t="shared" si="76"/>
        <v>0.77426261772380767</v>
      </c>
      <c r="H215" s="412" t="b">
        <f>Wh_hp&gt;='2024'!Maxi_hp</f>
        <v>0</v>
      </c>
      <c r="I215" s="390">
        <f>IF(H215,Wh_hp,'2024'!Maxi_hp)</f>
        <v>55.682250887635263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5.5666450081028107E-2</v>
      </c>
      <c r="M215" s="957"/>
      <c r="N215" s="957"/>
      <c r="O215" s="48">
        <f>IF(t&lt;Tnet,'2024'!Resal+('2024'!Salim-'2024'!Resal)*(1-EXP(('2024'!Tnet-t)/('2024'!Tau_j))),Resal+(Salim-Resal)*(1-EXP((Tnet-t)/(Tau_j))))*Salcycl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8.041183836372997E-4</v>
      </c>
      <c r="Q215" s="305">
        <f t="shared" si="80"/>
        <v>0.7</v>
      </c>
      <c r="R215" s="177">
        <f t="shared" si="81"/>
        <v>0.39410387321943885</v>
      </c>
      <c r="S215" s="919">
        <f t="shared" si="82"/>
        <v>-2</v>
      </c>
      <c r="T215" s="176">
        <f t="shared" si="83"/>
        <v>4</v>
      </c>
      <c r="U215" s="251">
        <f t="shared" si="84"/>
        <v>-1.6058961267805612</v>
      </c>
      <c r="V215" s="383">
        <f t="shared" si="85"/>
        <v>51.491286814063322</v>
      </c>
      <c r="W215" s="402">
        <f t="shared" si="86"/>
        <v>39.878115897287799</v>
      </c>
      <c r="X215" s="157">
        <f t="shared" si="87"/>
        <v>45858</v>
      </c>
      <c r="Y215" s="385">
        <f t="shared" si="88"/>
        <v>38.043894454229516</v>
      </c>
      <c r="Z215" s="385">
        <f t="shared" si="89"/>
        <v>40.286500948201891</v>
      </c>
      <c r="AA215" s="386">
        <f t="shared" si="90"/>
        <v>42.89856567039341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6.0889325350899672E-2</v>
      </c>
      <c r="AD215" s="231">
        <f>(INDEX(Models!$BJ215:$BT215,,AH215)*(1-AF215)+INDEX(Models!$BJ215:$BT215,,AH215+1)*AF215-ERP_i)*AE215*Ramure*Pc/MaxiM</f>
        <v>7.193141707675493E-3</v>
      </c>
      <c r="AE215" s="305">
        <f t="shared" si="92"/>
        <v>0.7</v>
      </c>
      <c r="AF215" s="177">
        <f t="shared" si="93"/>
        <v>0.91909143959341799</v>
      </c>
      <c r="AG215" s="919">
        <f t="shared" si="99"/>
        <v>1</v>
      </c>
      <c r="AH215" s="176">
        <f t="shared" si="94"/>
        <v>7</v>
      </c>
      <c r="AI215" s="225">
        <f t="shared" si="95"/>
        <v>1.919091439593418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1090">
        <f>IF(t&gt;Tmaj,'2024'!Wh/'2024'!Env_an*'2025'!Env_an,0.001*[9]mois!$B$58)</f>
        <v>49.767235371956936</v>
      </c>
      <c r="C216" s="953"/>
      <c r="D216" s="393">
        <f t="shared" si="77"/>
        <v>52.702062137134867</v>
      </c>
      <c r="E216" s="385">
        <f t="shared" si="75"/>
        <v>53.778341890694328</v>
      </c>
      <c r="F216" s="385">
        <f t="shared" si="78"/>
        <v>53.818782690026772</v>
      </c>
      <c r="G216" s="110">
        <f t="shared" si="76"/>
        <v>0.96848986418560801</v>
      </c>
      <c r="H216" s="412" t="b">
        <f>Wh_hp&gt;='2024'!Maxi_hp</f>
        <v>1</v>
      </c>
      <c r="I216" s="390">
        <f>IF(H216,Wh_hp,'2024'!Maxi_hp)</f>
        <v>53.818782690026772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5.5687133409339507E-2</v>
      </c>
      <c r="M216" s="957"/>
      <c r="N216" s="957"/>
      <c r="O216" s="48">
        <f>IF(t&lt;Tnet,'2024'!Resal+('2024'!Salim-'2024'!Resal)*(1-EXP(('2024'!Tnet-t)/('2024'!Tau_j))),Resal+(Salim-Resal)*(1-EXP((Tnet-t)/(Tau_j))))*Salcycl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7.8680443035486784E-4</v>
      </c>
      <c r="Q216" s="305">
        <f t="shared" si="80"/>
        <v>0.7</v>
      </c>
      <c r="R216" s="177">
        <f t="shared" si="81"/>
        <v>0.39685874597749882</v>
      </c>
      <c r="S216" s="919">
        <f t="shared" si="82"/>
        <v>-2</v>
      </c>
      <c r="T216" s="176">
        <f t="shared" si="83"/>
        <v>4</v>
      </c>
      <c r="U216" s="251">
        <f t="shared" si="84"/>
        <v>-1.6031412540225012</v>
      </c>
      <c r="V216" s="383">
        <f t="shared" si="85"/>
        <v>51.3846093498627</v>
      </c>
      <c r="W216" s="402">
        <f t="shared" si="86"/>
        <v>49.767235371956936</v>
      </c>
      <c r="X216" s="157">
        <f t="shared" si="87"/>
        <v>45859</v>
      </c>
      <c r="Y216" s="385">
        <f t="shared" si="88"/>
        <v>47.401478926745071</v>
      </c>
      <c r="Z216" s="385">
        <f t="shared" si="89"/>
        <v>50.196794519895704</v>
      </c>
      <c r="AA216" s="386">
        <f t="shared" si="90"/>
        <v>53.456768611194491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6.0983373593145089E-2</v>
      </c>
      <c r="AD216" s="231">
        <f>(INDEX(Models!$BJ216:$BT216,,AH216)*(1-AF216)+INDEX(Models!$BJ216:$BT216,,AH216+1)*AF216-ERP_i)*AE216*Ramure*Pc/MaxiM</f>
        <v>7.0432406326736271E-3</v>
      </c>
      <c r="AE216" s="305">
        <f t="shared" si="92"/>
        <v>0.7</v>
      </c>
      <c r="AF216" s="177">
        <f t="shared" si="93"/>
        <v>0.92184631235147796</v>
      </c>
      <c r="AG216" s="919">
        <f t="shared" si="99"/>
        <v>1</v>
      </c>
      <c r="AH216" s="176">
        <f t="shared" si="94"/>
        <v>7</v>
      </c>
      <c r="AI216" s="225">
        <f t="shared" si="95"/>
        <v>1.921846312351478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1090">
        <f>IF(t&gt;Tmaj,'2024'!Wh/'2024'!Env_an*'2025'!Env_an,0.001*[9]mois!$B$59)</f>
        <v>37.981766898510223</v>
      </c>
      <c r="C217" s="953"/>
      <c r="D217" s="393">
        <f t="shared" si="77"/>
        <v>40.222473036967195</v>
      </c>
      <c r="E217" s="385">
        <f t="shared" si="75"/>
        <v>41.049594528130257</v>
      </c>
      <c r="F217" s="385">
        <f t="shared" si="78"/>
        <v>41.069475061173584</v>
      </c>
      <c r="G217" s="110">
        <f t="shared" si="76"/>
        <v>0.74048416614876922</v>
      </c>
      <c r="H217" s="412" t="b">
        <f>Wh_hp&gt;='2024'!Maxi_hp</f>
        <v>0</v>
      </c>
      <c r="I217" s="390">
        <f>IF(H217,Wh_hp,'2024'!Maxi_hp)</f>
        <v>54.507643131176636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5.5707816284632949E-2</v>
      </c>
      <c r="M217" s="957"/>
      <c r="N217" s="957"/>
      <c r="O217" s="48">
        <f>IF(t&lt;Tnet,'2024'!Resal+('2024'!Salim-'2024'!Resal)*(1-EXP(('2024'!Tnet-t)/('2024'!Tau_j))),Resal+(Salim-Resal)*(1-EXP((Tnet-t)/(Tau_j))))*Salcycl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7.6889768772976956E-4</v>
      </c>
      <c r="Q217" s="305">
        <f t="shared" si="80"/>
        <v>0.7</v>
      </c>
      <c r="R217" s="177">
        <f t="shared" si="81"/>
        <v>0.39953692163477816</v>
      </c>
      <c r="S217" s="919">
        <f t="shared" si="82"/>
        <v>-2</v>
      </c>
      <c r="T217" s="176">
        <f t="shared" si="83"/>
        <v>4</v>
      </c>
      <c r="U217" s="251">
        <f t="shared" si="84"/>
        <v>-1.6004630783652218</v>
      </c>
      <c r="V217" s="383">
        <f t="shared" si="85"/>
        <v>51.278535269234816</v>
      </c>
      <c r="W217" s="402">
        <f t="shared" si="86"/>
        <v>37.981766898510223</v>
      </c>
      <c r="X217" s="157">
        <f t="shared" si="87"/>
        <v>45860</v>
      </c>
      <c r="Y217" s="385">
        <f t="shared" si="88"/>
        <v>36.254934802419918</v>
      </c>
      <c r="Z217" s="385">
        <f t="shared" si="89"/>
        <v>38.393767763461703</v>
      </c>
      <c r="AA217" s="386">
        <f t="shared" si="90"/>
        <v>40.891283230651581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6.1076964816740541E-2</v>
      </c>
      <c r="AD217" s="231">
        <f>(INDEX(Models!$BJ217:$BT217,,AH217)*(1-AF217)+INDEX(Models!$BJ217:$BT217,,AH217+1)*AF217-ERP_i)*AE217*Ramure*Pc/MaxiM</f>
        <v>6.8917310296510116E-3</v>
      </c>
      <c r="AE217" s="305">
        <f t="shared" si="92"/>
        <v>0.7</v>
      </c>
      <c r="AF217" s="177">
        <f t="shared" si="93"/>
        <v>0.92452448800875686</v>
      </c>
      <c r="AG217" s="919">
        <f t="shared" si="99"/>
        <v>1</v>
      </c>
      <c r="AH217" s="176">
        <f t="shared" si="94"/>
        <v>7</v>
      </c>
      <c r="AI217" s="225">
        <f t="shared" si="95"/>
        <v>1.9245244880087569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1090">
        <f>IF(t&gt;Tmaj,'2024'!Wh/'2024'!Env_an*'2025'!Env_an,0.001*[9]mois!$B$60)</f>
        <v>42.372419904163422</v>
      </c>
      <c r="C218" s="953"/>
      <c r="D218" s="393">
        <f t="shared" si="77"/>
        <v>44.873132193589235</v>
      </c>
      <c r="E218" s="385">
        <f t="shared" si="75"/>
        <v>45.802236867994566</v>
      </c>
      <c r="F218" s="385">
        <f t="shared" si="78"/>
        <v>45.828177737042409</v>
      </c>
      <c r="G218" s="110">
        <f t="shared" si="76"/>
        <v>0.82786599232332736</v>
      </c>
      <c r="H218" s="412" t="b">
        <f>Wh_hp&gt;='2024'!Maxi_hp</f>
        <v>0</v>
      </c>
      <c r="I218" s="390">
        <f>IF(H218,Wh_hp,'2024'!Maxi_hp)</f>
        <v>56.297408043792899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5.5728498706918317E-2</v>
      </c>
      <c r="M218" s="957"/>
      <c r="N218" s="957"/>
      <c r="O218" s="48">
        <f>IF(t&lt;Tnet,'2024'!Resal+('2024'!Salim-'2024'!Resal)*(1-EXP(('2024'!Tnet-t)/('2024'!Tau_j))),Resal+(Salim-Resal)*(1-EXP((Tnet-t)/(Tau_j))))*Salcycl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7.5041349848595305E-4</v>
      </c>
      <c r="Q218" s="305">
        <f t="shared" si="80"/>
        <v>0.7</v>
      </c>
      <c r="R218" s="177">
        <f t="shared" si="81"/>
        <v>0.40213939139591015</v>
      </c>
      <c r="S218" s="919">
        <f t="shared" si="82"/>
        <v>-2</v>
      </c>
      <c r="T218" s="176">
        <f t="shared" si="83"/>
        <v>4</v>
      </c>
      <c r="U218" s="251">
        <f t="shared" si="84"/>
        <v>-1.5978606086040898</v>
      </c>
      <c r="V218" s="383">
        <f t="shared" si="85"/>
        <v>51.173262082095299</v>
      </c>
      <c r="W218" s="402">
        <f t="shared" si="86"/>
        <v>42.372419904163422</v>
      </c>
      <c r="X218" s="157">
        <f t="shared" si="87"/>
        <v>45861</v>
      </c>
      <c r="Y218" s="385">
        <f t="shared" si="88"/>
        <v>40.420642309872868</v>
      </c>
      <c r="Z218" s="385">
        <f t="shared" si="89"/>
        <v>42.80616565735702</v>
      </c>
      <c r="AA218" s="386">
        <f t="shared" si="90"/>
        <v>45.595231546294706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6.1170122277059404E-2</v>
      </c>
      <c r="AD218" s="231">
        <f>(INDEX(Models!$BJ218:$BT218,,AH218)*(1-AF218)+INDEX(Models!$BJ218:$BT218,,AH218+1)*AF218-ERP_i)*AE218*Ramure*Pc/MaxiM</f>
        <v>6.7386318336364005E-3</v>
      </c>
      <c r="AE218" s="305">
        <f t="shared" si="92"/>
        <v>0.7</v>
      </c>
      <c r="AF218" s="177">
        <f t="shared" si="93"/>
        <v>0.92712695776988907</v>
      </c>
      <c r="AG218" s="919">
        <f t="shared" si="99"/>
        <v>1</v>
      </c>
      <c r="AH218" s="176">
        <f t="shared" si="94"/>
        <v>7</v>
      </c>
      <c r="AI218" s="225">
        <f t="shared" si="95"/>
        <v>1.9271269577698891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1090">
        <f>IF(t&gt;Tmaj,'2024'!Wh/'2024'!Env_an*'2025'!Env_an,0.001*[9]mois!$B$61)</f>
        <v>50.164166050824527</v>
      </c>
      <c r="C219" s="953"/>
      <c r="D219" s="393">
        <f t="shared" si="77"/>
        <v>53.125890943625073</v>
      </c>
      <c r="E219" s="385">
        <f t="shared" si="75"/>
        <v>54.233374933353772</v>
      </c>
      <c r="F219" s="385">
        <f t="shared" si="78"/>
        <v>54.272063537261069</v>
      </c>
      <c r="G219" s="110">
        <f t="shared" si="76"/>
        <v>0.98226961128748769</v>
      </c>
      <c r="H219" s="412" t="b">
        <f>Wh_hp&gt;='2024'!Maxi_hp</f>
        <v>1</v>
      </c>
      <c r="I219" s="390">
        <f>IF(H219,Wh_hp,'2024'!Maxi_hp)</f>
        <v>54.272063537261069</v>
      </c>
      <c r="J219" s="85">
        <f>IF(H219,An,'2024'!An_max)</f>
        <v>2025</v>
      </c>
      <c r="K219" s="197">
        <f t="shared" si="79"/>
        <v>45862</v>
      </c>
      <c r="L219" s="147">
        <f>IF(t&lt;Tvie,1-EXP((T0-t)*PertePVj)+'2024'!Pspv,1-EXP((T0-t)*PertePVj)+Pspv)</f>
        <v>5.5749180676205601E-2</v>
      </c>
      <c r="M219" s="957"/>
      <c r="N219" s="957"/>
      <c r="O219" s="48">
        <f>IF(t&lt;Tnet,'2024'!Resal+('2024'!Salim-'2024'!Resal)*(1-EXP(('2024'!Tnet-t)/('2024'!Tau_j))),Resal+(Salim-Resal)*(1-EXP((Tnet-t)/(Tau_j))))*Salcycl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7.3137002410118303E-4</v>
      </c>
      <c r="Q219" s="305">
        <f t="shared" si="80"/>
        <v>0.7</v>
      </c>
      <c r="R219" s="177">
        <f t="shared" si="81"/>
        <v>0.40466721543878736</v>
      </c>
      <c r="S219" s="919">
        <f t="shared" si="82"/>
        <v>-2</v>
      </c>
      <c r="T219" s="176">
        <f t="shared" si="83"/>
        <v>4</v>
      </c>
      <c r="U219" s="251">
        <f t="shared" si="84"/>
        <v>-1.5953327845612126</v>
      </c>
      <c r="V219" s="383">
        <f t="shared" si="85"/>
        <v>51.068705044118957</v>
      </c>
      <c r="W219" s="402">
        <f t="shared" si="86"/>
        <v>50.164166050824527</v>
      </c>
      <c r="X219" s="157">
        <f t="shared" si="87"/>
        <v>45862</v>
      </c>
      <c r="Y219" s="385">
        <f t="shared" si="88"/>
        <v>47.798215508967509</v>
      </c>
      <c r="Z219" s="385">
        <f t="shared" si="89"/>
        <v>50.620253147566459</v>
      </c>
      <c r="AA219" s="386">
        <f t="shared" si="90"/>
        <v>53.923778475040436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6.1262868087092179E-2</v>
      </c>
      <c r="AD219" s="231">
        <f>(INDEX(Models!$BJ219:$BT219,,AH219)*(1-AF219)+INDEX(Models!$BJ219:$BT219,,AH219+1)*AF219-ERP_i)*AE219*Ramure*Pc/MaxiM</f>
        <v>6.5839867202426815E-3</v>
      </c>
      <c r="AE219" s="305">
        <f t="shared" si="92"/>
        <v>0.7</v>
      </c>
      <c r="AF219" s="177">
        <f t="shared" si="93"/>
        <v>0.92965478181276628</v>
      </c>
      <c r="AG219" s="919">
        <f t="shared" si="99"/>
        <v>1</v>
      </c>
      <c r="AH219" s="176">
        <f t="shared" si="94"/>
        <v>7</v>
      </c>
      <c r="AI219" s="225">
        <f t="shared" si="95"/>
        <v>1.9296547818127663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1090">
        <f>IF(t&gt;Tmaj,'2024'!Wh/'2024'!Env_an*'2025'!Env_an,0.001*[9]mois!$B$62)</f>
        <v>25.783667392009306</v>
      </c>
      <c r="C220" s="953"/>
      <c r="D220" s="393">
        <f t="shared" si="77"/>
        <v>27.306549917882354</v>
      </c>
      <c r="E220" s="385">
        <f t="shared" si="75"/>
        <v>27.879645099238253</v>
      </c>
      <c r="F220" s="385">
        <f t="shared" si="78"/>
        <v>27.885484063943938</v>
      </c>
      <c r="G220" s="110">
        <f t="shared" si="76"/>
        <v>0.50565924181118505</v>
      </c>
      <c r="H220" s="412" t="b">
        <f>Wh_hp&gt;='2024'!Maxi_hp</f>
        <v>0</v>
      </c>
      <c r="I220" s="390">
        <f>IF(H220,Wh_hp,'2024'!Maxi_hp)</f>
        <v>54.530894378058939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5.5769862192504571E-2</v>
      </c>
      <c r="M220" s="957"/>
      <c r="N220" s="957"/>
      <c r="O220" s="48">
        <f>IF(t&lt;Tnet,'2024'!Resal+('2024'!Salim-'2024'!Resal)*(1-EXP(('2024'!Tnet-t)/('2024'!Tau_j))),Resal+(Salim-Resal)*(1-EXP((Tnet-t)/(Tau_j))))*Salcycl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7.1182120452825248E-4</v>
      </c>
      <c r="Q220" s="305">
        <f t="shared" si="80"/>
        <v>0.7</v>
      </c>
      <c r="R220" s="177">
        <f t="shared" si="81"/>
        <v>0.40712151642592254</v>
      </c>
      <c r="S220" s="919">
        <f t="shared" si="82"/>
        <v>-2</v>
      </c>
      <c r="T220" s="176">
        <f t="shared" si="83"/>
        <v>4</v>
      </c>
      <c r="U220" s="251">
        <f t="shared" si="84"/>
        <v>-1.5928784835740775</v>
      </c>
      <c r="V220" s="383">
        <f t="shared" si="85"/>
        <v>50.964578614179047</v>
      </c>
      <c r="W220" s="402">
        <f t="shared" si="86"/>
        <v>25.783667392009306</v>
      </c>
      <c r="X220" s="157">
        <f t="shared" si="87"/>
        <v>45863</v>
      </c>
      <c r="Y220" s="385">
        <f t="shared" si="88"/>
        <v>24.668078617572778</v>
      </c>
      <c r="Z220" s="385">
        <f t="shared" si="89"/>
        <v>26.125070181356541</v>
      </c>
      <c r="AA220" s="386">
        <f t="shared" si="90"/>
        <v>27.832755079811932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6.135522313757702E-2</v>
      </c>
      <c r="AD220" s="231">
        <f>(INDEX(Models!$BJ220:$BT220,,AH220)*(1-AF220)+INDEX(Models!$BJ220:$BT220,,AH220+1)*AF220-ERP_i)*AE220*Ramure*Pc/MaxiM</f>
        <v>6.428127397627232E-3</v>
      </c>
      <c r="AE220" s="305">
        <f t="shared" si="92"/>
        <v>0.7</v>
      </c>
      <c r="AF220" s="177">
        <f t="shared" si="93"/>
        <v>0.93210908279990123</v>
      </c>
      <c r="AG220" s="919">
        <f t="shared" si="99"/>
        <v>1</v>
      </c>
      <c r="AH220" s="176">
        <f t="shared" si="94"/>
        <v>7</v>
      </c>
      <c r="AI220" s="225">
        <f t="shared" si="95"/>
        <v>1.9321090827999012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1090">
        <f>IF(t&gt;Tmaj,'2024'!Wh/'2024'!Env_an*'2025'!Env_an,0.001*[9]mois!$B$63)</f>
        <v>49.013209079596137</v>
      </c>
      <c r="C221" s="953"/>
      <c r="D221" s="393">
        <f t="shared" si="77"/>
        <v>51.909254593364913</v>
      </c>
      <c r="E221" s="385">
        <f t="shared" si="75"/>
        <v>53.00600953165295</v>
      </c>
      <c r="F221" s="385">
        <f t="shared" si="78"/>
        <v>53.040797818733111</v>
      </c>
      <c r="G221" s="110">
        <f t="shared" si="76"/>
        <v>0.96363929828890815</v>
      </c>
      <c r="H221" s="412" t="b">
        <f>Wh_hp&gt;='2024'!Maxi_hp</f>
        <v>0</v>
      </c>
      <c r="I221" s="390">
        <f>IF(H221,Wh_hp,'2024'!Maxi_hp)</f>
        <v>54.739727703954557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5.5790543255825331E-2</v>
      </c>
      <c r="M221" s="957"/>
      <c r="N221" s="957"/>
      <c r="O221" s="48">
        <f>IF(t&lt;Tnet,'2024'!Resal+('2024'!Salim-'2024'!Resal)*(1-EXP(('2024'!Tnet-t)/('2024'!Tau_j))),Resal+(Salim-Resal)*(1-EXP((Tnet-t)/(Tau_j))))*Salcycl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6.9177726988852014E-4</v>
      </c>
      <c r="Q221" s="305">
        <f t="shared" si="80"/>
        <v>0.7</v>
      </c>
      <c r="R221" s="177">
        <f t="shared" si="81"/>
        <v>0.40950347320378144</v>
      </c>
      <c r="S221" s="919">
        <f t="shared" si="82"/>
        <v>-2</v>
      </c>
      <c r="T221" s="176">
        <f t="shared" si="83"/>
        <v>4</v>
      </c>
      <c r="U221" s="251">
        <f t="shared" si="84"/>
        <v>-1.5904965267962186</v>
      </c>
      <c r="V221" s="383">
        <f t="shared" si="85"/>
        <v>50.860782108504189</v>
      </c>
      <c r="W221" s="402">
        <f t="shared" si="86"/>
        <v>49.013209079596137</v>
      </c>
      <c r="X221" s="157">
        <f t="shared" si="87"/>
        <v>45864</v>
      </c>
      <c r="Y221" s="385">
        <f t="shared" si="88"/>
        <v>46.724777343312383</v>
      </c>
      <c r="Z221" s="385">
        <f t="shared" si="89"/>
        <v>49.485606196350616</v>
      </c>
      <c r="AA221" s="386">
        <f t="shared" si="90"/>
        <v>52.725437041973578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6.1447207029195518E-2</v>
      </c>
      <c r="AD221" s="231">
        <f>(INDEX(Models!$BJ221:$BT221,,AH221)*(1-AF221)+INDEX(Models!$BJ221:$BT221,,AH221+1)*AF221-ERP_i)*AE221*Ramure*Pc/MaxiM</f>
        <v>6.271059471078479E-3</v>
      </c>
      <c r="AE221" s="305">
        <f t="shared" si="92"/>
        <v>0.7</v>
      </c>
      <c r="AF221" s="177">
        <f t="shared" si="93"/>
        <v>0.93449103957776014</v>
      </c>
      <c r="AG221" s="919">
        <f t="shared" si="99"/>
        <v>1</v>
      </c>
      <c r="AH221" s="176">
        <f t="shared" si="94"/>
        <v>7</v>
      </c>
      <c r="AI221" s="225">
        <f t="shared" si="95"/>
        <v>1.9344910395777601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1090">
        <f>IF(t&gt;Tmaj,'2024'!Wh/'2024'!Env_an*'2025'!Env_an,0.001*[9]mois!$B$64)</f>
        <v>53.064938811921209</v>
      </c>
      <c r="C222" s="953"/>
      <c r="D222" s="393">
        <f t="shared" si="77"/>
        <v>56.201620007819479</v>
      </c>
      <c r="E222" s="385">
        <f t="shared" si="75"/>
        <v>57.396970192300955</v>
      </c>
      <c r="F222" s="385">
        <f t="shared" si="78"/>
        <v>57.435524145441825</v>
      </c>
      <c r="G222" s="110">
        <f t="shared" si="76"/>
        <v>1.0454659363283154</v>
      </c>
      <c r="H222" s="412" t="b">
        <f>Wh_hp&gt;='2024'!Maxi_hp</f>
        <v>1</v>
      </c>
      <c r="I222" s="390">
        <f>IF(H222,Wh_hp,'2024'!Maxi_hp)</f>
        <v>57.435524145441825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5.5811223866177762E-2</v>
      </c>
      <c r="M222" s="957"/>
      <c r="N222" s="957"/>
      <c r="O222" s="48">
        <f>IF(t&lt;Tnet,'2024'!Resal+('2024'!Salim-'2024'!Resal)*(1-EXP(('2024'!Tnet-t)/('2024'!Tau_j))),Resal+(Salim-Resal)*(1-EXP((Tnet-t)/(Tau_j))))*Salcycl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6.7125622538489061E-4</v>
      </c>
      <c r="Q222" s="305">
        <f t="shared" si="80"/>
        <v>0.7</v>
      </c>
      <c r="R222" s="177">
        <f t="shared" si="81"/>
        <v>0.41181431470874719</v>
      </c>
      <c r="S222" s="919">
        <f t="shared" si="82"/>
        <v>-2</v>
      </c>
      <c r="T222" s="176">
        <f t="shared" si="83"/>
        <v>4</v>
      </c>
      <c r="U222" s="251">
        <f t="shared" si="84"/>
        <v>-1.5881856852912528</v>
      </c>
      <c r="V222" s="383">
        <f t="shared" si="85"/>
        <v>50.757214527989014</v>
      </c>
      <c r="W222" s="402">
        <f t="shared" si="86"/>
        <v>53.064938811921209</v>
      </c>
      <c r="X222" s="157">
        <f t="shared" si="87"/>
        <v>45865</v>
      </c>
      <c r="Y222" s="385">
        <f t="shared" si="88"/>
        <v>50.581629081024609</v>
      </c>
      <c r="Z222" s="385">
        <f t="shared" si="89"/>
        <v>53.571521246144897</v>
      </c>
      <c r="AA222" s="386">
        <f t="shared" si="90"/>
        <v>57.084430785544264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6.1538838016914357E-2</v>
      </c>
      <c r="AD222" s="231">
        <f>(INDEX(Models!$BJ222:$BT222,,AH222)*(1-AF222)+INDEX(Models!$BJ222:$BT222,,AH222+1)*AF222-ERP_i)*AE222*Ramure*Pc/MaxiM</f>
        <v>6.1128259055928617E-3</v>
      </c>
      <c r="AE222" s="305">
        <f t="shared" si="92"/>
        <v>0.7</v>
      </c>
      <c r="AF222" s="177">
        <f t="shared" si="93"/>
        <v>0.93680188108272611</v>
      </c>
      <c r="AG222" s="919">
        <f t="shared" si="99"/>
        <v>1</v>
      </c>
      <c r="AH222" s="176">
        <f t="shared" si="94"/>
        <v>7</v>
      </c>
      <c r="AI222" s="225">
        <f t="shared" si="95"/>
        <v>1.9368018810827261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1090">
        <f>IF(t&gt;Tmaj,'2024'!Wh/'2024'!Env_an*'2025'!Env_an,0.001*[9]mois!$B$65)</f>
        <v>42.15558626421965</v>
      </c>
      <c r="C223" s="953"/>
      <c r="D223" s="393">
        <f t="shared" si="77"/>
        <v>44.648390942106232</v>
      </c>
      <c r="E223" s="385">
        <f t="shared" si="75"/>
        <v>45.604287070319401</v>
      </c>
      <c r="F223" s="385">
        <f t="shared" si="78"/>
        <v>45.626846030327606</v>
      </c>
      <c r="G223" s="110">
        <f t="shared" si="76"/>
        <v>0.83210013410213124</v>
      </c>
      <c r="H223" s="412" t="b">
        <f>Wh_hp&gt;='2024'!Maxi_hp</f>
        <v>0</v>
      </c>
      <c r="I223" s="390">
        <f>IF(H223,Wh_hp,'2024'!Maxi_hp)</f>
        <v>52.534108463708804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5.5831904023571632E-2</v>
      </c>
      <c r="M223" s="957"/>
      <c r="N223" s="957"/>
      <c r="O223" s="48">
        <f>IF(t&lt;Tnet,'2024'!Resal+('2024'!Salim-'2024'!Resal)*(1-EXP(('2024'!Tnet-t)/('2024'!Tau_j))),Resal+(Salim-Resal)*(1-EXP((Tnet-t)/(Tau_j))))*Salcycl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6.5027550268531033E-4</v>
      </c>
      <c r="Q223" s="305">
        <f t="shared" si="80"/>
        <v>0.7</v>
      </c>
      <c r="R223" s="177">
        <f t="shared" si="81"/>
        <v>0.4140553140953287</v>
      </c>
      <c r="S223" s="919">
        <f t="shared" si="82"/>
        <v>-2</v>
      </c>
      <c r="T223" s="176">
        <f t="shared" si="83"/>
        <v>4</v>
      </c>
      <c r="U223" s="251">
        <f t="shared" si="84"/>
        <v>-1.5859446859046713</v>
      </c>
      <c r="V223" s="383">
        <f t="shared" si="85"/>
        <v>50.653774986056945</v>
      </c>
      <c r="W223" s="402">
        <f t="shared" si="86"/>
        <v>42.15558626421965</v>
      </c>
      <c r="X223" s="157">
        <f t="shared" si="87"/>
        <v>45866</v>
      </c>
      <c r="Y223" s="385">
        <f t="shared" si="88"/>
        <v>40.241437670150141</v>
      </c>
      <c r="Z223" s="385">
        <f t="shared" si="89"/>
        <v>42.621052163951525</v>
      </c>
      <c r="AA223" s="386">
        <f t="shared" si="90"/>
        <v>45.420312033982739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6.1630132966432598E-2</v>
      </c>
      <c r="AD223" s="231">
        <f>(INDEX(Models!$BJ223:$BT223,,AH223)*(1-AF223)+INDEX(Models!$BJ223:$BT223,,AH223+1)*AF223-ERP_i)*AE223*Ramure*Pc/MaxiM</f>
        <v>5.9534658621643944E-3</v>
      </c>
      <c r="AE223" s="305">
        <f t="shared" si="92"/>
        <v>0.7</v>
      </c>
      <c r="AF223" s="177">
        <f t="shared" si="93"/>
        <v>0.93904288046930762</v>
      </c>
      <c r="AG223" s="919">
        <f t="shared" si="99"/>
        <v>1</v>
      </c>
      <c r="AH223" s="176">
        <f t="shared" si="94"/>
        <v>7</v>
      </c>
      <c r="AI223" s="225">
        <f t="shared" si="95"/>
        <v>1.9390428804693076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1090">
        <f>IF(t&gt;Tmaj,'2024'!Wh/'2024'!Env_an*'2025'!Env_an,0.001*[9]mois!$B$66)</f>
        <v>28.077993794569352</v>
      </c>
      <c r="C224" s="953"/>
      <c r="D224" s="393">
        <f t="shared" si="77"/>
        <v>29.738993414224261</v>
      </c>
      <c r="E224" s="385">
        <f t="shared" si="75"/>
        <v>30.37985936217428</v>
      </c>
      <c r="F224" s="385">
        <f t="shared" si="78"/>
        <v>30.386832605191017</v>
      </c>
      <c r="G224" s="110">
        <f t="shared" si="76"/>
        <v>0.55522406211508846</v>
      </c>
      <c r="H224" s="412" t="b">
        <f>Wh_hp&gt;='2024'!Maxi_hp</f>
        <v>0</v>
      </c>
      <c r="I224" s="390">
        <f>IF(H224,Wh_hp,'2024'!Maxi_hp)</f>
        <v>55.721551124095164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5.5852583728017047E-2</v>
      </c>
      <c r="M224" s="957"/>
      <c r="N224" s="957"/>
      <c r="O224" s="48">
        <f>IF(t&lt;Tnet,'2024'!Resal+('2024'!Salim-'2024'!Resal)*(1-EXP(('2024'!Tnet-t)/('2024'!Tau_j))),Resal+(Salim-Resal)*(1-EXP((Tnet-t)/(Tau_j))))*Salcycl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6.2885193356154744E-4</v>
      </c>
      <c r="Q224" s="305">
        <f t="shared" si="80"/>
        <v>0.7</v>
      </c>
      <c r="R224" s="177">
        <f t="shared" si="81"/>
        <v>0.41622778309936215</v>
      </c>
      <c r="S224" s="919">
        <f t="shared" si="82"/>
        <v>-2</v>
      </c>
      <c r="T224" s="176">
        <f t="shared" si="83"/>
        <v>4</v>
      </c>
      <c r="U224" s="251">
        <f t="shared" si="84"/>
        <v>-1.5837722169006379</v>
      </c>
      <c r="V224" s="383">
        <f t="shared" si="85"/>
        <v>50.550362709852756</v>
      </c>
      <c r="W224" s="402">
        <f t="shared" si="86"/>
        <v>28.077993794569352</v>
      </c>
      <c r="X224" s="157">
        <f t="shared" si="87"/>
        <v>45867</v>
      </c>
      <c r="Y224" s="385">
        <f t="shared" si="88"/>
        <v>26.861985937361005</v>
      </c>
      <c r="Z224" s="385">
        <f t="shared" si="89"/>
        <v>28.451050624516888</v>
      </c>
      <c r="AA224" s="386">
        <f t="shared" si="90"/>
        <v>30.322594749339856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6.172110732257536E-2</v>
      </c>
      <c r="AD224" s="231">
        <f>(INDEX(Models!$BJ224:$BT224,,AH224)*(1-AF224)+INDEX(Models!$BJ224:$BT224,,AH224+1)*AF224-ERP_i)*AE224*Ramure*Pc/MaxiM</f>
        <v>5.7930147799085578E-3</v>
      </c>
      <c r="AE224" s="305">
        <f t="shared" si="92"/>
        <v>0.7</v>
      </c>
      <c r="AF224" s="177">
        <f t="shared" si="93"/>
        <v>0.94121534947334107</v>
      </c>
      <c r="AG224" s="919">
        <f t="shared" si="99"/>
        <v>1</v>
      </c>
      <c r="AH224" s="176">
        <f t="shared" si="94"/>
        <v>7</v>
      </c>
      <c r="AI224" s="225">
        <f t="shared" si="95"/>
        <v>1.9412153494733411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1090">
        <f>IF(t&gt;Tmaj,'2024'!Wh/'2024'!Env_an*'2025'!Env_an,0.001*[9]mois!$B$67)</f>
        <v>42.310055139452537</v>
      </c>
      <c r="C225" s="953"/>
      <c r="D225" s="393">
        <f t="shared" si="77"/>
        <v>44.813957152592451</v>
      </c>
      <c r="E225" s="385">
        <f t="shared" si="75"/>
        <v>45.78596132719224</v>
      </c>
      <c r="F225" s="385">
        <f t="shared" si="78"/>
        <v>45.807359577722686</v>
      </c>
      <c r="G225" s="110">
        <f t="shared" si="76"/>
        <v>0.8385877801243673</v>
      </c>
      <c r="H225" s="412" t="b">
        <f>Wh_hp&gt;='2024'!Maxi_hp</f>
        <v>0</v>
      </c>
      <c r="I225" s="390">
        <f>IF(H225,Wh_hp,'2024'!Maxi_hp)</f>
        <v>53.533900381500366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5.5873262979523886E-2</v>
      </c>
      <c r="M225" s="957"/>
      <c r="N225" s="957"/>
      <c r="O225" s="48">
        <f>IF(t&lt;Tnet,'2024'!Resal+('2024'!Salim-'2024'!Resal)*(1-EXP(('2024'!Tnet-t)/('2024'!Tau_j))),Resal+(Salim-Resal)*(1-EXP((Tnet-t)/(Tau_j))))*Salcycl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6.0700172960015484E-4</v>
      </c>
      <c r="Q225" s="305">
        <f t="shared" si="80"/>
        <v>0.7</v>
      </c>
      <c r="R225" s="177">
        <f t="shared" si="81"/>
        <v>0.41833306664624459</v>
      </c>
      <c r="S225" s="919">
        <f t="shared" si="82"/>
        <v>-2</v>
      </c>
      <c r="T225" s="176">
        <f t="shared" si="83"/>
        <v>4</v>
      </c>
      <c r="U225" s="251">
        <f t="shared" si="84"/>
        <v>-1.5816669333537554</v>
      </c>
      <c r="V225" s="383">
        <f t="shared" si="85"/>
        <v>50.446877041077471</v>
      </c>
      <c r="W225" s="402">
        <f t="shared" si="86"/>
        <v>42.310055139452537</v>
      </c>
      <c r="X225" s="157">
        <f t="shared" si="87"/>
        <v>45868</v>
      </c>
      <c r="Y225" s="385">
        <f t="shared" si="88"/>
        <v>40.398873965875403</v>
      </c>
      <c r="Z225" s="385">
        <f t="shared" si="89"/>
        <v>42.7896725956181</v>
      </c>
      <c r="AA225" s="386">
        <f t="shared" si="90"/>
        <v>45.608835689334789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6.1811775089358943E-2</v>
      </c>
      <c r="AD225" s="231">
        <f>(INDEX(Models!$BJ225:$BT225,,AH225)*(1-AF225)+INDEX(Models!$BJ225:$BT225,,AH225+1)*AF225-ERP_i)*AE225*Ramure*Pc/MaxiM</f>
        <v>5.631504474955972E-3</v>
      </c>
      <c r="AE225" s="305">
        <f t="shared" si="92"/>
        <v>0.7</v>
      </c>
      <c r="AF225" s="177">
        <f t="shared" si="93"/>
        <v>0.94332063302022351</v>
      </c>
      <c r="AG225" s="919">
        <f t="shared" si="99"/>
        <v>1</v>
      </c>
      <c r="AH225" s="176">
        <f t="shared" si="94"/>
        <v>7</v>
      </c>
      <c r="AI225" s="225">
        <f t="shared" si="95"/>
        <v>1.9433206330202235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1090">
        <f>IF(t&gt;Tmaj,'2024'!Wh/'2024'!Env_an*'2025'!Env_an,0.001*[9]mois!$B$68)</f>
        <v>50.856825909734368</v>
      </c>
      <c r="C226" s="953"/>
      <c r="D226" s="393">
        <f t="shared" si="77"/>
        <v>53.867704233904234</v>
      </c>
      <c r="E226" s="385">
        <f t="shared" si="75"/>
        <v>55.043617922805069</v>
      </c>
      <c r="F226" s="385">
        <f t="shared" si="78"/>
        <v>55.075837023601316</v>
      </c>
      <c r="G226" s="110">
        <f t="shared" si="76"/>
        <v>1.0102023959132445</v>
      </c>
      <c r="H226" s="412" t="b">
        <f>Wh_hp&gt;='2024'!Maxi_hp</f>
        <v>1</v>
      </c>
      <c r="I226" s="390">
        <f>IF(H226,Wh_hp,'2024'!Maxi_hp)</f>
        <v>55.075837023601316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5.589394177810203E-2</v>
      </c>
      <c r="M226" s="957"/>
      <c r="N226" s="957"/>
      <c r="O226" s="48">
        <f>IF(t&lt;Tnet,'2024'!Resal+('2024'!Salim-'2024'!Resal)*(1-EXP(('2024'!Tnet-t)/('2024'!Tau_j))),Resal+(Salim-Resal)*(1-EXP((Tnet-t)/(Tau_j))))*Salcycl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5.8499520910483571E-4</v>
      </c>
      <c r="Q226" s="305">
        <f t="shared" si="80"/>
        <v>0.7</v>
      </c>
      <c r="R226" s="177">
        <f t="shared" si="81"/>
        <v>0.42037253771171756</v>
      </c>
      <c r="S226" s="919">
        <f t="shared" si="82"/>
        <v>-2</v>
      </c>
      <c r="T226" s="176">
        <f t="shared" si="83"/>
        <v>4</v>
      </c>
      <c r="U226" s="251">
        <f t="shared" si="84"/>
        <v>-1.5796274622882824</v>
      </c>
      <c r="V226" s="383">
        <f t="shared" si="85"/>
        <v>50.343204604814588</v>
      </c>
      <c r="W226" s="402">
        <f t="shared" si="86"/>
        <v>50.856825909734368</v>
      </c>
      <c r="X226" s="157">
        <f t="shared" si="87"/>
        <v>45869</v>
      </c>
      <c r="Y226" s="385">
        <f t="shared" si="88"/>
        <v>48.511805889989148</v>
      </c>
      <c r="Z226" s="385">
        <f t="shared" si="89"/>
        <v>51.383851917394622</v>
      </c>
      <c r="AA226" s="386">
        <f t="shared" si="90"/>
        <v>54.774511904951225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6.1902148821340965E-2</v>
      </c>
      <c r="AD226" s="231">
        <f>(INDEX(Models!$BJ226:$BT226,,AH226)*(1-AF226)+INDEX(Models!$BJ226:$BT226,,AH226+1)*AF226-ERP_i)*AE226*Ramure*Pc/MaxiM</f>
        <v>5.4710946748020468E-3</v>
      </c>
      <c r="AE226" s="305">
        <f t="shared" si="92"/>
        <v>0.7</v>
      </c>
      <c r="AF226" s="177">
        <f t="shared" si="93"/>
        <v>0.94536010408569648</v>
      </c>
      <c r="AG226" s="919">
        <f t="shared" si="99"/>
        <v>1</v>
      </c>
      <c r="AH226" s="176">
        <f t="shared" si="94"/>
        <v>7</v>
      </c>
      <c r="AI226" s="225">
        <f t="shared" si="95"/>
        <v>1.9453601040856965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1090">
        <f>IF(t&gt;Tmaj,'2024'!Wh/'2024'!Env_an*'2025'!Env_an,0.001*'[10]mon-tableau (1)'!$B$38)</f>
        <v>50.778915277739415</v>
      </c>
      <c r="C227" s="953"/>
      <c r="D227" s="393">
        <f t="shared" si="77"/>
        <v>53.786359115524164</v>
      </c>
      <c r="E227" s="385">
        <f t="shared" si="75"/>
        <v>54.968011863621442</v>
      </c>
      <c r="F227" s="385">
        <f t="shared" si="78"/>
        <v>54.998968794704098</v>
      </c>
      <c r="G227" s="110">
        <f t="shared" si="76"/>
        <v>1.0107420217858487</v>
      </c>
      <c r="H227" s="412" t="b">
        <f>Wh_hp&gt;='2024'!Maxi_hp</f>
        <v>1</v>
      </c>
      <c r="I227" s="390">
        <f>IF(H227,Wh_hp,'2024'!Maxi_hp)</f>
        <v>54.998968794704098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5.5914620123761472E-2</v>
      </c>
      <c r="M227" s="957"/>
      <c r="N227" s="957"/>
      <c r="O227" s="48">
        <f>IF(t&lt;Tnet,'2024'!Resal+('2024'!Salim-'2024'!Resal)*(1-EXP(('2024'!Tnet-t)/('2024'!Tau_j))),Resal+(Salim-Resal)*(1-EXP((Tnet-t)/(Tau_j))))*Salcycl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5.6286384565149342E-4</v>
      </c>
      <c r="Q227" s="305">
        <f t="shared" si="80"/>
        <v>0.7</v>
      </c>
      <c r="R227" s="177">
        <f t="shared" si="81"/>
        <v>0.42234759244038678</v>
      </c>
      <c r="S227" s="919">
        <f t="shared" si="82"/>
        <v>-2</v>
      </c>
      <c r="T227" s="176">
        <f t="shared" si="83"/>
        <v>4</v>
      </c>
      <c r="U227" s="251">
        <f t="shared" si="84"/>
        <v>-1.5776524075596132</v>
      </c>
      <c r="V227" s="383">
        <f t="shared" si="85"/>
        <v>50.239244221804221</v>
      </c>
      <c r="W227" s="402">
        <f t="shared" si="86"/>
        <v>50.778915277739415</v>
      </c>
      <c r="X227" s="157">
        <f t="shared" si="87"/>
        <v>45870</v>
      </c>
      <c r="Y227" s="385">
        <f t="shared" si="88"/>
        <v>48.446118782702328</v>
      </c>
      <c r="Z227" s="385">
        <f t="shared" si="89"/>
        <v>51.315399873105967</v>
      </c>
      <c r="AA227" s="386">
        <f t="shared" si="90"/>
        <v>54.706796724829552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6.1992239625763813E-2</v>
      </c>
      <c r="AD227" s="231">
        <f>(INDEX(Models!$BJ227:$BT227,,AH227)*(1-AF227)+INDEX(Models!$BJ227:$BT227,,AH227+1)*AF227-ERP_i)*AE227*Ramure*Pc/MaxiM</f>
        <v>5.31231905392897E-3</v>
      </c>
      <c r="AE227" s="305">
        <f t="shared" si="92"/>
        <v>0.7</v>
      </c>
      <c r="AF227" s="177">
        <f t="shared" si="93"/>
        <v>0.9473351588143657</v>
      </c>
      <c r="AG227" s="919">
        <f t="shared" si="99"/>
        <v>1</v>
      </c>
      <c r="AH227" s="176">
        <f t="shared" si="94"/>
        <v>7</v>
      </c>
      <c r="AI227" s="225">
        <f t="shared" si="95"/>
        <v>1.9473351588143657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1090">
        <f>IF(t&gt;Tmaj,'2024'!Wh/'2024'!Env_an*'2025'!Env_an,0.001*'[10]mon-tableau (1)'!$B$39)</f>
        <v>50.822589927657148</v>
      </c>
      <c r="C228" s="953"/>
      <c r="D228" s="393">
        <f t="shared" si="77"/>
        <v>53.833799548779282</v>
      </c>
      <c r="E228" s="385">
        <f t="shared" si="75"/>
        <v>55.024006387403986</v>
      </c>
      <c r="F228" s="385">
        <f t="shared" si="78"/>
        <v>55.053769932764375</v>
      </c>
      <c r="G228" s="110">
        <f t="shared" si="76"/>
        <v>1.0137168832934342</v>
      </c>
      <c r="H228" s="412" t="b">
        <f>Wh_hp&gt;='2024'!Maxi_hp</f>
        <v>1</v>
      </c>
      <c r="I228" s="390">
        <f>IF(H228,Wh_hp,'2024'!Maxi_hp)</f>
        <v>55.053769932764375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5.5935298016511981E-2</v>
      </c>
      <c r="M228" s="957"/>
      <c r="N228" s="957"/>
      <c r="O228" s="48">
        <f>IF(t&lt;Tnet,'2024'!Resal+('2024'!Salim-'2024'!Resal)*(1-EXP(('2024'!Tnet-t)/('2024'!Tau_j))),Resal+(Salim-Resal)*(1-EXP((Tnet-t)/(Tau_j))))*Salcycl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5.406268343973405E-4</v>
      </c>
      <c r="Q228" s="305">
        <f t="shared" si="80"/>
        <v>0.7</v>
      </c>
      <c r="R228" s="177">
        <f t="shared" si="81"/>
        <v>0.4242596455250236</v>
      </c>
      <c r="S228" s="919">
        <f t="shared" si="82"/>
        <v>-2</v>
      </c>
      <c r="T228" s="176">
        <f t="shared" si="83"/>
        <v>4</v>
      </c>
      <c r="U228" s="251">
        <f t="shared" si="84"/>
        <v>-1.5757403544749764</v>
      </c>
      <c r="V228" s="383">
        <f t="shared" si="85"/>
        <v>50.134895418276116</v>
      </c>
      <c r="W228" s="402">
        <f t="shared" si="86"/>
        <v>50.822589927657148</v>
      </c>
      <c r="X228" s="157">
        <f t="shared" si="87"/>
        <v>45871</v>
      </c>
      <c r="Y228" s="385">
        <f t="shared" si="88"/>
        <v>48.496343490029965</v>
      </c>
      <c r="Z228" s="385">
        <f t="shared" si="89"/>
        <v>51.369724329422262</v>
      </c>
      <c r="AA228" s="386">
        <f t="shared" si="90"/>
        <v>54.769955860628563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6.2082057174900139E-2</v>
      </c>
      <c r="AD228" s="231">
        <f>(INDEX(Models!$BJ228:$BT228,,AH228)*(1-AF228)+INDEX(Models!$BJ228:$BT228,,AH228+1)*AF228-ERP_i)*AE228*Ramure*Pc/MaxiM</f>
        <v>5.1552159367546074E-3</v>
      </c>
      <c r="AE228" s="305">
        <f t="shared" si="92"/>
        <v>0.7</v>
      </c>
      <c r="AF228" s="177">
        <f t="shared" si="93"/>
        <v>0.94924721189900252</v>
      </c>
      <c r="AG228" s="919">
        <f t="shared" si="99"/>
        <v>1</v>
      </c>
      <c r="AH228" s="176">
        <f t="shared" si="94"/>
        <v>7</v>
      </c>
      <c r="AI228" s="225">
        <f t="shared" si="95"/>
        <v>1.9492472118990025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1090">
        <f>IF(t&gt;Tmaj,'2024'!Wh/'2024'!Env_an*'2025'!Env_an,0.001*'[10]mon-tableau (1)'!$B$40)</f>
        <v>49.210398601965174</v>
      </c>
      <c r="C229" s="953"/>
      <c r="D229" s="393">
        <f t="shared" si="77"/>
        <v>52.127228521735674</v>
      </c>
      <c r="E229" s="385">
        <f t="shared" si="75"/>
        <v>53.286969493294137</v>
      </c>
      <c r="F229" s="385">
        <f t="shared" si="78"/>
        <v>53.313955512859685</v>
      </c>
      <c r="G229" s="110">
        <f t="shared" si="76"/>
        <v>0.98360472600362503</v>
      </c>
      <c r="H229" s="412" t="b">
        <f>Wh_hp&gt;='2024'!Maxi_hp</f>
        <v>0</v>
      </c>
      <c r="I229" s="390">
        <f>IF(H229,Wh_hp,'2024'!Maxi_hp)</f>
        <v>53.74274506897126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5.595597545636366E-2</v>
      </c>
      <c r="M229" s="957"/>
      <c r="N229" s="957"/>
      <c r="O229" s="48">
        <f>IF(t&lt;Tnet,'2024'!Resal+('2024'!Salim-'2024'!Resal)*(1-EXP(('2024'!Tnet-t)/('2024'!Tau_j))),Resal+(Salim-Resal)*(1-EXP((Tnet-t)/(Tau_j))))*Salcycl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5.1830252547635741E-4</v>
      </c>
      <c r="Q229" s="305">
        <f t="shared" si="80"/>
        <v>0.7</v>
      </c>
      <c r="R229" s="177">
        <f t="shared" si="81"/>
        <v>0.42611012584774666</v>
      </c>
      <c r="S229" s="919">
        <f t="shared" si="82"/>
        <v>-2</v>
      </c>
      <c r="T229" s="176">
        <f t="shared" si="83"/>
        <v>4</v>
      </c>
      <c r="U229" s="251">
        <f t="shared" si="84"/>
        <v>-1.5738898741522533</v>
      </c>
      <c r="V229" s="383">
        <f t="shared" si="85"/>
        <v>50.030057847105702</v>
      </c>
      <c r="W229" s="402">
        <f t="shared" si="86"/>
        <v>49.210398601965174</v>
      </c>
      <c r="X229" s="157">
        <f t="shared" si="87"/>
        <v>45872</v>
      </c>
      <c r="Y229" s="385">
        <f t="shared" si="88"/>
        <v>46.971103264642608</v>
      </c>
      <c r="Z229" s="385">
        <f t="shared" si="89"/>
        <v>49.755204252629085</v>
      </c>
      <c r="AA229" s="386">
        <f t="shared" si="90"/>
        <v>53.053634085649918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6.2171609727918742E-2</v>
      </c>
      <c r="AD229" s="231">
        <f>(INDEX(Models!$BJ229:$BT229,,AH229)*(1-AF229)+INDEX(Models!$BJ229:$BT229,,AH229+1)*AF229-ERP_i)*AE229*Ramure*Pc/MaxiM</f>
        <v>4.9998204748466311E-3</v>
      </c>
      <c r="AE229" s="305">
        <f t="shared" si="92"/>
        <v>0.7</v>
      </c>
      <c r="AF229" s="177">
        <f t="shared" si="93"/>
        <v>0.95109769222172558</v>
      </c>
      <c r="AG229" s="919">
        <f t="shared" si="99"/>
        <v>1</v>
      </c>
      <c r="AH229" s="176">
        <f t="shared" si="94"/>
        <v>7</v>
      </c>
      <c r="AI229" s="225">
        <f t="shared" si="95"/>
        <v>1.9510976922217256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1090">
        <f>IF(t&gt;Tmaj,'2024'!Wh/'2024'!Env_an*'2025'!Env_an,0.001*'[10]mon-tableau (1)'!$B$41)</f>
        <v>48.674550740211586</v>
      </c>
      <c r="C230" s="953"/>
      <c r="D230" s="393">
        <f t="shared" si="77"/>
        <v>51.560748858798163</v>
      </c>
      <c r="E230" s="385">
        <f t="shared" si="75"/>
        <v>52.715063279981351</v>
      </c>
      <c r="F230" s="385">
        <f t="shared" si="78"/>
        <v>52.740282076679769</v>
      </c>
      <c r="G230" s="110">
        <f t="shared" si="76"/>
        <v>0.97494334239727809</v>
      </c>
      <c r="H230" s="412" t="b">
        <f>Wh_hp&gt;='2024'!Maxi_hp</f>
        <v>1</v>
      </c>
      <c r="I230" s="390">
        <f>IF(H230,Wh_hp,'2024'!Maxi_hp)</f>
        <v>52.740282076679769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5.597665244332628E-2</v>
      </c>
      <c r="M230" s="957"/>
      <c r="N230" s="957"/>
      <c r="O230" s="48">
        <f>IF(t&lt;Tnet,'2024'!Resal+('2024'!Salim-'2024'!Resal)*(1-EXP(('2024'!Tnet-t)/('2024'!Tau_j))),Resal+(Salim-Resal)*(1-EXP((Tnet-t)/(Tau_j))))*Salcycl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4.9590844144337847E-4</v>
      </c>
      <c r="Q230" s="305">
        <f t="shared" si="80"/>
        <v>0.7</v>
      </c>
      <c r="R230" s="177">
        <f t="shared" si="81"/>
        <v>0.42790047238242335</v>
      </c>
      <c r="S230" s="919">
        <f t="shared" si="82"/>
        <v>-2</v>
      </c>
      <c r="T230" s="176">
        <f t="shared" si="83"/>
        <v>4</v>
      </c>
      <c r="U230" s="251">
        <f t="shared" si="84"/>
        <v>-1.5720995276175767</v>
      </c>
      <c r="V230" s="383">
        <f t="shared" si="85"/>
        <v>49.924631286431556</v>
      </c>
      <c r="W230" s="402">
        <f t="shared" si="86"/>
        <v>48.674550740211586</v>
      </c>
      <c r="X230" s="157">
        <f t="shared" si="87"/>
        <v>45873</v>
      </c>
      <c r="Y230" s="385">
        <f t="shared" si="88"/>
        <v>46.470042788160157</v>
      </c>
      <c r="Z230" s="385">
        <f t="shared" si="89"/>
        <v>49.225522767455033</v>
      </c>
      <c r="AA230" s="386">
        <f t="shared" si="90"/>
        <v>52.493836490243872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6.2260904161505974E-2</v>
      </c>
      <c r="AD230" s="231">
        <f>(INDEX(Models!$BJ230:$BT230,,AH230)*(1-AF230)+INDEX(Models!$BJ230:$BT230,,AH230+1)*AF230-ERP_i)*AE230*Ramure*Pc/MaxiM</f>
        <v>4.8461648718433224E-3</v>
      </c>
      <c r="AE230" s="305">
        <f t="shared" si="92"/>
        <v>0.7</v>
      </c>
      <c r="AF230" s="177">
        <f t="shared" si="93"/>
        <v>0.95288803875640227</v>
      </c>
      <c r="AG230" s="919">
        <f t="shared" si="99"/>
        <v>1</v>
      </c>
      <c r="AH230" s="176">
        <f t="shared" si="94"/>
        <v>7</v>
      </c>
      <c r="AI230" s="225">
        <f t="shared" si="95"/>
        <v>1.9528880387564023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1090">
        <f>IF(t&gt;Tmaj,'2024'!Wh/'2024'!Env_an*'2025'!Env_an,0.001*'[10]mon-tableau (1)'!$B$42)</f>
        <v>43.883018435203965</v>
      </c>
      <c r="C231" s="953"/>
      <c r="D231" s="393">
        <f t="shared" si="77"/>
        <v>46.486116811160841</v>
      </c>
      <c r="E231" s="385">
        <f t="shared" si="75"/>
        <v>47.533285371394697</v>
      </c>
      <c r="F231" s="385">
        <f t="shared" si="78"/>
        <v>47.551967425044296</v>
      </c>
      <c r="G231" s="110">
        <f t="shared" si="76"/>
        <v>0.88078659476848475</v>
      </c>
      <c r="H231" s="412" t="b">
        <f>Wh_hp&gt;='2024'!Maxi_hp</f>
        <v>0</v>
      </c>
      <c r="I231" s="390">
        <f>IF(H231,Wh_hp,'2024'!Maxi_hp)</f>
        <v>53.36011340472448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5.5997328977409833E-2</v>
      </c>
      <c r="M231" s="957"/>
      <c r="N231" s="957"/>
      <c r="O231" s="48">
        <f>IF(t&lt;Tnet,'2024'!Resal+('2024'!Salim-'2024'!Resal)*(1-EXP(('2024'!Tnet-t)/('2024'!Tau_j))),Resal+(Salim-Resal)*(1-EXP((Tnet-t)/(Tau_j))))*Salcycl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4.7346129743241951E-4</v>
      </c>
      <c r="Q231" s="305">
        <f t="shared" si="80"/>
        <v>0.7</v>
      </c>
      <c r="R231" s="177">
        <f t="shared" si="81"/>
        <v>0.42963213035606573</v>
      </c>
      <c r="S231" s="919">
        <f t="shared" si="82"/>
        <v>-2</v>
      </c>
      <c r="T231" s="176">
        <f t="shared" si="83"/>
        <v>4</v>
      </c>
      <c r="U231" s="251">
        <f t="shared" si="84"/>
        <v>-1.5703678696439343</v>
      </c>
      <c r="V231" s="383">
        <f t="shared" si="85"/>
        <v>49.81851563668414</v>
      </c>
      <c r="W231" s="402">
        <f t="shared" si="86"/>
        <v>43.883018435203965</v>
      </c>
      <c r="X231" s="157">
        <f t="shared" si="87"/>
        <v>45874</v>
      </c>
      <c r="Y231" s="385">
        <f t="shared" si="88"/>
        <v>41.926391675871855</v>
      </c>
      <c r="Z231" s="385">
        <f t="shared" si="89"/>
        <v>44.41342483751145</v>
      </c>
      <c r="AA231" s="386">
        <f t="shared" si="90"/>
        <v>47.366738420632124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6.2349946008405432E-2</v>
      </c>
      <c r="AD231" s="231">
        <f>(INDEX(Models!$BJ231:$BT231,,AH231)*(1-AF231)+INDEX(Models!$BJ231:$BT231,,AH231+1)*AF231-ERP_i)*AE231*Ramure*Pc/MaxiM</f>
        <v>4.694278605338869E-3</v>
      </c>
      <c r="AE231" s="305">
        <f t="shared" si="92"/>
        <v>0.7</v>
      </c>
      <c r="AF231" s="177">
        <f t="shared" si="93"/>
        <v>0.95461969673004465</v>
      </c>
      <c r="AG231" s="919">
        <f t="shared" si="99"/>
        <v>1</v>
      </c>
      <c r="AH231" s="176">
        <f t="shared" si="94"/>
        <v>7</v>
      </c>
      <c r="AI231" s="225">
        <f t="shared" si="95"/>
        <v>1.9546196967300447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1090">
        <f>IF(t&gt;Tmaj,'2024'!Wh/'2024'!Env_an*'2025'!Env_an,0.001*'[10]mon-tableau (1)'!$B$43)</f>
        <v>46.387781625314354</v>
      </c>
      <c r="C232" s="953"/>
      <c r="D232" s="393">
        <f t="shared" si="77"/>
        <v>49.140536444442645</v>
      </c>
      <c r="E232" s="385">
        <f t="shared" si="75"/>
        <v>50.254322566326934</v>
      </c>
      <c r="F232" s="385">
        <f t="shared" si="78"/>
        <v>50.274829711436844</v>
      </c>
      <c r="G232" s="110">
        <f t="shared" si="76"/>
        <v>0.93309755494261637</v>
      </c>
      <c r="H232" s="412" t="b">
        <f>Wh_hp&gt;='2024'!Maxi_hp</f>
        <v>0</v>
      </c>
      <c r="I232" s="390">
        <f>IF(H232,Wh_hp,'2024'!Maxi_hp)</f>
        <v>54.203152791652954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5.6018005058624198E-2</v>
      </c>
      <c r="M232" s="957"/>
      <c r="N232" s="957"/>
      <c r="O232" s="48">
        <f>IF(t&lt;Tnet,'2024'!Resal+('2024'!Salim-'2024'!Resal)*(1-EXP(('2024'!Tnet-t)/('2024'!Tau_j))),Resal+(Salim-Resal)*(1-EXP((Tnet-t)/(Tau_j))))*Salcycl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4.5097702346624298E-4</v>
      </c>
      <c r="Q232" s="305">
        <f t="shared" si="80"/>
        <v>0.7</v>
      </c>
      <c r="R232" s="177">
        <f t="shared" si="81"/>
        <v>0.43130654766559728</v>
      </c>
      <c r="S232" s="919">
        <f t="shared" si="82"/>
        <v>-2</v>
      </c>
      <c r="T232" s="176">
        <f t="shared" si="83"/>
        <v>4</v>
      </c>
      <c r="U232" s="251">
        <f t="shared" si="84"/>
        <v>-1.5686934523344027</v>
      </c>
      <c r="V232" s="383">
        <f t="shared" si="85"/>
        <v>49.711610919421631</v>
      </c>
      <c r="W232" s="402">
        <f t="shared" si="86"/>
        <v>46.387781625314354</v>
      </c>
      <c r="X232" s="157">
        <f t="shared" si="87"/>
        <v>45875</v>
      </c>
      <c r="Y232" s="385">
        <f t="shared" si="88"/>
        <v>44.312401194162575</v>
      </c>
      <c r="Z232" s="385">
        <f t="shared" si="89"/>
        <v>46.941998291942539</v>
      </c>
      <c r="AA232" s="386">
        <f t="shared" si="90"/>
        <v>50.068193162180648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6.2438739502976529E-2</v>
      </c>
      <c r="AD232" s="231">
        <f>(INDEX(Models!$BJ232:$BT232,,AH232)*(1-AF232)+INDEX(Models!$BJ232:$BT232,,AH232+1)*AF232-ERP_i)*AE232*Ramure*Pc/MaxiM</f>
        <v>4.5441886436858045E-3</v>
      </c>
      <c r="AE232" s="305">
        <f t="shared" si="92"/>
        <v>0.7</v>
      </c>
      <c r="AF232" s="177">
        <f t="shared" si="93"/>
        <v>0.9562941140395762</v>
      </c>
      <c r="AG232" s="919">
        <f t="shared" si="99"/>
        <v>1</v>
      </c>
      <c r="AH232" s="176">
        <f t="shared" si="94"/>
        <v>7</v>
      </c>
      <c r="AI232" s="225">
        <f t="shared" si="95"/>
        <v>1.9562941140395762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1090">
        <f>IF(t&gt;Tmaj,'2024'!Wh/'2024'!Env_an*'2025'!Env_an,0.001*'[10]mon-tableau (1)'!$B$44)</f>
        <v>49.481316559427079</v>
      </c>
      <c r="C233" s="953"/>
      <c r="D233" s="393">
        <f t="shared" si="77"/>
        <v>52.418796773831488</v>
      </c>
      <c r="E233" s="385">
        <f t="shared" ref="E233:E296" si="100">Wh_pvt/(1-Psa)</f>
        <v>53.614154718708456</v>
      </c>
      <c r="F233" s="385">
        <f t="shared" si="78"/>
        <v>53.637055471324608</v>
      </c>
      <c r="G233" s="110">
        <f t="shared" ref="G233:G296" si="101">+Wh_hp/MaxiM</f>
        <v>0.99752748782333023</v>
      </c>
      <c r="H233" s="412" t="b">
        <f>Wh_hp&gt;='2024'!Maxi_hp</f>
        <v>1</v>
      </c>
      <c r="I233" s="390">
        <f>IF(H233,Wh_hp,'2024'!Maxi_hp)</f>
        <v>53.637055471324608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5.603868068697937E-2</v>
      </c>
      <c r="M233" s="957"/>
      <c r="N233" s="957"/>
      <c r="O233" s="48">
        <f>IF(t&lt;Tnet,'2024'!Resal+('2024'!Salim-'2024'!Resal)*(1-EXP(('2024'!Tnet-t)/('2024'!Tau_j))),Resal+(Salim-Resal)*(1-EXP((Tnet-t)/(Tau_j))))*Salcycl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4.2847017862997325E-4</v>
      </c>
      <c r="Q233" s="305">
        <f t="shared" si="80"/>
        <v>0.7</v>
      </c>
      <c r="R233" s="177">
        <f t="shared" si="81"/>
        <v>0.43292517154516075</v>
      </c>
      <c r="S233" s="919">
        <f t="shared" si="82"/>
        <v>-2</v>
      </c>
      <c r="T233" s="176">
        <f t="shared" si="83"/>
        <v>4</v>
      </c>
      <c r="U233" s="251">
        <f t="shared" si="84"/>
        <v>-1.5670748284548393</v>
      </c>
      <c r="V233" s="383">
        <f t="shared" si="85"/>
        <v>49.603887903750049</v>
      </c>
      <c r="W233" s="402">
        <f t="shared" si="86"/>
        <v>49.481316559427079</v>
      </c>
      <c r="X233" s="157">
        <f t="shared" si="87"/>
        <v>45876</v>
      </c>
      <c r="Y233" s="385">
        <f t="shared" si="88"/>
        <v>47.257549900784227</v>
      </c>
      <c r="Z233" s="385">
        <f t="shared" si="89"/>
        <v>50.063015225217583</v>
      </c>
      <c r="AA233" s="386">
        <f t="shared" si="90"/>
        <v>53.402103938369784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6.2527287632820117E-2</v>
      </c>
      <c r="AD233" s="231">
        <f>(INDEX(Models!$BJ233:$BT233,,AH233)*(1-AF233)+INDEX(Models!$BJ233:$BT233,,AH233+1)*AF233-ERP_i)*AE233*Ramure*Pc/MaxiM</f>
        <v>4.3959133999611159E-3</v>
      </c>
      <c r="AE233" s="305">
        <f t="shared" si="92"/>
        <v>0.7</v>
      </c>
      <c r="AF233" s="177">
        <f t="shared" si="93"/>
        <v>0.95791273791913989</v>
      </c>
      <c r="AG233" s="919">
        <f t="shared" si="99"/>
        <v>1</v>
      </c>
      <c r="AH233" s="176">
        <f t="shared" si="94"/>
        <v>7</v>
      </c>
      <c r="AI233" s="225">
        <f t="shared" si="95"/>
        <v>1.9579127379191399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1090">
        <f>IF(t&gt;Tmaj,'2024'!Wh/'2024'!Env_an*'2025'!Env_an,0.001*'[10]mon-tableau (1)'!$B$45)</f>
        <v>50.080956362406134</v>
      </c>
      <c r="C234" s="953"/>
      <c r="D234" s="393">
        <f t="shared" si="77"/>
        <v>53.055196503552878</v>
      </c>
      <c r="E234" s="385">
        <f t="shared" si="100"/>
        <v>54.272415033319781</v>
      </c>
      <c r="F234" s="385">
        <f t="shared" si="78"/>
        <v>54.294471719651796</v>
      </c>
      <c r="G234" s="110">
        <f t="shared" si="101"/>
        <v>1.0118300277067904</v>
      </c>
      <c r="H234" s="412" t="b">
        <f>Wh_hp&gt;='2024'!Maxi_hp</f>
        <v>1</v>
      </c>
      <c r="I234" s="390">
        <f>IF(H234,Wh_hp,'2024'!Maxi_hp)</f>
        <v>54.294471719651796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5.6059355862485116E-2</v>
      </c>
      <c r="M234" s="957"/>
      <c r="N234" s="957"/>
      <c r="O234" s="48">
        <f>IF(t&lt;Tnet,'2024'!Resal+('2024'!Salim-'2024'!Resal)*(1-EXP(('2024'!Tnet-t)/('2024'!Tau_j))),Resal+(Salim-Resal)*(1-EXP((Tnet-t)/(Tau_j))))*Salcycl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4.0624184439823E-4</v>
      </c>
      <c r="Q234" s="305">
        <f t="shared" si="80"/>
        <v>0.7</v>
      </c>
      <c r="R234" s="177">
        <f t="shared" si="81"/>
        <v>0.43448944547808233</v>
      </c>
      <c r="S234" s="919">
        <f t="shared" si="82"/>
        <v>-2</v>
      </c>
      <c r="T234" s="176">
        <f t="shared" si="83"/>
        <v>4</v>
      </c>
      <c r="U234" s="251">
        <f t="shared" si="84"/>
        <v>-1.5655105545219177</v>
      </c>
      <c r="V234" s="383">
        <f t="shared" si="85"/>
        <v>49.495424123663845</v>
      </c>
      <c r="W234" s="402">
        <f t="shared" si="86"/>
        <v>50.080956362406134</v>
      </c>
      <c r="X234" s="157">
        <f t="shared" si="87"/>
        <v>45877</v>
      </c>
      <c r="Y234" s="385">
        <f t="shared" si="88"/>
        <v>47.837399995821812</v>
      </c>
      <c r="Z234" s="385">
        <f t="shared" si="89"/>
        <v>50.678398364264922</v>
      </c>
      <c r="AA234" s="386">
        <f t="shared" si="90"/>
        <v>54.063624210435272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6.2615592195480976E-2</v>
      </c>
      <c r="AD234" s="231">
        <f>(INDEX(Models!$BJ234:$BT234,,AH234)*(1-AF234)+INDEX(Models!$BJ234:$BT234,,AH234+1)*AF234-ERP_i)*AE234*Ramure*Pc/MaxiM</f>
        <v>4.2517682170019342E-3</v>
      </c>
      <c r="AE234" s="305">
        <f t="shared" si="92"/>
        <v>0.7</v>
      </c>
      <c r="AF234" s="177">
        <f t="shared" si="93"/>
        <v>0.95947701185206125</v>
      </c>
      <c r="AG234" s="919">
        <f t="shared" si="99"/>
        <v>1</v>
      </c>
      <c r="AH234" s="176">
        <f t="shared" si="94"/>
        <v>7</v>
      </c>
      <c r="AI234" s="225">
        <f t="shared" si="95"/>
        <v>1.9594770118520612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1090">
        <f>IF(t&gt;Tmaj,'2024'!Wh/'2024'!Env_an*'2025'!Env_an,0.001*'[10]mon-tableau (1)'!$B$46)</f>
        <v>48.248241269040115</v>
      </c>
      <c r="C235" s="953"/>
      <c r="D235" s="393">
        <f t="shared" si="77"/>
        <v>51.11475848842354</v>
      </c>
      <c r="E235" s="385">
        <f t="shared" si="100"/>
        <v>52.294529101936007</v>
      </c>
      <c r="F235" s="385">
        <f t="shared" si="78"/>
        <v>52.313970114984713</v>
      </c>
      <c r="G235" s="110">
        <f t="shared" si="101"/>
        <v>0.97694356156289197</v>
      </c>
      <c r="H235" s="412" t="b">
        <f>Wh_hp&gt;='2024'!Maxi_hp</f>
        <v>0</v>
      </c>
      <c r="I235" s="390">
        <f>IF(H235,Wh_hp,'2024'!Maxi_hp)</f>
        <v>54.505372378920782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5.6080030585151541E-2</v>
      </c>
      <c r="M235" s="957"/>
      <c r="N235" s="957"/>
      <c r="O235" s="48">
        <f>IF(t&lt;Tnet,'2024'!Resal+('2024'!Salim-'2024'!Resal)*(1-EXP(('2024'!Tnet-t)/('2024'!Tau_j))),Resal+(Salim-Resal)*(1-EXP((Tnet-t)/(Tau_j))))*Salcycl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3.8427210390555209E-4</v>
      </c>
      <c r="Q235" s="305">
        <f t="shared" si="80"/>
        <v>0.7</v>
      </c>
      <c r="R235" s="177">
        <f t="shared" si="81"/>
        <v>0.43600080634671068</v>
      </c>
      <c r="S235" s="919">
        <f t="shared" si="82"/>
        <v>-2</v>
      </c>
      <c r="T235" s="176">
        <f t="shared" si="83"/>
        <v>4</v>
      </c>
      <c r="U235" s="251">
        <f t="shared" si="84"/>
        <v>-1.5639991936532893</v>
      </c>
      <c r="V235" s="383">
        <f t="shared" si="85"/>
        <v>49.386302941842693</v>
      </c>
      <c r="W235" s="402">
        <f t="shared" si="86"/>
        <v>48.248241269040115</v>
      </c>
      <c r="X235" s="157">
        <f t="shared" si="87"/>
        <v>45878</v>
      </c>
      <c r="Y235" s="385">
        <f t="shared" si="88"/>
        <v>46.099850719833491</v>
      </c>
      <c r="Z235" s="385">
        <f t="shared" si="89"/>
        <v>48.83872808455525</v>
      </c>
      <c r="AA235" s="386">
        <f t="shared" si="90"/>
        <v>52.105962309191725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6.2703653859207578E-2</v>
      </c>
      <c r="AD235" s="231">
        <f>(INDEX(Models!$BJ235:$BT235,,AH235)*(1-AF235)+INDEX(Models!$BJ235:$BT235,,AH235+1)*AF235-ERP_i)*AE235*Ramure*Pc/MaxiM</f>
        <v>4.1114934165504529E-3</v>
      </c>
      <c r="AE235" s="305">
        <f t="shared" si="92"/>
        <v>0.7</v>
      </c>
      <c r="AF235" s="177">
        <f t="shared" si="93"/>
        <v>0.9609883727206896</v>
      </c>
      <c r="AG235" s="919">
        <f t="shared" si="99"/>
        <v>1</v>
      </c>
      <c r="AH235" s="176">
        <f t="shared" si="94"/>
        <v>7</v>
      </c>
      <c r="AI235" s="225">
        <f t="shared" si="95"/>
        <v>1.9609883727206896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1090">
        <f>IF(t&gt;Tmaj,'2024'!Wh/'2024'!Env_an*'2025'!Env_an,0.001*'[10]mon-tableau (1)'!$B$47)</f>
        <v>46.860239757973339</v>
      </c>
      <c r="C236" s="953"/>
      <c r="D236" s="393">
        <f t="shared" si="77"/>
        <v>49.645380602571791</v>
      </c>
      <c r="E236" s="385">
        <f t="shared" si="100"/>
        <v>50.798095485142611</v>
      </c>
      <c r="F236" s="385">
        <f t="shared" si="78"/>
        <v>50.81522924250681</v>
      </c>
      <c r="G236" s="110">
        <f t="shared" si="101"/>
        <v>0.95093905647360499</v>
      </c>
      <c r="H236" s="412" t="b">
        <f>Wh_hp&gt;='2024'!Maxi_hp</f>
        <v>0</v>
      </c>
      <c r="I236" s="390">
        <f>IF(H236,Wh_hp,'2024'!Maxi_hp)</f>
        <v>52.854099421104479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5.6100704854988526E-2</v>
      </c>
      <c r="M236" s="957"/>
      <c r="N236" s="957"/>
      <c r="O236" s="48">
        <f>IF(t&lt;Tnet,'2024'!Resal+('2024'!Salim-'2024'!Resal)*(1-EXP(('2024'!Tnet-t)/('2024'!Tau_j))),Resal+(Salim-Resal)*(1-EXP((Tnet-t)/(Tau_j))))*Salcycl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3.625770515826418E-4</v>
      </c>
      <c r="Q236" s="305">
        <f t="shared" si="80"/>
        <v>0.7</v>
      </c>
      <c r="R236" s="177">
        <f t="shared" si="81"/>
        <v>0.43746068181260789</v>
      </c>
      <c r="S236" s="919">
        <f t="shared" si="82"/>
        <v>-2</v>
      </c>
      <c r="T236" s="176">
        <f t="shared" si="83"/>
        <v>4</v>
      </c>
      <c r="U236" s="251">
        <f t="shared" si="84"/>
        <v>-1.5625393181873921</v>
      </c>
      <c r="V236" s="383">
        <f t="shared" si="85"/>
        <v>49.276605912263662</v>
      </c>
      <c r="W236" s="402">
        <f t="shared" si="86"/>
        <v>46.860239757973339</v>
      </c>
      <c r="X236" s="157">
        <f t="shared" si="87"/>
        <v>45879</v>
      </c>
      <c r="Y236" s="385">
        <f t="shared" si="88"/>
        <v>44.786525989175288</v>
      </c>
      <c r="Z236" s="385">
        <f t="shared" si="89"/>
        <v>47.448415545532029</v>
      </c>
      <c r="AA236" s="386">
        <f t="shared" si="90"/>
        <v>50.627383489847048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6.2791472226735576E-2</v>
      </c>
      <c r="AD236" s="231">
        <f>(INDEX(Models!$BJ236:$BT236,,AH236)*(1-AF236)+INDEX(Models!$BJ236:$BT236,,AH236+1)*AF236-ERP_i)*AE236*Ramure*Pc/MaxiM</f>
        <v>3.9751093530715756E-3</v>
      </c>
      <c r="AE236" s="305">
        <f t="shared" si="92"/>
        <v>0.7</v>
      </c>
      <c r="AF236" s="177">
        <f t="shared" si="93"/>
        <v>0.96244824818658681</v>
      </c>
      <c r="AG236" s="919">
        <f t="shared" si="99"/>
        <v>1</v>
      </c>
      <c r="AH236" s="176">
        <f t="shared" si="94"/>
        <v>7</v>
      </c>
      <c r="AI236" s="225">
        <f t="shared" si="95"/>
        <v>1.9624482481865868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1090">
        <f>IF(t&gt;Tmaj,'2024'!Wh/'2024'!Env_an*'2025'!Env_an,0.001*'[10]mon-tableau (1)'!$B$48)</f>
        <v>44.335208352682585</v>
      </c>
      <c r="C237" s="953"/>
      <c r="D237" s="393">
        <f t="shared" si="77"/>
        <v>46.9713026133646</v>
      </c>
      <c r="E237" s="385">
        <f t="shared" si="100"/>
        <v>48.068409232047671</v>
      </c>
      <c r="F237" s="385">
        <f t="shared" si="78"/>
        <v>48.082510886552164</v>
      </c>
      <c r="G237" s="110">
        <f t="shared" si="101"/>
        <v>0.90169447571537109</v>
      </c>
      <c r="H237" s="412" t="b">
        <f>Wh_hp&gt;='2024'!Maxi_hp</f>
        <v>0</v>
      </c>
      <c r="I237" s="390">
        <f>IF(H237,Wh_hp,'2024'!Maxi_hp)</f>
        <v>52.879735063277003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5.6121378672005839E-2</v>
      </c>
      <c r="M237" s="957"/>
      <c r="N237" s="957"/>
      <c r="O237" s="48">
        <f>IF(t&lt;Tnet,'2024'!Resal+('2024'!Salim-'2024'!Resal)*(1-EXP(('2024'!Tnet-t)/('2024'!Tau_j))),Resal+(Salim-Resal)*(1-EXP((Tnet-t)/(Tau_j))))*Salcycl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3.4117230393689214E-4</v>
      </c>
      <c r="Q237" s="305">
        <f t="shared" si="80"/>
        <v>0.7</v>
      </c>
      <c r="R237" s="177">
        <f t="shared" si="81"/>
        <v>0.43887048791895023</v>
      </c>
      <c r="S237" s="919">
        <f t="shared" si="82"/>
        <v>-2</v>
      </c>
      <c r="T237" s="176">
        <f t="shared" si="83"/>
        <v>4</v>
      </c>
      <c r="U237" s="251">
        <f t="shared" si="84"/>
        <v>-1.5611295120810498</v>
      </c>
      <c r="V237" s="383">
        <f t="shared" si="85"/>
        <v>49.166414592724415</v>
      </c>
      <c r="W237" s="402">
        <f t="shared" si="86"/>
        <v>44.335208352682585</v>
      </c>
      <c r="X237" s="157">
        <f t="shared" si="87"/>
        <v>45880</v>
      </c>
      <c r="Y237" s="385">
        <f t="shared" si="88"/>
        <v>42.389860649144637</v>
      </c>
      <c r="Z237" s="385">
        <f t="shared" si="89"/>
        <v>44.91028792399603</v>
      </c>
      <c r="AA237" s="386">
        <f t="shared" si="90"/>
        <v>47.923683413074436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6.2879045901056516E-2</v>
      </c>
      <c r="AD237" s="231">
        <f>(INDEX(Models!$BJ237:$BT237,,AH237)*(1-AF237)+INDEX(Models!$BJ237:$BT237,,AH237+1)*AF237-ERP_i)*AE237*Ramure*Pc/MaxiM</f>
        <v>3.8426366946958525E-3</v>
      </c>
      <c r="AE237" s="305">
        <f t="shared" si="92"/>
        <v>0.7</v>
      </c>
      <c r="AF237" s="177">
        <f t="shared" si="93"/>
        <v>0.96385805429292937</v>
      </c>
      <c r="AG237" s="919">
        <f t="shared" si="99"/>
        <v>1</v>
      </c>
      <c r="AH237" s="176">
        <f t="shared" si="94"/>
        <v>7</v>
      </c>
      <c r="AI237" s="225">
        <f t="shared" si="95"/>
        <v>1.9638580542929294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1090">
        <f>IF(t&gt;Tmaj,'2024'!Wh/'2024'!Env_an*'2025'!Env_an,0.001*'[10]mon-tableau (1)'!$B$49)</f>
        <v>45.718314253562745</v>
      </c>
      <c r="C238" s="953"/>
      <c r="D238" s="393">
        <f t="shared" si="77"/>
        <v>48.43770649194856</v>
      </c>
      <c r="E238" s="385">
        <f t="shared" si="100"/>
        <v>49.57573873291291</v>
      </c>
      <c r="F238" s="385">
        <f t="shared" si="78"/>
        <v>49.59006849545888</v>
      </c>
      <c r="G238" s="110">
        <f t="shared" si="101"/>
        <v>0.93193632112214697</v>
      </c>
      <c r="H238" s="412" t="b">
        <f>Wh_hp&gt;='2024'!Maxi_hp</f>
        <v>0</v>
      </c>
      <c r="I238" s="390">
        <f>IF(H238,Wh_hp,'2024'!Maxi_hp)</f>
        <v>51.227825043986797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5.6142052036213586E-2</v>
      </c>
      <c r="M238" s="957"/>
      <c r="N238" s="957"/>
      <c r="O238" s="48">
        <f>IF(t&lt;Tnet,'2024'!Resal+('2024'!Salim-'2024'!Resal)*(1-EXP(('2024'!Tnet-t)/('2024'!Tau_j))),Resal+(Salim-Resal)*(1-EXP((Tnet-t)/(Tau_j))))*Salcycl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3.2007302781103276E-4</v>
      </c>
      <c r="Q238" s="305">
        <f t="shared" si="80"/>
        <v>0.7</v>
      </c>
      <c r="R238" s="177">
        <f t="shared" si="81"/>
        <v>0.44023162690651629</v>
      </c>
      <c r="S238" s="919">
        <f t="shared" si="82"/>
        <v>-2</v>
      </c>
      <c r="T238" s="176">
        <f t="shared" si="83"/>
        <v>4</v>
      </c>
      <c r="U238" s="251">
        <f t="shared" si="84"/>
        <v>-1.5597683730934837</v>
      </c>
      <c r="V238" s="383">
        <f t="shared" si="85"/>
        <v>49.055810542612519</v>
      </c>
      <c r="W238" s="402">
        <f t="shared" si="86"/>
        <v>45.718314253562745</v>
      </c>
      <c r="X238" s="157">
        <f t="shared" si="87"/>
        <v>45881</v>
      </c>
      <c r="Y238" s="385">
        <f t="shared" si="88"/>
        <v>43.711713991990187</v>
      </c>
      <c r="Z238" s="385">
        <f t="shared" si="89"/>
        <v>46.311750710253385</v>
      </c>
      <c r="AA238" s="386">
        <f t="shared" si="90"/>
        <v>49.423787315285608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6.2966372552144434E-2</v>
      </c>
      <c r="AD238" s="231">
        <f>(INDEX(Models!$BJ238:$BT238,,AH238)*(1-AF238)+INDEX(Models!$BJ238:$BT238,,AH238+1)*AF238-ERP_i)*AE238*Ramure*Pc/MaxiM</f>
        <v>3.7140964921999835E-3</v>
      </c>
      <c r="AE238" s="305">
        <f t="shared" si="92"/>
        <v>0.7</v>
      </c>
      <c r="AF238" s="177">
        <f t="shared" si="93"/>
        <v>0.96521919328049544</v>
      </c>
      <c r="AG238" s="919">
        <f t="shared" si="99"/>
        <v>1</v>
      </c>
      <c r="AH238" s="176">
        <f t="shared" si="94"/>
        <v>7</v>
      </c>
      <c r="AI238" s="225">
        <f t="shared" si="95"/>
        <v>1.9652191932804954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1090">
        <f>IF(t&gt;Tmaj,'2024'!Wh/'2024'!Env_an*'2025'!Env_an,0.001*'[10]mon-tableau (1)'!$B$50)</f>
        <v>35.883737312000818</v>
      </c>
      <c r="C239" s="953"/>
      <c r="D239" s="393">
        <f t="shared" si="77"/>
        <v>38.01898723485936</v>
      </c>
      <c r="E239" s="385">
        <f t="shared" si="100"/>
        <v>38.917466562778067</v>
      </c>
      <c r="F239" s="385">
        <f t="shared" si="78"/>
        <v>38.924675299806708</v>
      </c>
      <c r="G239" s="110">
        <f t="shared" si="101"/>
        <v>0.73306228887874769</v>
      </c>
      <c r="H239" s="412" t="b">
        <f>Wh_hp&gt;='2024'!Maxi_hp</f>
        <v>0</v>
      </c>
      <c r="I239" s="390">
        <f>IF(H239,Wh_hp,'2024'!Maxi_hp)</f>
        <v>48.536022746732414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5.6162724947621534E-2</v>
      </c>
      <c r="M239" s="957"/>
      <c r="N239" s="957"/>
      <c r="O239" s="48">
        <f>IF(t&lt;Tnet,'2024'!Resal+('2024'!Salim-'2024'!Resal)*(1-EXP(('2024'!Tnet-t)/('2024'!Tau_j))),Resal+(Salim-Resal)*(1-EXP((Tnet-t)/(Tau_j))))*Salcycl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2.9929396684328817E-4</v>
      </c>
      <c r="Q239" s="305">
        <f t="shared" si="80"/>
        <v>0.7</v>
      </c>
      <c r="R239" s="177">
        <f t="shared" si="81"/>
        <v>0.44154548523425996</v>
      </c>
      <c r="S239" s="919">
        <f t="shared" si="82"/>
        <v>-2</v>
      </c>
      <c r="T239" s="176">
        <f t="shared" si="83"/>
        <v>4</v>
      </c>
      <c r="U239" s="251">
        <f t="shared" si="84"/>
        <v>-1.55845451476574</v>
      </c>
      <c r="V239" s="383">
        <f t="shared" si="85"/>
        <v>48.944875320956896</v>
      </c>
      <c r="W239" s="402">
        <f t="shared" si="86"/>
        <v>35.883737312000818</v>
      </c>
      <c r="X239" s="157">
        <f t="shared" si="87"/>
        <v>45882</v>
      </c>
      <c r="Y239" s="385">
        <f t="shared" si="88"/>
        <v>34.34561114817226</v>
      </c>
      <c r="Z239" s="385">
        <f t="shared" si="89"/>
        <v>36.38933538227365</v>
      </c>
      <c r="AA239" s="386">
        <f t="shared" si="90"/>
        <v>38.838219045472506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6.3053448983632826E-2</v>
      </c>
      <c r="AD239" s="231">
        <f>(INDEX(Models!$BJ239:$BT239,,AH239)*(1-AF239)+INDEX(Models!$BJ239:$BT239,,AH239+1)*AF239-ERP_i)*AE239*Ramure*Pc/MaxiM</f>
        <v>3.5895102311672973E-3</v>
      </c>
      <c r="AE239" s="305">
        <f t="shared" si="92"/>
        <v>0.7</v>
      </c>
      <c r="AF239" s="177">
        <f t="shared" si="93"/>
        <v>0.96653305160823888</v>
      </c>
      <c r="AG239" s="919">
        <f t="shared" si="99"/>
        <v>1</v>
      </c>
      <c r="AH239" s="176">
        <f t="shared" si="94"/>
        <v>7</v>
      </c>
      <c r="AI239" s="225">
        <f t="shared" si="95"/>
        <v>1.9665330516082389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1090">
        <f>IF(t&gt;Tmaj,'2024'!Wh/'2024'!Env_an*'2025'!Env_an,0.001*'[10]mon-tableau (1)'!$B$51)</f>
        <v>32.865186447821948</v>
      </c>
      <c r="C240" s="953"/>
      <c r="D240" s="393">
        <f t="shared" si="77"/>
        <v>34.821581181665074</v>
      </c>
      <c r="E240" s="385">
        <f t="shared" si="100"/>
        <v>35.649284239755588</v>
      </c>
      <c r="F240" s="385">
        <f t="shared" si="78"/>
        <v>35.654592516286705</v>
      </c>
      <c r="G240" s="110">
        <f t="shared" si="101"/>
        <v>0.67291482653410351</v>
      </c>
      <c r="H240" s="412" t="b">
        <f>Wh_hp&gt;='2024'!Maxi_hp</f>
        <v>0</v>
      </c>
      <c r="I240" s="390">
        <f>IF(H240,Wh_hp,'2024'!Maxi_hp)</f>
        <v>53.538915966622881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5.6183397406239677E-2</v>
      </c>
      <c r="M240" s="957"/>
      <c r="N240" s="957"/>
      <c r="O240" s="48">
        <f>IF(t&lt;Tnet,'2024'!Resal+('2024'!Salim-'2024'!Resal)*(1-EXP(('2024'!Tnet-t)/('2024'!Tau_j))),Resal+(Salim-Resal)*(1-EXP((Tnet-t)/(Tau_j))))*Salcycl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2.7939855207704097E-4</v>
      </c>
      <c r="Q240" s="305">
        <f t="shared" si="80"/>
        <v>0.7</v>
      </c>
      <c r="R240" s="177">
        <f t="shared" si="81"/>
        <v>0.44281343179520904</v>
      </c>
      <c r="S240" s="919">
        <f t="shared" si="82"/>
        <v>-2</v>
      </c>
      <c r="T240" s="176">
        <f t="shared" si="83"/>
        <v>4</v>
      </c>
      <c r="U240" s="251">
        <f t="shared" si="84"/>
        <v>-1.557186568204791</v>
      </c>
      <c r="V240" s="383">
        <f t="shared" si="85"/>
        <v>48.833663661384506</v>
      </c>
      <c r="W240" s="402">
        <f t="shared" si="86"/>
        <v>32.865186447821948</v>
      </c>
      <c r="X240" s="157">
        <f t="shared" si="87"/>
        <v>45883</v>
      </c>
      <c r="Y240" s="385">
        <f t="shared" si="88"/>
        <v>31.468297673321917</v>
      </c>
      <c r="Z240" s="385">
        <f t="shared" si="89"/>
        <v>33.341538585824786</v>
      </c>
      <c r="AA240" s="386">
        <f t="shared" si="90"/>
        <v>35.588613279894794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6.3140271198469405E-2</v>
      </c>
      <c r="AD240" s="231">
        <f>(INDEX(Models!$BJ240:$BT240,,AH240)*(1-AF240)+INDEX(Models!$BJ240:$BT240,,AH240+1)*AF240-ERP_i)*AE240*Ramure*Pc/MaxiM</f>
        <v>3.4727850003622089E-3</v>
      </c>
      <c r="AE240" s="305">
        <f t="shared" si="92"/>
        <v>0.7</v>
      </c>
      <c r="AF240" s="177">
        <f t="shared" si="93"/>
        <v>0.96780099816918774</v>
      </c>
      <c r="AG240" s="919">
        <f t="shared" si="99"/>
        <v>1</v>
      </c>
      <c r="AH240" s="176">
        <f t="shared" si="94"/>
        <v>7</v>
      </c>
      <c r="AI240" s="225">
        <f t="shared" si="95"/>
        <v>1.9678009981691877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1090">
        <f>IF(t&gt;Tmaj,'2024'!Wh/'2024'!Env_an*'2025'!Env_an,0.001*'[10]mon-tableau (1)'!$B$52)</f>
        <v>37.268585768210926</v>
      </c>
      <c r="C241" s="953"/>
      <c r="D241" s="393">
        <f t="shared" si="77"/>
        <v>39.487970397366595</v>
      </c>
      <c r="E241" s="385">
        <f t="shared" si="100"/>
        <v>40.432012940308802</v>
      </c>
      <c r="F241" s="385">
        <f t="shared" si="78"/>
        <v>40.438999661086328</v>
      </c>
      <c r="G241" s="110">
        <f t="shared" si="101"/>
        <v>0.7648520710044393</v>
      </c>
      <c r="H241" s="412" t="b">
        <f>Wh_hp&gt;='2024'!Maxi_hp</f>
        <v>0</v>
      </c>
      <c r="I241" s="390">
        <f>IF(H241,Wh_hp,'2024'!Maxi_hp)</f>
        <v>53.803189402990363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5.6204069412077895E-2</v>
      </c>
      <c r="M241" s="957"/>
      <c r="N241" s="957"/>
      <c r="O241" s="48">
        <f>IF(t&lt;Tnet,'2024'!Resal+('2024'!Salim-'2024'!Resal)*(1-EXP(('2024'!Tnet-t)/('2024'!Tau_j))),Resal+(Salim-Resal)*(1-EXP((Tnet-t)/(Tau_j))))*Salcycl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2.6013202159442703E-4</v>
      </c>
      <c r="Q241" s="305">
        <f t="shared" si="80"/>
        <v>0.7</v>
      </c>
      <c r="R241" s="177">
        <f t="shared" si="81"/>
        <v>0.44403681631824909</v>
      </c>
      <c r="S241" s="919">
        <f t="shared" si="82"/>
        <v>-2</v>
      </c>
      <c r="T241" s="176">
        <f t="shared" si="83"/>
        <v>4</v>
      </c>
      <c r="U241" s="251">
        <f t="shared" si="84"/>
        <v>-1.5559631836817509</v>
      </c>
      <c r="V241" s="383">
        <f t="shared" si="85"/>
        <v>48.722270394865909</v>
      </c>
      <c r="W241" s="402">
        <f t="shared" si="86"/>
        <v>37.268585768210926</v>
      </c>
      <c r="X241" s="157">
        <f t="shared" si="87"/>
        <v>45884</v>
      </c>
      <c r="Y241" s="385">
        <f t="shared" si="88"/>
        <v>35.673208828803709</v>
      </c>
      <c r="Z241" s="385">
        <f t="shared" si="89"/>
        <v>37.797587034075967</v>
      </c>
      <c r="AA241" s="386">
        <f t="shared" si="90"/>
        <v>40.348708123373058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6.3226834462620354E-2</v>
      </c>
      <c r="AD241" s="231">
        <f>(INDEX(Models!$BJ241:$BT241,,AH241)*(1-AF241)+INDEX(Models!$BJ241:$BT241,,AH241+1)*AF241-ERP_i)*AE241*Ramure*Pc/MaxiM</f>
        <v>3.3617659823738729E-3</v>
      </c>
      <c r="AE241" s="305">
        <f t="shared" si="92"/>
        <v>0.7</v>
      </c>
      <c r="AF241" s="177">
        <f t="shared" si="93"/>
        <v>0.96902438269222801</v>
      </c>
      <c r="AG241" s="919">
        <f t="shared" si="99"/>
        <v>1</v>
      </c>
      <c r="AH241" s="176">
        <f t="shared" si="94"/>
        <v>7</v>
      </c>
      <c r="AI241" s="225">
        <f t="shared" si="95"/>
        <v>1.969024382692228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1090">
        <f>IF(t&gt;Tmaj,'2024'!Wh/'2024'!Env_an*'2025'!Env_an,0.001*'[10]mon-tableau (1)'!$B$53)</f>
        <v>34.512005710773103</v>
      </c>
      <c r="C242" s="953"/>
      <c r="D242" s="393">
        <f t="shared" si="77"/>
        <v>36.568033947050701</v>
      </c>
      <c r="E242" s="385">
        <f t="shared" si="100"/>
        <v>37.447281913964773</v>
      </c>
      <c r="F242" s="385">
        <f t="shared" si="78"/>
        <v>37.4525793958558</v>
      </c>
      <c r="G242" s="110">
        <f t="shared" si="101"/>
        <v>0.70989508638933463</v>
      </c>
      <c r="H242" s="412" t="b">
        <f>Wh_hp&gt;='2024'!Maxi_hp</f>
        <v>0</v>
      </c>
      <c r="I242" s="390">
        <f>IF(H242,Wh_hp,'2024'!Maxi_hp)</f>
        <v>53.769916943030935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5.622474096514618E-2</v>
      </c>
      <c r="M242" s="957"/>
      <c r="N242" s="957"/>
      <c r="O242" s="48">
        <f>IF(t&lt;Tnet,'2024'!Resal+('2024'!Salim-'2024'!Resal)*(1-EXP(('2024'!Tnet-t)/('2024'!Tau_j))),Resal+(Salim-Resal)*(1-EXP((Tnet-t)/(Tau_j))))*Salcycl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2.4151149057789482E-4</v>
      </c>
      <c r="Q242" s="305">
        <f t="shared" si="80"/>
        <v>0.7</v>
      </c>
      <c r="R242" s="177">
        <f t="shared" si="81"/>
        <v>0.44521696794626786</v>
      </c>
      <c r="S242" s="919">
        <f t="shared" si="82"/>
        <v>-2</v>
      </c>
      <c r="T242" s="176">
        <f t="shared" si="83"/>
        <v>4</v>
      </c>
      <c r="U242" s="251">
        <f t="shared" si="84"/>
        <v>-1.5547830320537321</v>
      </c>
      <c r="V242" s="383">
        <f t="shared" si="85"/>
        <v>48.610776986927142</v>
      </c>
      <c r="W242" s="402">
        <f t="shared" si="86"/>
        <v>34.512005710773103</v>
      </c>
      <c r="X242" s="157">
        <f t="shared" si="87"/>
        <v>45885</v>
      </c>
      <c r="Y242" s="385">
        <f t="shared" si="88"/>
        <v>33.045754315886946</v>
      </c>
      <c r="Z242" s="385">
        <f t="shared" si="89"/>
        <v>35.014431666370434</v>
      </c>
      <c r="AA242" s="386">
        <f t="shared" si="90"/>
        <v>37.381149361251985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6.3313133365952776E-2</v>
      </c>
      <c r="AD242" s="231">
        <f>(INDEX(Models!$BJ242:$BT242,,AH242)*(1-AF242)+INDEX(Models!$BJ242:$BT242,,AH242+1)*AF242-ERP_i)*AE242*Ramure*Pc/MaxiM</f>
        <v>3.2564857198297977E-3</v>
      </c>
      <c r="AE242" s="305">
        <f t="shared" si="92"/>
        <v>0.7</v>
      </c>
      <c r="AF242" s="177">
        <f t="shared" si="93"/>
        <v>0.97020453432024678</v>
      </c>
      <c r="AG242" s="919">
        <f t="shared" si="99"/>
        <v>1</v>
      </c>
      <c r="AH242" s="176">
        <f t="shared" si="94"/>
        <v>7</v>
      </c>
      <c r="AI242" s="225">
        <f t="shared" si="95"/>
        <v>1.9702045343202468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1090">
        <f>IF(t&gt;Tmaj,'2024'!Wh/'2024'!Env_an*'2025'!Env_an,0.001*'[10]mon-tableau (1)'!$B$54)</f>
        <v>25.190779718511028</v>
      </c>
      <c r="C243" s="953"/>
      <c r="D243" s="393">
        <f t="shared" si="77"/>
        <v>26.692087159695102</v>
      </c>
      <c r="E243" s="385">
        <f t="shared" si="100"/>
        <v>27.337530007254561</v>
      </c>
      <c r="F243" s="385">
        <f t="shared" si="78"/>
        <v>27.339445676813995</v>
      </c>
      <c r="G243" s="110">
        <f t="shared" si="101"/>
        <v>0.519325666533615</v>
      </c>
      <c r="H243" s="412" t="b">
        <f>Wh_hp&gt;='2024'!Maxi_hp</f>
        <v>0</v>
      </c>
      <c r="I243" s="390">
        <f>IF(H243,Wh_hp,'2024'!Maxi_hp)</f>
        <v>51.890414604753857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5.6245412065454414E-2</v>
      </c>
      <c r="M243" s="957"/>
      <c r="N243" s="957"/>
      <c r="O243" s="48">
        <f>IF(t&lt;Tnet,'2024'!Resal+('2024'!Salim-'2024'!Resal)*(1-EXP(('2024'!Tnet-t)/('2024'!Tau_j))),Resal+(Salim-Resal)*(1-EXP((Tnet-t)/(Tau_j))))*Salcycl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2.235535837040468E-4</v>
      </c>
      <c r="Q243" s="305">
        <f t="shared" si="80"/>
        <v>0.7</v>
      </c>
      <c r="R243" s="177">
        <f t="shared" si="81"/>
        <v>0.44635519398112056</v>
      </c>
      <c r="S243" s="919">
        <f t="shared" si="82"/>
        <v>-2</v>
      </c>
      <c r="T243" s="176">
        <f t="shared" si="83"/>
        <v>4</v>
      </c>
      <c r="U243" s="251">
        <f t="shared" si="84"/>
        <v>-1.5536448060188794</v>
      </c>
      <c r="V243" s="383">
        <f t="shared" si="85"/>
        <v>48.499264901676533</v>
      </c>
      <c r="W243" s="402">
        <f t="shared" si="86"/>
        <v>25.190779718511028</v>
      </c>
      <c r="X243" s="157">
        <f t="shared" si="87"/>
        <v>45886</v>
      </c>
      <c r="Y243" s="385">
        <f t="shared" si="88"/>
        <v>24.142006957573425</v>
      </c>
      <c r="Z243" s="385">
        <f t="shared" si="89"/>
        <v>25.580810166347824</v>
      </c>
      <c r="AA243" s="386">
        <f t="shared" si="90"/>
        <v>27.312392990893763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6.3399161879490532E-2</v>
      </c>
      <c r="AD243" s="231">
        <f>(INDEX(Models!$BJ243:$BT243,,AH243)*(1-AF243)+INDEX(Models!$BJ243:$BT243,,AH243+1)*AF243-ERP_i)*AE243*Ramure*Pc/MaxiM</f>
        <v>3.156977077022686E-3</v>
      </c>
      <c r="AE243" s="305">
        <f t="shared" si="92"/>
        <v>0.7</v>
      </c>
      <c r="AF243" s="177">
        <f t="shared" si="93"/>
        <v>0.97134276035509948</v>
      </c>
      <c r="AG243" s="919">
        <f t="shared" si="99"/>
        <v>1</v>
      </c>
      <c r="AH243" s="176">
        <f t="shared" si="94"/>
        <v>7</v>
      </c>
      <c r="AI243" s="225">
        <f t="shared" si="95"/>
        <v>1.9713427603550995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1090">
        <f>IF(t&gt;Tmaj,'2024'!Wh/'2024'!Env_an*'2025'!Env_an,0.001*'[10]mon-tableau (1)'!$B$55)</f>
        <v>33.513281139170367</v>
      </c>
      <c r="C244" s="953"/>
      <c r="D244" s="393">
        <f t="shared" si="77"/>
        <v>35.511366631299154</v>
      </c>
      <c r="E244" s="385">
        <f t="shared" si="100"/>
        <v>36.374923188293472</v>
      </c>
      <c r="F244" s="385">
        <f t="shared" si="78"/>
        <v>36.37913188162117</v>
      </c>
      <c r="G244" s="110">
        <f t="shared" si="101"/>
        <v>0.69253477519122786</v>
      </c>
      <c r="H244" s="412" t="b">
        <f>Wh_hp&gt;='2024'!Maxi_hp</f>
        <v>0</v>
      </c>
      <c r="I244" s="390">
        <f>IF(H244,Wh_hp,'2024'!Maxi_hp)</f>
        <v>49.183966953911138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5.6266082713012477E-2</v>
      </c>
      <c r="M244" s="957"/>
      <c r="N244" s="957"/>
      <c r="O244" s="48">
        <f>IF(t&lt;Tnet,'2024'!Resal+('2024'!Salim-'2024'!Resal)*(1-EXP(('2024'!Tnet-t)/('2024'!Tau_j))),Resal+(Salim-Resal)*(1-EXP((Tnet-t)/(Tau_j))))*Salcycl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2.0627444962613501E-4</v>
      </c>
      <c r="Q244" s="305">
        <f t="shared" si="80"/>
        <v>0.7</v>
      </c>
      <c r="R244" s="177">
        <f t="shared" si="81"/>
        <v>0.44745277878593415</v>
      </c>
      <c r="S244" s="919">
        <f t="shared" si="82"/>
        <v>-2</v>
      </c>
      <c r="T244" s="176">
        <f t="shared" si="83"/>
        <v>4</v>
      </c>
      <c r="U244" s="251">
        <f t="shared" si="84"/>
        <v>-1.5525472212140659</v>
      </c>
      <c r="V244" s="383">
        <f t="shared" si="85"/>
        <v>48.387815599245265</v>
      </c>
      <c r="W244" s="402">
        <f t="shared" si="86"/>
        <v>33.513281139170367</v>
      </c>
      <c r="X244" s="157">
        <f t="shared" si="87"/>
        <v>45887</v>
      </c>
      <c r="Y244" s="385">
        <f t="shared" si="88"/>
        <v>32.097402807343023</v>
      </c>
      <c r="Z244" s="385">
        <f t="shared" si="89"/>
        <v>34.011072633285757</v>
      </c>
      <c r="AA244" s="386">
        <f t="shared" si="90"/>
        <v>36.316630794560162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6.3484913408315163E-2</v>
      </c>
      <c r="AD244" s="231">
        <f>(INDEX(Models!$BJ244:$BT244,,AH244)*(1-AF244)+INDEX(Models!$BJ244:$BT244,,AH244+1)*AF244-ERP_i)*AE244*Ramure*Pc/MaxiM</f>
        <v>3.0632731659730925E-3</v>
      </c>
      <c r="AE244" s="305">
        <f t="shared" si="92"/>
        <v>0.7</v>
      </c>
      <c r="AF244" s="177">
        <f t="shared" si="93"/>
        <v>0.97244034515991307</v>
      </c>
      <c r="AG244" s="919">
        <f t="shared" si="99"/>
        <v>1</v>
      </c>
      <c r="AH244" s="176">
        <f t="shared" si="94"/>
        <v>7</v>
      </c>
      <c r="AI244" s="225">
        <f t="shared" si="95"/>
        <v>1.9724403451599131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1090">
        <f>IF(t&gt;Tmaj,'2024'!Wh/'2024'!Env_an*'2025'!Env_an,0.001*'[10]mon-tableau (1)'!$B$56)</f>
        <v>34.195247840049625</v>
      </c>
      <c r="C245" s="953"/>
      <c r="D245" s="393">
        <f t="shared" si="77"/>
        <v>36.23478630337577</v>
      </c>
      <c r="E245" s="385">
        <f t="shared" si="100"/>
        <v>37.120880800469656</v>
      </c>
      <c r="F245" s="385">
        <f t="shared" si="78"/>
        <v>37.124988640447711</v>
      </c>
      <c r="G245" s="110">
        <f t="shared" si="101"/>
        <v>0.70826462685812708</v>
      </c>
      <c r="H245" s="412" t="b">
        <f>Wh_hp&gt;='2024'!Maxi_hp</f>
        <v>0</v>
      </c>
      <c r="I245" s="390">
        <f>IF(H245,Wh_hp,'2024'!Maxi_hp)</f>
        <v>49.967163493960541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5.6286752907830362E-2</v>
      </c>
      <c r="M245" s="957"/>
      <c r="N245" s="957"/>
      <c r="O245" s="48">
        <f>IF(t&lt;Tnet,'2024'!Resal+('2024'!Salim-'2024'!Resal)*(1-EXP(('2024'!Tnet-t)/('2024'!Tau_j))),Resal+(Salim-Resal)*(1-EXP((Tnet-t)/(Tau_j))))*Salcycl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1.8968977279992919E-4</v>
      </c>
      <c r="Q245" s="305">
        <f t="shared" si="80"/>
        <v>0.7</v>
      </c>
      <c r="R245" s="177">
        <f t="shared" si="81"/>
        <v>0.4485109828353735</v>
      </c>
      <c r="S245" s="919">
        <f t="shared" si="82"/>
        <v>-2</v>
      </c>
      <c r="T245" s="176">
        <f t="shared" si="83"/>
        <v>4</v>
      </c>
      <c r="U245" s="251">
        <f t="shared" si="84"/>
        <v>-1.5514890171646265</v>
      </c>
      <c r="V245" s="383">
        <f t="shared" si="85"/>
        <v>48.276510534139739</v>
      </c>
      <c r="W245" s="402">
        <f t="shared" si="86"/>
        <v>34.195247840049625</v>
      </c>
      <c r="X245" s="157">
        <f t="shared" si="87"/>
        <v>45888</v>
      </c>
      <c r="Y245" s="385">
        <f t="shared" si="88"/>
        <v>32.751191641365459</v>
      </c>
      <c r="Z245" s="385">
        <f t="shared" si="89"/>
        <v>34.704600939194769</v>
      </c>
      <c r="AA245" s="386">
        <f t="shared" si="90"/>
        <v>37.060554503077292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6.3570380839469115E-2</v>
      </c>
      <c r="AD245" s="231">
        <f>(INDEX(Models!$BJ245:$BT245,,AH245)*(1-AF245)+INDEX(Models!$BJ245:$BT245,,AH245+1)*AF245-ERP_i)*AE245*Ramure*Pc/MaxiM</f>
        <v>2.975407256284813E-3</v>
      </c>
      <c r="AE245" s="305">
        <f t="shared" si="92"/>
        <v>0.7</v>
      </c>
      <c r="AF245" s="177">
        <f t="shared" si="93"/>
        <v>0.97349854920935242</v>
      </c>
      <c r="AG245" s="919">
        <f t="shared" si="99"/>
        <v>1</v>
      </c>
      <c r="AH245" s="176">
        <f t="shared" si="94"/>
        <v>7</v>
      </c>
      <c r="AI245" s="225">
        <f t="shared" si="95"/>
        <v>1.9734985492093524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1090">
        <f>IF(t&gt;Tmaj,'2024'!Wh/'2024'!Env_an*'2025'!Env_an,0.001*'[10]mon-tableau (1)'!$B$57)</f>
        <v>48.227830981185164</v>
      </c>
      <c r="C246" s="953"/>
      <c r="D246" s="393">
        <f t="shared" si="77"/>
        <v>51.10544698423972</v>
      </c>
      <c r="E246" s="385">
        <f t="shared" si="100"/>
        <v>52.362157926810774</v>
      </c>
      <c r="F246" s="385">
        <f t="shared" si="78"/>
        <v>52.371260826132861</v>
      </c>
      <c r="G246" s="110">
        <f t="shared" si="101"/>
        <v>1.0012955313911678</v>
      </c>
      <c r="H246" s="412" t="b">
        <f>Wh_hp&gt;='2024'!Maxi_hp</f>
        <v>0</v>
      </c>
      <c r="I246" s="390">
        <f>IF(H246,Wh_hp,'2024'!Maxi_hp)</f>
        <v>52.544338316202321</v>
      </c>
      <c r="J246" s="85">
        <f>IF(H246,An,'2024'!An_max)</f>
        <v>2021</v>
      </c>
      <c r="K246" s="197">
        <f t="shared" si="79"/>
        <v>45889</v>
      </c>
      <c r="L246" s="147">
        <f>IF(t&lt;Tvie,1-EXP((T0-t)*PertePVj)+'2024'!Pspv,1-EXP((T0-t)*PertePVj)+Pspv)</f>
        <v>5.6307422649917838E-2</v>
      </c>
      <c r="M246" s="957"/>
      <c r="N246" s="957"/>
      <c r="O246" s="48">
        <f>IF(t&lt;Tnet,'2024'!Resal+('2024'!Salim-'2024'!Resal)*(1-EXP(('2024'!Tnet-t)/('2024'!Tau_j))),Resal+(Salim-Resal)*(1-EXP((Tnet-t)/(Tau_j))))*Salcycl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1.7381478273571142E-4</v>
      </c>
      <c r="Q246" s="305">
        <f t="shared" si="80"/>
        <v>0.7</v>
      </c>
      <c r="R246" s="177">
        <f t="shared" si="81"/>
        <v>0.44953104190465876</v>
      </c>
      <c r="S246" s="919">
        <f t="shared" si="82"/>
        <v>-2</v>
      </c>
      <c r="T246" s="176">
        <f t="shared" si="83"/>
        <v>4</v>
      </c>
      <c r="U246" s="251">
        <f t="shared" si="84"/>
        <v>-1.5504689580953412</v>
      </c>
      <c r="V246" s="383">
        <f t="shared" si="85"/>
        <v>48.165431153157115</v>
      </c>
      <c r="W246" s="402">
        <f t="shared" si="86"/>
        <v>48.227830981185164</v>
      </c>
      <c r="X246" s="157">
        <f t="shared" si="87"/>
        <v>45889</v>
      </c>
      <c r="Y246" s="385">
        <f t="shared" si="88"/>
        <v>46.142465020085858</v>
      </c>
      <c r="Z246" s="385">
        <f t="shared" si="89"/>
        <v>48.895653232385612</v>
      </c>
      <c r="AA246" s="386">
        <f t="shared" si="90"/>
        <v>52.219729156526284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6.3655556584311324E-2</v>
      </c>
      <c r="AD246" s="231">
        <f>(INDEX(Models!$BJ246:$BT246,,AH246)*(1-AF246)+INDEX(Models!$BJ246:$BT246,,AH246+1)*AF246-ERP_i)*AE246*Ramure*Pc/MaxiM</f>
        <v>2.89341266977789E-3</v>
      </c>
      <c r="AE246" s="305">
        <f t="shared" si="92"/>
        <v>0.7</v>
      </c>
      <c r="AF246" s="177">
        <f t="shared" si="93"/>
        <v>0.97451860827863768</v>
      </c>
      <c r="AG246" s="919">
        <f t="shared" si="99"/>
        <v>1</v>
      </c>
      <c r="AH246" s="176">
        <f t="shared" si="94"/>
        <v>7</v>
      </c>
      <c r="AI246" s="225">
        <f t="shared" si="95"/>
        <v>1.9745186082786377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1090">
        <f>IF(t&gt;Tmaj,'2024'!Wh/'2024'!Env_an*'2025'!Env_an,0.001*'[10]mon-tableau (1)'!$B$58)</f>
        <v>32.047641020475602</v>
      </c>
      <c r="C247" s="953"/>
      <c r="D247" s="393">
        <f t="shared" si="77"/>
        <v>33.960575435942388</v>
      </c>
      <c r="E247" s="385">
        <f t="shared" si="100"/>
        <v>34.800306438276451</v>
      </c>
      <c r="F247" s="385">
        <f t="shared" si="78"/>
        <v>34.803200631313345</v>
      </c>
      <c r="G247" s="110">
        <f t="shared" si="101"/>
        <v>0.66683840341421596</v>
      </c>
      <c r="H247" s="412" t="b">
        <f>Wh_hp&gt;='2024'!Maxi_hp</f>
        <v>0</v>
      </c>
      <c r="I247" s="390">
        <f>IF(H247,Wh_hp,'2024'!Maxi_hp)</f>
        <v>51.773522913939907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5.6328091939285008E-2</v>
      </c>
      <c r="M247" s="957"/>
      <c r="N247" s="957"/>
      <c r="O247" s="48">
        <f>IF(t&lt;Tnet,'2024'!Resal+('2024'!Salim-'2024'!Resal)*(1-EXP(('2024'!Tnet-t)/('2024'!Tau_j))),Resal+(Salim-Resal)*(1-EXP((Tnet-t)/(Tau_j))))*Salcycl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1.5866164137168839E-4</v>
      </c>
      <c r="Q247" s="305">
        <f t="shared" si="80"/>
        <v>0.7</v>
      </c>
      <c r="R247" s="177">
        <f t="shared" si="81"/>
        <v>0.45051416638832298</v>
      </c>
      <c r="S247" s="919">
        <f t="shared" si="82"/>
        <v>-2</v>
      </c>
      <c r="T247" s="176">
        <f t="shared" si="83"/>
        <v>4</v>
      </c>
      <c r="U247" s="251">
        <f t="shared" si="84"/>
        <v>-1.549485833611677</v>
      </c>
      <c r="V247" s="383">
        <f t="shared" si="85"/>
        <v>48.05545236716781</v>
      </c>
      <c r="W247" s="402">
        <f t="shared" si="86"/>
        <v>32.047641020475602</v>
      </c>
      <c r="X247" s="157">
        <f t="shared" si="87"/>
        <v>45890</v>
      </c>
      <c r="Y247" s="385">
        <f t="shared" si="88"/>
        <v>30.703983438900831</v>
      </c>
      <c r="Z247" s="385">
        <f t="shared" si="89"/>
        <v>32.536714483743395</v>
      </c>
      <c r="AA247" s="386">
        <f t="shared" si="90"/>
        <v>34.751809879620303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6.3740432614875622E-2</v>
      </c>
      <c r="AD247" s="231">
        <f>(INDEX(Models!$BJ247:$BT247,,AH247)*(1-AF247)+INDEX(Models!$BJ247:$BT247,,AH247+1)*AF247-ERP_i)*AE247*Ramure*Pc/MaxiM</f>
        <v>2.8172761495151876E-3</v>
      </c>
      <c r="AE247" s="305">
        <f t="shared" si="92"/>
        <v>0.7</v>
      </c>
      <c r="AF247" s="177">
        <f t="shared" si="93"/>
        <v>0.9755017327623019</v>
      </c>
      <c r="AG247" s="919">
        <f t="shared" si="99"/>
        <v>1</v>
      </c>
      <c r="AH247" s="176">
        <f t="shared" si="94"/>
        <v>7</v>
      </c>
      <c r="AI247" s="225">
        <f t="shared" si="95"/>
        <v>1.9755017327623019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1090">
        <f>IF(t&gt;Tmaj,'2024'!Wh/'2024'!Env_an*'2025'!Env_an,0.001*'[10]mon-tableau (1)'!$B$59)</f>
        <v>22.941088147378117</v>
      </c>
      <c r="C248" s="953"/>
      <c r="D248" s="393">
        <f t="shared" si="77"/>
        <v>24.310981847744959</v>
      </c>
      <c r="E248" s="385">
        <f t="shared" si="100"/>
        <v>24.915414319924018</v>
      </c>
      <c r="F248" s="385">
        <f t="shared" si="78"/>
        <v>24.916334273539018</v>
      </c>
      <c r="G248" s="110">
        <f t="shared" si="101"/>
        <v>0.47841542521797659</v>
      </c>
      <c r="H248" s="412" t="b">
        <f>Wh_hp&gt;='2024'!Maxi_hp</f>
        <v>0</v>
      </c>
      <c r="I248" s="390">
        <f>IF(H248,Wh_hp,'2024'!Maxi_hp)</f>
        <v>53.717329476513434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5.6348760775941642E-2</v>
      </c>
      <c r="M248" s="957"/>
      <c r="N248" s="957"/>
      <c r="O248" s="48">
        <f>IF(t&lt;Tnet,'2024'!Resal+('2024'!Salim-'2024'!Resal)*(1-EXP(('2024'!Tnet-t)/('2024'!Tau_j))),Resal+(Salim-Resal)*(1-EXP((Tnet-t)/(Tau_j))))*Salcycl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1.4481774220205458E-4</v>
      </c>
      <c r="Q248" s="305">
        <f t="shared" si="80"/>
        <v>0.7</v>
      </c>
      <c r="R248" s="177">
        <f t="shared" si="81"/>
        <v>0.45146154073994138</v>
      </c>
      <c r="S248" s="919">
        <f t="shared" si="82"/>
        <v>-2</v>
      </c>
      <c r="T248" s="176">
        <f t="shared" si="83"/>
        <v>4</v>
      </c>
      <c r="U248" s="251">
        <f t="shared" si="84"/>
        <v>-1.5485384592600586</v>
      </c>
      <c r="V248" s="383">
        <f t="shared" si="85"/>
        <v>47.947059384839598</v>
      </c>
      <c r="W248" s="402">
        <f t="shared" si="86"/>
        <v>22.941088147378117</v>
      </c>
      <c r="X248" s="157">
        <f t="shared" si="87"/>
        <v>45891</v>
      </c>
      <c r="Y248" s="385">
        <f t="shared" si="88"/>
        <v>21.996214781461742</v>
      </c>
      <c r="Z248" s="385">
        <f t="shared" si="89"/>
        <v>23.309686743535352</v>
      </c>
      <c r="AA248" s="386">
        <f t="shared" si="90"/>
        <v>24.898856256397128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6.3825000493887271E-2</v>
      </c>
      <c r="AD248" s="231">
        <f>(INDEX(Models!$BJ248:$BT248,,AH248)*(1-AF248)+INDEX(Models!$BJ248:$BT248,,AH248+1)*AF248-ERP_i)*AE248*Ramure*Pc/MaxiM</f>
        <v>2.7513636985496978E-3</v>
      </c>
      <c r="AE248" s="305">
        <f t="shared" si="92"/>
        <v>0.7</v>
      </c>
      <c r="AF248" s="177">
        <f t="shared" si="93"/>
        <v>0.9764491071139203</v>
      </c>
      <c r="AG248" s="919">
        <f t="shared" si="99"/>
        <v>1</v>
      </c>
      <c r="AH248" s="176">
        <f t="shared" si="94"/>
        <v>7</v>
      </c>
      <c r="AI248" s="225">
        <f t="shared" si="95"/>
        <v>1.9764491071139203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1090">
        <f>IF(t&gt;Tmaj,'2024'!Wh/'2024'!Env_an*'2025'!Env_an,0.001*'[10]mon-tableau (1)'!$B$60)</f>
        <v>44.509745678897737</v>
      </c>
      <c r="C249" s="953"/>
      <c r="D249" s="393">
        <f t="shared" si="77"/>
        <v>47.168613495926991</v>
      </c>
      <c r="E249" s="385">
        <f t="shared" si="100"/>
        <v>48.3477439771261</v>
      </c>
      <c r="F249" s="385">
        <f t="shared" si="78"/>
        <v>48.353491844899651</v>
      </c>
      <c r="G249" s="110">
        <f t="shared" si="101"/>
        <v>0.93037923487043672</v>
      </c>
      <c r="H249" s="412" t="b">
        <f>Wh_hp&gt;='2024'!Maxi_hp</f>
        <v>0</v>
      </c>
      <c r="I249" s="390">
        <f>IF(H249,Wh_hp,'2024'!Maxi_hp)</f>
        <v>51.339633290441888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5.6369429159897733E-2</v>
      </c>
      <c r="M249" s="957"/>
      <c r="N249" s="957"/>
      <c r="O249" s="48">
        <f>IF(t&lt;Tnet,'2024'!Resal+('2024'!Salim-'2024'!Resal)*(1-EXP(('2024'!Tnet-t)/('2024'!Tau_j))),Resal+(Salim-Resal)*(1-EXP((Tnet-t)/(Tau_j))))*Salcycl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1.3199778804258812E-4</v>
      </c>
      <c r="Q249" s="305">
        <f t="shared" si="80"/>
        <v>0.7</v>
      </c>
      <c r="R249" s="177">
        <f t="shared" si="81"/>
        <v>0.45237432302432756</v>
      </c>
      <c r="S249" s="919">
        <f t="shared" si="82"/>
        <v>-2</v>
      </c>
      <c r="T249" s="176">
        <f t="shared" si="83"/>
        <v>4</v>
      </c>
      <c r="U249" s="251">
        <f t="shared" si="84"/>
        <v>-1.5476256769756724</v>
      </c>
      <c r="V249" s="383">
        <f t="shared" si="85"/>
        <v>47.839805219125125</v>
      </c>
      <c r="W249" s="402">
        <f t="shared" si="86"/>
        <v>44.509745678897737</v>
      </c>
      <c r="X249" s="157">
        <f t="shared" si="87"/>
        <v>45892</v>
      </c>
      <c r="Y249" s="385">
        <f t="shared" si="88"/>
        <v>42.608192690444469</v>
      </c>
      <c r="Z249" s="385">
        <f t="shared" si="89"/>
        <v>45.15346790059052</v>
      </c>
      <c r="AA249" s="386">
        <f t="shared" si="90"/>
        <v>48.236207833518868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6.3909251398203484E-2</v>
      </c>
      <c r="AD249" s="231">
        <f>(INDEX(Models!$BJ249:$BT249,,AH249)*(1-AF249)+INDEX(Models!$BJ249:$BT249,,AH249+1)*AF249-ERP_i)*AE249*Ramure*Pc/MaxiM</f>
        <v>2.6933866061182475E-3</v>
      </c>
      <c r="AE249" s="305">
        <f t="shared" si="92"/>
        <v>0.7</v>
      </c>
      <c r="AF249" s="177">
        <f t="shared" si="93"/>
        <v>0.9773618893983067</v>
      </c>
      <c r="AG249" s="919">
        <f t="shared" si="99"/>
        <v>1</v>
      </c>
      <c r="AH249" s="176">
        <f t="shared" si="94"/>
        <v>7</v>
      </c>
      <c r="AI249" s="225">
        <f t="shared" si="95"/>
        <v>1.9773618893983067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1090">
        <f>IF(t&gt;Tmaj,'2024'!Wh/'2024'!Env_an*'2025'!Env_an,0.001*'[10]mon-tableau (1)'!$B$61)</f>
        <v>45.945315616932206</v>
      </c>
      <c r="C250" s="953"/>
      <c r="D250" s="393">
        <f t="shared" si="77"/>
        <v>48.691006183061468</v>
      </c>
      <c r="E250" s="385">
        <f t="shared" si="100"/>
        <v>49.914789179791676</v>
      </c>
      <c r="F250" s="385">
        <f t="shared" si="78"/>
        <v>49.920469475140074</v>
      </c>
      <c r="G250" s="110">
        <f t="shared" si="101"/>
        <v>0.96253744877693526</v>
      </c>
      <c r="H250" s="412" t="b">
        <f>Wh_hp&gt;='2024'!Maxi_hp</f>
        <v>0</v>
      </c>
      <c r="I250" s="390">
        <f>IF(H250,Wh_hp,'2024'!Maxi_hp)</f>
        <v>51.228164501997107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5.639009709116316E-2</v>
      </c>
      <c r="M250" s="957"/>
      <c r="N250" s="957"/>
      <c r="O250" s="48">
        <f>IF(t&lt;Tnet,'2024'!Resal+('2024'!Salim-'2024'!Resal)*(1-EXP(('2024'!Tnet-t)/('2024'!Tau_j))),Resal+(Salim-Resal)*(1-EXP((Tnet-t)/(Tau_j))))*Salcycl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1.2021974606134612E-4</v>
      </c>
      <c r="Q250" s="305">
        <f t="shared" si="80"/>
        <v>0.7</v>
      </c>
      <c r="R250" s="177">
        <f t="shared" si="81"/>
        <v>0.45325364457399187</v>
      </c>
      <c r="S250" s="919">
        <f t="shared" si="82"/>
        <v>-2</v>
      </c>
      <c r="T250" s="176">
        <f t="shared" si="83"/>
        <v>4</v>
      </c>
      <c r="U250" s="251">
        <f t="shared" si="84"/>
        <v>-1.5467463554260081</v>
      </c>
      <c r="V250" s="383">
        <f t="shared" si="85"/>
        <v>47.733228543393963</v>
      </c>
      <c r="W250" s="402">
        <f t="shared" si="86"/>
        <v>45.945315616932206</v>
      </c>
      <c r="X250" s="157">
        <f t="shared" si="87"/>
        <v>45893</v>
      </c>
      <c r="Y250" s="385">
        <f t="shared" si="88"/>
        <v>43.980707477391348</v>
      </c>
      <c r="Z250" s="385">
        <f t="shared" si="89"/>
        <v>46.608993125033336</v>
      </c>
      <c r="AA250" s="386">
        <f t="shared" si="90"/>
        <v>49.795569793605942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6.3993176135556121E-2</v>
      </c>
      <c r="AD250" s="231">
        <f>(INDEX(Models!$BJ250:$BT250,,AH250)*(1-AF250)+INDEX(Models!$BJ250:$BT250,,AH250+1)*AF250-ERP_i)*AE250*Ramure*Pc/MaxiM</f>
        <v>2.6434202935284056E-3</v>
      </c>
      <c r="AE250" s="305">
        <f t="shared" si="92"/>
        <v>0.7</v>
      </c>
      <c r="AF250" s="177">
        <f t="shared" si="93"/>
        <v>0.97824121094797079</v>
      </c>
      <c r="AG250" s="919">
        <f t="shared" si="99"/>
        <v>1</v>
      </c>
      <c r="AH250" s="176">
        <f t="shared" si="94"/>
        <v>7</v>
      </c>
      <c r="AI250" s="225">
        <f t="shared" si="95"/>
        <v>1.9782412109479708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1090">
        <f>IF(t&gt;Tmaj,'2024'!Wh/'2024'!Env_an*'2025'!Env_an,0.001*'[10]mon-tableau (1)'!$B$62)</f>
        <v>29.66874622142862</v>
      </c>
      <c r="C251" s="953"/>
      <c r="D251" s="393">
        <f t="shared" si="77"/>
        <v>31.442438200241277</v>
      </c>
      <c r="E251" s="385">
        <f t="shared" si="100"/>
        <v>32.236953651782819</v>
      </c>
      <c r="F251" s="385">
        <f t="shared" si="78"/>
        <v>32.238582262629123</v>
      </c>
      <c r="G251" s="110">
        <f t="shared" si="101"/>
        <v>0.62290461674734521</v>
      </c>
      <c r="H251" s="412" t="b">
        <f>Wh_hp&gt;='2024'!Maxi_hp</f>
        <v>0</v>
      </c>
      <c r="I251" s="390">
        <f>IF(H251,Wh_hp,'2024'!Maxi_hp)</f>
        <v>50.680972332086561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5.6410764569747807E-2</v>
      </c>
      <c r="M251" s="957"/>
      <c r="N251" s="957"/>
      <c r="O251" s="48">
        <f>IF(t&lt;Tnet,'2024'!Resal+('2024'!Salim-'2024'!Resal)*(1-EXP(('2024'!Tnet-t)/('2024'!Tau_j))),Resal+(Salim-Resal)*(1-EXP((Tnet-t)/(Tau_j))))*Salcycl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1.0950041270667624E-4</v>
      </c>
      <c r="Q251" s="305">
        <f t="shared" si="80"/>
        <v>0.7</v>
      </c>
      <c r="R251" s="177">
        <f t="shared" si="81"/>
        <v>0.45410060974195643</v>
      </c>
      <c r="S251" s="919">
        <f t="shared" si="82"/>
        <v>-2</v>
      </c>
      <c r="T251" s="176">
        <f t="shared" si="83"/>
        <v>4</v>
      </c>
      <c r="U251" s="251">
        <f t="shared" si="84"/>
        <v>-1.5458993902580436</v>
      </c>
      <c r="V251" s="383">
        <f t="shared" si="85"/>
        <v>47.626868359511271</v>
      </c>
      <c r="W251" s="402">
        <f t="shared" si="86"/>
        <v>29.66874622142862</v>
      </c>
      <c r="X251" s="157">
        <f t="shared" si="87"/>
        <v>45894</v>
      </c>
      <c r="Y251" s="385">
        <f t="shared" si="88"/>
        <v>28.436594550134856</v>
      </c>
      <c r="Z251" s="385">
        <f t="shared" si="89"/>
        <v>30.136624584497838</v>
      </c>
      <c r="AA251" s="386">
        <f t="shared" si="90"/>
        <v>32.199889331175363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6.4076765154590348E-2</v>
      </c>
      <c r="AD251" s="231">
        <f>(INDEX(Models!$BJ251:$BT251,,AH251)*(1-AF251)+INDEX(Models!$BJ251:$BT251,,AH251+1)*AF251-ERP_i)*AE251*Ramure*Pc/MaxiM</f>
        <v>2.6015373608963503E-3</v>
      </c>
      <c r="AE251" s="305">
        <f t="shared" si="92"/>
        <v>0.7</v>
      </c>
      <c r="AF251" s="177">
        <f t="shared" si="93"/>
        <v>0.97908817611593557</v>
      </c>
      <c r="AG251" s="919">
        <f t="shared" si="99"/>
        <v>1</v>
      </c>
      <c r="AH251" s="176">
        <f t="shared" si="94"/>
        <v>7</v>
      </c>
      <c r="AI251" s="225">
        <f t="shared" si="95"/>
        <v>1.9790881761159356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1090">
        <f>IF(t&gt;Tmaj,'2024'!Wh/'2024'!Env_an*'2025'!Env_an,0.001*'[10]mon-tableau (1)'!$B$63)</f>
        <v>40.740134409742289</v>
      </c>
      <c r="C252" s="953"/>
      <c r="D252" s="393">
        <f t="shared" si="77"/>
        <v>43.17665485470507</v>
      </c>
      <c r="E252" s="385">
        <f t="shared" si="100"/>
        <v>44.273509941881102</v>
      </c>
      <c r="F252" s="385">
        <f t="shared" si="78"/>
        <v>44.277030063785581</v>
      </c>
      <c r="G252" s="110">
        <f t="shared" si="101"/>
        <v>0.85730384728722941</v>
      </c>
      <c r="H252" s="412" t="b">
        <f>Wh_hp&gt;='2024'!Maxi_hp</f>
        <v>0</v>
      </c>
      <c r="I252" s="390">
        <f>IF(H252,Wh_hp,'2024'!Maxi_hp)</f>
        <v>53.637175533284911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5.6431431595661663E-2</v>
      </c>
      <c r="M252" s="957"/>
      <c r="N252" s="957"/>
      <c r="O252" s="48">
        <f>IF(t&lt;Tnet,'2024'!Resal+('2024'!Salim-'2024'!Resal)*(1-EXP(('2024'!Tnet-t)/('2024'!Tau_j))),Resal+(Salim-Resal)*(1-EXP((Tnet-t)/(Tau_j))))*Salcycl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9.9855415131017966E-5</v>
      </c>
      <c r="Q252" s="305">
        <f t="shared" si="80"/>
        <v>0.7</v>
      </c>
      <c r="R252" s="177">
        <f t="shared" si="81"/>
        <v>0.45491629574336012</v>
      </c>
      <c r="S252" s="919">
        <f t="shared" si="82"/>
        <v>-2</v>
      </c>
      <c r="T252" s="176">
        <f t="shared" si="83"/>
        <v>4</v>
      </c>
      <c r="U252" s="251">
        <f t="shared" si="84"/>
        <v>-1.5450837042566399</v>
      </c>
      <c r="V252" s="383">
        <f t="shared" si="85"/>
        <v>47.520264000403728</v>
      </c>
      <c r="W252" s="402">
        <f t="shared" si="86"/>
        <v>40.740134409742289</v>
      </c>
      <c r="X252" s="157">
        <f t="shared" si="87"/>
        <v>45895</v>
      </c>
      <c r="Y252" s="385">
        <f t="shared" si="88"/>
        <v>39.017977994352123</v>
      </c>
      <c r="Z252" s="385">
        <f t="shared" si="89"/>
        <v>41.351502477806278</v>
      </c>
      <c r="AA252" s="386">
        <f t="shared" si="90"/>
        <v>44.186509291680345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6.4160008548307182E-2</v>
      </c>
      <c r="AD252" s="231">
        <f>(INDEX(Models!$BJ252:$BT252,,AH252)*(1-AF252)+INDEX(Models!$BJ252:$BT252,,AH252+1)*AF252-ERP_i)*AE252*Ramure*Pc/MaxiM</f>
        <v>2.5678057527029579E-3</v>
      </c>
      <c r="AE252" s="305">
        <f t="shared" si="92"/>
        <v>0.7</v>
      </c>
      <c r="AF252" s="177">
        <f t="shared" si="93"/>
        <v>0.97990386211733904</v>
      </c>
      <c r="AG252" s="919">
        <f t="shared" si="99"/>
        <v>1</v>
      </c>
      <c r="AH252" s="176">
        <f t="shared" si="94"/>
        <v>7</v>
      </c>
      <c r="AI252" s="225">
        <f t="shared" si="95"/>
        <v>1.979903862117339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1090">
        <f>IF(t&gt;Tmaj,'2024'!Wh/'2024'!Env_an*'2025'!Env_an,0.001*'[10]mon-tableau (1)'!$B$64)</f>
        <v>45.764128455301538</v>
      </c>
      <c r="C253" s="953"/>
      <c r="D253" s="393">
        <f t="shared" si="77"/>
        <v>48.502178179284705</v>
      </c>
      <c r="E253" s="385">
        <f t="shared" si="100"/>
        <v>49.740858966518623</v>
      </c>
      <c r="F253" s="385">
        <f t="shared" si="78"/>
        <v>49.745175040967354</v>
      </c>
      <c r="G253" s="110">
        <f t="shared" si="101"/>
        <v>0.9652197536008974</v>
      </c>
      <c r="H253" s="412" t="b">
        <f>Wh_hp&gt;='2024'!Maxi_hp</f>
        <v>0</v>
      </c>
      <c r="I253" s="390">
        <f>IF(H253,Wh_hp,'2024'!Maxi_hp)</f>
        <v>51.403994258295555</v>
      </c>
      <c r="J253" s="85">
        <f>IF(H253,An,'2024'!An_max)</f>
        <v>2018</v>
      </c>
      <c r="K253" s="197">
        <f t="shared" si="79"/>
        <v>45896</v>
      </c>
      <c r="L253" s="147">
        <f>IF(t&lt;Tvie,1-EXP((T0-t)*PertePVj)+'2024'!Pspv,1-EXP((T0-t)*PertePVj)+Pspv)</f>
        <v>5.6452098168914611E-2</v>
      </c>
      <c r="M253" s="957"/>
      <c r="N253" s="957"/>
      <c r="O253" s="48">
        <f>IF(t&lt;Tnet,'2024'!Resal+('2024'!Salim-'2024'!Resal)*(1-EXP(('2024'!Tnet-t)/('2024'!Tau_j))),Resal+(Salim-Resal)*(1-EXP((Tnet-t)/(Tau_j))))*Salcycl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9.12994178636594E-5</v>
      </c>
      <c r="Q253" s="305">
        <f t="shared" si="80"/>
        <v>0.7</v>
      </c>
      <c r="R253" s="177">
        <f t="shared" si="81"/>
        <v>0.45570175257860734</v>
      </c>
      <c r="S253" s="919">
        <f t="shared" si="82"/>
        <v>-2</v>
      </c>
      <c r="T253" s="176">
        <f t="shared" si="83"/>
        <v>4</v>
      </c>
      <c r="U253" s="251">
        <f t="shared" si="84"/>
        <v>-1.5442982474213927</v>
      </c>
      <c r="V253" s="383">
        <f t="shared" si="85"/>
        <v>47.412955124955332</v>
      </c>
      <c r="W253" s="402">
        <f t="shared" si="86"/>
        <v>45.764128455301538</v>
      </c>
      <c r="X253" s="157">
        <f t="shared" si="87"/>
        <v>45896</v>
      </c>
      <c r="Y253" s="385">
        <f t="shared" si="88"/>
        <v>43.815475429563143</v>
      </c>
      <c r="Z253" s="385">
        <f t="shared" si="89"/>
        <v>46.436938012933041</v>
      </c>
      <c r="AA253" s="386">
        <f t="shared" si="90"/>
        <v>49.62499116167065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6.4242896051133105E-2</v>
      </c>
      <c r="AD253" s="231">
        <f>(INDEX(Models!$BJ253:$BT253,,AH253)*(1-AF253)+INDEX(Models!$BJ253:$BT253,,AH253+1)*AF253-ERP_i)*AE253*Ramure*Pc/MaxiM</f>
        <v>2.5422912293865392E-3</v>
      </c>
      <c r="AE253" s="305">
        <f t="shared" si="92"/>
        <v>0.7</v>
      </c>
      <c r="AF253" s="177">
        <f t="shared" si="93"/>
        <v>0.98068931895258626</v>
      </c>
      <c r="AG253" s="919">
        <f t="shared" si="99"/>
        <v>1</v>
      </c>
      <c r="AH253" s="176">
        <f t="shared" si="94"/>
        <v>7</v>
      </c>
      <c r="AI253" s="225">
        <f t="shared" si="95"/>
        <v>1.9806893189525863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1090">
        <f>IF(t&gt;Tmaj,'2024'!Wh/'2024'!Env_an*'2025'!Env_an,0.001*'[10]mon-tableau (1)'!$B$65)</f>
        <v>45.871346676838918</v>
      </c>
      <c r="C254" s="953"/>
      <c r="D254" s="393">
        <f t="shared" si="77"/>
        <v>48.616876059012149</v>
      </c>
      <c r="E254" s="385">
        <f t="shared" si="100"/>
        <v>49.865026599370765</v>
      </c>
      <c r="F254" s="385">
        <f t="shared" si="78"/>
        <v>49.869040324996647</v>
      </c>
      <c r="G254" s="110">
        <f t="shared" si="101"/>
        <v>0.96970077321803738</v>
      </c>
      <c r="H254" s="412" t="b">
        <f>Wh_hp&gt;='2024'!Maxi_hp</f>
        <v>0</v>
      </c>
      <c r="I254" s="390">
        <f>IF(H254,Wh_hp,'2024'!Maxi_hp)</f>
        <v>53.343274555388398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5.647276428951653E-2</v>
      </c>
      <c r="M254" s="957"/>
      <c r="N254" s="957"/>
      <c r="O254" s="48">
        <f>IF(t&lt;Tnet,'2024'!Resal+('2024'!Salim-'2024'!Resal)*(1-EXP(('2024'!Tnet-t)/('2024'!Tau_j))),Resal+(Salim-Resal)*(1-EXP((Tnet-t)/(Tau_j))))*Salcycl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8.4126267445115154E-5</v>
      </c>
      <c r="Q254" s="305">
        <f t="shared" si="80"/>
        <v>0.7</v>
      </c>
      <c r="R254" s="177">
        <f t="shared" si="81"/>
        <v>0.45645800303116735</v>
      </c>
      <c r="S254" s="919">
        <f t="shared" si="82"/>
        <v>-2</v>
      </c>
      <c r="T254" s="176">
        <f t="shared" si="83"/>
        <v>4</v>
      </c>
      <c r="U254" s="251">
        <f t="shared" si="84"/>
        <v>-1.5435419969688327</v>
      </c>
      <c r="V254" s="383">
        <f t="shared" si="85"/>
        <v>47.304468466046679</v>
      </c>
      <c r="W254" s="402">
        <f t="shared" si="86"/>
        <v>45.871346676838918</v>
      </c>
      <c r="X254" s="157">
        <f t="shared" si="87"/>
        <v>45897</v>
      </c>
      <c r="Y254" s="385">
        <f t="shared" si="88"/>
        <v>43.91964239713559</v>
      </c>
      <c r="Z254" s="385">
        <f t="shared" si="89"/>
        <v>46.548356777495407</v>
      </c>
      <c r="AA254" s="386">
        <f t="shared" si="90"/>
        <v>49.74844633455799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6.4325417029951107E-2</v>
      </c>
      <c r="AD254" s="231">
        <f>(INDEX(Models!$BJ254:$BT254,,AH254)*(1-AF254)+INDEX(Models!$BJ254:$BT254,,AH254+1)*AF254-ERP_i)*AE254*Ramure*Pc/MaxiM</f>
        <v>2.5276073248489315E-3</v>
      </c>
      <c r="AE254" s="305">
        <f t="shared" si="92"/>
        <v>0.7</v>
      </c>
      <c r="AF254" s="177">
        <f t="shared" si="93"/>
        <v>0.98144556940514605</v>
      </c>
      <c r="AG254" s="919">
        <f t="shared" si="99"/>
        <v>1</v>
      </c>
      <c r="AH254" s="176">
        <f t="shared" si="94"/>
        <v>7</v>
      </c>
      <c r="AI254" s="225">
        <f t="shared" si="95"/>
        <v>1.981445569405146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1090">
        <f>IF(t&gt;Tmaj,'2024'!Wh/'2024'!Env_an*'2025'!Env_an,0.001*'[10]mon-tableau (1)'!$B$66)</f>
        <v>32.232766080090485</v>
      </c>
      <c r="C255" s="953"/>
      <c r="D255" s="393">
        <f t="shared" si="77"/>
        <v>34.162736226243553</v>
      </c>
      <c r="E255" s="385">
        <f t="shared" si="100"/>
        <v>35.044390435343047</v>
      </c>
      <c r="F255" s="385">
        <f t="shared" si="78"/>
        <v>35.045881616777493</v>
      </c>
      <c r="G255" s="110">
        <f t="shared" si="101"/>
        <v>0.68295497069452338</v>
      </c>
      <c r="H255" s="412" t="b">
        <f>Wh_hp&gt;='2024'!Maxi_hp</f>
        <v>0</v>
      </c>
      <c r="I255" s="390">
        <f>IF(H255,Wh_hp,'2024'!Maxi_hp)</f>
        <v>52.809812213553279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5.6493429957477415E-2</v>
      </c>
      <c r="M255" s="957"/>
      <c r="N255" s="957"/>
      <c r="O255" s="48">
        <f>IF(t&lt;Tnet,'2024'!Resal+('2024'!Salim-'2024'!Resal)*(1-EXP(('2024'!Tnet-t)/('2024'!Tau_j))),Resal+(Salim-Resal)*(1-EXP((Tnet-t)/(Tau_j))))*Salcycl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7.7770796476663725E-5</v>
      </c>
      <c r="Q255" s="305">
        <f t="shared" si="80"/>
        <v>0.7</v>
      </c>
      <c r="R255" s="177">
        <f t="shared" si="81"/>
        <v>0.45718604273346175</v>
      </c>
      <c r="S255" s="919">
        <f t="shared" si="82"/>
        <v>-2</v>
      </c>
      <c r="T255" s="176">
        <f t="shared" si="83"/>
        <v>4</v>
      </c>
      <c r="U255" s="251">
        <f t="shared" si="84"/>
        <v>-1.5428139572665382</v>
      </c>
      <c r="V255" s="383">
        <f t="shared" si="85"/>
        <v>47.194371711146303</v>
      </c>
      <c r="W255" s="402">
        <f t="shared" si="86"/>
        <v>32.232766080090485</v>
      </c>
      <c r="X255" s="157">
        <f t="shared" si="87"/>
        <v>45898</v>
      </c>
      <c r="Y255" s="385">
        <f t="shared" si="88"/>
        <v>30.893667979580641</v>
      </c>
      <c r="Z255" s="385">
        <f t="shared" si="89"/>
        <v>32.743458244480806</v>
      </c>
      <c r="AA255" s="386">
        <f t="shared" si="90"/>
        <v>34.997566099308628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6.4407560469536579E-2</v>
      </c>
      <c r="AD255" s="231">
        <f>(INDEX(Models!$BJ255:$BT255,,AH255)*(1-AF255)+INDEX(Models!$BJ255:$BT255,,AH255+1)*AF255-ERP_i)*AE255*Ramure*Pc/MaxiM</f>
        <v>2.5198384240454619E-3</v>
      </c>
      <c r="AE255" s="305">
        <f t="shared" si="92"/>
        <v>0.7</v>
      </c>
      <c r="AF255" s="177">
        <f t="shared" si="93"/>
        <v>0.98217360910744089</v>
      </c>
      <c r="AG255" s="919">
        <f t="shared" si="99"/>
        <v>1</v>
      </c>
      <c r="AH255" s="176">
        <f t="shared" si="94"/>
        <v>7</v>
      </c>
      <c r="AI255" s="225">
        <f t="shared" si="95"/>
        <v>1.9821736091074409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1090">
        <f>IF(t&gt;Tmaj,'2024'!Wh/'2024'!Env_an*'2025'!Env_an,0.001*'[10]mon-tableau (1)'!$B$67)</f>
        <v>45.559671483541365</v>
      </c>
      <c r="C256" s="953"/>
      <c r="D256" s="393">
        <f t="shared" si="77"/>
        <v>48.288661495039491</v>
      </c>
      <c r="E256" s="385">
        <f t="shared" si="100"/>
        <v>49.541342713551735</v>
      </c>
      <c r="F256" s="385">
        <f t="shared" si="78"/>
        <v>49.544756610930591</v>
      </c>
      <c r="G256" s="110">
        <f t="shared" si="101"/>
        <v>0.96765898976166931</v>
      </c>
      <c r="H256" s="412" t="b">
        <f>Wh_hp&gt;='2024'!Maxi_hp</f>
        <v>0</v>
      </c>
      <c r="I256" s="390">
        <f>IF(H256,Wh_hp,'2024'!Maxi_hp)</f>
        <v>51.020688029577649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5.6514095172807144E-2</v>
      </c>
      <c r="M256" s="957"/>
      <c r="N256" s="957"/>
      <c r="O256" s="48">
        <f>IF(t&lt;Tnet,'2024'!Resal+('2024'!Salim-'2024'!Resal)*(1-EXP(('2024'!Tnet-t)/('2024'!Tau_j))),Resal+(Salim-Resal)*(1-EXP((Tnet-t)/(Tau_j))))*Salcycl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7.2242705349873212E-5</v>
      </c>
      <c r="Q256" s="305">
        <f t="shared" si="80"/>
        <v>0.7</v>
      </c>
      <c r="R256" s="177">
        <f t="shared" si="81"/>
        <v>0.45788684029463655</v>
      </c>
      <c r="S256" s="919">
        <f t="shared" si="82"/>
        <v>-2</v>
      </c>
      <c r="T256" s="176">
        <f t="shared" si="83"/>
        <v>4</v>
      </c>
      <c r="U256" s="251">
        <f t="shared" si="84"/>
        <v>-1.5421131597053634</v>
      </c>
      <c r="V256" s="383">
        <f t="shared" si="85"/>
        <v>47.082205513503432</v>
      </c>
      <c r="W256" s="402">
        <f t="shared" si="86"/>
        <v>45.559671483541365</v>
      </c>
      <c r="X256" s="157">
        <f t="shared" si="87"/>
        <v>45899</v>
      </c>
      <c r="Y256" s="385">
        <f t="shared" si="88"/>
        <v>43.625171391647704</v>
      </c>
      <c r="Z256" s="385">
        <f t="shared" si="89"/>
        <v>46.238286304486984</v>
      </c>
      <c r="AA256" s="386">
        <f t="shared" si="90"/>
        <v>49.425716930385676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6.4489314952943882E-2</v>
      </c>
      <c r="AD256" s="231">
        <f>(INDEX(Models!$BJ256:$BT256,,AH256)*(1-AF256)+INDEX(Models!$BJ256:$BT256,,AH256+1)*AF256-ERP_i)*AE256*Ramure*Pc/MaxiM</f>
        <v>2.5190413220458267E-3</v>
      </c>
      <c r="AE256" s="305">
        <f t="shared" si="92"/>
        <v>0.7</v>
      </c>
      <c r="AF256" s="177">
        <f t="shared" si="93"/>
        <v>0.98287440666861547</v>
      </c>
      <c r="AG256" s="919">
        <f t="shared" si="99"/>
        <v>1</v>
      </c>
      <c r="AH256" s="176">
        <f t="shared" si="94"/>
        <v>7</v>
      </c>
      <c r="AI256" s="225">
        <f t="shared" si="95"/>
        <v>1.9828744066686155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1090">
        <f>IF(t&gt;Tmaj,'2024'!Wh/'2024'!Env_an*'2025'!Env_an,0.001*'[10]mon-tableau (1)'!$B$68)</f>
        <v>20.713870413505781</v>
      </c>
      <c r="C257" s="953"/>
      <c r="D257" s="393">
        <f t="shared" si="77"/>
        <v>21.955096524902199</v>
      </c>
      <c r="E257" s="385">
        <f t="shared" si="100"/>
        <v>22.527582215460178</v>
      </c>
      <c r="F257" s="385">
        <f t="shared" si="78"/>
        <v>22.527888802358127</v>
      </c>
      <c r="G257" s="110">
        <f t="shared" si="101"/>
        <v>0.44100171972553831</v>
      </c>
      <c r="H257" s="412" t="b">
        <f>Wh_hp&gt;='2024'!Maxi_hp</f>
        <v>0</v>
      </c>
      <c r="I257" s="390">
        <f>IF(H257,Wh_hp,'2024'!Maxi_hp)</f>
        <v>51.639133296774915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5.6534759935515599E-2</v>
      </c>
      <c r="M257" s="957"/>
      <c r="N257" s="957"/>
      <c r="O257" s="48">
        <f>IF(t&lt;Tnet,'2024'!Resal+('2024'!Salim-'2024'!Resal)*(1-EXP(('2024'!Tnet-t)/('2024'!Tau_j))),Resal+(Salim-Resal)*(1-EXP((Tnet-t)/(Tau_j))))*Salcycl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6.7551260748052074E-5</v>
      </c>
      <c r="Q257" s="305">
        <f t="shared" si="80"/>
        <v>0.7</v>
      </c>
      <c r="R257" s="177">
        <f t="shared" si="81"/>
        <v>0.4585613374843367</v>
      </c>
      <c r="S257" s="919">
        <f t="shared" si="82"/>
        <v>-2</v>
      </c>
      <c r="T257" s="176">
        <f t="shared" si="83"/>
        <v>4</v>
      </c>
      <c r="U257" s="251">
        <f t="shared" si="84"/>
        <v>-1.5414386625156633</v>
      </c>
      <c r="V257" s="383">
        <f t="shared" si="85"/>
        <v>46.967510835692728</v>
      </c>
      <c r="W257" s="402">
        <f t="shared" si="86"/>
        <v>20.713870413505781</v>
      </c>
      <c r="X257" s="157">
        <f t="shared" si="87"/>
        <v>45900</v>
      </c>
      <c r="Y257" s="385">
        <f t="shared" si="88"/>
        <v>19.871761955686896</v>
      </c>
      <c r="Z257" s="385">
        <f t="shared" si="89"/>
        <v>21.062526855073845</v>
      </c>
      <c r="AA257" s="386">
        <f t="shared" si="90"/>
        <v>22.516427643331362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6.4570668637487658E-2</v>
      </c>
      <c r="AD257" s="231">
        <f>(INDEX(Models!$BJ257:$BT257,,AH257)*(1-AF257)+INDEX(Models!$BJ257:$BT257,,AH257+1)*AF257-ERP_i)*AE257*Ramure*Pc/MaxiM</f>
        <v>2.5252734121006325E-3</v>
      </c>
      <c r="AE257" s="305">
        <f t="shared" si="92"/>
        <v>0.7</v>
      </c>
      <c r="AF257" s="177">
        <f t="shared" si="93"/>
        <v>0.98354890385831562</v>
      </c>
      <c r="AG257" s="919">
        <f t="shared" si="99"/>
        <v>1</v>
      </c>
      <c r="AH257" s="176">
        <f t="shared" si="94"/>
        <v>7</v>
      </c>
      <c r="AI257" s="225">
        <f t="shared" si="95"/>
        <v>1.9835489038583156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1090">
        <f>IF(t&gt;Tmaj,'2024'!Wh/'2024'!Env_an*'2025'!Env_an,0.001*'[11]mon-tableau (3)'!$B$37)</f>
        <v>42.098303969575483</v>
      </c>
      <c r="C258" s="953"/>
      <c r="D258" s="393">
        <f t="shared" si="77"/>
        <v>44.621915321218822</v>
      </c>
      <c r="E258" s="385">
        <f t="shared" si="100"/>
        <v>45.791402811194153</v>
      </c>
      <c r="F258" s="385">
        <f t="shared" si="78"/>
        <v>45.793897450085488</v>
      </c>
      <c r="G258" s="110">
        <f t="shared" si="101"/>
        <v>0.89857137844999635</v>
      </c>
      <c r="H258" s="412" t="b">
        <f>Wh_hp&gt;='2024'!Maxi_hp</f>
        <v>0</v>
      </c>
      <c r="I258" s="390">
        <f>IF(H258,Wh_hp,'2024'!Maxi_hp)</f>
        <v>52.083506608695828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5.6555424245612773E-2</v>
      </c>
      <c r="M258" s="957"/>
      <c r="N258" s="957"/>
      <c r="O258" s="48">
        <f>IF(t&lt;Tnet,'2024'!Resal+('2024'!Salim-'2024'!Resal)*(1-EXP(('2024'!Tnet-t)/('2024'!Tau_j))),Resal+(Salim-Resal)*(1-EXP((Tnet-t)/(Tau_j))))*Salcycl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6.3705386793776262E-5</v>
      </c>
      <c r="Q258" s="305">
        <f t="shared" si="80"/>
        <v>0.7</v>
      </c>
      <c r="R258" s="177">
        <f t="shared" si="81"/>
        <v>0.45921044946695821</v>
      </c>
      <c r="S258" s="919">
        <f t="shared" si="82"/>
        <v>-2</v>
      </c>
      <c r="T258" s="176">
        <f t="shared" si="83"/>
        <v>4</v>
      </c>
      <c r="U258" s="251">
        <f t="shared" si="84"/>
        <v>-1.5407895505330418</v>
      </c>
      <c r="V258" s="383">
        <f t="shared" si="85"/>
        <v>46.849828950044468</v>
      </c>
      <c r="W258" s="402">
        <f t="shared" si="86"/>
        <v>42.098303969575483</v>
      </c>
      <c r="X258" s="157">
        <f t="shared" si="87"/>
        <v>45901</v>
      </c>
      <c r="Y258" s="385">
        <f t="shared" si="88"/>
        <v>40.3230725594467</v>
      </c>
      <c r="Z258" s="385">
        <f t="shared" si="89"/>
        <v>42.740266461550206</v>
      </c>
      <c r="AA258" s="386">
        <f t="shared" si="90"/>
        <v>45.694488688039257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6.4651609227051779E-2</v>
      </c>
      <c r="AD258" s="231">
        <f>(INDEX(Models!$BJ258:$BT258,,AH258)*(1-AF258)+INDEX(Models!$BJ258:$BT258,,AH258+1)*AF258-ERP_i)*AE258*Ramure*Pc/MaxiM</f>
        <v>2.5385933246086603E-3</v>
      </c>
      <c r="AE258" s="305">
        <f t="shared" si="92"/>
        <v>0.7</v>
      </c>
      <c r="AF258" s="177">
        <f t="shared" si="93"/>
        <v>0.98419801584093713</v>
      </c>
      <c r="AG258" s="919">
        <f t="shared" si="99"/>
        <v>1</v>
      </c>
      <c r="AH258" s="176">
        <f t="shared" si="94"/>
        <v>7</v>
      </c>
      <c r="AI258" s="225">
        <f t="shared" si="95"/>
        <v>1.9841980158409371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1090">
        <f>IF(t&gt;Tmaj,'2024'!Wh/'2024'!Env_an*'2025'!Env_an,0.001*'[11]mon-tableau (3)'!$B$38)</f>
        <v>39.258284875846059</v>
      </c>
      <c r="C259" s="953"/>
      <c r="D259" s="393">
        <f t="shared" si="77"/>
        <v>41.612560780775148</v>
      </c>
      <c r="E259" s="385">
        <f t="shared" si="100"/>
        <v>42.708721348371355</v>
      </c>
      <c r="F259" s="385">
        <f t="shared" si="78"/>
        <v>42.710722251317996</v>
      </c>
      <c r="G259" s="110">
        <f t="shared" si="101"/>
        <v>0.84012051032714008</v>
      </c>
      <c r="H259" s="412" t="b">
        <f>Wh_hp&gt;='2024'!Maxi_hp</f>
        <v>0</v>
      </c>
      <c r="I259" s="390">
        <f>IF(H259,Wh_hp,'2024'!Maxi_hp)</f>
        <v>50.502495754224739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5.6576088103108435E-2</v>
      </c>
      <c r="M259" s="957"/>
      <c r="N259" s="957"/>
      <c r="O259" s="48">
        <f>IF(t&lt;Tnet,'2024'!Resal+('2024'!Salim-'2024'!Resal)*(1-EXP(('2024'!Tnet-t)/('2024'!Tau_j))),Resal+(Salim-Resal)*(1-EXP((Tnet-t)/(Tau_j))))*Salcycl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6.0713757519188144E-5</v>
      </c>
      <c r="Q259" s="305">
        <f t="shared" si="80"/>
        <v>0.7</v>
      </c>
      <c r="R259" s="177">
        <f t="shared" si="81"/>
        <v>0.4598350650811649</v>
      </c>
      <c r="S259" s="919">
        <f t="shared" si="82"/>
        <v>-2</v>
      </c>
      <c r="T259" s="176">
        <f t="shared" si="83"/>
        <v>4</v>
      </c>
      <c r="U259" s="251">
        <f t="shared" si="84"/>
        <v>-1.5401649349188351</v>
      </c>
      <c r="V259" s="383">
        <f t="shared" si="85"/>
        <v>46.728701434694379</v>
      </c>
      <c r="W259" s="402">
        <f t="shared" si="86"/>
        <v>39.258284875846059</v>
      </c>
      <c r="X259" s="157">
        <f t="shared" si="87"/>
        <v>45902</v>
      </c>
      <c r="Y259" s="385">
        <f t="shared" si="88"/>
        <v>37.611564612728607</v>
      </c>
      <c r="Z259" s="385">
        <f t="shared" si="89"/>
        <v>39.867088525565421</v>
      </c>
      <c r="AA259" s="386">
        <f t="shared" si="90"/>
        <v>42.626384959974295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6.4732123941540473E-2</v>
      </c>
      <c r="AD259" s="231">
        <f>(INDEX(Models!$BJ259:$BT259,,AH259)*(1-AF259)+INDEX(Models!$BJ259:$BT259,,AH259+1)*AF259-ERP_i)*AE259*Ramure*Pc/MaxiM</f>
        <v>2.5590615802061857E-3</v>
      </c>
      <c r="AE259" s="305">
        <f t="shared" si="92"/>
        <v>0.7</v>
      </c>
      <c r="AF259" s="177">
        <f t="shared" si="93"/>
        <v>0.98482263145514382</v>
      </c>
      <c r="AG259" s="919">
        <f t="shared" si="99"/>
        <v>1</v>
      </c>
      <c r="AH259" s="176">
        <f t="shared" si="94"/>
        <v>7</v>
      </c>
      <c r="AI259" s="225">
        <f t="shared" si="95"/>
        <v>1.9848226314551438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1090">
        <f>IF(t&gt;Tmaj,'2024'!Wh/'2024'!Env_an*'2025'!Env_an,0.001*'[11]mon-tableau (3)'!$B$39)</f>
        <v>37.309367679928506</v>
      </c>
      <c r="C260" s="953"/>
      <c r="D260" s="393">
        <f t="shared" si="77"/>
        <v>39.547635371795508</v>
      </c>
      <c r="E260" s="385">
        <f t="shared" si="100"/>
        <v>40.594660127914125</v>
      </c>
      <c r="F260" s="385">
        <f t="shared" si="78"/>
        <v>40.596360864437194</v>
      </c>
      <c r="G260" s="110">
        <f t="shared" si="101"/>
        <v>0.80055379287829453</v>
      </c>
      <c r="H260" s="412" t="b">
        <f>Wh_hp&gt;='2024'!Maxi_hp</f>
        <v>0</v>
      </c>
      <c r="I260" s="390">
        <f>IF(H260,Wh_hp,'2024'!Maxi_hp)</f>
        <v>52.236523625300045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5.6596751508012577E-2</v>
      </c>
      <c r="M260" s="957"/>
      <c r="N260" s="957"/>
      <c r="O260" s="48">
        <f>IF(t&lt;Tnet,'2024'!Resal+('2024'!Salim-'2024'!Resal)*(1-EXP(('2024'!Tnet-t)/('2024'!Tau_j))),Resal+(Salim-Resal)*(1-EXP((Tnet-t)/(Tau_j))))*Salcycl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5.8584890633193308E-5</v>
      </c>
      <c r="Q260" s="305">
        <f t="shared" si="80"/>
        <v>0.7</v>
      </c>
      <c r="R260" s="177">
        <f t="shared" si="81"/>
        <v>0.46043604715979036</v>
      </c>
      <c r="S260" s="919">
        <f t="shared" si="82"/>
        <v>-2</v>
      </c>
      <c r="T260" s="176">
        <f t="shared" si="83"/>
        <v>4</v>
      </c>
      <c r="U260" s="251">
        <f t="shared" si="84"/>
        <v>-1.5395639528402096</v>
      </c>
      <c r="V260" s="383">
        <f t="shared" si="85"/>
        <v>46.603670174749681</v>
      </c>
      <c r="W260" s="402">
        <f t="shared" si="86"/>
        <v>37.309367679928506</v>
      </c>
      <c r="X260" s="157">
        <f t="shared" si="87"/>
        <v>45903</v>
      </c>
      <c r="Y260" s="385">
        <f t="shared" si="88"/>
        <v>35.750260976903377</v>
      </c>
      <c r="Z260" s="385">
        <f t="shared" si="89"/>
        <v>37.894994567857921</v>
      </c>
      <c r="AA260" s="386">
        <f t="shared" si="90"/>
        <v>40.521267008576714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6.4812199484357555E-2</v>
      </c>
      <c r="AD260" s="231">
        <f>(INDEX(Models!$BJ260:$BT260,,AH260)*(1-AF260)+INDEX(Models!$BJ260:$BT260,,AH260+1)*AF260-ERP_i)*AE260*Ramure*Pc/MaxiM</f>
        <v>2.5867412577679117E-3</v>
      </c>
      <c r="AE260" s="305">
        <f t="shared" si="92"/>
        <v>0.7</v>
      </c>
      <c r="AF260" s="177">
        <f t="shared" si="93"/>
        <v>0.98542361353376928</v>
      </c>
      <c r="AG260" s="919">
        <f t="shared" si="99"/>
        <v>1</v>
      </c>
      <c r="AH260" s="176">
        <f t="shared" si="94"/>
        <v>7</v>
      </c>
      <c r="AI260" s="225">
        <f t="shared" si="95"/>
        <v>1.9854236135337693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1090">
        <f>IF(t&gt;Tmaj,'2024'!Wh/'2024'!Env_an*'2025'!Env_an,0.001*'[11]mon-tableau (3)'!$B$40)</f>
        <v>44.583784855993862</v>
      </c>
      <c r="C261" s="953"/>
      <c r="D261" s="393">
        <f t="shared" si="77"/>
        <v>47.259495287894865</v>
      </c>
      <c r="E261" s="385">
        <f t="shared" si="100"/>
        <v>48.516962298996894</v>
      </c>
      <c r="F261" s="385">
        <f t="shared" si="78"/>
        <v>48.519581906650274</v>
      </c>
      <c r="G261" s="110">
        <f t="shared" si="101"/>
        <v>0.95928146552194882</v>
      </c>
      <c r="H261" s="412" t="b">
        <f>Wh_hp&gt;='2024'!Maxi_hp</f>
        <v>0</v>
      </c>
      <c r="I261" s="390">
        <f>IF(H261,Wh_hp,'2024'!Maxi_hp)</f>
        <v>51.364733019215166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5.6617414460335191E-2</v>
      </c>
      <c r="M261" s="957"/>
      <c r="N261" s="957"/>
      <c r="O261" s="48">
        <f>IF(t&lt;Tnet,'2024'!Resal+('2024'!Salim-'2024'!Resal)*(1-EXP(('2024'!Tnet-t)/('2024'!Tau_j))),Resal+(Salim-Resal)*(1-EXP((Tnet-t)/(Tau_j))))*Salcycl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5.7325026882095187E-5</v>
      </c>
      <c r="Q261" s="305">
        <f t="shared" si="80"/>
        <v>0.7</v>
      </c>
      <c r="R261" s="177">
        <f t="shared" si="81"/>
        <v>0.46101423288555443</v>
      </c>
      <c r="S261" s="919">
        <f t="shared" si="82"/>
        <v>-2</v>
      </c>
      <c r="T261" s="176">
        <f t="shared" si="83"/>
        <v>4</v>
      </c>
      <c r="U261" s="251">
        <f t="shared" si="84"/>
        <v>-1.5389857671144456</v>
      </c>
      <c r="V261" s="383">
        <f t="shared" si="85"/>
        <v>46.476073806076116</v>
      </c>
      <c r="W261" s="402">
        <f t="shared" si="86"/>
        <v>44.583784855993862</v>
      </c>
      <c r="X261" s="157">
        <f t="shared" si="87"/>
        <v>45904</v>
      </c>
      <c r="Y261" s="385">
        <f t="shared" si="88"/>
        <v>42.696582227255831</v>
      </c>
      <c r="Z261" s="385">
        <f t="shared" si="89"/>
        <v>45.259031576071678</v>
      </c>
      <c r="AA261" s="386">
        <f t="shared" si="90"/>
        <v>48.399781588158163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6.4891822008860511E-2</v>
      </c>
      <c r="AD261" s="231">
        <f>(INDEX(Models!$BJ261:$BT261,,AH261)*(1-AF261)+INDEX(Models!$BJ261:$BT261,,AH261+1)*AF261-ERP_i)*AE261*Ramure*Pc/MaxiM</f>
        <v>2.621597348436797E-3</v>
      </c>
      <c r="AE261" s="305">
        <f t="shared" si="92"/>
        <v>0.7</v>
      </c>
      <c r="AF261" s="177">
        <f t="shared" si="93"/>
        <v>0.98600179925953357</v>
      </c>
      <c r="AG261" s="919">
        <f t="shared" si="99"/>
        <v>1</v>
      </c>
      <c r="AH261" s="176">
        <f t="shared" si="94"/>
        <v>7</v>
      </c>
      <c r="AI261" s="225">
        <f t="shared" si="95"/>
        <v>1.9860017992595336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1090">
        <f>IF(t&gt;Tmaj,'2024'!Wh/'2024'!Env_an*'2025'!Env_an,0.001*'[11]mon-tableau (3)'!$B$41)</f>
        <v>40.929430041363133</v>
      </c>
      <c r="C262" s="953"/>
      <c r="D262" s="393">
        <f t="shared" si="77"/>
        <v>43.386773455378687</v>
      </c>
      <c r="E262" s="385">
        <f t="shared" si="100"/>
        <v>44.54694020883602</v>
      </c>
      <c r="F262" s="385">
        <f t="shared" si="78"/>
        <v>44.549056336831207</v>
      </c>
      <c r="G262" s="110">
        <f t="shared" si="101"/>
        <v>0.88309335947545398</v>
      </c>
      <c r="H262" s="412" t="b">
        <f>Wh_hp&gt;='2024'!Maxi_hp</f>
        <v>0</v>
      </c>
      <c r="I262" s="390">
        <f>IF(H262,Wh_hp,'2024'!Maxi_hp)</f>
        <v>50.98450100113412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5.6638076960086048E-2</v>
      </c>
      <c r="M262" s="957"/>
      <c r="N262" s="957"/>
      <c r="O262" s="48">
        <f>IF(t&lt;Tnet,'2024'!Resal+('2024'!Salim-'2024'!Resal)*(1-EXP(('2024'!Tnet-t)/('2024'!Tau_j))),Resal+(Salim-Resal)*(1-EXP((Tnet-t)/(Tau_j))))*Salcycl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5.702392467599355E-5</v>
      </c>
      <c r="Q262" s="305">
        <f t="shared" si="80"/>
        <v>0.7</v>
      </c>
      <c r="R262" s="177">
        <f t="shared" si="81"/>
        <v>0.46157043417832644</v>
      </c>
      <c r="S262" s="919">
        <f t="shared" si="82"/>
        <v>-2</v>
      </c>
      <c r="T262" s="176">
        <f t="shared" si="83"/>
        <v>4</v>
      </c>
      <c r="U262" s="251">
        <f t="shared" si="84"/>
        <v>-1.5384295658216736</v>
      </c>
      <c r="V262" s="383">
        <f t="shared" si="85"/>
        <v>46.347353673097984</v>
      </c>
      <c r="W262" s="402">
        <f t="shared" si="86"/>
        <v>40.929430041363133</v>
      </c>
      <c r="X262" s="157">
        <f t="shared" si="87"/>
        <v>45905</v>
      </c>
      <c r="Y262" s="385">
        <f t="shared" si="88"/>
        <v>39.208211388987138</v>
      </c>
      <c r="Z262" s="385">
        <f t="shared" si="89"/>
        <v>41.562215340048475</v>
      </c>
      <c r="AA262" s="386">
        <f t="shared" si="90"/>
        <v>44.45018745029612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6.4970977084786316E-2</v>
      </c>
      <c r="AD262" s="231">
        <f>(INDEX(Models!$BJ262:$BT262,,AH262)*(1-AF262)+INDEX(Models!$BJ262:$BT262,,AH262+1)*AF262-ERP_i)*AE262*Ramure*Pc/MaxiM</f>
        <v>2.6642490205672693E-3</v>
      </c>
      <c r="AE262" s="305">
        <f t="shared" si="92"/>
        <v>0.7</v>
      </c>
      <c r="AF262" s="177">
        <f t="shared" si="93"/>
        <v>0.98655800055230536</v>
      </c>
      <c r="AG262" s="919">
        <f t="shared" si="99"/>
        <v>1</v>
      </c>
      <c r="AH262" s="176">
        <f t="shared" si="94"/>
        <v>7</v>
      </c>
      <c r="AI262" s="225">
        <f t="shared" si="95"/>
        <v>1.9865580005523054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1090">
        <f>IF(t&gt;Tmaj,'2024'!Wh/'2024'!Env_an*'2025'!Env_an,0.001*'[11]mon-tableau (3)'!$B$42)</f>
        <v>44.064990579963492</v>
      </c>
      <c r="C263" s="953"/>
      <c r="D263" s="393">
        <f t="shared" si="77"/>
        <v>46.711611589629527</v>
      </c>
      <c r="E263" s="385">
        <f t="shared" si="100"/>
        <v>47.966854994449619</v>
      </c>
      <c r="F263" s="385">
        <f t="shared" si="78"/>
        <v>47.969411346811548</v>
      </c>
      <c r="G263" s="110">
        <f t="shared" si="101"/>
        <v>0.9534282767733121</v>
      </c>
      <c r="H263" s="412" t="b">
        <f>Wh_hp&gt;='2024'!Maxi_hp</f>
        <v>0</v>
      </c>
      <c r="I263" s="390">
        <f>IF(H263,Wh_hp,'2024'!Maxi_hp)</f>
        <v>50.093779259666192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5.6658739007275249E-2</v>
      </c>
      <c r="M263" s="957"/>
      <c r="N263" s="957"/>
      <c r="O263" s="48">
        <f>IF(t&lt;Tnet,'2024'!Resal+('2024'!Salim-'2024'!Resal)*(1-EXP(('2024'!Tnet-t)/('2024'!Tau_j))),Resal+(Salim-Resal)*(1-EXP((Tnet-t)/(Tau_j))))*Salcycl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5.7089210290787864E-5</v>
      </c>
      <c r="Q263" s="305">
        <f t="shared" si="80"/>
        <v>0.7</v>
      </c>
      <c r="R263" s="177">
        <f t="shared" si="81"/>
        <v>0.46210543810995808</v>
      </c>
      <c r="S263" s="919">
        <f t="shared" si="82"/>
        <v>-2</v>
      </c>
      <c r="T263" s="176">
        <f t="shared" si="83"/>
        <v>4</v>
      </c>
      <c r="U263" s="251">
        <f t="shared" si="84"/>
        <v>-1.5378945618900419</v>
      </c>
      <c r="V263" s="383">
        <f t="shared" si="85"/>
        <v>46.217239712416671</v>
      </c>
      <c r="W263" s="402">
        <f t="shared" si="86"/>
        <v>44.064990579963492</v>
      </c>
      <c r="X263" s="157">
        <f t="shared" si="87"/>
        <v>45906</v>
      </c>
      <c r="Y263" s="385">
        <f t="shared" si="88"/>
        <v>42.200891044239206</v>
      </c>
      <c r="Z263" s="385">
        <f t="shared" si="89"/>
        <v>44.735550949853625</v>
      </c>
      <c r="AA263" s="386">
        <f t="shared" si="90"/>
        <v>47.848049828375579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6.5049649665682524E-2</v>
      </c>
      <c r="AD263" s="231">
        <f>(INDEX(Models!$BJ263:$BT263,,AH263)*(1-AF263)+INDEX(Models!$BJ263:$BT263,,AH263+1)*AF263-ERP_i)*AE263*Ramure*Pc/MaxiM</f>
        <v>2.7102810044430901E-3</v>
      </c>
      <c r="AE263" s="305">
        <f t="shared" si="92"/>
        <v>0.7</v>
      </c>
      <c r="AF263" s="177">
        <f t="shared" si="93"/>
        <v>0.987093004483937</v>
      </c>
      <c r="AG263" s="919">
        <f t="shared" si="99"/>
        <v>1</v>
      </c>
      <c r="AH263" s="176">
        <f t="shared" si="94"/>
        <v>7</v>
      </c>
      <c r="AI263" s="225">
        <f t="shared" si="95"/>
        <v>1.987093004483937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1090">
        <f>IF(t&gt;Tmaj,'2024'!Wh/'2024'!Env_an*'2025'!Env_an,0.001*'[11]mon-tableau (3)'!$B$43)</f>
        <v>35.25188424890019</v>
      </c>
      <c r="C264" s="953"/>
      <c r="D264" s="393">
        <f t="shared" si="77"/>
        <v>37.369993055800599</v>
      </c>
      <c r="E264" s="385">
        <f t="shared" si="100"/>
        <v>38.379131345151286</v>
      </c>
      <c r="F264" s="385">
        <f t="shared" si="78"/>
        <v>38.380597732277074</v>
      </c>
      <c r="G264" s="110">
        <f t="shared" si="101"/>
        <v>0.76490986316176257</v>
      </c>
      <c r="H264" s="412" t="b">
        <f>Wh_hp&gt;='2024'!Maxi_hp</f>
        <v>0</v>
      </c>
      <c r="I264" s="390">
        <f>IF(H264,Wh_hp,'2024'!Maxi_hp)</f>
        <v>51.37719632099251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5.6679400601912455E-2</v>
      </c>
      <c r="M264" s="957"/>
      <c r="N264" s="957"/>
      <c r="O264" s="48">
        <f>IF(t&lt;Tnet,'2024'!Resal+('2024'!Salim-'2024'!Resal)*(1-EXP(('2024'!Tnet-t)/('2024'!Tau_j))),Resal+(Salim-Resal)*(1-EXP((Tnet-t)/(Tau_j))))*Salcycl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5.7524437556400299E-5</v>
      </c>
      <c r="Q264" s="305">
        <f t="shared" si="80"/>
        <v>0.7</v>
      </c>
      <c r="R264" s="177">
        <f t="shared" si="81"/>
        <v>0.4626200073429958</v>
      </c>
      <c r="S264" s="919">
        <f t="shared" si="82"/>
        <v>-2</v>
      </c>
      <c r="T264" s="176">
        <f t="shared" si="83"/>
        <v>4</v>
      </c>
      <c r="U264" s="251">
        <f t="shared" si="84"/>
        <v>-1.5373799926570042</v>
      </c>
      <c r="V264" s="383">
        <f t="shared" si="85"/>
        <v>46.085434278995649</v>
      </c>
      <c r="W264" s="402">
        <f t="shared" si="86"/>
        <v>35.25188424890019</v>
      </c>
      <c r="X264" s="157">
        <f t="shared" si="87"/>
        <v>45907</v>
      </c>
      <c r="Y264" s="385">
        <f t="shared" si="88"/>
        <v>33.785201775549091</v>
      </c>
      <c r="Z264" s="385">
        <f t="shared" si="89"/>
        <v>35.815184993422911</v>
      </c>
      <c r="AA264" s="386">
        <f t="shared" si="90"/>
        <v>38.310248090708313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6.5127824058402464E-2</v>
      </c>
      <c r="AD264" s="231">
        <f>(INDEX(Models!$BJ264:$BT264,,AH264)*(1-AF264)+INDEX(Models!$BJ264:$BT264,,AH264+1)*AF264-ERP_i)*AE264*Ramure*Pc/MaxiM</f>
        <v>2.759723876718433E-3</v>
      </c>
      <c r="AE264" s="305">
        <f t="shared" si="92"/>
        <v>0.7</v>
      </c>
      <c r="AF264" s="177">
        <f t="shared" si="93"/>
        <v>0.9876075737169745</v>
      </c>
      <c r="AG264" s="919">
        <f t="shared" si="99"/>
        <v>1</v>
      </c>
      <c r="AH264" s="176">
        <f t="shared" si="94"/>
        <v>7</v>
      </c>
      <c r="AI264" s="225">
        <f t="shared" si="95"/>
        <v>1.9876075737169745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1090">
        <f>IF(t&gt;Tmaj,'2024'!Wh/'2024'!Env_an*'2025'!Env_an,0.001*'[11]mon-tableau (3)'!$B$44)</f>
        <v>38.669152674738193</v>
      </c>
      <c r="C265" s="953"/>
      <c r="D265" s="393">
        <f t="shared" si="77"/>
        <v>40.993485853747799</v>
      </c>
      <c r="E265" s="385">
        <f t="shared" si="100"/>
        <v>42.105861972336349</v>
      </c>
      <c r="F265" s="385">
        <f t="shared" si="78"/>
        <v>42.107762141681953</v>
      </c>
      <c r="G265" s="110">
        <f t="shared" si="101"/>
        <v>0.84150733291282753</v>
      </c>
      <c r="H265" s="412" t="b">
        <f>Wh_hp&gt;='2024'!Maxi_hp</f>
        <v>0</v>
      </c>
      <c r="I265" s="390">
        <f>IF(H265,Wh_hp,'2024'!Maxi_hp)</f>
        <v>49.21838095853591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5.6700061744007768E-2</v>
      </c>
      <c r="M265" s="957"/>
      <c r="N265" s="957"/>
      <c r="O265" s="48">
        <f>IF(t&lt;Tnet,'2024'!Resal+('2024'!Salim-'2024'!Resal)*(1-EXP(('2024'!Tnet-t)/('2024'!Tau_j))),Resal+(Salim-Resal)*(1-EXP((Tnet-t)/(Tau_j))))*Salcycl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5.8333083086596955E-5</v>
      </c>
      <c r="Q265" s="305">
        <f t="shared" si="80"/>
        <v>0.7</v>
      </c>
      <c r="R265" s="177">
        <f t="shared" si="81"/>
        <v>0.46311488058984152</v>
      </c>
      <c r="S265" s="919">
        <f t="shared" si="82"/>
        <v>-2</v>
      </c>
      <c r="T265" s="176">
        <f t="shared" si="83"/>
        <v>4</v>
      </c>
      <c r="U265" s="251">
        <f t="shared" si="84"/>
        <v>-1.5368851194101585</v>
      </c>
      <c r="V265" s="383">
        <f t="shared" si="85"/>
        <v>45.951639927390076</v>
      </c>
      <c r="W265" s="402">
        <f t="shared" si="86"/>
        <v>38.669152674738193</v>
      </c>
      <c r="X265" s="157">
        <f t="shared" si="87"/>
        <v>45908</v>
      </c>
      <c r="Y265" s="385">
        <f t="shared" si="88"/>
        <v>37.049482252221097</v>
      </c>
      <c r="Z265" s="385">
        <f t="shared" si="89"/>
        <v>39.276459956861174</v>
      </c>
      <c r="AA265" s="386">
        <f t="shared" si="90"/>
        <v>42.01614288511761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6.520548389573505E-2</v>
      </c>
      <c r="AD265" s="231">
        <f>(INDEX(Models!$BJ265:$BT265,,AH265)*(1-AF265)+INDEX(Models!$BJ265:$BT265,,AH265+1)*AF265-ERP_i)*AE265*Ramure*Pc/MaxiM</f>
        <v>2.8126091592194803E-3</v>
      </c>
      <c r="AE265" s="305">
        <f t="shared" si="92"/>
        <v>0.7</v>
      </c>
      <c r="AF265" s="177">
        <f t="shared" si="93"/>
        <v>0.98810244696382044</v>
      </c>
      <c r="AG265" s="919">
        <f t="shared" si="99"/>
        <v>1</v>
      </c>
      <c r="AH265" s="176">
        <f t="shared" si="94"/>
        <v>7</v>
      </c>
      <c r="AI265" s="225">
        <f t="shared" si="95"/>
        <v>1.9881024469638204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1090">
        <f>IF(t&gt;Tmaj,'2024'!Wh/'2024'!Env_an*'2025'!Env_an,0.001*'[11]mon-tableau (3)'!$B$45)</f>
        <v>20.008509560384592</v>
      </c>
      <c r="C266" s="953"/>
      <c r="D266" s="393">
        <f t="shared" si="77"/>
        <v>21.211649652693154</v>
      </c>
      <c r="E266" s="385">
        <f t="shared" si="100"/>
        <v>21.790018625429308</v>
      </c>
      <c r="F266" s="385">
        <f t="shared" si="78"/>
        <v>21.790271931079982</v>
      </c>
      <c r="G266" s="110">
        <f t="shared" si="101"/>
        <v>0.43669774031840997</v>
      </c>
      <c r="H266" s="412" t="b">
        <f>Wh_hp&gt;='2024'!Maxi_hp</f>
        <v>0</v>
      </c>
      <c r="I266" s="390">
        <f>IF(H266,Wh_hp,'2024'!Maxi_hp)</f>
        <v>48.849649959056784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5.6720722433571069E-2</v>
      </c>
      <c r="M266" s="957"/>
      <c r="N266" s="957"/>
      <c r="O266" s="48">
        <f>IF(t&lt;Tnet,'2024'!Resal+('2024'!Salim-'2024'!Resal)*(1-EXP(('2024'!Tnet-t)/('2024'!Tau_j))),Resal+(Salim-Resal)*(1-EXP((Tnet-t)/(Tau_j))))*Salcycl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5.951856959725802E-5</v>
      </c>
      <c r="Q266" s="305">
        <f t="shared" si="80"/>
        <v>0.7</v>
      </c>
      <c r="R266" s="177">
        <f t="shared" si="81"/>
        <v>0.46359077308919661</v>
      </c>
      <c r="S266" s="919">
        <f t="shared" si="82"/>
        <v>-2</v>
      </c>
      <c r="T266" s="176">
        <f t="shared" si="83"/>
        <v>4</v>
      </c>
      <c r="U266" s="251">
        <f t="shared" si="84"/>
        <v>-1.5364092269108034</v>
      </c>
      <c r="V266" s="383">
        <f t="shared" si="85"/>
        <v>45.815559407206379</v>
      </c>
      <c r="W266" s="402">
        <f t="shared" si="86"/>
        <v>20.008509560384592</v>
      </c>
      <c r="X266" s="157">
        <f t="shared" si="87"/>
        <v>45909</v>
      </c>
      <c r="Y266" s="385">
        <f t="shared" si="88"/>
        <v>19.201707172563818</v>
      </c>
      <c r="Z266" s="385">
        <f t="shared" si="89"/>
        <v>20.356333091618847</v>
      </c>
      <c r="AA266" s="386">
        <f t="shared" si="90"/>
        <v>21.778061856366076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6.5282612113236979E-2</v>
      </c>
      <c r="AD266" s="231">
        <f>(INDEX(Models!$BJ266:$BT266,,AH266)*(1-AF266)+INDEX(Models!$BJ266:$BT266,,AH266+1)*AF266-ERP_i)*AE266*Ramure*Pc/MaxiM</f>
        <v>2.8689694829840242E-3</v>
      </c>
      <c r="AE266" s="305">
        <f t="shared" si="92"/>
        <v>0.7</v>
      </c>
      <c r="AF266" s="177">
        <f t="shared" si="93"/>
        <v>0.98857833946317575</v>
      </c>
      <c r="AG266" s="919">
        <f t="shared" si="99"/>
        <v>1</v>
      </c>
      <c r="AH266" s="176">
        <f t="shared" si="94"/>
        <v>7</v>
      </c>
      <c r="AI266" s="225">
        <f t="shared" si="95"/>
        <v>1.9885783394631757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1090">
        <f>IF(t&gt;Tmaj,'2024'!Wh/'2024'!Env_an*'2025'!Env_an,0.001*'[11]mon-tableau (3)'!$B$46)</f>
        <v>43.678223641981312</v>
      </c>
      <c r="C267" s="953"/>
      <c r="D267" s="393">
        <f t="shared" si="77"/>
        <v>46.305671466480533</v>
      </c>
      <c r="E267" s="385">
        <f t="shared" si="100"/>
        <v>47.574325130228907</v>
      </c>
      <c r="F267" s="385">
        <f t="shared" si="78"/>
        <v>47.577049674371182</v>
      </c>
      <c r="G267" s="110">
        <f t="shared" si="101"/>
        <v>0.95623960900905958</v>
      </c>
      <c r="H267" s="412" t="b">
        <f>Wh_hp&gt;='2024'!Maxi_hp</f>
        <v>1</v>
      </c>
      <c r="I267" s="390">
        <f>IF(H267,Wh_hp,'2024'!Maxi_hp)</f>
        <v>47.577049674371182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5.6741382670612239E-2</v>
      </c>
      <c r="M267" s="957"/>
      <c r="N267" s="957"/>
      <c r="O267" s="48">
        <f>IF(t&lt;Tnet,'2024'!Resal+('2024'!Salim-'2024'!Resal)*(1-EXP(('2024'!Tnet-t)/('2024'!Tau_j))),Resal+(Salim-Resal)*(1-EXP((Tnet-t)/(Tau_j))))*Salcycl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6.1084289258859839E-5</v>
      </c>
      <c r="Q267" s="305">
        <f t="shared" si="80"/>
        <v>0.7</v>
      </c>
      <c r="R267" s="177">
        <f t="shared" si="81"/>
        <v>0.46404837709686153</v>
      </c>
      <c r="S267" s="919">
        <f t="shared" si="82"/>
        <v>-2</v>
      </c>
      <c r="T267" s="176">
        <f t="shared" si="83"/>
        <v>4</v>
      </c>
      <c r="U267" s="251">
        <f t="shared" si="84"/>
        <v>-1.5359516229031385</v>
      </c>
      <c r="V267" s="383">
        <f t="shared" si="85"/>
        <v>45.676895667057231</v>
      </c>
      <c r="W267" s="402">
        <f t="shared" si="86"/>
        <v>43.678223641981312</v>
      </c>
      <c r="X267" s="157">
        <f t="shared" si="87"/>
        <v>45910</v>
      </c>
      <c r="Y267" s="385">
        <f t="shared" si="88"/>
        <v>41.829138555549946</v>
      </c>
      <c r="Z267" s="385">
        <f t="shared" si="89"/>
        <v>44.345355332113684</v>
      </c>
      <c r="AA267" s="386">
        <f t="shared" si="90"/>
        <v>47.446414603168805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6.5359190931320837E-2</v>
      </c>
      <c r="AD267" s="231">
        <f>(INDEX(Models!$BJ267:$BT267,,AH267)*(1-AF267)+INDEX(Models!$BJ267:$BT267,,AH267+1)*AF267-ERP_i)*AE267*Ramure*Pc/MaxiM</f>
        <v>2.9288387561316113E-3</v>
      </c>
      <c r="AE267" s="305">
        <f t="shared" si="92"/>
        <v>0.7</v>
      </c>
      <c r="AF267" s="177">
        <f t="shared" si="93"/>
        <v>0.98903594347084045</v>
      </c>
      <c r="AG267" s="919">
        <f t="shared" si="99"/>
        <v>1</v>
      </c>
      <c r="AH267" s="176">
        <f t="shared" si="94"/>
        <v>7</v>
      </c>
      <c r="AI267" s="225">
        <f t="shared" si="95"/>
        <v>1.9890359434708405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1090">
        <f>IF(t&gt;Tmaj,'2024'!Wh/'2024'!Env_an*'2025'!Env_an,0.001*'[11]mon-tableau (3)'!$B$47)</f>
        <v>44.492519354187358</v>
      </c>
      <c r="C268" s="953"/>
      <c r="D268" s="393">
        <f t="shared" si="77"/>
        <v>47.169983987917881</v>
      </c>
      <c r="E268" s="385">
        <f t="shared" si="100"/>
        <v>48.468470971957615</v>
      </c>
      <c r="F268" s="385">
        <f t="shared" si="78"/>
        <v>48.471428052242906</v>
      </c>
      <c r="G268" s="110">
        <f t="shared" si="101"/>
        <v>0.97709641752596188</v>
      </c>
      <c r="H268" s="412" t="b">
        <f>Wh_hp&gt;='2024'!Maxi_hp</f>
        <v>1</v>
      </c>
      <c r="I268" s="390">
        <f>IF(H268,Wh_hp,'2024'!Maxi_hp)</f>
        <v>48.471428052242906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5.676204245514116E-2</v>
      </c>
      <c r="M268" s="957"/>
      <c r="N268" s="957"/>
      <c r="O268" s="48">
        <f>IF(t&lt;Tnet,'2024'!Resal+('2024'!Salim-'2024'!Resal)*(1-EXP(('2024'!Tnet-t)/('2024'!Tau_j))),Resal+(Salim-Resal)*(1-EXP((Tnet-t)/(Tau_j))))*Salcycl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6.3070101752621348E-5</v>
      </c>
      <c r="Q268" s="305">
        <f t="shared" si="80"/>
        <v>0.7</v>
      </c>
      <c r="R268" s="177">
        <f t="shared" si="81"/>
        <v>0.46448836238819835</v>
      </c>
      <c r="S268" s="919">
        <f t="shared" si="82"/>
        <v>-2</v>
      </c>
      <c r="T268" s="176">
        <f t="shared" si="83"/>
        <v>4</v>
      </c>
      <c r="U268" s="251">
        <f t="shared" si="84"/>
        <v>-1.5355116376118016</v>
      </c>
      <c r="V268" s="383">
        <f t="shared" si="85"/>
        <v>45.535350189744349</v>
      </c>
      <c r="W268" s="402">
        <f t="shared" si="86"/>
        <v>44.492519354187358</v>
      </c>
      <c r="X268" s="157">
        <f t="shared" si="87"/>
        <v>45911</v>
      </c>
      <c r="Y268" s="385">
        <f t="shared" si="88"/>
        <v>42.604716587286589</v>
      </c>
      <c r="Z268" s="385">
        <f t="shared" si="89"/>
        <v>45.168577289003323</v>
      </c>
      <c r="AA268" s="386">
        <f t="shared" si="90"/>
        <v>48.331134853471539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6.543520184362181E-2</v>
      </c>
      <c r="AD268" s="231">
        <f>(INDEX(Models!$BJ268:$BT268,,AH268)*(1-AF268)+INDEX(Models!$BJ268:$BT268,,AH268+1)*AF268-ERP_i)*AE268*Ramure*Pc/MaxiM</f>
        <v>2.9922441963138287E-3</v>
      </c>
      <c r="AE268" s="305">
        <f t="shared" si="92"/>
        <v>0.7</v>
      </c>
      <c r="AF268" s="177">
        <f t="shared" si="93"/>
        <v>0.98947592876217727</v>
      </c>
      <c r="AG268" s="919">
        <f t="shared" si="99"/>
        <v>1</v>
      </c>
      <c r="AH268" s="176">
        <f t="shared" si="94"/>
        <v>7</v>
      </c>
      <c r="AI268" s="225">
        <f t="shared" si="95"/>
        <v>1.9894759287621773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1090">
        <f>IF(t&gt;Tmaj,'2024'!Wh/'2024'!Env_an*'2025'!Env_an,0.001*'[11]mon-tableau (3)'!$B$48)</f>
        <v>31.295506534211555</v>
      </c>
      <c r="C269" s="953"/>
      <c r="D269" s="393">
        <f t="shared" si="77"/>
        <v>33.179529885116551</v>
      </c>
      <c r="E269" s="385">
        <f t="shared" si="100"/>
        <v>34.097206609402669</v>
      </c>
      <c r="F269" s="385">
        <f t="shared" si="78"/>
        <v>34.098443336505206</v>
      </c>
      <c r="G269" s="110">
        <f t="shared" si="101"/>
        <v>0.68945055154856383</v>
      </c>
      <c r="H269" s="412" t="b">
        <f>Wh_hp&gt;='2024'!Maxi_hp</f>
        <v>0</v>
      </c>
      <c r="I269" s="390">
        <f>IF(H269,Wh_hp,'2024'!Maxi_hp)</f>
        <v>49.547587041399964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5.6782701787167822E-2</v>
      </c>
      <c r="M269" s="957"/>
      <c r="N269" s="957"/>
      <c r="O269" s="48">
        <f>IF(t&lt;Tnet,'2024'!Resal+('2024'!Salim-'2024'!Resal)*(1-EXP(('2024'!Tnet-t)/('2024'!Tau_j))),Resal+(Salim-Resal)*(1-EXP((Tnet-t)/(Tau_j))))*Salcycl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6.5187272180585942E-5</v>
      </c>
      <c r="Q269" s="305">
        <f t="shared" si="80"/>
        <v>0.7</v>
      </c>
      <c r="R269" s="177">
        <f t="shared" si="81"/>
        <v>0.46491137676978522</v>
      </c>
      <c r="S269" s="919">
        <f t="shared" si="82"/>
        <v>-2</v>
      </c>
      <c r="T269" s="176">
        <f t="shared" si="83"/>
        <v>4</v>
      </c>
      <c r="U269" s="251">
        <f t="shared" si="84"/>
        <v>-1.5350886232302148</v>
      </c>
      <c r="V269" s="383">
        <f t="shared" si="85"/>
        <v>45.390639588154755</v>
      </c>
      <c r="W269" s="402">
        <f t="shared" si="86"/>
        <v>31.295506534211555</v>
      </c>
      <c r="X269" s="157">
        <f t="shared" si="87"/>
        <v>45912</v>
      </c>
      <c r="Y269" s="385">
        <f t="shared" si="88"/>
        <v>30.004159457836362</v>
      </c>
      <c r="Z269" s="385">
        <f t="shared" si="89"/>
        <v>31.810442317679033</v>
      </c>
      <c r="AA269" s="386">
        <f t="shared" si="90"/>
        <v>34.040453738206537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6.5510625612624232E-2</v>
      </c>
      <c r="AD269" s="231">
        <f>(INDEX(Models!$BJ269:$BT269,,AH269)*(1-AF269)+INDEX(Models!$BJ269:$BT269,,AH269+1)*AF269-ERP_i)*AE269*Ramure*Pc/MaxiM</f>
        <v>3.0566029645425256E-3</v>
      </c>
      <c r="AE269" s="305">
        <f t="shared" si="92"/>
        <v>0.7</v>
      </c>
      <c r="AF269" s="177">
        <f t="shared" si="93"/>
        <v>0.98989894314376414</v>
      </c>
      <c r="AG269" s="919">
        <f t="shared" si="99"/>
        <v>1</v>
      </c>
      <c r="AH269" s="176">
        <f t="shared" si="94"/>
        <v>7</v>
      </c>
      <c r="AI269" s="225">
        <f t="shared" si="95"/>
        <v>1.9898989431437641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1090">
        <f>IF(t&gt;Tmaj,'2024'!Wh/'2024'!Env_an*'2025'!Env_an,0.001*'[11]mon-tableau (3)'!$B$49)</f>
        <v>11.306907939675288</v>
      </c>
      <c r="C270" s="953"/>
      <c r="D270" s="393">
        <f t="shared" si="77"/>
        <v>11.987858595072623</v>
      </c>
      <c r="E270" s="385">
        <f t="shared" si="100"/>
        <v>12.320972953600906</v>
      </c>
      <c r="F270" s="385">
        <f t="shared" si="78"/>
        <v>12.320972953600906</v>
      </c>
      <c r="G270" s="110">
        <f t="shared" si="101"/>
        <v>0.24990116786405747</v>
      </c>
      <c r="H270" s="412" t="b">
        <f>Wh_hp&gt;='2024'!Maxi_hp</f>
        <v>0</v>
      </c>
      <c r="I270" s="390">
        <f>IF(H270,Wh_hp,'2024'!Maxi_hp)</f>
        <v>47.552887947991515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5.6803360666702107E-2</v>
      </c>
      <c r="M270" s="957"/>
      <c r="N270" s="957"/>
      <c r="O270" s="48">
        <f>IF(t&lt;Tnet,'2024'!Resal+('2024'!Salim-'2024'!Resal)*(1-EXP(('2024'!Tnet-t)/('2024'!Tau_j))),Resal+(Salim-Resal)*(1-EXP((Tnet-t)/(Tau_j))))*Salcycl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6.7437175813005659E-5</v>
      </c>
      <c r="Q270" s="305">
        <f t="shared" si="80"/>
        <v>0.7</v>
      </c>
      <c r="R270" s="177">
        <f t="shared" si="81"/>
        <v>0.46531804659799536</v>
      </c>
      <c r="S270" s="919">
        <f t="shared" si="82"/>
        <v>-2</v>
      </c>
      <c r="T270" s="176">
        <f t="shared" si="83"/>
        <v>4</v>
      </c>
      <c r="U270" s="251">
        <f t="shared" si="84"/>
        <v>-1.5346819534020046</v>
      </c>
      <c r="V270" s="383">
        <f t="shared" si="85"/>
        <v>45.24246737369004</v>
      </c>
      <c r="W270" s="402">
        <f t="shared" si="86"/>
        <v>11.306907939675288</v>
      </c>
      <c r="X270" s="157">
        <f t="shared" si="87"/>
        <v>45913</v>
      </c>
      <c r="Y270" s="385">
        <f t="shared" si="88"/>
        <v>10.858925281377877</v>
      </c>
      <c r="Z270" s="385">
        <f t="shared" si="89"/>
        <v>11.512896493199497</v>
      </c>
      <c r="AA270" s="386">
        <f t="shared" si="90"/>
        <v>12.320972953600906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6.5585442273472516E-2</v>
      </c>
      <c r="AD270" s="231">
        <f>(INDEX(Models!$BJ270:$BT270,,AH270)*(1-AF270)+INDEX(Models!$BJ270:$BT270,,AH270+1)*AF270-ERP_i)*AE270*Ramure*Pc/MaxiM</f>
        <v>3.1219383813102172E-3</v>
      </c>
      <c r="AE270" s="305">
        <f t="shared" si="92"/>
        <v>0.7</v>
      </c>
      <c r="AF270" s="177">
        <f t="shared" si="93"/>
        <v>0.99030561297197428</v>
      </c>
      <c r="AG270" s="919">
        <f t="shared" si="99"/>
        <v>1</v>
      </c>
      <c r="AH270" s="176">
        <f t="shared" si="94"/>
        <v>7</v>
      </c>
      <c r="AI270" s="225">
        <f t="shared" si="95"/>
        <v>1.9903056129719743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1090">
        <f>IF(t&gt;Tmaj,'2024'!Wh/'2024'!Env_an*'2025'!Env_an,0.001*'[11]mon-tableau (3)'!$B$50)</f>
        <v>34.178529762647756</v>
      </c>
      <c r="C271" s="953"/>
      <c r="D271" s="393">
        <f t="shared" ref="D271:D334" si="102">Wh/(1-Ppv)</f>
        <v>36.237701610899244</v>
      </c>
      <c r="E271" s="385">
        <f t="shared" si="100"/>
        <v>37.249349244032423</v>
      </c>
      <c r="F271" s="385">
        <f t="shared" ref="F271:F334" si="103">Wh_sa/(1-Pvg*MEDIAN((-Sdif+Wh/Env_an)/Csdif,0,1))</f>
        <v>37.251050977246543</v>
      </c>
      <c r="G271" s="110">
        <f t="shared" si="101"/>
        <v>0.75797954069942108</v>
      </c>
      <c r="H271" s="412" t="b">
        <f>Wh_hp&gt;='2024'!Maxi_hp</f>
        <v>0</v>
      </c>
      <c r="I271" s="390">
        <f>IF(H271,Wh_hp,'2024'!Maxi_hp)</f>
        <v>47.223329847400791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5.6824019093753786E-2</v>
      </c>
      <c r="M271" s="957"/>
      <c r="N271" s="957"/>
      <c r="O271" s="48">
        <f>IF(t&lt;Tnet,'2024'!Resal+('2024'!Salim-'2024'!Resal)*(1-EXP(('2024'!Tnet-t)/('2024'!Tau_j))),Resal+(Salim-Resal)*(1-EXP((Tnet-t)/(Tau_j))))*Salcycl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6.9821239924560221E-5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0.46570897730243099</v>
      </c>
      <c r="S271" s="919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-1.534291022697569</v>
      </c>
      <c r="V271" s="383">
        <f t="shared" ref="V271:V334" si="110">MaxiM*(1-Ppv)*(1-Pvg)*(1-Psa)</f>
        <v>45.090537243077073</v>
      </c>
      <c r="W271" s="402">
        <f t="shared" ref="W271:W334" si="111">Wh*(A271&gt;Tmaj)</f>
        <v>34.178529762647756</v>
      </c>
      <c r="X271" s="157">
        <f t="shared" ref="X271:X334" si="112">t</f>
        <v>45914</v>
      </c>
      <c r="Y271" s="385">
        <f t="shared" ref="Y271:Y334" si="113">Wh_pvt_s*(1-Ppv)</f>
        <v>32.758912567901717</v>
      </c>
      <c r="Z271" s="385">
        <f t="shared" ref="Z271:Z334" si="114">Wh_sa_s*(1-Psa_s)</f>
        <v>34.732555992812145</v>
      </c>
      <c r="AA271" s="386">
        <f t="shared" ref="AA271:AA334" si="115">Wh_hp*(1-Pvg_s*MEDIAN((-Sdif+Wh/Env_an)/Csdif,0,1))</f>
        <v>37.173344051743534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6.5659631146821953E-2</v>
      </c>
      <c r="AD271" s="231">
        <f>(INDEX(Models!$BJ271:$BT271,,AH271)*(1-AF271)+INDEX(Models!$BJ271:$BT271,,AH271+1)*AF271-ERP_i)*AE271*Ramure*Pc/MaxiM</f>
        <v>3.1882752503830302E-3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0.99069654367640991</v>
      </c>
      <c r="AG271" s="91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1.9906965436764099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1090">
        <f>IF(t&gt;Tmaj,'2024'!Wh/'2024'!Env_an*'2025'!Env_an,0.001*'[11]mon-tableau (3)'!$B$51)</f>
        <v>39.22310745894066</v>
      </c>
      <c r="C272" s="953"/>
      <c r="D272" s="393">
        <f t="shared" si="102"/>
        <v>41.587113495814343</v>
      </c>
      <c r="E272" s="385">
        <f t="shared" si="100"/>
        <v>42.753463526027708</v>
      </c>
      <c r="F272" s="385">
        <f t="shared" si="103"/>
        <v>42.755994907325423</v>
      </c>
      <c r="G272" s="110">
        <f t="shared" si="101"/>
        <v>0.87288265989250202</v>
      </c>
      <c r="H272" s="412" t="b">
        <f>Wh_hp&gt;='2024'!Maxi_hp</f>
        <v>0</v>
      </c>
      <c r="I272" s="390">
        <f>IF(H272,Wh_hp,'2024'!Maxi_hp)</f>
        <v>48.01660304214726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5.6844677068333072E-2</v>
      </c>
      <c r="M272" s="957"/>
      <c r="N272" s="957"/>
      <c r="O272" s="48">
        <f>IF(t&lt;Tnet,'2024'!Resal+('2024'!Salim-'2024'!Resal)*(1-EXP(('2024'!Tnet-t)/('2024'!Tau_j))),Resal+(Salim-Resal)*(1-EXP((Tnet-t)/(Tau_j))))*Salcycl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7.2340952152851262E-5</v>
      </c>
      <c r="Q272" s="305">
        <f t="shared" si="105"/>
        <v>0.7</v>
      </c>
      <c r="R272" s="177">
        <f t="shared" si="106"/>
        <v>0.46608475391232895</v>
      </c>
      <c r="S272" s="919">
        <f t="shared" si="107"/>
        <v>-2</v>
      </c>
      <c r="T272" s="176">
        <f t="shared" si="108"/>
        <v>4</v>
      </c>
      <c r="U272" s="251">
        <f t="shared" si="109"/>
        <v>-1.533915246087671</v>
      </c>
      <c r="V272" s="383">
        <f t="shared" si="110"/>
        <v>44.934553072665054</v>
      </c>
      <c r="W272" s="402">
        <f t="shared" si="111"/>
        <v>39.22310745894066</v>
      </c>
      <c r="X272" s="157">
        <f t="shared" si="112"/>
        <v>45915</v>
      </c>
      <c r="Y272" s="385">
        <f t="shared" si="113"/>
        <v>37.574434444732098</v>
      </c>
      <c r="Z272" s="385">
        <f t="shared" si="114"/>
        <v>39.839073725351199</v>
      </c>
      <c r="AA272" s="386">
        <f t="shared" si="115"/>
        <v>42.642072353235015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6.5733170861504056E-2</v>
      </c>
      <c r="AD272" s="231">
        <f>(INDEX(Models!$BJ272:$BT272,,AH272)*(1-AF272)+INDEX(Models!$BJ272:$BT272,,AH272+1)*AF272-ERP_i)*AE272*Ramure*Pc/MaxiM</f>
        <v>3.2556399314534056E-3</v>
      </c>
      <c r="AE272" s="305">
        <f t="shared" si="117"/>
        <v>0.7</v>
      </c>
      <c r="AF272" s="177">
        <f t="shared" si="118"/>
        <v>0.99107232028630787</v>
      </c>
      <c r="AG272" s="919">
        <f t="shared" ref="AG272:AG335" si="124">INDEX(Echel_vg,AH272)</f>
        <v>1</v>
      </c>
      <c r="AH272" s="176">
        <f t="shared" si="119"/>
        <v>7</v>
      </c>
      <c r="AI272" s="225">
        <f t="shared" si="120"/>
        <v>1.9910723202863079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1090">
        <f>IF(t&gt;Tmaj,'2024'!Wh/'2024'!Env_an*'2025'!Env_an,0.001*'[11]mon-tableau (3)'!$B$52)</f>
        <v>26.121278134707051</v>
      </c>
      <c r="C273" s="953"/>
      <c r="D273" s="393">
        <f t="shared" si="102"/>
        <v>27.696233732819103</v>
      </c>
      <c r="E273" s="385">
        <f t="shared" si="100"/>
        <v>28.476561291530558</v>
      </c>
      <c r="F273" s="385">
        <f t="shared" si="103"/>
        <v>28.477425963581361</v>
      </c>
      <c r="G273" s="110">
        <f t="shared" si="101"/>
        <v>0.58337393300457729</v>
      </c>
      <c r="H273" s="412" t="b">
        <f>Wh_hp&gt;='2024'!Maxi_hp</f>
        <v>0</v>
      </c>
      <c r="I273" s="390">
        <f>IF(H273,Wh_hp,'2024'!Maxi_hp)</f>
        <v>47.259197332077989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5.6865334590449512E-2</v>
      </c>
      <c r="M273" s="957"/>
      <c r="N273" s="957"/>
      <c r="O273" s="48">
        <f>IF(t&lt;Tnet,'2024'!Resal+('2024'!Salim-'2024'!Resal)*(1-EXP(('2024'!Tnet-t)/('2024'!Tau_j))),Resal+(Salim-Resal)*(1-EXP((Tnet-t)/(Tau_j))))*Salcycl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7.4997869182676151E-5</v>
      </c>
      <c r="Q273" s="305">
        <f t="shared" si="105"/>
        <v>0.7</v>
      </c>
      <c r="R273" s="177">
        <f t="shared" si="106"/>
        <v>0.46644594158422459</v>
      </c>
      <c r="S273" s="919">
        <f t="shared" si="107"/>
        <v>-2</v>
      </c>
      <c r="T273" s="176">
        <f t="shared" si="108"/>
        <v>4</v>
      </c>
      <c r="U273" s="251">
        <f t="shared" si="109"/>
        <v>-1.5335540584157754</v>
      </c>
      <c r="V273" s="383">
        <f t="shared" si="110"/>
        <v>44.774218923223351</v>
      </c>
      <c r="W273" s="402">
        <f t="shared" si="111"/>
        <v>26.121278134707051</v>
      </c>
      <c r="X273" s="157">
        <f t="shared" si="112"/>
        <v>45916</v>
      </c>
      <c r="Y273" s="385">
        <f t="shared" si="113"/>
        <v>25.056859670593941</v>
      </c>
      <c r="Z273" s="385">
        <f t="shared" si="114"/>
        <v>26.567637252219068</v>
      </c>
      <c r="AA273" s="386">
        <f t="shared" si="115"/>
        <v>28.439101912846318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6.5806039387688475E-2</v>
      </c>
      <c r="AD273" s="231">
        <f>(INDEX(Models!$BJ273:$BT273,,AH273)*(1-AF273)+INDEX(Models!$BJ273:$BT273,,AH273+1)*AF273-ERP_i)*AE273*Ramure*Pc/MaxiM</f>
        <v>3.3240604237408087E-3</v>
      </c>
      <c r="AE273" s="305">
        <f t="shared" si="117"/>
        <v>0.7</v>
      </c>
      <c r="AF273" s="177">
        <f t="shared" si="118"/>
        <v>0.99143350795820351</v>
      </c>
      <c r="AG273" s="919">
        <f t="shared" si="124"/>
        <v>1</v>
      </c>
      <c r="AH273" s="176">
        <f t="shared" si="119"/>
        <v>7</v>
      </c>
      <c r="AI273" s="225">
        <f t="shared" si="120"/>
        <v>1.9914335079582035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1090">
        <f>IF(t&gt;Tmaj,'2024'!Wh/'2024'!Env_an*'2025'!Env_an,0.001*'[11]mon-tableau (3)'!$B$53)</f>
        <v>46.06963134094498</v>
      </c>
      <c r="C274" s="953"/>
      <c r="D274" s="393">
        <f t="shared" si="102"/>
        <v>48.848422283578309</v>
      </c>
      <c r="E274" s="385">
        <f t="shared" si="100"/>
        <v>50.230961468000842</v>
      </c>
      <c r="F274" s="385">
        <f t="shared" si="103"/>
        <v>50.234869420638525</v>
      </c>
      <c r="G274" s="110">
        <f t="shared" si="101"/>
        <v>1.0327374405723733</v>
      </c>
      <c r="H274" s="412" t="b">
        <f>Wh_hp&gt;='2024'!Maxi_hp</f>
        <v>1</v>
      </c>
      <c r="I274" s="390">
        <f>IF(H274,Wh_hp,'2024'!Maxi_hp)</f>
        <v>50.234869420638525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5.6885991660113322E-2</v>
      </c>
      <c r="M274" s="957"/>
      <c r="N274" s="957"/>
      <c r="O274" s="48">
        <f>IF(t&lt;Tnet,'2024'!Resal+('2024'!Salim-'2024'!Resal)*(1-EXP(('2024'!Tnet-t)/('2024'!Tau_j))),Resal+(Salim-Resal)*(1-EXP((Tnet-t)/(Tau_j))))*Salcycl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7.7793625876861221E-5</v>
      </c>
      <c r="Q274" s="305">
        <f t="shared" si="105"/>
        <v>0.7</v>
      </c>
      <c r="R274" s="177">
        <f t="shared" si="106"/>
        <v>0.46679308612932302</v>
      </c>
      <c r="S274" s="919">
        <f t="shared" si="107"/>
        <v>-2</v>
      </c>
      <c r="T274" s="176">
        <f t="shared" si="108"/>
        <v>4</v>
      </c>
      <c r="U274" s="251">
        <f t="shared" si="109"/>
        <v>-1.533206913870677</v>
      </c>
      <c r="V274" s="383">
        <f t="shared" si="110"/>
        <v>44.60923902924624</v>
      </c>
      <c r="W274" s="402">
        <f t="shared" si="111"/>
        <v>46.06963134094498</v>
      </c>
      <c r="X274" s="157">
        <f t="shared" si="112"/>
        <v>45917</v>
      </c>
      <c r="Y274" s="385">
        <f t="shared" si="113"/>
        <v>44.105897177294814</v>
      </c>
      <c r="Z274" s="385">
        <f t="shared" si="114"/>
        <v>46.766241183218213</v>
      </c>
      <c r="AA274" s="386">
        <f t="shared" si="115"/>
        <v>50.064394052446836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6.5878214081119546E-2</v>
      </c>
      <c r="AD274" s="231">
        <f>(INDEX(Models!$BJ274:$BT274,,AH274)*(1-AF274)+INDEX(Models!$BJ274:$BT274,,AH274+1)*AF274-ERP_i)*AE274*Ramure*Pc/MaxiM</f>
        <v>3.3935664640476829E-3</v>
      </c>
      <c r="AE274" s="305">
        <f t="shared" si="117"/>
        <v>0.7</v>
      </c>
      <c r="AF274" s="177">
        <f t="shared" si="118"/>
        <v>0.99178065250330194</v>
      </c>
      <c r="AG274" s="919">
        <f t="shared" si="124"/>
        <v>1</v>
      </c>
      <c r="AH274" s="176">
        <f t="shared" si="119"/>
        <v>7</v>
      </c>
      <c r="AI274" s="225">
        <f t="shared" si="120"/>
        <v>1.9917806525033019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1090">
        <f>IF(t&gt;Tmaj,'2024'!Wh/'2024'!Env_an*'2025'!Env_an,0.001*'[11]mon-tableau (3)'!$B$54)</f>
        <v>44.554655719032262</v>
      </c>
      <c r="C275" s="953"/>
      <c r="D275" s="393">
        <f t="shared" si="102"/>
        <v>47.243102326665955</v>
      </c>
      <c r="E275" s="385">
        <f t="shared" si="100"/>
        <v>48.586240034348485</v>
      </c>
      <c r="F275" s="385">
        <f t="shared" si="103"/>
        <v>48.590162662386248</v>
      </c>
      <c r="G275" s="110">
        <f t="shared" si="101"/>
        <v>1.002581825418267</v>
      </c>
      <c r="H275" s="412" t="b">
        <f>Wh_hp&gt;='2024'!Maxi_hp</f>
        <v>0</v>
      </c>
      <c r="I275" s="390">
        <f>IF(H275,Wh_hp,'2024'!Maxi_hp)</f>
        <v>48.590162662386263</v>
      </c>
      <c r="J275" s="85">
        <f>IF(H275,An,'2024'!An_max)</f>
        <v>2024</v>
      </c>
      <c r="K275" s="197">
        <f t="shared" si="104"/>
        <v>45918</v>
      </c>
      <c r="L275" s="147">
        <f>IF(t&lt;Tvie,1-EXP((T0-t)*PertePVj)+'2024'!Pspv,1-EXP((T0-t)*PertePVj)+Pspv)</f>
        <v>5.6906648277334271E-2</v>
      </c>
      <c r="M275" s="957"/>
      <c r="N275" s="957"/>
      <c r="O275" s="48">
        <f>IF(t&lt;Tnet,'2024'!Resal+('2024'!Salim-'2024'!Resal)*(1-EXP(('2024'!Tnet-t)/('2024'!Tau_j))),Resal+(Salim-Resal)*(1-EXP((Tnet-t)/(Tau_j))))*Salcycl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8.0728851743518018E-5</v>
      </c>
      <c r="Q275" s="305">
        <f t="shared" si="105"/>
        <v>0.7</v>
      </c>
      <c r="R275" s="177">
        <f t="shared" si="106"/>
        <v>0.46712671453918087</v>
      </c>
      <c r="S275" s="919">
        <f t="shared" si="107"/>
        <v>-2</v>
      </c>
      <c r="T275" s="176">
        <f t="shared" si="108"/>
        <v>4</v>
      </c>
      <c r="U275" s="251">
        <f t="shared" si="109"/>
        <v>-1.5328732854608191</v>
      </c>
      <c r="V275" s="383">
        <f t="shared" si="110"/>
        <v>44.439919605010296</v>
      </c>
      <c r="W275" s="402">
        <f t="shared" si="111"/>
        <v>44.554655719032262</v>
      </c>
      <c r="X275" s="157">
        <f t="shared" si="112"/>
        <v>45918</v>
      </c>
      <c r="Y275" s="385">
        <f t="shared" si="113"/>
        <v>42.654636347845475</v>
      </c>
      <c r="Z275" s="385">
        <f t="shared" si="114"/>
        <v>45.228434989953008</v>
      </c>
      <c r="AA275" s="386">
        <f t="shared" si="115"/>
        <v>48.421839403614804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6.5949671738893129E-2</v>
      </c>
      <c r="AD275" s="231">
        <f>(INDEX(Models!$BJ275:$BT275,,AH275)*(1-AF275)+INDEX(Models!$BJ275:$BT275,,AH275+1)*AF275-ERP_i)*AE275*Ramure*Pc/MaxiM</f>
        <v>3.4641427307207091E-3</v>
      </c>
      <c r="AE275" s="305">
        <f t="shared" si="117"/>
        <v>0.7</v>
      </c>
      <c r="AF275" s="177">
        <f t="shared" si="118"/>
        <v>0.99211428091315979</v>
      </c>
      <c r="AG275" s="919">
        <f t="shared" si="124"/>
        <v>1</v>
      </c>
      <c r="AH275" s="176">
        <f t="shared" si="119"/>
        <v>7</v>
      </c>
      <c r="AI275" s="225">
        <f t="shared" si="120"/>
        <v>1.9921142809131598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1090">
        <f>IF(t&gt;Tmaj,'2024'!Wh/'2024'!Env_an*'2025'!Env_an,0.001*'[11]mon-tableau (3)'!$B$55)</f>
        <v>44.001272808331557</v>
      </c>
      <c r="C276" s="953"/>
      <c r="D276" s="393">
        <f t="shared" si="102"/>
        <v>46.657349974810224</v>
      </c>
      <c r="E276" s="385">
        <f t="shared" si="100"/>
        <v>47.989772419126353</v>
      </c>
      <c r="F276" s="385">
        <f t="shared" si="103"/>
        <v>47.993775000052551</v>
      </c>
      <c r="G276" s="110">
        <f t="shared" si="101"/>
        <v>0.99400104750535501</v>
      </c>
      <c r="H276" s="412" t="b">
        <f>Wh_hp&gt;='2024'!Maxi_hp</f>
        <v>1</v>
      </c>
      <c r="I276" s="390">
        <f>IF(H276,Wh_hp,'2024'!Maxi_hp)</f>
        <v>47.993775000052551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5.692730444212224E-2</v>
      </c>
      <c r="M276" s="957"/>
      <c r="N276" s="957"/>
      <c r="O276" s="48">
        <f>IF(t&lt;Tnet,'2024'!Resal+('2024'!Salim-'2024'!Resal)*(1-EXP(('2024'!Tnet-t)/('2024'!Tau_j))),Resal+(Salim-Resal)*(1-EXP((Tnet-t)/(Tau_j))))*Salcycl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8.4118723945532994E-5</v>
      </c>
      <c r="Q276" s="305">
        <f t="shared" si="105"/>
        <v>0.7</v>
      </c>
      <c r="R276" s="177">
        <f t="shared" si="106"/>
        <v>0.46744733550844231</v>
      </c>
      <c r="S276" s="919">
        <f t="shared" si="107"/>
        <v>-2</v>
      </c>
      <c r="T276" s="176">
        <f t="shared" si="108"/>
        <v>4</v>
      </c>
      <c r="U276" s="251">
        <f t="shared" si="109"/>
        <v>-1.5325526644915577</v>
      </c>
      <c r="V276" s="383">
        <f t="shared" si="110"/>
        <v>44.26679549257036</v>
      </c>
      <c r="W276" s="402">
        <f t="shared" si="111"/>
        <v>44.001272808331557</v>
      </c>
      <c r="X276" s="157">
        <f t="shared" si="112"/>
        <v>45919</v>
      </c>
      <c r="Y276" s="385">
        <f t="shared" si="113"/>
        <v>42.125221468031739</v>
      </c>
      <c r="Z276" s="385">
        <f t="shared" si="114"/>
        <v>44.668053339315932</v>
      </c>
      <c r="AA276" s="386">
        <f t="shared" si="115"/>
        <v>47.825512246000883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6.6020388667117208E-2</v>
      </c>
      <c r="AD276" s="231">
        <f>(INDEX(Models!$BJ276:$BT276,,AH276)*(1-AF276)+INDEX(Models!$BJ276:$BT276,,AH276+1)*AF276-ERP_i)*AE276*Ramure*Pc/MaxiM</f>
        <v>3.5362303522069186E-3</v>
      </c>
      <c r="AE276" s="305">
        <f t="shared" si="117"/>
        <v>0.7</v>
      </c>
      <c r="AF276" s="177">
        <f t="shared" si="118"/>
        <v>0.99243490188242145</v>
      </c>
      <c r="AG276" s="919">
        <f t="shared" si="124"/>
        <v>1</v>
      </c>
      <c r="AH276" s="176">
        <f t="shared" si="119"/>
        <v>7</v>
      </c>
      <c r="AI276" s="225">
        <f t="shared" si="120"/>
        <v>1.9924349018824214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1090">
        <f>IF(t&gt;Tmaj,'2024'!Wh/'2024'!Env_an*'2025'!Env_an,0.001*'[11]mon-tableau (3)'!$B$56)</f>
        <v>45.323621579609544</v>
      </c>
      <c r="C277" s="953"/>
      <c r="D277" s="393">
        <f t="shared" si="102"/>
        <v>48.060573186432315</v>
      </c>
      <c r="E277" s="385">
        <f t="shared" si="100"/>
        <v>49.439162891696611</v>
      </c>
      <c r="F277" s="385">
        <f t="shared" si="103"/>
        <v>49.443507967747351</v>
      </c>
      <c r="G277" s="110">
        <f t="shared" si="101"/>
        <v>1.0279810502340776</v>
      </c>
      <c r="H277" s="412" t="b">
        <f>Wh_hp&gt;='2024'!Maxi_hp</f>
        <v>1</v>
      </c>
      <c r="I277" s="390">
        <f>IF(H277,Wh_hp,'2024'!Maxi_hp)</f>
        <v>49.443507967747351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5.6947960154487332E-2</v>
      </c>
      <c r="M277" s="957"/>
      <c r="N277" s="957"/>
      <c r="O277" s="48">
        <f>IF(t&lt;Tnet,'2024'!Resal+('2024'!Salim-'2024'!Resal)*(1-EXP(('2024'!Tnet-t)/('2024'!Tau_j))),Resal+(Salim-Resal)*(1-EXP((Tnet-t)/(Tau_j))))*Salcycl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8.787960703709964E-5</v>
      </c>
      <c r="Q277" s="305">
        <f t="shared" si="105"/>
        <v>0.7</v>
      </c>
      <c r="R277" s="177">
        <f t="shared" si="106"/>
        <v>0.46775543995350111</v>
      </c>
      <c r="S277" s="919">
        <f t="shared" si="107"/>
        <v>-2</v>
      </c>
      <c r="T277" s="176">
        <f t="shared" si="108"/>
        <v>4</v>
      </c>
      <c r="U277" s="251">
        <f t="shared" si="109"/>
        <v>-1.5322445600464989</v>
      </c>
      <c r="V277" s="383">
        <f t="shared" si="110"/>
        <v>44.089938787576948</v>
      </c>
      <c r="W277" s="402">
        <f t="shared" si="111"/>
        <v>45.323621579609544</v>
      </c>
      <c r="X277" s="157">
        <f t="shared" si="112"/>
        <v>45920</v>
      </c>
      <c r="Y277" s="385">
        <f t="shared" si="113"/>
        <v>43.388989320000164</v>
      </c>
      <c r="Z277" s="385">
        <f t="shared" si="114"/>
        <v>46.009114541661972</v>
      </c>
      <c r="AA277" s="386">
        <f t="shared" si="115"/>
        <v>49.265059084126484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6.609034076067094E-2</v>
      </c>
      <c r="AD277" s="231">
        <f>(INDEX(Models!$BJ277:$BT277,,AH277)*(1-AF277)+INDEX(Models!$BJ277:$BT277,,AH277+1)*AF277-ERP_i)*AE277*Ramure*Pc/MaxiM</f>
        <v>3.6091469023045368E-3</v>
      </c>
      <c r="AE277" s="305">
        <f t="shared" si="117"/>
        <v>0.7</v>
      </c>
      <c r="AF277" s="177">
        <f t="shared" si="118"/>
        <v>0.99274300632748003</v>
      </c>
      <c r="AG277" s="919">
        <f t="shared" si="124"/>
        <v>1</v>
      </c>
      <c r="AH277" s="176">
        <f t="shared" si="119"/>
        <v>7</v>
      </c>
      <c r="AI277" s="225">
        <f t="shared" si="120"/>
        <v>1.99274300632748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1090">
        <f>IF(t&gt;Tmaj,'2024'!Wh/'2024'!Env_an*'2025'!Env_an,0.001*'[11]mon-tableau (3)'!$B$57)</f>
        <v>44.324141476963653</v>
      </c>
      <c r="C278" s="953"/>
      <c r="D278" s="393">
        <f t="shared" si="102"/>
        <v>47.001767068911519</v>
      </c>
      <c r="E278" s="385">
        <f t="shared" si="100"/>
        <v>48.355923754670627</v>
      </c>
      <c r="F278" s="385">
        <f t="shared" si="103"/>
        <v>48.360373595586253</v>
      </c>
      <c r="G278" s="110">
        <f t="shared" si="101"/>
        <v>1.0094449846448981</v>
      </c>
      <c r="H278" s="412" t="b">
        <f>Wh_hp&gt;='2024'!Maxi_hp</f>
        <v>1</v>
      </c>
      <c r="I278" s="390">
        <f>IF(H278,Wh_hp,'2024'!Maxi_hp)</f>
        <v>48.360373595586253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5.6968615414439094E-2</v>
      </c>
      <c r="M278" s="957"/>
      <c r="N278" s="957"/>
      <c r="O278" s="48">
        <f>IF(t&lt;Tnet,'2024'!Resal+('2024'!Salim-'2024'!Resal)*(1-EXP(('2024'!Tnet-t)/('2024'!Tau_j))),Resal+(Salim-Resal)*(1-EXP((Tnet-t)/(Tau_j))))*Salcycl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9.2014196433610538E-5</v>
      </c>
      <c r="Q278" s="305">
        <f t="shared" si="105"/>
        <v>0.7</v>
      </c>
      <c r="R278" s="177">
        <f t="shared" si="106"/>
        <v>0.46805150152608888</v>
      </c>
      <c r="S278" s="919">
        <f t="shared" si="107"/>
        <v>-2</v>
      </c>
      <c r="T278" s="176">
        <f t="shared" si="108"/>
        <v>4</v>
      </c>
      <c r="U278" s="251">
        <f t="shared" si="109"/>
        <v>-1.5319484984739111</v>
      </c>
      <c r="V278" s="383">
        <f t="shared" si="110"/>
        <v>43.909417701011179</v>
      </c>
      <c r="W278" s="402">
        <f t="shared" si="111"/>
        <v>44.324141476963653</v>
      </c>
      <c r="X278" s="157">
        <f t="shared" si="112"/>
        <v>45921</v>
      </c>
      <c r="Y278" s="385">
        <f t="shared" si="113"/>
        <v>42.431275503167853</v>
      </c>
      <c r="Z278" s="385">
        <f t="shared" si="114"/>
        <v>44.994552882050002</v>
      </c>
      <c r="AA278" s="386">
        <f t="shared" si="115"/>
        <v>48.182267801912687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6.6159503595140876E-2</v>
      </c>
      <c r="AD278" s="231">
        <f>(INDEX(Models!$BJ278:$BT278,,AH278)*(1-AF278)+INDEX(Models!$BJ278:$BT278,,AH278+1)*AF278-ERP_i)*AE278*Ramure*Pc/MaxiM</f>
        <v>3.6828870505214929E-3</v>
      </c>
      <c r="AE278" s="305">
        <f t="shared" si="117"/>
        <v>0.7</v>
      </c>
      <c r="AF278" s="177">
        <f t="shared" si="118"/>
        <v>0.9930390679000678</v>
      </c>
      <c r="AG278" s="919">
        <f t="shared" si="124"/>
        <v>1</v>
      </c>
      <c r="AH278" s="176">
        <f t="shared" si="119"/>
        <v>7</v>
      </c>
      <c r="AI278" s="225">
        <f t="shared" si="120"/>
        <v>1.9930390679000678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1090">
        <f>IF(t&gt;Tmaj,'2024'!Wh/'2024'!Env_an*'2025'!Env_an,0.001*'[11]mon-tableau (3)'!$B$58)</f>
        <v>43.101997415684352</v>
      </c>
      <c r="C279" s="953"/>
      <c r="D279" s="393">
        <f t="shared" si="102"/>
        <v>45.706794265035249</v>
      </c>
      <c r="E279" s="385">
        <f t="shared" si="100"/>
        <v>47.029394305448108</v>
      </c>
      <c r="F279" s="385">
        <f t="shared" si="103"/>
        <v>47.033841801162119</v>
      </c>
      <c r="G279" s="110">
        <f t="shared" si="101"/>
        <v>0.98574308889437712</v>
      </c>
      <c r="H279" s="412" t="b">
        <f>Wh_hp&gt;='2024'!Maxi_hp</f>
        <v>1</v>
      </c>
      <c r="I279" s="390">
        <f>IF(H279,Wh_hp,'2024'!Maxi_hp)</f>
        <v>47.033841801162119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5.6989270221987853E-2</v>
      </c>
      <c r="M279" s="957"/>
      <c r="N279" s="957"/>
      <c r="O279" s="48">
        <f>IF(t&lt;Tnet,'2024'!Resal+('2024'!Salim-'2024'!Resal)*(1-EXP(('2024'!Tnet-t)/('2024'!Tau_j))),Resal+(Salim-Resal)*(1-EXP((Tnet-t)/(Tau_j))))*Salcycl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9.6525143856245778E-5</v>
      </c>
      <c r="Q279" s="305">
        <f t="shared" si="105"/>
        <v>0.7</v>
      </c>
      <c r="R279" s="177">
        <f t="shared" si="106"/>
        <v>0.46833597712089903</v>
      </c>
      <c r="S279" s="919">
        <f t="shared" si="107"/>
        <v>-2</v>
      </c>
      <c r="T279" s="176">
        <f t="shared" si="108"/>
        <v>4</v>
      </c>
      <c r="U279" s="251">
        <f t="shared" si="109"/>
        <v>-1.531664022879101</v>
      </c>
      <c r="V279" s="383">
        <f t="shared" si="110"/>
        <v>43.725300404652771</v>
      </c>
      <c r="W279" s="402">
        <f t="shared" si="111"/>
        <v>43.101997415684352</v>
      </c>
      <c r="X279" s="157">
        <f t="shared" si="112"/>
        <v>45922</v>
      </c>
      <c r="Y279" s="385">
        <f t="shared" si="113"/>
        <v>41.263536668023335</v>
      </c>
      <c r="Z279" s="385">
        <f t="shared" si="114"/>
        <v>43.757229228703373</v>
      </c>
      <c r="AA279" s="386">
        <f t="shared" si="115"/>
        <v>46.860713662644528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6.6227852530874431E-2</v>
      </c>
      <c r="AD279" s="231">
        <f>(INDEX(Models!$BJ279:$BT279,,AH279)*(1-AF279)+INDEX(Models!$BJ279:$BT279,,AH279+1)*AF279-ERP_i)*AE279*Ramure*Pc/MaxiM</f>
        <v>3.7574445374546025E-3</v>
      </c>
      <c r="AE279" s="305">
        <f t="shared" si="117"/>
        <v>0.7</v>
      </c>
      <c r="AF279" s="177">
        <f t="shared" si="118"/>
        <v>0.99332354349487795</v>
      </c>
      <c r="AG279" s="919">
        <f t="shared" si="124"/>
        <v>1</v>
      </c>
      <c r="AH279" s="176">
        <f t="shared" si="119"/>
        <v>7</v>
      </c>
      <c r="AI279" s="225">
        <f t="shared" si="120"/>
        <v>1.9933235434948779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1090">
        <f>IF(t&gt;Tmaj,'2024'!Wh/'2024'!Env_an*'2025'!Env_an,0.001*'[11]mon-tableau (3)'!$B$59)</f>
        <v>28.413801965432032</v>
      </c>
      <c r="C280" s="953"/>
      <c r="D280" s="393">
        <f t="shared" si="102"/>
        <v>30.131602342358352</v>
      </c>
      <c r="E280" s="385">
        <f t="shared" si="100"/>
        <v>31.007286266651921</v>
      </c>
      <c r="F280" s="385">
        <f t="shared" si="103"/>
        <v>31.008870455087369</v>
      </c>
      <c r="G280" s="110">
        <f t="shared" si="101"/>
        <v>0.65259306913301129</v>
      </c>
      <c r="H280" s="412" t="b">
        <f>Wh_hp&gt;='2024'!Maxi_hp</f>
        <v>0</v>
      </c>
      <c r="I280" s="390">
        <f>IF(H280,Wh_hp,'2024'!Maxi_hp)</f>
        <v>46.242324699542912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5.7009924577143156E-2</v>
      </c>
      <c r="M280" s="957"/>
      <c r="N280" s="957"/>
      <c r="O280" s="48">
        <f>IF(t&lt;Tnet,'2024'!Resal+('2024'!Salim-'2024'!Resal)*(1-EXP(('2024'!Tnet-t)/('2024'!Tau_j))),Resal+(Salim-Resal)*(1-EXP((Tnet-t)/(Tau_j))))*Salcycl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1.0141558611780928E-4</v>
      </c>
      <c r="Q280" s="305">
        <f t="shared" si="105"/>
        <v>0.7</v>
      </c>
      <c r="R280" s="177">
        <f t="shared" si="106"/>
        <v>0.46860930737646411</v>
      </c>
      <c r="S280" s="919">
        <f t="shared" si="107"/>
        <v>-2</v>
      </c>
      <c r="T280" s="176">
        <f t="shared" si="108"/>
        <v>4</v>
      </c>
      <c r="U280" s="251">
        <f t="shared" si="109"/>
        <v>-1.5313906926235359</v>
      </c>
      <c r="V280" s="383">
        <f t="shared" si="110"/>
        <v>43.537655002539026</v>
      </c>
      <c r="W280" s="402">
        <f t="shared" si="111"/>
        <v>28.413801965432032</v>
      </c>
      <c r="X280" s="157">
        <f t="shared" si="112"/>
        <v>45923</v>
      </c>
      <c r="Y280" s="385">
        <f t="shared" si="113"/>
        <v>27.249795065275119</v>
      </c>
      <c r="Z280" s="385">
        <f t="shared" si="114"/>
        <v>28.897223603393417</v>
      </c>
      <c r="AA280" s="386">
        <f t="shared" si="115"/>
        <v>30.94899870150207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6.6295362828945728E-2</v>
      </c>
      <c r="AD280" s="231">
        <f>(INDEX(Models!$BJ280:$BT280,,AH280)*(1-AF280)+INDEX(Models!$BJ280:$BT280,,AH280+1)*AF280-ERP_i)*AE280*Ramure*Pc/MaxiM</f>
        <v>3.832832538022767E-3</v>
      </c>
      <c r="AE280" s="305">
        <f t="shared" si="117"/>
        <v>0.7</v>
      </c>
      <c r="AF280" s="177">
        <f t="shared" si="118"/>
        <v>0.99359687375044325</v>
      </c>
      <c r="AG280" s="919">
        <f t="shared" si="124"/>
        <v>1</v>
      </c>
      <c r="AH280" s="176">
        <f t="shared" si="119"/>
        <v>7</v>
      </c>
      <c r="AI280" s="225">
        <f t="shared" si="120"/>
        <v>1.9935968737504433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1090">
        <f>IF(t&gt;Tmaj,'2024'!Wh/'2024'!Env_an*'2025'!Env_an,0.001*'[11]mon-tableau (3)'!$B$60)</f>
        <v>20.767017960651323</v>
      </c>
      <c r="C281" s="953"/>
      <c r="D281" s="393">
        <f t="shared" si="102"/>
        <v>22.023002535092274</v>
      </c>
      <c r="E281" s="385">
        <f t="shared" si="100"/>
        <v>22.665784015054626</v>
      </c>
      <c r="F281" s="385">
        <f t="shared" si="103"/>
        <v>22.66640271471865</v>
      </c>
      <c r="G281" s="110">
        <f t="shared" si="101"/>
        <v>0.47905472006499589</v>
      </c>
      <c r="H281" s="412" t="b">
        <f>Wh_hp&gt;='2024'!Maxi_hp</f>
        <v>0</v>
      </c>
      <c r="I281" s="390">
        <f>IF(H281,Wh_hp,'2024'!Maxi_hp)</f>
        <v>42.341790799167022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5.7030578479915217E-2</v>
      </c>
      <c r="M281" s="957"/>
      <c r="N281" s="957"/>
      <c r="O281" s="48">
        <f>IF(t&lt;Tnet,'2024'!Resal+('2024'!Salim-'2024'!Resal)*(1-EXP(('2024'!Tnet-t)/('2024'!Tau_j))),Resal+(Salim-Resal)*(1-EXP((Tnet-t)/(Tau_j))))*Salcycl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1.0668842312814508E-4</v>
      </c>
      <c r="Q281" s="305">
        <f t="shared" si="105"/>
        <v>0.7</v>
      </c>
      <c r="R281" s="177">
        <f t="shared" si="106"/>
        <v>0.46887191716860022</v>
      </c>
      <c r="S281" s="919">
        <f t="shared" si="107"/>
        <v>-2</v>
      </c>
      <c r="T281" s="176">
        <f t="shared" si="108"/>
        <v>4</v>
      </c>
      <c r="U281" s="251">
        <f t="shared" si="109"/>
        <v>-1.5311280828313998</v>
      </c>
      <c r="V281" s="383">
        <f t="shared" si="110"/>
        <v>43.346549568896329</v>
      </c>
      <c r="W281" s="402">
        <f t="shared" si="111"/>
        <v>20.767017960651323</v>
      </c>
      <c r="X281" s="157">
        <f t="shared" si="112"/>
        <v>45924</v>
      </c>
      <c r="Y281" s="385">
        <f t="shared" si="113"/>
        <v>19.935363633924624</v>
      </c>
      <c r="Z281" s="385">
        <f t="shared" si="114"/>
        <v>21.141049941776942</v>
      </c>
      <c r="AA281" s="386">
        <f t="shared" si="115"/>
        <v>22.643733613245061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6.6362009778685546E-2</v>
      </c>
      <c r="AD281" s="231">
        <f>(INDEX(Models!$BJ281:$BT281,,AH281)*(1-AF281)+INDEX(Models!$BJ281:$BT281,,AH281+1)*AF281-ERP_i)*AE281*Ramure*Pc/MaxiM</f>
        <v>3.9090544743690956E-3</v>
      </c>
      <c r="AE281" s="305">
        <f t="shared" si="117"/>
        <v>0.7</v>
      </c>
      <c r="AF281" s="177">
        <f t="shared" si="118"/>
        <v>0.99385948354257914</v>
      </c>
      <c r="AG281" s="919">
        <f t="shared" si="124"/>
        <v>1</v>
      </c>
      <c r="AH281" s="176">
        <f t="shared" si="119"/>
        <v>7</v>
      </c>
      <c r="AI281" s="225">
        <f t="shared" si="120"/>
        <v>1.9938594835425791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1090">
        <f>IF(t&gt;Tmaj,'2024'!Wh/'2024'!Env_an*'2025'!Env_an,0.001*'[11]mon-tableau (3)'!$B$61)</f>
        <v>30.626768397343206</v>
      </c>
      <c r="C282" s="953"/>
      <c r="D282" s="393">
        <f t="shared" si="102"/>
        <v>32.479779850648058</v>
      </c>
      <c r="E282" s="385">
        <f t="shared" si="100"/>
        <v>33.431799317455841</v>
      </c>
      <c r="F282" s="385">
        <f t="shared" si="103"/>
        <v>33.433998271766754</v>
      </c>
      <c r="G282" s="110">
        <f t="shared" si="101"/>
        <v>0.70970765711106776</v>
      </c>
      <c r="H282" s="412" t="b">
        <f>Wh_hp&gt;='2024'!Maxi_hp</f>
        <v>0</v>
      </c>
      <c r="I282" s="390">
        <f>IF(H282,Wh_hp,'2024'!Maxi_hp)</f>
        <v>48.914209724554347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5.7051231930313695E-2</v>
      </c>
      <c r="M282" s="957"/>
      <c r="N282" s="957"/>
      <c r="O282" s="48">
        <f>IF(t&lt;Tnet,'2024'!Resal+('2024'!Salim-'2024'!Resal)*(1-EXP(('2024'!Tnet-t)/('2024'!Tau_j))),Resal+(Salim-Resal)*(1-EXP((Tnet-t)/(Tau_j))))*Salcycl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1.1236131066167285E-4</v>
      </c>
      <c r="Q282" s="305">
        <f t="shared" si="105"/>
        <v>0.7</v>
      </c>
      <c r="R282" s="177">
        <f t="shared" si="106"/>
        <v>0.46912421609581845</v>
      </c>
      <c r="S282" s="919">
        <f t="shared" si="107"/>
        <v>-2</v>
      </c>
      <c r="T282" s="176">
        <f t="shared" si="108"/>
        <v>4</v>
      </c>
      <c r="U282" s="251">
        <f t="shared" si="109"/>
        <v>-1.5308757839041816</v>
      </c>
      <c r="V282" s="383">
        <f t="shared" si="110"/>
        <v>43.152051489895918</v>
      </c>
      <c r="W282" s="402">
        <f t="shared" si="111"/>
        <v>30.626768397343206</v>
      </c>
      <c r="X282" s="157">
        <f t="shared" si="112"/>
        <v>45925</v>
      </c>
      <c r="Y282" s="385">
        <f t="shared" si="113"/>
        <v>29.363676765715951</v>
      </c>
      <c r="Z282" s="385">
        <f t="shared" si="114"/>
        <v>31.14026738252857</v>
      </c>
      <c r="AA282" s="386">
        <f t="shared" si="115"/>
        <v>33.356034319606422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6.6427768836280432E-2</v>
      </c>
      <c r="AD282" s="231">
        <f>(INDEX(Models!$BJ282:$BT282,,AH282)*(1-AF282)+INDEX(Models!$BJ282:$BT282,,AH282+1)*AF282-ERP_i)*AE282*Ramure*Pc/MaxiM</f>
        <v>3.9837716525604914E-3</v>
      </c>
      <c r="AE282" s="305">
        <f t="shared" si="117"/>
        <v>0.7</v>
      </c>
      <c r="AF282" s="177">
        <f t="shared" si="118"/>
        <v>0.99411178246979759</v>
      </c>
      <c r="AG282" s="919">
        <f t="shared" si="124"/>
        <v>1</v>
      </c>
      <c r="AH282" s="176">
        <f t="shared" si="119"/>
        <v>7</v>
      </c>
      <c r="AI282" s="225">
        <f t="shared" si="120"/>
        <v>1.9941117824697976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1090">
        <f>IF(t&gt;Tmaj,'2024'!Wh/'2024'!Env_an*'2025'!Env_an,0.001*'[11]mon-tableau (3)'!$B$62)</f>
        <v>32.000759247730109</v>
      </c>
      <c r="C283" s="953"/>
      <c r="D283" s="393">
        <f t="shared" si="102"/>
        <v>33.937644594782746</v>
      </c>
      <c r="E283" s="385">
        <f t="shared" si="100"/>
        <v>34.936596494649997</v>
      </c>
      <c r="F283" s="385">
        <f t="shared" si="103"/>
        <v>34.93922627217588</v>
      </c>
      <c r="G283" s="110">
        <f t="shared" si="101"/>
        <v>0.7449645496541385</v>
      </c>
      <c r="H283" s="412" t="b">
        <f>Wh_hp&gt;='2024'!Maxi_hp</f>
        <v>0</v>
      </c>
      <c r="I283" s="390">
        <f>IF(H283,Wh_hp,'2024'!Maxi_hp)</f>
        <v>47.979649608380406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5.7071884928348693E-2</v>
      </c>
      <c r="M283" s="957"/>
      <c r="N283" s="957"/>
      <c r="O283" s="48">
        <f>IF(t&lt;Tnet,'2024'!Resal+('2024'!Salim-'2024'!Resal)*(1-EXP(('2024'!Tnet-t)/('2024'!Tau_j))),Resal+(Salim-Resal)*(1-EXP((Tnet-t)/(Tau_j))))*Salcycl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1.183987154585472E-4</v>
      </c>
      <c r="Q283" s="305">
        <f t="shared" si="105"/>
        <v>0.7</v>
      </c>
      <c r="R283" s="177">
        <f t="shared" si="106"/>
        <v>0.46936659895619659</v>
      </c>
      <c r="S283" s="919">
        <f t="shared" si="107"/>
        <v>-2</v>
      </c>
      <c r="T283" s="176">
        <f t="shared" si="108"/>
        <v>4</v>
      </c>
      <c r="U283" s="251">
        <f t="shared" si="109"/>
        <v>-1.5306334010438034</v>
      </c>
      <c r="V283" s="383">
        <f t="shared" si="110"/>
        <v>42.95423039560869</v>
      </c>
      <c r="W283" s="402">
        <f t="shared" si="111"/>
        <v>32.000759247730109</v>
      </c>
      <c r="X283" s="157">
        <f t="shared" si="112"/>
        <v>45926</v>
      </c>
      <c r="Y283" s="385">
        <f t="shared" si="113"/>
        <v>30.675250075627538</v>
      </c>
      <c r="Z283" s="385">
        <f t="shared" si="114"/>
        <v>32.531907348309986</v>
      </c>
      <c r="AA283" s="386">
        <f t="shared" si="115"/>
        <v>34.849116244834349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6.649261577380286E-2</v>
      </c>
      <c r="AD283" s="231">
        <f>(INDEX(Models!$BJ283:$BT283,,AH283)*(1-AF283)+INDEX(Models!$BJ283:$BT283,,AH283+1)*AF283-ERP_i)*AE283*Ramure*Pc/MaxiM</f>
        <v>4.0569635195996769E-3</v>
      </c>
      <c r="AE283" s="305">
        <f t="shared" si="117"/>
        <v>0.7</v>
      </c>
      <c r="AF283" s="177">
        <f t="shared" si="118"/>
        <v>0.99435416533017529</v>
      </c>
      <c r="AG283" s="919">
        <f t="shared" si="124"/>
        <v>1</v>
      </c>
      <c r="AH283" s="176">
        <f t="shared" si="119"/>
        <v>7</v>
      </c>
      <c r="AI283" s="225">
        <f t="shared" si="120"/>
        <v>1.9943541653301753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1090">
        <f>IF(t&gt;Tmaj,'2024'!Wh/'2024'!Env_an*'2025'!Env_an,0.001*'[11]mon-tableau (3)'!$B$63)</f>
        <v>15.373068483476848</v>
      </c>
      <c r="C284" s="953"/>
      <c r="D284" s="393">
        <f t="shared" si="102"/>
        <v>16.303899475239792</v>
      </c>
      <c r="E284" s="385">
        <f t="shared" si="100"/>
        <v>16.785812489330617</v>
      </c>
      <c r="F284" s="385">
        <f t="shared" si="103"/>
        <v>16.785990790600398</v>
      </c>
      <c r="G284" s="110">
        <f t="shared" si="101"/>
        <v>0.35953635319129618</v>
      </c>
      <c r="H284" s="412" t="b">
        <f>Wh_hp&gt;='2024'!Maxi_hp</f>
        <v>0</v>
      </c>
      <c r="I284" s="390">
        <f>IF(H284,Wh_hp,'2024'!Maxi_hp)</f>
        <v>46.988763169188566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5.7092537474029981E-2</v>
      </c>
      <c r="M284" s="957"/>
      <c r="N284" s="957"/>
      <c r="O284" s="48">
        <f>IF(t&lt;Tnet,'2024'!Resal+('2024'!Salim-'2024'!Resal)*(1-EXP(('2024'!Tnet-t)/('2024'!Tau_j))),Resal+(Salim-Resal)*(1-EXP((Tnet-t)/(Tau_j))))*Salcycl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1.248026690406216E-4</v>
      </c>
      <c r="Q284" s="305">
        <f t="shared" si="105"/>
        <v>0.7</v>
      </c>
      <c r="R284" s="177">
        <f t="shared" si="106"/>
        <v>0.46959944621526573</v>
      </c>
      <c r="S284" s="919">
        <f t="shared" si="107"/>
        <v>-2</v>
      </c>
      <c r="T284" s="176">
        <f t="shared" si="108"/>
        <v>4</v>
      </c>
      <c r="U284" s="251">
        <f t="shared" si="109"/>
        <v>-1.5304005537847343</v>
      </c>
      <c r="V284" s="383">
        <f t="shared" si="110"/>
        <v>42.753154226504968</v>
      </c>
      <c r="W284" s="402">
        <f t="shared" si="111"/>
        <v>15.373068483476848</v>
      </c>
      <c r="X284" s="157">
        <f t="shared" si="112"/>
        <v>45927</v>
      </c>
      <c r="Y284" s="385">
        <f t="shared" si="113"/>
        <v>14.769012033826053</v>
      </c>
      <c r="Z284" s="385">
        <f t="shared" si="114"/>
        <v>15.663267733888867</v>
      </c>
      <c r="AA284" s="386">
        <f t="shared" si="115"/>
        <v>16.780092404340699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6.6556526837893384E-2</v>
      </c>
      <c r="AD284" s="231">
        <f>(INDEX(Models!$BJ284:$BT284,,AH284)*(1-AF284)+INDEX(Models!$BJ284:$BT284,,AH284+1)*AF284-ERP_i)*AE284*Ramure*Pc/MaxiM</f>
        <v>4.1285984623377712E-3</v>
      </c>
      <c r="AE284" s="305">
        <f t="shared" si="117"/>
        <v>0.7</v>
      </c>
      <c r="AF284" s="177">
        <f t="shared" si="118"/>
        <v>0.99458701258924465</v>
      </c>
      <c r="AG284" s="919">
        <f t="shared" si="124"/>
        <v>1</v>
      </c>
      <c r="AH284" s="176">
        <f t="shared" si="119"/>
        <v>7</v>
      </c>
      <c r="AI284" s="225">
        <f t="shared" si="120"/>
        <v>1.9945870125892446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1090">
        <f>IF(t&gt;Tmaj,'2024'!Wh/'2024'!Env_an*'2025'!Env_an,0.001*'[11]mon-tableau (3)'!$B$64)</f>
        <v>15.032794103365722</v>
      </c>
      <c r="C285" s="953"/>
      <c r="D285" s="393">
        <f t="shared" si="102"/>
        <v>15.943370865977116</v>
      </c>
      <c r="E285" s="385">
        <f t="shared" si="100"/>
        <v>16.416582830148144</v>
      </c>
      <c r="F285" s="385">
        <f t="shared" si="103"/>
        <v>16.41674732101178</v>
      </c>
      <c r="G285" s="110">
        <f t="shared" si="101"/>
        <v>0.35326342148336792</v>
      </c>
      <c r="H285" s="412" t="b">
        <f>Wh_hp&gt;='2024'!Maxi_hp</f>
        <v>0</v>
      </c>
      <c r="I285" s="390">
        <f>IF(H285,Wh_hp,'2024'!Maxi_hp)</f>
        <v>44.138858996476266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5.7113189567367439E-2</v>
      </c>
      <c r="M285" s="957"/>
      <c r="N285" s="957"/>
      <c r="O285" s="48">
        <f>IF(t&lt;Tnet,'2024'!Resal+('2024'!Salim-'2024'!Resal)*(1-EXP(('2024'!Tnet-t)/('2024'!Tau_j))),Resal+(Salim-Resal)*(1-EXP((Tnet-t)/(Tau_j))))*Salcycl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1.3157507077293028E-4</v>
      </c>
      <c r="Q285" s="305">
        <f t="shared" si="105"/>
        <v>0.7</v>
      </c>
      <c r="R285" s="177">
        <f t="shared" si="106"/>
        <v>0.46982312446455232</v>
      </c>
      <c r="S285" s="919">
        <f t="shared" si="107"/>
        <v>-2</v>
      </c>
      <c r="T285" s="176">
        <f t="shared" si="108"/>
        <v>4</v>
      </c>
      <c r="U285" s="251">
        <f t="shared" si="109"/>
        <v>-1.5301768755354477</v>
      </c>
      <c r="V285" s="383">
        <f t="shared" si="110"/>
        <v>42.548890867505818</v>
      </c>
      <c r="W285" s="402">
        <f t="shared" si="111"/>
        <v>15.032794103365722</v>
      </c>
      <c r="X285" s="157">
        <f t="shared" si="112"/>
        <v>45928</v>
      </c>
      <c r="Y285" s="385">
        <f t="shared" si="113"/>
        <v>14.443303138115903</v>
      </c>
      <c r="Z285" s="385">
        <f t="shared" si="114"/>
        <v>15.318172847797884</v>
      </c>
      <c r="AA285" s="386">
        <f t="shared" si="115"/>
        <v>16.411498313707202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6.6619478917177899E-2</v>
      </c>
      <c r="AD285" s="231">
        <f>(INDEX(Models!$BJ285:$BT285,,AH285)*(1-AF285)+INDEX(Models!$BJ285:$BT285,,AH285+1)*AF285-ERP_i)*AE285*Ramure*Pc/MaxiM</f>
        <v>4.1986435740232588E-3</v>
      </c>
      <c r="AE285" s="305">
        <f t="shared" si="117"/>
        <v>0.7</v>
      </c>
      <c r="AF285" s="177">
        <f t="shared" si="118"/>
        <v>0.99481069083853124</v>
      </c>
      <c r="AG285" s="919">
        <f t="shared" si="124"/>
        <v>1</v>
      </c>
      <c r="AH285" s="176">
        <f t="shared" si="119"/>
        <v>7</v>
      </c>
      <c r="AI285" s="225">
        <f t="shared" si="120"/>
        <v>1.9948106908385312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1090">
        <f>IF(t&gt;Tmaj,'2024'!Wh/'2024'!Env_an*'2025'!Env_an,0.001*'[11]mon-tableau (3)'!$B$65)</f>
        <v>21.6599883802511</v>
      </c>
      <c r="C286" s="953"/>
      <c r="D286" s="393">
        <f t="shared" si="102"/>
        <v>22.972495277601649</v>
      </c>
      <c r="E286" s="385">
        <f t="shared" si="100"/>
        <v>23.657141505787123</v>
      </c>
      <c r="F286" s="385">
        <f t="shared" si="103"/>
        <v>23.658133334032332</v>
      </c>
      <c r="G286" s="110">
        <f t="shared" si="101"/>
        <v>0.51150496705557924</v>
      </c>
      <c r="H286" s="412" t="b">
        <f>Wh_hp&gt;='2024'!Maxi_hp</f>
        <v>0</v>
      </c>
      <c r="I286" s="390">
        <f>IF(H286,Wh_hp,'2024'!Maxi_hp)</f>
        <v>45.467806820564945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5.7133841208371172E-2</v>
      </c>
      <c r="M286" s="957"/>
      <c r="N286" s="957"/>
      <c r="O286" s="48">
        <f>IF(t&lt;Tnet,'2024'!Resal+('2024'!Salim-'2024'!Resal)*(1-EXP(('2024'!Tnet-t)/('2024'!Tau_j))),Resal+(Salim-Resal)*(1-EXP((Tnet-t)/(Tau_j))))*Salcycl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1.3871767482239304E-4</v>
      </c>
      <c r="Q286" s="305">
        <f t="shared" si="105"/>
        <v>0.7</v>
      </c>
      <c r="R286" s="177">
        <f t="shared" si="106"/>
        <v>0.47003798687046272</v>
      </c>
      <c r="S286" s="919">
        <f t="shared" si="107"/>
        <v>-2</v>
      </c>
      <c r="T286" s="176">
        <f t="shared" si="108"/>
        <v>4</v>
      </c>
      <c r="U286" s="251">
        <f t="shared" si="109"/>
        <v>-1.5299620131295373</v>
      </c>
      <c r="V286" s="383">
        <f t="shared" si="110"/>
        <v>42.341508144310581</v>
      </c>
      <c r="W286" s="402">
        <f t="shared" si="111"/>
        <v>21.6599883802511</v>
      </c>
      <c r="X286" s="157">
        <f t="shared" si="112"/>
        <v>45929</v>
      </c>
      <c r="Y286" s="385">
        <f t="shared" si="113"/>
        <v>20.792178538052976</v>
      </c>
      <c r="Z286" s="385">
        <f t="shared" si="114"/>
        <v>22.052099700661753</v>
      </c>
      <c r="AA286" s="386">
        <f t="shared" si="115"/>
        <v>23.627623916811658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6.6681449717374261E-2</v>
      </c>
      <c r="AD286" s="231">
        <f>(INDEX(Models!$BJ286:$BT286,,AH286)*(1-AF286)+INDEX(Models!$BJ286:$BT286,,AH286+1)*AF286-ERP_i)*AE286*Ramure*Pc/MaxiM</f>
        <v>4.2670648244622373E-3</v>
      </c>
      <c r="AE286" s="305">
        <f t="shared" si="117"/>
        <v>0.7</v>
      </c>
      <c r="AF286" s="177">
        <f t="shared" si="118"/>
        <v>0.99502555324444142</v>
      </c>
      <c r="AG286" s="919">
        <f t="shared" si="124"/>
        <v>1</v>
      </c>
      <c r="AH286" s="176">
        <f t="shared" si="119"/>
        <v>7</v>
      </c>
      <c r="AI286" s="225">
        <f t="shared" si="120"/>
        <v>1.9950255532444414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1090">
        <f>IF(t&gt;Tmaj,'2024'!Wh/'2024'!Env_an*'2025'!Env_an,0.001*'[11]mon-tableau (3)'!$B$66)</f>
        <v>31.223090396224443</v>
      </c>
      <c r="C287" s="953"/>
      <c r="D287" s="393">
        <f t="shared" si="102"/>
        <v>33.115807568097473</v>
      </c>
      <c r="E287" s="385">
        <f t="shared" si="100"/>
        <v>34.106776246014356</v>
      </c>
      <c r="F287" s="385">
        <f t="shared" si="103"/>
        <v>34.109919334129025</v>
      </c>
      <c r="G287" s="110">
        <f t="shared" si="101"/>
        <v>0.74105401708016361</v>
      </c>
      <c r="H287" s="412" t="b">
        <f>Wh_hp&gt;='2024'!Maxi_hp</f>
        <v>0</v>
      </c>
      <c r="I287" s="390">
        <f>IF(H287,Wh_hp,'2024'!Maxi_hp)</f>
        <v>41.385817820684117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5.7154492397050949E-2</v>
      </c>
      <c r="M287" s="957"/>
      <c r="N287" s="957"/>
      <c r="O287" s="48">
        <f>IF(t&lt;Tnet,'2024'!Resal+('2024'!Salim-'2024'!Resal)*(1-EXP(('2024'!Tnet-t)/('2024'!Tau_j))),Resal+(Salim-Resal)*(1-EXP((Tnet-t)/(Tau_j))))*Salcycl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1.4623207803400728E-4</v>
      </c>
      <c r="Q287" s="305">
        <f t="shared" si="105"/>
        <v>0.7</v>
      </c>
      <c r="R287" s="177">
        <f t="shared" si="106"/>
        <v>0.47024437361327154</v>
      </c>
      <c r="S287" s="919">
        <f t="shared" si="107"/>
        <v>-2</v>
      </c>
      <c r="T287" s="176">
        <f t="shared" si="108"/>
        <v>4</v>
      </c>
      <c r="U287" s="251">
        <f t="shared" si="109"/>
        <v>-1.5297556263867285</v>
      </c>
      <c r="V287" s="383">
        <f t="shared" si="110"/>
        <v>42.131073825065577</v>
      </c>
      <c r="W287" s="402">
        <f t="shared" si="111"/>
        <v>31.223090396224443</v>
      </c>
      <c r="X287" s="157">
        <f t="shared" si="112"/>
        <v>45930</v>
      </c>
      <c r="Y287" s="385">
        <f t="shared" si="113"/>
        <v>29.93195757089082</v>
      </c>
      <c r="Z287" s="385">
        <f t="shared" si="114"/>
        <v>31.746407369526079</v>
      </c>
      <c r="AA287" s="386">
        <f t="shared" si="115"/>
        <v>34.0167687676866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6.674241794291752E-2</v>
      </c>
      <c r="AD287" s="231">
        <f>(INDEX(Models!$BJ287:$BT287,,AH287)*(1-AF287)+INDEX(Models!$BJ287:$BT287,,AH287+1)*AF287-ERP_i)*AE287*Ramure*Pc/MaxiM</f>
        <v>4.333827243766037E-3</v>
      </c>
      <c r="AE287" s="305">
        <f t="shared" si="117"/>
        <v>0.7</v>
      </c>
      <c r="AF287" s="177">
        <f t="shared" si="118"/>
        <v>0.99523193998725046</v>
      </c>
      <c r="AG287" s="919">
        <f t="shared" si="124"/>
        <v>1</v>
      </c>
      <c r="AH287" s="176">
        <f t="shared" si="119"/>
        <v>7</v>
      </c>
      <c r="AI287" s="225">
        <f t="shared" si="120"/>
        <v>1.9952319399872505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1090">
        <f>IF(t&gt;Tmaj,'2024'!Wh/'2024'!Env_an*'2025'!Env_an,0.001*'[12]mon-tableau (1)'!$B$38)</f>
        <v>37.795800060033763</v>
      </c>
      <c r="C288" s="953"/>
      <c r="D288" s="393">
        <f t="shared" si="102"/>
        <v>40.08782732526339</v>
      </c>
      <c r="E288" s="385">
        <f t="shared" si="100"/>
        <v>41.292274194141633</v>
      </c>
      <c r="F288" s="385">
        <f t="shared" si="103"/>
        <v>41.297744898460785</v>
      </c>
      <c r="G288" s="110">
        <f t="shared" si="101"/>
        <v>0.90164827023091709</v>
      </c>
      <c r="H288" s="412" t="b">
        <f>Wh_hp&gt;='2024'!Maxi_hp</f>
        <v>0</v>
      </c>
      <c r="I288" s="390">
        <f>IF(H288,Wh_hp,'2024'!Maxi_hp)</f>
        <v>43.981299080889379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5.717514313341665E-2</v>
      </c>
      <c r="M288" s="957"/>
      <c r="N288" s="957"/>
      <c r="O288" s="48">
        <f>IF(t&lt;Tnet,'2024'!Resal+('2024'!Salim-'2024'!Resal)*(1-EXP(('2024'!Tnet-t)/('2024'!Tau_j))),Resal+(Salim-Resal)*(1-EXP((Tnet-t)/(Tau_j))))*Salcycl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1.5411970897979667E-4</v>
      </c>
      <c r="Q288" s="305">
        <f t="shared" si="105"/>
        <v>0.7</v>
      </c>
      <c r="R288" s="177">
        <f t="shared" si="106"/>
        <v>0.47044261231601991</v>
      </c>
      <c r="S288" s="919">
        <f t="shared" si="107"/>
        <v>-2</v>
      </c>
      <c r="T288" s="176">
        <f t="shared" si="108"/>
        <v>4</v>
      </c>
      <c r="U288" s="251">
        <f t="shared" si="109"/>
        <v>-1.5295573876839801</v>
      </c>
      <c r="V288" s="383">
        <f t="shared" si="110"/>
        <v>41.917655613754512</v>
      </c>
      <c r="W288" s="402">
        <f t="shared" si="111"/>
        <v>37.795800060033763</v>
      </c>
      <c r="X288" s="157">
        <f t="shared" si="112"/>
        <v>45931</v>
      </c>
      <c r="Y288" s="385">
        <f t="shared" si="113"/>
        <v>36.198104392850261</v>
      </c>
      <c r="Z288" s="385">
        <f t="shared" si="114"/>
        <v>38.393243590492823</v>
      </c>
      <c r="AA288" s="386">
        <f t="shared" si="115"/>
        <v>41.141599687096033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6.6802363483820112E-2</v>
      </c>
      <c r="AD288" s="231">
        <f>(INDEX(Models!$BJ288:$BT288,,AH288)*(1-AF288)+INDEX(Models!$BJ288:$BT288,,AH288+1)*AF288-ERP_i)*AE288*Ramure*Pc/MaxiM</f>
        <v>4.3988951202969537E-3</v>
      </c>
      <c r="AE288" s="305">
        <f t="shared" si="117"/>
        <v>0.7</v>
      </c>
      <c r="AF288" s="177">
        <f t="shared" si="118"/>
        <v>0.99543017868999883</v>
      </c>
      <c r="AG288" s="919">
        <f t="shared" si="124"/>
        <v>1</v>
      </c>
      <c r="AH288" s="176">
        <f t="shared" si="119"/>
        <v>7</v>
      </c>
      <c r="AI288" s="225">
        <f t="shared" si="120"/>
        <v>1.9954301786899988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1090">
        <f>IF(t&gt;Tmaj,'2024'!Wh/'2024'!Env_an*'2025'!Env_an,0.001*'[12]mon-tableau (1)'!$B$39)</f>
        <v>37.217334279991434</v>
      </c>
      <c r="C289" s="953"/>
      <c r="D289" s="393">
        <f t="shared" si="102"/>
        <v>39.475146610659372</v>
      </c>
      <c r="E289" s="385">
        <f t="shared" si="100"/>
        <v>40.665931828540991</v>
      </c>
      <c r="F289" s="385">
        <f t="shared" si="103"/>
        <v>40.671521873303462</v>
      </c>
      <c r="G289" s="110">
        <f t="shared" si="101"/>
        <v>0.89246492413992629</v>
      </c>
      <c r="H289" s="412" t="b">
        <f>Wh_hp&gt;='2024'!Maxi_hp</f>
        <v>0</v>
      </c>
      <c r="I289" s="390">
        <f>IF(H289,Wh_hp,'2024'!Maxi_hp)</f>
        <v>47.647904130278036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5.7195793417478158E-2</v>
      </c>
      <c r="M289" s="957"/>
      <c r="N289" s="957"/>
      <c r="O289" s="48">
        <f>IF(t&lt;Tnet,'2024'!Resal+('2024'!Salim-'2024'!Resal)*(1-EXP(('2024'!Tnet-t)/('2024'!Tau_j))),Resal+(Salim-Resal)*(1-EXP((Tnet-t)/(Tau_j))))*Salcycl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1.6238426346238148E-4</v>
      </c>
      <c r="Q289" s="305">
        <f t="shared" si="105"/>
        <v>0.7</v>
      </c>
      <c r="R289" s="177">
        <f t="shared" si="106"/>
        <v>0.47063301846317618</v>
      </c>
      <c r="S289" s="919">
        <f t="shared" si="107"/>
        <v>-2</v>
      </c>
      <c r="T289" s="176">
        <f t="shared" si="108"/>
        <v>4</v>
      </c>
      <c r="U289" s="251">
        <f t="shared" si="109"/>
        <v>-1.5293669815368238</v>
      </c>
      <c r="V289" s="383">
        <f t="shared" si="110"/>
        <v>41.700693130611306</v>
      </c>
      <c r="W289" s="402">
        <f t="shared" si="111"/>
        <v>37.217334279991434</v>
      </c>
      <c r="X289" s="157">
        <f t="shared" si="112"/>
        <v>45932</v>
      </c>
      <c r="Y289" s="385">
        <f t="shared" si="113"/>
        <v>35.64632344044913</v>
      </c>
      <c r="Z289" s="385">
        <f t="shared" si="114"/>
        <v>37.808829438362373</v>
      </c>
      <c r="AA289" s="386">
        <f t="shared" si="115"/>
        <v>40.517908137172512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6.6861267606378269E-2</v>
      </c>
      <c r="AD289" s="231">
        <f>(INDEX(Models!$BJ289:$BT289,,AH289)*(1-AF289)+INDEX(Models!$BJ289:$BT289,,AH289+1)*AF289-ERP_i)*AE289*Ramure*Pc/MaxiM</f>
        <v>4.4622994017509861E-3</v>
      </c>
      <c r="AE289" s="305">
        <f t="shared" si="117"/>
        <v>0.7</v>
      </c>
      <c r="AF289" s="177">
        <f t="shared" si="118"/>
        <v>0.9956205848371551</v>
      </c>
      <c r="AG289" s="919">
        <f t="shared" si="124"/>
        <v>1</v>
      </c>
      <c r="AH289" s="176">
        <f t="shared" si="119"/>
        <v>7</v>
      </c>
      <c r="AI289" s="225">
        <f t="shared" si="120"/>
        <v>1.9956205848371551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1090">
        <f>IF(t&gt;Tmaj,'2024'!Wh/'2024'!Env_an*'2025'!Env_an,0.001*'[12]mon-tableau (1)'!$B$40)</f>
        <v>34.792610690498144</v>
      </c>
      <c r="C290" s="953"/>
      <c r="D290" s="393">
        <f t="shared" si="102"/>
        <v>36.904133977907655</v>
      </c>
      <c r="E290" s="385">
        <f t="shared" si="100"/>
        <v>38.021777366164876</v>
      </c>
      <c r="F290" s="385">
        <f t="shared" si="103"/>
        <v>38.026767792352551</v>
      </c>
      <c r="G290" s="110">
        <f t="shared" si="101"/>
        <v>0.83875257572846673</v>
      </c>
      <c r="H290" s="412" t="b">
        <f>Wh_hp&gt;='2024'!Maxi_hp</f>
        <v>0</v>
      </c>
      <c r="I290" s="390">
        <f>IF(H290,Wh_hp,'2024'!Maxi_hp)</f>
        <v>43.351504842538631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5.7216443249245574E-2</v>
      </c>
      <c r="M290" s="957"/>
      <c r="N290" s="957"/>
      <c r="O290" s="48">
        <f>IF(t&lt;Tnet,'2024'!Resal+('2024'!Salim-'2024'!Resal)*(1-EXP(('2024'!Tnet-t)/('2024'!Tau_j))),Resal+(Salim-Resal)*(1-EXP((Tnet-t)/(Tau_j))))*Salcycl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1.7050234265469208E-4</v>
      </c>
      <c r="Q290" s="305">
        <f t="shared" si="105"/>
        <v>0.7</v>
      </c>
      <c r="R290" s="177">
        <f t="shared" si="106"/>
        <v>0.47081589580896432</v>
      </c>
      <c r="S290" s="919">
        <f t="shared" si="107"/>
        <v>-2</v>
      </c>
      <c r="T290" s="176">
        <f t="shared" si="108"/>
        <v>4</v>
      </c>
      <c r="U290" s="251">
        <f t="shared" si="109"/>
        <v>-1.5291841041910357</v>
      </c>
      <c r="V290" s="383">
        <f t="shared" si="110"/>
        <v>41.479746577625853</v>
      </c>
      <c r="W290" s="402">
        <f t="shared" si="111"/>
        <v>34.792610690498144</v>
      </c>
      <c r="X290" s="157">
        <f t="shared" si="112"/>
        <v>45933</v>
      </c>
      <c r="Y290" s="385">
        <f t="shared" si="113"/>
        <v>33.335498029559268</v>
      </c>
      <c r="Z290" s="385">
        <f t="shared" si="114"/>
        <v>35.358590835470245</v>
      </c>
      <c r="AA290" s="386">
        <f t="shared" si="115"/>
        <v>37.894454096788387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6.6919113146244227E-2</v>
      </c>
      <c r="AD290" s="231">
        <f>(INDEX(Models!$BJ290:$BT290,,AH290)*(1-AF290)+INDEX(Models!$BJ290:$BT290,,AH290+1)*AF290-ERP_i)*AE290*Ramure*Pc/MaxiM</f>
        <v>4.5206149155567381E-3</v>
      </c>
      <c r="AE290" s="305">
        <f t="shared" si="117"/>
        <v>0.7</v>
      </c>
      <c r="AF290" s="177">
        <f t="shared" si="118"/>
        <v>0.99580346218294324</v>
      </c>
      <c r="AG290" s="919">
        <f t="shared" si="124"/>
        <v>1</v>
      </c>
      <c r="AH290" s="176">
        <f t="shared" si="119"/>
        <v>7</v>
      </c>
      <c r="AI290" s="225">
        <f t="shared" si="120"/>
        <v>1.9958034621829432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1090">
        <f>IF(t&gt;Tmaj,'2024'!Wh/'2024'!Env_an*'2025'!Env_an,0.001*'[12]mon-tableau (1)'!$B$41)</f>
        <v>40.746095322550843</v>
      </c>
      <c r="C291" s="953"/>
      <c r="D291" s="393">
        <f t="shared" si="102"/>
        <v>43.219875330229279</v>
      </c>
      <c r="E291" s="385">
        <f t="shared" si="100"/>
        <v>44.533932607158249</v>
      </c>
      <c r="F291" s="385">
        <f t="shared" si="103"/>
        <v>44.541727575767162</v>
      </c>
      <c r="G291" s="110">
        <f t="shared" si="101"/>
        <v>0.98766023624179056</v>
      </c>
      <c r="H291" s="412" t="b">
        <f>Wh_hp&gt;='2024'!Maxi_hp</f>
        <v>0</v>
      </c>
      <c r="I291" s="390">
        <f>IF(H291,Wh_hp,'2024'!Maxi_hp)</f>
        <v>44.844605022343991</v>
      </c>
      <c r="J291" s="85">
        <f>IF(H291,An,'2024'!An_max)</f>
        <v>2018</v>
      </c>
      <c r="K291" s="197">
        <f t="shared" si="104"/>
        <v>45934</v>
      </c>
      <c r="L291" s="147">
        <f>IF(t&lt;Tvie,1-EXP((T0-t)*PertePVj)+'2024'!Pspv,1-EXP((T0-t)*PertePVj)+Pspv)</f>
        <v>5.723709262872867E-2</v>
      </c>
      <c r="M291" s="957"/>
      <c r="N291" s="957"/>
      <c r="O291" s="48">
        <f>IF(t&lt;Tnet,'2024'!Resal+('2024'!Salim-'2024'!Resal)*(1-EXP(('2024'!Tnet-t)/('2024'!Tau_j))),Resal+(Salim-Resal)*(1-EXP((Tnet-t)/(Tau_j))))*Salcycl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1.7814329561969037E-4</v>
      </c>
      <c r="Q291" s="305">
        <f t="shared" si="105"/>
        <v>0.7</v>
      </c>
      <c r="R291" s="177">
        <f t="shared" si="106"/>
        <v>0.47099153677529482</v>
      </c>
      <c r="S291" s="919">
        <f t="shared" si="107"/>
        <v>-2</v>
      </c>
      <c r="T291" s="176">
        <f t="shared" si="108"/>
        <v>4</v>
      </c>
      <c r="U291" s="251">
        <f t="shared" si="109"/>
        <v>-1.5290084632247052</v>
      </c>
      <c r="V291" s="383">
        <f t="shared" si="110"/>
        <v>41.255044882939735</v>
      </c>
      <c r="W291" s="402">
        <f t="shared" si="111"/>
        <v>40.746095322550843</v>
      </c>
      <c r="X291" s="157">
        <f t="shared" si="112"/>
        <v>45934</v>
      </c>
      <c r="Y291" s="385">
        <f t="shared" si="113"/>
        <v>39.003795438945268</v>
      </c>
      <c r="Z291" s="385">
        <f t="shared" si="114"/>
        <v>41.371796804883317</v>
      </c>
      <c r="AA291" s="386">
        <f t="shared" si="115"/>
        <v>44.341615748787966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6.6975884702303062E-2</v>
      </c>
      <c r="AD291" s="231">
        <f>(INDEX(Models!$BJ291:$BT291,,AH291)*(1-AF291)+INDEX(Models!$BJ291:$BT291,,AH291+1)*AF291-ERP_i)*AE291*Ramure*Pc/MaxiM</f>
        <v>4.5732808095972242E-3</v>
      </c>
      <c r="AE291" s="305">
        <f t="shared" si="117"/>
        <v>0.7</v>
      </c>
      <c r="AF291" s="177">
        <f t="shared" si="118"/>
        <v>0.99597910314927374</v>
      </c>
      <c r="AG291" s="919">
        <f t="shared" si="124"/>
        <v>1</v>
      </c>
      <c r="AH291" s="176">
        <f t="shared" si="119"/>
        <v>7</v>
      </c>
      <c r="AI291" s="225">
        <f t="shared" si="120"/>
        <v>1.9959791031492737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1090">
        <f>IF(t&gt;Tmaj,'2024'!Wh/'2024'!Env_an*'2025'!Env_an,0.001*'[12]mon-tableau (1)'!$B$42)</f>
        <v>40.690800601663533</v>
      </c>
      <c r="C292" s="953"/>
      <c r="D292" s="393">
        <f t="shared" si="102"/>
        <v>43.162168914355405</v>
      </c>
      <c r="E292" s="385">
        <f t="shared" si="100"/>
        <v>44.479577864380872</v>
      </c>
      <c r="F292" s="385">
        <f t="shared" si="103"/>
        <v>44.487725065616289</v>
      </c>
      <c r="G292" s="110">
        <f t="shared" si="101"/>
        <v>0.99180801939287022</v>
      </c>
      <c r="H292" s="412" t="b">
        <f>Wh_hp&gt;='2024'!Maxi_hp</f>
        <v>0</v>
      </c>
      <c r="I292" s="390">
        <f>IF(H292,Wh_hp,'2024'!Maxi_hp)</f>
        <v>44.683643039833356</v>
      </c>
      <c r="J292" s="85">
        <f>IF(H292,An,'2024'!An_max)</f>
        <v>2018</v>
      </c>
      <c r="K292" s="197">
        <f t="shared" si="104"/>
        <v>45935</v>
      </c>
      <c r="L292" s="147">
        <f>IF(t&lt;Tvie,1-EXP((T0-t)*PertePVj)+'2024'!Pspv,1-EXP((T0-t)*PertePVj)+Pspv)</f>
        <v>5.7257741555937325E-2</v>
      </c>
      <c r="M292" s="957"/>
      <c r="N292" s="957"/>
      <c r="O292" s="48">
        <f>IF(t&lt;Tnet,'2024'!Resal+('2024'!Salim-'2024'!Resal)*(1-EXP(('2024'!Tnet-t)/('2024'!Tau_j))),Resal+(Salim-Resal)*(1-EXP((Tnet-t)/(Tau_j))))*Salcycl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1.8530167423276794E-4</v>
      </c>
      <c r="Q292" s="305">
        <f t="shared" si="105"/>
        <v>0.7</v>
      </c>
      <c r="R292" s="177">
        <f t="shared" si="106"/>
        <v>0.47116022283927639</v>
      </c>
      <c r="S292" s="919">
        <f t="shared" si="107"/>
        <v>-2</v>
      </c>
      <c r="T292" s="176">
        <f t="shared" si="108"/>
        <v>4</v>
      </c>
      <c r="U292" s="251">
        <f t="shared" si="109"/>
        <v>-1.5288397771607236</v>
      </c>
      <c r="V292" s="383">
        <f t="shared" si="110"/>
        <v>41.026803144206582</v>
      </c>
      <c r="W292" s="402">
        <f t="shared" si="111"/>
        <v>40.690800601663533</v>
      </c>
      <c r="X292" s="157">
        <f t="shared" si="112"/>
        <v>45935</v>
      </c>
      <c r="Y292" s="385">
        <f t="shared" si="113"/>
        <v>38.950453467636166</v>
      </c>
      <c r="Z292" s="385">
        <f t="shared" si="114"/>
        <v>41.31612126088573</v>
      </c>
      <c r="AA292" s="386">
        <f t="shared" si="115"/>
        <v>44.284586573910886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6.7031568829727939E-2</v>
      </c>
      <c r="AD292" s="231">
        <f>(INDEX(Models!$BJ292:$BT292,,AH292)*(1-AF292)+INDEX(Models!$BJ292:$BT292,,AH292+1)*AF292-ERP_i)*AE292*Ramure*Pc/MaxiM</f>
        <v>4.6202249737628829E-3</v>
      </c>
      <c r="AE292" s="305">
        <f t="shared" si="117"/>
        <v>0.7</v>
      </c>
      <c r="AF292" s="177">
        <f t="shared" si="118"/>
        <v>0.99614778921325531</v>
      </c>
      <c r="AG292" s="919">
        <f t="shared" si="124"/>
        <v>1</v>
      </c>
      <c r="AH292" s="176">
        <f t="shared" si="119"/>
        <v>7</v>
      </c>
      <c r="AI292" s="225">
        <f t="shared" si="120"/>
        <v>1.9961477892132553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1090">
        <f>IF(t&gt;Tmaj,'2024'!Wh/'2024'!Env_an*'2025'!Env_an,0.001*'[12]mon-tableau (1)'!$B$43)</f>
        <v>15.087214441174526</v>
      </c>
      <c r="C293" s="953"/>
      <c r="D293" s="393">
        <f t="shared" si="102"/>
        <v>16.003891585415921</v>
      </c>
      <c r="E293" s="385">
        <f t="shared" si="100"/>
        <v>16.494249911557535</v>
      </c>
      <c r="F293" s="385">
        <f t="shared" si="103"/>
        <v>16.494565782167481</v>
      </c>
      <c r="G293" s="110">
        <f t="shared" si="101"/>
        <v>0.36976393256256607</v>
      </c>
      <c r="H293" s="412" t="b">
        <f>Wh_hp&gt;='2024'!Maxi_hp</f>
        <v>0</v>
      </c>
      <c r="I293" s="390">
        <f>IF(H293,Wh_hp,'2024'!Maxi_hp)</f>
        <v>42.282942542755286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5.7278390030881421E-2</v>
      </c>
      <c r="M293" s="957"/>
      <c r="N293" s="957"/>
      <c r="O293" s="48">
        <f>IF(t&lt;Tnet,'2024'!Resal+('2024'!Salim-'2024'!Resal)*(1-EXP(('2024'!Tnet-t)/('2024'!Tau_j))),Resal+(Salim-Resal)*(1-EXP((Tnet-t)/(Tau_j))))*Salcycl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1.9197192196558215E-4</v>
      </c>
      <c r="Q293" s="305">
        <f t="shared" si="105"/>
        <v>0.7</v>
      </c>
      <c r="R293" s="177">
        <f t="shared" si="106"/>
        <v>0.4713222249103155</v>
      </c>
      <c r="S293" s="919">
        <f t="shared" si="107"/>
        <v>-2</v>
      </c>
      <c r="T293" s="176">
        <f t="shared" si="108"/>
        <v>4</v>
      </c>
      <c r="U293" s="251">
        <f t="shared" si="109"/>
        <v>-1.5286777750896845</v>
      </c>
      <c r="V293" s="383">
        <f t="shared" si="110"/>
        <v>40.795236260625764</v>
      </c>
      <c r="W293" s="402">
        <f t="shared" si="111"/>
        <v>15.087214441174526</v>
      </c>
      <c r="X293" s="157">
        <f t="shared" si="112"/>
        <v>45936</v>
      </c>
      <c r="Y293" s="385">
        <f t="shared" si="113"/>
        <v>14.499862984316376</v>
      </c>
      <c r="Z293" s="385">
        <f t="shared" si="114"/>
        <v>15.380853510710716</v>
      </c>
      <c r="AA293" s="386">
        <f t="shared" si="115"/>
        <v>16.48689595556878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6.70861542305346E-2</v>
      </c>
      <c r="AD293" s="231">
        <f>(INDEX(Models!$BJ293:$BT293,,AH293)*(1-AF293)+INDEX(Models!$BJ293:$BT293,,AH293+1)*AF293-ERP_i)*AE293*Ramure*Pc/MaxiM</f>
        <v>4.6613749647588919E-3</v>
      </c>
      <c r="AE293" s="305">
        <f t="shared" si="117"/>
        <v>0.7</v>
      </c>
      <c r="AF293" s="177">
        <f t="shared" si="118"/>
        <v>0.99630979128429464</v>
      </c>
      <c r="AG293" s="919">
        <f t="shared" si="124"/>
        <v>1</v>
      </c>
      <c r="AH293" s="176">
        <f t="shared" si="119"/>
        <v>7</v>
      </c>
      <c r="AI293" s="225">
        <f t="shared" si="120"/>
        <v>1.9963097912842946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1090">
        <f>IF(t&gt;Tmaj,'2024'!Wh/'2024'!Env_an*'2025'!Env_an,0.001*'[12]mon-tableau (1)'!$B$44)</f>
        <v>30.08197904476916</v>
      </c>
      <c r="C294" s="953"/>
      <c r="D294" s="393">
        <f t="shared" si="102"/>
        <v>31.910415135949158</v>
      </c>
      <c r="E294" s="385">
        <f t="shared" si="100"/>
        <v>32.891880757666691</v>
      </c>
      <c r="F294" s="385">
        <f t="shared" si="103"/>
        <v>32.895993387641418</v>
      </c>
      <c r="G294" s="110">
        <f t="shared" si="101"/>
        <v>0.74160168613915811</v>
      </c>
      <c r="H294" s="412" t="b">
        <f>Wh_hp&gt;='2024'!Maxi_hp</f>
        <v>0</v>
      </c>
      <c r="I294" s="390">
        <f>IF(H294,Wh_hp,'2024'!Maxi_hp)</f>
        <v>44.5855001708373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5.729903805357095E-2</v>
      </c>
      <c r="M294" s="957"/>
      <c r="N294" s="957"/>
      <c r="O294" s="48">
        <f>IF(t&lt;Tnet,'2024'!Resal+('2024'!Salim-'2024'!Resal)*(1-EXP(('2024'!Tnet-t)/('2024'!Tau_j))),Resal+(Salim-Resal)*(1-EXP((Tnet-t)/(Tau_j))))*Salcycl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1.9814841613616073E-4</v>
      </c>
      <c r="Q294" s="305">
        <f t="shared" si="105"/>
        <v>0.7</v>
      </c>
      <c r="R294" s="177">
        <f t="shared" si="106"/>
        <v>0.47147780369683856</v>
      </c>
      <c r="S294" s="919">
        <f t="shared" si="107"/>
        <v>-2</v>
      </c>
      <c r="T294" s="176">
        <f t="shared" si="108"/>
        <v>4</v>
      </c>
      <c r="U294" s="251">
        <f t="shared" si="109"/>
        <v>-1.5285221963031614</v>
      </c>
      <c r="V294" s="383">
        <f t="shared" si="110"/>
        <v>40.56055893565437</v>
      </c>
      <c r="W294" s="402">
        <f t="shared" si="111"/>
        <v>30.08197904476916</v>
      </c>
      <c r="X294" s="157">
        <f t="shared" si="112"/>
        <v>45937</v>
      </c>
      <c r="Y294" s="385">
        <f t="shared" si="113"/>
        <v>28.843286583081316</v>
      </c>
      <c r="Z294" s="385">
        <f t="shared" si="114"/>
        <v>30.596432747376781</v>
      </c>
      <c r="AA294" s="386">
        <f t="shared" si="115"/>
        <v>32.798512826740968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6.7139631939921687E-2</v>
      </c>
      <c r="AD294" s="231">
        <f>(INDEX(Models!$BJ294:$BT294,,AH294)*(1-AF294)+INDEX(Models!$BJ294:$BT294,,AH294+1)*AF294-ERP_i)*AE294*Ramure*Pc/MaxiM</f>
        <v>4.6966585530851838E-3</v>
      </c>
      <c r="AE294" s="305">
        <f t="shared" si="117"/>
        <v>0.7</v>
      </c>
      <c r="AF294" s="177">
        <f t="shared" si="118"/>
        <v>0.99646537007081726</v>
      </c>
      <c r="AG294" s="919">
        <f t="shared" si="124"/>
        <v>1</v>
      </c>
      <c r="AH294" s="176">
        <f t="shared" si="119"/>
        <v>7</v>
      </c>
      <c r="AI294" s="225">
        <f t="shared" si="120"/>
        <v>1.9964653700708173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1090">
        <f>IF(t&gt;Tmaj,'2024'!Wh/'2024'!Env_an*'2025'!Env_an,0.001*'[12]mon-tableau (1)'!$B$45)</f>
        <v>17.399105229113946</v>
      </c>
      <c r="C295" s="953"/>
      <c r="D295" s="393">
        <f t="shared" si="102"/>
        <v>18.457057990684195</v>
      </c>
      <c r="E295" s="385">
        <f t="shared" si="100"/>
        <v>19.02688618859607</v>
      </c>
      <c r="F295" s="385">
        <f t="shared" si="103"/>
        <v>19.027614721300292</v>
      </c>
      <c r="G295" s="110">
        <f t="shared" si="101"/>
        <v>0.43142204447327953</v>
      </c>
      <c r="H295" s="412" t="b">
        <f>Wh_hp&gt;='2024'!Maxi_hp</f>
        <v>0</v>
      </c>
      <c r="I295" s="390">
        <f>IF(H295,Wh_hp,'2024'!Maxi_hp)</f>
        <v>41.761638375375632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5.7319685624015904E-2</v>
      </c>
      <c r="M295" s="957"/>
      <c r="N295" s="957"/>
      <c r="O295" s="48">
        <f>IF(t&lt;Tnet,'2024'!Resal+('2024'!Salim-'2024'!Resal)*(1-EXP(('2024'!Tnet-t)/('2024'!Tau_j))),Resal+(Salim-Resal)*(1-EXP((Tnet-t)/(Tau_j))))*Salcycl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2.0382551057746787E-4</v>
      </c>
      <c r="Q295" s="305">
        <f t="shared" si="105"/>
        <v>0.7</v>
      </c>
      <c r="R295" s="177">
        <f t="shared" si="106"/>
        <v>0.4716272100626997</v>
      </c>
      <c r="S295" s="919">
        <f t="shared" si="107"/>
        <v>-2</v>
      </c>
      <c r="T295" s="176">
        <f t="shared" si="108"/>
        <v>4</v>
      </c>
      <c r="U295" s="251">
        <f t="shared" si="109"/>
        <v>-1.5283727899373003</v>
      </c>
      <c r="V295" s="383">
        <f t="shared" si="110"/>
        <v>40.322985670810077</v>
      </c>
      <c r="W295" s="402">
        <f t="shared" si="111"/>
        <v>17.399105229113946</v>
      </c>
      <c r="X295" s="157">
        <f t="shared" si="112"/>
        <v>45938</v>
      </c>
      <c r="Y295" s="385">
        <f t="shared" si="113"/>
        <v>16.716883909201282</v>
      </c>
      <c r="Z295" s="385">
        <f t="shared" si="114"/>
        <v>17.733354196822468</v>
      </c>
      <c r="AA295" s="386">
        <f t="shared" si="115"/>
        <v>19.01072258321204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6.7191995506661592E-2</v>
      </c>
      <c r="AD295" s="231">
        <f>(INDEX(Models!$BJ295:$BT295,,AH295)*(1-AF295)+INDEX(Models!$BJ295:$BT295,,AH295+1)*AF295-ERP_i)*AE295*Ramure*Pc/MaxiM</f>
        <v>4.7260042694337806E-3</v>
      </c>
      <c r="AE295" s="305">
        <f t="shared" si="117"/>
        <v>0.7</v>
      </c>
      <c r="AF295" s="177">
        <f t="shared" si="118"/>
        <v>0.99661477643667862</v>
      </c>
      <c r="AG295" s="919">
        <f t="shared" si="124"/>
        <v>1</v>
      </c>
      <c r="AH295" s="176">
        <f t="shared" si="119"/>
        <v>7</v>
      </c>
      <c r="AI295" s="225">
        <f t="shared" si="120"/>
        <v>1.9966147764366786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1090">
        <f>IF(t&gt;Tmaj,'2024'!Wh/'2024'!Env_an*'2025'!Env_an,0.001*'[12]mon-tableau (1)'!$B$46)</f>
        <v>37.952226724458022</v>
      </c>
      <c r="C296" s="953"/>
      <c r="D296" s="393">
        <f t="shared" si="102"/>
        <v>40.260794051857779</v>
      </c>
      <c r="E296" s="385">
        <f t="shared" si="100"/>
        <v>41.508426978525748</v>
      </c>
      <c r="F296" s="385">
        <f t="shared" si="103"/>
        <v>41.51643673919677</v>
      </c>
      <c r="G296" s="110">
        <f t="shared" si="101"/>
        <v>0.94683211641553855</v>
      </c>
      <c r="H296" s="412" t="b">
        <f>Wh_hp&gt;='2024'!Maxi_hp</f>
        <v>1</v>
      </c>
      <c r="I296" s="390">
        <f>IF(H296,Wh_hp,'2024'!Maxi_hp)</f>
        <v>41.51643673919677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5.7340332742225941E-2</v>
      </c>
      <c r="M296" s="957"/>
      <c r="N296" s="957"/>
      <c r="O296" s="48">
        <f>IF(t&lt;Tnet,'2024'!Resal+('2024'!Salim-'2024'!Resal)*(1-EXP(('2024'!Tnet-t)/('2024'!Tau_j))),Resal+(Salim-Resal)*(1-EXP((Tnet-t)/(Tau_j))))*Salcycl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2.0878334539371952E-4</v>
      </c>
      <c r="Q296" s="305">
        <f t="shared" si="105"/>
        <v>0.7</v>
      </c>
      <c r="R296" s="177">
        <f t="shared" si="106"/>
        <v>0.47177068537336231</v>
      </c>
      <c r="S296" s="919">
        <f t="shared" si="107"/>
        <v>-2</v>
      </c>
      <c r="T296" s="176">
        <f t="shared" si="108"/>
        <v>4</v>
      </c>
      <c r="U296" s="251">
        <f t="shared" si="109"/>
        <v>-1.5282293146266377</v>
      </c>
      <c r="V296" s="383">
        <f t="shared" si="110"/>
        <v>40.082739353277702</v>
      </c>
      <c r="W296" s="402">
        <f t="shared" si="111"/>
        <v>37.952226724458022</v>
      </c>
      <c r="X296" s="157">
        <f t="shared" si="112"/>
        <v>45939</v>
      </c>
      <c r="Y296" s="385">
        <f t="shared" si="113"/>
        <v>36.344085484445714</v>
      </c>
      <c r="Z296" s="385">
        <f t="shared" si="114"/>
        <v>38.55483240326997</v>
      </c>
      <c r="AA296" s="386">
        <f t="shared" si="115"/>
        <v>41.334283604074514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6.7243241165804629E-2</v>
      </c>
      <c r="AD296" s="231">
        <f>(INDEX(Models!$BJ296:$BT296,,AH296)*(1-AF296)+INDEX(Models!$BJ296:$BT296,,AH296+1)*AF296-ERP_i)*AE296*Ramure*Pc/MaxiM</f>
        <v>4.7480246272969193E-3</v>
      </c>
      <c r="AE296" s="305">
        <f t="shared" si="117"/>
        <v>0.7</v>
      </c>
      <c r="AF296" s="177">
        <f t="shared" si="118"/>
        <v>0.99675825174734101</v>
      </c>
      <c r="AG296" s="919">
        <f t="shared" si="124"/>
        <v>1</v>
      </c>
      <c r="AH296" s="176">
        <f t="shared" si="119"/>
        <v>7</v>
      </c>
      <c r="AI296" s="225">
        <f t="shared" si="120"/>
        <v>1.996758251747341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1090">
        <f>IF(t&gt;Tmaj,'2024'!Wh/'2024'!Env_an*'2025'!Env_an,0.001*'[12]mon-tableau (1)'!$B$47)</f>
        <v>30.978058295980201</v>
      </c>
      <c r="C297" s="953"/>
      <c r="D297" s="393">
        <f t="shared" si="102"/>
        <v>32.8631189875125</v>
      </c>
      <c r="E297" s="385">
        <f t="shared" ref="E297:E360" si="125">Wh_pvt/(1-Psa)</f>
        <v>33.885283039354846</v>
      </c>
      <c r="F297" s="385">
        <f t="shared" si="103"/>
        <v>33.890207774882008</v>
      </c>
      <c r="G297" s="110">
        <f t="shared" ref="G297:G360" si="126">+Wh_hp/MaxiM</f>
        <v>0.77750839212549083</v>
      </c>
      <c r="H297" s="412" t="b">
        <f>Wh_hp&gt;='2024'!Maxi_hp</f>
        <v>1</v>
      </c>
      <c r="I297" s="390">
        <f>IF(H297,Wh_hp,'2024'!Maxi_hp)</f>
        <v>33.890207774882008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5.7360979408211166E-2</v>
      </c>
      <c r="M297" s="957"/>
      <c r="N297" s="957"/>
      <c r="O297" s="48">
        <f>IF(t&lt;Tnet,'2024'!Resal+('2024'!Salim-'2024'!Resal)*(1-EXP(('2024'!Tnet-t)/('2024'!Tau_j))),Resal+(Salim-Resal)*(1-EXP((Tnet-t)/(Tau_j))))*Salcycl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2.1299913612723179E-4</v>
      </c>
      <c r="Q297" s="305">
        <f t="shared" si="105"/>
        <v>0.7</v>
      </c>
      <c r="R297" s="177">
        <f t="shared" si="106"/>
        <v>0.47190846183195334</v>
      </c>
      <c r="S297" s="919">
        <f t="shared" si="107"/>
        <v>-2</v>
      </c>
      <c r="T297" s="176">
        <f t="shared" si="108"/>
        <v>4</v>
      </c>
      <c r="U297" s="251">
        <f t="shared" si="109"/>
        <v>-1.5280915381680467</v>
      </c>
      <c r="V297" s="383">
        <f t="shared" si="110"/>
        <v>39.840034607419689</v>
      </c>
      <c r="W297" s="402">
        <f t="shared" si="111"/>
        <v>30.978058295980201</v>
      </c>
      <c r="X297" s="157">
        <f t="shared" si="112"/>
        <v>45940</v>
      </c>
      <c r="Y297" s="385">
        <f t="shared" si="113"/>
        <v>29.699598625098858</v>
      </c>
      <c r="Z297" s="385">
        <f t="shared" si="114"/>
        <v>31.506863153674082</v>
      </c>
      <c r="AA297" s="386">
        <f t="shared" si="115"/>
        <v>33.780035514683334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6.7293368001971499E-2</v>
      </c>
      <c r="AD297" s="231">
        <f>(INDEX(Models!$BJ297:$BT297,,AH297)*(1-AF297)+INDEX(Models!$BJ297:$BT297,,AH297+1)*AF297-ERP_i)*AE297*Ramure*Pc/MaxiM</f>
        <v>4.765046999594064E-3</v>
      </c>
      <c r="AE297" s="305">
        <f t="shared" si="117"/>
        <v>0.7</v>
      </c>
      <c r="AF297" s="177">
        <f t="shared" si="118"/>
        <v>0.99689602820593226</v>
      </c>
      <c r="AG297" s="919">
        <f t="shared" si="124"/>
        <v>1</v>
      </c>
      <c r="AH297" s="176">
        <f t="shared" si="119"/>
        <v>7</v>
      </c>
      <c r="AI297" s="225">
        <f t="shared" si="120"/>
        <v>1.9968960282059323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1090">
        <f>IF(t&gt;Tmaj,'2024'!Wh/'2024'!Env_an*'2025'!Env_an,0.001*'[12]mon-tableau (1)'!$B$48)</f>
        <v>22.089081672766227</v>
      </c>
      <c r="C298" s="953"/>
      <c r="D298" s="393">
        <f t="shared" si="102"/>
        <v>23.433748241266336</v>
      </c>
      <c r="E298" s="385">
        <f t="shared" si="125"/>
        <v>24.165300448736183</v>
      </c>
      <c r="F298" s="385">
        <f t="shared" si="103"/>
        <v>24.167227647693021</v>
      </c>
      <c r="G298" s="110">
        <f t="shared" si="126"/>
        <v>0.55779805144728833</v>
      </c>
      <c r="H298" s="412" t="b">
        <f>Wh_hp&gt;='2024'!Maxi_hp</f>
        <v>0</v>
      </c>
      <c r="I298" s="390">
        <f>IF(H298,Wh_hp,'2024'!Maxi_hp)</f>
        <v>43.516621662814977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5.7381625621981347E-2</v>
      </c>
      <c r="M298" s="957"/>
      <c r="N298" s="957"/>
      <c r="O298" s="48">
        <f>IF(t&lt;Tnet,'2024'!Resal+('2024'!Salim-'2024'!Resal)*(1-EXP(('2024'!Tnet-t)/('2024'!Tau_j))),Resal+(Salim-Resal)*(1-EXP((Tnet-t)/(Tau_j))))*Salcycl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2.1646597632921671E-4</v>
      </c>
      <c r="Q298" s="305">
        <f t="shared" si="105"/>
        <v>0.7</v>
      </c>
      <c r="R298" s="177">
        <f t="shared" si="106"/>
        <v>0.47204076280531959</v>
      </c>
      <c r="S298" s="919">
        <f t="shared" si="107"/>
        <v>-2</v>
      </c>
      <c r="T298" s="176">
        <f t="shared" si="108"/>
        <v>4</v>
      </c>
      <c r="U298" s="251">
        <f t="shared" si="109"/>
        <v>-1.5279592371946804</v>
      </c>
      <c r="V298" s="383">
        <f t="shared" si="110"/>
        <v>39.595085208012563</v>
      </c>
      <c r="W298" s="402">
        <f t="shared" si="111"/>
        <v>22.089081672766227</v>
      </c>
      <c r="X298" s="157">
        <f t="shared" si="112"/>
        <v>45941</v>
      </c>
      <c r="Y298" s="385">
        <f t="shared" si="113"/>
        <v>21.208991973642714</v>
      </c>
      <c r="Z298" s="385">
        <f t="shared" si="114"/>
        <v>22.500083331854576</v>
      </c>
      <c r="AA298" s="386">
        <f t="shared" si="115"/>
        <v>24.124697856491878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6.7342378101540534E-2</v>
      </c>
      <c r="AD298" s="231">
        <f>(INDEX(Models!$BJ298:$BT298,,AH298)*(1-AF298)+INDEX(Models!$BJ298:$BT298,,AH298+1)*AF298-ERP_i)*AE298*Ramure*Pc/MaxiM</f>
        <v>4.777012120499316E-3</v>
      </c>
      <c r="AE298" s="305">
        <f t="shared" si="117"/>
        <v>0.7</v>
      </c>
      <c r="AF298" s="177">
        <f t="shared" si="118"/>
        <v>0.99702832917929851</v>
      </c>
      <c r="AG298" s="919">
        <f t="shared" si="124"/>
        <v>1</v>
      </c>
      <c r="AH298" s="176">
        <f t="shared" si="119"/>
        <v>7</v>
      </c>
      <c r="AI298" s="225">
        <f t="shared" si="120"/>
        <v>1.9970283291792985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1090">
        <f>IF(t&gt;Tmaj,'2024'!Wh/'2024'!Env_an*'2025'!Env_an,0.001*'[12]mon-tableau (1)'!$B$49)</f>
        <v>30.884788609271645</v>
      </c>
      <c r="C299" s="953"/>
      <c r="D299" s="393">
        <f t="shared" si="102"/>
        <v>32.765608988475279</v>
      </c>
      <c r="E299" s="385">
        <f t="shared" si="125"/>
        <v>33.792201490149893</v>
      </c>
      <c r="F299" s="385">
        <f t="shared" si="103"/>
        <v>33.797332967929833</v>
      </c>
      <c r="G299" s="110">
        <f t="shared" si="126"/>
        <v>0.78485885254762022</v>
      </c>
      <c r="H299" s="412" t="b">
        <f>Wh_hp&gt;='2024'!Maxi_hp</f>
        <v>0</v>
      </c>
      <c r="I299" s="390">
        <f>IF(H299,Wh_hp,'2024'!Maxi_hp)</f>
        <v>42.807452061099632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5.7402271383546588E-2</v>
      </c>
      <c r="M299" s="957"/>
      <c r="N299" s="957"/>
      <c r="O299" s="48">
        <f>IF(t&lt;Tnet,'2024'!Resal+('2024'!Salim-'2024'!Resal)*(1-EXP(('2024'!Tnet-t)/('2024'!Tau_j))),Resal+(Salim-Resal)*(1-EXP((Tnet-t)/(Tau_j))))*Salcycl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2.1917720283725646E-4</v>
      </c>
      <c r="Q299" s="305">
        <f t="shared" si="105"/>
        <v>0.7</v>
      </c>
      <c r="R299" s="177">
        <f t="shared" si="106"/>
        <v>0.472167803140221</v>
      </c>
      <c r="S299" s="919">
        <f t="shared" si="107"/>
        <v>-2</v>
      </c>
      <c r="T299" s="176">
        <f t="shared" si="108"/>
        <v>4</v>
      </c>
      <c r="U299" s="251">
        <f t="shared" si="109"/>
        <v>-1.527832196859779</v>
      </c>
      <c r="V299" s="383">
        <f t="shared" si="110"/>
        <v>39.348104713723515</v>
      </c>
      <c r="W299" s="402">
        <f t="shared" si="111"/>
        <v>30.884788609271645</v>
      </c>
      <c r="X299" s="157">
        <f t="shared" si="112"/>
        <v>45942</v>
      </c>
      <c r="Y299" s="385">
        <f t="shared" si="113"/>
        <v>29.611959489835371</v>
      </c>
      <c r="Z299" s="385">
        <f t="shared" si="114"/>
        <v>31.415267182215533</v>
      </c>
      <c r="AA299" s="386">
        <f t="shared" si="115"/>
        <v>33.685330955790626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6.7390276692082252E-2</v>
      </c>
      <c r="AD299" s="231">
        <f>(INDEX(Models!$BJ299:$BT299,,AH299)*(1-AF299)+INDEX(Models!$BJ299:$BT299,,AH299+1)*AF299-ERP_i)*AE299*Ramure*Pc/MaxiM</f>
        <v>4.7838632038433981E-3</v>
      </c>
      <c r="AE299" s="305">
        <f t="shared" si="117"/>
        <v>0.7</v>
      </c>
      <c r="AF299" s="177">
        <f t="shared" si="118"/>
        <v>0.99715536951419992</v>
      </c>
      <c r="AG299" s="919">
        <f t="shared" si="124"/>
        <v>1</v>
      </c>
      <c r="AH299" s="176">
        <f t="shared" si="119"/>
        <v>7</v>
      </c>
      <c r="AI299" s="225">
        <f t="shared" si="120"/>
        <v>1.9971553695141999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1090">
        <f>IF(t&gt;Tmaj,'2024'!Wh/'2024'!Env_an*'2025'!Env_an,0.001*'[12]mon-tableau (1)'!$B$50)</f>
        <v>22.350211304792587</v>
      </c>
      <c r="C300" s="953"/>
      <c r="D300" s="393">
        <f t="shared" si="102"/>
        <v>23.711812753155044</v>
      </c>
      <c r="E300" s="385">
        <f t="shared" si="125"/>
        <v>24.45741217670156</v>
      </c>
      <c r="F300" s="385">
        <f t="shared" si="103"/>
        <v>24.459510937924847</v>
      </c>
      <c r="G300" s="110">
        <f t="shared" si="126"/>
        <v>0.57154943686629001</v>
      </c>
      <c r="H300" s="412" t="b">
        <f>Wh_hp&gt;='2024'!Maxi_hp</f>
        <v>0</v>
      </c>
      <c r="I300" s="390">
        <f>IF(H300,Wh_hp,'2024'!Maxi_hp)</f>
        <v>41.038729599738197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5.7422916692916548E-2</v>
      </c>
      <c r="M300" s="957"/>
      <c r="N300" s="957"/>
      <c r="O300" s="48">
        <f>IF(t&lt;Tnet,'2024'!Resal+('2024'!Salim-'2024'!Resal)*(1-EXP(('2024'!Tnet-t)/('2024'!Tau_j))),Resal+(Salim-Resal)*(1-EXP((Tnet-t)/(Tau_j))))*Salcycl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2.2112644840481137E-4</v>
      </c>
      <c r="Q300" s="305">
        <f t="shared" si="105"/>
        <v>0.7</v>
      </c>
      <c r="R300" s="177">
        <f t="shared" si="106"/>
        <v>0.47228978946981526</v>
      </c>
      <c r="S300" s="919">
        <f t="shared" si="107"/>
        <v>-2</v>
      </c>
      <c r="T300" s="176">
        <f t="shared" si="108"/>
        <v>4</v>
      </c>
      <c r="U300" s="251">
        <f t="shared" si="109"/>
        <v>-1.5277102105301847</v>
      </c>
      <c r="V300" s="383">
        <f t="shared" si="110"/>
        <v>39.099306468730973</v>
      </c>
      <c r="W300" s="402">
        <f t="shared" si="111"/>
        <v>22.350211304792587</v>
      </c>
      <c r="X300" s="157">
        <f t="shared" si="112"/>
        <v>45943</v>
      </c>
      <c r="Y300" s="385">
        <f t="shared" si="113"/>
        <v>21.460289134198195</v>
      </c>
      <c r="Z300" s="385">
        <f t="shared" si="114"/>
        <v>22.767675465759886</v>
      </c>
      <c r="AA300" s="386">
        <f t="shared" si="115"/>
        <v>24.414090233157602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6.7437072267459111E-2</v>
      </c>
      <c r="AD300" s="231">
        <f>(INDEX(Models!$BJ300:$BT300,,AH300)*(1-AF300)+INDEX(Models!$BJ300:$BT300,,AH300+1)*AF300-ERP_i)*AE300*Ramure*Pc/MaxiM</f>
        <v>4.7855463583868895E-3</v>
      </c>
      <c r="AE300" s="305">
        <f t="shared" si="117"/>
        <v>0.7</v>
      </c>
      <c r="AF300" s="177">
        <f t="shared" si="118"/>
        <v>0.99727735584379418</v>
      </c>
      <c r="AG300" s="919">
        <f t="shared" si="124"/>
        <v>1</v>
      </c>
      <c r="AH300" s="176">
        <f t="shared" si="119"/>
        <v>7</v>
      </c>
      <c r="AI300" s="225">
        <f t="shared" si="120"/>
        <v>1.9972773558437942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1090">
        <f>IF(t&gt;Tmaj,'2024'!Wh/'2024'!Env_an*'2025'!Env_an,0.001*'[12]mon-tableau (1)'!$B$51)</f>
        <v>16.694714613460643</v>
      </c>
      <c r="C301" s="953"/>
      <c r="D301" s="393">
        <f t="shared" si="102"/>
        <v>17.712164420537292</v>
      </c>
      <c r="E301" s="385">
        <f t="shared" si="125"/>
        <v>18.271095499606002</v>
      </c>
      <c r="F301" s="385">
        <f t="shared" si="103"/>
        <v>18.27184832533267</v>
      </c>
      <c r="G301" s="110">
        <f t="shared" si="126"/>
        <v>0.42965668069418256</v>
      </c>
      <c r="H301" s="412" t="b">
        <f>Wh_hp&gt;='2024'!Maxi_hp</f>
        <v>0</v>
      </c>
      <c r="I301" s="390">
        <f>IF(H301,Wh_hp,'2024'!Maxi_hp)</f>
        <v>44.446308487241133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5.744356155010133E-2</v>
      </c>
      <c r="M301" s="957"/>
      <c r="N301" s="957"/>
      <c r="O301" s="48">
        <f>IF(t&lt;Tnet,'2024'!Resal+('2024'!Salim-'2024'!Resal)*(1-EXP(('2024'!Tnet-t)/('2024'!Tau_j))),Resal+(Salim-Resal)*(1-EXP((Tnet-t)/(Tau_j))))*Salcycl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2.2230769185803596E-4</v>
      </c>
      <c r="Q301" s="305">
        <f t="shared" si="105"/>
        <v>0.7</v>
      </c>
      <c r="R301" s="177">
        <f t="shared" si="106"/>
        <v>0.47240692051059607</v>
      </c>
      <c r="S301" s="919">
        <f t="shared" si="107"/>
        <v>-2</v>
      </c>
      <c r="T301" s="176">
        <f t="shared" si="108"/>
        <v>4</v>
      </c>
      <c r="U301" s="251">
        <f t="shared" si="109"/>
        <v>-1.5275930794894039</v>
      </c>
      <c r="V301" s="383">
        <f t="shared" si="110"/>
        <v>38.848903603808367</v>
      </c>
      <c r="W301" s="402">
        <f t="shared" si="111"/>
        <v>16.694714613460643</v>
      </c>
      <c r="X301" s="157">
        <f t="shared" si="112"/>
        <v>45944</v>
      </c>
      <c r="Y301" s="385">
        <f t="shared" si="113"/>
        <v>16.045809546395539</v>
      </c>
      <c r="Z301" s="385">
        <f t="shared" si="114"/>
        <v>17.023712206331133</v>
      </c>
      <c r="AA301" s="386">
        <f t="shared" si="115"/>
        <v>18.255654459693854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6.7482776697088021E-2</v>
      </c>
      <c r="AD301" s="231">
        <f>(INDEX(Models!$BJ301:$BT301,,AH301)*(1-AF301)+INDEX(Models!$BJ301:$BT301,,AH301+1)*AF301-ERP_i)*AE301*Ramure*Pc/MaxiM</f>
        <v>4.7820109819467858E-3</v>
      </c>
      <c r="AE301" s="305">
        <f t="shared" si="117"/>
        <v>0.7</v>
      </c>
      <c r="AF301" s="177">
        <f t="shared" si="118"/>
        <v>0.99739448688457499</v>
      </c>
      <c r="AG301" s="919">
        <f t="shared" si="124"/>
        <v>1</v>
      </c>
      <c r="AH301" s="176">
        <f t="shared" si="119"/>
        <v>7</v>
      </c>
      <c r="AI301" s="225">
        <f t="shared" si="120"/>
        <v>1.997394486884575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1090">
        <f>IF(t&gt;Tmaj,'2024'!Wh/'2024'!Env_an*'2025'!Env_an,0.001*'[12]mon-tableau (1)'!$B$52)</f>
        <v>37.280095366926041</v>
      </c>
      <c r="C302" s="953"/>
      <c r="D302" s="393">
        <f t="shared" si="102"/>
        <v>39.552975709218039</v>
      </c>
      <c r="E302" s="385">
        <f t="shared" si="125"/>
        <v>40.805530256082136</v>
      </c>
      <c r="F302" s="385">
        <f t="shared" si="103"/>
        <v>40.814177101237298</v>
      </c>
      <c r="G302" s="110">
        <f t="shared" si="126"/>
        <v>0.96586743107232653</v>
      </c>
      <c r="H302" s="412" t="b">
        <f>Wh_hp&gt;='2024'!Maxi_hp</f>
        <v>1</v>
      </c>
      <c r="I302" s="390">
        <f>IF(H302,Wh_hp,'2024'!Maxi_hp)</f>
        <v>40.814177101237298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5.7464205955110703E-2</v>
      </c>
      <c r="M302" s="957"/>
      <c r="N302" s="957"/>
      <c r="O302" s="48">
        <f>IF(t&lt;Tnet,'2024'!Resal+('2024'!Salim-'2024'!Resal)*(1-EXP(('2024'!Tnet-t)/('2024'!Tau_j))),Resal+(Salim-Resal)*(1-EXP((Tnet-t)/(Tau_j))))*Salcycl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2.2271530532390883E-4</v>
      </c>
      <c r="Q302" s="305">
        <f t="shared" si="105"/>
        <v>0.7</v>
      </c>
      <c r="R302" s="177">
        <f t="shared" si="106"/>
        <v>0.47251938734996202</v>
      </c>
      <c r="S302" s="919">
        <f t="shared" si="107"/>
        <v>-2</v>
      </c>
      <c r="T302" s="176">
        <f t="shared" si="108"/>
        <v>4</v>
      </c>
      <c r="U302" s="251">
        <f t="shared" si="109"/>
        <v>-1.527480612650038</v>
      </c>
      <c r="V302" s="383">
        <f t="shared" si="110"/>
        <v>38.59710903655661</v>
      </c>
      <c r="W302" s="402">
        <f t="shared" si="111"/>
        <v>37.280095366926041</v>
      </c>
      <c r="X302" s="157">
        <f t="shared" si="112"/>
        <v>45945</v>
      </c>
      <c r="Y302" s="385">
        <f t="shared" si="113"/>
        <v>35.708248904536795</v>
      </c>
      <c r="Z302" s="385">
        <f t="shared" si="114"/>
        <v>37.885297439256881</v>
      </c>
      <c r="AA302" s="386">
        <f t="shared" si="115"/>
        <v>40.628858859037287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6.7527405317960199E-2</v>
      </c>
      <c r="AD302" s="231">
        <f>(INDEX(Models!$BJ302:$BT302,,AH302)*(1-AF302)+INDEX(Models!$BJ302:$BT302,,AH302+1)*AF302-ERP_i)*AE302*Ramure*Pc/MaxiM</f>
        <v>4.7732101307533491E-3</v>
      </c>
      <c r="AE302" s="305">
        <f t="shared" si="117"/>
        <v>0.7</v>
      </c>
      <c r="AF302" s="177">
        <f t="shared" si="118"/>
        <v>0.99750695372394094</v>
      </c>
      <c r="AG302" s="919">
        <f t="shared" si="124"/>
        <v>1</v>
      </c>
      <c r="AH302" s="176">
        <f t="shared" si="119"/>
        <v>7</v>
      </c>
      <c r="AI302" s="225">
        <f t="shared" si="120"/>
        <v>1.9975069537239409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1090">
        <f>IF(t&gt;Tmaj,'2024'!Wh/'2024'!Env_an*'2025'!Env_an,0.001*'[12]mon-tableau (1)'!$B$53)</f>
        <v>33.656533828781804</v>
      </c>
      <c r="C303" s="953"/>
      <c r="D303" s="393">
        <f t="shared" si="102"/>
        <v>35.70927621215948</v>
      </c>
      <c r="E303" s="385">
        <f t="shared" si="125"/>
        <v>36.844063992356332</v>
      </c>
      <c r="F303" s="385">
        <f t="shared" si="103"/>
        <v>36.850826741504385</v>
      </c>
      <c r="G303" s="110">
        <f t="shared" si="126"/>
        <v>0.87772242752494212</v>
      </c>
      <c r="H303" s="412" t="b">
        <f>Wh_hp&gt;='2024'!Maxi_hp</f>
        <v>0</v>
      </c>
      <c r="I303" s="390">
        <f>IF(H303,Wh_hp,'2024'!Maxi_hp)</f>
        <v>39.359495276629886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5.7484849907954549E-2</v>
      </c>
      <c r="M303" s="957"/>
      <c r="N303" s="957"/>
      <c r="O303" s="48">
        <f>IF(t&lt;Tnet,'2024'!Resal+('2024'!Salim-'2024'!Resal)*(1-EXP(('2024'!Tnet-t)/('2024'!Tau_j))),Resal+(Salim-Resal)*(1-EXP((Tnet-t)/(Tau_j))))*Salcycl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2.2234595364653258E-4</v>
      </c>
      <c r="Q303" s="305">
        <f t="shared" si="105"/>
        <v>0.7</v>
      </c>
      <c r="R303" s="177">
        <f t="shared" si="106"/>
        <v>0.47262737372459496</v>
      </c>
      <c r="S303" s="919">
        <f t="shared" si="107"/>
        <v>-2</v>
      </c>
      <c r="T303" s="176">
        <f t="shared" si="108"/>
        <v>4</v>
      </c>
      <c r="U303" s="251">
        <f t="shared" si="109"/>
        <v>-1.527372626275405</v>
      </c>
      <c r="V303" s="383">
        <f t="shared" si="110"/>
        <v>38.343815404313304</v>
      </c>
      <c r="W303" s="402">
        <f t="shared" si="111"/>
        <v>33.656533828781804</v>
      </c>
      <c r="X303" s="157">
        <f t="shared" si="112"/>
        <v>45946</v>
      </c>
      <c r="Y303" s="385">
        <f t="shared" si="113"/>
        <v>32.258344475611196</v>
      </c>
      <c r="Z303" s="385">
        <f t="shared" si="114"/>
        <v>34.225810028051924</v>
      </c>
      <c r="AA303" s="386">
        <f t="shared" si="115"/>
        <v>36.706075405323496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6.7570977008123895E-2</v>
      </c>
      <c r="AD303" s="231">
        <f>(INDEX(Models!$BJ303:$BT303,,AH303)*(1-AF303)+INDEX(Models!$BJ303:$BT303,,AH303+1)*AF303-ERP_i)*AE303*Ramure*Pc/MaxiM</f>
        <v>4.759140577325867E-3</v>
      </c>
      <c r="AE303" s="305">
        <f t="shared" si="117"/>
        <v>0.7</v>
      </c>
      <c r="AF303" s="177">
        <f t="shared" si="118"/>
        <v>0.99761494009857388</v>
      </c>
      <c r="AG303" s="919">
        <f t="shared" si="124"/>
        <v>1</v>
      </c>
      <c r="AH303" s="176">
        <f t="shared" si="119"/>
        <v>7</v>
      </c>
      <c r="AI303" s="225">
        <f t="shared" si="120"/>
        <v>1.9976149400985739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1090">
        <f>IF(t&gt;Tmaj,'2024'!Wh/'2024'!Env_an*'2025'!Env_an,0.001*'[12]mon-tableau (1)'!$B$54)</f>
        <v>22.665402090110465</v>
      </c>
      <c r="C304" s="953"/>
      <c r="D304" s="393">
        <f t="shared" si="102"/>
        <v>24.04831214569364</v>
      </c>
      <c r="E304" s="385">
        <f t="shared" si="125"/>
        <v>24.815178725509444</v>
      </c>
      <c r="F304" s="385">
        <f t="shared" si="103"/>
        <v>24.81749342463803</v>
      </c>
      <c r="G304" s="110">
        <f t="shared" si="126"/>
        <v>0.59499268175044095</v>
      </c>
      <c r="H304" s="412" t="b">
        <f>Wh_hp&gt;='2024'!Maxi_hp</f>
        <v>0</v>
      </c>
      <c r="I304" s="390">
        <f>IF(H304,Wh_hp,'2024'!Maxi_hp)</f>
        <v>39.909622414686694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5.7505493408642971E-2</v>
      </c>
      <c r="M304" s="957"/>
      <c r="N304" s="957"/>
      <c r="O304" s="48">
        <f>IF(t&lt;Tnet,'2024'!Resal+('2024'!Salim-'2024'!Resal)*(1-EXP(('2024'!Tnet-t)/('2024'!Tau_j))),Resal+(Salim-Resal)*(1-EXP((Tnet-t)/(Tau_j))))*Salcycl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2.2126427616200951E-4</v>
      </c>
      <c r="Q304" s="305">
        <f t="shared" si="105"/>
        <v>0.7</v>
      </c>
      <c r="R304" s="177">
        <f t="shared" si="106"/>
        <v>0.47273105628983991</v>
      </c>
      <c r="S304" s="919">
        <f t="shared" si="107"/>
        <v>-2</v>
      </c>
      <c r="T304" s="176">
        <f t="shared" si="108"/>
        <v>4</v>
      </c>
      <c r="U304" s="251">
        <f t="shared" si="109"/>
        <v>-1.5272689437101601</v>
      </c>
      <c r="V304" s="383">
        <f t="shared" si="110"/>
        <v>38.088705032617092</v>
      </c>
      <c r="W304" s="402">
        <f t="shared" si="111"/>
        <v>22.665402090110465</v>
      </c>
      <c r="X304" s="157">
        <f t="shared" si="112"/>
        <v>45947</v>
      </c>
      <c r="Y304" s="385">
        <f t="shared" si="113"/>
        <v>21.765253594301022</v>
      </c>
      <c r="Z304" s="385">
        <f t="shared" si="114"/>
        <v>23.093241861979269</v>
      </c>
      <c r="AA304" s="386">
        <f t="shared" si="115"/>
        <v>24.767885651160128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6.7613514240462358E-2</v>
      </c>
      <c r="AD304" s="231">
        <f>(INDEX(Models!$BJ304:$BT304,,AH304)*(1-AF304)+INDEX(Models!$BJ304:$BT304,,AH304+1)*AF304-ERP_i)*AE304*Ramure*Pc/MaxiM</f>
        <v>4.7420539261590205E-3</v>
      </c>
      <c r="AE304" s="305">
        <f t="shared" si="117"/>
        <v>0.7</v>
      </c>
      <c r="AF304" s="177">
        <f t="shared" si="118"/>
        <v>0.99771862266381883</v>
      </c>
      <c r="AG304" s="919">
        <f t="shared" si="124"/>
        <v>1</v>
      </c>
      <c r="AH304" s="176">
        <f t="shared" si="119"/>
        <v>7</v>
      </c>
      <c r="AI304" s="225">
        <f t="shared" si="120"/>
        <v>1.9977186226638188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1090">
        <f>IF(t&gt;Tmaj,'2024'!Wh/'2024'!Env_an*'2025'!Env_an,0.001*'[12]mon-tableau (1)'!$B$55)</f>
        <v>34.68522415435438</v>
      </c>
      <c r="C305" s="953"/>
      <c r="D305" s="393">
        <f t="shared" si="102"/>
        <v>36.802319402227873</v>
      </c>
      <c r="E305" s="385">
        <f t="shared" si="125"/>
        <v>37.97991929348899</v>
      </c>
      <c r="F305" s="385">
        <f t="shared" si="103"/>
        <v>37.987283953913398</v>
      </c>
      <c r="G305" s="110">
        <f t="shared" si="126"/>
        <v>0.91680668373282626</v>
      </c>
      <c r="H305" s="412" t="b">
        <f>Wh_hp&gt;='2024'!Maxi_hp</f>
        <v>0</v>
      </c>
      <c r="I305" s="390">
        <f>IF(H305,Wh_hp,'2024'!Maxi_hp)</f>
        <v>40.636688636439388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5.7526136457185739E-2</v>
      </c>
      <c r="M305" s="957"/>
      <c r="N305" s="957"/>
      <c r="O305" s="48">
        <f>IF(t&lt;Tnet,'2024'!Resal+('2024'!Salim-'2024'!Resal)*(1-EXP(('2024'!Tnet-t)/('2024'!Tau_j))),Resal+(Salim-Resal)*(1-EXP((Tnet-t)/(Tau_j))))*Salcycl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2.200121043744724E-4</v>
      </c>
      <c r="Q305" s="305">
        <f t="shared" si="105"/>
        <v>0.7</v>
      </c>
      <c r="R305" s="177">
        <f t="shared" si="106"/>
        <v>0.47283060488028039</v>
      </c>
      <c r="S305" s="919">
        <f t="shared" si="107"/>
        <v>-2</v>
      </c>
      <c r="T305" s="176">
        <f t="shared" si="108"/>
        <v>4</v>
      </c>
      <c r="U305" s="251">
        <f t="shared" si="109"/>
        <v>-1.5271693951197196</v>
      </c>
      <c r="V305" s="383">
        <f t="shared" si="110"/>
        <v>37.831658417394245</v>
      </c>
      <c r="W305" s="402">
        <f t="shared" si="111"/>
        <v>34.68522415435438</v>
      </c>
      <c r="X305" s="157">
        <f t="shared" si="112"/>
        <v>45948</v>
      </c>
      <c r="Y305" s="385">
        <f t="shared" si="113"/>
        <v>33.240839319338917</v>
      </c>
      <c r="Z305" s="385">
        <f t="shared" si="114"/>
        <v>35.269773099473191</v>
      </c>
      <c r="AA305" s="386">
        <f t="shared" si="115"/>
        <v>37.829102671760829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6.7655043115737501E-2</v>
      </c>
      <c r="AD305" s="231">
        <f>(INDEX(Models!$BJ305:$BT305,,AH305)*(1-AF305)+INDEX(Models!$BJ305:$BT305,,AH305+1)*AF305-ERP_i)*AE305*Ramure*Pc/MaxiM</f>
        <v>4.7255127532699658E-3</v>
      </c>
      <c r="AE305" s="305">
        <f t="shared" si="117"/>
        <v>0.7</v>
      </c>
      <c r="AF305" s="177">
        <f t="shared" si="118"/>
        <v>0.99781817125425931</v>
      </c>
      <c r="AG305" s="919">
        <f t="shared" si="124"/>
        <v>1</v>
      </c>
      <c r="AH305" s="176">
        <f t="shared" si="119"/>
        <v>7</v>
      </c>
      <c r="AI305" s="225">
        <f t="shared" si="120"/>
        <v>1.9978181712542593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1090">
        <f>IF(t&gt;Tmaj,'2024'!Wh/'2024'!Env_an*'2025'!Env_an,0.001*'[12]mon-tableau (1)'!$B$56)</f>
        <v>14.766033832318056</v>
      </c>
      <c r="C306" s="953"/>
      <c r="D306" s="393">
        <f t="shared" si="102"/>
        <v>15.667657029693284</v>
      </c>
      <c r="E306" s="385">
        <f t="shared" si="125"/>
        <v>16.170694116317524</v>
      </c>
      <c r="F306" s="385">
        <f t="shared" si="103"/>
        <v>16.171163748955315</v>
      </c>
      <c r="G306" s="110">
        <f t="shared" si="126"/>
        <v>0.39292580056514387</v>
      </c>
      <c r="H306" s="412" t="b">
        <f>Wh_hp&gt;='2024'!Maxi_hp</f>
        <v>0</v>
      </c>
      <c r="I306" s="390">
        <f>IF(H306,Wh_hp,'2024'!Maxi_hp)</f>
        <v>39.555235344496339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5.7546779053592734E-2</v>
      </c>
      <c r="M306" s="957"/>
      <c r="N306" s="957"/>
      <c r="O306" s="48">
        <f>IF(t&lt;Tnet,'2024'!Resal+('2024'!Salim-'2024'!Resal)*(1-EXP(('2024'!Tnet-t)/('2024'!Tau_j))),Resal+(Salim-Resal)*(1-EXP((Tnet-t)/(Tau_j))))*Salcycl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2.1859021036205425E-4</v>
      </c>
      <c r="Q306" s="305">
        <f t="shared" si="105"/>
        <v>0.7</v>
      </c>
      <c r="R306" s="177">
        <f t="shared" si="106"/>
        <v>0.47292618276171039</v>
      </c>
      <c r="S306" s="919">
        <f t="shared" si="107"/>
        <v>-2</v>
      </c>
      <c r="T306" s="176">
        <f t="shared" si="108"/>
        <v>4</v>
      </c>
      <c r="U306" s="251">
        <f t="shared" si="109"/>
        <v>-1.5270738172382896</v>
      </c>
      <c r="V306" s="383">
        <f t="shared" si="110"/>
        <v>37.572576921918717</v>
      </c>
      <c r="W306" s="402">
        <f t="shared" si="111"/>
        <v>14.766033832318056</v>
      </c>
      <c r="X306" s="157">
        <f t="shared" si="112"/>
        <v>45949</v>
      </c>
      <c r="Y306" s="385">
        <f t="shared" si="113"/>
        <v>14.199955779819573</v>
      </c>
      <c r="Z306" s="385">
        <f t="shared" si="114"/>
        <v>15.067013899703204</v>
      </c>
      <c r="AA306" s="386">
        <f t="shared" si="115"/>
        <v>16.161045461783171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6.7695593374022658E-2</v>
      </c>
      <c r="AD306" s="231">
        <f>(INDEX(Models!$BJ306:$BT306,,AH306)*(1-AF306)+INDEX(Models!$BJ306:$BT306,,AH306+1)*AF306-ERP_i)*AE306*Ramure*Pc/MaxiM</f>
        <v>4.7095502813951431E-3</v>
      </c>
      <c r="AE306" s="305">
        <f t="shared" si="117"/>
        <v>0.7</v>
      </c>
      <c r="AF306" s="177">
        <f t="shared" si="118"/>
        <v>0.99791374913568931</v>
      </c>
      <c r="AG306" s="919">
        <f t="shared" si="124"/>
        <v>1</v>
      </c>
      <c r="AH306" s="176">
        <f t="shared" si="119"/>
        <v>7</v>
      </c>
      <c r="AI306" s="225">
        <f t="shared" si="120"/>
        <v>1.9979137491356893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1090">
        <f>IF(t&gt;Tmaj,'2024'!Wh/'2024'!Env_an*'2025'!Env_an,0.001*'[12]mon-tableau (1)'!$B$57)</f>
        <v>8.4687895797936701</v>
      </c>
      <c r="C307" s="953"/>
      <c r="D307" s="393">
        <f t="shared" si="102"/>
        <v>8.9860959502884334</v>
      </c>
      <c r="E307" s="385">
        <f t="shared" si="125"/>
        <v>9.2755813801118059</v>
      </c>
      <c r="F307" s="385">
        <f t="shared" si="103"/>
        <v>9.2755813801118059</v>
      </c>
      <c r="G307" s="110">
        <f t="shared" si="126"/>
        <v>0.22692690453732831</v>
      </c>
      <c r="H307" s="412" t="b">
        <f>Wh_hp&gt;='2024'!Maxi_hp</f>
        <v>0</v>
      </c>
      <c r="I307" s="390">
        <f>IF(H307,Wh_hp,'2024'!Maxi_hp)</f>
        <v>32.753589060137877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5.7567421197873836E-2</v>
      </c>
      <c r="M307" s="957"/>
      <c r="N307" s="957"/>
      <c r="O307" s="48">
        <f>IF(t&lt;Tnet,'2024'!Resal+('2024'!Salim-'2024'!Resal)*(1-EXP(('2024'!Tnet-t)/('2024'!Tau_j))),Resal+(Salim-Resal)*(1-EXP((Tnet-t)/(Tau_j))))*Salcycl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2.1699952756958009E-4</v>
      </c>
      <c r="Q307" s="305">
        <f t="shared" si="105"/>
        <v>0.7</v>
      </c>
      <c r="R307" s="177">
        <f t="shared" si="106"/>
        <v>0.47301794687470378</v>
      </c>
      <c r="S307" s="919">
        <f t="shared" si="107"/>
        <v>-2</v>
      </c>
      <c r="T307" s="176">
        <f t="shared" si="108"/>
        <v>4</v>
      </c>
      <c r="U307" s="251">
        <f t="shared" si="109"/>
        <v>-1.5269820531252962</v>
      </c>
      <c r="V307" s="383">
        <f t="shared" si="110"/>
        <v>37.311361884209724</v>
      </c>
      <c r="W307" s="402">
        <f t="shared" si="111"/>
        <v>8.4687895797936701</v>
      </c>
      <c r="X307" s="157">
        <f t="shared" si="112"/>
        <v>45950</v>
      </c>
      <c r="Y307" s="385">
        <f t="shared" si="113"/>
        <v>8.1494953869885958</v>
      </c>
      <c r="Z307" s="385">
        <f t="shared" si="114"/>
        <v>8.6472980352047752</v>
      </c>
      <c r="AA307" s="386">
        <f t="shared" si="115"/>
        <v>9.2755813801118059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6.7735198383808176E-2</v>
      </c>
      <c r="AD307" s="231">
        <f>(INDEX(Models!$BJ307:$BT307,,AH307)*(1-AF307)+INDEX(Models!$BJ307:$BT307,,AH307+1)*AF307-ERP_i)*AE307*Ramure*Pc/MaxiM</f>
        <v>4.694202082438613E-3</v>
      </c>
      <c r="AE307" s="305">
        <f t="shared" si="117"/>
        <v>0.7</v>
      </c>
      <c r="AF307" s="177">
        <f t="shared" si="118"/>
        <v>0.9980055132486827</v>
      </c>
      <c r="AG307" s="919">
        <f t="shared" si="124"/>
        <v>1</v>
      </c>
      <c r="AH307" s="176">
        <f t="shared" si="119"/>
        <v>7</v>
      </c>
      <c r="AI307" s="225">
        <f t="shared" si="120"/>
        <v>1.9980055132486827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1090">
        <f>IF(t&gt;Tmaj,'2024'!Wh/'2024'!Env_an*'2025'!Env_an,0.001*'[12]mon-tableau (1)'!$B$58)</f>
        <v>15.477973521418857</v>
      </c>
      <c r="C308" s="953"/>
      <c r="D308" s="393">
        <f t="shared" si="102"/>
        <v>16.423787636735849</v>
      </c>
      <c r="E308" s="385">
        <f t="shared" si="125"/>
        <v>16.954641938079067</v>
      </c>
      <c r="F308" s="385">
        <f t="shared" si="103"/>
        <v>16.955256000718016</v>
      </c>
      <c r="G308" s="110">
        <f t="shared" si="126"/>
        <v>0.41770778851314294</v>
      </c>
      <c r="H308" s="412" t="b">
        <f>Wh_hp&gt;='2024'!Maxi_hp</f>
        <v>0</v>
      </c>
      <c r="I308" s="390">
        <f>IF(H308,Wh_hp,'2024'!Maxi_hp)</f>
        <v>25.301063614108177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5.7588062890039149E-2</v>
      </c>
      <c r="M308" s="957"/>
      <c r="N308" s="957"/>
      <c r="O308" s="48">
        <f>IF(t&lt;Tnet,'2024'!Resal+('2024'!Salim-'2024'!Resal)*(1-EXP(('2024'!Tnet-t)/('2024'!Tau_j))),Resal+(Salim-Resal)*(1-EXP((Tnet-t)/(Tau_j))))*Salcycl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2.1524113988775944E-4</v>
      </c>
      <c r="Q308" s="305">
        <f t="shared" si="105"/>
        <v>0.7</v>
      </c>
      <c r="R308" s="177">
        <f t="shared" si="106"/>
        <v>0.47310604806998913</v>
      </c>
      <c r="S308" s="919">
        <f t="shared" si="107"/>
        <v>-2</v>
      </c>
      <c r="T308" s="176">
        <f t="shared" si="108"/>
        <v>4</v>
      </c>
      <c r="U308" s="251">
        <f t="shared" si="109"/>
        <v>-1.5268939519300109</v>
      </c>
      <c r="V308" s="383">
        <f t="shared" si="110"/>
        <v>37.047914619674359</v>
      </c>
      <c r="W308" s="402">
        <f t="shared" si="111"/>
        <v>15.477973521418857</v>
      </c>
      <c r="X308" s="157">
        <f t="shared" si="112"/>
        <v>45951</v>
      </c>
      <c r="Y308" s="385">
        <f t="shared" si="113"/>
        <v>14.884159031907984</v>
      </c>
      <c r="Z308" s="385">
        <f t="shared" si="114"/>
        <v>15.793686864315786</v>
      </c>
      <c r="AA308" s="386">
        <f t="shared" si="115"/>
        <v>16.941905811733882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6.7773895108237711E-2</v>
      </c>
      <c r="AD308" s="231">
        <f>(INDEX(Models!$BJ308:$BT308,,AH308)*(1-AF308)+INDEX(Models!$BJ308:$BT308,,AH308+1)*AF308-ERP_i)*AE308*Ramure*Pc/MaxiM</f>
        <v>4.6795061487285563E-3</v>
      </c>
      <c r="AE308" s="305">
        <f t="shared" si="117"/>
        <v>0.7</v>
      </c>
      <c r="AF308" s="177">
        <f t="shared" si="118"/>
        <v>0.99809361444396805</v>
      </c>
      <c r="AG308" s="919">
        <f t="shared" si="124"/>
        <v>1</v>
      </c>
      <c r="AH308" s="176">
        <f t="shared" si="119"/>
        <v>7</v>
      </c>
      <c r="AI308" s="225">
        <f t="shared" si="120"/>
        <v>1.998093614443968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1090">
        <f>IF(t&gt;Tmaj,'2024'!Wh/'2024'!Env_an*'2025'!Env_an,0.001*'[12]mon-tableau (1)'!$B$59)</f>
        <v>33.387545093367457</v>
      </c>
      <c r="C309" s="953"/>
      <c r="D309" s="393">
        <f t="shared" si="102"/>
        <v>35.428537211337584</v>
      </c>
      <c r="E309" s="385">
        <f t="shared" si="125"/>
        <v>36.577454062363124</v>
      </c>
      <c r="F309" s="385">
        <f t="shared" si="103"/>
        <v>36.584229180190739</v>
      </c>
      <c r="G309" s="110">
        <f t="shared" si="126"/>
        <v>0.90768533794663575</v>
      </c>
      <c r="H309" s="412" t="b">
        <f>Wh_hp&gt;='2024'!Maxi_hp</f>
        <v>1</v>
      </c>
      <c r="I309" s="390">
        <f>IF(H309,Wh_hp,'2024'!Maxi_hp)</f>
        <v>36.584229180190739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5.7608704130098332E-2</v>
      </c>
      <c r="M309" s="957"/>
      <c r="N309" s="957"/>
      <c r="O309" s="48">
        <f>IF(t&lt;Tnet,'2024'!Resal+('2024'!Salim-'2024'!Resal)*(1-EXP(('2024'!Tnet-t)/('2024'!Tau_j))),Resal+(Salim-Resal)*(1-EXP((Tnet-t)/(Tau_j))))*Salcycl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2.1331626857559838E-4</v>
      </c>
      <c r="Q309" s="305">
        <f t="shared" si="105"/>
        <v>0.7</v>
      </c>
      <c r="R309" s="177">
        <f t="shared" si="106"/>
        <v>0.47319063133583494</v>
      </c>
      <c r="S309" s="919">
        <f t="shared" si="107"/>
        <v>-2</v>
      </c>
      <c r="T309" s="176">
        <f t="shared" si="108"/>
        <v>4</v>
      </c>
      <c r="U309" s="251">
        <f t="shared" si="109"/>
        <v>-1.5268093686641651</v>
      </c>
      <c r="V309" s="383">
        <f t="shared" si="110"/>
        <v>36.782136422911698</v>
      </c>
      <c r="W309" s="402">
        <f t="shared" si="111"/>
        <v>33.387545093367457</v>
      </c>
      <c r="X309" s="157">
        <f t="shared" si="112"/>
        <v>45952</v>
      </c>
      <c r="Y309" s="385">
        <f t="shared" si="113"/>
        <v>32.008562850996867</v>
      </c>
      <c r="Z309" s="385">
        <f t="shared" si="114"/>
        <v>33.965257310075678</v>
      </c>
      <c r="AA309" s="386">
        <f t="shared" si="115"/>
        <v>36.436048581916125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6.7811724048110686E-2</v>
      </c>
      <c r="AD309" s="231">
        <f>(INDEX(Models!$BJ309:$BT309,,AH309)*(1-AF309)+INDEX(Models!$BJ309:$BT309,,AH309+1)*AF309-ERP_i)*AE309*Ramure*Pc/MaxiM</f>
        <v>4.6655029629748207E-3</v>
      </c>
      <c r="AE309" s="305">
        <f t="shared" si="117"/>
        <v>0.7</v>
      </c>
      <c r="AF309" s="177">
        <f t="shared" si="118"/>
        <v>0.99817819770981409</v>
      </c>
      <c r="AG309" s="919">
        <f t="shared" si="124"/>
        <v>1</v>
      </c>
      <c r="AH309" s="176">
        <f t="shared" si="119"/>
        <v>7</v>
      </c>
      <c r="AI309" s="225">
        <f t="shared" si="120"/>
        <v>1.9981781977098141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1090">
        <f>IF(t&gt;Tmaj,'2024'!Wh/'2024'!Env_an*'2025'!Env_an,0.001*'[12]mon-tableau (1)'!$B$60)</f>
        <v>19.016116344358657</v>
      </c>
      <c r="C310" s="953"/>
      <c r="D310" s="393">
        <f t="shared" si="102"/>
        <v>20.179020050985368</v>
      </c>
      <c r="E310" s="385">
        <f t="shared" si="125"/>
        <v>20.835552462558624</v>
      </c>
      <c r="F310" s="385">
        <f t="shared" si="103"/>
        <v>20.83694098069364</v>
      </c>
      <c r="G310" s="110">
        <f t="shared" si="126"/>
        <v>0.52071544708470607</v>
      </c>
      <c r="H310" s="412" t="b">
        <f>Wh_hp&gt;='2024'!Maxi_hp</f>
        <v>0</v>
      </c>
      <c r="I310" s="390">
        <f>IF(H310,Wh_hp,'2024'!Maxi_hp)</f>
        <v>40.417600881584974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5.7629344918061376E-2</v>
      </c>
      <c r="M310" s="957"/>
      <c r="N310" s="957"/>
      <c r="O310" s="48">
        <f>IF(t&lt;Tnet,'2024'!Resal+('2024'!Salim-'2024'!Resal)*(1-EXP(('2024'!Tnet-t)/('2024'!Tau_j))),Resal+(Salim-Resal)*(1-EXP((Tnet-t)/(Tau_j))))*Salcycl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2.1126848180772064E-4</v>
      </c>
      <c r="Q310" s="305">
        <f t="shared" si="105"/>
        <v>0.7</v>
      </c>
      <c r="R310" s="177">
        <f t="shared" si="106"/>
        <v>0.47327183601765688</v>
      </c>
      <c r="S310" s="919">
        <f t="shared" si="107"/>
        <v>-2</v>
      </c>
      <c r="T310" s="176">
        <f t="shared" si="108"/>
        <v>4</v>
      </c>
      <c r="U310" s="251">
        <f t="shared" si="109"/>
        <v>-1.5267281639823431</v>
      </c>
      <c r="V310" s="383">
        <f t="shared" si="110"/>
        <v>36.513927030073752</v>
      </c>
      <c r="W310" s="402">
        <f t="shared" si="111"/>
        <v>19.016116344358657</v>
      </c>
      <c r="X310" s="157">
        <f t="shared" si="112"/>
        <v>45953</v>
      </c>
      <c r="Y310" s="385">
        <f t="shared" si="113"/>
        <v>18.276893037348557</v>
      </c>
      <c r="Z310" s="385">
        <f t="shared" si="114"/>
        <v>19.39459058788221</v>
      </c>
      <c r="AA310" s="386">
        <f t="shared" si="115"/>
        <v>20.806269534381059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6.784872916147397E-2</v>
      </c>
      <c r="AD310" s="231">
        <f>(INDEX(Models!$BJ310:$BT310,,AH310)*(1-AF310)+INDEX(Models!$BJ310:$BT310,,AH310+1)*AF310-ERP_i)*AE310*Ramure*Pc/MaxiM</f>
        <v>4.6667808895672156E-3</v>
      </c>
      <c r="AE310" s="305">
        <f t="shared" si="117"/>
        <v>0.7</v>
      </c>
      <c r="AF310" s="177">
        <f t="shared" si="118"/>
        <v>0.9982594023916358</v>
      </c>
      <c r="AG310" s="919">
        <f t="shared" si="124"/>
        <v>1</v>
      </c>
      <c r="AH310" s="176">
        <f t="shared" si="119"/>
        <v>7</v>
      </c>
      <c r="AI310" s="225">
        <f t="shared" si="120"/>
        <v>1.9982594023916358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1090">
        <f>IF(t&gt;Tmaj,'2024'!Wh/'2024'!Env_an*'2025'!Env_an,0.001*'[12]mon-tableau (1)'!$B$61)</f>
        <v>25.36706666732503</v>
      </c>
      <c r="C311" s="953"/>
      <c r="D311" s="393">
        <f t="shared" si="102"/>
        <v>26.918943354779675</v>
      </c>
      <c r="E311" s="385">
        <f t="shared" si="125"/>
        <v>27.797606841755947</v>
      </c>
      <c r="F311" s="385">
        <f t="shared" si="103"/>
        <v>27.800931454345321</v>
      </c>
      <c r="G311" s="110">
        <f t="shared" si="126"/>
        <v>0.69985002144935016</v>
      </c>
      <c r="H311" s="412" t="b">
        <f>Wh_hp&gt;='2024'!Maxi_hp</f>
        <v>0</v>
      </c>
      <c r="I311" s="390">
        <f>IF(H311,Wh_hp,'2024'!Maxi_hp)</f>
        <v>41.588960428568228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5.7649985253938163E-2</v>
      </c>
      <c r="M311" s="957"/>
      <c r="N311" s="957"/>
      <c r="O311" s="48">
        <f>IF(t&lt;Tnet,'2024'!Resal+('2024'!Salim-'2024'!Resal)*(1-EXP(('2024'!Tnet-t)/('2024'!Tau_j))),Resal+(Salim-Resal)*(1-EXP((Tnet-t)/(Tau_j))))*Salcycl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2.0932176803511443E-4</v>
      </c>
      <c r="Q311" s="305">
        <f t="shared" si="105"/>
        <v>0.7</v>
      </c>
      <c r="R311" s="177">
        <f t="shared" si="106"/>
        <v>0.47334979603004945</v>
      </c>
      <c r="S311" s="919">
        <f t="shared" si="107"/>
        <v>-2</v>
      </c>
      <c r="T311" s="176">
        <f t="shared" si="108"/>
        <v>4</v>
      </c>
      <c r="U311" s="251">
        <f t="shared" si="109"/>
        <v>-1.5266502039699505</v>
      </c>
      <c r="V311" s="383">
        <f t="shared" si="110"/>
        <v>36.243179672733135</v>
      </c>
      <c r="W311" s="402">
        <f t="shared" si="111"/>
        <v>25.36706666732503</v>
      </c>
      <c r="X311" s="157">
        <f t="shared" si="112"/>
        <v>45954</v>
      </c>
      <c r="Y311" s="385">
        <f t="shared" si="113"/>
        <v>24.354385177323202</v>
      </c>
      <c r="Z311" s="385">
        <f t="shared" si="114"/>
        <v>25.844309222922927</v>
      </c>
      <c r="AA311" s="386">
        <f t="shared" si="115"/>
        <v>27.726523070382402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6.7884957759816039E-2</v>
      </c>
      <c r="AD311" s="231">
        <f>(INDEX(Models!$BJ311:$BT311,,AH311)*(1-AF311)+INDEX(Models!$BJ311:$BT311,,AH311+1)*AF311-ERP_i)*AE311*Ramure*Pc/MaxiM</f>
        <v>4.6848449463052231E-3</v>
      </c>
      <c r="AE311" s="305">
        <f t="shared" si="117"/>
        <v>0.7</v>
      </c>
      <c r="AF311" s="177">
        <f t="shared" si="118"/>
        <v>0.99833736240402837</v>
      </c>
      <c r="AG311" s="919">
        <f t="shared" si="124"/>
        <v>1</v>
      </c>
      <c r="AH311" s="176">
        <f t="shared" si="119"/>
        <v>7</v>
      </c>
      <c r="AI311" s="225">
        <f t="shared" si="120"/>
        <v>1.9983373624040284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1090">
        <f>IF(t&gt;Tmaj,'2024'!Wh/'2024'!Env_an*'2025'!Env_an,0.001*'[12]mon-tableau (1)'!$B$62)</f>
        <v>22.402064744778546</v>
      </c>
      <c r="C312" s="953"/>
      <c r="D312" s="393">
        <f t="shared" si="102"/>
        <v>23.773072709373</v>
      </c>
      <c r="E312" s="385">
        <f t="shared" si="125"/>
        <v>24.551551022469813</v>
      </c>
      <c r="F312" s="385">
        <f t="shared" si="103"/>
        <v>24.553900308361111</v>
      </c>
      <c r="G312" s="110">
        <f t="shared" si="126"/>
        <v>0.62273247492487271</v>
      </c>
      <c r="H312" s="412" t="b">
        <f>Wh_hp&gt;='2024'!Maxi_hp</f>
        <v>0</v>
      </c>
      <c r="I312" s="390">
        <f>IF(H312,Wh_hp,'2024'!Maxi_hp)</f>
        <v>39.380465592356508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5.7670625137738685E-2</v>
      </c>
      <c r="M312" s="957"/>
      <c r="N312" s="957"/>
      <c r="O312" s="48">
        <f>IF(t&lt;Tnet,'2024'!Resal+('2024'!Salim-'2024'!Resal)*(1-EXP(('2024'!Tnet-t)/('2024'!Tau_j))),Resal+(Salim-Resal)*(1-EXP((Tnet-t)/(Tau_j))))*Salcycl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2.0748038964948562E-4</v>
      </c>
      <c r="Q312" s="305">
        <f t="shared" si="105"/>
        <v>0.7</v>
      </c>
      <c r="R312" s="177">
        <f t="shared" si="106"/>
        <v>0.47342464006145768</v>
      </c>
      <c r="S312" s="919">
        <f t="shared" si="107"/>
        <v>-2</v>
      </c>
      <c r="T312" s="176">
        <f t="shared" si="108"/>
        <v>4</v>
      </c>
      <c r="U312" s="251">
        <f t="shared" si="109"/>
        <v>-1.5265753599385423</v>
      </c>
      <c r="V312" s="383">
        <f t="shared" si="110"/>
        <v>35.969795729228174</v>
      </c>
      <c r="W312" s="402">
        <f t="shared" si="111"/>
        <v>22.402064744778546</v>
      </c>
      <c r="X312" s="157">
        <f t="shared" si="112"/>
        <v>45955</v>
      </c>
      <c r="Y312" s="385">
        <f t="shared" si="113"/>
        <v>21.519387422530087</v>
      </c>
      <c r="Z312" s="385">
        <f t="shared" si="114"/>
        <v>22.836375471873133</v>
      </c>
      <c r="AA312" s="386">
        <f t="shared" si="115"/>
        <v>24.500457848489571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6.7920460381071038E-2</v>
      </c>
      <c r="AD312" s="231">
        <f>(INDEX(Models!$BJ312:$BT312,,AH312)*(1-AF312)+INDEX(Models!$BJ312:$BT312,,AH312+1)*AF312-ERP_i)*AE312*Ramure*Pc/MaxiM</f>
        <v>4.7198437784996003E-3</v>
      </c>
      <c r="AE312" s="305">
        <f t="shared" si="117"/>
        <v>0.7</v>
      </c>
      <c r="AF312" s="177">
        <f t="shared" si="118"/>
        <v>0.9984122064354366</v>
      </c>
      <c r="AG312" s="919">
        <f t="shared" si="124"/>
        <v>1</v>
      </c>
      <c r="AH312" s="176">
        <f t="shared" si="119"/>
        <v>7</v>
      </c>
      <c r="AI312" s="225">
        <f t="shared" si="120"/>
        <v>1.9984122064354366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1090">
        <f>IF(t&gt;Tmaj,'2024'!Wh/'2024'!Env_an*'2025'!Env_an,0.001*'[12]mon-tableau (1)'!$B$63)</f>
        <v>12.521904946736697</v>
      </c>
      <c r="C313" s="953"/>
      <c r="D313" s="393">
        <f t="shared" si="102"/>
        <v>13.288537478128779</v>
      </c>
      <c r="E313" s="385">
        <f t="shared" si="125"/>
        <v>13.72507702846473</v>
      </c>
      <c r="F313" s="385">
        <f t="shared" si="103"/>
        <v>13.72528202907791</v>
      </c>
      <c r="G313" s="110">
        <f t="shared" si="126"/>
        <v>0.35074883768177256</v>
      </c>
      <c r="H313" s="412" t="b">
        <f>Wh_hp&gt;='2024'!Maxi_hp</f>
        <v>0</v>
      </c>
      <c r="I313" s="390">
        <f>IF(H313,Wh_hp,'2024'!Maxi_hp)</f>
        <v>38.95254653773808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5.7691264569472711E-2</v>
      </c>
      <c r="M313" s="957"/>
      <c r="N313" s="957"/>
      <c r="O313" s="48">
        <f>IF(t&lt;Tnet,'2024'!Resal+('2024'!Salim-'2024'!Resal)*(1-EXP(('2024'!Tnet-t)/('2024'!Tau_j))),Resal+(Salim-Resal)*(1-EXP((Tnet-t)/(Tau_j))))*Salcycl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2.0574691989906109E-4</v>
      </c>
      <c r="Q313" s="305">
        <f t="shared" si="105"/>
        <v>0.7</v>
      </c>
      <c r="R313" s="177">
        <f t="shared" si="106"/>
        <v>0.47349649177168729</v>
      </c>
      <c r="S313" s="919">
        <f t="shared" si="107"/>
        <v>-2</v>
      </c>
      <c r="T313" s="176">
        <f t="shared" si="108"/>
        <v>4</v>
      </c>
      <c r="U313" s="251">
        <f t="shared" si="109"/>
        <v>-1.5265035082283127</v>
      </c>
      <c r="V313" s="383">
        <f t="shared" si="110"/>
        <v>35.693676641701558</v>
      </c>
      <c r="W313" s="402">
        <f t="shared" si="111"/>
        <v>12.521904946736697</v>
      </c>
      <c r="X313" s="157">
        <f t="shared" si="112"/>
        <v>45956</v>
      </c>
      <c r="Y313" s="385">
        <f t="shared" si="113"/>
        <v>12.050380757332887</v>
      </c>
      <c r="Z313" s="385">
        <f t="shared" si="114"/>
        <v>12.788145014730487</v>
      </c>
      <c r="AA313" s="386">
        <f t="shared" si="115"/>
        <v>13.720527444986356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6.7955290639834229E-2</v>
      </c>
      <c r="AD313" s="231">
        <f>(INDEX(Models!$BJ313:$BT313,,AH313)*(1-AF313)+INDEX(Models!$BJ313:$BT313,,AH313+1)*AF313-ERP_i)*AE313*Ramure*Pc/MaxiM</f>
        <v>4.7718932010073368E-3</v>
      </c>
      <c r="AE313" s="305">
        <f t="shared" si="117"/>
        <v>0.7</v>
      </c>
      <c r="AF313" s="177">
        <f t="shared" si="118"/>
        <v>0.99848405814566621</v>
      </c>
      <c r="AG313" s="919">
        <f t="shared" si="124"/>
        <v>1</v>
      </c>
      <c r="AH313" s="176">
        <f t="shared" si="119"/>
        <v>7</v>
      </c>
      <c r="AI313" s="225">
        <f t="shared" si="120"/>
        <v>1.9984840581456662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1090">
        <f>IF(t&gt;Tmaj,'2024'!Wh/'2024'!Env_an*'2025'!Env_an,0.001*'[12]mon-tableau (1)'!$B$64)</f>
        <v>13.718863805792155</v>
      </c>
      <c r="C314" s="953"/>
      <c r="D314" s="393">
        <f t="shared" si="102"/>
        <v>14.559097008085509</v>
      </c>
      <c r="E314" s="385">
        <f t="shared" si="125"/>
        <v>15.038891312044168</v>
      </c>
      <c r="F314" s="385">
        <f t="shared" si="103"/>
        <v>15.039274509031566</v>
      </c>
      <c r="G314" s="110">
        <f t="shared" si="126"/>
        <v>0.38730819984260378</v>
      </c>
      <c r="H314" s="412" t="b">
        <f>Wh_hp&gt;='2024'!Maxi_hp</f>
        <v>0</v>
      </c>
      <c r="I314" s="390">
        <f>IF(H314,Wh_hp,'2024'!Maxi_hp)</f>
        <v>33.191570367929572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5.7711903549150234E-2</v>
      </c>
      <c r="M314" s="957"/>
      <c r="N314" s="957"/>
      <c r="O314" s="48">
        <f>IF(t&lt;Tnet,'2024'!Resal+('2024'!Salim-'2024'!Resal)*(1-EXP(('2024'!Tnet-t)/('2024'!Tau_j))),Resal+(Salim-Resal)*(1-EXP((Tnet-t)/(Tau_j))))*Salcycl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2.0412401414978377E-4</v>
      </c>
      <c r="Q314" s="305">
        <f t="shared" si="105"/>
        <v>0.7</v>
      </c>
      <c r="R314" s="177">
        <f t="shared" si="106"/>
        <v>0.47356546998246452</v>
      </c>
      <c r="S314" s="919">
        <f t="shared" si="107"/>
        <v>-2</v>
      </c>
      <c r="T314" s="176">
        <f t="shared" si="108"/>
        <v>4</v>
      </c>
      <c r="U314" s="251">
        <f t="shared" si="109"/>
        <v>-1.5264345300175355</v>
      </c>
      <c r="V314" s="383">
        <f t="shared" si="110"/>
        <v>35.414723862338363</v>
      </c>
      <c r="W314" s="402">
        <f t="shared" si="111"/>
        <v>13.718863805792155</v>
      </c>
      <c r="X314" s="157">
        <f t="shared" si="112"/>
        <v>45957</v>
      </c>
      <c r="Y314" s="385">
        <f t="shared" si="113"/>
        <v>13.199846299575237</v>
      </c>
      <c r="Z314" s="385">
        <f t="shared" si="114"/>
        <v>14.008291465521816</v>
      </c>
      <c r="AA314" s="386">
        <f t="shared" si="115"/>
        <v>15.030186399729628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6.7989505055386062E-2</v>
      </c>
      <c r="AD314" s="231">
        <f>(INDEX(Models!$BJ314:$BT314,,AH314)*(1-AF314)+INDEX(Models!$BJ314:$BT314,,AH314+1)*AF314-ERP_i)*AE314*Ramure*Pc/MaxiM</f>
        <v>4.8411167434877708E-3</v>
      </c>
      <c r="AE314" s="305">
        <f t="shared" si="117"/>
        <v>0.7</v>
      </c>
      <c r="AF314" s="177">
        <f t="shared" si="118"/>
        <v>0.99855303635644344</v>
      </c>
      <c r="AG314" s="919">
        <f t="shared" si="124"/>
        <v>1</v>
      </c>
      <c r="AH314" s="176">
        <f t="shared" si="119"/>
        <v>7</v>
      </c>
      <c r="AI314" s="225">
        <f t="shared" si="120"/>
        <v>1.9985530363564434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1090">
        <f>IF(t&gt;Tmaj,'2024'!Wh/'2024'!Env_an*'2025'!Env_an,0.001*'[12]mon-tableau (1)'!$B$65)</f>
        <v>17.280825728036447</v>
      </c>
      <c r="C315" s="953"/>
      <c r="D315" s="393">
        <f t="shared" si="102"/>
        <v>18.339618526276841</v>
      </c>
      <c r="E315" s="385">
        <f t="shared" si="125"/>
        <v>18.945900516492344</v>
      </c>
      <c r="F315" s="385">
        <f t="shared" si="103"/>
        <v>18.946952771713843</v>
      </c>
      <c r="G315" s="110">
        <f t="shared" si="126"/>
        <v>0.49179868549390227</v>
      </c>
      <c r="H315" s="412" t="b">
        <f>Wh_hp&gt;='2024'!Maxi_hp</f>
        <v>0</v>
      </c>
      <c r="I315" s="390">
        <f>IF(H315,Wh_hp,'2024'!Maxi_hp)</f>
        <v>38.41572407667438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5.7732542076781246E-2</v>
      </c>
      <c r="M315" s="957"/>
      <c r="N315" s="957"/>
      <c r="O315" s="48">
        <f>IF(t&lt;Tnet,'2024'!Resal+('2024'!Salim-'2024'!Resal)*(1-EXP(('2024'!Tnet-t)/('2024'!Tau_j))),Resal+(Salim-Resal)*(1-EXP((Tnet-t)/(Tau_j))))*Salcycl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2.0261441683387907E-4</v>
      </c>
      <c r="Q315" s="305">
        <f t="shared" si="105"/>
        <v>0.7</v>
      </c>
      <c r="R315" s="177">
        <f t="shared" si="106"/>
        <v>0.47363168886124662</v>
      </c>
      <c r="S315" s="919">
        <f t="shared" si="107"/>
        <v>-2</v>
      </c>
      <c r="T315" s="176">
        <f t="shared" si="108"/>
        <v>4</v>
      </c>
      <c r="U315" s="251">
        <f t="shared" si="109"/>
        <v>-1.5263683111387534</v>
      </c>
      <c r="V315" s="383">
        <f t="shared" si="110"/>
        <v>35.132838854110084</v>
      </c>
      <c r="W315" s="402">
        <f t="shared" si="111"/>
        <v>17.280825728036447</v>
      </c>
      <c r="X315" s="157">
        <f t="shared" si="112"/>
        <v>45958</v>
      </c>
      <c r="Y315" s="385">
        <f t="shared" si="113"/>
        <v>16.61619944896108</v>
      </c>
      <c r="Z315" s="385">
        <f t="shared" si="114"/>
        <v>17.634270725621366</v>
      </c>
      <c r="AA315" s="386">
        <f t="shared" si="115"/>
        <v>18.9213615863078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6.8023162858312461E-2</v>
      </c>
      <c r="AD315" s="231">
        <f>(INDEX(Models!$BJ315:$BT315,,AH315)*(1-AF315)+INDEX(Models!$BJ315:$BT315,,AH315+1)*AF315-ERP_i)*AE315*Ramure*Pc/MaxiM</f>
        <v>4.9276477808827823E-3</v>
      </c>
      <c r="AE315" s="305">
        <f t="shared" si="117"/>
        <v>0.7</v>
      </c>
      <c r="AF315" s="177">
        <f t="shared" si="118"/>
        <v>0.99861925523522554</v>
      </c>
      <c r="AG315" s="919">
        <f t="shared" si="124"/>
        <v>1</v>
      </c>
      <c r="AH315" s="176">
        <f t="shared" si="119"/>
        <v>7</v>
      </c>
      <c r="AI315" s="225">
        <f t="shared" si="120"/>
        <v>1.9986192552352255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1090">
        <f>IF(t&gt;Tmaj,'2024'!Wh/'2024'!Env_an*'2025'!Env_an,0.001*'[12]mon-tableau (1)'!$B$66)</f>
        <v>25.806917804793162</v>
      </c>
      <c r="C316" s="953"/>
      <c r="D316" s="393">
        <f t="shared" si="102"/>
        <v>27.388702472847324</v>
      </c>
      <c r="E316" s="385">
        <f t="shared" si="125"/>
        <v>28.296961051868987</v>
      </c>
      <c r="F316" s="385">
        <f t="shared" si="103"/>
        <v>28.300545096093789</v>
      </c>
      <c r="G316" s="110">
        <f t="shared" si="126"/>
        <v>0.74050303775559767</v>
      </c>
      <c r="H316" s="412" t="b">
        <f>Wh_hp&gt;='2024'!Maxi_hp</f>
        <v>0</v>
      </c>
      <c r="I316" s="390">
        <f>IF(H316,Wh_hp,'2024'!Maxi_hp)</f>
        <v>30.720187323726929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5.7753180152375405E-2</v>
      </c>
      <c r="M316" s="957"/>
      <c r="N316" s="957"/>
      <c r="O316" s="48">
        <f>IF(t&lt;Tnet,'2024'!Resal+('2024'!Salim-'2024'!Resal)*(1-EXP(('2024'!Tnet-t)/('2024'!Tau_j))),Resal+(Salim-Resal)*(1-EXP((Tnet-t)/(Tau_j))))*Salcycl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2.0122096932204185E-4</v>
      </c>
      <c r="Q316" s="305">
        <f t="shared" si="105"/>
        <v>0.7</v>
      </c>
      <c r="R316" s="177">
        <f t="shared" si="106"/>
        <v>0.47369525809848279</v>
      </c>
      <c r="S316" s="919">
        <f t="shared" si="107"/>
        <v>-2</v>
      </c>
      <c r="T316" s="176">
        <f t="shared" si="108"/>
        <v>4</v>
      </c>
      <c r="U316" s="251">
        <f t="shared" si="109"/>
        <v>-1.5263047419015172</v>
      </c>
      <c r="V316" s="383">
        <f t="shared" si="110"/>
        <v>34.847923098214416</v>
      </c>
      <c r="W316" s="402">
        <f t="shared" si="111"/>
        <v>25.806917804793162</v>
      </c>
      <c r="X316" s="157">
        <f t="shared" si="112"/>
        <v>45959</v>
      </c>
      <c r="Y316" s="385">
        <f t="shared" si="113"/>
        <v>24.772603988924626</v>
      </c>
      <c r="Z316" s="385">
        <f t="shared" si="114"/>
        <v>26.290992409961888</v>
      </c>
      <c r="AA316" s="386">
        <f t="shared" si="115"/>
        <v>28.210924261998166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6.8056325776697152E-2</v>
      </c>
      <c r="AD316" s="231">
        <f>(INDEX(Models!$BJ316:$BT316,,AH316)*(1-AF316)+INDEX(Models!$BJ316:$BT316,,AH316+1)*AF316-ERP_i)*AE316*Ramure*Pc/MaxiM</f>
        <v>5.0316318597264618E-3</v>
      </c>
      <c r="AE316" s="305">
        <f t="shared" si="117"/>
        <v>0.7</v>
      </c>
      <c r="AF316" s="177">
        <f t="shared" si="118"/>
        <v>0.99868282447246171</v>
      </c>
      <c r="AG316" s="919">
        <f t="shared" si="124"/>
        <v>1</v>
      </c>
      <c r="AH316" s="176">
        <f t="shared" si="119"/>
        <v>7</v>
      </c>
      <c r="AI316" s="225">
        <f t="shared" si="120"/>
        <v>1.9986828244724617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1090">
        <f>IF(t&gt;Tmaj,'2024'!Wh/'2024'!Env_an*'2025'!Env_an,0.001*'[12]mon-tableau (1)'!$B$67)</f>
        <v>21.131786463554146</v>
      </c>
      <c r="C317" s="953"/>
      <c r="D317" s="393">
        <f t="shared" si="102"/>
        <v>22.427509298960555</v>
      </c>
      <c r="E317" s="385">
        <f t="shared" si="125"/>
        <v>23.173551205640869</v>
      </c>
      <c r="F317" s="385">
        <f t="shared" si="103"/>
        <v>23.175613465478595</v>
      </c>
      <c r="G317" s="110">
        <f t="shared" si="126"/>
        <v>0.61143480415329221</v>
      </c>
      <c r="H317" s="412" t="b">
        <f>Wh_hp&gt;='2024'!Maxi_hp</f>
        <v>0</v>
      </c>
      <c r="I317" s="390">
        <f>IF(H317,Wh_hp,'2024'!Maxi_hp)</f>
        <v>35.207799824990232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5.7773817775942815E-2</v>
      </c>
      <c r="M317" s="957"/>
      <c r="N317" s="957"/>
      <c r="O317" s="48">
        <f>IF(t&lt;Tnet,'2024'!Resal+('2024'!Salim-'2024'!Resal)*(1-EXP(('2024'!Tnet-t)/('2024'!Tau_j))),Resal+(Salim-Resal)*(1-EXP((Tnet-t)/(Tau_j))))*Salcycl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1.9996243028449541E-4</v>
      </c>
      <c r="Q317" s="305">
        <f t="shared" si="105"/>
        <v>0.7</v>
      </c>
      <c r="R317" s="177">
        <f t="shared" si="106"/>
        <v>0.47375628307852535</v>
      </c>
      <c r="S317" s="919">
        <f t="shared" si="107"/>
        <v>-2</v>
      </c>
      <c r="T317" s="176">
        <f t="shared" si="108"/>
        <v>4</v>
      </c>
      <c r="U317" s="251">
        <f t="shared" si="109"/>
        <v>-1.5262437169214746</v>
      </c>
      <c r="V317" s="383">
        <f t="shared" si="110"/>
        <v>34.557144833418974</v>
      </c>
      <c r="W317" s="402">
        <f t="shared" si="111"/>
        <v>21.131786463554146</v>
      </c>
      <c r="X317" s="157">
        <f t="shared" si="112"/>
        <v>45960</v>
      </c>
      <c r="Y317" s="385">
        <f t="shared" si="113"/>
        <v>20.303161464224406</v>
      </c>
      <c r="Z317" s="385">
        <f t="shared" si="114"/>
        <v>21.54807608540473</v>
      </c>
      <c r="AA317" s="386">
        <f t="shared" si="115"/>
        <v>23.122462790924722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6.8089057803043335E-2</v>
      </c>
      <c r="AD317" s="231">
        <f>(INDEX(Models!$BJ317:$BT317,,AH317)*(1-AF317)+INDEX(Models!$BJ317:$BT317,,AH317+1)*AF317-ERP_i)*AE317*Ramure*Pc/MaxiM</f>
        <v>5.1536367341501656E-3</v>
      </c>
      <c r="AE317" s="305">
        <f t="shared" si="117"/>
        <v>0.7</v>
      </c>
      <c r="AF317" s="177">
        <f t="shared" si="118"/>
        <v>0.9987438494525045</v>
      </c>
      <c r="AG317" s="919">
        <f t="shared" si="124"/>
        <v>1</v>
      </c>
      <c r="AH317" s="176">
        <f t="shared" si="119"/>
        <v>7</v>
      </c>
      <c r="AI317" s="225">
        <f t="shared" si="120"/>
        <v>1.9987438494525045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1090">
        <f>IF(t&gt;Tmaj,'2024'!Wh/'2024'!Env_an*'2025'!Env_an,0.001*'[12]mon-tableau (1)'!$B$68)</f>
        <v>21.846712466761844</v>
      </c>
      <c r="C318" s="953"/>
      <c r="D318" s="393">
        <f t="shared" si="102"/>
        <v>23.186779765283998</v>
      </c>
      <c r="E318" s="385">
        <f t="shared" si="125"/>
        <v>23.960453206295004</v>
      </c>
      <c r="F318" s="385">
        <f t="shared" si="103"/>
        <v>23.962752675846001</v>
      </c>
      <c r="G318" s="110">
        <f t="shared" si="126"/>
        <v>0.63763344043716363</v>
      </c>
      <c r="H318" s="412" t="b">
        <f>Wh_hp&gt;='2024'!Maxi_hp</f>
        <v>0</v>
      </c>
      <c r="I318" s="390">
        <f>IF(H318,Wh_hp,'2024'!Maxi_hp)</f>
        <v>35.869115091380415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5.7794454947493246E-2</v>
      </c>
      <c r="M318" s="957"/>
      <c r="N318" s="957"/>
      <c r="O318" s="48">
        <f>IF(t&lt;Tnet,'2024'!Resal+('2024'!Salim-'2024'!Resal)*(1-EXP(('2024'!Tnet-t)/('2024'!Tau_j))),Resal+(Salim-Resal)*(1-EXP((Tnet-t)/(Tau_j))))*Salcycl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1.9891113547755167E-4</v>
      </c>
      <c r="Q318" s="305">
        <f t="shared" si="105"/>
        <v>0.7</v>
      </c>
      <c r="R318" s="177">
        <f t="shared" si="106"/>
        <v>0.4738148650443863</v>
      </c>
      <c r="S318" s="919">
        <f t="shared" si="107"/>
        <v>-2</v>
      </c>
      <c r="T318" s="176">
        <f t="shared" si="108"/>
        <v>4</v>
      </c>
      <c r="U318" s="251">
        <f t="shared" si="109"/>
        <v>-1.5261851349556137</v>
      </c>
      <c r="V318" s="383">
        <f t="shared" si="110"/>
        <v>34.258653522861053</v>
      </c>
      <c r="W318" s="402">
        <f t="shared" si="111"/>
        <v>21.846712466761844</v>
      </c>
      <c r="X318" s="157">
        <f t="shared" si="112"/>
        <v>45961</v>
      </c>
      <c r="Y318" s="385">
        <f t="shared" si="113"/>
        <v>20.985905178661721</v>
      </c>
      <c r="Z318" s="385">
        <f t="shared" si="114"/>
        <v>22.273170953894386</v>
      </c>
      <c r="AA318" s="386">
        <f t="shared" si="115"/>
        <v>23.901366068576156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6.8121424943254849E-2</v>
      </c>
      <c r="AD318" s="231">
        <f>(INDEX(Models!$BJ318:$BT318,,AH318)*(1-AF318)+INDEX(Models!$BJ318:$BT318,,AH318+1)*AF318-ERP_i)*AE318*Ramure*Pc/MaxiM</f>
        <v>5.3101289164139689E-3</v>
      </c>
      <c r="AE318" s="305">
        <f t="shared" si="117"/>
        <v>0.7</v>
      </c>
      <c r="AF318" s="177">
        <f t="shared" si="118"/>
        <v>0.99880243141836522</v>
      </c>
      <c r="AG318" s="919">
        <f t="shared" si="124"/>
        <v>1</v>
      </c>
      <c r="AH318" s="176">
        <f t="shared" si="119"/>
        <v>7</v>
      </c>
      <c r="AI318" s="225">
        <f t="shared" si="120"/>
        <v>1.9988024314183652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1090">
        <f>IF(t&gt;Tmaj,'2024'!Wh/'2024'!Env_an*'2025'!Env_an,0.001*'[13]mon-tableau (3)'!$B$37)</f>
        <v>23.539155792981607</v>
      </c>
      <c r="C319" s="953"/>
      <c r="D319" s="393">
        <f t="shared" si="102"/>
        <v>24.983583991628731</v>
      </c>
      <c r="E319" s="385">
        <f t="shared" si="125"/>
        <v>25.819761574265964</v>
      </c>
      <c r="F319" s="385">
        <f t="shared" si="103"/>
        <v>25.822633982304733</v>
      </c>
      <c r="G319" s="110">
        <f t="shared" si="126"/>
        <v>0.69320943082078523</v>
      </c>
      <c r="H319" s="412" t="b">
        <f>Wh_hp&gt;='2024'!Maxi_hp</f>
        <v>0</v>
      </c>
      <c r="I319" s="390">
        <f>IF(H319,Wh_hp,'2024'!Maxi_hp)</f>
        <v>32.156200585342432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5.7815091667036689E-2</v>
      </c>
      <c r="M319" s="957"/>
      <c r="N319" s="957"/>
      <c r="O319" s="48">
        <f>IF(t&lt;Tnet,'2024'!Resal+('2024'!Salim-'2024'!Resal)*(1-EXP(('2024'!Tnet-t)/('2024'!Tau_j))),Resal+(Salim-Resal)*(1-EXP((Tnet-t)/(Tau_j))))*Salcycl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1.9799456760020929E-4</v>
      </c>
      <c r="Q319" s="305">
        <f t="shared" si="105"/>
        <v>0.7</v>
      </c>
      <c r="R319" s="177">
        <f t="shared" si="106"/>
        <v>0.47387110125652798</v>
      </c>
      <c r="S319" s="919">
        <f t="shared" si="107"/>
        <v>-2</v>
      </c>
      <c r="T319" s="176">
        <f t="shared" si="108"/>
        <v>4</v>
      </c>
      <c r="U319" s="251">
        <f t="shared" si="109"/>
        <v>-1.526128898743472</v>
      </c>
      <c r="V319" s="383">
        <f t="shared" si="110"/>
        <v>33.953827367683004</v>
      </c>
      <c r="W319" s="402">
        <f t="shared" si="111"/>
        <v>23.539155792981607</v>
      </c>
      <c r="X319" s="157">
        <f t="shared" si="112"/>
        <v>45962</v>
      </c>
      <c r="Y319" s="385">
        <f t="shared" si="113"/>
        <v>22.601500737605786</v>
      </c>
      <c r="Z319" s="385">
        <f t="shared" si="114"/>
        <v>23.988391808987171</v>
      </c>
      <c r="AA319" s="386">
        <f t="shared" si="115"/>
        <v>25.742857518877237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6.8153494949172416E-2</v>
      </c>
      <c r="AD319" s="231">
        <f>(INDEX(Models!$BJ319:$BT319,,AH319)*(1-AF319)+INDEX(Models!$BJ319:$BT319,,AH319+1)*AF319-ERP_i)*AE319*Ramure*Pc/MaxiM</f>
        <v>5.4989772232281152E-3</v>
      </c>
      <c r="AE319" s="305">
        <f t="shared" si="117"/>
        <v>0.7</v>
      </c>
      <c r="AF319" s="177">
        <f t="shared" si="118"/>
        <v>0.9988586676305069</v>
      </c>
      <c r="AG319" s="919">
        <f t="shared" si="124"/>
        <v>1</v>
      </c>
      <c r="AH319" s="176">
        <f t="shared" si="119"/>
        <v>7</v>
      </c>
      <c r="AI319" s="225">
        <f t="shared" si="120"/>
        <v>1.9988586676305069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1090">
        <f>IF(t&gt;Tmaj,'2024'!Wh/'2024'!Env_an*'2025'!Env_an,0.001*'[13]mon-tableau (3)'!$B$38)</f>
        <v>29.49737555063232</v>
      </c>
      <c r="C320" s="953"/>
      <c r="D320" s="393">
        <f t="shared" si="102"/>
        <v>31.30810244583785</v>
      </c>
      <c r="E320" s="385">
        <f t="shared" si="125"/>
        <v>32.359141923665675</v>
      </c>
      <c r="F320" s="385">
        <f t="shared" si="103"/>
        <v>32.364400646542769</v>
      </c>
      <c r="G320" s="110">
        <f t="shared" si="126"/>
        <v>0.8767184259802665</v>
      </c>
      <c r="H320" s="412" t="b">
        <f>Wh_hp&gt;='2024'!Maxi_hp</f>
        <v>1</v>
      </c>
      <c r="I320" s="390">
        <f>IF(H320,Wh_hp,'2024'!Maxi_hp)</f>
        <v>32.364400646542769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5.7835727934583026E-2</v>
      </c>
      <c r="M320" s="957"/>
      <c r="N320" s="957"/>
      <c r="O320" s="48">
        <f>IF(t&lt;Tnet,'2024'!Resal+('2024'!Salim-'2024'!Resal)*(1-EXP(('2024'!Tnet-t)/('2024'!Tau_j))),Resal+(Salim-Resal)*(1-EXP((Tnet-t)/(Tau_j))))*Salcycl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1.9720776030135166E-4</v>
      </c>
      <c r="Q320" s="305">
        <f t="shared" si="105"/>
        <v>0.7</v>
      </c>
      <c r="R320" s="177">
        <f t="shared" si="106"/>
        <v>0.47392508514588227</v>
      </c>
      <c r="S320" s="919">
        <f t="shared" si="107"/>
        <v>-2</v>
      </c>
      <c r="T320" s="176">
        <f t="shared" si="108"/>
        <v>4</v>
      </c>
      <c r="U320" s="251">
        <f t="shared" si="109"/>
        <v>-1.5260749148541177</v>
      </c>
      <c r="V320" s="383">
        <f t="shared" si="110"/>
        <v>33.644041545880128</v>
      </c>
      <c r="W320" s="402">
        <f t="shared" si="111"/>
        <v>29.49737555063232</v>
      </c>
      <c r="X320" s="157">
        <f t="shared" si="112"/>
        <v>45963</v>
      </c>
      <c r="Y320" s="385">
        <f t="shared" si="113"/>
        <v>28.279518708040253</v>
      </c>
      <c r="Z320" s="385">
        <f t="shared" si="114"/>
        <v>30.015486201833742</v>
      </c>
      <c r="AA320" s="386">
        <f t="shared" si="115"/>
        <v>32.211862932450337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6.8185337036311494E-2</v>
      </c>
      <c r="AD320" s="231">
        <f>(INDEX(Models!$BJ320:$BT320,,AH320)*(1-AF320)+INDEX(Models!$BJ320:$BT320,,AH320+1)*AF320-ERP_i)*AE320*Ramure*Pc/MaxiM</f>
        <v>5.7203282357207738E-3</v>
      </c>
      <c r="AE320" s="305">
        <f t="shared" si="117"/>
        <v>0.7</v>
      </c>
      <c r="AF320" s="177">
        <f t="shared" si="118"/>
        <v>0.99891265151986097</v>
      </c>
      <c r="AG320" s="919">
        <f t="shared" si="124"/>
        <v>1</v>
      </c>
      <c r="AH320" s="176">
        <f t="shared" si="119"/>
        <v>7</v>
      </c>
      <c r="AI320" s="225">
        <f t="shared" si="120"/>
        <v>1.998912651519861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1090">
        <f>IF(t&gt;Tmaj,'2024'!Wh/'2024'!Env_an*'2025'!Env_an,0.001*'[13]mon-tableau (3)'!$B$39)</f>
        <v>10.25826115322486</v>
      </c>
      <c r="C321" s="953"/>
      <c r="D321" s="393">
        <f t="shared" si="102"/>
        <v>10.888213599846843</v>
      </c>
      <c r="E321" s="385">
        <f t="shared" si="125"/>
        <v>11.254845216124545</v>
      </c>
      <c r="F321" s="385">
        <f t="shared" si="103"/>
        <v>11.254869778053472</v>
      </c>
      <c r="G321" s="110">
        <f t="shared" si="126"/>
        <v>0.30771260047856808</v>
      </c>
      <c r="H321" s="412" t="b">
        <f>Wh_hp&gt;='2024'!Maxi_hp</f>
        <v>0</v>
      </c>
      <c r="I321" s="390">
        <f>IF(H321,Wh_hp,'2024'!Maxi_hp)</f>
        <v>31.18806335046073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5.7856363750142137E-2</v>
      </c>
      <c r="M321" s="957"/>
      <c r="N321" s="957"/>
      <c r="O321" s="48">
        <f>IF(t&lt;Tnet,'2024'!Resal+('2024'!Salim-'2024'!Resal)*(1-EXP(('2024'!Tnet-t)/('2024'!Tau_j))),Resal+(Salim-Resal)*(1-EXP((Tnet-t)/(Tau_j))))*Salcycl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1.9654579526475805E-4</v>
      </c>
      <c r="Q321" s="305">
        <f t="shared" si="105"/>
        <v>0.7</v>
      </c>
      <c r="R321" s="177">
        <f t="shared" si="106"/>
        <v>0.47397690646127533</v>
      </c>
      <c r="S321" s="919">
        <f t="shared" si="107"/>
        <v>-2</v>
      </c>
      <c r="T321" s="176">
        <f t="shared" si="108"/>
        <v>4</v>
      </c>
      <c r="U321" s="251">
        <f t="shared" si="109"/>
        <v>-1.5260230935387247</v>
      </c>
      <c r="V321" s="383">
        <f t="shared" si="110"/>
        <v>33.330670573185486</v>
      </c>
      <c r="W321" s="402">
        <f t="shared" si="111"/>
        <v>10.25826115322486</v>
      </c>
      <c r="X321" s="157">
        <f t="shared" si="112"/>
        <v>45964</v>
      </c>
      <c r="Y321" s="385">
        <f t="shared" si="113"/>
        <v>9.8796954169382332</v>
      </c>
      <c r="Z321" s="385">
        <f t="shared" si="114"/>
        <v>10.48640041370308</v>
      </c>
      <c r="AA321" s="386">
        <f t="shared" si="115"/>
        <v>11.254123177460567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6.8217021588590609E-2</v>
      </c>
      <c r="AD321" s="231">
        <f>(INDEX(Models!$BJ321:$BT321,,AH321)*(1-AF321)+INDEX(Models!$BJ321:$BT321,,AH321+1)*AF321-ERP_i)*AE321*Ramure*Pc/MaxiM</f>
        <v>5.9743356362973983E-3</v>
      </c>
      <c r="AE321" s="305">
        <f t="shared" si="117"/>
        <v>0.7</v>
      </c>
      <c r="AF321" s="177">
        <f t="shared" si="118"/>
        <v>0.99896447283525425</v>
      </c>
      <c r="AG321" s="919">
        <f t="shared" si="124"/>
        <v>1</v>
      </c>
      <c r="AH321" s="176">
        <f t="shared" si="119"/>
        <v>7</v>
      </c>
      <c r="AI321" s="225">
        <f t="shared" si="120"/>
        <v>1.9989644728352542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1090">
        <f>IF(t&gt;Tmaj,'2024'!Wh/'2024'!Env_an*'2025'!Env_an,0.001*'[13]mon-tableau (3)'!$B$40)</f>
        <v>11.975922288634226</v>
      </c>
      <c r="C322" s="953"/>
      <c r="D322" s="393">
        <f t="shared" si="102"/>
        <v>12.711633488799455</v>
      </c>
      <c r="E322" s="385">
        <f t="shared" si="125"/>
        <v>13.140951063619665</v>
      </c>
      <c r="F322" s="385">
        <f t="shared" si="103"/>
        <v>13.141181925050892</v>
      </c>
      <c r="G322" s="110">
        <f t="shared" si="126"/>
        <v>0.36267615583830115</v>
      </c>
      <c r="H322" s="412" t="b">
        <f>Wh_hp&gt;='2024'!Maxi_hp</f>
        <v>0</v>
      </c>
      <c r="I322" s="390">
        <f>IF(H322,Wh_hp,'2024'!Maxi_hp)</f>
        <v>29.822160701304174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5.7876999113723904E-2</v>
      </c>
      <c r="M322" s="957"/>
      <c r="N322" s="957"/>
      <c r="O322" s="48">
        <f>IF(t&lt;Tnet,'2024'!Resal+('2024'!Salim-'2024'!Resal)*(1-EXP(('2024'!Tnet-t)/('2024'!Tau_j))),Resal+(Salim-Resal)*(1-EXP((Tnet-t)/(Tau_j))))*Salcycl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1.9600374507905644E-4</v>
      </c>
      <c r="Q322" s="305">
        <f t="shared" si="105"/>
        <v>0.7</v>
      </c>
      <c r="R322" s="177">
        <f t="shared" si="106"/>
        <v>0.47402665141144773</v>
      </c>
      <c r="S322" s="919">
        <f t="shared" si="107"/>
        <v>-2</v>
      </c>
      <c r="T322" s="176">
        <f t="shared" si="108"/>
        <v>4</v>
      </c>
      <c r="U322" s="251">
        <f t="shared" si="109"/>
        <v>-1.5259733485885523</v>
      </c>
      <c r="V322" s="383">
        <f t="shared" si="110"/>
        <v>33.015088318114877</v>
      </c>
      <c r="W322" s="402">
        <f t="shared" si="111"/>
        <v>11.975922288634226</v>
      </c>
      <c r="X322" s="157">
        <f t="shared" si="112"/>
        <v>45965</v>
      </c>
      <c r="Y322" s="385">
        <f t="shared" si="113"/>
        <v>11.529176578399838</v>
      </c>
      <c r="Z322" s="385">
        <f t="shared" si="114"/>
        <v>12.237443059509305</v>
      </c>
      <c r="AA322" s="386">
        <f t="shared" si="115"/>
        <v>13.133807279754206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6.8248619851963968E-2</v>
      </c>
      <c r="AD322" s="231">
        <f>(INDEX(Models!$BJ322:$BT322,,AH322)*(1-AF322)+INDEX(Models!$BJ322:$BT322,,AH322+1)*AF322-ERP_i)*AE322*Ramure*Pc/MaxiM</f>
        <v>6.2611502020478204E-3</v>
      </c>
      <c r="AE322" s="305">
        <f t="shared" si="117"/>
        <v>0.7</v>
      </c>
      <c r="AF322" s="177">
        <f t="shared" si="118"/>
        <v>0.99901421778542665</v>
      </c>
      <c r="AG322" s="919">
        <f t="shared" si="124"/>
        <v>1</v>
      </c>
      <c r="AH322" s="176">
        <f t="shared" si="119"/>
        <v>7</v>
      </c>
      <c r="AI322" s="225">
        <f t="shared" si="120"/>
        <v>1.9990142177854267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1090">
        <f>IF(t&gt;Tmaj,'2024'!Wh/'2024'!Env_an*'2025'!Env_an,0.001*'[13]mon-tableau (3)'!$B$41)</f>
        <v>31.46479650254069</v>
      </c>
      <c r="C323" s="953"/>
      <c r="D323" s="393">
        <f t="shared" si="102"/>
        <v>33.398490056851152</v>
      </c>
      <c r="E323" s="385">
        <f t="shared" si="125"/>
        <v>34.529852392035842</v>
      </c>
      <c r="F323" s="385">
        <f t="shared" si="103"/>
        <v>34.536242762525234</v>
      </c>
      <c r="G323" s="110">
        <f t="shared" si="126"/>
        <v>0.96225524237617022</v>
      </c>
      <c r="H323" s="412" t="b">
        <f>Wh_hp&gt;='2024'!Maxi_hp</f>
        <v>1</v>
      </c>
      <c r="I323" s="390">
        <f>IF(H323,Wh_hp,'2024'!Maxi_hp)</f>
        <v>34.536242762525234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5.7897634025338207E-2</v>
      </c>
      <c r="M323" s="957"/>
      <c r="N323" s="957"/>
      <c r="O323" s="48">
        <f>IF(t&lt;Tnet,'2024'!Resal+('2024'!Salim-'2024'!Resal)*(1-EXP(('2024'!Tnet-t)/('2024'!Tau_j))),Resal+(Salim-Resal)*(1-EXP((Tnet-t)/(Tau_j))))*Salcycl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1.9557661730762804E-4</v>
      </c>
      <c r="Q323" s="305">
        <f t="shared" si="105"/>
        <v>0.7</v>
      </c>
      <c r="R323" s="177">
        <f t="shared" si="106"/>
        <v>0.4740744028018371</v>
      </c>
      <c r="S323" s="919">
        <f t="shared" si="107"/>
        <v>-2</v>
      </c>
      <c r="T323" s="176">
        <f t="shared" si="108"/>
        <v>4</v>
      </c>
      <c r="U323" s="251">
        <f t="shared" si="109"/>
        <v>-1.5259255971981629</v>
      </c>
      <c r="V323" s="383">
        <f t="shared" si="110"/>
        <v>32.698668010639409</v>
      </c>
      <c r="W323" s="402">
        <f t="shared" si="111"/>
        <v>31.46479650254069</v>
      </c>
      <c r="X323" s="157">
        <f t="shared" si="112"/>
        <v>45966</v>
      </c>
      <c r="Y323" s="385">
        <f t="shared" si="113"/>
        <v>30.126318868108651</v>
      </c>
      <c r="Z323" s="385">
        <f t="shared" si="114"/>
        <v>31.977755237819782</v>
      </c>
      <c r="AA323" s="386">
        <f t="shared" si="115"/>
        <v>34.321214770822394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6.8280203618983334E-2</v>
      </c>
      <c r="AD323" s="231">
        <f>(INDEX(Models!$BJ323:$BT323,,AH323)*(1-AF323)+INDEX(Models!$BJ323:$BT323,,AH323+1)*AF323-ERP_i)*AE323*Ramure*Pc/MaxiM</f>
        <v>6.580909090244713E-3</v>
      </c>
      <c r="AE323" s="305">
        <f t="shared" si="117"/>
        <v>0.7</v>
      </c>
      <c r="AF323" s="177">
        <f t="shared" si="118"/>
        <v>0.99906196917581602</v>
      </c>
      <c r="AG323" s="919">
        <f t="shared" si="124"/>
        <v>1</v>
      </c>
      <c r="AH323" s="176">
        <f t="shared" si="119"/>
        <v>7</v>
      </c>
      <c r="AI323" s="225">
        <f t="shared" si="120"/>
        <v>1.999061969175816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1090">
        <f>IF(t&gt;Tmaj,'2024'!Wh/'2024'!Env_an*'2025'!Env_an,0.001*'[13]mon-tableau (3)'!$B$42)</f>
        <v>31.098198819735082</v>
      </c>
      <c r="C324" s="953"/>
      <c r="D324" s="393">
        <f t="shared" si="102"/>
        <v>33.010085833767988</v>
      </c>
      <c r="E324" s="385">
        <f t="shared" si="125"/>
        <v>34.131621788055035</v>
      </c>
      <c r="F324" s="385">
        <f t="shared" si="103"/>
        <v>34.137915953315535</v>
      </c>
      <c r="G324" s="110">
        <f t="shared" si="126"/>
        <v>0.96032082788001272</v>
      </c>
      <c r="H324" s="412" t="b">
        <f>Wh_hp&gt;='2024'!Maxi_hp</f>
        <v>1</v>
      </c>
      <c r="I324" s="390">
        <f>IF(H324,Wh_hp,'2024'!Maxi_hp)</f>
        <v>34.137915953315535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5.7918268484995039E-2</v>
      </c>
      <c r="M324" s="957"/>
      <c r="N324" s="957"/>
      <c r="O324" s="48">
        <f>IF(t&lt;Tnet,'2024'!Resal+('2024'!Salim-'2024'!Resal)*(1-EXP(('2024'!Tnet-t)/('2024'!Tau_j))),Resal+(Salim-Resal)*(1-EXP((Tnet-t)/(Tau_j))))*Salcycl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1.9545067910811816E-4</v>
      </c>
      <c r="Q324" s="305">
        <f t="shared" si="105"/>
        <v>0.7</v>
      </c>
      <c r="R324" s="177">
        <f t="shared" si="106"/>
        <v>0.47412024016630627</v>
      </c>
      <c r="S324" s="919">
        <f t="shared" si="107"/>
        <v>-2</v>
      </c>
      <c r="T324" s="176">
        <f t="shared" si="108"/>
        <v>4</v>
      </c>
      <c r="U324" s="251">
        <f t="shared" si="109"/>
        <v>-1.5258797598336937</v>
      </c>
      <c r="V324" s="383">
        <f t="shared" si="110"/>
        <v>32.382776055539722</v>
      </c>
      <c r="W324" s="402">
        <f t="shared" si="111"/>
        <v>31.098198819735082</v>
      </c>
      <c r="X324" s="157">
        <f t="shared" si="112"/>
        <v>45967</v>
      </c>
      <c r="Y324" s="385">
        <f t="shared" si="113"/>
        <v>29.768010971888234</v>
      </c>
      <c r="Z324" s="385">
        <f t="shared" si="114"/>
        <v>31.598119330917207</v>
      </c>
      <c r="AA324" s="386">
        <f t="shared" si="115"/>
        <v>33.914909359068844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6.8311844906409167E-2</v>
      </c>
      <c r="AD324" s="231">
        <f>(INDEX(Models!$BJ324:$BT324,,AH324)*(1-AF324)+INDEX(Models!$BJ324:$BT324,,AH324+1)*AF324-ERP_i)*AE324*Ramure*Pc/MaxiM</f>
        <v>6.9249516793934412E-3</v>
      </c>
      <c r="AE324" s="305">
        <f t="shared" si="117"/>
        <v>0.7</v>
      </c>
      <c r="AF324" s="177">
        <f t="shared" si="118"/>
        <v>0.99910780654028519</v>
      </c>
      <c r="AG324" s="919">
        <f t="shared" si="124"/>
        <v>1</v>
      </c>
      <c r="AH324" s="176">
        <f t="shared" si="119"/>
        <v>7</v>
      </c>
      <c r="AI324" s="225">
        <f t="shared" si="120"/>
        <v>1.9991078065402852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1090">
        <f>IF(t&gt;Tmaj,'2024'!Wh/'2024'!Env_an*'2025'!Env_an,0.001*'[13]mon-tableau (3)'!$B$43)</f>
        <v>29.727309017743384</v>
      </c>
      <c r="C325" s="953"/>
      <c r="D325" s="393">
        <f t="shared" si="102"/>
        <v>31.555606208983875</v>
      </c>
      <c r="E325" s="385">
        <f t="shared" si="125"/>
        <v>32.630905481445744</v>
      </c>
      <c r="F325" s="385">
        <f t="shared" si="103"/>
        <v>32.636622721865855</v>
      </c>
      <c r="G325" s="110">
        <f t="shared" si="126"/>
        <v>0.92696688015129569</v>
      </c>
      <c r="H325" s="412" t="b">
        <f>Wh_hp&gt;='2024'!Maxi_hp</f>
        <v>1</v>
      </c>
      <c r="I325" s="390">
        <f>IF(H325,Wh_hp,'2024'!Maxi_hp)</f>
        <v>32.636622721865855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5.7938902492704281E-2</v>
      </c>
      <c r="M325" s="957"/>
      <c r="N325" s="957"/>
      <c r="O325" s="48">
        <f>IF(t&lt;Tnet,'2024'!Resal+('2024'!Salim-'2024'!Resal)*(1-EXP(('2024'!Tnet-t)/('2024'!Tau_j))),Resal+(Salim-Resal)*(1-EXP((Tnet-t)/(Tau_j))))*Salcycl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1.9557871281036893E-4</v>
      </c>
      <c r="Q325" s="305">
        <f t="shared" si="105"/>
        <v>0.7</v>
      </c>
      <c r="R325" s="177">
        <f t="shared" si="106"/>
        <v>0.47416423989397738</v>
      </c>
      <c r="S325" s="919">
        <f t="shared" si="107"/>
        <v>-2</v>
      </c>
      <c r="T325" s="176">
        <f t="shared" si="108"/>
        <v>4</v>
      </c>
      <c r="U325" s="251">
        <f t="shared" si="109"/>
        <v>-1.5258357601060226</v>
      </c>
      <c r="V325" s="383">
        <f t="shared" si="110"/>
        <v>32.068785961906904</v>
      </c>
      <c r="W325" s="402">
        <f t="shared" si="111"/>
        <v>29.727309017743384</v>
      </c>
      <c r="X325" s="157">
        <f t="shared" si="112"/>
        <v>45968</v>
      </c>
      <c r="Y325" s="385">
        <f t="shared" si="113"/>
        <v>28.457683485709317</v>
      </c>
      <c r="Z325" s="385">
        <f t="shared" si="114"/>
        <v>30.207895815896304</v>
      </c>
      <c r="AA325" s="386">
        <f t="shared" si="115"/>
        <v>32.423859614573111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6.8343615628067539E-2</v>
      </c>
      <c r="AD325" s="231">
        <f>(INDEX(Models!$BJ325:$BT325,,AH325)*(1-AF325)+INDEX(Models!$BJ325:$BT325,,AH325+1)*AF325-ERP_i)*AE325*Ramure*Pc/MaxiM</f>
        <v>7.2783251359298563E-3</v>
      </c>
      <c r="AE325" s="305">
        <f t="shared" si="117"/>
        <v>0.7</v>
      </c>
      <c r="AF325" s="177">
        <f t="shared" si="118"/>
        <v>0.9991518062679563</v>
      </c>
      <c r="AG325" s="919">
        <f t="shared" si="124"/>
        <v>1</v>
      </c>
      <c r="AH325" s="176">
        <f t="shared" si="119"/>
        <v>7</v>
      </c>
      <c r="AI325" s="225">
        <f t="shared" si="120"/>
        <v>1.9991518062679563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1090">
        <f>IF(t&gt;Tmaj,'2024'!Wh/'2024'!Env_an*'2025'!Env_an,0.001*'[13]mon-tableau (3)'!$B$44)</f>
        <v>20.337259610117432</v>
      </c>
      <c r="C326" s="953"/>
      <c r="D326" s="393">
        <f t="shared" si="102"/>
        <v>21.58852022641349</v>
      </c>
      <c r="E326" s="385">
        <f t="shared" si="125"/>
        <v>22.326351591920659</v>
      </c>
      <c r="F326" s="385">
        <f t="shared" si="103"/>
        <v>22.328479170591354</v>
      </c>
      <c r="G326" s="110">
        <f t="shared" si="126"/>
        <v>0.64031638430665261</v>
      </c>
      <c r="H326" s="412" t="b">
        <f>Wh_hp&gt;='2024'!Maxi_hp</f>
        <v>0</v>
      </c>
      <c r="I326" s="390">
        <f>IF(H326,Wh_hp,'2024'!Maxi_hp)</f>
        <v>27.419796880522092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5.7959536048475702E-2</v>
      </c>
      <c r="M326" s="957"/>
      <c r="N326" s="957"/>
      <c r="O326" s="48">
        <f>IF(t&lt;Tnet,'2024'!Resal+('2024'!Salim-'2024'!Resal)*(1-EXP(('2024'!Tnet-t)/('2024'!Tau_j))),Resal+(Salim-Resal)*(1-EXP((Tnet-t)/(Tau_j))))*Salcycl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1.9595637431340824E-4</v>
      </c>
      <c r="Q326" s="305">
        <f t="shared" si="105"/>
        <v>0.7</v>
      </c>
      <c r="R326" s="177">
        <f t="shared" si="106"/>
        <v>0.47420647535134353</v>
      </c>
      <c r="S326" s="919">
        <f t="shared" si="107"/>
        <v>-2</v>
      </c>
      <c r="T326" s="176">
        <f t="shared" si="108"/>
        <v>4</v>
      </c>
      <c r="U326" s="251">
        <f t="shared" si="109"/>
        <v>-1.5257935246486565</v>
      </c>
      <c r="V326" s="383">
        <f t="shared" si="110"/>
        <v>31.758069201745712</v>
      </c>
      <c r="W326" s="402">
        <f t="shared" si="111"/>
        <v>20.337259610117432</v>
      </c>
      <c r="X326" s="157">
        <f t="shared" si="112"/>
        <v>45969</v>
      </c>
      <c r="Y326" s="385">
        <f t="shared" si="113"/>
        <v>19.523288105547422</v>
      </c>
      <c r="Z326" s="385">
        <f t="shared" si="114"/>
        <v>20.724468696019894</v>
      </c>
      <c r="AA326" s="386">
        <f t="shared" si="115"/>
        <v>22.24551913059366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6.8375587265208246E-2</v>
      </c>
      <c r="AD326" s="231">
        <f>(INDEX(Models!$BJ326:$BT326,,AH326)*(1-AF326)+INDEX(Models!$BJ326:$BT326,,AH326+1)*AF326-ERP_i)*AE326*Ramure*Pc/MaxiM</f>
        <v>7.6408684081880921E-3</v>
      </c>
      <c r="AE326" s="305">
        <f t="shared" si="117"/>
        <v>0.7</v>
      </c>
      <c r="AF326" s="177">
        <f t="shared" si="118"/>
        <v>0.99919404172532245</v>
      </c>
      <c r="AG326" s="919">
        <f t="shared" si="124"/>
        <v>1</v>
      </c>
      <c r="AH326" s="176">
        <f t="shared" si="119"/>
        <v>7</v>
      </c>
      <c r="AI326" s="225">
        <f t="shared" si="120"/>
        <v>1.9991940417253224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1090">
        <f>IF(t&gt;Tmaj,'2024'!Wh/'2024'!Env_an*'2025'!Env_an,0.001*'[13]mon-tableau (3)'!$B$45)</f>
        <v>10.757979243335743</v>
      </c>
      <c r="C327" s="953"/>
      <c r="D327" s="393">
        <f t="shared" si="102"/>
        <v>11.420119716222034</v>
      </c>
      <c r="E327" s="385">
        <f t="shared" si="125"/>
        <v>11.811574823787883</v>
      </c>
      <c r="F327" s="385">
        <f t="shared" si="103"/>
        <v>11.811714287144273</v>
      </c>
      <c r="G327" s="110">
        <f t="shared" si="126"/>
        <v>0.34198119665690618</v>
      </c>
      <c r="H327" s="412" t="b">
        <f>Wh_hp&gt;='2024'!Maxi_hp</f>
        <v>0</v>
      </c>
      <c r="I327" s="390">
        <f>IF(H327,Wh_hp,'2024'!Maxi_hp)</f>
        <v>26.175340990445164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5.7980169152319405E-2</v>
      </c>
      <c r="M327" s="957"/>
      <c r="N327" s="957"/>
      <c r="O327" s="48">
        <f>IF(t&lt;Tnet,'2024'!Resal+('2024'!Salim-'2024'!Resal)*(1-EXP(('2024'!Tnet-t)/('2024'!Tau_j))),Resal+(Salim-Resal)*(1-EXP((Tnet-t)/(Tau_j))))*Salcycl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1.9657898380980512E-4</v>
      </c>
      <c r="Q327" s="305">
        <f t="shared" si="105"/>
        <v>0.7</v>
      </c>
      <c r="R327" s="177">
        <f t="shared" si="106"/>
        <v>0.47424701699981298</v>
      </c>
      <c r="S327" s="919">
        <f t="shared" si="107"/>
        <v>-2</v>
      </c>
      <c r="T327" s="176">
        <f t="shared" si="108"/>
        <v>4</v>
      </c>
      <c r="U327" s="251">
        <f t="shared" si="109"/>
        <v>-1.525752983000187</v>
      </c>
      <c r="V327" s="383">
        <f t="shared" si="110"/>
        <v>31.451996642135455</v>
      </c>
      <c r="W327" s="402">
        <f t="shared" si="111"/>
        <v>10.757979243335743</v>
      </c>
      <c r="X327" s="157">
        <f t="shared" si="112"/>
        <v>45970</v>
      </c>
      <c r="Y327" s="385">
        <f t="shared" si="113"/>
        <v>10.360715625269249</v>
      </c>
      <c r="Z327" s="385">
        <f t="shared" si="114"/>
        <v>10.998405008041194</v>
      </c>
      <c r="AA327" s="386">
        <f t="shared" si="115"/>
        <v>11.806029900806287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6.8407830536659664E-2</v>
      </c>
      <c r="AD327" s="231">
        <f>(INDEX(Models!$BJ327:$BT327,,AH327)*(1-AF327)+INDEX(Models!$BJ327:$BT327,,AH327+1)*AF327-ERP_i)*AE327*Ramure*Pc/MaxiM</f>
        <v>8.0123619481132381E-3</v>
      </c>
      <c r="AE327" s="305">
        <f t="shared" si="117"/>
        <v>0.7</v>
      </c>
      <c r="AF327" s="177">
        <f t="shared" si="118"/>
        <v>0.9992345833737919</v>
      </c>
      <c r="AG327" s="919">
        <f t="shared" si="124"/>
        <v>1</v>
      </c>
      <c r="AH327" s="176">
        <f t="shared" si="119"/>
        <v>7</v>
      </c>
      <c r="AI327" s="225">
        <f t="shared" si="120"/>
        <v>1.9992345833737919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1090">
        <f>IF(t&gt;Tmaj,'2024'!Wh/'2024'!Env_an*'2025'!Env_an,0.001*'[13]mon-tableau (3)'!$B$46)</f>
        <v>23.99548754917916</v>
      </c>
      <c r="C328" s="953"/>
      <c r="D328" s="393">
        <f t="shared" si="102"/>
        <v>25.472938400731749</v>
      </c>
      <c r="E328" s="385">
        <f t="shared" si="125"/>
        <v>26.348655006811189</v>
      </c>
      <c r="F328" s="385">
        <f t="shared" si="103"/>
        <v>26.35215048063726</v>
      </c>
      <c r="G328" s="110">
        <f t="shared" si="126"/>
        <v>0.77022277378534953</v>
      </c>
      <c r="H328" s="412" t="b">
        <f>Wh_hp&gt;='2024'!Maxi_hp</f>
        <v>1</v>
      </c>
      <c r="I328" s="390">
        <f>IF(H328,Wh_hp,'2024'!Maxi_hp)</f>
        <v>26.35215048063726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5.8000801804245161E-2</v>
      </c>
      <c r="M328" s="957"/>
      <c r="N328" s="957"/>
      <c r="O328" s="48">
        <f>IF(t&lt;Tnet,'2024'!Resal+('2024'!Salim-'2024'!Resal)*(1-EXP(('2024'!Tnet-t)/('2024'!Tau_j))),Resal+(Salim-Resal)*(1-EXP((Tnet-t)/(Tau_j))))*Salcycl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1.9744142301993209E-4</v>
      </c>
      <c r="Q328" s="305">
        <f t="shared" si="105"/>
        <v>0.7</v>
      </c>
      <c r="R328" s="177">
        <f t="shared" si="106"/>
        <v>0.47428593250884821</v>
      </c>
      <c r="S328" s="919">
        <f t="shared" si="107"/>
        <v>-2</v>
      </c>
      <c r="T328" s="176">
        <f t="shared" si="108"/>
        <v>4</v>
      </c>
      <c r="U328" s="251">
        <f t="shared" si="109"/>
        <v>-1.5257140674911518</v>
      </c>
      <c r="V328" s="383">
        <f t="shared" si="110"/>
        <v>31.151938544606285</v>
      </c>
      <c r="W328" s="402">
        <f t="shared" si="111"/>
        <v>23.99548754917916</v>
      </c>
      <c r="X328" s="157">
        <f t="shared" si="112"/>
        <v>45971</v>
      </c>
      <c r="Y328" s="385">
        <f t="shared" si="113"/>
        <v>22.994376845628175</v>
      </c>
      <c r="Z328" s="385">
        <f t="shared" si="114"/>
        <v>24.410187280063653</v>
      </c>
      <c r="AA328" s="386">
        <f t="shared" si="115"/>
        <v>26.203570523002693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6.8440415071095953E-2</v>
      </c>
      <c r="AD328" s="231">
        <f>(INDEX(Models!$BJ328:$BT328,,AH328)*(1-AF328)+INDEX(Models!$BJ328:$BT328,,AH328+1)*AF328-ERP_i)*AE328*Ramure*Pc/MaxiM</f>
        <v>8.3925212223901757E-3</v>
      </c>
      <c r="AE328" s="305">
        <f t="shared" si="117"/>
        <v>0.7</v>
      </c>
      <c r="AF328" s="177">
        <f t="shared" si="118"/>
        <v>0.99927349888282713</v>
      </c>
      <c r="AG328" s="919">
        <f t="shared" si="124"/>
        <v>1</v>
      </c>
      <c r="AH328" s="176">
        <f t="shared" si="119"/>
        <v>7</v>
      </c>
      <c r="AI328" s="225">
        <f t="shared" si="120"/>
        <v>1.9992734988828271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1090">
        <f>IF(t&gt;Tmaj,'2024'!Wh/'2024'!Env_an*'2025'!Env_an,0.001*'[13]mon-tableau (3)'!$B$47)</f>
        <v>29.910820115648963</v>
      </c>
      <c r="C329" s="953"/>
      <c r="D329" s="393">
        <f t="shared" si="102"/>
        <v>31.7531854708723</v>
      </c>
      <c r="E329" s="385">
        <f t="shared" si="125"/>
        <v>32.848002980083677</v>
      </c>
      <c r="F329" s="385">
        <f t="shared" si="103"/>
        <v>32.854239402413441</v>
      </c>
      <c r="G329" s="110">
        <f t="shared" si="126"/>
        <v>0.96925703652570916</v>
      </c>
      <c r="H329" s="412" t="b">
        <f>Wh_hp&gt;='2024'!Maxi_hp</f>
        <v>1</v>
      </c>
      <c r="I329" s="390">
        <f>IF(H329,Wh_hp,'2024'!Maxi_hp)</f>
        <v>32.854239402413441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5.8021434004262851E-2</v>
      </c>
      <c r="M329" s="957"/>
      <c r="N329" s="957"/>
      <c r="O329" s="48">
        <f>IF(t&lt;Tnet,'2024'!Resal+('2024'!Salim-'2024'!Resal)*(1-EXP(('2024'!Tnet-t)/('2024'!Tau_j))),Resal+(Salim-Resal)*(1-EXP((Tnet-t)/(Tau_j))))*Salcycl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1.9853803105896606E-4</v>
      </c>
      <c r="Q329" s="305">
        <f t="shared" si="105"/>
        <v>0.7</v>
      </c>
      <c r="R329" s="177">
        <f t="shared" si="106"/>
        <v>0.47432328686484526</v>
      </c>
      <c r="S329" s="919">
        <f t="shared" si="107"/>
        <v>-2</v>
      </c>
      <c r="T329" s="176">
        <f t="shared" si="108"/>
        <v>4</v>
      </c>
      <c r="U329" s="251">
        <f t="shared" si="109"/>
        <v>-1.5256767131351547</v>
      </c>
      <c r="V329" s="383">
        <f t="shared" si="110"/>
        <v>30.859264574200203</v>
      </c>
      <c r="W329" s="402">
        <f t="shared" si="111"/>
        <v>29.910820115648963</v>
      </c>
      <c r="X329" s="157">
        <f t="shared" si="112"/>
        <v>45972</v>
      </c>
      <c r="Y329" s="385">
        <f t="shared" si="113"/>
        <v>28.586843665129297</v>
      </c>
      <c r="Z329" s="385">
        <f t="shared" si="114"/>
        <v>30.347658319497967</v>
      </c>
      <c r="AA329" s="386">
        <f t="shared" si="115"/>
        <v>32.578413343678633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6.847340908373345E-2</v>
      </c>
      <c r="AD329" s="231">
        <f>(INDEX(Models!$BJ329:$BT329,,AH329)*(1-AF329)+INDEX(Models!$BJ329:$BT329,,AH329+1)*AF329-ERP_i)*AE329*Ramure*Pc/MaxiM</f>
        <v>8.7809900805811934E-3</v>
      </c>
      <c r="AE329" s="305">
        <f t="shared" si="117"/>
        <v>0.7</v>
      </c>
      <c r="AF329" s="177">
        <f t="shared" si="118"/>
        <v>0.99931085323882418</v>
      </c>
      <c r="AG329" s="919">
        <f t="shared" si="124"/>
        <v>1</v>
      </c>
      <c r="AH329" s="176">
        <f t="shared" si="119"/>
        <v>7</v>
      </c>
      <c r="AI329" s="225">
        <f t="shared" si="120"/>
        <v>1.9993108532388242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1090">
        <f>IF(t&gt;Tmaj,'2024'!Wh/'2024'!Env_an*'2025'!Env_an,0.001*'[13]mon-tableau (3)'!$B$48)</f>
        <v>28.562828542269582</v>
      </c>
      <c r="C330" s="953"/>
      <c r="D330" s="393">
        <f t="shared" si="102"/>
        <v>30.322828126166741</v>
      </c>
      <c r="E330" s="385">
        <f t="shared" si="125"/>
        <v>31.371383041359035</v>
      </c>
      <c r="F330" s="385">
        <f t="shared" si="103"/>
        <v>31.377064463950646</v>
      </c>
      <c r="G330" s="110">
        <f t="shared" si="126"/>
        <v>0.93416093201070394</v>
      </c>
      <c r="H330" s="412" t="b">
        <f>Wh_hp&gt;='2024'!Maxi_hp</f>
        <v>0</v>
      </c>
      <c r="I330" s="390">
        <f>IF(H330,Wh_hp,'2024'!Maxi_hp)</f>
        <v>32.840746587016881</v>
      </c>
      <c r="J330" s="85">
        <f>IF(H330,An,'2024'!An_max)</f>
        <v>2020</v>
      </c>
      <c r="K330" s="197">
        <f t="shared" si="104"/>
        <v>45973</v>
      </c>
      <c r="L330" s="147">
        <f>IF(t&lt;Tvie,1-EXP((T0-t)*PertePVj)+'2024'!Pspv,1-EXP((T0-t)*PertePVj)+Pspv)</f>
        <v>5.8042065752382355E-2</v>
      </c>
      <c r="M330" s="957"/>
      <c r="N330" s="957"/>
      <c r="O330" s="48">
        <f>IF(t&lt;Tnet,'2024'!Resal+('2024'!Salim-'2024'!Resal)*(1-EXP(('2024'!Tnet-t)/('2024'!Tau_j))),Resal+(Salim-Resal)*(1-EXP((Tnet-t)/(Tau_j))))*Salcycl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1.9986249992373189E-4</v>
      </c>
      <c r="Q330" s="305">
        <f t="shared" si="105"/>
        <v>0.7</v>
      </c>
      <c r="R330" s="177">
        <f t="shared" si="106"/>
        <v>0.4743591424759086</v>
      </c>
      <c r="S330" s="919">
        <f t="shared" si="107"/>
        <v>-2</v>
      </c>
      <c r="T330" s="176">
        <f t="shared" si="108"/>
        <v>4</v>
      </c>
      <c r="U330" s="251">
        <f t="shared" si="109"/>
        <v>-1.5256408575240914</v>
      </c>
      <c r="V330" s="383">
        <f t="shared" si="110"/>
        <v>30.575343796672865</v>
      </c>
      <c r="W330" s="402">
        <f t="shared" si="111"/>
        <v>28.562828542269582</v>
      </c>
      <c r="X330" s="157">
        <f t="shared" si="112"/>
        <v>45973</v>
      </c>
      <c r="Y330" s="385">
        <f t="shared" si="113"/>
        <v>27.302190030411715</v>
      </c>
      <c r="Z330" s="385">
        <f t="shared" si="114"/>
        <v>28.984510918971292</v>
      </c>
      <c r="AA330" s="386">
        <f t="shared" si="115"/>
        <v>31.116183541660952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6.85068790597535E-2</v>
      </c>
      <c r="AD330" s="231">
        <f>(INDEX(Models!$BJ330:$BT330,,AH330)*(1-AF330)+INDEX(Models!$BJ330:$BT330,,AH330+1)*AF330-ERP_i)*AE330*Ramure*Pc/MaxiM</f>
        <v>9.1773341043499181E-3</v>
      </c>
      <c r="AE330" s="305">
        <f t="shared" si="117"/>
        <v>0.7</v>
      </c>
      <c r="AF330" s="177">
        <f t="shared" si="118"/>
        <v>0.9993467088498873</v>
      </c>
      <c r="AG330" s="919">
        <f t="shared" si="124"/>
        <v>1</v>
      </c>
      <c r="AH330" s="176">
        <f t="shared" si="119"/>
        <v>7</v>
      </c>
      <c r="AI330" s="225">
        <f t="shared" si="120"/>
        <v>1.9993467088498873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1090">
        <f>IF(t&gt;Tmaj,'2024'!Wh/'2024'!Env_an*'2025'!Env_an,0.001*'[13]mon-tableau (3)'!$B$49)</f>
        <v>28.753152565558633</v>
      </c>
      <c r="C331" s="953"/>
      <c r="D331" s="393">
        <f t="shared" si="102"/>
        <v>30.525548224352036</v>
      </c>
      <c r="E331" s="385">
        <f t="shared" si="125"/>
        <v>31.584191415286277</v>
      </c>
      <c r="F331" s="385">
        <f t="shared" si="103"/>
        <v>31.590091500523783</v>
      </c>
      <c r="G331" s="110">
        <f t="shared" si="126"/>
        <v>0.94902071137082511</v>
      </c>
      <c r="H331" s="412" t="b">
        <f>Wh_hp&gt;='2024'!Maxi_hp</f>
        <v>1</v>
      </c>
      <c r="I331" s="390">
        <f>IF(H331,Wh_hp,'2024'!Maxi_hp)</f>
        <v>31.590091500523783</v>
      </c>
      <c r="J331" s="85">
        <f>IF(H331,An,'2024'!An_max)</f>
        <v>2025</v>
      </c>
      <c r="K331" s="197">
        <f t="shared" si="104"/>
        <v>45974</v>
      </c>
      <c r="L331" s="147">
        <f>IF(t&lt;Tvie,1-EXP((T0-t)*PertePVj)+'2024'!Pspv,1-EXP((T0-t)*PertePVj)+Pspv)</f>
        <v>5.8062697048613776E-2</v>
      </c>
      <c r="M331" s="957"/>
      <c r="N331" s="957"/>
      <c r="O331" s="48">
        <f>IF(t&lt;Tnet,'2024'!Resal+('2024'!Salim-'2024'!Resal)*(1-EXP(('2024'!Tnet-t)/('2024'!Tau_j))),Resal+(Salim-Resal)*(1-EXP((Tnet-t)/(Tau_j))))*Salcycl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2.0143622342708574E-4</v>
      </c>
      <c r="Q331" s="305">
        <f t="shared" si="105"/>
        <v>0.7</v>
      </c>
      <c r="R331" s="177">
        <f t="shared" si="106"/>
        <v>0.47439355927265914</v>
      </c>
      <c r="S331" s="919">
        <f t="shared" si="107"/>
        <v>-2</v>
      </c>
      <c r="T331" s="176">
        <f t="shared" si="108"/>
        <v>4</v>
      </c>
      <c r="U331" s="251">
        <f t="shared" si="109"/>
        <v>-1.5256064407273409</v>
      </c>
      <c r="V331" s="383">
        <f t="shared" si="110"/>
        <v>30.297263743163164</v>
      </c>
      <c r="W331" s="402">
        <f t="shared" si="111"/>
        <v>28.753152565558633</v>
      </c>
      <c r="X331" s="157">
        <f t="shared" si="112"/>
        <v>45974</v>
      </c>
      <c r="Y331" s="385">
        <f t="shared" si="113"/>
        <v>27.470138455218315</v>
      </c>
      <c r="Z331" s="385">
        <f t="shared" si="114"/>
        <v>29.163446833611665</v>
      </c>
      <c r="AA331" s="386">
        <f t="shared" si="115"/>
        <v>31.309422499811593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6.8540889446710218E-2</v>
      </c>
      <c r="AD331" s="231">
        <f>(INDEX(Models!$BJ331:$BT331,,AH331)*(1-AF331)+INDEX(Models!$BJ331:$BT331,,AH331+1)*AF331-ERP_i)*AE331*Ramure*Pc/MaxiM</f>
        <v>9.5823875860512903E-3</v>
      </c>
      <c r="AE331" s="305">
        <f t="shared" si="117"/>
        <v>0.7</v>
      </c>
      <c r="AF331" s="177">
        <f t="shared" si="118"/>
        <v>0.99938112564663806</v>
      </c>
      <c r="AG331" s="919">
        <f t="shared" si="124"/>
        <v>1</v>
      </c>
      <c r="AH331" s="176">
        <f t="shared" si="119"/>
        <v>7</v>
      </c>
      <c r="AI331" s="225">
        <f t="shared" si="120"/>
        <v>1.9993811256466381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1090">
        <f>IF(t&gt;Tmaj,'2024'!Wh/'2024'!Env_an*'2025'!Env_an,0.001*'[13]mon-tableau (3)'!$B$50)</f>
        <v>10.748224935316259</v>
      </c>
      <c r="C332" s="953"/>
      <c r="D332" s="393">
        <f t="shared" si="102"/>
        <v>11.411014640257797</v>
      </c>
      <c r="E332" s="385">
        <f t="shared" si="125"/>
        <v>11.807907358522305</v>
      </c>
      <c r="F332" s="385">
        <f t="shared" si="103"/>
        <v>11.80810626972994</v>
      </c>
      <c r="G332" s="110">
        <f t="shared" si="126"/>
        <v>0.35795131323483886</v>
      </c>
      <c r="H332" s="412" t="b">
        <f>Wh_hp&gt;='2024'!Maxi_hp</f>
        <v>0</v>
      </c>
      <c r="I332" s="390">
        <f>IF(H332,Wh_hp,'2024'!Maxi_hp)</f>
        <v>20.754830581758107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5.8083327892966774E-2</v>
      </c>
      <c r="M332" s="957"/>
      <c r="N332" s="957"/>
      <c r="O332" s="48">
        <f>IF(t&lt;Tnet,'2024'!Resal+('2024'!Salim-'2024'!Resal)*(1-EXP(('2024'!Tnet-t)/('2024'!Tau_j))),Resal+(Salim-Resal)*(1-EXP((Tnet-t)/(Tau_j))))*Salcycl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2.0324221972993259E-4</v>
      </c>
      <c r="Q332" s="305">
        <f t="shared" si="105"/>
        <v>0.7</v>
      </c>
      <c r="R332" s="177">
        <f t="shared" si="106"/>
        <v>0.47442659480522087</v>
      </c>
      <c r="S332" s="919">
        <f t="shared" si="107"/>
        <v>-2</v>
      </c>
      <c r="T332" s="176">
        <f t="shared" si="108"/>
        <v>4</v>
      </c>
      <c r="U332" s="251">
        <f t="shared" si="109"/>
        <v>-1.5255734051947791</v>
      </c>
      <c r="V332" s="383">
        <f t="shared" si="110"/>
        <v>30.021461210846958</v>
      </c>
      <c r="W332" s="402">
        <f t="shared" si="111"/>
        <v>10.748224935316259</v>
      </c>
      <c r="X332" s="157">
        <f t="shared" si="112"/>
        <v>45975</v>
      </c>
      <c r="Y332" s="385">
        <f t="shared" si="113"/>
        <v>10.350966784667724</v>
      </c>
      <c r="Z332" s="385">
        <f t="shared" si="114"/>
        <v>10.989259550436653</v>
      </c>
      <c r="AA332" s="386">
        <f t="shared" si="115"/>
        <v>11.798336395766478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6.8575502358124041E-2</v>
      </c>
      <c r="AD332" s="231">
        <f>(INDEX(Models!$BJ332:$BT332,,AH332)*(1-AF332)+INDEX(Models!$BJ332:$BT332,,AH332+1)*AF332-ERP_i)*AE332*Ramure*Pc/MaxiM</f>
        <v>9.9825992432450994E-3</v>
      </c>
      <c r="AE332" s="305">
        <f t="shared" si="117"/>
        <v>0.7</v>
      </c>
      <c r="AF332" s="177">
        <f t="shared" si="118"/>
        <v>0.99941416117919979</v>
      </c>
      <c r="AG332" s="919">
        <f t="shared" si="124"/>
        <v>1</v>
      </c>
      <c r="AH332" s="176">
        <f t="shared" si="119"/>
        <v>7</v>
      </c>
      <c r="AI332" s="225">
        <f t="shared" si="120"/>
        <v>1.9994141611791998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1090">
        <f>IF(t&gt;Tmaj,'2024'!Wh/'2024'!Env_an*'2025'!Env_an,0.001*'[13]mon-tableau (3)'!$B$51)</f>
        <v>12.837109339275944</v>
      </c>
      <c r="C333" s="953"/>
      <c r="D333" s="393">
        <f t="shared" si="102"/>
        <v>13.629008691774883</v>
      </c>
      <c r="E333" s="385">
        <f t="shared" si="125"/>
        <v>14.104425330553699</v>
      </c>
      <c r="F333" s="385">
        <f t="shared" si="103"/>
        <v>14.104969205510793</v>
      </c>
      <c r="G333" s="110">
        <f t="shared" si="126"/>
        <v>0.43145179841044734</v>
      </c>
      <c r="H333" s="412" t="b">
        <f>Wh_hp&gt;='2024'!Maxi_hp</f>
        <v>0</v>
      </c>
      <c r="I333" s="390">
        <f>IF(H333,Wh_hp,'2024'!Maxi_hp)</f>
        <v>29.501536808911666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5.8103958285451229E-2</v>
      </c>
      <c r="M333" s="957"/>
      <c r="N333" s="957"/>
      <c r="O333" s="48">
        <f>IF(t&lt;Tnet,'2024'!Resal+('2024'!Salim-'2024'!Resal)*(1-EXP(('2024'!Tnet-t)/('2024'!Tau_j))),Resal+(Salim-Resal)*(1-EXP((Tnet-t)/(Tau_j))))*Salcycl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2.0522056421720992E-4</v>
      </c>
      <c r="Q333" s="305">
        <f t="shared" si="105"/>
        <v>0.7</v>
      </c>
      <c r="R333" s="177">
        <f t="shared" si="106"/>
        <v>0.47445830433651603</v>
      </c>
      <c r="S333" s="919">
        <f t="shared" si="107"/>
        <v>-2</v>
      </c>
      <c r="T333" s="176">
        <f t="shared" si="108"/>
        <v>4</v>
      </c>
      <c r="U333" s="251">
        <f t="shared" si="109"/>
        <v>-1.525541695663484</v>
      </c>
      <c r="V333" s="383">
        <f t="shared" si="110"/>
        <v>29.748328440536497</v>
      </c>
      <c r="W333" s="402">
        <f t="shared" si="111"/>
        <v>12.837109339275944</v>
      </c>
      <c r="X333" s="157">
        <f t="shared" si="112"/>
        <v>45976</v>
      </c>
      <c r="Y333" s="385">
        <f t="shared" si="113"/>
        <v>12.349802277188418</v>
      </c>
      <c r="Z333" s="385">
        <f t="shared" si="114"/>
        <v>13.111640489228376</v>
      </c>
      <c r="AA333" s="386">
        <f t="shared" si="115"/>
        <v>14.07750934790046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6.8610777290383007E-2</v>
      </c>
      <c r="AD333" s="231">
        <f>(INDEX(Models!$BJ333:$BT333,,AH333)*(1-AF333)+INDEX(Models!$BJ333:$BT333,,AH333+1)*AF333-ERP_i)*AE333*Ramure*Pc/MaxiM</f>
        <v>1.0361439515875504E-2</v>
      </c>
      <c r="AE333" s="305">
        <f t="shared" si="117"/>
        <v>0.7</v>
      </c>
      <c r="AF333" s="177">
        <f t="shared" si="118"/>
        <v>0.99944587071049495</v>
      </c>
      <c r="AG333" s="919">
        <f t="shared" si="124"/>
        <v>1</v>
      </c>
      <c r="AH333" s="176">
        <f t="shared" si="119"/>
        <v>7</v>
      </c>
      <c r="AI333" s="225">
        <f t="shared" si="120"/>
        <v>1.999445870710495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1090">
        <f>IF(t&gt;Tmaj,'2024'!Wh/'2024'!Env_an*'2025'!Env_an,0.001*'[13]mon-tableau (3)'!$B$52)</f>
        <v>28.445653314038946</v>
      </c>
      <c r="C334" s="953"/>
      <c r="D334" s="393">
        <f t="shared" si="102"/>
        <v>30.201078569897657</v>
      </c>
      <c r="E334" s="385">
        <f t="shared" si="125"/>
        <v>31.257635067981951</v>
      </c>
      <c r="F334" s="385">
        <f t="shared" si="103"/>
        <v>31.263793869207316</v>
      </c>
      <c r="G334" s="110">
        <f t="shared" si="126"/>
        <v>0.96496069372425697</v>
      </c>
      <c r="H334" s="412" t="b">
        <f>Wh_hp&gt;='2024'!Maxi_hp</f>
        <v>1</v>
      </c>
      <c r="I334" s="390">
        <f>IF(H334,Wh_hp,'2024'!Maxi_hp)</f>
        <v>31.263793869207316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5.8124588226077356E-2</v>
      </c>
      <c r="M334" s="957"/>
      <c r="N334" s="957"/>
      <c r="O334" s="48">
        <f>IF(t&lt;Tnet,'2024'!Resal+('2024'!Salim-'2024'!Resal)*(1-EXP(('2024'!Tnet-t)/('2024'!Tau_j))),Resal+(Salim-Resal)*(1-EXP((Tnet-t)/(Tau_j))))*Salcycl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2.0737196021084267E-4</v>
      </c>
      <c r="Q334" s="305">
        <f t="shared" si="105"/>
        <v>0.7</v>
      </c>
      <c r="R334" s="177">
        <f t="shared" si="106"/>
        <v>0.47448874093200555</v>
      </c>
      <c r="S334" s="919">
        <f t="shared" si="107"/>
        <v>-2</v>
      </c>
      <c r="T334" s="176">
        <f t="shared" si="108"/>
        <v>4</v>
      </c>
      <c r="U334" s="251">
        <f t="shared" si="109"/>
        <v>-1.5255112590679945</v>
      </c>
      <c r="V334" s="383">
        <f t="shared" si="110"/>
        <v>29.478255697358549</v>
      </c>
      <c r="W334" s="402">
        <f t="shared" si="111"/>
        <v>28.445653314038946</v>
      </c>
      <c r="X334" s="157">
        <f t="shared" si="112"/>
        <v>45977</v>
      </c>
      <c r="Y334" s="385">
        <f t="shared" si="113"/>
        <v>27.145930551294992</v>
      </c>
      <c r="Z334" s="385">
        <f t="shared" si="114"/>
        <v>28.821147905505363</v>
      </c>
      <c r="AA334" s="386">
        <f t="shared" si="115"/>
        <v>30.945453350672434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6.8646770854979555E-2</v>
      </c>
      <c r="AD334" s="231">
        <f>(INDEX(Models!$BJ334:$BT334,,AH334)*(1-AF334)+INDEX(Models!$BJ334:$BT334,,AH334+1)*AF334-ERP_i)*AE334*Ramure*Pc/MaxiM</f>
        <v>1.0718790057918546E-2</v>
      </c>
      <c r="AE334" s="305">
        <f t="shared" si="117"/>
        <v>0.7</v>
      </c>
      <c r="AF334" s="177">
        <f t="shared" si="118"/>
        <v>0.99947630730598447</v>
      </c>
      <c r="AG334" s="919">
        <f t="shared" si="124"/>
        <v>1</v>
      </c>
      <c r="AH334" s="176">
        <f t="shared" si="119"/>
        <v>7</v>
      </c>
      <c r="AI334" s="225">
        <f t="shared" si="120"/>
        <v>1.9994763073059845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1090">
        <f>IF(t&gt;Tmaj,'2024'!Wh/'2024'!Env_an*'2025'!Env_an,0.001*'[13]mon-tableau (3)'!$B$53)</f>
        <v>15.200546090945611</v>
      </c>
      <c r="C335" s="953"/>
      <c r="D335" s="393">
        <f t="shared" ref="D335:D379" si="127">Wh/(1-Ppv)</f>
        <v>16.138948781536968</v>
      </c>
      <c r="E335" s="385">
        <f t="shared" si="125"/>
        <v>16.705194584017253</v>
      </c>
      <c r="F335" s="385">
        <f t="shared" ref="F335:F379" si="128">Wh_sa/(1-Pvg*MEDIAN((-Sdif+Wh/Env_an)/Csdif,0,1))</f>
        <v>16.706297406980724</v>
      </c>
      <c r="G335" s="110">
        <f t="shared" si="126"/>
        <v>0.52028456600964101</v>
      </c>
      <c r="H335" s="412" t="b">
        <f>Wh_hp&gt;='2024'!Maxi_hp</f>
        <v>0</v>
      </c>
      <c r="I335" s="390">
        <f>IF(H335,Wh_hp,'2024'!Maxi_hp)</f>
        <v>31.482813740825435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5.8145217714854702E-2</v>
      </c>
      <c r="M335" s="957"/>
      <c r="N335" s="957"/>
      <c r="O335" s="48">
        <f>IF(t&lt;Tnet,'2024'!Resal+('2024'!Salim-'2024'!Resal)*(1-EXP(('2024'!Tnet-t)/('2024'!Tau_j))),Resal+(Salim-Resal)*(1-EXP((Tnet-t)/(Tau_j))))*Salcycl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2.0969697812679524E-4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0.47451795554599974</v>
      </c>
      <c r="S335" s="919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-1.5254820444540003</v>
      </c>
      <c r="V335" s="383">
        <f t="shared" ref="V335:V379" si="135">MaxiM*(1-Ppv)*(1-Pvg)*(1-Psa)</f>
        <v>29.211633124988868</v>
      </c>
      <c r="W335" s="402">
        <f t="shared" ref="W335:W379" si="136">Wh*(A335&gt;Tmaj)</f>
        <v>15.200546090945611</v>
      </c>
      <c r="X335" s="157">
        <f t="shared" ref="X335:X379" si="137">t</f>
        <v>45978</v>
      </c>
      <c r="Y335" s="385">
        <f t="shared" ref="Y335:Y379" si="138">Wh_pvt_s*(1-Ppv)</f>
        <v>14.603181320964424</v>
      </c>
      <c r="Z335" s="385">
        <f t="shared" ref="Z335:Z379" si="139">Wh_sa_s*(1-Psa_s)</f>
        <v>15.504705816255367</v>
      </c>
      <c r="AA335" s="386">
        <f t="shared" ref="AA335:AA379" si="140">Wh_hp*(1-Pvg_s*MEDIAN((-Sdif+Wh/Env_an)/Csdif,0,1))</f>
        <v>16.648160345467186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6.8683536527995429E-2</v>
      </c>
      <c r="AD335" s="231">
        <f>(INDEX(Models!$BJ335:$BT335,,AH335)*(1-AF335)+INDEX(Models!$BJ335:$BT335,,AH335+1)*AF335-ERP_i)*AE335*Ramure*Pc/MaxiM</f>
        <v>1.1054508765559341E-2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0.99950552191997866</v>
      </c>
      <c r="AG335" s="919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1.9995055219199787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1090">
        <f>IF(t&gt;Tmaj,'2024'!Wh/'2024'!Env_an*'2025'!Env_an,0.001*'[13]mon-tableau (3)'!$B$54)</f>
        <v>13.880213031712989</v>
      </c>
      <c r="C336" s="953"/>
      <c r="D336" s="393">
        <f t="shared" si="127"/>
        <v>14.737428010911238</v>
      </c>
      <c r="E336" s="385">
        <f t="shared" si="125"/>
        <v>15.25600186437774</v>
      </c>
      <c r="F336" s="385">
        <f t="shared" si="128"/>
        <v>15.256831914693668</v>
      </c>
      <c r="G336" s="110">
        <f t="shared" si="126"/>
        <v>0.4793980548574116</v>
      </c>
      <c r="H336" s="412" t="b">
        <f>Wh_hp&gt;='2024'!Maxi_hp</f>
        <v>0</v>
      </c>
      <c r="I336" s="390">
        <f>IF(H336,Wh_hp,'2024'!Maxi_hp)</f>
        <v>29.94043779612808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5.816584675179326E-2</v>
      </c>
      <c r="M336" s="957"/>
      <c r="N336" s="957"/>
      <c r="O336" s="48">
        <f>IF(t&lt;Tnet,'2024'!Resal+('2024'!Salim-'2024'!Resal)*(1-EXP(('2024'!Tnet-t)/('2024'!Tau_j))),Resal+(Salim-Resal)*(1-EXP((Tnet-t)/(Tau_j))))*Salcycl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2.1219602480065136E-4</v>
      </c>
      <c r="Q336" s="305">
        <f t="shared" si="130"/>
        <v>0.7</v>
      </c>
      <c r="R336" s="177">
        <f t="shared" si="131"/>
        <v>0.47454599710466328</v>
      </c>
      <c r="S336" s="919">
        <f t="shared" si="132"/>
        <v>-2</v>
      </c>
      <c r="T336" s="176">
        <f t="shared" si="133"/>
        <v>4</v>
      </c>
      <c r="U336" s="251">
        <f t="shared" si="134"/>
        <v>-1.5254540028953367</v>
      </c>
      <c r="V336" s="383">
        <f t="shared" si="135"/>
        <v>28.948850753681555</v>
      </c>
      <c r="W336" s="402">
        <f t="shared" si="136"/>
        <v>13.880213031712989</v>
      </c>
      <c r="X336" s="157">
        <f t="shared" si="137"/>
        <v>45979</v>
      </c>
      <c r="Y336" s="385">
        <f t="shared" si="138"/>
        <v>13.342918537727263</v>
      </c>
      <c r="Z336" s="385">
        <f t="shared" si="139"/>
        <v>14.166951253264788</v>
      </c>
      <c r="AA336" s="386">
        <f t="shared" si="140"/>
        <v>15.212361865741459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6.8721124418618815E-2</v>
      </c>
      <c r="AD336" s="231">
        <f>(INDEX(Models!$BJ336:$BT336,,AH336)*(1-AF336)+INDEX(Models!$BJ336:$BT336,,AH336+1)*AF336-ERP_i)*AE336*Ramure*Pc/MaxiM</f>
        <v>1.1368428430517786E-2</v>
      </c>
      <c r="AE336" s="305">
        <f t="shared" si="142"/>
        <v>0.7</v>
      </c>
      <c r="AF336" s="177">
        <f t="shared" si="143"/>
        <v>0.99953356347864197</v>
      </c>
      <c r="AG336" s="919">
        <f t="shared" ref="AG336:AG379" si="149">INDEX(Echel_vg,AH336)</f>
        <v>1</v>
      </c>
      <c r="AH336" s="176">
        <f t="shared" si="144"/>
        <v>7</v>
      </c>
      <c r="AI336" s="225">
        <f t="shared" si="145"/>
        <v>1.999533563478642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1090">
        <f>IF(t&gt;Tmaj,'2024'!Wh/'2024'!Env_an*'2025'!Env_an,0.001*'[13]mon-tableau (3)'!$B$55)</f>
        <v>5.9869171235300156</v>
      </c>
      <c r="C337" s="953"/>
      <c r="D337" s="393">
        <f t="shared" si="127"/>
        <v>6.3567967190443984</v>
      </c>
      <c r="E337" s="385">
        <f t="shared" si="125"/>
        <v>6.5811262464953115</v>
      </c>
      <c r="F337" s="385">
        <f t="shared" si="128"/>
        <v>6.5811262464953115</v>
      </c>
      <c r="G337" s="110">
        <f t="shared" si="126"/>
        <v>0.20862908487623374</v>
      </c>
      <c r="H337" s="412" t="b">
        <f>Wh_hp&gt;='2024'!Maxi_hp</f>
        <v>0</v>
      </c>
      <c r="I337" s="390">
        <f>IF(H337,Wh_hp,'2024'!Maxi_hp)</f>
        <v>31.549585507891482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5.8186475336903021E-2</v>
      </c>
      <c r="M337" s="957"/>
      <c r="N337" s="957"/>
      <c r="O337" s="48">
        <f>IF(t&lt;Tnet,'2024'!Resal+('2024'!Salim-'2024'!Resal)*(1-EXP(('2024'!Tnet-t)/('2024'!Tau_j))),Resal+(Salim-Resal)*(1-EXP((Tnet-t)/(Tau_j))))*Salcycl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2.1486931040638182E-4</v>
      </c>
      <c r="Q337" s="305">
        <f t="shared" si="130"/>
        <v>0.7</v>
      </c>
      <c r="R337" s="177">
        <f t="shared" si="131"/>
        <v>0.47457291258583378</v>
      </c>
      <c r="S337" s="919">
        <f t="shared" si="132"/>
        <v>-2</v>
      </c>
      <c r="T337" s="176">
        <f t="shared" si="133"/>
        <v>4</v>
      </c>
      <c r="U337" s="251">
        <f t="shared" si="134"/>
        <v>-1.5254270874141662</v>
      </c>
      <c r="V337" s="383">
        <f t="shared" si="135"/>
        <v>28.690298489911477</v>
      </c>
      <c r="W337" s="402">
        <f t="shared" si="136"/>
        <v>5.9869171235300156</v>
      </c>
      <c r="X337" s="157">
        <f t="shared" si="137"/>
        <v>45980</v>
      </c>
      <c r="Y337" s="385">
        <f t="shared" si="138"/>
        <v>5.772008503889686</v>
      </c>
      <c r="Z337" s="385">
        <f t="shared" si="139"/>
        <v>6.1286107628943141</v>
      </c>
      <c r="AA337" s="386">
        <f t="shared" si="140"/>
        <v>6.5811262464953115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6.8759581058329994E-2</v>
      </c>
      <c r="AD337" s="231">
        <f>(INDEX(Models!$BJ337:$BT337,,AH337)*(1-AF337)+INDEX(Models!$BJ337:$BT337,,AH337+1)*AF337-ERP_i)*AE337*Ramure*Pc/MaxiM</f>
        <v>1.1660355591785734E-2</v>
      </c>
      <c r="AE337" s="305">
        <f t="shared" si="142"/>
        <v>0.7</v>
      </c>
      <c r="AF337" s="177">
        <f t="shared" si="143"/>
        <v>0.99956047895981248</v>
      </c>
      <c r="AG337" s="919">
        <f t="shared" si="149"/>
        <v>1</v>
      </c>
      <c r="AH337" s="176">
        <f t="shared" si="144"/>
        <v>7</v>
      </c>
      <c r="AI337" s="225">
        <f t="shared" si="145"/>
        <v>1.9995604789598125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1090">
        <f>IF(t&gt;Tmaj,'2024'!Wh/'2024'!Env_an*'2025'!Env_an,0.001*'[13]mon-tableau (3)'!$B$56)</f>
        <v>17.733115824371584</v>
      </c>
      <c r="C338" s="953"/>
      <c r="D338" s="393">
        <f t="shared" si="127"/>
        <v>18.829103393869527</v>
      </c>
      <c r="E338" s="385">
        <f t="shared" si="125"/>
        <v>19.495506953652249</v>
      </c>
      <c r="F338" s="385">
        <f t="shared" si="128"/>
        <v>19.497466808371808</v>
      </c>
      <c r="G338" s="110">
        <f t="shared" si="126"/>
        <v>0.62353386661648524</v>
      </c>
      <c r="H338" s="412" t="b">
        <f>Wh_hp&gt;='2024'!Maxi_hp</f>
        <v>0</v>
      </c>
      <c r="I338" s="390">
        <f>IF(H338,Wh_hp,'2024'!Maxi_hp)</f>
        <v>31.724603682982458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5.8207103470193866E-2</v>
      </c>
      <c r="M338" s="957"/>
      <c r="N338" s="957"/>
      <c r="O338" s="48">
        <f>IF(t&lt;Tnet,'2024'!Resal+('2024'!Salim-'2024'!Resal)*(1-EXP(('2024'!Tnet-t)/('2024'!Tau_j))),Resal+(Salim-Resal)*(1-EXP((Tnet-t)/(Tau_j))))*Salcycl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2.1743332816212337E-4</v>
      </c>
      <c r="Q338" s="305">
        <f t="shared" si="130"/>
        <v>0.7</v>
      </c>
      <c r="R338" s="177">
        <f t="shared" si="131"/>
        <v>0.47459874709577266</v>
      </c>
      <c r="S338" s="919">
        <f t="shared" si="132"/>
        <v>-2</v>
      </c>
      <c r="T338" s="176">
        <f t="shared" si="133"/>
        <v>4</v>
      </c>
      <c r="U338" s="251">
        <f t="shared" si="134"/>
        <v>-1.5254012529042273</v>
      </c>
      <c r="V338" s="383">
        <f t="shared" si="135"/>
        <v>28.436374188788538</v>
      </c>
      <c r="W338" s="402">
        <f t="shared" si="136"/>
        <v>17.733115824371584</v>
      </c>
      <c r="X338" s="157">
        <f t="shared" si="137"/>
        <v>45981</v>
      </c>
      <c r="Y338" s="385">
        <f t="shared" si="138"/>
        <v>17.004999676448708</v>
      </c>
      <c r="Z338" s="385">
        <f t="shared" si="139"/>
        <v>18.055986341696229</v>
      </c>
      <c r="AA338" s="386">
        <f t="shared" si="140"/>
        <v>19.389997816713635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6.8798949212233854E-2</v>
      </c>
      <c r="AD338" s="231">
        <f>(INDEX(Models!$BJ338:$BT338,,AH338)*(1-AF338)+INDEX(Models!$BJ338:$BT338,,AH338+1)*AF338-ERP_i)*AE338*Ramure*Pc/MaxiM</f>
        <v>1.1922996279912402E-2</v>
      </c>
      <c r="AE338" s="305">
        <f t="shared" si="142"/>
        <v>0.7</v>
      </c>
      <c r="AF338" s="177">
        <f t="shared" si="143"/>
        <v>0.99958631346975158</v>
      </c>
      <c r="AG338" s="919">
        <f t="shared" si="149"/>
        <v>1</v>
      </c>
      <c r="AH338" s="176">
        <f t="shared" si="144"/>
        <v>7</v>
      </c>
      <c r="AI338" s="225">
        <f t="shared" si="145"/>
        <v>1.9995863134697516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1090">
        <f>IF(t&gt;Tmaj,'2024'!Wh/'2024'!Env_an*'2025'!Env_an,0.001*'[13]mon-tableau (3)'!$B$57)</f>
        <v>3.5396579997181088</v>
      </c>
      <c r="C339" s="953"/>
      <c r="D339" s="393">
        <f t="shared" si="127"/>
        <v>3.7585073555485873</v>
      </c>
      <c r="E339" s="385">
        <f t="shared" si="125"/>
        <v>3.8919157834462252</v>
      </c>
      <c r="F339" s="385">
        <f t="shared" si="128"/>
        <v>3.8919157834462252</v>
      </c>
      <c r="G339" s="110">
        <f t="shared" si="126"/>
        <v>0.12554798320520058</v>
      </c>
      <c r="H339" s="412" t="b">
        <f>Wh_hp&gt;='2024'!Maxi_hp</f>
        <v>0</v>
      </c>
      <c r="I339" s="390">
        <f>IF(H339,Wh_hp,'2024'!Maxi_hp)</f>
        <v>30.885830486283265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5.8227731151675677E-2</v>
      </c>
      <c r="M339" s="957"/>
      <c r="N339" s="957"/>
      <c r="O339" s="48">
        <f>IF(t&lt;Tnet,'2024'!Resal+('2024'!Salim-'2024'!Resal)*(1-EXP(('2024'!Tnet-t)/('2024'!Tau_j))),Resal+(Salim-Resal)*(1-EXP((Tnet-t)/(Tau_j))))*Salcycl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2.1968705782968815E-4</v>
      </c>
      <c r="Q339" s="305">
        <f t="shared" si="130"/>
        <v>0.7</v>
      </c>
      <c r="R339" s="177">
        <f t="shared" si="131"/>
        <v>0.4746235439429578</v>
      </c>
      <c r="S339" s="919">
        <f t="shared" si="132"/>
        <v>-2</v>
      </c>
      <c r="T339" s="176">
        <f t="shared" si="133"/>
        <v>4</v>
      </c>
      <c r="U339" s="251">
        <f t="shared" si="134"/>
        <v>-1.5253764560570422</v>
      </c>
      <c r="V339" s="383">
        <f t="shared" si="135"/>
        <v>28.187472967067432</v>
      </c>
      <c r="W339" s="402">
        <f t="shared" si="136"/>
        <v>3.5396579997181088</v>
      </c>
      <c r="X339" s="157">
        <f t="shared" si="137"/>
        <v>45982</v>
      </c>
      <c r="Y339" s="385">
        <f t="shared" si="138"/>
        <v>3.4129819026567607</v>
      </c>
      <c r="Z339" s="385">
        <f t="shared" si="139"/>
        <v>3.6239991509098397</v>
      </c>
      <c r="AA339" s="386">
        <f t="shared" si="140"/>
        <v>3.8919157834462252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6.8839267713842925E-2</v>
      </c>
      <c r="AD339" s="231">
        <f>(INDEX(Models!$BJ339:$BT339,,AH339)*(1-AF339)+INDEX(Models!$BJ339:$BT339,,AH339+1)*AF339-ERP_i)*AE339*Ramure*Pc/MaxiM</f>
        <v>1.2165147523368208E-2</v>
      </c>
      <c r="AE339" s="305">
        <f t="shared" si="142"/>
        <v>0.7</v>
      </c>
      <c r="AF339" s="177">
        <f t="shared" si="143"/>
        <v>0.99961111031693672</v>
      </c>
      <c r="AG339" s="919">
        <f t="shared" si="149"/>
        <v>1</v>
      </c>
      <c r="AH339" s="176">
        <f t="shared" si="144"/>
        <v>7</v>
      </c>
      <c r="AI339" s="225">
        <f t="shared" si="145"/>
        <v>1.9996111103169367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1090">
        <f>IF(t&gt;Tmaj,'2024'!Wh/'2024'!Env_an*'2025'!Env_an,0.001*'[13]mon-tableau (3)'!$B$58)</f>
        <v>7.8416166864415429</v>
      </c>
      <c r="C340" s="953"/>
      <c r="D340" s="393">
        <f t="shared" si="127"/>
        <v>8.3266291662244551</v>
      </c>
      <c r="E340" s="385">
        <f t="shared" si="125"/>
        <v>8.6230428080627775</v>
      </c>
      <c r="F340" s="385">
        <f t="shared" si="128"/>
        <v>8.6230428080627775</v>
      </c>
      <c r="G340" s="110">
        <f t="shared" si="126"/>
        <v>0.28055694361055633</v>
      </c>
      <c r="H340" s="412" t="b">
        <f>Wh_hp&gt;='2024'!Maxi_hp</f>
        <v>0</v>
      </c>
      <c r="I340" s="390">
        <f>IF(H340,Wh_hp,'2024'!Maxi_hp)</f>
        <v>31.571381737013635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5.8248358381358223E-2</v>
      </c>
      <c r="M340" s="957"/>
      <c r="N340" s="957"/>
      <c r="O340" s="48">
        <f>IF(t&lt;Tnet,'2024'!Resal+('2024'!Salim-'2024'!Resal)*(1-EXP(('2024'!Tnet-t)/('2024'!Tau_j))),Resal+(Salim-Resal)*(1-EXP((Tnet-t)/(Tau_j))))*Salcycl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2.2162605804131039E-4</v>
      </c>
      <c r="Q340" s="305">
        <f t="shared" si="130"/>
        <v>0.7</v>
      </c>
      <c r="R340" s="177">
        <f t="shared" si="131"/>
        <v>0.47464734470902648</v>
      </c>
      <c r="S340" s="919">
        <f t="shared" si="132"/>
        <v>-2</v>
      </c>
      <c r="T340" s="176">
        <f t="shared" si="133"/>
        <v>4</v>
      </c>
      <c r="U340" s="251">
        <f t="shared" si="134"/>
        <v>-1.5253526552909735</v>
      </c>
      <c r="V340" s="383">
        <f t="shared" si="135"/>
        <v>27.943984130113936</v>
      </c>
      <c r="W340" s="402">
        <f t="shared" si="136"/>
        <v>7.8416166864415429</v>
      </c>
      <c r="X340" s="157">
        <f t="shared" si="137"/>
        <v>45983</v>
      </c>
      <c r="Y340" s="385">
        <f t="shared" si="138"/>
        <v>7.5614018067194602</v>
      </c>
      <c r="Z340" s="385">
        <f t="shared" si="139"/>
        <v>8.0290826928883838</v>
      </c>
      <c r="AA340" s="386">
        <f t="shared" si="140"/>
        <v>8.6230428080627775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6.8880571324431414E-2</v>
      </c>
      <c r="AD340" s="231">
        <f>(INDEX(Models!$BJ340:$BT340,,AH340)*(1-AF340)+INDEX(Models!$BJ340:$BT340,,AH340+1)*AF340-ERP_i)*AE340*Ramure*Pc/MaxiM</f>
        <v>1.2386548515545055E-2</v>
      </c>
      <c r="AE340" s="305">
        <f t="shared" si="142"/>
        <v>0.7</v>
      </c>
      <c r="AF340" s="177">
        <f t="shared" si="143"/>
        <v>0.9996349110830054</v>
      </c>
      <c r="AG340" s="919">
        <f t="shared" si="149"/>
        <v>1</v>
      </c>
      <c r="AH340" s="176">
        <f t="shared" si="144"/>
        <v>7</v>
      </c>
      <c r="AI340" s="225">
        <f t="shared" si="145"/>
        <v>1.9996349110830054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1090">
        <f>IF(t&gt;Tmaj,'2024'!Wh/'2024'!Env_an*'2025'!Env_an,0.001*'[13]mon-tableau (3)'!$B$59)</f>
        <v>12.167829672728676</v>
      </c>
      <c r="C341" s="953"/>
      <c r="D341" s="393">
        <f t="shared" si="127"/>
        <v>12.920706105008465</v>
      </c>
      <c r="E341" s="385">
        <f t="shared" si="125"/>
        <v>13.381999735628101</v>
      </c>
      <c r="F341" s="385">
        <f t="shared" si="128"/>
        <v>13.382593718746984</v>
      </c>
      <c r="G341" s="110">
        <f t="shared" si="126"/>
        <v>0.43909344085659879</v>
      </c>
      <c r="H341" s="412" t="b">
        <f>Wh_hp&gt;='2024'!Maxi_hp</f>
        <v>0</v>
      </c>
      <c r="I341" s="390">
        <f>IF(H341,Wh_hp,'2024'!Maxi_hp)</f>
        <v>31.553325364511156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5.8268985159251607E-2</v>
      </c>
      <c r="M341" s="957"/>
      <c r="N341" s="957"/>
      <c r="O341" s="48">
        <f>IF(t&lt;Tnet,'2024'!Resal+('2024'!Salim-'2024'!Resal)*(1-EXP(('2024'!Tnet-t)/('2024'!Tau_j))),Resal+(Salim-Resal)*(1-EXP((Tnet-t)/(Tau_j))))*Salcycl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2.2324410422098053E-4</v>
      </c>
      <c r="Q341" s="305">
        <f t="shared" si="130"/>
        <v>0.7</v>
      </c>
      <c r="R341" s="177">
        <f t="shared" si="131"/>
        <v>0.47467018931697602</v>
      </c>
      <c r="S341" s="919">
        <f t="shared" si="132"/>
        <v>-2</v>
      </c>
      <c r="T341" s="176">
        <f t="shared" si="133"/>
        <v>4</v>
      </c>
      <c r="U341" s="251">
        <f t="shared" si="134"/>
        <v>-1.525329810683024</v>
      </c>
      <c r="V341" s="383">
        <f t="shared" si="135"/>
        <v>27.706296915472659</v>
      </c>
      <c r="W341" s="402">
        <f t="shared" si="136"/>
        <v>12.167829672728676</v>
      </c>
      <c r="X341" s="157">
        <f t="shared" si="137"/>
        <v>45984</v>
      </c>
      <c r="Y341" s="385">
        <f t="shared" si="138"/>
        <v>11.704817380003275</v>
      </c>
      <c r="Z341" s="385">
        <f t="shared" si="139"/>
        <v>12.42904523218089</v>
      </c>
      <c r="AA341" s="386">
        <f t="shared" si="140"/>
        <v>13.349104071980801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6.8922890617886007E-2</v>
      </c>
      <c r="AD341" s="231">
        <f>(INDEX(Models!$BJ341:$BT341,,AH341)*(1-AF341)+INDEX(Models!$BJ341:$BT341,,AH341+1)*AF341-ERP_i)*AE341*Ramure*Pc/MaxiM</f>
        <v>1.2586832782509881E-2</v>
      </c>
      <c r="AE341" s="305">
        <f t="shared" si="142"/>
        <v>0.7</v>
      </c>
      <c r="AF341" s="177">
        <f t="shared" si="143"/>
        <v>0.99965775569095516</v>
      </c>
      <c r="AG341" s="919">
        <f t="shared" si="149"/>
        <v>1</v>
      </c>
      <c r="AH341" s="176">
        <f t="shared" si="144"/>
        <v>7</v>
      </c>
      <c r="AI341" s="225">
        <f t="shared" si="145"/>
        <v>1.9996577556909552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1090">
        <f>IF(t&gt;Tmaj,'2024'!Wh/'2024'!Env_an*'2025'!Env_an,0.001*'[13]mon-tableau (3)'!$B$60)</f>
        <v>14.373720300616748</v>
      </c>
      <c r="C342" s="953"/>
      <c r="D342" s="393">
        <f t="shared" si="127"/>
        <v>15.263419068030569</v>
      </c>
      <c r="E342" s="385">
        <f t="shared" si="125"/>
        <v>15.809939792199801</v>
      </c>
      <c r="F342" s="385">
        <f t="shared" si="128"/>
        <v>15.811071579661172</v>
      </c>
      <c r="G342" s="110">
        <f t="shared" si="126"/>
        <v>0.52308011026832668</v>
      </c>
      <c r="H342" s="412" t="b">
        <f>Wh_hp&gt;='2024'!Maxi_hp</f>
        <v>0</v>
      </c>
      <c r="I342" s="390">
        <f>IF(H342,Wh_hp,'2024'!Maxi_hp)</f>
        <v>29.21125181785667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5.8289611485365489E-2</v>
      </c>
      <c r="M342" s="957"/>
      <c r="N342" s="957"/>
      <c r="O342" s="48">
        <f>IF(t&lt;Tnet,'2024'!Resal+('2024'!Salim-'2024'!Resal)*(1-EXP(('2024'!Tnet-t)/('2024'!Tau_j))),Resal+(Salim-Resal)*(1-EXP((Tnet-t)/(Tau_j))))*Salcycl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2.2453549125639206E-4</v>
      </c>
      <c r="Q342" s="305">
        <f t="shared" si="130"/>
        <v>0.7</v>
      </c>
      <c r="R342" s="177">
        <f t="shared" si="131"/>
        <v>0.47469211609672413</v>
      </c>
      <c r="S342" s="919">
        <f t="shared" si="132"/>
        <v>-2</v>
      </c>
      <c r="T342" s="176">
        <f t="shared" si="133"/>
        <v>4</v>
      </c>
      <c r="U342" s="251">
        <f t="shared" si="134"/>
        <v>-1.5253078839032759</v>
      </c>
      <c r="V342" s="383">
        <f t="shared" si="135"/>
        <v>27.474800417383783</v>
      </c>
      <c r="W342" s="402">
        <f t="shared" si="136"/>
        <v>14.373720300616748</v>
      </c>
      <c r="X342" s="157">
        <f t="shared" si="137"/>
        <v>45985</v>
      </c>
      <c r="Y342" s="385">
        <f t="shared" si="138"/>
        <v>13.806164322048227</v>
      </c>
      <c r="Z342" s="385">
        <f t="shared" si="139"/>
        <v>14.66073273740218</v>
      </c>
      <c r="AA342" s="386">
        <f t="shared" si="140"/>
        <v>15.746725365424707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6.8966251891777811E-2</v>
      </c>
      <c r="AD342" s="231">
        <f>(INDEX(Models!$BJ342:$BT342,,AH342)*(1-AF342)+INDEX(Models!$BJ342:$BT342,,AH342+1)*AF342-ERP_i)*AE342*Ramure*Pc/MaxiM</f>
        <v>1.2765655493800123E-2</v>
      </c>
      <c r="AE342" s="305">
        <f t="shared" si="142"/>
        <v>0.7</v>
      </c>
      <c r="AF342" s="177">
        <f t="shared" si="143"/>
        <v>0.99967968247070305</v>
      </c>
      <c r="AG342" s="919">
        <f t="shared" si="149"/>
        <v>1</v>
      </c>
      <c r="AH342" s="176">
        <f t="shared" si="144"/>
        <v>7</v>
      </c>
      <c r="AI342" s="225">
        <f t="shared" si="145"/>
        <v>1.999679682470703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1090">
        <f>IF(t&gt;Tmaj,'2024'!Wh/'2024'!Env_an*'2025'!Env_an,0.001*'[13]mon-tableau (3)'!$B$61)</f>
        <v>4.4212680850339767</v>
      </c>
      <c r="C343" s="953"/>
      <c r="D343" s="393">
        <f t="shared" si="127"/>
        <v>4.6950367949607079</v>
      </c>
      <c r="E343" s="385">
        <f t="shared" si="125"/>
        <v>4.86363732367065</v>
      </c>
      <c r="F343" s="385">
        <f t="shared" si="128"/>
        <v>4.86363732367065</v>
      </c>
      <c r="G343" s="110">
        <f t="shared" si="126"/>
        <v>0.16221247681768794</v>
      </c>
      <c r="H343" s="412" t="b">
        <f>Wh_hp&gt;='2024'!Maxi_hp</f>
        <v>0</v>
      </c>
      <c r="I343" s="390">
        <f>IF(H343,Wh_hp,'2024'!Maxi_hp)</f>
        <v>27.276647569608237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5.8310237359709971E-2</v>
      </c>
      <c r="M343" s="957"/>
      <c r="N343" s="957"/>
      <c r="O343" s="48">
        <f>IF(t&lt;Tnet,'2024'!Resal+('2024'!Salim-'2024'!Resal)*(1-EXP(('2024'!Tnet-t)/('2024'!Tau_j))),Resal+(Salim-Resal)*(1-EXP((Tnet-t)/(Tau_j))))*Salcycl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2.2549531761306368E-4</v>
      </c>
      <c r="Q343" s="305">
        <f t="shared" si="130"/>
        <v>0.7</v>
      </c>
      <c r="R343" s="177">
        <f t="shared" si="131"/>
        <v>0.47471316184812151</v>
      </c>
      <c r="S343" s="919">
        <f t="shared" si="132"/>
        <v>-2</v>
      </c>
      <c r="T343" s="176">
        <f t="shared" si="133"/>
        <v>4</v>
      </c>
      <c r="U343" s="251">
        <f t="shared" si="134"/>
        <v>-1.5252868381518785</v>
      </c>
      <c r="V343" s="383">
        <f t="shared" si="135"/>
        <v>27.249883587875129</v>
      </c>
      <c r="W343" s="402">
        <f t="shared" si="136"/>
        <v>4.4212680850339767</v>
      </c>
      <c r="X343" s="157">
        <f t="shared" si="137"/>
        <v>45986</v>
      </c>
      <c r="Y343" s="385">
        <f t="shared" si="138"/>
        <v>4.2639659894482254</v>
      </c>
      <c r="Z343" s="385">
        <f t="shared" si="139"/>
        <v>4.5279944187701551</v>
      </c>
      <c r="AA343" s="386">
        <f t="shared" si="140"/>
        <v>4.86363732367065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6.9010677105171295E-2</v>
      </c>
      <c r="AD343" s="231">
        <f>(INDEX(Models!$BJ343:$BT343,,AH343)*(1-AF343)+INDEX(Models!$BJ343:$BT343,,AH343+1)*AF343-ERP_i)*AE343*Ramure*Pc/MaxiM</f>
        <v>1.2922711729202372E-2</v>
      </c>
      <c r="AE343" s="305">
        <f t="shared" si="142"/>
        <v>0.7</v>
      </c>
      <c r="AF343" s="177">
        <f t="shared" si="143"/>
        <v>0.99970072822210043</v>
      </c>
      <c r="AG343" s="919">
        <f t="shared" si="149"/>
        <v>1</v>
      </c>
      <c r="AH343" s="176">
        <f t="shared" si="144"/>
        <v>7</v>
      </c>
      <c r="AI343" s="225">
        <f t="shared" si="145"/>
        <v>1.9997007282221004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1090">
        <f>IF(t&gt;Tmaj,'2024'!Wh/'2024'!Env_an*'2025'!Env_an,0.001*'[13]mon-tableau (3)'!$B$62)</f>
        <v>13.715519630796276</v>
      </c>
      <c r="C344" s="953"/>
      <c r="D344" s="393">
        <f t="shared" si="127"/>
        <v>14.565115377276483</v>
      </c>
      <c r="E344" s="385">
        <f t="shared" si="125"/>
        <v>15.089682010350266</v>
      </c>
      <c r="F344" s="385">
        <f t="shared" si="128"/>
        <v>15.090692933733852</v>
      </c>
      <c r="G344" s="110">
        <f t="shared" si="126"/>
        <v>0.50730133909880981</v>
      </c>
      <c r="H344" s="412" t="b">
        <f>Wh_hp&gt;='2024'!Maxi_hp</f>
        <v>0</v>
      </c>
      <c r="I344" s="390">
        <f>IF(H344,Wh_hp,'2024'!Maxi_hp)</f>
        <v>27.777098112719983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5.8330862782294823E-2</v>
      </c>
      <c r="M344" s="957"/>
      <c r="N344" s="957"/>
      <c r="O344" s="48">
        <f>IF(t&lt;Tnet,'2024'!Resal+('2024'!Salim-'2024'!Resal)*(1-EXP(('2024'!Tnet-t)/('2024'!Tau_j))),Resal+(Salim-Resal)*(1-EXP((Tnet-t)/(Tau_j))))*Salcycl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2.2611838078082173E-4</v>
      </c>
      <c r="Q344" s="305">
        <f t="shared" si="130"/>
        <v>0.7</v>
      </c>
      <c r="R344" s="177">
        <f t="shared" si="131"/>
        <v>0.47473336190151993</v>
      </c>
      <c r="S344" s="919">
        <f t="shared" si="132"/>
        <v>-2</v>
      </c>
      <c r="T344" s="176">
        <f t="shared" si="133"/>
        <v>4</v>
      </c>
      <c r="U344" s="251">
        <f t="shared" si="134"/>
        <v>-1.5252666380984801</v>
      </c>
      <c r="V344" s="383">
        <f t="shared" si="135"/>
        <v>27.031935256800594</v>
      </c>
      <c r="W344" s="402">
        <f t="shared" si="136"/>
        <v>13.715519630796276</v>
      </c>
      <c r="X344" s="157">
        <f t="shared" si="137"/>
        <v>45987</v>
      </c>
      <c r="Y344" s="385">
        <f t="shared" si="138"/>
        <v>13.177944615794846</v>
      </c>
      <c r="Z344" s="385">
        <f t="shared" si="139"/>
        <v>13.994240752894322</v>
      </c>
      <c r="AA344" s="386">
        <f t="shared" si="140"/>
        <v>15.032315065661676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6.9056183843473784E-2</v>
      </c>
      <c r="AD344" s="231">
        <f>(INDEX(Models!$BJ344:$BT344,,AH344)*(1-AF344)+INDEX(Models!$BJ344:$BT344,,AH344+1)*AF344-ERP_i)*AE344*Ramure*Pc/MaxiM</f>
        <v>1.3057675009053029E-2</v>
      </c>
      <c r="AE344" s="305">
        <f t="shared" si="142"/>
        <v>0.7</v>
      </c>
      <c r="AF344" s="177">
        <f t="shared" si="143"/>
        <v>0.99972092827549863</v>
      </c>
      <c r="AG344" s="919">
        <f t="shared" si="149"/>
        <v>1</v>
      </c>
      <c r="AH344" s="176">
        <f t="shared" si="144"/>
        <v>7</v>
      </c>
      <c r="AI344" s="225">
        <f t="shared" si="145"/>
        <v>1.9997209282754986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1090">
        <f>IF(t&gt;Tmaj,'2024'!Wh/'2024'!Env_an*'2025'!Env_an,0.001*'[13]mon-tableau (3)'!$B$63)</f>
        <v>14.609845543410414</v>
      </c>
      <c r="C345" s="953"/>
      <c r="D345" s="393">
        <f t="shared" si="127"/>
        <v>15.515179340696692</v>
      </c>
      <c r="E345" s="385">
        <f t="shared" si="125"/>
        <v>16.075597408096662</v>
      </c>
      <c r="F345" s="385">
        <f t="shared" si="128"/>
        <v>16.076870526872078</v>
      </c>
      <c r="G345" s="110">
        <f t="shared" si="126"/>
        <v>0.5447225468409691</v>
      </c>
      <c r="H345" s="412" t="b">
        <f>Wh_hp&gt;='2024'!Maxi_hp</f>
        <v>0</v>
      </c>
      <c r="I345" s="390">
        <f>IF(H345,Wh_hp,'2024'!Maxi_hp)</f>
        <v>27.662208875171967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5.8351487753130038E-2</v>
      </c>
      <c r="M345" s="957"/>
      <c r="N345" s="957"/>
      <c r="O345" s="48">
        <f>IF(t&lt;Tnet,'2024'!Resal+('2024'!Salim-'2024'!Resal)*(1-EXP(('2024'!Tnet-t)/('2024'!Tau_j))),Resal+(Salim-Resal)*(1-EXP((Tnet-t)/(Tau_j))))*Salcycl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2.2643789712442603E-4</v>
      </c>
      <c r="Q345" s="305">
        <f t="shared" si="130"/>
        <v>0.7</v>
      </c>
      <c r="R345" s="177">
        <f t="shared" si="131"/>
        <v>0.47475275017598051</v>
      </c>
      <c r="S345" s="919">
        <f t="shared" si="132"/>
        <v>-2</v>
      </c>
      <c r="T345" s="176">
        <f t="shared" si="133"/>
        <v>4</v>
      </c>
      <c r="U345" s="251">
        <f t="shared" si="134"/>
        <v>-1.5252472498240195</v>
      </c>
      <c r="V345" s="383">
        <f t="shared" si="135"/>
        <v>26.81676053415293</v>
      </c>
      <c r="W345" s="402">
        <f t="shared" si="136"/>
        <v>14.609845543410414</v>
      </c>
      <c r="X345" s="157">
        <f t="shared" si="137"/>
        <v>45988</v>
      </c>
      <c r="Y345" s="385">
        <f t="shared" si="138"/>
        <v>14.027710887439177</v>
      </c>
      <c r="Z345" s="385">
        <f t="shared" si="139"/>
        <v>14.896971327409226</v>
      </c>
      <c r="AA345" s="386">
        <f t="shared" si="140"/>
        <v>16.002810076488117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6.9102785310414305E-2</v>
      </c>
      <c r="AD345" s="231">
        <f>(INDEX(Models!$BJ345:$BT345,,AH345)*(1-AF345)+INDEX(Models!$BJ345:$BT345,,AH345+1)*AF345-ERP_i)*AE345*Ramure*Pc/MaxiM</f>
        <v>1.3172449396614352E-2</v>
      </c>
      <c r="AE345" s="305">
        <f t="shared" si="142"/>
        <v>0.7</v>
      </c>
      <c r="AF345" s="177">
        <f t="shared" si="143"/>
        <v>0.99974031654995921</v>
      </c>
      <c r="AG345" s="919">
        <f t="shared" si="149"/>
        <v>1</v>
      </c>
      <c r="AH345" s="176">
        <f t="shared" si="144"/>
        <v>7</v>
      </c>
      <c r="AI345" s="225">
        <f t="shared" si="145"/>
        <v>1.9997403165499592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1090">
        <f>IF(t&gt;Tmaj,'2024'!Wh/'2024'!Env_an*'2025'!Env_an,0.001*'[13]mon-tableau (3)'!$B$64)</f>
        <v>9.4320144458984974</v>
      </c>
      <c r="C346" s="953"/>
      <c r="D346" s="393">
        <f t="shared" si="127"/>
        <v>10.016711026538013</v>
      </c>
      <c r="E346" s="385">
        <f t="shared" si="125"/>
        <v>10.379580931453425</v>
      </c>
      <c r="F346" s="385">
        <f t="shared" si="128"/>
        <v>10.379764336388391</v>
      </c>
      <c r="G346" s="110">
        <f t="shared" si="126"/>
        <v>0.35449944214575702</v>
      </c>
      <c r="H346" s="412" t="b">
        <f>Wh_hp&gt;='2024'!Maxi_hp</f>
        <v>0</v>
      </c>
      <c r="I346" s="390">
        <f>IF(H346,Wh_hp,'2024'!Maxi_hp)</f>
        <v>20.343286490073936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5.8372112272225496E-2</v>
      </c>
      <c r="M346" s="957"/>
      <c r="N346" s="957"/>
      <c r="O346" s="48">
        <f>IF(t&lt;Tnet,'2024'!Resal+('2024'!Salim-'2024'!Resal)*(1-EXP(('2024'!Tnet-t)/('2024'!Tau_j))),Resal+(Salim-Resal)*(1-EXP((Tnet-t)/(Tau_j))))*Salcycl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2.2664150359482562E-4</v>
      </c>
      <c r="Q346" s="305">
        <f t="shared" si="130"/>
        <v>0.7</v>
      </c>
      <c r="R346" s="177">
        <f t="shared" si="131"/>
        <v>0.47477135923521518</v>
      </c>
      <c r="S346" s="919">
        <f t="shared" si="132"/>
        <v>-2</v>
      </c>
      <c r="T346" s="176">
        <f t="shared" si="133"/>
        <v>4</v>
      </c>
      <c r="U346" s="251">
        <f t="shared" si="134"/>
        <v>-1.5252286407647848</v>
      </c>
      <c r="V346" s="383">
        <f t="shared" si="135"/>
        <v>26.601010503013189</v>
      </c>
      <c r="W346" s="402">
        <f t="shared" si="136"/>
        <v>9.4320144458984974</v>
      </c>
      <c r="X346" s="157">
        <f t="shared" si="137"/>
        <v>45989</v>
      </c>
      <c r="Y346" s="385">
        <f t="shared" si="138"/>
        <v>9.0886033923146297</v>
      </c>
      <c r="Z346" s="385">
        <f t="shared" si="139"/>
        <v>9.6520117031008681</v>
      </c>
      <c r="AA346" s="386">
        <f t="shared" si="140"/>
        <v>10.369035599212154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6.9150490347025653E-2</v>
      </c>
      <c r="AD346" s="231">
        <f>(INDEX(Models!$BJ346:$BT346,,AH346)*(1-AF346)+INDEX(Models!$BJ346:$BT346,,AH346+1)*AF346-ERP_i)*AE346*Ramure*Pc/MaxiM</f>
        <v>1.3257969998254364E-2</v>
      </c>
      <c r="AE346" s="305">
        <f t="shared" si="142"/>
        <v>0.7</v>
      </c>
      <c r="AF346" s="177">
        <f t="shared" si="143"/>
        <v>0.9997589256091941</v>
      </c>
      <c r="AG346" s="919">
        <f t="shared" si="149"/>
        <v>1</v>
      </c>
      <c r="AH346" s="176">
        <f t="shared" si="144"/>
        <v>7</v>
      </c>
      <c r="AI346" s="225">
        <f t="shared" si="145"/>
        <v>1.9997589256091941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1090">
        <f>IF(t&gt;Tmaj,'2024'!Wh/'2024'!Env_an*'2025'!Env_an,0.001*'[13]mon-tableau (3)'!$B$65)</f>
        <v>13.271536429154398</v>
      </c>
      <c r="C347" s="953"/>
      <c r="D347" s="393">
        <f t="shared" si="127"/>
        <v>14.094556129019818</v>
      </c>
      <c r="E347" s="385">
        <f t="shared" si="125"/>
        <v>14.606650061020149</v>
      </c>
      <c r="F347" s="385">
        <f t="shared" si="128"/>
        <v>14.607610523977293</v>
      </c>
      <c r="G347" s="110">
        <f t="shared" si="126"/>
        <v>0.50288882893488329</v>
      </c>
      <c r="H347" s="412" t="b">
        <f>Wh_hp&gt;='2024'!Maxi_hp</f>
        <v>0</v>
      </c>
      <c r="I347" s="390">
        <f>IF(H347,Wh_hp,'2024'!Maxi_hp)</f>
        <v>29.549892661364552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5.8392736339590967E-2</v>
      </c>
      <c r="M347" s="957"/>
      <c r="N347" s="957"/>
      <c r="O347" s="48">
        <f>IF(t&lt;Tnet,'2024'!Resal+('2024'!Salim-'2024'!Resal)*(1-EXP(('2024'!Tnet-t)/('2024'!Tau_j))),Resal+(Salim-Resal)*(1-EXP((Tnet-t)/(Tau_j))))*Salcycl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2.2676081948654869E-4</v>
      </c>
      <c r="Q347" s="305">
        <f t="shared" si="130"/>
        <v>0.7</v>
      </c>
      <c r="R347" s="177">
        <f t="shared" si="131"/>
        <v>0.47478922034134419</v>
      </c>
      <c r="S347" s="919">
        <f t="shared" si="132"/>
        <v>-2</v>
      </c>
      <c r="T347" s="176">
        <f t="shared" si="133"/>
        <v>4</v>
      </c>
      <c r="U347" s="251">
        <f t="shared" si="134"/>
        <v>-1.5252107796586558</v>
      </c>
      <c r="V347" s="383">
        <f t="shared" si="135"/>
        <v>26.386347589405844</v>
      </c>
      <c r="W347" s="402">
        <f t="shared" si="136"/>
        <v>13.271536429154398</v>
      </c>
      <c r="X347" s="157">
        <f t="shared" si="137"/>
        <v>45990</v>
      </c>
      <c r="Y347" s="385">
        <f t="shared" si="138"/>
        <v>12.753341734027526</v>
      </c>
      <c r="Z347" s="385">
        <f t="shared" si="139"/>
        <v>13.544226161181168</v>
      </c>
      <c r="AA347" s="386">
        <f t="shared" si="140"/>
        <v>14.551156022744443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6.9199303477289087E-2</v>
      </c>
      <c r="AD347" s="231">
        <f>(INDEX(Models!$BJ347:$BT347,,AH347)*(1-AF347)+INDEX(Models!$BJ347:$BT347,,AH347+1)*AF347-ERP_i)*AE347*Ramure*Pc/MaxiM</f>
        <v>1.3328644137748747E-2</v>
      </c>
      <c r="AE347" s="305">
        <f t="shared" si="142"/>
        <v>0.7</v>
      </c>
      <c r="AF347" s="177">
        <f t="shared" si="143"/>
        <v>0.99977678671532333</v>
      </c>
      <c r="AG347" s="919">
        <f t="shared" si="149"/>
        <v>1</v>
      </c>
      <c r="AH347" s="176">
        <f t="shared" si="144"/>
        <v>7</v>
      </c>
      <c r="AI347" s="225">
        <f t="shared" si="145"/>
        <v>1.9997767867153233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1090">
        <f>IF(t&gt;Tmaj,'2024'!Wh/'2024'!Env_an*'2025'!Env_an,0.001*'[13]mon-tableau (3)'!$B$66)</f>
        <v>4.3168746300321796</v>
      </c>
      <c r="C348" s="953"/>
      <c r="D348" s="393">
        <f t="shared" si="127"/>
        <v>4.584681267171498</v>
      </c>
      <c r="E348" s="385">
        <f t="shared" si="125"/>
        <v>4.7517448413864392</v>
      </c>
      <c r="F348" s="385">
        <f t="shared" si="128"/>
        <v>4.7517448413864392</v>
      </c>
      <c r="G348" s="110">
        <f t="shared" si="126"/>
        <v>0.16488973673740281</v>
      </c>
      <c r="H348" s="412" t="b">
        <f>Wh_hp&gt;='2024'!Maxi_hp</f>
        <v>0</v>
      </c>
      <c r="I348" s="390">
        <f>IF(H348,Wh_hp,'2024'!Maxi_hp)</f>
        <v>27.333508248606524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5.8413359955236444E-2</v>
      </c>
      <c r="M348" s="957"/>
      <c r="N348" s="957"/>
      <c r="O348" s="48">
        <f>IF(t&lt;Tnet,'2024'!Resal+('2024'!Salim-'2024'!Resal)*(1-EXP(('2024'!Tnet-t)/('2024'!Tau_j))),Resal+(Salim-Resal)*(1-EXP((Tnet-t)/(Tau_j))))*Salcycl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2.2678131579449999E-4</v>
      </c>
      <c r="Q348" s="305">
        <f t="shared" si="130"/>
        <v>0.7</v>
      </c>
      <c r="R348" s="177">
        <f t="shared" si="131"/>
        <v>0.47480636350655336</v>
      </c>
      <c r="S348" s="919">
        <f t="shared" si="132"/>
        <v>-2</v>
      </c>
      <c r="T348" s="176">
        <f t="shared" si="133"/>
        <v>4</v>
      </c>
      <c r="U348" s="251">
        <f t="shared" si="134"/>
        <v>-1.5251936364934466</v>
      </c>
      <c r="V348" s="383">
        <f t="shared" si="135"/>
        <v>26.174434679320246</v>
      </c>
      <c r="W348" s="402">
        <f t="shared" si="136"/>
        <v>4.3168746300321796</v>
      </c>
      <c r="X348" s="157">
        <f t="shared" si="137"/>
        <v>45991</v>
      </c>
      <c r="Y348" s="385">
        <f t="shared" si="138"/>
        <v>4.1643459995562297</v>
      </c>
      <c r="Z348" s="385">
        <f t="shared" si="139"/>
        <v>4.4226901938182284</v>
      </c>
      <c r="AA348" s="386">
        <f t="shared" si="140"/>
        <v>4.7517448413864392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6.9249224979892041E-2</v>
      </c>
      <c r="AD348" s="231">
        <f>(INDEX(Models!$BJ348:$BT348,,AH348)*(1-AF348)+INDEX(Models!$BJ348:$BT348,,AH348+1)*AF348-ERP_i)*AE348*Ramure*Pc/MaxiM</f>
        <v>1.3383559207923296E-2</v>
      </c>
      <c r="AE348" s="305">
        <f t="shared" si="142"/>
        <v>0.7</v>
      </c>
      <c r="AF348" s="177">
        <f t="shared" si="143"/>
        <v>0.99979392988053228</v>
      </c>
      <c r="AG348" s="919">
        <f t="shared" si="149"/>
        <v>1</v>
      </c>
      <c r="AH348" s="176">
        <f t="shared" si="144"/>
        <v>7</v>
      </c>
      <c r="AI348" s="225">
        <f t="shared" si="145"/>
        <v>1.9997939298805323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1090">
        <f>IF(t&gt;Tmaj,'2024'!Wh/'2024'!Env_an*'2025'!Env_an,0.001*'[14]mon-tableau (2)'!$B$38)</f>
        <v>3.491492121991624</v>
      </c>
      <c r="C349" s="953"/>
      <c r="D349" s="393">
        <f t="shared" si="127"/>
        <v>3.708175591933597</v>
      </c>
      <c r="E349" s="385">
        <f t="shared" si="125"/>
        <v>3.8436974297033295</v>
      </c>
      <c r="F349" s="385">
        <f t="shared" si="128"/>
        <v>3.8436974297033295</v>
      </c>
      <c r="G349" s="110">
        <f t="shared" si="126"/>
        <v>0.13442867983527104</v>
      </c>
      <c r="H349" s="412" t="b">
        <f>Wh_hp&gt;='2024'!Maxi_hp</f>
        <v>0</v>
      </c>
      <c r="I349" s="390">
        <f>IF(H349,Wh_hp,'2024'!Maxi_hp)</f>
        <v>28.263329653266126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5.8433983119171917E-2</v>
      </c>
      <c r="M349" s="957"/>
      <c r="N349" s="957"/>
      <c r="O349" s="48">
        <f>IF(t&lt;Tnet,'2024'!Resal+('2024'!Salim-'2024'!Resal)*(1-EXP(('2024'!Tnet-t)/('2024'!Tau_j))),Resal+(Salim-Resal)*(1-EXP((Tnet-t)/(Tau_j))))*Salcycl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2.2668768901732065E-4</v>
      </c>
      <c r="Q349" s="305">
        <f t="shared" si="130"/>
        <v>0.7</v>
      </c>
      <c r="R349" s="177">
        <f t="shared" si="131"/>
        <v>0.47482281754272893</v>
      </c>
      <c r="S349" s="919">
        <f t="shared" si="132"/>
        <v>-2</v>
      </c>
      <c r="T349" s="176">
        <f t="shared" si="133"/>
        <v>4</v>
      </c>
      <c r="U349" s="251">
        <f t="shared" si="134"/>
        <v>-1.5251771824572711</v>
      </c>
      <c r="V349" s="383">
        <f t="shared" si="135"/>
        <v>25.966933901223854</v>
      </c>
      <c r="W349" s="402">
        <f t="shared" si="136"/>
        <v>3.491492121991624</v>
      </c>
      <c r="X349" s="157">
        <f t="shared" si="137"/>
        <v>45992</v>
      </c>
      <c r="Y349" s="385">
        <f t="shared" si="138"/>
        <v>3.3682906955277008</v>
      </c>
      <c r="Z349" s="385">
        <f t="shared" si="139"/>
        <v>3.5773282331131728</v>
      </c>
      <c r="AA349" s="386">
        <f t="shared" si="140"/>
        <v>3.8436974297033295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6.9300250985342496E-2</v>
      </c>
      <c r="AD349" s="231">
        <f>(INDEX(Models!$BJ349:$BT349,,AH349)*(1-AF349)+INDEX(Models!$BJ349:$BT349,,AH349+1)*AF349-ERP_i)*AE349*Ramure*Pc/MaxiM</f>
        <v>1.3421733667819574E-2</v>
      </c>
      <c r="AE349" s="305">
        <f t="shared" si="142"/>
        <v>0.7</v>
      </c>
      <c r="AF349" s="177">
        <f t="shared" si="143"/>
        <v>0.99981038391670785</v>
      </c>
      <c r="AG349" s="919">
        <f t="shared" si="149"/>
        <v>1</v>
      </c>
      <c r="AH349" s="176">
        <f t="shared" si="144"/>
        <v>7</v>
      </c>
      <c r="AI349" s="225">
        <f t="shared" si="145"/>
        <v>1.9998103839167078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1090">
        <f>IF(t&gt;Tmaj,'2024'!Wh/'2024'!Env_an*'2025'!Env_an,0.001*'[14]mon-tableau (2)'!$B$39)</f>
        <v>6.5942407858490206</v>
      </c>
      <c r="C350" s="953"/>
      <c r="D350" s="393">
        <f t="shared" si="127"/>
        <v>7.0036355407716613</v>
      </c>
      <c r="E350" s="385">
        <f t="shared" si="125"/>
        <v>7.2603503095360695</v>
      </c>
      <c r="F350" s="385">
        <f t="shared" si="128"/>
        <v>7.2603503095360695</v>
      </c>
      <c r="G350" s="110">
        <f t="shared" si="126"/>
        <v>0.25587493890997565</v>
      </c>
      <c r="H350" s="412" t="b">
        <f>Wh_hp&gt;='2024'!Maxi_hp</f>
        <v>0</v>
      </c>
      <c r="I350" s="390">
        <f>IF(H350,Wh_hp,'2024'!Maxi_hp)</f>
        <v>11.458603807529059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5.8454605831407047E-2</v>
      </c>
      <c r="M350" s="957"/>
      <c r="N350" s="957"/>
      <c r="O350" s="48">
        <f>IF(t&lt;Tnet,'2024'!Resal+('2024'!Salim-'2024'!Resal)*(1-EXP(('2024'!Tnet-t)/('2024'!Tau_j))),Resal+(Salim-Resal)*(1-EXP((Tnet-t)/(Tau_j))))*Salcycl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2.2646392853017947E-4</v>
      </c>
      <c r="Q350" s="305">
        <f t="shared" si="130"/>
        <v>0.7</v>
      </c>
      <c r="R350" s="177">
        <f t="shared" si="131"/>
        <v>0.47483861010915085</v>
      </c>
      <c r="S350" s="919">
        <f t="shared" si="132"/>
        <v>-2</v>
      </c>
      <c r="T350" s="176">
        <f t="shared" si="133"/>
        <v>4</v>
      </c>
      <c r="U350" s="251">
        <f t="shared" si="134"/>
        <v>-1.5251613898908492</v>
      </c>
      <c r="V350" s="383">
        <f t="shared" si="135"/>
        <v>25.76550660357756</v>
      </c>
      <c r="W350" s="402">
        <f t="shared" si="136"/>
        <v>6.5942407858490206</v>
      </c>
      <c r="X350" s="157">
        <f t="shared" si="137"/>
        <v>45993</v>
      </c>
      <c r="Y350" s="385">
        <f t="shared" si="138"/>
        <v>6.3618600777283962</v>
      </c>
      <c r="Z350" s="385">
        <f t="shared" si="139"/>
        <v>6.7568277824204861</v>
      </c>
      <c r="AA350" s="386">
        <f t="shared" si="140"/>
        <v>7.2603503095360695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6.9352373597487998E-2</v>
      </c>
      <c r="AD350" s="231">
        <f>(INDEX(Models!$BJ350:$BT350,,AH350)*(1-AF350)+INDEX(Models!$BJ350:$BT350,,AH350+1)*AF350-ERP_i)*AE350*Ramure*Pc/MaxiM</f>
        <v>1.3442126317886131E-2</v>
      </c>
      <c r="AE350" s="305">
        <f t="shared" si="142"/>
        <v>0.7</v>
      </c>
      <c r="AF350" s="177">
        <f t="shared" si="143"/>
        <v>0.99982617648312977</v>
      </c>
      <c r="AG350" s="919">
        <f t="shared" si="149"/>
        <v>1</v>
      </c>
      <c r="AH350" s="176">
        <f t="shared" si="144"/>
        <v>7</v>
      </c>
      <c r="AI350" s="225">
        <f t="shared" si="145"/>
        <v>1.9998261764831298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1090">
        <f>IF(t&gt;Tmaj,'2024'!Wh/'2024'!Env_an*'2025'!Env_an,0.001*'[14]mon-tableau (2)'!$B$40)</f>
        <v>7.4219835555514919</v>
      </c>
      <c r="C351" s="953"/>
      <c r="D351" s="393">
        <f t="shared" si="127"/>
        <v>7.8829402868609213</v>
      </c>
      <c r="E351" s="385">
        <f t="shared" si="125"/>
        <v>8.1727385529772807</v>
      </c>
      <c r="F351" s="385">
        <f t="shared" si="128"/>
        <v>8.1727385529772807</v>
      </c>
      <c r="G351" s="110">
        <f t="shared" si="126"/>
        <v>0.2901751781551844</v>
      </c>
      <c r="H351" s="412" t="b">
        <f>Wh_hp&gt;='2024'!Maxi_hp</f>
        <v>0</v>
      </c>
      <c r="I351" s="390">
        <f>IF(H351,Wh_hp,'2024'!Maxi_hp)</f>
        <v>16.674095051480148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5.8475228091951936E-2</v>
      </c>
      <c r="M351" s="957"/>
      <c r="N351" s="957"/>
      <c r="O351" s="48">
        <f>IF(t&lt;Tnet,'2024'!Resal+('2024'!Salim-'2024'!Resal)*(1-EXP(('2024'!Tnet-t)/('2024'!Tau_j))),Resal+(Salim-Resal)*(1-EXP((Tnet-t)/(Tau_j))))*Salcycl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2.2609341154523292E-4</v>
      </c>
      <c r="Q351" s="305">
        <f t="shared" si="130"/>
        <v>0.7</v>
      </c>
      <c r="R351" s="177">
        <f t="shared" si="131"/>
        <v>0.47485376775831334</v>
      </c>
      <c r="S351" s="919">
        <f t="shared" si="132"/>
        <v>-2</v>
      </c>
      <c r="T351" s="176">
        <f t="shared" si="133"/>
        <v>4</v>
      </c>
      <c r="U351" s="251">
        <f t="shared" si="134"/>
        <v>-1.5251462322416867</v>
      </c>
      <c r="V351" s="383">
        <f t="shared" si="135"/>
        <v>25.571813347868911</v>
      </c>
      <c r="W351" s="402">
        <f t="shared" si="136"/>
        <v>7.4219835555514919</v>
      </c>
      <c r="X351" s="157">
        <f t="shared" si="137"/>
        <v>45994</v>
      </c>
      <c r="Y351" s="385">
        <f t="shared" si="138"/>
        <v>7.1607712521269988</v>
      </c>
      <c r="Z351" s="385">
        <f t="shared" si="139"/>
        <v>7.6055048850338052</v>
      </c>
      <c r="AA351" s="386">
        <f t="shared" si="140"/>
        <v>8.1727385529772807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6.9405581038296665E-2</v>
      </c>
      <c r="AD351" s="231">
        <f>(INDEX(Models!$BJ351:$BT351,,AH351)*(1-AF351)+INDEX(Models!$BJ351:$BT351,,AH351+1)*AF351-ERP_i)*AE351*Ramure*Pc/MaxiM</f>
        <v>1.3443647748253509E-2</v>
      </c>
      <c r="AE351" s="305">
        <f t="shared" si="142"/>
        <v>0.7</v>
      </c>
      <c r="AF351" s="177">
        <f t="shared" si="143"/>
        <v>0.99984133413229226</v>
      </c>
      <c r="AG351" s="919">
        <f t="shared" si="149"/>
        <v>1</v>
      </c>
      <c r="AH351" s="176">
        <f t="shared" si="144"/>
        <v>7</v>
      </c>
      <c r="AI351" s="225">
        <f t="shared" si="145"/>
        <v>1.9998413341322923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1090">
        <f>IF(t&gt;Tmaj,'2024'!Wh/'2024'!Env_an*'2025'!Env_an,0.001*'[14]mon-tableau (2)'!$B$41)</f>
        <v>20.570655300256412</v>
      </c>
      <c r="C352" s="953"/>
      <c r="D352" s="393">
        <f t="shared" si="127"/>
        <v>21.848714419463128</v>
      </c>
      <c r="E352" s="385">
        <f t="shared" si="125"/>
        <v>22.654307068044375</v>
      </c>
      <c r="F352" s="385">
        <f t="shared" si="128"/>
        <v>22.658034231771587</v>
      </c>
      <c r="G352" s="110">
        <f t="shared" si="126"/>
        <v>0.81021714383890786</v>
      </c>
      <c r="H352" s="412" t="b">
        <f>Wh_hp&gt;='2024'!Maxi_hp</f>
        <v>1</v>
      </c>
      <c r="I352" s="390">
        <f>IF(H352,Wh_hp,'2024'!Maxi_hp)</f>
        <v>22.658034231771587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5.8495849900816355E-2</v>
      </c>
      <c r="M352" s="957"/>
      <c r="N352" s="957"/>
      <c r="O352" s="48">
        <f>IF(t&lt;Tnet,'2024'!Resal+('2024'!Salim-'2024'!Resal)*(1-EXP(('2024'!Tnet-t)/('2024'!Tau_j))),Resal+(Salim-Resal)*(1-EXP((Tnet-t)/(Tau_j))))*Salcycl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2.256612788370766E-4</v>
      </c>
      <c r="Q352" s="305">
        <f t="shared" si="130"/>
        <v>0.7</v>
      </c>
      <c r="R352" s="177">
        <f t="shared" si="131"/>
        <v>0.47486831597994827</v>
      </c>
      <c r="S352" s="919">
        <f t="shared" si="132"/>
        <v>-2</v>
      </c>
      <c r="T352" s="176">
        <f t="shared" si="133"/>
        <v>4</v>
      </c>
      <c r="U352" s="251">
        <f t="shared" si="134"/>
        <v>-1.5251316840200517</v>
      </c>
      <c r="V352" s="383">
        <f t="shared" si="135"/>
        <v>25.387511294739127</v>
      </c>
      <c r="W352" s="402">
        <f t="shared" si="136"/>
        <v>20.570655300256412</v>
      </c>
      <c r="X352" s="157">
        <f t="shared" si="137"/>
        <v>45995</v>
      </c>
      <c r="Y352" s="385">
        <f t="shared" si="138"/>
        <v>19.6565938331456</v>
      </c>
      <c r="Z352" s="385">
        <f t="shared" si="139"/>
        <v>20.877862122089272</v>
      </c>
      <c r="AA352" s="386">
        <f t="shared" si="140"/>
        <v>22.436283160290728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6.9459857814580153E-2</v>
      </c>
      <c r="AD352" s="231">
        <f>(INDEX(Models!$BJ352:$BT352,,AH352)*(1-AF352)+INDEX(Models!$BJ352:$BT352,,AH352+1)*AF352-ERP_i)*AE352*Ramure*Pc/MaxiM</f>
        <v>1.3425927605089068E-2</v>
      </c>
      <c r="AE352" s="305">
        <f t="shared" si="142"/>
        <v>0.7</v>
      </c>
      <c r="AF352" s="177">
        <f t="shared" si="143"/>
        <v>0.99985588235392742</v>
      </c>
      <c r="AG352" s="919">
        <f t="shared" si="149"/>
        <v>1</v>
      </c>
      <c r="AH352" s="176">
        <f t="shared" si="144"/>
        <v>7</v>
      </c>
      <c r="AI352" s="225">
        <f t="shared" si="145"/>
        <v>1.9998558823539274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1090">
        <f>IF(t&gt;Tmaj,'2024'!Wh/'2024'!Env_an*'2025'!Env_an,0.001*'[14]mon-tableau (2)'!$B$42)</f>
        <v>26.119405754256547</v>
      </c>
      <c r="C353" s="953"/>
      <c r="D353" s="393">
        <f t="shared" si="127"/>
        <v>27.74281753941813</v>
      </c>
      <c r="E353" s="385">
        <f t="shared" si="125"/>
        <v>28.768762271644576</v>
      </c>
      <c r="F353" s="385">
        <f t="shared" si="128"/>
        <v>28.775249573433708</v>
      </c>
      <c r="G353" s="110">
        <f t="shared" si="126"/>
        <v>1.0358984992438316</v>
      </c>
      <c r="H353" s="412" t="b">
        <f>Wh_hp&gt;='2024'!Maxi_hp</f>
        <v>1</v>
      </c>
      <c r="I353" s="390">
        <f>IF(H353,Wh_hp,'2024'!Maxi_hp)</f>
        <v>28.775249573433708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5.8516471258010183E-2</v>
      </c>
      <c r="M353" s="957"/>
      <c r="N353" s="957"/>
      <c r="O353" s="48">
        <f>IF(t&lt;Tnet,'2024'!Resal+('2024'!Salim-'2024'!Resal)*(1-EXP(('2024'!Tnet-t)/('2024'!Tau_j))),Resal+(Salim-Resal)*(1-EXP((Tnet-t)/(Tau_j))))*Salcycl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2.2544728144152808E-4</v>
      </c>
      <c r="Q353" s="305">
        <f t="shared" si="130"/>
        <v>0.7</v>
      </c>
      <c r="R353" s="177">
        <f t="shared" si="131"/>
        <v>0.47488227924331738</v>
      </c>
      <c r="S353" s="919">
        <f t="shared" si="132"/>
        <v>-2</v>
      </c>
      <c r="T353" s="176">
        <f t="shared" si="133"/>
        <v>4</v>
      </c>
      <c r="U353" s="251">
        <f t="shared" si="134"/>
        <v>-1.5251177207566826</v>
      </c>
      <c r="V353" s="383">
        <f t="shared" si="135"/>
        <v>25.214251949706238</v>
      </c>
      <c r="W353" s="402">
        <f t="shared" si="136"/>
        <v>26.119405754256547</v>
      </c>
      <c r="X353" s="157">
        <f t="shared" si="137"/>
        <v>45996</v>
      </c>
      <c r="Y353" s="385">
        <f t="shared" si="138"/>
        <v>24.870489414398936</v>
      </c>
      <c r="Z353" s="385">
        <f t="shared" si="139"/>
        <v>26.41627671132057</v>
      </c>
      <c r="AA353" s="386">
        <f t="shared" si="140"/>
        <v>28.389798826140357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6.9515184905172167E-2</v>
      </c>
      <c r="AD353" s="231">
        <f>(INDEX(Models!$BJ353:$BT353,,AH353)*(1-AF353)+INDEX(Models!$BJ353:$BT353,,AH353+1)*AF353-ERP_i)*AE353*Ramure*Pc/MaxiM</f>
        <v>1.3395218217297779E-2</v>
      </c>
      <c r="AE353" s="305">
        <f t="shared" si="142"/>
        <v>0.7</v>
      </c>
      <c r="AF353" s="177">
        <f t="shared" si="143"/>
        <v>0.9998698456172963</v>
      </c>
      <c r="AG353" s="919">
        <f t="shared" si="149"/>
        <v>1</v>
      </c>
      <c r="AH353" s="176">
        <f t="shared" si="144"/>
        <v>7</v>
      </c>
      <c r="AI353" s="225">
        <f t="shared" si="145"/>
        <v>1.9998698456172963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1090">
        <f>IF(t&gt;Tmaj,'2024'!Wh/'2024'!Env_an*'2025'!Env_an,0.001*'[14]mon-tableau (2)'!$B$43)</f>
        <v>11.397059535154114</v>
      </c>
      <c r="C354" s="953"/>
      <c r="D354" s="393">
        <f t="shared" si="127"/>
        <v>12.105691515075515</v>
      </c>
      <c r="E354" s="385">
        <f t="shared" si="125"/>
        <v>12.554693655913635</v>
      </c>
      <c r="F354" s="385">
        <f t="shared" si="128"/>
        <v>12.555320012316475</v>
      </c>
      <c r="G354" s="110">
        <f t="shared" si="126"/>
        <v>0.45482549963516217</v>
      </c>
      <c r="H354" s="412" t="b">
        <f>Wh_hp&gt;='2024'!Maxi_hp</f>
        <v>0</v>
      </c>
      <c r="I354" s="390">
        <f>IF(H354,Wh_hp,'2024'!Maxi_hp)</f>
        <v>23.022498392650729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5.8537092163543414E-2</v>
      </c>
      <c r="M354" s="957"/>
      <c r="N354" s="957"/>
      <c r="O354" s="48">
        <f>IF(t&lt;Tnet,'2024'!Resal+('2024'!Salim-'2024'!Resal)*(1-EXP(('2024'!Tnet-t)/('2024'!Tau_j))),Resal+(Salim-Resal)*(1-EXP((Tnet-t)/(Tau_j))))*Salcycl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2.2543706615763811E-4</v>
      </c>
      <c r="Q354" s="305">
        <f t="shared" si="130"/>
        <v>0.7</v>
      </c>
      <c r="R354" s="177">
        <f t="shared" si="131"/>
        <v>0.47489568103784041</v>
      </c>
      <c r="S354" s="919">
        <f t="shared" si="132"/>
        <v>-2</v>
      </c>
      <c r="T354" s="176">
        <f t="shared" si="133"/>
        <v>4</v>
      </c>
      <c r="U354" s="251">
        <f t="shared" si="134"/>
        <v>-1.5251043189621596</v>
      </c>
      <c r="V354" s="383">
        <f t="shared" si="135"/>
        <v>25.053693555507653</v>
      </c>
      <c r="W354" s="402">
        <f t="shared" si="136"/>
        <v>11.397059535154114</v>
      </c>
      <c r="X354" s="157">
        <f t="shared" si="137"/>
        <v>45997</v>
      </c>
      <c r="Y354" s="385">
        <f t="shared" si="138"/>
        <v>10.965514750864569</v>
      </c>
      <c r="Z354" s="385">
        <f t="shared" si="139"/>
        <v>11.647314683978406</v>
      </c>
      <c r="AA354" s="386">
        <f t="shared" si="140"/>
        <v>12.518227015072558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6.9571539966924278E-2</v>
      </c>
      <c r="AD354" s="231">
        <f>(INDEX(Models!$BJ354:$BT354,,AH354)*(1-AF354)+INDEX(Models!$BJ354:$BT354,,AH354+1)*AF354-ERP_i)*AE354*Ramure*Pc/MaxiM</f>
        <v>1.3350444628268314E-2</v>
      </c>
      <c r="AE354" s="305">
        <f t="shared" si="142"/>
        <v>0.7</v>
      </c>
      <c r="AF354" s="177">
        <f t="shared" si="143"/>
        <v>0.99988324741181911</v>
      </c>
      <c r="AG354" s="919">
        <f t="shared" si="149"/>
        <v>1</v>
      </c>
      <c r="AH354" s="176">
        <f t="shared" si="144"/>
        <v>7</v>
      </c>
      <c r="AI354" s="225">
        <f t="shared" si="145"/>
        <v>1.9998832474118191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1090">
        <f>IF(t&gt;Tmaj,'2024'!Wh/'2024'!Env_an*'2025'!Env_an,0.001*'[14]mon-tableau (2)'!$B$44)</f>
        <v>20.474137591881441</v>
      </c>
      <c r="C355" s="953"/>
      <c r="D355" s="393">
        <f t="shared" si="127"/>
        <v>21.747629001034412</v>
      </c>
      <c r="E355" s="385">
        <f t="shared" si="125"/>
        <v>22.556645928276041</v>
      </c>
      <c r="F355" s="385">
        <f t="shared" si="128"/>
        <v>22.560441655327438</v>
      </c>
      <c r="G355" s="110">
        <f t="shared" si="126"/>
        <v>0.82195997881924665</v>
      </c>
      <c r="H355" s="412" t="b">
        <f>Wh_hp&gt;='2024'!Maxi_hp</f>
        <v>0</v>
      </c>
      <c r="I355" s="390">
        <f>IF(H355,Wh_hp,'2024'!Maxi_hp)</f>
        <v>23.615013833101326</v>
      </c>
      <c r="J355" s="85">
        <f>IF(H355,An,'2024'!An_max)</f>
        <v>2018</v>
      </c>
      <c r="K355" s="197">
        <f t="shared" si="129"/>
        <v>45998</v>
      </c>
      <c r="L355" s="147">
        <f>IF(t&lt;Tvie,1-EXP((T0-t)*PertePVj)+'2024'!Pspv,1-EXP((T0-t)*PertePVj)+Pspv)</f>
        <v>5.8557712617425928E-2</v>
      </c>
      <c r="M355" s="957"/>
      <c r="N355" s="957"/>
      <c r="O355" s="48">
        <f>IF(t&lt;Tnet,'2024'!Resal+('2024'!Salim-'2024'!Resal)*(1-EXP(('2024'!Tnet-t)/('2024'!Tau_j))),Resal+(Salim-Resal)*(1-EXP((Tnet-t)/(Tau_j))))*Salcycl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2.2561551982531135E-4</v>
      </c>
      <c r="Q355" s="305">
        <f t="shared" si="130"/>
        <v>0.7</v>
      </c>
      <c r="R355" s="177">
        <f t="shared" si="131"/>
        <v>0.47490854391212523</v>
      </c>
      <c r="S355" s="919">
        <f t="shared" si="132"/>
        <v>-2</v>
      </c>
      <c r="T355" s="176">
        <f t="shared" si="133"/>
        <v>4</v>
      </c>
      <c r="U355" s="251">
        <f t="shared" si="134"/>
        <v>-1.5250914560878748</v>
      </c>
      <c r="V355" s="383">
        <f t="shared" si="135"/>
        <v>24.907493492635044</v>
      </c>
      <c r="W355" s="402">
        <f t="shared" si="136"/>
        <v>20.474137591881441</v>
      </c>
      <c r="X355" s="157">
        <f t="shared" si="137"/>
        <v>45998</v>
      </c>
      <c r="Y355" s="385">
        <f t="shared" si="138"/>
        <v>19.56463331751284</v>
      </c>
      <c r="Z355" s="385">
        <f t="shared" si="139"/>
        <v>20.781553558537311</v>
      </c>
      <c r="AA355" s="386">
        <f t="shared" si="140"/>
        <v>22.336843334863886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6.9628897557742264E-2</v>
      </c>
      <c r="AD355" s="231">
        <f>(INDEX(Models!$BJ355:$BT355,,AH355)*(1-AF355)+INDEX(Models!$BJ355:$BT355,,AH355+1)*AF355-ERP_i)*AE355*Ramure*Pc/MaxiM</f>
        <v>1.329053712776136E-2</v>
      </c>
      <c r="AE355" s="305">
        <f t="shared" si="142"/>
        <v>0.7</v>
      </c>
      <c r="AF355" s="177">
        <f t="shared" si="143"/>
        <v>0.99989611028610437</v>
      </c>
      <c r="AG355" s="919">
        <f t="shared" si="149"/>
        <v>1</v>
      </c>
      <c r="AH355" s="176">
        <f t="shared" si="144"/>
        <v>7</v>
      </c>
      <c r="AI355" s="225">
        <f t="shared" si="145"/>
        <v>1.9998961102861044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1090">
        <f>IF(t&gt;Tmaj,'2024'!Wh/'2024'!Env_an*'2025'!Env_an,0.001*'[14]mon-tableau (2)'!$B$45)</f>
        <v>4.6956424071542031</v>
      </c>
      <c r="C356" s="953"/>
      <c r="D356" s="393">
        <f t="shared" si="127"/>
        <v>4.9878206226341009</v>
      </c>
      <c r="E356" s="385">
        <f t="shared" si="125"/>
        <v>5.1739199145042614</v>
      </c>
      <c r="F356" s="385">
        <f t="shared" si="128"/>
        <v>5.1739199145042614</v>
      </c>
      <c r="G356" s="110">
        <f t="shared" si="126"/>
        <v>0.18947099869806341</v>
      </c>
      <c r="H356" s="412" t="b">
        <f>Wh_hp&gt;='2024'!Maxi_hp</f>
        <v>0</v>
      </c>
      <c r="I356" s="390">
        <f>IF(H356,Wh_hp,'2024'!Maxi_hp)</f>
        <v>18.625313050324355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5.8578332619667495E-2</v>
      </c>
      <c r="M356" s="957"/>
      <c r="N356" s="957"/>
      <c r="O356" s="48">
        <f>IF(t&lt;Tnet,'2024'!Resal+('2024'!Salim-'2024'!Resal)*(1-EXP(('2024'!Tnet-t)/('2024'!Tau_j))),Resal+(Salim-Resal)*(1-EXP((Tnet-t)/(Tau_j))))*Salcycl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2.2596670091008138E-4</v>
      </c>
      <c r="Q356" s="305">
        <f t="shared" si="130"/>
        <v>0.7</v>
      </c>
      <c r="R356" s="177">
        <f t="shared" si="131"/>
        <v>0.47492088951145939</v>
      </c>
      <c r="S356" s="919">
        <f t="shared" si="132"/>
        <v>-2</v>
      </c>
      <c r="T356" s="176">
        <f t="shared" si="133"/>
        <v>4</v>
      </c>
      <c r="U356" s="251">
        <f t="shared" si="134"/>
        <v>-1.5250791104885406</v>
      </c>
      <c r="V356" s="383">
        <f t="shared" si="135"/>
        <v>24.777308298311031</v>
      </c>
      <c r="W356" s="402">
        <f t="shared" si="136"/>
        <v>4.6956424071542031</v>
      </c>
      <c r="X356" s="157">
        <f t="shared" si="137"/>
        <v>45999</v>
      </c>
      <c r="Y356" s="385">
        <f t="shared" si="138"/>
        <v>4.5314049466786157</v>
      </c>
      <c r="Z356" s="385">
        <f t="shared" si="139"/>
        <v>4.8133637706555321</v>
      </c>
      <c r="AA356" s="386">
        <f t="shared" si="140"/>
        <v>5.1739199145042614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6.9687229374766235E-2</v>
      </c>
      <c r="AD356" s="231">
        <f>(INDEX(Models!$BJ356:$BT356,,AH356)*(1-AF356)+INDEX(Models!$BJ356:$BT356,,AH356+1)*AF356-ERP_i)*AE356*Ramure*Pc/MaxiM</f>
        <v>1.3214448267055269E-2</v>
      </c>
      <c r="AE356" s="305">
        <f t="shared" si="142"/>
        <v>0.7</v>
      </c>
      <c r="AF356" s="177">
        <f t="shared" si="143"/>
        <v>0.99990845588543831</v>
      </c>
      <c r="AG356" s="919">
        <f t="shared" si="149"/>
        <v>1</v>
      </c>
      <c r="AH356" s="176">
        <f t="shared" si="144"/>
        <v>7</v>
      </c>
      <c r="AI356" s="225">
        <f t="shared" si="145"/>
        <v>1.9999084558854383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1090">
        <f>IF(t&gt;Tmaj,'2024'!Wh/'2024'!Env_an*'2025'!Env_an,0.001*'[14]mon-tableau (2)'!$B$46)</f>
        <v>5.7174293341145166</v>
      </c>
      <c r="C357" s="953"/>
      <c r="D357" s="393">
        <f t="shared" si="127"/>
        <v>6.0733194925747203</v>
      </c>
      <c r="E357" s="385">
        <f t="shared" si="125"/>
        <v>6.3005932885119238</v>
      </c>
      <c r="F357" s="385">
        <f t="shared" si="128"/>
        <v>6.3005932885119238</v>
      </c>
      <c r="G357" s="110">
        <f t="shared" si="126"/>
        <v>0.23175277957563953</v>
      </c>
      <c r="H357" s="412" t="b">
        <f>Wh_hp&gt;='2024'!Maxi_hp</f>
        <v>0</v>
      </c>
      <c r="I357" s="390">
        <f>IF(H357,Wh_hp,'2024'!Maxi_hp)</f>
        <v>9.4747658981708156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5.8598952170278107E-2</v>
      </c>
      <c r="M357" s="957"/>
      <c r="N357" s="957"/>
      <c r="O357" s="48">
        <f>IF(t&lt;Tnet,'2024'!Resal+('2024'!Salim-'2024'!Resal)*(1-EXP(('2024'!Tnet-t)/('2024'!Tau_j))),Resal+(Salim-Resal)*(1-EXP((Tnet-t)/(Tau_j))))*Salcycl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2.264737951785774E-4</v>
      </c>
      <c r="Q357" s="305">
        <f t="shared" si="130"/>
        <v>0.7</v>
      </c>
      <c r="R357" s="177">
        <f t="shared" si="131"/>
        <v>0.47493273861381935</v>
      </c>
      <c r="S357" s="919">
        <f t="shared" si="132"/>
        <v>-2</v>
      </c>
      <c r="T357" s="176">
        <f t="shared" si="133"/>
        <v>4</v>
      </c>
      <c r="U357" s="251">
        <f t="shared" si="134"/>
        <v>-1.5250672613861807</v>
      </c>
      <c r="V357" s="383">
        <f t="shared" si="135"/>
        <v>24.66479365063633</v>
      </c>
      <c r="W357" s="402">
        <f t="shared" si="136"/>
        <v>5.7174293341145166</v>
      </c>
      <c r="X357" s="157">
        <f t="shared" si="137"/>
        <v>46000</v>
      </c>
      <c r="Y357" s="385">
        <f t="shared" si="138"/>
        <v>5.5176917444951279</v>
      </c>
      <c r="Z357" s="385">
        <f t="shared" si="139"/>
        <v>5.8611489303261886</v>
      </c>
      <c r="AA357" s="386">
        <f t="shared" si="140"/>
        <v>6.3005932885119238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6.9746504505692863E-2</v>
      </c>
      <c r="AD357" s="231">
        <f>(INDEX(Models!$BJ357:$BT357,,AH357)*(1-AF357)+INDEX(Models!$BJ357:$BT357,,AH357+1)*AF357-ERP_i)*AE357*Ramure*Pc/MaxiM</f>
        <v>1.3121171817352019E-2</v>
      </c>
      <c r="AE357" s="305">
        <f t="shared" si="142"/>
        <v>0.7</v>
      </c>
      <c r="AF357" s="177">
        <f t="shared" si="143"/>
        <v>0.99992030498779849</v>
      </c>
      <c r="AG357" s="919">
        <f t="shared" si="149"/>
        <v>1</v>
      </c>
      <c r="AH357" s="176">
        <f t="shared" si="144"/>
        <v>7</v>
      </c>
      <c r="AI357" s="225">
        <f t="shared" si="145"/>
        <v>1.9999203049877985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1090">
        <f>IF(t&gt;Tmaj,'2024'!Wh/'2024'!Env_an*'2025'!Env_an,0.001*'[14]mon-tableau (2)'!$B$47)</f>
        <v>14.245130723412837</v>
      </c>
      <c r="C358" s="953"/>
      <c r="D358" s="393">
        <f t="shared" si="127"/>
        <v>15.132172168290788</v>
      </c>
      <c r="E358" s="385">
        <f t="shared" si="125"/>
        <v>15.700128318408289</v>
      </c>
      <c r="F358" s="385">
        <f t="shared" si="128"/>
        <v>15.701553440598913</v>
      </c>
      <c r="G358" s="110">
        <f t="shared" si="126"/>
        <v>0.57966048696258099</v>
      </c>
      <c r="H358" s="412" t="b">
        <f>Wh_hp&gt;='2024'!Maxi_hp</f>
        <v>0</v>
      </c>
      <c r="I358" s="390">
        <f>IF(H358,Wh_hp,'2024'!Maxi_hp)</f>
        <v>22.134135091685113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5.8619571269267756E-2</v>
      </c>
      <c r="M358" s="957"/>
      <c r="N358" s="957"/>
      <c r="O358" s="48">
        <f>IF(t&lt;Tnet,'2024'!Resal+('2024'!Salim-'2024'!Resal)*(1-EXP(('2024'!Tnet-t)/('2024'!Tau_j))),Resal+(Salim-Resal)*(1-EXP((Tnet-t)/(Tau_j))))*Salcycl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2.2711909898313592E-4</v>
      </c>
      <c r="Q358" s="305">
        <f t="shared" si="130"/>
        <v>0.7</v>
      </c>
      <c r="R358" s="177">
        <f t="shared" si="131"/>
        <v>0.47494411116446411</v>
      </c>
      <c r="S358" s="919">
        <f t="shared" si="132"/>
        <v>-2</v>
      </c>
      <c r="T358" s="176">
        <f t="shared" si="133"/>
        <v>4</v>
      </c>
      <c r="U358" s="251">
        <f t="shared" si="134"/>
        <v>-1.5250558888355359</v>
      </c>
      <c r="V358" s="383">
        <f t="shared" si="135"/>
        <v>24.571604342359716</v>
      </c>
      <c r="W358" s="402">
        <f t="shared" si="136"/>
        <v>14.245130723412837</v>
      </c>
      <c r="X358" s="157">
        <f t="shared" si="137"/>
        <v>46001</v>
      </c>
      <c r="Y358" s="385">
        <f t="shared" si="138"/>
        <v>13.677829429832171</v>
      </c>
      <c r="Z358" s="385">
        <f t="shared" si="139"/>
        <v>14.529545136469487</v>
      </c>
      <c r="AA358" s="386">
        <f t="shared" si="140"/>
        <v>15.619920048280406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6.9806689691152363E-2</v>
      </c>
      <c r="AD358" s="231">
        <f>(INDEX(Models!$BJ358:$BT358,,AH358)*(1-AF358)+INDEX(Models!$BJ358:$BT358,,AH358+1)*AF358-ERP_i)*AE358*Ramure*Pc/MaxiM</f>
        <v>1.3009763395946547E-2</v>
      </c>
      <c r="AE358" s="305">
        <f t="shared" si="142"/>
        <v>0.7</v>
      </c>
      <c r="AF358" s="177">
        <f t="shared" si="143"/>
        <v>0.99993167753844281</v>
      </c>
      <c r="AG358" s="919">
        <f t="shared" si="149"/>
        <v>1</v>
      </c>
      <c r="AH358" s="176">
        <f t="shared" si="144"/>
        <v>7</v>
      </c>
      <c r="AI358" s="225">
        <f t="shared" si="145"/>
        <v>1.9999316775384428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1090">
        <f>IF(t&gt;Tmaj,'2024'!Wh/'2024'!Env_an*'2025'!Env_an,0.001*'[14]mon-tableau (2)'!$B$48)</f>
        <v>17.366536118857276</v>
      </c>
      <c r="C359" s="953"/>
      <c r="D359" s="393">
        <f t="shared" si="127"/>
        <v>18.448350920483353</v>
      </c>
      <c r="E359" s="385">
        <f t="shared" si="125"/>
        <v>19.142834733408737</v>
      </c>
      <c r="F359" s="385">
        <f t="shared" si="128"/>
        <v>19.145383922323177</v>
      </c>
      <c r="G359" s="110">
        <f t="shared" si="126"/>
        <v>0.70887930544643929</v>
      </c>
      <c r="H359" s="412" t="b">
        <f>Wh_hp&gt;='2024'!Maxi_hp</f>
        <v>0</v>
      </c>
      <c r="I359" s="390">
        <f>IF(H359,Wh_hp,'2024'!Maxi_hp)</f>
        <v>23.016717284204159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5.8640189916646102E-2</v>
      </c>
      <c r="M359" s="957"/>
      <c r="N359" s="957"/>
      <c r="O359" s="48">
        <f>IF(t&lt;Tnet,'2024'!Resal+('2024'!Salim-'2024'!Resal)*(1-EXP(('2024'!Tnet-t)/('2024'!Tau_j))),Resal+(Salim-Resal)*(1-EXP((Tnet-t)/(Tau_j))))*Salcycl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2.2791320532154243E-4</v>
      </c>
      <c r="Q359" s="305">
        <f t="shared" si="130"/>
        <v>0.7</v>
      </c>
      <c r="R359" s="177">
        <f t="shared" si="131"/>
        <v>0.47495502630915531</v>
      </c>
      <c r="S359" s="919">
        <f t="shared" si="132"/>
        <v>-2</v>
      </c>
      <c r="T359" s="176">
        <f t="shared" si="133"/>
        <v>4</v>
      </c>
      <c r="U359" s="251">
        <f t="shared" si="134"/>
        <v>-1.5250449736908447</v>
      </c>
      <c r="V359" s="383">
        <f t="shared" si="135"/>
        <v>24.496257741568023</v>
      </c>
      <c r="W359" s="402">
        <f t="shared" si="136"/>
        <v>17.366536118857276</v>
      </c>
      <c r="X359" s="157">
        <f t="shared" si="137"/>
        <v>46002</v>
      </c>
      <c r="Y359" s="385">
        <f t="shared" si="138"/>
        <v>16.637341115543713</v>
      </c>
      <c r="Z359" s="385">
        <f t="shared" si="139"/>
        <v>17.673732123820475</v>
      </c>
      <c r="AA359" s="386">
        <f t="shared" si="140"/>
        <v>19.001310959966908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6.9867749595986059E-2</v>
      </c>
      <c r="AD359" s="231">
        <f>(INDEX(Models!$BJ359:$BT359,,AH359)*(1-AF359)+INDEX(Models!$BJ359:$BT359,,AH359+1)*AF359-ERP_i)*AE359*Ramure*Pc/MaxiM</f>
        <v>1.2881011079554743E-2</v>
      </c>
      <c r="AE359" s="305">
        <f t="shared" si="142"/>
        <v>0.7</v>
      </c>
      <c r="AF359" s="177">
        <f t="shared" si="143"/>
        <v>0.99994259268313423</v>
      </c>
      <c r="AG359" s="919">
        <f t="shared" si="149"/>
        <v>1</v>
      </c>
      <c r="AH359" s="176">
        <f t="shared" si="144"/>
        <v>7</v>
      </c>
      <c r="AI359" s="225">
        <f t="shared" si="145"/>
        <v>1.9999425926831342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1090">
        <f>IF(t&gt;Tmaj,'2024'!Wh/'2024'!Env_an*'2025'!Env_an,0.001*'[14]mon-tableau (2)'!$B$49)</f>
        <v>5.128180497237139</v>
      </c>
      <c r="C360" s="953"/>
      <c r="D360" s="393">
        <f t="shared" si="127"/>
        <v>5.4477499093117467</v>
      </c>
      <c r="E360" s="385">
        <f t="shared" si="125"/>
        <v>5.6534399745117989</v>
      </c>
      <c r="F360" s="385">
        <f t="shared" si="128"/>
        <v>5.6534399745117989</v>
      </c>
      <c r="G360" s="110">
        <f t="shared" si="126"/>
        <v>0.20981493374231383</v>
      </c>
      <c r="H360" s="412" t="b">
        <f>Wh_hp&gt;='2024'!Maxi_hp</f>
        <v>0</v>
      </c>
      <c r="I360" s="390">
        <f>IF(H360,Wh_hp,'2024'!Maxi_hp)</f>
        <v>26.632515874966092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5.8660808112423246E-2</v>
      </c>
      <c r="M360" s="957"/>
      <c r="N360" s="957"/>
      <c r="O360" s="48">
        <f>IF(t&lt;Tnet,'2024'!Resal+('2024'!Salim-'2024'!Resal)*(1-EXP(('2024'!Tnet-t)/('2024'!Tau_j))),Resal+(Salim-Resal)*(1-EXP((Tnet-t)/(Tau_j))))*Salcycl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2.2887988260679321E-4</v>
      </c>
      <c r="Q360" s="305">
        <f t="shared" si="130"/>
        <v>0.7</v>
      </c>
      <c r="R360" s="177">
        <f t="shared" si="131"/>
        <v>0.47496550242607016</v>
      </c>
      <c r="S360" s="919">
        <f t="shared" si="132"/>
        <v>-2</v>
      </c>
      <c r="T360" s="176">
        <f t="shared" si="133"/>
        <v>4</v>
      </c>
      <c r="U360" s="251">
        <f t="shared" si="134"/>
        <v>-1.5250344975739298</v>
      </c>
      <c r="V360" s="383">
        <f t="shared" si="135"/>
        <v>24.435852436432032</v>
      </c>
      <c r="W360" s="402">
        <f t="shared" si="136"/>
        <v>5.128180497237139</v>
      </c>
      <c r="X360" s="157">
        <f t="shared" si="137"/>
        <v>46003</v>
      </c>
      <c r="Y360" s="385">
        <f t="shared" si="138"/>
        <v>4.9496526982584728</v>
      </c>
      <c r="Z360" s="385">
        <f t="shared" si="139"/>
        <v>5.2580969122653984</v>
      </c>
      <c r="AA360" s="386">
        <f t="shared" si="140"/>
        <v>5.6534399745117989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6.9929647087221505E-2</v>
      </c>
      <c r="AD360" s="231">
        <f>(INDEX(Models!$BJ360:$BT360,,AH360)*(1-AF360)+INDEX(Models!$BJ360:$BT360,,AH360+1)*AF360-ERP_i)*AE360*Ramure*Pc/MaxiM</f>
        <v>1.2736487033479314E-2</v>
      </c>
      <c r="AE360" s="305">
        <f t="shared" si="142"/>
        <v>0.7</v>
      </c>
      <c r="AF360" s="177">
        <f t="shared" si="143"/>
        <v>0.99995306880004886</v>
      </c>
      <c r="AG360" s="919">
        <f t="shared" si="149"/>
        <v>1</v>
      </c>
      <c r="AH360" s="176">
        <f t="shared" si="144"/>
        <v>7</v>
      </c>
      <c r="AI360" s="225">
        <f t="shared" si="145"/>
        <v>1.9999530688000489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1090">
        <f>IF(t&gt;Tmaj,'2024'!Wh/'2024'!Env_an*'2025'!Env_an,0.001*'[14]mon-tableau (2)'!$B$50)</f>
        <v>5.6222023443148128</v>
      </c>
      <c r="C361" s="953"/>
      <c r="D361" s="393">
        <f t="shared" si="127"/>
        <v>5.9726882043425844</v>
      </c>
      <c r="E361" s="385">
        <f t="shared" ref="E361:E379" si="150">Wh_pvt/(1-Psa)</f>
        <v>6.198870122725646</v>
      </c>
      <c r="F361" s="385">
        <f t="shared" si="128"/>
        <v>6.198870122725646</v>
      </c>
      <c r="G361" s="110">
        <f t="shared" ref="G361:G379" si="151">+Wh_hp/MaxiM</f>
        <v>0.23046038603176999</v>
      </c>
      <c r="H361" s="412" t="b">
        <f>Wh_hp&gt;='2024'!Maxi_hp</f>
        <v>0</v>
      </c>
      <c r="I361" s="390">
        <f>IF(H361,Wh_hp,'2024'!Maxi_hp)</f>
        <v>27.848923412804474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5.8681425856608849E-2</v>
      </c>
      <c r="M361" s="957"/>
      <c r="N361" s="957"/>
      <c r="O361" s="48">
        <f>IF(t&lt;Tnet,'2024'!Resal+('2024'!Salim-'2024'!Resal)*(1-EXP(('2024'!Tnet-t)/('2024'!Tau_j))),Resal+(Salim-Resal)*(1-EXP((Tnet-t)/(Tau_j))))*Salcycl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2.2974763911682674E-4</v>
      </c>
      <c r="Q361" s="305">
        <f t="shared" si="130"/>
        <v>0.7</v>
      </c>
      <c r="R361" s="177">
        <f t="shared" si="131"/>
        <v>0.47497555715644602</v>
      </c>
      <c r="S361" s="919">
        <f t="shared" si="132"/>
        <v>-2</v>
      </c>
      <c r="T361" s="176">
        <f t="shared" si="133"/>
        <v>4</v>
      </c>
      <c r="U361" s="251">
        <f t="shared" si="134"/>
        <v>-1.525024442843554</v>
      </c>
      <c r="V361" s="383">
        <f t="shared" si="135"/>
        <v>24.389921206782589</v>
      </c>
      <c r="W361" s="402">
        <f t="shared" si="136"/>
        <v>5.6222023443148128</v>
      </c>
      <c r="X361" s="157">
        <f t="shared" si="137"/>
        <v>46004</v>
      </c>
      <c r="Y361" s="385">
        <f t="shared" si="138"/>
        <v>5.4266984506939657</v>
      </c>
      <c r="Z361" s="385">
        <f t="shared" si="139"/>
        <v>5.7649966756815703</v>
      </c>
      <c r="AA361" s="386">
        <f t="shared" si="140"/>
        <v>6.198870122725646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6.9992343516515107E-2</v>
      </c>
      <c r="AD361" s="231">
        <f>(INDEX(Models!$BJ361:$BT361,,AH361)*(1-AF361)+INDEX(Models!$BJ361:$BT361,,AH361+1)*AF361-ERP_i)*AE361*Ramure*Pc/MaxiM</f>
        <v>1.2596777650274761E-2</v>
      </c>
      <c r="AE361" s="305">
        <f t="shared" si="142"/>
        <v>0.7</v>
      </c>
      <c r="AF361" s="177">
        <f t="shared" si="143"/>
        <v>0.99996312353042494</v>
      </c>
      <c r="AG361" s="919">
        <f t="shared" si="149"/>
        <v>1</v>
      </c>
      <c r="AH361" s="176">
        <f t="shared" si="144"/>
        <v>7</v>
      </c>
      <c r="AI361" s="225">
        <f t="shared" si="145"/>
        <v>1.9999631235304249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1090">
        <f>IF(t&gt;Tmaj,'2024'!Wh/'2024'!Env_an*'2025'!Env_an,0.001*'[14]mon-tableau (2)'!$B$51)</f>
        <v>17.272668021563664</v>
      </c>
      <c r="C362" s="953"/>
      <c r="D362" s="393">
        <f t="shared" si="127"/>
        <v>18.349841190935148</v>
      </c>
      <c r="E362" s="385">
        <f t="shared" si="150"/>
        <v>19.04680834575127</v>
      </c>
      <c r="F362" s="385">
        <f t="shared" si="128"/>
        <v>19.049374810118252</v>
      </c>
      <c r="G362" s="110">
        <f t="shared" si="151"/>
        <v>0.70904918515750026</v>
      </c>
      <c r="H362" s="412" t="b">
        <f>Wh_hp&gt;='2024'!Maxi_hp</f>
        <v>0</v>
      </c>
      <c r="I362" s="390">
        <f>IF(H362,Wh_hp,'2024'!Maxi_hp)</f>
        <v>27.918333223458241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5.8702043149213123E-2</v>
      </c>
      <c r="M362" s="957"/>
      <c r="N362" s="957"/>
      <c r="O362" s="48">
        <f>IF(t&lt;Tnet,'2024'!Resal+('2024'!Salim-'2024'!Resal)*(1-EXP(('2024'!Tnet-t)/('2024'!Tau_j))),Resal+(Salim-Resal)*(1-EXP((Tnet-t)/(Tau_j))))*Salcycl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2.3051802868947563E-4</v>
      </c>
      <c r="Q362" s="305">
        <f t="shared" si="130"/>
        <v>0.7</v>
      </c>
      <c r="R362" s="177">
        <f t="shared" si="131"/>
        <v>0.47498520743401529</v>
      </c>
      <c r="S362" s="919">
        <f t="shared" si="132"/>
        <v>-2</v>
      </c>
      <c r="T362" s="176">
        <f t="shared" si="133"/>
        <v>4</v>
      </c>
      <c r="U362" s="251">
        <f t="shared" si="134"/>
        <v>-1.5250147925659847</v>
      </c>
      <c r="V362" s="383">
        <f t="shared" si="135"/>
        <v>24.357990380401596</v>
      </c>
      <c r="W362" s="402">
        <f t="shared" si="136"/>
        <v>17.272668021563664</v>
      </c>
      <c r="X362" s="157">
        <f t="shared" si="137"/>
        <v>46005</v>
      </c>
      <c r="Y362" s="385">
        <f t="shared" si="138"/>
        <v>16.553504342947232</v>
      </c>
      <c r="Z362" s="385">
        <f t="shared" si="139"/>
        <v>17.585828400529788</v>
      </c>
      <c r="AA362" s="386">
        <f t="shared" si="140"/>
        <v>18.910627521210792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7.0055799004822325E-2</v>
      </c>
      <c r="AD362" s="231">
        <f>(INDEX(Models!$BJ362:$BT362,,AH362)*(1-AF362)+INDEX(Models!$BJ362:$BT362,,AH362+1)*AF362-ERP_i)*AE362*Ramure*Pc/MaxiM</f>
        <v>1.2462184138009712E-2</v>
      </c>
      <c r="AE362" s="305">
        <f t="shared" si="142"/>
        <v>0.7</v>
      </c>
      <c r="AF362" s="177">
        <f t="shared" si="143"/>
        <v>0.99997277380799421</v>
      </c>
      <c r="AG362" s="919">
        <f t="shared" si="149"/>
        <v>1</v>
      </c>
      <c r="AH362" s="176">
        <f t="shared" si="144"/>
        <v>7</v>
      </c>
      <c r="AI362" s="225">
        <f t="shared" si="145"/>
        <v>1.9999727738079942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1090">
        <f>IF(t&gt;Tmaj,'2024'!Wh/'2024'!Env_an*'2025'!Env_an,0.001*'[14]mon-tableau (2)'!$B$52)</f>
        <v>7.2338154190705293</v>
      </c>
      <c r="C363" s="953"/>
      <c r="D363" s="393">
        <f t="shared" si="127"/>
        <v>7.6851052411349512</v>
      </c>
      <c r="E363" s="385">
        <f t="shared" si="150"/>
        <v>7.9778719038233463</v>
      </c>
      <c r="F363" s="385">
        <f t="shared" si="128"/>
        <v>7.9778719038233463</v>
      </c>
      <c r="G363" s="110">
        <f t="shared" si="151"/>
        <v>0.2971349988496586</v>
      </c>
      <c r="H363" s="412" t="b">
        <f>Wh_hp&gt;='2024'!Maxi_hp</f>
        <v>0</v>
      </c>
      <c r="I363" s="390">
        <f>IF(H363,Wh_hp,'2024'!Maxi_hp)</f>
        <v>27.64680505166011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5.8722659990245618E-2</v>
      </c>
      <c r="M363" s="957"/>
      <c r="N363" s="957"/>
      <c r="O363" s="48">
        <f>IF(t&lt;Tnet,'2024'!Resal+('2024'!Salim-'2024'!Resal)*(1-EXP(('2024'!Tnet-t)/('2024'!Tau_j))),Resal+(Salim-Resal)*(1-EXP((Tnet-t)/(Tau_j))))*Salcycl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2.3119295194811489E-4</v>
      </c>
      <c r="Q363" s="305">
        <f t="shared" si="130"/>
        <v>0.7</v>
      </c>
      <c r="R363" s="177">
        <f t="shared" si="131"/>
        <v>0.47499446951327173</v>
      </c>
      <c r="S363" s="919">
        <f t="shared" si="132"/>
        <v>-2</v>
      </c>
      <c r="T363" s="176">
        <f t="shared" si="133"/>
        <v>4</v>
      </c>
      <c r="U363" s="251">
        <f t="shared" si="134"/>
        <v>-1.5250055304867283</v>
      </c>
      <c r="V363" s="383">
        <f t="shared" si="135"/>
        <v>24.339586517673045</v>
      </c>
      <c r="W363" s="402">
        <f t="shared" si="136"/>
        <v>7.2338154190705293</v>
      </c>
      <c r="X363" s="157">
        <f t="shared" si="137"/>
        <v>46006</v>
      </c>
      <c r="Y363" s="385">
        <f t="shared" si="138"/>
        <v>6.9828318194472718</v>
      </c>
      <c r="Z363" s="385">
        <f t="shared" si="139"/>
        <v>7.4184637435072105</v>
      </c>
      <c r="AA363" s="386">
        <f t="shared" si="140"/>
        <v>7.9778719038233463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7.0119972727068047E-2</v>
      </c>
      <c r="AD363" s="231">
        <f>(INDEX(Models!$BJ363:$BT363,,AH363)*(1-AF363)+INDEX(Models!$BJ363:$BT363,,AH363+1)*AF363-ERP_i)*AE363*Ramure*Pc/MaxiM</f>
        <v>1.2332992850115104E-2</v>
      </c>
      <c r="AE363" s="305">
        <f t="shared" si="142"/>
        <v>0.7</v>
      </c>
      <c r="AF363" s="177">
        <f t="shared" si="143"/>
        <v>0.99998203588725065</v>
      </c>
      <c r="AG363" s="919">
        <f t="shared" si="149"/>
        <v>1</v>
      </c>
      <c r="AH363" s="176">
        <f t="shared" si="144"/>
        <v>7</v>
      </c>
      <c r="AI363" s="225">
        <f t="shared" si="145"/>
        <v>1.9999820358872507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1090">
        <f>IF(t&gt;Tmaj,'2024'!Wh/'2024'!Env_an*'2025'!Env_an,0.001*'[14]mon-tableau (2)'!$B$53)</f>
        <v>4.9136857343458136</v>
      </c>
      <c r="C364" s="953"/>
      <c r="D364" s="393">
        <f t="shared" si="127"/>
        <v>5.2203459598638311</v>
      </c>
      <c r="E364" s="385">
        <f t="shared" si="150"/>
        <v>5.4198090236349605</v>
      </c>
      <c r="F364" s="385">
        <f t="shared" si="128"/>
        <v>5.4198090236349605</v>
      </c>
      <c r="G364" s="110">
        <f t="shared" si="151"/>
        <v>0.20187799545326646</v>
      </c>
      <c r="H364" s="412" t="b">
        <f>Wh_hp&gt;='2024'!Maxi_hp</f>
        <v>0</v>
      </c>
      <c r="I364" s="390">
        <f>IF(H364,Wh_hp,'2024'!Maxi_hp)</f>
        <v>27.611155388131891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5.8743276379716436E-2</v>
      </c>
      <c r="M364" s="957"/>
      <c r="N364" s="957"/>
      <c r="O364" s="48">
        <f>IF(t&lt;Tnet,'2024'!Resal+('2024'!Salim-'2024'!Resal)*(1-EXP(('2024'!Tnet-t)/('2024'!Tau_j))),Resal+(Salim-Resal)*(1-EXP((Tnet-t)/(Tau_j))))*Salcycl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2.317746414301831E-4</v>
      </c>
      <c r="Q364" s="305">
        <f t="shared" si="130"/>
        <v>0.7</v>
      </c>
      <c r="R364" s="177">
        <f t="shared" si="131"/>
        <v>0.47500335899661694</v>
      </c>
      <c r="S364" s="919">
        <f t="shared" si="132"/>
        <v>-2</v>
      </c>
      <c r="T364" s="176">
        <f t="shared" si="133"/>
        <v>4</v>
      </c>
      <c r="U364" s="251">
        <f t="shared" si="134"/>
        <v>-1.5249966410033831</v>
      </c>
      <c r="V364" s="383">
        <f t="shared" si="135"/>
        <v>24.334236406334139</v>
      </c>
      <c r="W364" s="402">
        <f t="shared" si="136"/>
        <v>4.9136857343458136</v>
      </c>
      <c r="X364" s="157">
        <f t="shared" si="137"/>
        <v>46007</v>
      </c>
      <c r="Y364" s="385">
        <f t="shared" si="138"/>
        <v>4.7433886034368804</v>
      </c>
      <c r="Z364" s="385">
        <f t="shared" si="139"/>
        <v>5.0394206855625407</v>
      </c>
      <c r="AA364" s="386">
        <f t="shared" si="140"/>
        <v>5.4198090236349605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7.0184823194618953E-2</v>
      </c>
      <c r="AD364" s="231">
        <f>(INDEX(Models!$BJ364:$BT364,,AH364)*(1-AF364)+INDEX(Models!$BJ364:$BT364,,AH364+1)*AF364-ERP_i)*AE364*Ramure*Pc/MaxiM</f>
        <v>1.2209474751783422E-2</v>
      </c>
      <c r="AE364" s="305">
        <f t="shared" si="142"/>
        <v>0.7</v>
      </c>
      <c r="AF364" s="177">
        <f t="shared" si="143"/>
        <v>0.99999092537059586</v>
      </c>
      <c r="AG364" s="919">
        <f t="shared" si="149"/>
        <v>1</v>
      </c>
      <c r="AH364" s="176">
        <f t="shared" si="144"/>
        <v>7</v>
      </c>
      <c r="AI364" s="225">
        <f t="shared" si="145"/>
        <v>1.9999909253705959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1090">
        <f>IF(t&gt;Tmaj,'2024'!Wh/'2024'!Env_an*'2025'!Env_an,0.001*'[14]mon-tableau (2)'!$B$54)</f>
        <v>2.7482317987762466</v>
      </c>
      <c r="C365" s="953"/>
      <c r="D365" s="393">
        <f t="shared" si="127"/>
        <v>2.9198112740737336</v>
      </c>
      <c r="E365" s="385">
        <f t="shared" si="150"/>
        <v>3.0317057717991709</v>
      </c>
      <c r="F365" s="385">
        <f t="shared" si="128"/>
        <v>3.0317057717991709</v>
      </c>
      <c r="G365" s="110">
        <f t="shared" si="151"/>
        <v>0.11287706983998841</v>
      </c>
      <c r="H365" s="412" t="b">
        <f>Wh_hp&gt;='2024'!Maxi_hp</f>
        <v>0</v>
      </c>
      <c r="I365" s="390">
        <f>IF(H365,Wh_hp,'2024'!Maxi_hp)</f>
        <v>27.969819213232515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5.8763892317635458E-2</v>
      </c>
      <c r="M365" s="957"/>
      <c r="N365" s="957"/>
      <c r="O365" s="48">
        <f>IF(t&lt;Tnet,'2024'!Resal+('2024'!Salim-'2024'!Resal)*(1-EXP(('2024'!Tnet-t)/('2024'!Tau_j))),Resal+(Salim-Resal)*(1-EXP((Tnet-t)/(Tau_j))))*Salcycl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2.322656444771271E-4</v>
      </c>
      <c r="Q365" s="305">
        <f t="shared" si="130"/>
        <v>0.7</v>
      </c>
      <c r="R365" s="177">
        <f t="shared" si="131"/>
        <v>0.4750118908604295</v>
      </c>
      <c r="S365" s="919">
        <f t="shared" si="132"/>
        <v>-2</v>
      </c>
      <c r="T365" s="176">
        <f t="shared" si="133"/>
        <v>4</v>
      </c>
      <c r="U365" s="251">
        <f t="shared" si="134"/>
        <v>-1.5249881091395705</v>
      </c>
      <c r="V365" s="383">
        <f t="shared" si="135"/>
        <v>24.341467074236146</v>
      </c>
      <c r="W365" s="402">
        <f t="shared" si="136"/>
        <v>2.7482317987762466</v>
      </c>
      <c r="X365" s="157">
        <f t="shared" si="137"/>
        <v>46008</v>
      </c>
      <c r="Y365" s="385">
        <f t="shared" si="138"/>
        <v>2.6530881063154856</v>
      </c>
      <c r="Z365" s="385">
        <f t="shared" si="139"/>
        <v>2.818727505947757</v>
      </c>
      <c r="AA365" s="386">
        <f t="shared" si="140"/>
        <v>3.0317057717991709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7.0250308533410785E-2</v>
      </c>
      <c r="AD365" s="231">
        <f>(INDEX(Models!$BJ365:$BT365,,AH365)*(1-AF365)+INDEX(Models!$BJ365:$BT365,,AH365+1)*AF365-ERP_i)*AE365*Ramure*Pc/MaxiM</f>
        <v>1.2091885038736275E-2</v>
      </c>
      <c r="AE365" s="305">
        <f t="shared" si="142"/>
        <v>0.7</v>
      </c>
      <c r="AF365" s="177">
        <f t="shared" si="143"/>
        <v>0.99999945723440842</v>
      </c>
      <c r="AG365" s="919">
        <f t="shared" si="149"/>
        <v>1</v>
      </c>
      <c r="AH365" s="176">
        <f t="shared" si="144"/>
        <v>7</v>
      </c>
      <c r="AI365" s="225">
        <f t="shared" si="145"/>
        <v>1.9999994572344084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1090">
        <f>IF(t&gt;Tmaj,'2024'!Wh/'2024'!Env_an*'2025'!Env_an,0.001*'[14]mon-tableau (2)'!$B$55)</f>
        <v>21.664883546573773</v>
      </c>
      <c r="C366" s="953"/>
      <c r="D366" s="393">
        <f t="shared" si="127"/>
        <v>23.017984432052394</v>
      </c>
      <c r="E366" s="385">
        <f t="shared" si="150"/>
        <v>23.902715136726677</v>
      </c>
      <c r="F366" s="385">
        <f t="shared" si="128"/>
        <v>23.907396107579071</v>
      </c>
      <c r="G366" s="110">
        <f t="shared" si="151"/>
        <v>0.88930081925624727</v>
      </c>
      <c r="H366" s="412" t="b">
        <f>Wh_hp&gt;='2024'!Maxi_hp</f>
        <v>0</v>
      </c>
      <c r="I366" s="390">
        <f>IF(H366,Wh_hp,'2024'!Maxi_hp)</f>
        <v>28.032685021410803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5.8784507804012454E-2</v>
      </c>
      <c r="M366" s="957"/>
      <c r="N366" s="957"/>
      <c r="O366" s="48">
        <f>IF(t&lt;Tnet,'2024'!Resal+('2024'!Salim-'2024'!Resal)*(1-EXP(('2024'!Tnet-t)/('2024'!Tau_j))),Resal+(Salim-Resal)*(1-EXP((Tnet-t)/(Tau_j))))*Salcycl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2.3256296374133401E-4</v>
      </c>
      <c r="Q366" s="305">
        <f t="shared" si="130"/>
        <v>0.7</v>
      </c>
      <c r="R366" s="177">
        <f t="shared" si="131"/>
        <v>0.47502007948009872</v>
      </c>
      <c r="S366" s="919">
        <f t="shared" si="132"/>
        <v>-2</v>
      </c>
      <c r="T366" s="176">
        <f t="shared" si="133"/>
        <v>4</v>
      </c>
      <c r="U366" s="251">
        <f t="shared" si="134"/>
        <v>-1.5249799205199013</v>
      </c>
      <c r="V366" s="383">
        <f t="shared" si="135"/>
        <v>24.360808365377657</v>
      </c>
      <c r="W366" s="402">
        <f t="shared" si="136"/>
        <v>21.664883546573773</v>
      </c>
      <c r="X366" s="157">
        <f t="shared" si="137"/>
        <v>46009</v>
      </c>
      <c r="Y366" s="385">
        <f t="shared" si="138"/>
        <v>20.708584579987505</v>
      </c>
      <c r="Z366" s="385">
        <f t="shared" si="139"/>
        <v>22.001958904938419</v>
      </c>
      <c r="AA366" s="386">
        <f t="shared" si="140"/>
        <v>23.666071544659601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7.0316386755650509E-2</v>
      </c>
      <c r="AD366" s="231">
        <f>(INDEX(Models!$BJ366:$BT366,,AH366)*(1-AF366)+INDEX(Models!$BJ366:$BT366,,AH366+1)*AF366-ERP_i)*AE366*Ramure*Pc/MaxiM</f>
        <v>1.198964004389015E-2</v>
      </c>
      <c r="AE366" s="305">
        <f t="shared" si="142"/>
        <v>0.7</v>
      </c>
      <c r="AF366" s="177">
        <f t="shared" si="143"/>
        <v>7.6458540778645556E-6</v>
      </c>
      <c r="AG366" s="919">
        <f t="shared" si="149"/>
        <v>2</v>
      </c>
      <c r="AH366" s="176">
        <f t="shared" si="144"/>
        <v>8</v>
      </c>
      <c r="AI366" s="225">
        <f t="shared" si="145"/>
        <v>2.0000076458540779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1090">
        <f>IF(t&gt;Tmaj,'2024'!Wh/'2024'!Env_an*'2025'!Env_an,0.001*'[14]mon-tableau (2)'!$B$56)</f>
        <v>18.337886967608576</v>
      </c>
      <c r="C367" s="953"/>
      <c r="D367" s="393">
        <f t="shared" si="127"/>
        <v>19.483623862169548</v>
      </c>
      <c r="E367" s="385">
        <f t="shared" si="150"/>
        <v>20.234731654222333</v>
      </c>
      <c r="F367" s="385">
        <f t="shared" si="128"/>
        <v>20.237769506045542</v>
      </c>
      <c r="G367" s="110">
        <f t="shared" si="151"/>
        <v>0.75174369718666845</v>
      </c>
      <c r="H367" s="412" t="b">
        <f>Wh_hp&gt;='2024'!Maxi_hp</f>
        <v>0</v>
      </c>
      <c r="I367" s="390">
        <f>IF(H367,Wh_hp,'2024'!Maxi_hp)</f>
        <v>27.478360183893841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5.8805122838857415E-2</v>
      </c>
      <c r="M367" s="957"/>
      <c r="N367" s="957"/>
      <c r="O367" s="48">
        <f>IF(t&lt;Tnet,'2024'!Resal+('2024'!Salim-'2024'!Resal)*(1-EXP(('2024'!Tnet-t)/('2024'!Tau_j))),Resal+(Salim-Resal)*(1-EXP((Tnet-t)/(Tau_j))))*Salcycl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2.3256816973961589E-4</v>
      </c>
      <c r="Q367" s="305">
        <f t="shared" si="130"/>
        <v>0.7</v>
      </c>
      <c r="R367" s="177">
        <f t="shared" si="131"/>
        <v>0.47502793865406501</v>
      </c>
      <c r="S367" s="919">
        <f t="shared" si="132"/>
        <v>-2</v>
      </c>
      <c r="T367" s="176">
        <f t="shared" si="133"/>
        <v>4</v>
      </c>
      <c r="U367" s="251">
        <f t="shared" si="134"/>
        <v>-1.524972061345935</v>
      </c>
      <c r="V367" s="383">
        <f t="shared" si="135"/>
        <v>24.391790266536837</v>
      </c>
      <c r="W367" s="402">
        <f t="shared" si="136"/>
        <v>18.337886967608576</v>
      </c>
      <c r="X367" s="157">
        <f t="shared" si="137"/>
        <v>46010</v>
      </c>
      <c r="Y367" s="385">
        <f t="shared" si="138"/>
        <v>17.571024512320783</v>
      </c>
      <c r="Z367" s="385">
        <f t="shared" si="139"/>
        <v>18.668848437975971</v>
      </c>
      <c r="AA367" s="386">
        <f t="shared" si="140"/>
        <v>20.082301377617554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7.0383016023100139E-2</v>
      </c>
      <c r="AD367" s="231">
        <f>(INDEX(Models!$BJ367:$BT367,,AH367)*(1-AF367)+INDEX(Models!$BJ367:$BT367,,AH367+1)*AF367-ERP_i)*AE367*Ramure*Pc/MaxiM</f>
        <v>1.1902140125825762E-2</v>
      </c>
      <c r="AE367" s="305">
        <f t="shared" si="142"/>
        <v>0.7</v>
      </c>
      <c r="AF367" s="177">
        <f t="shared" si="143"/>
        <v>1.5505028043705238E-5</v>
      </c>
      <c r="AG367" s="919">
        <f t="shared" si="149"/>
        <v>2</v>
      </c>
      <c r="AH367" s="176">
        <f t="shared" si="144"/>
        <v>8</v>
      </c>
      <c r="AI367" s="225">
        <f t="shared" si="145"/>
        <v>2.0000155050280437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1090">
        <f>IF(t&gt;Tmaj,'2024'!Wh/'2024'!Env_an*'2025'!Env_an,0.001*'[14]mon-tableau (2)'!$B$57)</f>
        <v>4.4674831202073744</v>
      </c>
      <c r="C368" s="953"/>
      <c r="D368" s="393">
        <f t="shared" si="127"/>
        <v>4.746711951059102</v>
      </c>
      <c r="E368" s="385">
        <f t="shared" si="150"/>
        <v>4.930244356439613</v>
      </c>
      <c r="F368" s="385">
        <f t="shared" si="128"/>
        <v>4.930244356439613</v>
      </c>
      <c r="G368" s="110">
        <f t="shared" si="151"/>
        <v>0.18279676936722647</v>
      </c>
      <c r="H368" s="412" t="b">
        <f>Wh_hp&gt;='2024'!Maxi_hp</f>
        <v>0</v>
      </c>
      <c r="I368" s="390">
        <f>IF(H368,Wh_hp,'2024'!Maxi_hp)</f>
        <v>28.081044157306998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5.8825737422180224E-2</v>
      </c>
      <c r="M368" s="957"/>
      <c r="N368" s="957"/>
      <c r="O368" s="48">
        <f>IF(t&lt;Tnet,'2024'!Resal+('2024'!Salim-'2024'!Resal)*(1-EXP(('2024'!Tnet-t)/('2024'!Tau_j))),Resal+(Salim-Resal)*(1-EXP((Tnet-t)/(Tau_j))))*Salcycl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2.3228661978204115E-4</v>
      </c>
      <c r="Q368" s="305">
        <f t="shared" si="130"/>
        <v>0.7</v>
      </c>
      <c r="R368" s="177">
        <f t="shared" si="131"/>
        <v>0.47503548162690334</v>
      </c>
      <c r="S368" s="919">
        <f t="shared" si="132"/>
        <v>-2</v>
      </c>
      <c r="T368" s="176">
        <f t="shared" si="133"/>
        <v>4</v>
      </c>
      <c r="U368" s="251">
        <f t="shared" si="134"/>
        <v>-1.5249645183730967</v>
      </c>
      <c r="V368" s="383">
        <f t="shared" si="135"/>
        <v>24.433940485466994</v>
      </c>
      <c r="W368" s="402">
        <f t="shared" si="136"/>
        <v>4.4674831202073744</v>
      </c>
      <c r="X368" s="157">
        <f t="shared" si="137"/>
        <v>46011</v>
      </c>
      <c r="Y368" s="385">
        <f t="shared" si="138"/>
        <v>4.3133149423818757</v>
      </c>
      <c r="Z368" s="385">
        <f t="shared" si="139"/>
        <v>4.5829078778333407</v>
      </c>
      <c r="AA368" s="386">
        <f t="shared" si="140"/>
        <v>4.930244356439613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7.0450154900050785E-2</v>
      </c>
      <c r="AD368" s="231">
        <f>(INDEX(Models!$BJ368:$BT368,,AH368)*(1-AF368)+INDEX(Models!$BJ368:$BT368,,AH368+1)*AF368-ERP_i)*AE368*Ramure*Pc/MaxiM</f>
        <v>1.1829507848383894E-2</v>
      </c>
      <c r="AE368" s="305">
        <f t="shared" si="142"/>
        <v>0.7</v>
      </c>
      <c r="AF368" s="177">
        <f t="shared" si="143"/>
        <v>2.3048000882042174E-5</v>
      </c>
      <c r="AG368" s="919">
        <f t="shared" si="149"/>
        <v>2</v>
      </c>
      <c r="AH368" s="176">
        <f t="shared" si="144"/>
        <v>8</v>
      </c>
      <c r="AI368" s="225">
        <f t="shared" si="145"/>
        <v>2.000023048000882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1090">
        <f>IF(t&gt;Tmaj,'2024'!Wh/'2024'!Env_an*'2025'!Env_an,0.001*'[14]mon-tableau (2)'!$B$58)</f>
        <v>22.576762472609627</v>
      </c>
      <c r="C369" s="953"/>
      <c r="D369" s="393">
        <f t="shared" si="127"/>
        <v>23.988391810293002</v>
      </c>
      <c r="E369" s="385">
        <f t="shared" si="150"/>
        <v>24.918656957725968</v>
      </c>
      <c r="F369" s="385">
        <f t="shared" si="128"/>
        <v>24.923788835957687</v>
      </c>
      <c r="G369" s="110">
        <f t="shared" si="151"/>
        <v>0.92197393684156292</v>
      </c>
      <c r="H369" s="412" t="b">
        <f>Wh_hp&gt;='2024'!Maxi_hp</f>
        <v>1</v>
      </c>
      <c r="I369" s="390">
        <f>IF(H369,Wh_hp,'2024'!Maxi_hp)</f>
        <v>24.923788835957687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5.8846351553990761E-2</v>
      </c>
      <c r="M369" s="957"/>
      <c r="N369" s="957"/>
      <c r="O369" s="48">
        <f>IF(t&lt;Tnet,'2024'!Resal+('2024'!Salim-'2024'!Resal)*(1-EXP(('2024'!Tnet-t)/('2024'!Tau_j))),Resal+(Salim-Resal)*(1-EXP((Tnet-t)/(Tau_j))))*Salcycl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2.3172426156060149E-4</v>
      </c>
      <c r="Q369" s="305">
        <f t="shared" si="130"/>
        <v>0.7</v>
      </c>
      <c r="R369" s="177">
        <f t="shared" si="131"/>
        <v>0.47504272111149026</v>
      </c>
      <c r="S369" s="919">
        <f t="shared" si="132"/>
        <v>-2</v>
      </c>
      <c r="T369" s="176">
        <f t="shared" si="133"/>
        <v>4</v>
      </c>
      <c r="U369" s="251">
        <f t="shared" si="134"/>
        <v>-1.5249572788885097</v>
      </c>
      <c r="V369" s="383">
        <f t="shared" si="135"/>
        <v>24.486786974889721</v>
      </c>
      <c r="W369" s="402">
        <f t="shared" si="136"/>
        <v>22.576762472609627</v>
      </c>
      <c r="X369" s="157">
        <f t="shared" si="137"/>
        <v>46012</v>
      </c>
      <c r="Y369" s="385">
        <f t="shared" si="138"/>
        <v>21.574910740771639</v>
      </c>
      <c r="Z369" s="385">
        <f t="shared" si="139"/>
        <v>22.923898532822101</v>
      </c>
      <c r="AA369" s="386">
        <f t="shared" si="140"/>
        <v>24.663084037843952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7.051776259421498E-2</v>
      </c>
      <c r="AD369" s="231">
        <f>(INDEX(Models!$BJ369:$BT369,,AH369)*(1-AF369)+INDEX(Models!$BJ369:$BT369,,AH369+1)*AF369-ERP_i)*AE369*Ramure*Pc/MaxiM</f>
        <v>1.1771835593217419E-2</v>
      </c>
      <c r="AE369" s="305">
        <f t="shared" si="142"/>
        <v>0.7</v>
      </c>
      <c r="AF369" s="177">
        <f t="shared" si="143"/>
        <v>3.028748546896054E-5</v>
      </c>
      <c r="AG369" s="919">
        <f t="shared" si="149"/>
        <v>2</v>
      </c>
      <c r="AH369" s="176">
        <f t="shared" si="144"/>
        <v>8</v>
      </c>
      <c r="AI369" s="225">
        <f t="shared" si="145"/>
        <v>2.000030287485469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1090">
        <f>IF(t&gt;Tmaj,'2024'!Wh/'2024'!Env_an*'2025'!Env_an,0.001*'[14]mon-tableau (2)'!$B$59)</f>
        <v>17.45768549027493</v>
      </c>
      <c r="C370" s="953"/>
      <c r="D370" s="393">
        <f t="shared" si="127"/>
        <v>18.549646910036572</v>
      </c>
      <c r="E370" s="385">
        <f t="shared" si="150"/>
        <v>19.271128348607945</v>
      </c>
      <c r="F370" s="385">
        <f t="shared" si="128"/>
        <v>19.273741882531279</v>
      </c>
      <c r="G370" s="110">
        <f t="shared" si="151"/>
        <v>0.71104369855105387</v>
      </c>
      <c r="H370" s="412" t="b">
        <f>Wh_hp&gt;='2024'!Maxi_hp</f>
        <v>0</v>
      </c>
      <c r="I370" s="390">
        <f>IF(H370,Wh_hp,'2024'!Maxi_hp)</f>
        <v>27.058641236912877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5.8866965234298907E-2</v>
      </c>
      <c r="M370" s="957"/>
      <c r="N370" s="957"/>
      <c r="O370" s="48">
        <f>IF(t&lt;Tnet,'2024'!Resal+('2024'!Salim-'2024'!Resal)*(1-EXP(('2024'!Tnet-t)/('2024'!Tau_j))),Resal+(Salim-Resal)*(1-EXP((Tnet-t)/(Tau_j))))*Salcycl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2.3088756955215667E-4</v>
      </c>
      <c r="Q370" s="305">
        <f t="shared" si="130"/>
        <v>0.7</v>
      </c>
      <c r="R370" s="177">
        <f t="shared" si="131"/>
        <v>0.47504966931028747</v>
      </c>
      <c r="S370" s="919">
        <f t="shared" si="132"/>
        <v>-2</v>
      </c>
      <c r="T370" s="176">
        <f t="shared" si="133"/>
        <v>4</v>
      </c>
      <c r="U370" s="251">
        <f t="shared" si="134"/>
        <v>-1.5249503306897125</v>
      </c>
      <c r="V370" s="383">
        <f t="shared" si="135"/>
        <v>24.549857924317166</v>
      </c>
      <c r="W370" s="402">
        <f t="shared" si="136"/>
        <v>17.45768549027493</v>
      </c>
      <c r="X370" s="157">
        <f t="shared" si="137"/>
        <v>46013</v>
      </c>
      <c r="Y370" s="385">
        <f t="shared" si="138"/>
        <v>16.742655365250315</v>
      </c>
      <c r="Z370" s="385">
        <f t="shared" si="139"/>
        <v>17.789892339097911</v>
      </c>
      <c r="AA370" s="386">
        <f t="shared" si="140"/>
        <v>19.140973231823772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7.058579918389711E-2</v>
      </c>
      <c r="AD370" s="231">
        <f>(INDEX(Models!$BJ370:$BT370,,AH370)*(1-AF370)+INDEX(Models!$BJ370:$BT370,,AH370+1)*AF370-ERP_i)*AE370*Ramure*Pc/MaxiM</f>
        <v>1.1729188131396336E-2</v>
      </c>
      <c r="AE370" s="305">
        <f t="shared" si="142"/>
        <v>0.7</v>
      </c>
      <c r="AF370" s="177">
        <f t="shared" si="143"/>
        <v>3.7235684266612168E-5</v>
      </c>
      <c r="AG370" s="919">
        <f t="shared" si="149"/>
        <v>2</v>
      </c>
      <c r="AH370" s="176">
        <f t="shared" si="144"/>
        <v>8</v>
      </c>
      <c r="AI370" s="225">
        <f t="shared" si="145"/>
        <v>2.0000372356842666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1090">
        <f>IF(t&gt;Tmaj,'2024'!Wh/'2024'!Env_an*'2025'!Env_an,0.001*'[14]mon-tableau (2)'!$B$60)</f>
        <v>18.007479355823335</v>
      </c>
      <c r="C371" s="953"/>
      <c r="D371" s="393">
        <f t="shared" si="127"/>
        <v>19.134248941711114</v>
      </c>
      <c r="E371" s="385">
        <f t="shared" si="150"/>
        <v>19.880668091037805</v>
      </c>
      <c r="F371" s="385">
        <f t="shared" si="128"/>
        <v>19.883483387886361</v>
      </c>
      <c r="G371" s="110">
        <f t="shared" si="151"/>
        <v>0.73127253817675941</v>
      </c>
      <c r="H371" s="412" t="b">
        <f>Wh_hp&gt;='2024'!Maxi_hp</f>
        <v>0</v>
      </c>
      <c r="I371" s="390">
        <f>IF(H371,Wh_hp,'2024'!Maxi_hp)</f>
        <v>22.375250435644084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5.8887578463114543E-2</v>
      </c>
      <c r="M371" s="957"/>
      <c r="N371" s="957"/>
      <c r="O371" s="48">
        <f>IF(t&lt;Tnet,'2024'!Resal+('2024'!Salim-'2024'!Resal)*(1-EXP(('2024'!Tnet-t)/('2024'!Tau_j))),Resal+(Salim-Resal)*(1-EXP((Tnet-t)/(Tau_j))))*Salcycl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2.297804127579724E-4</v>
      </c>
      <c r="Q371" s="305">
        <f t="shared" si="130"/>
        <v>0.7</v>
      </c>
      <c r="R371" s="177">
        <f t="shared" si="131"/>
        <v>0.47504966931028747</v>
      </c>
      <c r="S371" s="919">
        <f t="shared" si="132"/>
        <v>-2</v>
      </c>
      <c r="T371" s="176">
        <f t="shared" si="133"/>
        <v>4</v>
      </c>
      <c r="U371" s="251">
        <f t="shared" si="134"/>
        <v>-1.5249503306897125</v>
      </c>
      <c r="V371" s="383">
        <f t="shared" si="135"/>
        <v>24.622681830430267</v>
      </c>
      <c r="W371" s="402">
        <f t="shared" si="136"/>
        <v>18.007479355823335</v>
      </c>
      <c r="X371" s="157">
        <f t="shared" si="137"/>
        <v>46014</v>
      </c>
      <c r="Y371" s="385">
        <f t="shared" si="138"/>
        <v>17.265076000245593</v>
      </c>
      <c r="Z371" s="385">
        <f t="shared" si="139"/>
        <v>18.345391693003933</v>
      </c>
      <c r="AA371" s="386">
        <f t="shared" si="140"/>
        <v>19.740114178048756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7.0654225829948569E-2</v>
      </c>
      <c r="AD371" s="231">
        <f>(INDEX(Models!$BJ371:$BT371,,AH371)*(1-AF371)+INDEX(Models!$BJ371:$BT371,,AH371+1)*AF371-ERP_i)*AE371*Ramure*Pc/MaxiM</f>
        <v>1.1701585298244279E-2</v>
      </c>
      <c r="AE371" s="305">
        <f t="shared" si="142"/>
        <v>0.7</v>
      </c>
      <c r="AF371" s="177">
        <f t="shared" si="143"/>
        <v>3.7235684266612168E-5</v>
      </c>
      <c r="AG371" s="919">
        <f t="shared" si="149"/>
        <v>2</v>
      </c>
      <c r="AH371" s="176">
        <f t="shared" si="144"/>
        <v>8</v>
      </c>
      <c r="AI371" s="225">
        <f t="shared" si="145"/>
        <v>2.0000372356842666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1090">
        <f>IF(t&gt;Tmaj,'2024'!Wh/'2024'!Env_an*'2025'!Env_an,0.001*'[14]mon-tableau (2)'!$B$61)</f>
        <v>23.601817264928993</v>
      </c>
      <c r="C372" s="953"/>
      <c r="D372" s="393">
        <f t="shared" si="127"/>
        <v>25.079186796916666</v>
      </c>
      <c r="E372" s="385">
        <f t="shared" si="150"/>
        <v>26.060402220130797</v>
      </c>
      <c r="F372" s="385">
        <f t="shared" si="128"/>
        <v>26.065976294178245</v>
      </c>
      <c r="G372" s="110">
        <f t="shared" si="151"/>
        <v>0.95534007565805246</v>
      </c>
      <c r="H372" s="412" t="b">
        <f>Wh_hp&gt;='2024'!Maxi_hp</f>
        <v>1</v>
      </c>
      <c r="I372" s="390">
        <f>IF(H372,Wh_hp,'2024'!Maxi_hp)</f>
        <v>26.065976294178245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5.8908191240447549E-2</v>
      </c>
      <c r="M372" s="957"/>
      <c r="N372" s="957"/>
      <c r="O372" s="48">
        <f>IF(t&lt;Tnet,'2024'!Resal+('2024'!Salim-'2024'!Resal)*(1-EXP(('2024'!Tnet-t)/('2024'!Tau_j))),Resal+(Salim-Resal)*(1-EXP((Tnet-t)/(Tau_j))))*Salcycl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2.2841300405584334E-4</v>
      </c>
      <c r="Q372" s="305">
        <f t="shared" si="130"/>
        <v>0.7</v>
      </c>
      <c r="R372" s="177">
        <f t="shared" si="131"/>
        <v>0.47504966931028747</v>
      </c>
      <c r="S372" s="919">
        <f t="shared" si="132"/>
        <v>-2</v>
      </c>
      <c r="T372" s="176">
        <f t="shared" si="133"/>
        <v>4</v>
      </c>
      <c r="U372" s="251">
        <f t="shared" si="134"/>
        <v>-1.5249503306897125</v>
      </c>
      <c r="V372" s="383">
        <f t="shared" si="135"/>
        <v>24.704787286920659</v>
      </c>
      <c r="W372" s="402">
        <f t="shared" si="136"/>
        <v>23.601817264928993</v>
      </c>
      <c r="X372" s="157">
        <f t="shared" si="137"/>
        <v>46015</v>
      </c>
      <c r="Y372" s="385">
        <f t="shared" si="138"/>
        <v>22.546143578890028</v>
      </c>
      <c r="Z372" s="385">
        <f t="shared" si="139"/>
        <v>23.957432600128531</v>
      </c>
      <c r="AA372" s="386">
        <f t="shared" si="140"/>
        <v>25.780722785874307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7.0723004971171274E-2</v>
      </c>
      <c r="AD372" s="231">
        <f>(INDEX(Models!$BJ372:$BT372,,AH372)*(1-AF372)+INDEX(Models!$BJ372:$BT372,,AH372+1)*AF372-ERP_i)*AE372*Ramure*Pc/MaxiM</f>
        <v>1.1689046502529124E-2</v>
      </c>
      <c r="AE372" s="305">
        <f t="shared" si="142"/>
        <v>0.7</v>
      </c>
      <c r="AF372" s="177">
        <f t="shared" si="143"/>
        <v>3.7235684266612168E-5</v>
      </c>
      <c r="AG372" s="919">
        <f t="shared" si="149"/>
        <v>2</v>
      </c>
      <c r="AH372" s="176">
        <f t="shared" si="144"/>
        <v>8</v>
      </c>
      <c r="AI372" s="225">
        <f t="shared" si="145"/>
        <v>2.0000372356842666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1090">
        <f>IF(t&gt;Tmaj,'2024'!Wh/'2024'!Env_an*'2025'!Env_an,0.001*'[14]mon-tableau (2)'!$B$62)</f>
        <v>13.824753153870443</v>
      </c>
      <c r="C373" s="953"/>
      <c r="D373" s="393">
        <f t="shared" si="127"/>
        <v>14.69044340774756</v>
      </c>
      <c r="E373" s="385">
        <f t="shared" si="150"/>
        <v>15.266895082957955</v>
      </c>
      <c r="F373" s="385">
        <f t="shared" si="128"/>
        <v>15.268168362400177</v>
      </c>
      <c r="G373" s="110">
        <f t="shared" si="151"/>
        <v>0.55736573649372867</v>
      </c>
      <c r="H373" s="412" t="b">
        <f>Wh_hp&gt;='2024'!Maxi_hp</f>
        <v>0</v>
      </c>
      <c r="I373" s="390">
        <f>IF(H373,Wh_hp,'2024'!Maxi_hp)</f>
        <v>18.791308820692279</v>
      </c>
      <c r="J373" s="85">
        <f>IF(H373,An,'2024'!An_max)</f>
        <v>2019</v>
      </c>
      <c r="K373" s="197">
        <f t="shared" si="129"/>
        <v>46016</v>
      </c>
      <c r="L373" s="147">
        <f>IF(t&lt;Tvie,1-EXP((T0-t)*PertePVj)+'2024'!Pspv,1-EXP((T0-t)*PertePVj)+Pspv)</f>
        <v>5.8928803566307808E-2</v>
      </c>
      <c r="M373" s="957"/>
      <c r="N373" s="957"/>
      <c r="O373" s="48">
        <f>IF(t&lt;Tnet,'2024'!Resal+('2024'!Salim-'2024'!Resal)*(1-EXP(('2024'!Tnet-t)/('2024'!Tau_j))),Resal+(Salim-Resal)*(1-EXP((Tnet-t)/(Tau_j))))*Salcycl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2.2675102431832166E-4</v>
      </c>
      <c r="Q373" s="305">
        <f t="shared" si="130"/>
        <v>0.7</v>
      </c>
      <c r="R373" s="177">
        <f t="shared" si="131"/>
        <v>0.47504966931028747</v>
      </c>
      <c r="S373" s="919">
        <f t="shared" si="132"/>
        <v>-2</v>
      </c>
      <c r="T373" s="176">
        <f t="shared" si="133"/>
        <v>4</v>
      </c>
      <c r="U373" s="251">
        <f t="shared" si="134"/>
        <v>-1.5249503306897125</v>
      </c>
      <c r="V373" s="383">
        <f t="shared" si="135"/>
        <v>24.800180946397017</v>
      </c>
      <c r="W373" s="402">
        <f t="shared" si="136"/>
        <v>13.824753153870443</v>
      </c>
      <c r="X373" s="157">
        <f t="shared" si="137"/>
        <v>46016</v>
      </c>
      <c r="Y373" s="385">
        <f t="shared" si="138"/>
        <v>13.293863164933514</v>
      </c>
      <c r="Z373" s="385">
        <f t="shared" si="139"/>
        <v>14.126309694008574</v>
      </c>
      <c r="AA373" s="386">
        <f t="shared" si="140"/>
        <v>15.20252862856662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7.0792100502001659E-2</v>
      </c>
      <c r="AD373" s="231">
        <f>(INDEX(Models!$BJ373:$BT373,,AH373)*(1-AF373)+INDEX(Models!$BJ373:$BT373,,AH373+1)*AF373-ERP_i)*AE373*Ramure*Pc/MaxiM</f>
        <v>1.168940327566282E-2</v>
      </c>
      <c r="AE373" s="305">
        <f t="shared" si="142"/>
        <v>0.7</v>
      </c>
      <c r="AF373" s="177">
        <f t="shared" si="143"/>
        <v>3.7235684266612168E-5</v>
      </c>
      <c r="AG373" s="919">
        <f t="shared" si="149"/>
        <v>2</v>
      </c>
      <c r="AH373" s="176">
        <f t="shared" si="144"/>
        <v>8</v>
      </c>
      <c r="AI373" s="225">
        <f t="shared" si="145"/>
        <v>2.0000372356842666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1090">
        <f>IF(t&gt;Tmaj,'2024'!Wh/'2024'!Env_an*'2025'!Env_an,0.001*'[14]mon-tableau (2)'!$B$63)</f>
        <v>22.823074014197751</v>
      </c>
      <c r="C374" s="953"/>
      <c r="D374" s="393">
        <f t="shared" si="127"/>
        <v>24.252760041465859</v>
      </c>
      <c r="E374" s="385">
        <f t="shared" si="150"/>
        <v>25.207232905493548</v>
      </c>
      <c r="F374" s="385">
        <f t="shared" si="128"/>
        <v>25.212220910744193</v>
      </c>
      <c r="G374" s="110">
        <f t="shared" si="151"/>
        <v>0.91611451608029837</v>
      </c>
      <c r="H374" s="412" t="b">
        <f>Wh_hp&gt;='2024'!Maxi_hp</f>
        <v>0</v>
      </c>
      <c r="I374" s="390">
        <f>IF(H374,Wh_hp,'2024'!Maxi_hp)</f>
        <v>26.329619230701343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5.8949415440705311E-2</v>
      </c>
      <c r="M374" s="957"/>
      <c r="N374" s="957"/>
      <c r="O374" s="48">
        <f>IF(t&lt;Tnet,'2024'!Resal+('2024'!Salim-'2024'!Resal)*(1-EXP(('2024'!Tnet-t)/('2024'!Tau_j))),Resal+(Salim-Resal)*(1-EXP((Tnet-t)/(Tau_j))))*Salcycl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2.2476827092204367E-4</v>
      </c>
      <c r="Q374" s="305">
        <f t="shared" si="130"/>
        <v>0.7</v>
      </c>
      <c r="R374" s="177">
        <f t="shared" si="131"/>
        <v>0.47504966931028747</v>
      </c>
      <c r="S374" s="919">
        <f t="shared" si="132"/>
        <v>-2</v>
      </c>
      <c r="T374" s="176">
        <f t="shared" si="133"/>
        <v>4</v>
      </c>
      <c r="U374" s="251">
        <f t="shared" si="134"/>
        <v>-1.5249503306897125</v>
      </c>
      <c r="V374" s="383">
        <f t="shared" si="135"/>
        <v>24.912234140701415</v>
      </c>
      <c r="W374" s="402">
        <f t="shared" si="136"/>
        <v>22.823074014197751</v>
      </c>
      <c r="X374" s="157">
        <f t="shared" si="137"/>
        <v>46017</v>
      </c>
      <c r="Y374" s="385">
        <f t="shared" si="138"/>
        <v>21.817678465910948</v>
      </c>
      <c r="Z374" s="385">
        <f t="shared" si="139"/>
        <v>23.184384371992532</v>
      </c>
      <c r="AA374" s="386">
        <f t="shared" si="140"/>
        <v>24.952559625208224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7.0861477931482328E-2</v>
      </c>
      <c r="AD374" s="231">
        <f>(INDEX(Models!$BJ374:$BT374,,AH374)*(1-AF374)+INDEX(Models!$BJ374:$BT374,,AH374+1)*AF374-ERP_i)*AE374*Ramure*Pc/MaxiM</f>
        <v>1.1700793251523806E-2</v>
      </c>
      <c r="AE374" s="305">
        <f t="shared" si="142"/>
        <v>0.7</v>
      </c>
      <c r="AF374" s="177">
        <f t="shared" si="143"/>
        <v>3.7235684266612168E-5</v>
      </c>
      <c r="AG374" s="919">
        <f t="shared" si="149"/>
        <v>2</v>
      </c>
      <c r="AH374" s="176">
        <f t="shared" si="144"/>
        <v>8</v>
      </c>
      <c r="AI374" s="225">
        <f t="shared" si="145"/>
        <v>2.0000372356842666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1090">
        <f>IF(t&gt;Tmaj,'2024'!Wh/'2024'!Env_an*'2025'!Env_an,0.001*'[14]mon-tableau (2)'!$B$64)</f>
        <v>6.1983172879882238</v>
      </c>
      <c r="C375" s="953"/>
      <c r="D375" s="393">
        <f t="shared" si="127"/>
        <v>6.5867373674930976</v>
      </c>
      <c r="E375" s="385">
        <f t="shared" si="150"/>
        <v>6.84671999358675</v>
      </c>
      <c r="F375" s="385">
        <f t="shared" si="128"/>
        <v>6.84671999358675</v>
      </c>
      <c r="G375" s="110">
        <f t="shared" si="151"/>
        <v>0.24748627163585077</v>
      </c>
      <c r="H375" s="412" t="b">
        <f>Wh_hp&gt;='2024'!Maxi_hp</f>
        <v>0</v>
      </c>
      <c r="I375" s="390">
        <f>IF(H375,Wh_hp,'2024'!Maxi_hp)</f>
        <v>27.615988001355355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5.8970026863649827E-2</v>
      </c>
      <c r="M375" s="957"/>
      <c r="N375" s="957"/>
      <c r="O375" s="48">
        <f>IF(t&lt;Tnet,'2024'!Resal+('2024'!Salim-'2024'!Resal)*(1-EXP(('2024'!Tnet-t)/('2024'!Tau_j))),Resal+(Salim-Resal)*(1-EXP((Tnet-t)/(Tau_j))))*Salcycl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2.2258286649941246E-4</v>
      </c>
      <c r="Q375" s="305">
        <f t="shared" si="130"/>
        <v>0.7</v>
      </c>
      <c r="R375" s="177">
        <f t="shared" si="131"/>
        <v>0.47504966931028747</v>
      </c>
      <c r="S375" s="919">
        <f t="shared" si="132"/>
        <v>-2</v>
      </c>
      <c r="T375" s="176">
        <f t="shared" si="133"/>
        <v>4</v>
      </c>
      <c r="U375" s="251">
        <f t="shared" si="134"/>
        <v>-1.5249503306897125</v>
      </c>
      <c r="V375" s="383">
        <f t="shared" si="135"/>
        <v>25.039520809772078</v>
      </c>
      <c r="W375" s="402">
        <f t="shared" si="136"/>
        <v>6.1983172879882238</v>
      </c>
      <c r="X375" s="157">
        <f t="shared" si="137"/>
        <v>46018</v>
      </c>
      <c r="Y375" s="385">
        <f t="shared" si="138"/>
        <v>5.9859618430967343</v>
      </c>
      <c r="Z375" s="385">
        <f t="shared" si="139"/>
        <v>6.3610745820839023</v>
      </c>
      <c r="AA375" s="386">
        <f t="shared" si="140"/>
        <v>6.84671999358675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7.0931104522712604E-2</v>
      </c>
      <c r="AD375" s="231">
        <f>(INDEX(Models!$BJ375:$BT375,,AH375)*(1-AF375)+INDEX(Models!$BJ375:$BT375,,AH375+1)*AF375-ERP_i)*AE375*Ramure*Pc/MaxiM</f>
        <v>1.172432458836513E-2</v>
      </c>
      <c r="AE375" s="305">
        <f t="shared" si="142"/>
        <v>0.7</v>
      </c>
      <c r="AF375" s="177">
        <f t="shared" si="143"/>
        <v>3.7235684266612168E-5</v>
      </c>
      <c r="AG375" s="919">
        <f t="shared" si="149"/>
        <v>2</v>
      </c>
      <c r="AH375" s="176">
        <f t="shared" si="144"/>
        <v>8</v>
      </c>
      <c r="AI375" s="225">
        <f t="shared" si="145"/>
        <v>2.0000372356842666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1090">
        <f>IF(t&gt;Tmaj,'2024'!Wh/'2024'!Env_an*'2025'!Env_an,0.001*'[14]mon-tableau (2)'!$B$65)</f>
        <v>24.163185857294209</v>
      </c>
      <c r="C376" s="953"/>
      <c r="D376" s="393">
        <f t="shared" si="127"/>
        <v>25.677944161687556</v>
      </c>
      <c r="E376" s="385">
        <f t="shared" si="150"/>
        <v>26.694433369097773</v>
      </c>
      <c r="F376" s="385">
        <f t="shared" si="128"/>
        <v>26.6999762014207</v>
      </c>
      <c r="G376" s="110">
        <f t="shared" si="151"/>
        <v>0.95958251917233306</v>
      </c>
      <c r="H376" s="412" t="b">
        <f>Wh_hp&gt;='2024'!Maxi_hp</f>
        <v>1</v>
      </c>
      <c r="I376" s="390">
        <f>IF(H376,Wh_hp,'2024'!Maxi_hp)</f>
        <v>26.6999762014207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5.8990637835151238E-2</v>
      </c>
      <c r="M376" s="957"/>
      <c r="N376" s="957"/>
      <c r="O376" s="48">
        <f>IF(t&lt;Tnet,'2024'!Resal+('2024'!Salim-'2024'!Resal)*(1-EXP(('2024'!Tnet-t)/('2024'!Tau_j))),Resal+(Salim-Resal)*(1-EXP((Tnet-t)/(Tau_j))))*Salcycl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2.2031381606758813E-4</v>
      </c>
      <c r="Q376" s="305">
        <f t="shared" si="130"/>
        <v>0.7</v>
      </c>
      <c r="R376" s="177">
        <f t="shared" si="131"/>
        <v>0.47504966931028747</v>
      </c>
      <c r="S376" s="919">
        <f t="shared" si="132"/>
        <v>-2</v>
      </c>
      <c r="T376" s="176">
        <f t="shared" si="133"/>
        <v>4</v>
      </c>
      <c r="U376" s="251">
        <f t="shared" si="134"/>
        <v>-1.5249503306897125</v>
      </c>
      <c r="V376" s="383">
        <f t="shared" si="135"/>
        <v>25.180615558894612</v>
      </c>
      <c r="W376" s="402">
        <f t="shared" si="136"/>
        <v>24.163185857294209</v>
      </c>
      <c r="X376" s="157">
        <f t="shared" si="137"/>
        <v>46019</v>
      </c>
      <c r="Y376" s="385">
        <f t="shared" si="138"/>
        <v>23.082573824592654</v>
      </c>
      <c r="Z376" s="385">
        <f t="shared" si="139"/>
        <v>24.529589983557443</v>
      </c>
      <c r="AA376" s="386">
        <f t="shared" si="140"/>
        <v>26.404321907579796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7.1000949412155914E-2</v>
      </c>
      <c r="AD376" s="231">
        <f>(INDEX(Models!$BJ376:$BT376,,AH376)*(1-AF376)+INDEX(Models!$BJ376:$BT376,,AH376+1)*AF376-ERP_i)*AE376*Ramure*Pc/MaxiM</f>
        <v>1.1751523755000118E-2</v>
      </c>
      <c r="AE376" s="305">
        <f t="shared" si="142"/>
        <v>0.7</v>
      </c>
      <c r="AF376" s="177">
        <f t="shared" si="143"/>
        <v>3.7235684266612168E-5</v>
      </c>
      <c r="AG376" s="919">
        <f t="shared" si="149"/>
        <v>2</v>
      </c>
      <c r="AH376" s="176">
        <f t="shared" si="144"/>
        <v>8</v>
      </c>
      <c r="AI376" s="225">
        <f t="shared" si="145"/>
        <v>2.0000372356842666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1090">
        <f>IF(t&gt;Tmaj,'2024'!Wh/'2024'!Env_an*'2025'!Env_an,0.001*'[14]mon-tableau (2)'!$B$66)</f>
        <v>10.521117540789716</v>
      </c>
      <c r="C377" s="953"/>
      <c r="D377" s="393">
        <f t="shared" si="127"/>
        <v>11.180917436472605</v>
      </c>
      <c r="E377" s="385">
        <f t="shared" si="150"/>
        <v>11.624817624041894</v>
      </c>
      <c r="F377" s="385">
        <f t="shared" si="128"/>
        <v>11.625234995667526</v>
      </c>
      <c r="G377" s="110">
        <f t="shared" si="151"/>
        <v>0.4152191469549073</v>
      </c>
      <c r="H377" s="412" t="b">
        <f>Wh_hp&gt;='2024'!Maxi_hp</f>
        <v>0</v>
      </c>
      <c r="I377" s="390">
        <f>IF(H377,Wh_hp,'2024'!Maxi_hp)</f>
        <v>27.222037432287717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5.9011248355219537E-2</v>
      </c>
      <c r="M377" s="957"/>
      <c r="N377" s="957"/>
      <c r="O377" s="48">
        <f>IF(t&lt;Tnet,'2024'!Resal+('2024'!Salim-'2024'!Resal)*(1-EXP(('2024'!Tnet-t)/('2024'!Tau_j))),Resal+(Salim-Resal)*(1-EXP((Tnet-t)/(Tau_j))))*Salcycl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2.1797647996881929E-4</v>
      </c>
      <c r="Q377" s="305">
        <f t="shared" si="130"/>
        <v>0.7</v>
      </c>
      <c r="R377" s="177">
        <f t="shared" si="131"/>
        <v>0.47504966931028747</v>
      </c>
      <c r="S377" s="919">
        <f t="shared" si="132"/>
        <v>-2</v>
      </c>
      <c r="T377" s="176">
        <f t="shared" si="133"/>
        <v>4</v>
      </c>
      <c r="U377" s="251">
        <f t="shared" si="134"/>
        <v>-1.5249503306897125</v>
      </c>
      <c r="V377" s="383">
        <f t="shared" si="135"/>
        <v>25.334096282310227</v>
      </c>
      <c r="W377" s="402">
        <f t="shared" si="136"/>
        <v>10.521117540789716</v>
      </c>
      <c r="X377" s="157">
        <f t="shared" si="137"/>
        <v>46020</v>
      </c>
      <c r="Y377" s="385">
        <f t="shared" si="138"/>
        <v>10.142033476541476</v>
      </c>
      <c r="Z377" s="385">
        <f t="shared" si="139"/>
        <v>10.778060267791654</v>
      </c>
      <c r="AA377" s="386">
        <f t="shared" si="140"/>
        <v>11.602673701397226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7.1070983708373198E-2</v>
      </c>
      <c r="AD377" s="231">
        <f>(INDEX(Models!$BJ377:$BT377,,AH377)*(1-AF377)+INDEX(Models!$BJ377:$BT377,,AH377+1)*AF377-ERP_i)*AE377*Ramure*Pc/MaxiM</f>
        <v>1.1782860181556408E-2</v>
      </c>
      <c r="AE377" s="305">
        <f t="shared" si="142"/>
        <v>0.7</v>
      </c>
      <c r="AF377" s="177">
        <f t="shared" si="143"/>
        <v>3.7235684266612168E-5</v>
      </c>
      <c r="AG377" s="919">
        <f t="shared" si="149"/>
        <v>2</v>
      </c>
      <c r="AH377" s="176">
        <f t="shared" si="144"/>
        <v>8</v>
      </c>
      <c r="AI377" s="225">
        <f t="shared" si="145"/>
        <v>2.0000372356842666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1090">
        <f>IF(t&gt;Tmaj,'2024'!Wh/'2024'!Env_an*'2025'!Env_an,0.001*'[14]mon-tableau (2)'!$B$67)</f>
        <v>15.110427906709036</v>
      </c>
      <c r="C378" s="953"/>
      <c r="D378" s="393">
        <f t="shared" si="127"/>
        <v>16.058384167394706</v>
      </c>
      <c r="E378" s="385">
        <f t="shared" si="150"/>
        <v>16.697782911188508</v>
      </c>
      <c r="F378" s="385">
        <f t="shared" si="128"/>
        <v>16.699287762690524</v>
      </c>
      <c r="G378" s="110">
        <f t="shared" si="151"/>
        <v>0.59252533130969953</v>
      </c>
      <c r="H378" s="412" t="b">
        <f>Wh_hp&gt;='2024'!Maxi_hp</f>
        <v>0</v>
      </c>
      <c r="I378" s="390">
        <f>IF(H378,Wh_hp,'2024'!Maxi_hp)</f>
        <v>27.784365944966957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5.9031858423864492E-2</v>
      </c>
      <c r="M378" s="957"/>
      <c r="N378" s="957"/>
      <c r="O378" s="48">
        <f>IF(t&lt;Tnet,'2024'!Resal+('2024'!Salim-'2024'!Resal)*(1-EXP(('2024'!Tnet-t)/('2024'!Tau_j))),Resal+(Salim-Resal)*(1-EXP((Tnet-t)/(Tau_j))))*Salcycl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2.155856615342519E-4</v>
      </c>
      <c r="Q378" s="305">
        <f t="shared" si="130"/>
        <v>0.7</v>
      </c>
      <c r="R378" s="177">
        <f t="shared" si="131"/>
        <v>0.47504966931028747</v>
      </c>
      <c r="S378" s="919">
        <f t="shared" si="132"/>
        <v>-2</v>
      </c>
      <c r="T378" s="176">
        <f t="shared" si="133"/>
        <v>4</v>
      </c>
      <c r="U378" s="251">
        <f t="shared" si="134"/>
        <v>-1.5249503306897125</v>
      </c>
      <c r="V378" s="383">
        <f t="shared" si="135"/>
        <v>25.498541611218222</v>
      </c>
      <c r="W378" s="402">
        <f t="shared" si="136"/>
        <v>15.110427906709036</v>
      </c>
      <c r="X378" s="157">
        <f t="shared" si="137"/>
        <v>46021</v>
      </c>
      <c r="Y378" s="385">
        <f t="shared" si="138"/>
        <v>14.523514974031375</v>
      </c>
      <c r="Z378" s="385">
        <f t="shared" si="139"/>
        <v>15.434651113378051</v>
      </c>
      <c r="AA378" s="386">
        <f t="shared" si="140"/>
        <v>16.616789107787863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7.1141180569943813E-2</v>
      </c>
      <c r="AD378" s="231">
        <f>(INDEX(Models!$BJ378:$BT378,,AH378)*(1-AF378)+INDEX(Models!$BJ378:$BT378,,AH378+1)*AF378-ERP_i)*AE378*Ramure*Pc/MaxiM</f>
        <v>1.1818792132681343E-2</v>
      </c>
      <c r="AE378" s="305">
        <f t="shared" si="142"/>
        <v>0.7</v>
      </c>
      <c r="AF378" s="177">
        <f t="shared" si="143"/>
        <v>3.7235684266612168E-5</v>
      </c>
      <c r="AG378" s="919">
        <f t="shared" si="149"/>
        <v>2</v>
      </c>
      <c r="AH378" s="176">
        <f t="shared" si="144"/>
        <v>8</v>
      </c>
      <c r="AI378" s="225">
        <f t="shared" si="145"/>
        <v>2.0000372356842666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1090">
        <f>IF(t&gt;Tmaj,'2024'!Wh/'2024'!Env_an*'2025'!Env_an,0.001*'[14]mon-tableau (2)'!$B$68)</f>
        <v>11.42674988173043</v>
      </c>
      <c r="C379" s="953"/>
      <c r="D379" s="393">
        <f t="shared" si="127"/>
        <v>12.14387571424067</v>
      </c>
      <c r="E379" s="385">
        <f t="shared" si="150"/>
        <v>12.628813302668085</v>
      </c>
      <c r="F379" s="385">
        <f t="shared" si="128"/>
        <v>12.629371305982039</v>
      </c>
      <c r="G379" s="110">
        <f t="shared" si="151"/>
        <v>0.44502114072251925</v>
      </c>
      <c r="H379" s="412" t="b">
        <f>Wh_hp&gt;='2024'!Maxi_hp</f>
        <v>0</v>
      </c>
      <c r="I379" s="390">
        <f>IF(H379,Wh_hp,'2024'!Maxi_hp)</f>
        <v>28.039920073924794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5.9052468041096096E-2</v>
      </c>
      <c r="M379" s="957"/>
      <c r="N379" s="957"/>
      <c r="O379" s="48">
        <f>IF(t&lt;Tnet,'2024'!Resal+('2024'!Salim-'2024'!Resal)*(1-EXP(('2024'!Tnet-t)/('2024'!Tau_j))),Resal+(Salim-Resal)*(1-EXP((Tnet-t)/(Tau_j))))*Salcycl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2.1315552278195697E-4</v>
      </c>
      <c r="Q379" s="306">
        <f t="shared" si="130"/>
        <v>0.7</v>
      </c>
      <c r="R379" s="177">
        <f t="shared" si="131"/>
        <v>0.47504966931028747</v>
      </c>
      <c r="S379" s="919">
        <f t="shared" si="132"/>
        <v>-2</v>
      </c>
      <c r="T379" s="176">
        <f t="shared" si="133"/>
        <v>4</v>
      </c>
      <c r="U379" s="307">
        <f t="shared" si="134"/>
        <v>-1.5249503306897125</v>
      </c>
      <c r="V379" s="383">
        <f t="shared" si="135"/>
        <v>25.672530907036627</v>
      </c>
      <c r="W379" s="402">
        <f t="shared" si="136"/>
        <v>11.42674988173043</v>
      </c>
      <c r="X379" s="157">
        <f t="shared" si="137"/>
        <v>46022</v>
      </c>
      <c r="Y379" s="385">
        <f t="shared" si="138"/>
        <v>11.010195276516482</v>
      </c>
      <c r="Z379" s="385">
        <f t="shared" si="139"/>
        <v>11.701178761365149</v>
      </c>
      <c r="AA379" s="386">
        <f t="shared" si="140"/>
        <v>12.598324541752413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7.121151526252649E-2</v>
      </c>
      <c r="AD379" s="231">
        <f>(INDEX(Models!$BJ379:$BT379,,AH379)*(1-AF379)+INDEX(Models!$BJ379:$BT379,,AH379+1)*AF379-ERP_i)*AE379*Ramure*Pc/MaxiM</f>
        <v>1.1859766948646173E-2</v>
      </c>
      <c r="AE379" s="306">
        <f t="shared" si="142"/>
        <v>0.7</v>
      </c>
      <c r="AF379" s="177">
        <f t="shared" si="143"/>
        <v>3.7235684266612168E-5</v>
      </c>
      <c r="AG379" s="919">
        <f t="shared" si="149"/>
        <v>2</v>
      </c>
      <c r="AH379" s="176">
        <f t="shared" si="144"/>
        <v>8</v>
      </c>
      <c r="AI379" s="222">
        <f t="shared" si="145"/>
        <v>2.0000372356842666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961"/>
      <c r="D380" s="401"/>
      <c r="E380" s="387"/>
      <c r="F380" s="387"/>
      <c r="G380" s="122"/>
      <c r="H380" s="412" t="b">
        <f>Wh_hp&gt;='2024'!Maxi_hp</f>
        <v>0</v>
      </c>
      <c r="I380" s="390">
        <f>IF(H380,Wh_hp,'2024'!Maxi_hp)</f>
        <v>18.090408885249197</v>
      </c>
      <c r="J380" s="85">
        <f>IF(H380,An,'2024'!An_max)</f>
        <v>2024</v>
      </c>
      <c r="K380" s="234"/>
      <c r="L380" s="214"/>
      <c r="M380" s="962"/>
      <c r="N380" s="962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5.1520665313782743E-2</v>
      </c>
      <c r="M381" s="959"/>
      <c r="N381" s="959"/>
      <c r="O381" s="47">
        <f t="shared" si="152"/>
        <v>8.0885102312609237E-3</v>
      </c>
      <c r="P381" s="168">
        <f t="shared" si="152"/>
        <v>0</v>
      </c>
      <c r="Q381" s="310">
        <f t="shared" si="152"/>
        <v>0.7</v>
      </c>
      <c r="R381" s="311">
        <f t="shared" si="152"/>
        <v>3.7855987799595425E-5</v>
      </c>
      <c r="S381" s="919">
        <f t="shared" si="152"/>
        <v>-2</v>
      </c>
      <c r="T381" s="176">
        <f t="shared" si="152"/>
        <v>4</v>
      </c>
      <c r="U381" s="252">
        <f>MIN(U15:U380)</f>
        <v>-1.9999621440122004</v>
      </c>
      <c r="V381" s="57">
        <f>MIN(V15:V380)</f>
        <v>24.334236406334139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5.1153422845989734E-2</v>
      </c>
      <c r="AD381" s="168">
        <f t="shared" si="153"/>
        <v>1.1585226774567939E-3</v>
      </c>
      <c r="AE381" s="310">
        <f t="shared" si="153"/>
        <v>0.7</v>
      </c>
      <c r="AF381" s="311">
        <f t="shared" si="153"/>
        <v>7.6458540778645556E-6</v>
      </c>
      <c r="AG381" s="919">
        <f t="shared" si="153"/>
        <v>1</v>
      </c>
      <c r="AH381" s="176">
        <f t="shared" si="153"/>
        <v>7</v>
      </c>
      <c r="AI381" s="226">
        <f>MIN(AI15:AI380)</f>
        <v>1.5000385087204373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29.686801264513779</v>
      </c>
      <c r="C382" s="375"/>
      <c r="D382" s="375">
        <f>AVERAGE(D15:D380)</f>
        <v>31.422457382426717</v>
      </c>
      <c r="E382" s="375">
        <f>AVERAGE(E15:E380)</f>
        <v>32.328984105538474</v>
      </c>
      <c r="F382" s="376">
        <f>AVERAGE(F15:F380)</f>
        <v>32.348190027797664</v>
      </c>
      <c r="G382" s="126">
        <f>AVERAGE(G15:G380)</f>
        <v>0.67004938481256093</v>
      </c>
      <c r="H382" s="94"/>
      <c r="I382" s="376">
        <f>AVERAGE(I15:I380)</f>
        <v>44.058182272659138</v>
      </c>
      <c r="J382" s="59">
        <f>AVERAGE(J15:J380)</f>
        <v>2020.6994535519125</v>
      </c>
      <c r="K382" s="200" t="s">
        <v>8</v>
      </c>
      <c r="L382" s="147">
        <f t="shared" ref="L382:V382" si="154">AVERAGE(L15:L380)</f>
        <v>5.529155694254298E-2</v>
      </c>
      <c r="M382" s="957"/>
      <c r="N382" s="957"/>
      <c r="O382" s="48">
        <f t="shared" si="154"/>
        <v>3.1107637686772039E-2</v>
      </c>
      <c r="P382" s="169">
        <f t="shared" si="154"/>
        <v>1.2749368769386263E-3</v>
      </c>
      <c r="Q382" s="312">
        <f t="shared" si="154"/>
        <v>0.69999999999999529</v>
      </c>
      <c r="R382" s="177">
        <f t="shared" si="154"/>
        <v>0.3829452062148741</v>
      </c>
      <c r="S382" s="919">
        <f t="shared" si="154"/>
        <v>-1.2684931506849315</v>
      </c>
      <c r="T382" s="176">
        <f t="shared" si="154"/>
        <v>4.7315068493150685</v>
      </c>
      <c r="U382" s="251">
        <f>AVERAGE(U15:U380)</f>
        <v>-0.88554794447005769</v>
      </c>
      <c r="V382" s="59">
        <f t="shared" si="154"/>
        <v>42.762030469373045</v>
      </c>
      <c r="X382" s="112" t="s">
        <v>8</v>
      </c>
      <c r="Y382" s="375">
        <f>AVERAGE(Y15:Y380)</f>
        <v>28.455603687245912</v>
      </c>
      <c r="Z382" s="375">
        <f>AVERAGE(Z15:Z380)</f>
        <v>30.119115204561883</v>
      </c>
      <c r="AA382" s="375">
        <f>AVERAGE(AA15:AA380)</f>
        <v>32.228135270136747</v>
      </c>
      <c r="AB382" s="200" t="s">
        <v>8</v>
      </c>
      <c r="AC382" s="48">
        <f t="shared" ref="AC382:AH382" si="155">AVERAGE(AC15:AC380)</f>
        <v>6.7259370655143785E-2</v>
      </c>
      <c r="AD382" s="169">
        <f t="shared" si="155"/>
        <v>5.6946791732165958E-3</v>
      </c>
      <c r="AE382" s="312">
        <f t="shared" si="155"/>
        <v>0.69999999999999529</v>
      </c>
      <c r="AF382" s="177">
        <f t="shared" si="155"/>
        <v>0.74156594133601939</v>
      </c>
      <c r="AG382" s="919">
        <f t="shared" si="155"/>
        <v>1.0383561643835617</v>
      </c>
      <c r="AH382" s="176">
        <f t="shared" si="155"/>
        <v>7.0383561643835613</v>
      </c>
      <c r="AI382" s="225">
        <f>AVERAGE(AI15:AI380)</f>
        <v>1.7799221057195822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56.246657444144596</v>
      </c>
      <c r="C383" s="377"/>
      <c r="D383" s="377">
        <f>MAX(D15:D380)</f>
        <v>59.494478423658101</v>
      </c>
      <c r="E383" s="377">
        <f>MAX(E15:E380)</f>
        <v>60.240548669092419</v>
      </c>
      <c r="F383" s="378">
        <f>MAX(F15:F380)</f>
        <v>60.258802059722214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2025</v>
      </c>
      <c r="K383" s="200" t="s">
        <v>9</v>
      </c>
      <c r="L383" s="148">
        <f t="shared" ref="L383:T383" si="156">MAX(L15:L380)</f>
        <v>5.9052468041096096E-2</v>
      </c>
      <c r="M383" s="960"/>
      <c r="N383" s="960"/>
      <c r="O383" s="49">
        <f t="shared" si="156"/>
        <v>5.1031344623591136E-2</v>
      </c>
      <c r="P383" s="170">
        <f t="shared" si="156"/>
        <v>9.371112240564609E-3</v>
      </c>
      <c r="Q383" s="313">
        <f t="shared" si="156"/>
        <v>0.7</v>
      </c>
      <c r="R383" s="314">
        <f t="shared" si="156"/>
        <v>0.52404229787811407</v>
      </c>
      <c r="S383" s="920">
        <f t="shared" si="156"/>
        <v>1</v>
      </c>
      <c r="T383" s="233">
        <f t="shared" si="156"/>
        <v>7</v>
      </c>
      <c r="U383" s="253">
        <f>MAX(U15:U380)</f>
        <v>1.5240422978781141</v>
      </c>
      <c r="V383" s="60">
        <f>MAX(V15:V380)</f>
        <v>55.886906816848978</v>
      </c>
      <c r="X383" s="112" t="s">
        <v>9</v>
      </c>
      <c r="Y383" s="377">
        <f>MAX(Y15:Y380)</f>
        <v>53.517820001327877</v>
      </c>
      <c r="Z383" s="377">
        <f>MAX(Z15:Z380)</f>
        <v>56.608071164265823</v>
      </c>
      <c r="AA383" s="377">
        <f>MAX(AA15:AA380)</f>
        <v>59.89772997771388</v>
      </c>
      <c r="AB383" s="200" t="s">
        <v>9</v>
      </c>
      <c r="AC383" s="49">
        <f t="shared" ref="AC383:AH383" si="157">MAX(AC15:AC380)</f>
        <v>8.0282006894483227E-2</v>
      </c>
      <c r="AD383" s="170">
        <f t="shared" si="157"/>
        <v>1.3443647748253509E-2</v>
      </c>
      <c r="AE383" s="313">
        <f t="shared" si="157"/>
        <v>0.7</v>
      </c>
      <c r="AF383" s="314">
        <f t="shared" si="157"/>
        <v>0.99999945723440842</v>
      </c>
      <c r="AG383" s="920">
        <f t="shared" si="157"/>
        <v>2</v>
      </c>
      <c r="AH383" s="233">
        <f t="shared" si="157"/>
        <v>8</v>
      </c>
      <c r="AI383" s="227">
        <f>MAX(AI15:AI380)</f>
        <v>2.0000372356842666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5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'2025'!An+1</f>
        <v>2026</v>
      </c>
      <c r="K1" s="1213"/>
      <c r="L1" s="113" t="str">
        <f>"Calcul pertes et enveloppes en "&amp;TEXT(An,0)</f>
        <v>Calcul pertes et enveloppes en 2026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88.561767249986332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321.89827538814944</v>
      </c>
      <c r="AK4" s="946">
        <f>AM12-AK12</f>
        <v>40.537427507226695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410.52312800517728</v>
      </c>
      <c r="AA5" s="237">
        <f>Wh_Pvg_s-Wh_Pvg</f>
        <v>40.537427507226695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2783.3356510236122</v>
      </c>
      <c r="AK5" s="515">
        <f>SUMIF(AK15:AK380,"VRAI",Wh)</f>
        <v>0</v>
      </c>
      <c r="AL5" s="515">
        <f>SUMIF(AJ15:AJ380,"VRAI",Wh_s)</f>
        <v>2688.3249108504929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7967.6663662222099</v>
      </c>
      <c r="AK6" s="515">
        <f>SUMIF(AK15:AK380,"FAUX",Wh)</f>
        <v>10751.002017245824</v>
      </c>
      <c r="AL6" s="515">
        <f>SUMIF(AJ15:AJ380,"FAUX",Wh_s)</f>
        <v>7608.5691118028572</v>
      </c>
      <c r="AM6" s="515">
        <f>SUMIF(AK15:AK380,"FAUX",Wh_s)</f>
        <v>10296.894022653347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AND(YEAR(Tnet)=An,Resal_2026="I")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2962.5009551093822</v>
      </c>
      <c r="AK7" s="515">
        <f>SUMIF(AK15:AK380,"VRAI",Wh_sa)</f>
        <v>0</v>
      </c>
      <c r="AL7" s="515">
        <f>SUMIF(AJ15:AJ380,"VRAI",Wh_pvt_s)</f>
        <v>2861.3790350038998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AND(YEAR(Tnet)=An,Resal_2026&lt;&gt;"I")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8508.3807641106414</v>
      </c>
      <c r="AK8" s="515">
        <f>SUMIF(AK15:AK380,"FAUX",Wh_sa)</f>
        <v>11801.970616441356</v>
      </c>
      <c r="AL8" s="515">
        <f>SUMIF(AJ15:AJ380,"FAUX",Wh_pvt_s)</f>
        <v>8124.935960251978</v>
      </c>
      <c r="AM8" s="515">
        <f>SUMIF(AK15:AK380,"FAUX",Wh_sa_s)</f>
        <v>11755.411728649062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11470.881719220031</v>
      </c>
      <c r="E9" s="184">
        <f>SUM(E$15:E$380)</f>
        <v>11801.970616441356</v>
      </c>
      <c r="F9" s="184">
        <f>SUM(F$15:F$380)</f>
        <v>11808.960697272234</v>
      </c>
      <c r="H9" s="1214">
        <f>+SUM(Wh)</f>
        <v>10751.002017245824</v>
      </c>
      <c r="I9" s="1215"/>
      <c r="J9" s="1216"/>
      <c r="K9" s="191"/>
      <c r="L9" s="232"/>
      <c r="M9" s="232"/>
      <c r="N9" s="232"/>
      <c r="O9" s="223">
        <f>Tnet_2026</f>
        <v>46142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10296.894022653347</v>
      </c>
      <c r="Y9" s="1209"/>
      <c r="Z9" s="515">
        <f>SUM(Z$15:Z$380)</f>
        <v>10986.31499525588</v>
      </c>
      <c r="AA9" s="515">
        <f>SUM(AA$15:AA$380)</f>
        <v>11755.411728649062</v>
      </c>
      <c r="AB9" s="515">
        <f>F9</f>
        <v>11808.960697272234</v>
      </c>
      <c r="AC9" s="325">
        <f>IF(An_Tnet,Tnet,'2025'!Tnet_s)</f>
        <v>46142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3104.2699216602159</v>
      </c>
      <c r="AK9" s="515">
        <f>SUMIF(AK15:AK380,"VRAI",Wh_hp)</f>
        <v>0</v>
      </c>
      <c r="AL9" s="515">
        <f>SUMIF(AJ15:AJ380,"VRAI",Wh_sa_s)</f>
        <v>3097.4109431383185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8.0000000000000002E-3</v>
      </c>
      <c r="P10" s="420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IF(OR(Inflex,GainD),'2025'!Resal_s+('2025'!Salim-'2025'!Resal_s)*(1-EXP(('2025'!Tnet_s-Tnet)/('2025'!Tau_j))),IF(Acti_net,'2025'!Resal+('2025'!Salim-'2025'!Resal)*(1-EXP(('2025'!Tnet-Tnet)/'2025'!Tau_j)),'2025'!Resal_s))</f>
        <v>5.0593665714399813E-2</v>
      </c>
      <c r="AD10" s="427"/>
      <c r="AE10" s="427"/>
      <c r="AF10" s="260"/>
      <c r="AG10" s="261"/>
      <c r="AH10" s="262"/>
      <c r="AI10" s="472"/>
      <c r="AJ10" s="515">
        <f>SUMIF(AJ15:AJ380,"FAUX",Wh_sa)</f>
        <v>8697.7006947811497</v>
      </c>
      <c r="AK10" s="515">
        <f>SUMIF(AK15:AK380,"FAUX",Wh_hp)</f>
        <v>11808.960697272234</v>
      </c>
      <c r="AL10" s="515">
        <f>SUMIF(AJ15:AJ380,"FAUX",Wh_sa_s)</f>
        <v>8658.0007855107306</v>
      </c>
      <c r="AM10" s="515">
        <f>SUMIF(AK15:AK380,"FAUX",Wh_hp)</f>
        <v>11808.960697272234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719.87970197420691</v>
      </c>
      <c r="E11" s="51">
        <f>(E$9-D$9)*Prod_an/D$9</f>
        <v>310.31070575420375</v>
      </c>
      <c r="F11" s="186">
        <f>(F$9-E$9)*Prod_an/E$9</f>
        <v>6.3676122874584884</v>
      </c>
      <c r="G11" s="185" t="s">
        <v>6</v>
      </c>
      <c r="K11" s="194"/>
      <c r="L11" s="211">
        <f>Tvie_2026</f>
        <v>43243</v>
      </c>
      <c r="M11" s="956"/>
      <c r="N11" s="956"/>
      <c r="O11" s="202">
        <f>IF(An_Tnet,Salim_2026,'2025'!Salim)</f>
        <v>0.13999999999999999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-1.0249503306897125</v>
      </c>
      <c r="V11" s="427"/>
      <c r="W11" s="518"/>
      <c r="X11" s="525" t="s">
        <v>44</v>
      </c>
      <c r="Y11" s="50">
        <f>Z$9-Prod_an_s</f>
        <v>689.42097260253286</v>
      </c>
      <c r="Z11" s="51">
        <f>(AA$9-Z$9)*Prod_an_s/Z$9</f>
        <v>720.83383375938104</v>
      </c>
      <c r="AA11" s="186">
        <f>(AB$9-AA$9)*Prod_an_s/AA$9</f>
        <v>46.905039794685187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133.19510264770204</v>
      </c>
      <c r="AK11" s="946">
        <f>IF($AK7=0,0,($AK9-$AK7)*$AK5/$AK7)</f>
        <v>0</v>
      </c>
      <c r="AL11" s="945">
        <f>IF($AL7=0,0,($AL9-$AL7)*$AL5/$AL7)</f>
        <v>221.75686989768838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Pspv_2026</f>
        <v>0</v>
      </c>
      <c r="M12" s="212"/>
      <c r="N12" s="212"/>
      <c r="O12" s="205">
        <f>IF(An_Tnet,Tau_2026*365,'2025'!Tau_j)</f>
        <v>936.83333333333337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-1.5249503306897125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'2025'!Df_s</f>
        <v>0.7</v>
      </c>
      <c r="AF12" s="203"/>
      <c r="AG12" s="203"/>
      <c r="AH12" s="203"/>
      <c r="AI12" s="297">
        <f>'2025'!Hdf_s</f>
        <v>2.0000372356842666</v>
      </c>
      <c r="AJ12" s="945">
        <f>IF($AJ8=0,0,($AJ10-$AJ8)*$AJ6/$AJ8)</f>
        <v>177.28849776231215</v>
      </c>
      <c r="AK12" s="946">
        <f>IF($AK8=0,0,($AK10-$AK8)*$AK6/$AK8)</f>
        <v>6.3676122874584884</v>
      </c>
      <c r="AL12" s="945">
        <f>IF($AL8=0,0,($AL10-$AL8)*$AL6/$AL8)</f>
        <v>499.18677315046159</v>
      </c>
      <c r="AM12" s="946">
        <f>IF($AM8=0,0,($AM10-$AM8)*$AM6/$AM8)</f>
        <v>46.905039794685187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310.48360041001422</v>
      </c>
      <c r="AK13" s="73">
        <f>+AK11+AK12</f>
        <v>6.3676122874584884</v>
      </c>
      <c r="AL13" s="73">
        <f>+AL11+AL12</f>
        <v>720.94364304814997</v>
      </c>
      <c r="AM13" s="73">
        <f>+AM11+AM12</f>
        <v>46.905039794685187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8" t="s">
        <v>337</v>
      </c>
      <c r="C14" s="414"/>
      <c r="D14" s="53" t="s">
        <v>31</v>
      </c>
      <c r="E14" s="162" t="s">
        <v>30</v>
      </c>
      <c r="F14" s="162" t="str">
        <f>"Hors pertes "&amp; TEXT(An,0)</f>
        <v>Hors pertes 2026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2026</v>
      </c>
      <c r="W14" s="372" t="s">
        <v>119</v>
      </c>
      <c r="X14" s="258" t="s">
        <v>2</v>
      </c>
      <c r="Y14" s="107" t="str">
        <f>"Wh / Jour "&amp; TEXT(An,0)</f>
        <v>Wh / Jour 2026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1089">
        <f>IF(t&gt;Tmaj,'2025'!Wh/'2025'!Env_an*'2026'!Env_an,0.001*'[3]mon-tableau (2)'!$B$38)</f>
        <v>8.6560553959359492</v>
      </c>
      <c r="C15" s="953"/>
      <c r="D15" s="393">
        <f t="shared" ref="D15:D78" si="0">Wh/(1-Ppv)</f>
        <v>9.1994980547916025</v>
      </c>
      <c r="E15" s="400">
        <f t="shared" ref="E15:E79" si="1">Wh_pvt/(1-Psa)</f>
        <v>9.5679218760495175</v>
      </c>
      <c r="F15" s="400">
        <f t="shared" ref="F15:F78" si="2">Wh_sa/(1-Pvg*MEDIAN((-Sdif+Wh/Env_an)/Csdif,0,1))</f>
        <v>9.5680220903369531</v>
      </c>
      <c r="G15" s="123">
        <f>+Wh_hp/MaxiM</f>
        <v>0.3347298893750002</v>
      </c>
      <c r="H15" s="412" t="b">
        <f>Wh_hp&gt;='2025'!Maxi_hp</f>
        <v>0</v>
      </c>
      <c r="I15" s="396">
        <f>IF(H15,Wh_hp,'2025'!Maxi_hp)</f>
        <v>28.078120973122783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5.9073077206924229E-2</v>
      </c>
      <c r="M15" s="957"/>
      <c r="N15" s="957"/>
      <c r="O15" s="48">
        <f>IF(t&lt;Tnet,'2025'!Resal+('2025'!Salim-'2025'!Resal)*(1-EXP(('2025'!Tnet-t)/('2025'!Tau_j))),Resal+(Salim-Resal)*(1-EXP((Tnet-t)/(Tau_j))))*Salcycl</f>
        <v>3.8506148569226441E-2</v>
      </c>
      <c r="P15" s="302">
        <f>(INDEX(Models!$BJ15:$BT15,,T15)*(1-R15)+INDEX(Models!$BJ15:$BT15,,T15+1)*R15-ERP_i)*Q15*Ramure*Pc/MaxiM</f>
        <v>2.107000526303561E-4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0.47505086480851677</v>
      </c>
      <c r="S15" s="918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-1.5249491351914832</v>
      </c>
      <c r="V15" s="382">
        <f t="shared" ref="V15:V78" si="9">MaxiM*(1-Ppv)*(1-Pvg)*(1-Psa)</f>
        <v>25.854644247858399</v>
      </c>
      <c r="W15" s="402">
        <f t="shared" ref="W15:W78" si="10">Wh*(A15&gt;Tmaj)</f>
        <v>8.6560553959359492</v>
      </c>
      <c r="X15" s="156">
        <f t="shared" ref="X15:X78" si="11">t</f>
        <v>46023</v>
      </c>
      <c r="Y15" s="385">
        <f t="shared" ref="Y15:Y78" si="12">Wh_pvt_s*(1-Ppv)</f>
        <v>8.3561230623308713</v>
      </c>
      <c r="Z15" s="385">
        <f>Wh_sa_s*(1-Psa_s)</f>
        <v>8.8807354321696987</v>
      </c>
      <c r="AA15" s="386">
        <f t="shared" ref="AA15:AA78" si="13">Wh_hp*(1-Pvg_s*MEDIAN((-Sdif+Wh/Env_an)/Csdif,0,1))</f>
        <v>9.5623591869154314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7.1281965195202787E-2</v>
      </c>
      <c r="AD15" s="231">
        <f>(INDEX(Models!$BJ15:$BT15,,AH15)*(1-AF15)+INDEX(Models!$BJ15:$BT15,,AH15+1)*AF15-ERP_i)*AE15*Ramure*Pc/MaxiM</f>
        <v>1.1906226941230679E-2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3.8431182495912708E-5</v>
      </c>
      <c r="AG15" s="91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2.0000384311824959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1090">
        <f>IF(t&gt;Tmaj,'2025'!Wh/'2025'!Env_an*'2026'!Env_an,0.001*'[3]mon-tableau (2)'!$B$39)</f>
        <v>2.9206024507437593</v>
      </c>
      <c r="C16" s="953"/>
      <c r="D16" s="393">
        <f t="shared" si="0"/>
        <v>3.1040310890077141</v>
      </c>
      <c r="E16" s="385">
        <f t="shared" si="1"/>
        <v>3.2287008150080627</v>
      </c>
      <c r="F16" s="385">
        <f t="shared" si="2"/>
        <v>3.2287008150080627</v>
      </c>
      <c r="G16" s="110">
        <f t="shared" ref="G16:G79" si="21">+Wh_hp/MaxiM</f>
        <v>0.11212004903017078</v>
      </c>
      <c r="H16" s="412" t="b">
        <f>Wh_hp&gt;='2025'!Maxi_hp</f>
        <v>0</v>
      </c>
      <c r="I16" s="390">
        <f>IF(H16,Wh_hp,'2025'!Maxi_hp)</f>
        <v>25.967841110496515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5.9093685921358663E-2</v>
      </c>
      <c r="M16" s="957"/>
      <c r="N16" s="957"/>
      <c r="O16" s="48">
        <f>IF(t&lt;Tnet,'2025'!Resal+('2025'!Salim-'2025'!Resal)*(1-EXP(('2025'!Tnet-t)/('2025'!Tau_j))),Resal+(Salim-Resal)*(1-EXP((Tnet-t)/(Tau_j))))*Salcycl</f>
        <v>3.8612969470829532E-2</v>
      </c>
      <c r="P16" s="169">
        <f>(INDEX(Models!$BJ16:$BT16,,T16)*(1-R16)+INDEX(Models!$BJ16:$BT16,,T16+1)*R16-ERP_i)*Q16*Ramure*Pc/MaxiM</f>
        <v>2.0849402931887194E-4</v>
      </c>
      <c r="Q16" s="305">
        <f t="shared" si="4"/>
        <v>0.7</v>
      </c>
      <c r="R16" s="177">
        <f t="shared" si="5"/>
        <v>0.47508007942251118</v>
      </c>
      <c r="S16" s="919">
        <f t="shared" si="6"/>
        <v>-2</v>
      </c>
      <c r="T16" s="176">
        <f t="shared" si="7"/>
        <v>4</v>
      </c>
      <c r="U16" s="251">
        <f t="shared" si="8"/>
        <v>-1.5249199205774888</v>
      </c>
      <c r="V16" s="383">
        <f t="shared" si="9"/>
        <v>26.043455633746767</v>
      </c>
      <c r="W16" s="402">
        <f t="shared" si="10"/>
        <v>2.9206024507437593</v>
      </c>
      <c r="X16" s="157">
        <f t="shared" si="11"/>
        <v>46024</v>
      </c>
      <c r="Y16" s="385">
        <f t="shared" si="12"/>
        <v>2.8211428376185186</v>
      </c>
      <c r="Z16" s="385">
        <f t="shared" ref="Z16:Z78" si="22">Wh_sa_s*(1-Psa_s)</f>
        <v>2.9983249080234424</v>
      </c>
      <c r="AA16" s="386">
        <f t="shared" si="13"/>
        <v>3.2287008150080627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7.1352509936429442E-2</v>
      </c>
      <c r="AD16" s="231">
        <f>(INDEX(Models!$BJ16:$BT16,,AH16)*(1-AF16)+INDEX(Models!$BJ16:$BT16,,AH16+1)*AF16-ERP_i)*AE16*Ramure*Pc/MaxiM</f>
        <v>1.1940112558724502E-2</v>
      </c>
      <c r="AE16" s="305">
        <f t="shared" si="15"/>
        <v>0.7</v>
      </c>
      <c r="AF16" s="177">
        <f t="shared" ref="AF16:AF78" si="23">(Hp_vg_s-AG16)/(INDEX(Echel_vg,AH16+1)-AG16)</f>
        <v>6.7645796490101162E-5</v>
      </c>
      <c r="AG16" s="919">
        <f t="shared" ref="AG16:AG79" si="24">INDEX(Echel_vg,AH16)</f>
        <v>2</v>
      </c>
      <c r="AH16" s="176">
        <f t="shared" si="16"/>
        <v>8</v>
      </c>
      <c r="AI16" s="225">
        <f t="shared" si="17"/>
        <v>2.0000676457964901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1090">
        <f>IF(t&gt;Tmaj,'2025'!Wh/'2025'!Env_an*'2026'!Env_an,0.001*'[3]mon-tableau (2)'!$B$40)</f>
        <v>16.054647360913918</v>
      </c>
      <c r="C17" s="953"/>
      <c r="D17" s="393">
        <f t="shared" si="0"/>
        <v>17.063334326029775</v>
      </c>
      <c r="E17" s="385">
        <f t="shared" si="1"/>
        <v>17.750634513999316</v>
      </c>
      <c r="F17" s="385">
        <f t="shared" si="2"/>
        <v>17.752268138583457</v>
      </c>
      <c r="G17" s="110">
        <f t="shared" si="21"/>
        <v>0.61182582514909001</v>
      </c>
      <c r="H17" s="412" t="b">
        <f>Wh_hp&gt;='2025'!Maxi_hp</f>
        <v>0</v>
      </c>
      <c r="I17" s="390">
        <f>IF(H17,Wh_hp,'2025'!Maxi_hp)</f>
        <v>30.270872638205173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5.9114294184409388E-2</v>
      </c>
      <c r="M17" s="957"/>
      <c r="N17" s="957"/>
      <c r="O17" s="48">
        <f>IF(t&lt;Tnet,'2025'!Resal+('2025'!Salim-'2025'!Resal)*(1-EXP(('2025'!Tnet-t)/('2025'!Tau_j))),Resal+(Salim-Resal)*(1-EXP((Tnet-t)/(Tau_j))))*Salcycl</f>
        <v>3.8719753225018E-2</v>
      </c>
      <c r="P17" s="169">
        <f>(INDEX(Models!$BJ17:$BT17,,T17)*(1-R17)+INDEX(Models!$BJ17:$BT17,,T17+1)*R17-ERP_i)*Q17*Ramure*Pc/MaxiM</f>
        <v>2.0653173208706209E-4</v>
      </c>
      <c r="Q17" s="305">
        <f t="shared" si="4"/>
        <v>0.7</v>
      </c>
      <c r="R17" s="177">
        <f t="shared" si="5"/>
        <v>0.47511051601800069</v>
      </c>
      <c r="S17" s="919">
        <f t="shared" si="6"/>
        <v>-2</v>
      </c>
      <c r="T17" s="176">
        <f t="shared" si="7"/>
        <v>4</v>
      </c>
      <c r="U17" s="251">
        <f t="shared" si="8"/>
        <v>-1.5248894839819993</v>
      </c>
      <c r="V17" s="383">
        <f t="shared" si="9"/>
        <v>26.237546931568939</v>
      </c>
      <c r="W17" s="402">
        <f t="shared" si="10"/>
        <v>16.054647360913918</v>
      </c>
      <c r="X17" s="157">
        <f t="shared" si="11"/>
        <v>46025</v>
      </c>
      <c r="Y17" s="385">
        <f t="shared" si="12"/>
        <v>15.427218593974979</v>
      </c>
      <c r="Z17" s="385">
        <f t="shared" si="22"/>
        <v>16.396485246422316</v>
      </c>
      <c r="AA17" s="386">
        <f t="shared" si="13"/>
        <v>17.657649891483896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7.1423131210106724E-2</v>
      </c>
      <c r="AD17" s="231">
        <f>(INDEX(Models!$BJ17:$BT17,,AH17)*(1-AF17)+INDEX(Models!$BJ17:$BT17,,AH17+1)*AF17-ERP_i)*AE17*Ramure*Pc/MaxiM</f>
        <v>1.1962154983599368E-2</v>
      </c>
      <c r="AE17" s="305">
        <f t="shared" si="15"/>
        <v>0.7</v>
      </c>
      <c r="AF17" s="177">
        <f>(Hp_vg_s-AG17)/(INDEX(Echel_vg,AH17+1)-AG17)</f>
        <v>9.8082391979836814E-5</v>
      </c>
      <c r="AG17" s="919">
        <f>INDEX(Echel_vg,AH17)</f>
        <v>2</v>
      </c>
      <c r="AH17" s="176">
        <f t="shared" si="16"/>
        <v>8</v>
      </c>
      <c r="AI17" s="225">
        <f t="shared" si="17"/>
        <v>2.0000980823919798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1090">
        <f>IF(t&gt;Tmaj,'2025'!Wh/'2025'!Env_an*'2026'!Env_an,0.001*'[3]mon-tableau (2)'!$B$41)</f>
        <v>24.600334577179538</v>
      </c>
      <c r="C18" s="953"/>
      <c r="D18" s="393">
        <f t="shared" si="0"/>
        <v>26.146505624844856</v>
      </c>
      <c r="E18" s="385">
        <f t="shared" si="1"/>
        <v>27.202690665821759</v>
      </c>
      <c r="F18" s="385">
        <f t="shared" si="2"/>
        <v>27.207710662550358</v>
      </c>
      <c r="G18" s="110">
        <f t="shared" si="21"/>
        <v>0.930560587092226</v>
      </c>
      <c r="H18" s="412" t="b">
        <f>Wh_hp&gt;='2025'!Maxi_hp</f>
        <v>1</v>
      </c>
      <c r="I18" s="390">
        <f>IF(H18,Wh_hp,'2025'!Maxi_hp)</f>
        <v>27.207710662550358</v>
      </c>
      <c r="J18" s="85">
        <f>IF(H18,An,'2025'!An_max)</f>
        <v>2026</v>
      </c>
      <c r="K18" s="197">
        <f t="shared" si="3"/>
        <v>46026</v>
      </c>
      <c r="L18" s="147">
        <f>IF(t&lt;Tvie,1-EXP((T0-t)*PertePVj)+'2025'!Pspv,1-EXP((T0-t)*PertePVj)+Pspv)</f>
        <v>5.9134901996086287E-2</v>
      </c>
      <c r="M18" s="957"/>
      <c r="N18" s="957"/>
      <c r="O18" s="48">
        <f>IF(t&lt;Tnet,'2025'!Resal+('2025'!Salim-'2025'!Resal)*(1-EXP(('2025'!Tnet-t)/('2025'!Tau_j))),Resal+(Salim-Resal)*(1-EXP((Tnet-t)/(Tau_j))))*Salcycl</f>
        <v>3.8826491612608156E-2</v>
      </c>
      <c r="P18" s="169">
        <f>(INDEX(Models!$BJ18:$BT18,,T18)*(1-R18)+INDEX(Models!$BJ18:$BT18,,T18+1)*R18-ERP_i)*Q18*Ramure*Pc/MaxiM</f>
        <v>2.0481871201232166E-4</v>
      </c>
      <c r="Q18" s="305">
        <f t="shared" si="4"/>
        <v>0.7</v>
      </c>
      <c r="R18" s="177">
        <f t="shared" si="5"/>
        <v>0.47514222554929586</v>
      </c>
      <c r="S18" s="919">
        <f t="shared" si="6"/>
        <v>-2</v>
      </c>
      <c r="T18" s="176">
        <f t="shared" si="7"/>
        <v>4</v>
      </c>
      <c r="U18" s="251">
        <f t="shared" si="8"/>
        <v>-1.5248577744507041</v>
      </c>
      <c r="V18" s="383">
        <f t="shared" si="9"/>
        <v>26.435500424692641</v>
      </c>
      <c r="W18" s="402">
        <f t="shared" si="10"/>
        <v>24.600334577179538</v>
      </c>
      <c r="X18" s="157">
        <f t="shared" si="11"/>
        <v>46026</v>
      </c>
      <c r="Y18" s="385">
        <f t="shared" si="12"/>
        <v>23.512267205735974</v>
      </c>
      <c r="Z18" s="385">
        <f>Wh_sa_s*(1-Psa_s)</f>
        <v>24.990051449052871</v>
      </c>
      <c r="AA18" s="386">
        <f t="shared" si="13"/>
        <v>26.914254094916114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7.1493812872440235E-2</v>
      </c>
      <c r="AD18" s="231">
        <f>(INDEX(Models!$BJ18:$BT18,,AH18)*(1-AF18)+INDEX(Models!$BJ18:$BT18,,AH18+1)*AF18-ERP_i)*AE18*Ramure*Pc/MaxiM</f>
        <v>1.1973194299511609E-2</v>
      </c>
      <c r="AE18" s="305">
        <f t="shared" si="15"/>
        <v>0.7</v>
      </c>
      <c r="AF18" s="177">
        <f t="shared" si="23"/>
        <v>1.2979192327478017E-4</v>
      </c>
      <c r="AG18" s="919">
        <f t="shared" si="24"/>
        <v>2</v>
      </c>
      <c r="AH18" s="176">
        <f t="shared" si="16"/>
        <v>8</v>
      </c>
      <c r="AI18" s="225">
        <f t="shared" si="17"/>
        <v>2.0001297919232748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1090">
        <f>IF(t&gt;Tmaj,'2025'!Wh/'2025'!Env_an*'2026'!Env_an,0.001*'[3]mon-tableau (2)'!$B$42)</f>
        <v>10.321989519159496</v>
      </c>
      <c r="C19" s="953"/>
      <c r="D19" s="393">
        <f t="shared" si="0"/>
        <v>10.970983644808891</v>
      </c>
      <c r="E19" s="385">
        <f t="shared" si="1"/>
        <v>11.415422307599087</v>
      </c>
      <c r="F19" s="385">
        <f t="shared" si="2"/>
        <v>11.415712566881886</v>
      </c>
      <c r="G19" s="110">
        <f t="shared" si="21"/>
        <v>0.38745276793858757</v>
      </c>
      <c r="H19" s="412" t="b">
        <f>Wh_hp&gt;='2025'!Maxi_hp</f>
        <v>0</v>
      </c>
      <c r="I19" s="390">
        <f>IF(H19,Wh_hp,'2025'!Maxi_hp)</f>
        <v>29.868700088933423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5.9155509356399127E-2</v>
      </c>
      <c r="M19" s="957"/>
      <c r="N19" s="957"/>
      <c r="O19" s="48">
        <f>IF(t&lt;Tnet,'2025'!Resal+('2025'!Salim-'2025'!Resal)*(1-EXP(('2025'!Tnet-t)/('2025'!Tau_j))),Resal+(Salim-Resal)*(1-EXP((Tnet-t)/(Tau_j))))*Salcycl</f>
        <v>3.8933177486945837E-2</v>
      </c>
      <c r="P19" s="169">
        <f>(INDEX(Models!$BJ19:$BT19,,T19)*(1-R19)+INDEX(Models!$BJ19:$BT19,,T19+1)*R19-ERP_i)*Q19*Ramure*Pc/MaxiM</f>
        <v>2.03359878925407E-4</v>
      </c>
      <c r="Q19" s="305">
        <f t="shared" si="4"/>
        <v>0.7</v>
      </c>
      <c r="R19" s="177">
        <f t="shared" si="5"/>
        <v>0.47517526108185737</v>
      </c>
      <c r="S19" s="919">
        <f t="shared" si="6"/>
        <v>-2</v>
      </c>
      <c r="T19" s="176">
        <f t="shared" si="7"/>
        <v>4</v>
      </c>
      <c r="U19" s="251">
        <f t="shared" si="8"/>
        <v>-1.5248247389181426</v>
      </c>
      <c r="V19" s="383">
        <f t="shared" si="9"/>
        <v>26.63589912851975</v>
      </c>
      <c r="W19" s="402">
        <f t="shared" si="10"/>
        <v>10.321989519159496</v>
      </c>
      <c r="X19" s="157">
        <f t="shared" si="11"/>
        <v>46027</v>
      </c>
      <c r="Y19" s="385">
        <f t="shared" si="12"/>
        <v>9.9568487071375724</v>
      </c>
      <c r="Z19" s="385">
        <f t="shared" si="22"/>
        <v>10.582884638381014</v>
      </c>
      <c r="AA19" s="386">
        <f t="shared" si="13"/>
        <v>11.398621772053819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7.1564540870437635E-2</v>
      </c>
      <c r="AD19" s="231">
        <f>(INDEX(Models!$BJ19:$BT19,,AH19)*(1-AF19)+INDEX(Models!$BJ19:$BT19,,AH19+1)*AF19-ERP_i)*AE19*Ramure*Pc/MaxiM</f>
        <v>1.1974059652642871E-2</v>
      </c>
      <c r="AE19" s="305">
        <f t="shared" si="15"/>
        <v>0.7</v>
      </c>
      <c r="AF19" s="177">
        <f t="shared" si="23"/>
        <v>1.6282745583673375E-4</v>
      </c>
      <c r="AG19" s="919">
        <f t="shared" si="24"/>
        <v>2</v>
      </c>
      <c r="AH19" s="176">
        <f t="shared" si="16"/>
        <v>8</v>
      </c>
      <c r="AI19" s="225">
        <f t="shared" si="17"/>
        <v>2.0001628274558367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1090">
        <f>IF(t&gt;Tmaj,'2025'!Wh/'2025'!Env_an*'2026'!Env_an,0.001*'[3]mon-tableau (2)'!$B$43)</f>
        <v>6.1023865562350252</v>
      </c>
      <c r="C20" s="953"/>
      <c r="D20" s="393">
        <f t="shared" si="0"/>
        <v>6.4862156049986019</v>
      </c>
      <c r="E20" s="385">
        <f t="shared" si="1"/>
        <v>6.7497234922685481</v>
      </c>
      <c r="F20" s="385">
        <f t="shared" si="2"/>
        <v>6.7497234922685481</v>
      </c>
      <c r="G20" s="110">
        <f t="shared" si="21"/>
        <v>0.2273383243196242</v>
      </c>
      <c r="H20" s="412" t="b">
        <f>Wh_hp&gt;='2025'!Maxi_hp</f>
        <v>0</v>
      </c>
      <c r="I20" s="390">
        <f>IF(H20,Wh_hp,'2025'!Maxi_hp)</f>
        <v>28.521480989437787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5.9176116265358014E-2</v>
      </c>
      <c r="M20" s="957"/>
      <c r="N20" s="957"/>
      <c r="O20" s="48">
        <f>IF(t&lt;Tnet,'2025'!Resal+('2025'!Salim-'2025'!Resal)*(1-EXP(('2025'!Tnet-t)/('2025'!Tau_j))),Resal+(Salim-Resal)*(1-EXP((Tnet-t)/(Tau_j))))*Salcycl</f>
        <v>3.9039804752265851E-2</v>
      </c>
      <c r="P20" s="169">
        <f>(INDEX(Models!$BJ20:$BT20,,T20)*(1-R20)+INDEX(Models!$BJ20:$BT20,,T20+1)*R20-ERP_i)*Q20*Ramure*Pc/MaxiM</f>
        <v>2.0215963713897367E-4</v>
      </c>
      <c r="Q20" s="305">
        <f t="shared" si="4"/>
        <v>0.7</v>
      </c>
      <c r="R20" s="177">
        <f t="shared" si="5"/>
        <v>0.47520967787860813</v>
      </c>
      <c r="S20" s="919">
        <f t="shared" si="6"/>
        <v>-2</v>
      </c>
      <c r="T20" s="176">
        <f t="shared" si="7"/>
        <v>4</v>
      </c>
      <c r="U20" s="251">
        <f t="shared" si="8"/>
        <v>-1.5247903221213919</v>
      </c>
      <c r="V20" s="383">
        <f t="shared" si="9"/>
        <v>26.837326782638176</v>
      </c>
      <c r="W20" s="402">
        <f t="shared" si="10"/>
        <v>6.1023865562350252</v>
      </c>
      <c r="X20" s="157">
        <f t="shared" si="11"/>
        <v>46028</v>
      </c>
      <c r="Y20" s="385">
        <f t="shared" si="12"/>
        <v>5.8953953276686715</v>
      </c>
      <c r="Z20" s="385">
        <f t="shared" si="22"/>
        <v>6.2662050034982526</v>
      </c>
      <c r="AA20" s="386">
        <f t="shared" si="13"/>
        <v>6.7497234922685481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7.1635303183032698E-2</v>
      </c>
      <c r="AD20" s="231">
        <f>(INDEX(Models!$BJ20:$BT20,,AH20)*(1-AF20)+INDEX(Models!$BJ20:$BT20,,AH20+1)*AF20-ERP_i)*AE20*Ramure*Pc/MaxiM</f>
        <v>1.1965563619632167E-2</v>
      </c>
      <c r="AE20" s="305">
        <f t="shared" si="15"/>
        <v>0.7</v>
      </c>
      <c r="AF20" s="177">
        <f t="shared" si="23"/>
        <v>1.9724425258749179E-4</v>
      </c>
      <c r="AG20" s="919">
        <f t="shared" si="24"/>
        <v>2</v>
      </c>
      <c r="AH20" s="176">
        <f t="shared" si="16"/>
        <v>8</v>
      </c>
      <c r="AI20" s="225">
        <f t="shared" si="17"/>
        <v>2.0001972442525875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1090">
        <f>IF(t&gt;Tmaj,'2025'!Wh/'2025'!Env_an*'2026'!Env_an,0.001*'[3]mon-tableau (2)'!$B$44)</f>
        <v>16.679759543599605</v>
      </c>
      <c r="C21" s="953"/>
      <c r="D21" s="393">
        <f t="shared" si="0"/>
        <v>17.729274489642439</v>
      </c>
      <c r="E21" s="385">
        <f t="shared" si="1"/>
        <v>18.45158711517707</v>
      </c>
      <c r="F21" s="385">
        <f t="shared" si="2"/>
        <v>18.45326809451425</v>
      </c>
      <c r="G21" s="110">
        <f t="shared" si="21"/>
        <v>0.61682430518543263</v>
      </c>
      <c r="H21" s="412" t="b">
        <f>Wh_hp&gt;='2025'!Maxi_hp</f>
        <v>1</v>
      </c>
      <c r="I21" s="390">
        <f>IF(H21,Wh_hp,'2025'!Maxi_hp)</f>
        <v>18.45326809451425</v>
      </c>
      <c r="J21" s="85">
        <f>IF(H21,An,'2025'!An_max)</f>
        <v>2026</v>
      </c>
      <c r="K21" s="197">
        <f t="shared" si="3"/>
        <v>46029</v>
      </c>
      <c r="L21" s="147">
        <f>IF(t&lt;Tvie,1-EXP((T0-t)*PertePVj)+'2025'!Pspv,1-EXP((T0-t)*PertePVj)+Pspv)</f>
        <v>5.9196722722972606E-2</v>
      </c>
      <c r="M21" s="957"/>
      <c r="N21" s="957"/>
      <c r="O21" s="48">
        <f>IF(t&lt;Tnet,'2025'!Resal+('2025'!Salim-'2025'!Resal)*(1-EXP(('2025'!Tnet-t)/('2025'!Tau_j))),Resal+(Salim-Resal)*(1-EXP((Tnet-t)/(Tau_j))))*Salcycl</f>
        <v>3.9146368332754568E-2</v>
      </c>
      <c r="P21" s="169">
        <f>(INDEX(Models!$BJ21:$BT21,,T21)*(1-R21)+INDEX(Models!$BJ21:$BT21,,T21+1)*R21-ERP_i)*Q21*Ramure*Pc/MaxiM</f>
        <v>2.012220214589063E-4</v>
      </c>
      <c r="Q21" s="305">
        <f t="shared" si="4"/>
        <v>0.7</v>
      </c>
      <c r="R21" s="177">
        <f t="shared" si="5"/>
        <v>0.47524553348967125</v>
      </c>
      <c r="S21" s="919">
        <f t="shared" si="6"/>
        <v>-2</v>
      </c>
      <c r="T21" s="176">
        <f t="shared" si="7"/>
        <v>4</v>
      </c>
      <c r="U21" s="251">
        <f t="shared" si="8"/>
        <v>-1.5247544665103288</v>
      </c>
      <c r="V21" s="383">
        <f t="shared" si="9"/>
        <v>27.03836785405521</v>
      </c>
      <c r="W21" s="402">
        <f t="shared" si="10"/>
        <v>16.679759543599605</v>
      </c>
      <c r="X21" s="157">
        <f t="shared" si="11"/>
        <v>46029</v>
      </c>
      <c r="Y21" s="385">
        <f t="shared" si="12"/>
        <v>16.028839696008387</v>
      </c>
      <c r="Z21" s="385">
        <f t="shared" si="22"/>
        <v>17.03739781009347</v>
      </c>
      <c r="AA21" s="386">
        <f t="shared" si="13"/>
        <v>18.353452093024249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7.1706089745971174E-2</v>
      </c>
      <c r="AD21" s="231">
        <f>(INDEX(Models!$BJ21:$BT21,,AH21)*(1-AF21)+INDEX(Models!$BJ21:$BT21,,AH21+1)*AF21-ERP_i)*AE21*Ramure*Pc/MaxiM</f>
        <v>1.1948497610605251E-2</v>
      </c>
      <c r="AE21" s="305">
        <f t="shared" si="15"/>
        <v>0.7</v>
      </c>
      <c r="AF21" s="177">
        <f t="shared" si="23"/>
        <v>2.3309986365038782E-4</v>
      </c>
      <c r="AG21" s="919">
        <f t="shared" si="24"/>
        <v>2</v>
      </c>
      <c r="AH21" s="176">
        <f t="shared" si="16"/>
        <v>8</v>
      </c>
      <c r="AI21" s="225">
        <f t="shared" si="17"/>
        <v>2.0002330998636504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1090">
        <f>IF(t&gt;Tmaj,'2025'!Wh/'2025'!Env_an*'2026'!Env_an,0.001*'[3]mon-tableau (2)'!$B$45)</f>
        <v>6.8219173102204111</v>
      </c>
      <c r="C22" s="953"/>
      <c r="D22" s="393">
        <f t="shared" si="0"/>
        <v>7.2513211802740969</v>
      </c>
      <c r="E22" s="385">
        <f t="shared" si="1"/>
        <v>7.5475855295989023</v>
      </c>
      <c r="F22" s="385">
        <f t="shared" si="2"/>
        <v>7.5475855295989023</v>
      </c>
      <c r="G22" s="110">
        <f t="shared" si="21"/>
        <v>0.25040926080339154</v>
      </c>
      <c r="H22" s="412" t="b">
        <f>Wh_hp&gt;='2025'!Maxi_hp</f>
        <v>0</v>
      </c>
      <c r="I22" s="390">
        <f>IF(H22,Wh_hp,'2025'!Maxi_hp)</f>
        <v>20.926751067686602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5.9217328729253005E-2</v>
      </c>
      <c r="M22" s="957"/>
      <c r="N22" s="957"/>
      <c r="O22" s="48">
        <f>IF(t&lt;Tnet,'2025'!Resal+('2025'!Salim-'2025'!Resal)*(1-EXP(('2025'!Tnet-t)/('2025'!Tau_j))),Resal+(Salim-Resal)*(1-EXP((Tnet-t)/(Tau_j))))*Salcycl</f>
        <v>3.9252864132902278E-2</v>
      </c>
      <c r="P22" s="169">
        <f>(INDEX(Models!$BJ22:$BT22,,T22)*(1-R22)+INDEX(Models!$BJ22:$BT22,,T22+1)*R22-ERP_i)*Q22*Ramure*Pc/MaxiM</f>
        <v>2.0055083255859305E-4</v>
      </c>
      <c r="Q22" s="305">
        <f t="shared" si="4"/>
        <v>0.7</v>
      </c>
      <c r="R22" s="177">
        <f t="shared" si="5"/>
        <v>0.47528288784566852</v>
      </c>
      <c r="S22" s="919">
        <f t="shared" si="6"/>
        <v>-2</v>
      </c>
      <c r="T22" s="176">
        <f t="shared" si="7"/>
        <v>4</v>
      </c>
      <c r="U22" s="251">
        <f t="shared" si="8"/>
        <v>-1.5247171121543315</v>
      </c>
      <c r="V22" s="383">
        <f t="shared" si="9"/>
        <v>27.237607535526987</v>
      </c>
      <c r="W22" s="402">
        <f t="shared" si="10"/>
        <v>6.8219173102204111</v>
      </c>
      <c r="X22" s="157">
        <f t="shared" si="11"/>
        <v>46030</v>
      </c>
      <c r="Y22" s="385">
        <f t="shared" si="12"/>
        <v>6.590975969997718</v>
      </c>
      <c r="Z22" s="385">
        <f t="shared" si="22"/>
        <v>7.0058432954500143</v>
      </c>
      <c r="AA22" s="386">
        <f t="shared" si="13"/>
        <v>7.5475855295989023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7.1776892361718914E-2</v>
      </c>
      <c r="AD22" s="231">
        <f>(INDEX(Models!$BJ22:$BT22,,AH22)*(1-AF22)+INDEX(Models!$BJ22:$BT22,,AH22+1)*AF22-ERP_i)*AE22*Ramure*Pc/MaxiM</f>
        <v>1.1923628236214847E-2</v>
      </c>
      <c r="AE22" s="305">
        <f t="shared" si="15"/>
        <v>0.7</v>
      </c>
      <c r="AF22" s="177">
        <f t="shared" si="23"/>
        <v>2.7045421964766447E-4</v>
      </c>
      <c r="AG22" s="919">
        <f t="shared" si="24"/>
        <v>2</v>
      </c>
      <c r="AH22" s="176">
        <f t="shared" si="16"/>
        <v>8</v>
      </c>
      <c r="AI22" s="225">
        <f t="shared" si="17"/>
        <v>2.0002704542196477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1090">
        <f>IF(t&gt;Tmaj,'2025'!Wh/'2025'!Env_an*'2026'!Env_an,0.001*'[3]mon-tableau (2)'!$B$46)</f>
        <v>6.9031079468079923</v>
      </c>
      <c r="C23" s="953"/>
      <c r="D23" s="393">
        <f t="shared" si="0"/>
        <v>7.3377830573511407</v>
      </c>
      <c r="E23" s="385">
        <f t="shared" si="1"/>
        <v>7.6384260767325198</v>
      </c>
      <c r="F23" s="385">
        <f t="shared" si="2"/>
        <v>7.6384260767325198</v>
      </c>
      <c r="G23" s="110">
        <f t="shared" si="21"/>
        <v>0.25155095673795846</v>
      </c>
      <c r="H23" s="412" t="b">
        <f>Wh_hp&gt;='2025'!Maxi_hp</f>
        <v>0</v>
      </c>
      <c r="I23" s="390">
        <f>IF(H23,Wh_hp,'2025'!Maxi_hp)</f>
        <v>27.858667670277544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5.9237934284208871E-2</v>
      </c>
      <c r="M23" s="957"/>
      <c r="N23" s="957"/>
      <c r="O23" s="48">
        <f>IF(t&lt;Tnet,'2025'!Resal+('2025'!Salim-'2025'!Resal)*(1-EXP(('2025'!Tnet-t)/('2025'!Tau_j))),Resal+(Salim-Resal)*(1-EXP((Tnet-t)/(Tau_j))))*Salcycl</f>
        <v>3.9359288989805258E-2</v>
      </c>
      <c r="P23" s="169">
        <f>(INDEX(Models!$BJ23:$BT23,,T23)*(1-R23)+INDEX(Models!$BJ23:$BT23,,T23+1)*R23-ERP_i)*Q23*Ramure*Pc/MaxiM</f>
        <v>2.0012744171838266E-4</v>
      </c>
      <c r="Q23" s="305">
        <f t="shared" si="4"/>
        <v>0.7</v>
      </c>
      <c r="R23" s="177">
        <f t="shared" si="5"/>
        <v>0.47532180335470353</v>
      </c>
      <c r="S23" s="919">
        <f t="shared" si="6"/>
        <v>-2</v>
      </c>
      <c r="T23" s="176">
        <f t="shared" si="7"/>
        <v>4</v>
      </c>
      <c r="U23" s="251">
        <f t="shared" si="8"/>
        <v>-1.5246781966452965</v>
      </c>
      <c r="V23" s="383">
        <f t="shared" si="9"/>
        <v>27.43669328463038</v>
      </c>
      <c r="W23" s="402">
        <f t="shared" si="10"/>
        <v>6.9031079468079923</v>
      </c>
      <c r="X23" s="157">
        <f t="shared" si="11"/>
        <v>46031</v>
      </c>
      <c r="Y23" s="385">
        <f t="shared" si="12"/>
        <v>6.6696480930059625</v>
      </c>
      <c r="Z23" s="385">
        <f t="shared" si="22"/>
        <v>7.0896226963948354</v>
      </c>
      <c r="AA23" s="386">
        <f t="shared" si="13"/>
        <v>7.6384260767325198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7.1847704595767364E-2</v>
      </c>
      <c r="AD23" s="231">
        <f>(INDEX(Models!$BJ23:$BT23,,AH23)*(1-AF23)+INDEX(Models!$BJ23:$BT23,,AH23+1)*AF23-ERP_i)*AE23*Ramure*Pc/MaxiM</f>
        <v>1.1890367874918565E-2</v>
      </c>
      <c r="AE23" s="305">
        <f t="shared" si="15"/>
        <v>0.7</v>
      </c>
      <c r="AF23" s="177">
        <f t="shared" si="23"/>
        <v>3.0936972868289558E-4</v>
      </c>
      <c r="AG23" s="919">
        <f t="shared" si="24"/>
        <v>2</v>
      </c>
      <c r="AH23" s="176">
        <f t="shared" si="16"/>
        <v>8</v>
      </c>
      <c r="AI23" s="225">
        <f t="shared" si="17"/>
        <v>2.0003093697286829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1090">
        <f>IF(t&gt;Tmaj,'2025'!Wh/'2025'!Env_an*'2026'!Env_an,0.001*'[3]mon-tableau (2)'!$B$47)</f>
        <v>23.731684078202662</v>
      </c>
      <c r="C24" s="953"/>
      <c r="D24" s="393">
        <f t="shared" si="0"/>
        <v>25.226574007655856</v>
      </c>
      <c r="E24" s="385">
        <f t="shared" si="1"/>
        <v>26.263062597667172</v>
      </c>
      <c r="F24" s="385">
        <f t="shared" si="2"/>
        <v>26.267248224801129</v>
      </c>
      <c r="G24" s="110">
        <f t="shared" si="21"/>
        <v>0.85861308804003178</v>
      </c>
      <c r="H24" s="412" t="b">
        <f>Wh_hp&gt;='2025'!Maxi_hp</f>
        <v>1</v>
      </c>
      <c r="I24" s="390">
        <f>IF(H24,Wh_hp,'2025'!Maxi_hp)</f>
        <v>26.267248224801129</v>
      </c>
      <c r="J24" s="85">
        <f>IF(H24,An,'2025'!An_max)</f>
        <v>2026</v>
      </c>
      <c r="K24" s="197">
        <f t="shared" si="3"/>
        <v>46032</v>
      </c>
      <c r="L24" s="147">
        <f>IF(t&lt;Tvie,1-EXP((T0-t)*PertePVj)+'2025'!Pspv,1-EXP((T0-t)*PertePVj)+Pspv)</f>
        <v>5.9258539387850195E-2</v>
      </c>
      <c r="M24" s="957"/>
      <c r="N24" s="957"/>
      <c r="O24" s="48">
        <f>IF(t&lt;Tnet,'2025'!Resal+('2025'!Salim-'2025'!Resal)*(1-EXP(('2025'!Tnet-t)/('2025'!Tau_j))),Resal+(Salim-Resal)*(1-EXP((Tnet-t)/(Tau_j))))*Salcycl</f>
        <v>3.9465640618142631E-2</v>
      </c>
      <c r="P24" s="169">
        <f>(INDEX(Models!$BJ24:$BT24,,T24)*(1-R24)+INDEX(Models!$BJ24:$BT24,,T24+1)*R24-ERP_i)*Q24*Ramure*Pc/MaxiM</f>
        <v>1.9966685347448489E-4</v>
      </c>
      <c r="Q24" s="305">
        <f t="shared" si="4"/>
        <v>0.7</v>
      </c>
      <c r="R24" s="177">
        <f t="shared" si="5"/>
        <v>0.4753623450031732</v>
      </c>
      <c r="S24" s="919">
        <f t="shared" si="6"/>
        <v>-2</v>
      </c>
      <c r="T24" s="176">
        <f t="shared" si="7"/>
        <v>4</v>
      </c>
      <c r="U24" s="251">
        <f t="shared" si="8"/>
        <v>-1.5246376549968268</v>
      </c>
      <c r="V24" s="383">
        <f t="shared" si="9"/>
        <v>27.638440895259265</v>
      </c>
      <c r="W24" s="402">
        <f t="shared" si="10"/>
        <v>23.731684078202662</v>
      </c>
      <c r="X24" s="157">
        <f t="shared" si="11"/>
        <v>46032</v>
      </c>
      <c r="Y24" s="385">
        <f t="shared" si="12"/>
        <v>22.716809147809975</v>
      </c>
      <c r="Z24" s="385">
        <f t="shared" si="22"/>
        <v>24.147770773308878</v>
      </c>
      <c r="AA24" s="386">
        <f t="shared" si="13"/>
        <v>26.019020244344816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7.1918521660808893E-2</v>
      </c>
      <c r="AD24" s="231">
        <f>(INDEX(Models!$BJ24:$BT24,,AH24)*(1-AF24)+INDEX(Models!$BJ24:$BT24,,AH24+1)*AF24-ERP_i)*AE24*Ramure*Pc/MaxiM</f>
        <v>1.1841212371722629E-2</v>
      </c>
      <c r="AE24" s="305">
        <f t="shared" si="15"/>
        <v>0.7</v>
      </c>
      <c r="AF24" s="177">
        <f t="shared" si="23"/>
        <v>3.4991137715234544E-4</v>
      </c>
      <c r="AG24" s="919">
        <f t="shared" si="24"/>
        <v>2</v>
      </c>
      <c r="AH24" s="176">
        <f t="shared" si="16"/>
        <v>8</v>
      </c>
      <c r="AI24" s="225">
        <f t="shared" si="17"/>
        <v>2.0003499113771523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1090">
        <f>IF(t&gt;Tmaj,'2025'!Wh/'2025'!Env_an*'2026'!Env_an,0.001*'[3]mon-tableau (2)'!$B$48)</f>
        <v>4.790946526344829</v>
      </c>
      <c r="C25" s="953"/>
      <c r="D25" s="393">
        <f t="shared" si="0"/>
        <v>5.092846082865516</v>
      </c>
      <c r="E25" s="385">
        <f t="shared" si="1"/>
        <v>5.3026834345228417</v>
      </c>
      <c r="F25" s="385">
        <f t="shared" si="2"/>
        <v>5.3026834345228417</v>
      </c>
      <c r="G25" s="110">
        <f t="shared" si="21"/>
        <v>0.17203468551322301</v>
      </c>
      <c r="H25" s="412" t="b">
        <f>Wh_hp&gt;='2025'!Maxi_hp</f>
        <v>0</v>
      </c>
      <c r="I25" s="390">
        <f>IF(H25,Wh_hp,'2025'!Maxi_hp)</f>
        <v>30.384642936610089</v>
      </c>
      <c r="J25" s="85">
        <f>IF(H25,An,'2025'!An_max)</f>
        <v>2022</v>
      </c>
      <c r="K25" s="197">
        <f t="shared" si="3"/>
        <v>46033</v>
      </c>
      <c r="L25" s="147">
        <f>IF(t&lt;Tvie,1-EXP((T0-t)*PertePVj)+'2025'!Pspv,1-EXP((T0-t)*PertePVj)+Pspv)</f>
        <v>5.9279144040186971E-2</v>
      </c>
      <c r="M25" s="957"/>
      <c r="N25" s="957"/>
      <c r="O25" s="48">
        <f>IF(t&lt;Tnet,'2025'!Resal+('2025'!Salim-'2025'!Resal)*(1-EXP(('2025'!Tnet-t)/('2025'!Tau_j))),Resal+(Salim-Resal)*(1-EXP((Tnet-t)/(Tau_j))))*Salcycl</f>
        <v>3.9571917548611474E-2</v>
      </c>
      <c r="P25" s="169">
        <f>(INDEX(Models!$BJ25:$BT25,,T25)*(1-R25)+INDEX(Models!$BJ25:$BT25,,T25+1)*R25-ERP_i)*Q25*Ramure*Pc/MaxiM</f>
        <v>1.990781744772928E-4</v>
      </c>
      <c r="Q25" s="305">
        <f t="shared" si="4"/>
        <v>0.7</v>
      </c>
      <c r="R25" s="177">
        <f t="shared" si="5"/>
        <v>0.47540458046053913</v>
      </c>
      <c r="S25" s="919">
        <f t="shared" si="6"/>
        <v>-2</v>
      </c>
      <c r="T25" s="176">
        <f t="shared" si="7"/>
        <v>4</v>
      </c>
      <c r="U25" s="251">
        <f t="shared" si="8"/>
        <v>-1.5245954195394609</v>
      </c>
      <c r="V25" s="383">
        <f t="shared" si="9"/>
        <v>27.843180223607732</v>
      </c>
      <c r="W25" s="402">
        <f t="shared" si="10"/>
        <v>4.790946526344829</v>
      </c>
      <c r="X25" s="157">
        <f t="shared" si="11"/>
        <v>46033</v>
      </c>
      <c r="Y25" s="385">
        <f t="shared" si="12"/>
        <v>4.6292372409591733</v>
      </c>
      <c r="Z25" s="385">
        <f t="shared" si="22"/>
        <v>4.9209467523030348</v>
      </c>
      <c r="AA25" s="386">
        <f t="shared" si="13"/>
        <v>5.3026834345228417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7.1989340290338641E-2</v>
      </c>
      <c r="AD25" s="231">
        <f>(INDEX(Models!$BJ25:$BT25,,AH25)*(1-AF25)+INDEX(Models!$BJ25:$BT25,,AH25+1)*AF25-ERP_i)*AE25*Ramure*Pc/MaxiM</f>
        <v>1.1775693285618829E-2</v>
      </c>
      <c r="AE25" s="305">
        <f t="shared" si="15"/>
        <v>0.7</v>
      </c>
      <c r="AF25" s="177">
        <f t="shared" si="23"/>
        <v>3.9214683451849197E-4</v>
      </c>
      <c r="AG25" s="919">
        <f t="shared" si="24"/>
        <v>2</v>
      </c>
      <c r="AH25" s="176">
        <f t="shared" si="16"/>
        <v>8</v>
      </c>
      <c r="AI25" s="225">
        <f t="shared" si="17"/>
        <v>2.0003921468345185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1090">
        <f>IF(t&gt;Tmaj,'2025'!Wh/'2025'!Env_an*'2026'!Env_an,0.001*'[3]mon-tableau (2)'!$B$49)</f>
        <v>23.042040449252266</v>
      </c>
      <c r="C26" s="953"/>
      <c r="D26" s="393">
        <f t="shared" si="0"/>
        <v>24.49456179709949</v>
      </c>
      <c r="E26" s="385">
        <f t="shared" si="1"/>
        <v>25.506616357777752</v>
      </c>
      <c r="F26" s="385">
        <f t="shared" si="2"/>
        <v>25.510385736958771</v>
      </c>
      <c r="G26" s="110">
        <f t="shared" si="21"/>
        <v>0.82138527746902745</v>
      </c>
      <c r="H26" s="412" t="b">
        <f>Wh_hp&gt;='2025'!Maxi_hp</f>
        <v>0</v>
      </c>
      <c r="I26" s="390">
        <f>IF(H26,Wh_hp,'2025'!Maxi_hp)</f>
        <v>30.267889314428743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5.9299748241228967E-2</v>
      </c>
      <c r="M26" s="957"/>
      <c r="N26" s="957"/>
      <c r="O26" s="48">
        <f>IF(t&lt;Tnet,'2025'!Resal+('2025'!Salim-'2025'!Resal)*(1-EXP(('2025'!Tnet-t)/('2025'!Tau_j))),Resal+(Salim-Resal)*(1-EXP((Tnet-t)/(Tau_j))))*Salcycl</f>
        <v>3.9678119060651322E-2</v>
      </c>
      <c r="P26" s="169">
        <f>(INDEX(Models!$BJ26:$BT26,,T26)*(1-R26)+INDEX(Models!$BJ26:$BT26,,T26+1)*R26-ERP_i)*Q26*Ramure*Pc/MaxiM</f>
        <v>1.9836153079775707E-4</v>
      </c>
      <c r="Q26" s="305">
        <f t="shared" si="4"/>
        <v>0.7</v>
      </c>
      <c r="R26" s="177">
        <f t="shared" si="5"/>
        <v>0.47544858018821023</v>
      </c>
      <c r="S26" s="919">
        <f t="shared" si="6"/>
        <v>-2</v>
      </c>
      <c r="T26" s="176">
        <f t="shared" si="7"/>
        <v>4</v>
      </c>
      <c r="U26" s="251">
        <f t="shared" si="8"/>
        <v>-1.5245514198117898</v>
      </c>
      <c r="V26" s="383">
        <f t="shared" si="9"/>
        <v>28.051238455880075</v>
      </c>
      <c r="W26" s="402">
        <f t="shared" si="10"/>
        <v>23.042040449252266</v>
      </c>
      <c r="X26" s="157">
        <f t="shared" si="11"/>
        <v>46034</v>
      </c>
      <c r="Y26" s="385">
        <f t="shared" si="12"/>
        <v>22.074377791402963</v>
      </c>
      <c r="Z26" s="385">
        <f t="shared" si="22"/>
        <v>23.465899738127867</v>
      </c>
      <c r="AA26" s="386">
        <f t="shared" si="13"/>
        <v>25.288169223134098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7.2060158603303934E-2</v>
      </c>
      <c r="AD26" s="231">
        <f>(INDEX(Models!$BJ26:$BT26,,AH26)*(1-AF26)+INDEX(Models!$BJ26:$BT26,,AH26+1)*AF26-ERP_i)*AE26*Ramure*Pc/MaxiM</f>
        <v>1.1694023268540275E-2</v>
      </c>
      <c r="AE26" s="305">
        <f t="shared" si="15"/>
        <v>0.7</v>
      </c>
      <c r="AF26" s="177">
        <f t="shared" si="23"/>
        <v>4.361465621895988E-4</v>
      </c>
      <c r="AG26" s="919">
        <f t="shared" si="24"/>
        <v>2</v>
      </c>
      <c r="AH26" s="176">
        <f t="shared" si="16"/>
        <v>8</v>
      </c>
      <c r="AI26" s="225">
        <f t="shared" si="17"/>
        <v>2.0004361465621896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1090">
        <f>IF(t&gt;Tmaj,'2025'!Wh/'2025'!Env_an*'2026'!Env_an,0.001*'[3]mon-tableau (2)'!$B$50)</f>
        <v>12.735882937425798</v>
      </c>
      <c r="C27" s="953"/>
      <c r="D27" s="393">
        <f t="shared" si="0"/>
        <v>13.53902251885836</v>
      </c>
      <c r="E27" s="385">
        <f t="shared" si="1"/>
        <v>14.09997956179549</v>
      </c>
      <c r="F27" s="385">
        <f t="shared" si="2"/>
        <v>14.100578842259051</v>
      </c>
      <c r="G27" s="110">
        <f t="shared" si="21"/>
        <v>0.45055140811057642</v>
      </c>
      <c r="H27" s="412" t="b">
        <f>Wh_hp&gt;='2025'!Maxi_hp</f>
        <v>0</v>
      </c>
      <c r="I27" s="390">
        <f>IF(H27,Wh_hp,'2025'!Maxi_hp)</f>
        <v>17.075177344016367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5.9320351990985953E-2</v>
      </c>
      <c r="M27" s="957"/>
      <c r="N27" s="957"/>
      <c r="O27" s="48">
        <f>IF(t&lt;Tnet,'2025'!Resal+('2025'!Salim-'2025'!Resal)*(1-EXP(('2025'!Tnet-t)/('2025'!Tau_j))),Resal+(Salim-Resal)*(1-EXP((Tnet-t)/(Tau_j))))*Salcycl</f>
        <v>3.9784245110330928E-2</v>
      </c>
      <c r="P27" s="169">
        <f>(INDEX(Models!$BJ27:$BT27,,T27)*(1-R27)+INDEX(Models!$BJ27:$BT27,,T27+1)*R27-ERP_i)*Q27*Ramure*Pc/MaxiM</f>
        <v>1.9751720355768649E-4</v>
      </c>
      <c r="Q27" s="305">
        <f t="shared" si="4"/>
        <v>0.7</v>
      </c>
      <c r="R27" s="177">
        <f t="shared" si="5"/>
        <v>0.4754944175526794</v>
      </c>
      <c r="S27" s="919">
        <f t="shared" si="6"/>
        <v>-2</v>
      </c>
      <c r="T27" s="176">
        <f t="shared" si="7"/>
        <v>4</v>
      </c>
      <c r="U27" s="251">
        <f t="shared" si="8"/>
        <v>-1.5245055824473206</v>
      </c>
      <c r="V27" s="383">
        <f t="shared" si="9"/>
        <v>28.262942582407891</v>
      </c>
      <c r="W27" s="402">
        <f t="shared" si="10"/>
        <v>12.735882937425798</v>
      </c>
      <c r="X27" s="157">
        <f t="shared" si="11"/>
        <v>46035</v>
      </c>
      <c r="Y27" s="385">
        <f t="shared" si="12"/>
        <v>12.27666322014346</v>
      </c>
      <c r="Z27" s="385">
        <f t="shared" si="22"/>
        <v>13.050843872435751</v>
      </c>
      <c r="AA27" s="386">
        <f t="shared" si="13"/>
        <v>14.065394505392899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7.2130975961474317E-2</v>
      </c>
      <c r="AD27" s="231">
        <f>(INDEX(Models!$BJ27:$BT27,,AH27)*(1-AF27)+INDEX(Models!$BJ27:$BT27,,AH27+1)*AF27-ERP_i)*AE27*Ramure*Pc/MaxiM</f>
        <v>1.1596426463702889E-2</v>
      </c>
      <c r="AE27" s="305">
        <f t="shared" si="15"/>
        <v>0.7</v>
      </c>
      <c r="AF27" s="177">
        <f t="shared" si="23"/>
        <v>4.8198392665854684E-4</v>
      </c>
      <c r="AG27" s="919">
        <f t="shared" si="24"/>
        <v>2</v>
      </c>
      <c r="AH27" s="176">
        <f t="shared" si="16"/>
        <v>8</v>
      </c>
      <c r="AI27" s="225">
        <f t="shared" si="17"/>
        <v>2.0004819839266585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1090">
        <f>IF(t&gt;Tmaj,'2025'!Wh/'2025'!Env_an*'2026'!Env_an,0.001*'[3]mon-tableau (2)'!$B$51)</f>
        <v>18.223175494225096</v>
      </c>
      <c r="C28" s="953"/>
      <c r="D28" s="393">
        <f t="shared" si="0"/>
        <v>19.372774435856186</v>
      </c>
      <c r="E28" s="385">
        <f t="shared" si="1"/>
        <v>20.177667573066604</v>
      </c>
      <c r="F28" s="385">
        <f t="shared" si="2"/>
        <v>20.179593393506533</v>
      </c>
      <c r="G28" s="110">
        <f t="shared" si="21"/>
        <v>0.63982500293459166</v>
      </c>
      <c r="H28" s="412" t="b">
        <f>Wh_hp&gt;='2025'!Maxi_hp</f>
        <v>0</v>
      </c>
      <c r="I28" s="390">
        <f>IF(H28,Wh_hp,'2025'!Maxi_hp)</f>
        <v>31.541619457007879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5.9340955289468034E-2</v>
      </c>
      <c r="M28" s="957"/>
      <c r="N28" s="957"/>
      <c r="O28" s="48">
        <f>IF(t&lt;Tnet,'2025'!Resal+('2025'!Salim-'2025'!Resal)*(1-EXP(('2025'!Tnet-t)/('2025'!Tau_j))),Resal+(Salim-Resal)*(1-EXP((Tnet-t)/(Tau_j))))*Salcycl</f>
        <v>3.9890296254300399E-2</v>
      </c>
      <c r="P28" s="169">
        <f>(INDEX(Models!$BJ28:$BT28,,T28)*(1-R28)+INDEX(Models!$BJ28:$BT28,,T28+1)*R28-ERP_i)*Q28*Ramure*Pc/MaxiM</f>
        <v>1.9654563568378107E-4</v>
      </c>
      <c r="Q28" s="305">
        <f t="shared" si="4"/>
        <v>0.7</v>
      </c>
      <c r="R28" s="177">
        <f t="shared" si="5"/>
        <v>0.475542168943069</v>
      </c>
      <c r="S28" s="919">
        <f t="shared" si="6"/>
        <v>-2</v>
      </c>
      <c r="T28" s="176">
        <f t="shared" si="7"/>
        <v>4</v>
      </c>
      <c r="U28" s="251">
        <f t="shared" si="8"/>
        <v>-1.524457831056931</v>
      </c>
      <c r="V28" s="383">
        <f t="shared" si="9"/>
        <v>28.478619404875307</v>
      </c>
      <c r="W28" s="402">
        <f t="shared" si="10"/>
        <v>18.223175494225096</v>
      </c>
      <c r="X28" s="157">
        <f t="shared" si="11"/>
        <v>46036</v>
      </c>
      <c r="Y28" s="385">
        <f t="shared" si="12"/>
        <v>17.513377030441141</v>
      </c>
      <c r="Z28" s="385">
        <f t="shared" si="22"/>
        <v>18.618198728775859</v>
      </c>
      <c r="AA28" s="386">
        <f t="shared" si="13"/>
        <v>20.067077716597254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7.2201792821235899E-2</v>
      </c>
      <c r="AD28" s="231">
        <f>(INDEX(Models!$BJ28:$BT28,,AH28)*(1-AF28)+INDEX(Models!$BJ28:$BT28,,AH28+1)*AF28-ERP_i)*AE28*Ramure*Pc/MaxiM</f>
        <v>1.1483139748652074E-2</v>
      </c>
      <c r="AE28" s="305">
        <f t="shared" si="15"/>
        <v>0.7</v>
      </c>
      <c r="AF28" s="177">
        <f t="shared" si="23"/>
        <v>5.297353170479191E-4</v>
      </c>
      <c r="AG28" s="919">
        <f t="shared" si="24"/>
        <v>2</v>
      </c>
      <c r="AH28" s="176">
        <f t="shared" si="16"/>
        <v>8</v>
      </c>
      <c r="AI28" s="225">
        <f t="shared" si="17"/>
        <v>2.0005297353170479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1090">
        <f>IF(t&gt;Tmaj,'2025'!Wh/'2025'!Env_an*'2026'!Env_an,0.001*'[3]mon-tableau (2)'!$B$52)</f>
        <v>6.4789770381147447</v>
      </c>
      <c r="C29" s="953"/>
      <c r="D29" s="393">
        <f t="shared" si="0"/>
        <v>6.8878505808039368</v>
      </c>
      <c r="E29" s="385">
        <f t="shared" si="1"/>
        <v>7.1748165045393035</v>
      </c>
      <c r="F29" s="385">
        <f t="shared" si="2"/>
        <v>7.1748165045393035</v>
      </c>
      <c r="G29" s="110">
        <f t="shared" si="21"/>
        <v>0.22571525252610439</v>
      </c>
      <c r="H29" s="412" t="b">
        <f>Wh_hp&gt;='2025'!Maxi_hp</f>
        <v>0</v>
      </c>
      <c r="I29" s="390">
        <f>IF(H29,Wh_hp,'2025'!Maxi_hp)</f>
        <v>31.364833627737337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5.9361558136684978E-2</v>
      </c>
      <c r="M29" s="957"/>
      <c r="N29" s="957"/>
      <c r="O29" s="48">
        <f>IF(t&lt;Tnet,'2025'!Resal+('2025'!Salim-'2025'!Resal)*(1-EXP(('2025'!Tnet-t)/('2025'!Tau_j))),Resal+(Salim-Resal)*(1-EXP((Tnet-t)/(Tau_j))))*Salcycl</f>
        <v>3.9996273570733307E-2</v>
      </c>
      <c r="P29" s="169">
        <f>(INDEX(Models!$BJ29:$BT29,,T29)*(1-R29)+INDEX(Models!$BJ29:$BT29,,T29+1)*R29-ERP_i)*Q29*Ramure*Pc/MaxiM</f>
        <v>1.9544743741999572E-4</v>
      </c>
      <c r="Q29" s="305">
        <f t="shared" si="4"/>
        <v>0.7</v>
      </c>
      <c r="R29" s="177">
        <f t="shared" si="5"/>
        <v>0.47559191389324118</v>
      </c>
      <c r="S29" s="919">
        <f t="shared" si="6"/>
        <v>-2</v>
      </c>
      <c r="T29" s="176">
        <f t="shared" si="7"/>
        <v>4</v>
      </c>
      <c r="U29" s="251">
        <f t="shared" si="8"/>
        <v>-1.5244080861067588</v>
      </c>
      <c r="V29" s="383">
        <f t="shared" si="9"/>
        <v>28.698595536455308</v>
      </c>
      <c r="W29" s="402">
        <f t="shared" si="10"/>
        <v>6.4789770381147447</v>
      </c>
      <c r="X29" s="157">
        <f t="shared" si="11"/>
        <v>46037</v>
      </c>
      <c r="Y29" s="385">
        <f t="shared" si="12"/>
        <v>6.261147002032259</v>
      </c>
      <c r="Z29" s="385">
        <f t="shared" si="22"/>
        <v>6.6562737853127967</v>
      </c>
      <c r="AA29" s="386">
        <f t="shared" si="13"/>
        <v>7.1748165045393035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7.2272610581530478E-2</v>
      </c>
      <c r="AD29" s="231">
        <f>(INDEX(Models!$BJ29:$BT29,,AH29)*(1-AF29)+INDEX(Models!$BJ29:$BT29,,AH29+1)*AF29-ERP_i)*AE29*Ramure*Pc/MaxiM</f>
        <v>1.1354413794364004E-2</v>
      </c>
      <c r="AE29" s="305">
        <f t="shared" si="15"/>
        <v>0.7</v>
      </c>
      <c r="AF29" s="177">
        <f t="shared" si="23"/>
        <v>5.7948026722032253E-4</v>
      </c>
      <c r="AG29" s="919">
        <f t="shared" si="24"/>
        <v>2</v>
      </c>
      <c r="AH29" s="176">
        <f t="shared" si="16"/>
        <v>8</v>
      </c>
      <c r="AI29" s="225">
        <f t="shared" si="17"/>
        <v>2.0005794802672203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1090">
        <f>IF(t&gt;Tmaj,'2025'!Wh/'2025'!Env_an*'2026'!Env_an,0.001*'[3]mon-tableau (2)'!$B$53)</f>
        <v>3.2725522620679994</v>
      </c>
      <c r="C30" s="953"/>
      <c r="D30" s="393">
        <f t="shared" si="0"/>
        <v>3.4791518135794219</v>
      </c>
      <c r="E30" s="385">
        <f t="shared" si="1"/>
        <v>3.6245022500687547</v>
      </c>
      <c r="F30" s="385">
        <f t="shared" si="2"/>
        <v>3.6245022500687547</v>
      </c>
      <c r="G30" s="110">
        <f t="shared" si="21"/>
        <v>0.11312430677875425</v>
      </c>
      <c r="H30" s="412" t="b">
        <f>Wh_hp&gt;='2025'!Maxi_hp</f>
        <v>0</v>
      </c>
      <c r="I30" s="390">
        <f>IF(H30,Wh_hp,'2025'!Maxi_hp)</f>
        <v>32.204114318448951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5.9382160532646777E-2</v>
      </c>
      <c r="M30" s="957"/>
      <c r="N30" s="957"/>
      <c r="O30" s="48">
        <f>IF(t&lt;Tnet,'2025'!Resal+('2025'!Salim-'2025'!Resal)*(1-EXP(('2025'!Tnet-t)/('2025'!Tau_j))),Resal+(Salim-Resal)*(1-EXP((Tnet-t)/(Tau_j))))*Salcycl</f>
        <v>4.0102178578196666E-2</v>
      </c>
      <c r="P30" s="169">
        <f>(INDEX(Models!$BJ30:$BT30,,T30)*(1-R30)+INDEX(Models!$BJ30:$BT30,,T30+1)*R30-ERP_i)*Q30*Ramure*Pc/MaxiM</f>
        <v>1.9418446101061339E-4</v>
      </c>
      <c r="Q30" s="305">
        <f t="shared" si="4"/>
        <v>0.7</v>
      </c>
      <c r="R30" s="177">
        <f t="shared" si="5"/>
        <v>0.47564373520863445</v>
      </c>
      <c r="S30" s="919">
        <f t="shared" si="6"/>
        <v>-2</v>
      </c>
      <c r="T30" s="176">
        <f t="shared" si="7"/>
        <v>4</v>
      </c>
      <c r="U30" s="251">
        <f t="shared" si="8"/>
        <v>-1.5243562647913655</v>
      </c>
      <c r="V30" s="383">
        <f t="shared" si="9"/>
        <v>28.923198527704532</v>
      </c>
      <c r="W30" s="402">
        <f t="shared" si="10"/>
        <v>3.2725522620679994</v>
      </c>
      <c r="X30" s="157">
        <f t="shared" si="11"/>
        <v>46038</v>
      </c>
      <c r="Y30" s="385">
        <f t="shared" si="12"/>
        <v>3.1626330783837675</v>
      </c>
      <c r="Z30" s="385">
        <f t="shared" si="22"/>
        <v>3.3622933200742633</v>
      </c>
      <c r="AA30" s="386">
        <f t="shared" si="13"/>
        <v>3.6245022500687547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7.234343142965842E-2</v>
      </c>
      <c r="AD30" s="231">
        <f>(INDEX(Models!$BJ30:$BT30,,AH30)*(1-AF30)+INDEX(Models!$BJ30:$BT30,,AH30+1)*AF30-ERP_i)*AE30*Ramure*Pc/MaxiM</f>
        <v>1.1197441089627291E-2</v>
      </c>
      <c r="AE30" s="305">
        <f t="shared" si="15"/>
        <v>0.7</v>
      </c>
      <c r="AF30" s="177">
        <f t="shared" si="23"/>
        <v>6.3130158261381908E-4</v>
      </c>
      <c r="AG30" s="919">
        <f t="shared" si="24"/>
        <v>2</v>
      </c>
      <c r="AH30" s="176">
        <f t="shared" si="16"/>
        <v>8</v>
      </c>
      <c r="AI30" s="225">
        <f t="shared" si="17"/>
        <v>2.0006313015826138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1090">
        <f>IF(t&gt;Tmaj,'2025'!Wh/'2025'!Env_an*'2026'!Env_an,0.001*'[3]mon-tableau (2)'!$B$54)</f>
        <v>5.9283778201804846</v>
      </c>
      <c r="C31" s="953"/>
      <c r="D31" s="393">
        <f t="shared" si="0"/>
        <v>6.302780386422099</v>
      </c>
      <c r="E31" s="385">
        <f t="shared" si="1"/>
        <v>6.5668191366442104</v>
      </c>
      <c r="F31" s="385">
        <f t="shared" si="2"/>
        <v>6.5668191366442104</v>
      </c>
      <c r="G31" s="110">
        <f t="shared" si="21"/>
        <v>0.20331646706123627</v>
      </c>
      <c r="H31" s="412" t="b">
        <f>Wh_hp&gt;='2025'!Maxi_hp</f>
        <v>0</v>
      </c>
      <c r="I31" s="390">
        <f>IF(H31,Wh_hp,'2025'!Maxi_hp)</f>
        <v>21.487958895001182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5.9402762477363091E-2</v>
      </c>
      <c r="M31" s="957"/>
      <c r="N31" s="957"/>
      <c r="O31" s="48">
        <f>IF(t&lt;Tnet,'2025'!Resal+('2025'!Salim-'2025'!Resal)*(1-EXP(('2025'!Tnet-t)/('2025'!Tau_j))),Resal+(Salim-Resal)*(1-EXP((Tnet-t)/(Tau_j))))*Salcycl</f>
        <v>4.0208013153388199E-2</v>
      </c>
      <c r="P31" s="169">
        <f>(INDEX(Models!$BJ31:$BT31,,T31)*(1-R31)+INDEX(Models!$BJ31:$BT31,,T31+1)*R31-ERP_i)*Q31*Ramure*Pc/MaxiM</f>
        <v>1.9262245270267316E-4</v>
      </c>
      <c r="Q31" s="305">
        <f t="shared" si="4"/>
        <v>0.7</v>
      </c>
      <c r="R31" s="177">
        <f t="shared" si="5"/>
        <v>0.47569771909798853</v>
      </c>
      <c r="S31" s="919">
        <f t="shared" si="6"/>
        <v>-2</v>
      </c>
      <c r="T31" s="176">
        <f t="shared" si="7"/>
        <v>4</v>
      </c>
      <c r="U31" s="251">
        <f t="shared" si="8"/>
        <v>-1.5243022809020115</v>
      </c>
      <c r="V31" s="383">
        <f t="shared" si="9"/>
        <v>29.152758589489984</v>
      </c>
      <c r="W31" s="402">
        <f t="shared" si="10"/>
        <v>5.9283778201804846</v>
      </c>
      <c r="X31" s="157">
        <f t="shared" si="11"/>
        <v>46039</v>
      </c>
      <c r="Y31" s="385">
        <f t="shared" si="12"/>
        <v>5.7294484778406281</v>
      </c>
      <c r="Z31" s="385">
        <f t="shared" si="22"/>
        <v>6.0912878002182529</v>
      </c>
      <c r="AA31" s="386">
        <f t="shared" si="13"/>
        <v>6.5668191366442104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7.2414258186645375E-2</v>
      </c>
      <c r="AD31" s="231">
        <f>(INDEX(Models!$BJ31:$BT31,,AH31)*(1-AF31)+INDEX(Models!$BJ31:$BT31,,AH31+1)*AF31-ERP_i)*AE31*Ramure*Pc/MaxiM</f>
        <v>1.1021825470695136E-2</v>
      </c>
      <c r="AE31" s="305">
        <f t="shared" si="15"/>
        <v>0.7</v>
      </c>
      <c r="AF31" s="177">
        <f t="shared" si="23"/>
        <v>6.8528547196766709E-4</v>
      </c>
      <c r="AG31" s="919">
        <f t="shared" si="24"/>
        <v>2</v>
      </c>
      <c r="AH31" s="176">
        <f t="shared" si="16"/>
        <v>8</v>
      </c>
      <c r="AI31" s="225">
        <f t="shared" si="17"/>
        <v>2.0006852854719677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1090">
        <f>IF(t&gt;Tmaj,'2025'!Wh/'2025'!Env_an*'2026'!Env_an,0.001*'[3]mon-tableau (2)'!$B$55)</f>
        <v>20.667726784781728</v>
      </c>
      <c r="C32" s="953"/>
      <c r="D32" s="393">
        <f t="shared" si="0"/>
        <v>21.973463929568702</v>
      </c>
      <c r="E32" s="385">
        <f t="shared" si="1"/>
        <v>22.896508732766087</v>
      </c>
      <c r="F32" s="385">
        <f t="shared" si="2"/>
        <v>22.89902541751038</v>
      </c>
      <c r="G32" s="110">
        <f t="shared" si="21"/>
        <v>0.70322360761233882</v>
      </c>
      <c r="H32" s="412" t="b">
        <f>Wh_hp&gt;='2025'!Maxi_hp</f>
        <v>0</v>
      </c>
      <c r="I32" s="390">
        <f>IF(H32,Wh_hp,'2025'!Maxi_hp)</f>
        <v>30.961638796552403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5.9423363970844023E-2</v>
      </c>
      <c r="M32" s="957"/>
      <c r="N32" s="957"/>
      <c r="O32" s="48">
        <f>IF(t&lt;Tnet,'2025'!Resal+('2025'!Salim-'2025'!Resal)*(1-EXP(('2025'!Tnet-t)/('2025'!Tau_j))),Resal+(Salim-Resal)*(1-EXP((Tnet-t)/(Tau_j))))*Salcycl</f>
        <v>4.0313779448674598E-2</v>
      </c>
      <c r="P32" s="169">
        <f>(INDEX(Models!$BJ32:$BT32,,T32)*(1-R32)+INDEX(Models!$BJ32:$BT32,,T32+1)*R32-ERP_i)*Q32*Ramure*Pc/MaxiM</f>
        <v>1.9076673748436295E-4</v>
      </c>
      <c r="Q32" s="305">
        <f t="shared" si="4"/>
        <v>0.7</v>
      </c>
      <c r="R32" s="177">
        <f t="shared" si="5"/>
        <v>0.47575395531013021</v>
      </c>
      <c r="S32" s="919">
        <f t="shared" si="6"/>
        <v>-2</v>
      </c>
      <c r="T32" s="176">
        <f t="shared" si="7"/>
        <v>4</v>
      </c>
      <c r="U32" s="251">
        <f t="shared" si="8"/>
        <v>-1.5242460446898698</v>
      </c>
      <c r="V32" s="383">
        <f t="shared" si="9"/>
        <v>29.387601780735096</v>
      </c>
      <c r="W32" s="402">
        <f t="shared" si="10"/>
        <v>20.667726784781728</v>
      </c>
      <c r="X32" s="157">
        <f t="shared" si="11"/>
        <v>46040</v>
      </c>
      <c r="Y32" s="385">
        <f t="shared" si="12"/>
        <v>19.852463396075006</v>
      </c>
      <c r="Z32" s="385">
        <f t="shared" si="22"/>
        <v>21.106694165704983</v>
      </c>
      <c r="AA32" s="386">
        <f t="shared" si="13"/>
        <v>22.756177860505222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7.2485094153839386E-2</v>
      </c>
      <c r="AD32" s="231">
        <f>(INDEX(Models!$BJ32:$BT32,,AH32)*(1-AF32)+INDEX(Models!$BJ32:$BT32,,AH32+1)*AF32-ERP_i)*AE32*Ramure*Pc/MaxiM</f>
        <v>1.0827960263706672E-2</v>
      </c>
      <c r="AE32" s="305">
        <f t="shared" si="15"/>
        <v>0.7</v>
      </c>
      <c r="AF32" s="177">
        <f t="shared" si="23"/>
        <v>7.4152168410934749E-4</v>
      </c>
      <c r="AG32" s="919">
        <f t="shared" si="24"/>
        <v>2</v>
      </c>
      <c r="AH32" s="176">
        <f t="shared" si="16"/>
        <v>8</v>
      </c>
      <c r="AI32" s="225">
        <f t="shared" si="17"/>
        <v>2.0007415216841093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1090">
        <f>IF(t&gt;Tmaj,'2025'!Wh/'2025'!Env_an*'2026'!Env_an,0.001*'[3]mon-tableau (2)'!$B$56)</f>
        <v>9.2956565917952112</v>
      </c>
      <c r="C33" s="953"/>
      <c r="D33" s="393">
        <f t="shared" si="0"/>
        <v>9.8831502281782431</v>
      </c>
      <c r="E33" s="385">
        <f t="shared" si="1"/>
        <v>10.299448582204372</v>
      </c>
      <c r="F33" s="385">
        <f t="shared" si="2"/>
        <v>10.299486729141615</v>
      </c>
      <c r="G33" s="110">
        <f t="shared" si="21"/>
        <v>0.31368707666157741</v>
      </c>
      <c r="H33" s="412" t="b">
        <f>Wh_hp&gt;='2025'!Maxi_hp</f>
        <v>0</v>
      </c>
      <c r="I33" s="390">
        <f>IF(H33,Wh_hp,'2025'!Maxi_hp)</f>
        <v>32.578902251016416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5.9443965013099342E-2</v>
      </c>
      <c r="M33" s="957"/>
      <c r="N33" s="957"/>
      <c r="O33" s="48">
        <f>IF(t&lt;Tnet,'2025'!Resal+('2025'!Salim-'2025'!Resal)*(1-EXP(('2025'!Tnet-t)/('2025'!Tau_j))),Resal+(Salim-Resal)*(1-EXP((Tnet-t)/(Tau_j))))*Salcycl</f>
        <v>4.0419479810348151E-2</v>
      </c>
      <c r="P33" s="169">
        <f>(INDEX(Models!$BJ33:$BT33,,T33)*(1-R33)+INDEX(Models!$BJ33:$BT33,,T33+1)*R33-ERP_i)*Q33*Ramure*Pc/MaxiM</f>
        <v>1.8862289554554335E-4</v>
      </c>
      <c r="Q33" s="305">
        <f t="shared" si="4"/>
        <v>0.7</v>
      </c>
      <c r="R33" s="177">
        <f t="shared" si="5"/>
        <v>0.47581253727599115</v>
      </c>
      <c r="S33" s="919">
        <f t="shared" si="6"/>
        <v>-2</v>
      </c>
      <c r="T33" s="176">
        <f t="shared" si="7"/>
        <v>4</v>
      </c>
      <c r="U33" s="251">
        <f t="shared" si="8"/>
        <v>-1.5241874627240088</v>
      </c>
      <c r="V33" s="383">
        <f t="shared" si="9"/>
        <v>29.628053981878438</v>
      </c>
      <c r="W33" s="402">
        <f t="shared" si="10"/>
        <v>9.2956565917952112</v>
      </c>
      <c r="X33" s="157">
        <f t="shared" si="11"/>
        <v>46041</v>
      </c>
      <c r="Y33" s="385">
        <f t="shared" si="12"/>
        <v>8.9825043718683002</v>
      </c>
      <c r="Z33" s="385">
        <f t="shared" si="22"/>
        <v>9.5502065137388676</v>
      </c>
      <c r="AA33" s="386">
        <f t="shared" si="13"/>
        <v>10.297339706120104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7.2555942962354292E-2</v>
      </c>
      <c r="AD33" s="231">
        <f>(INDEX(Models!$BJ33:$BT33,,AH33)*(1-AF33)+INDEX(Models!$BJ33:$BT33,,AH33+1)*AF33-ERP_i)*AE33*Ramure*Pc/MaxiM</f>
        <v>1.0616257251067532E-2</v>
      </c>
      <c r="AE33" s="305">
        <f t="shared" si="15"/>
        <v>0.7</v>
      </c>
      <c r="AF33" s="177">
        <f t="shared" si="23"/>
        <v>8.0010364997029626E-4</v>
      </c>
      <c r="AG33" s="919">
        <f t="shared" si="24"/>
        <v>2</v>
      </c>
      <c r="AH33" s="176">
        <f t="shared" si="16"/>
        <v>8</v>
      </c>
      <c r="AI33" s="225">
        <f t="shared" si="17"/>
        <v>2.0008001036499703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1090">
        <f>IF(t&gt;Tmaj,'2025'!Wh/'2025'!Env_an*'2026'!Env_an,0.001*'[3]mon-tableau (2)'!$B$57)</f>
        <v>17.873277157804569</v>
      </c>
      <c r="C34" s="953"/>
      <c r="D34" s="393">
        <f t="shared" si="0"/>
        <v>19.003300146033524</v>
      </c>
      <c r="E34" s="385">
        <f t="shared" si="1"/>
        <v>19.805938098810998</v>
      </c>
      <c r="F34" s="385">
        <f t="shared" si="2"/>
        <v>19.807509656695551</v>
      </c>
      <c r="G34" s="110">
        <f t="shared" si="21"/>
        <v>0.59821595376561154</v>
      </c>
      <c r="H34" s="412" t="b">
        <f>Wh_hp&gt;='2025'!Maxi_hp</f>
        <v>1</v>
      </c>
      <c r="I34" s="390">
        <f>IF(H34,Wh_hp,'2025'!Maxi_hp)</f>
        <v>19.807509656695551</v>
      </c>
      <c r="J34" s="85">
        <f>IF(H34,An,'2025'!An_max)</f>
        <v>2026</v>
      </c>
      <c r="K34" s="197">
        <f t="shared" si="3"/>
        <v>46042</v>
      </c>
      <c r="L34" s="147">
        <f>IF(t&lt;Tvie,1-EXP((T0-t)*PertePVj)+'2025'!Pspv,1-EXP((T0-t)*PertePVj)+Pspv)</f>
        <v>5.9464565604139041E-2</v>
      </c>
      <c r="M34" s="957"/>
      <c r="N34" s="957"/>
      <c r="O34" s="48">
        <f>IF(t&lt;Tnet,'2025'!Resal+('2025'!Salim-'2025'!Resal)*(1-EXP(('2025'!Tnet-t)/('2025'!Tau_j))),Resal+(Salim-Resal)*(1-EXP((Tnet-t)/(Tau_j))))*Salcycl</f>
        <v>4.0525116698494491E-2</v>
      </c>
      <c r="P34" s="169">
        <f>(INDEX(Models!$BJ34:$BT34,,T34)*(1-R34)+INDEX(Models!$BJ34:$BT34,,T34+1)*R34-ERP_i)*Q34*Ramure*Pc/MaxiM</f>
        <v>1.8619781186885774E-4</v>
      </c>
      <c r="Q34" s="305">
        <f t="shared" si="4"/>
        <v>0.7</v>
      </c>
      <c r="R34" s="177">
        <f t="shared" si="5"/>
        <v>0.47587356225603394</v>
      </c>
      <c r="S34" s="919">
        <f t="shared" si="6"/>
        <v>-2</v>
      </c>
      <c r="T34" s="176">
        <f t="shared" si="7"/>
        <v>4</v>
      </c>
      <c r="U34" s="251">
        <f t="shared" si="8"/>
        <v>-1.5241264377439661</v>
      </c>
      <c r="V34" s="383">
        <f t="shared" si="9"/>
        <v>29.874440863051223</v>
      </c>
      <c r="W34" s="402">
        <f t="shared" si="10"/>
        <v>17.873277157804569</v>
      </c>
      <c r="X34" s="157">
        <f t="shared" si="11"/>
        <v>46042</v>
      </c>
      <c r="Y34" s="385">
        <f t="shared" si="12"/>
        <v>17.200182820420022</v>
      </c>
      <c r="Z34" s="385">
        <f t="shared" si="22"/>
        <v>18.287649982553081</v>
      </c>
      <c r="AA34" s="386">
        <f t="shared" si="13"/>
        <v>19.71983894804205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7.2626808426909981E-2</v>
      </c>
      <c r="AD34" s="231">
        <f>(INDEX(Models!$BJ34:$BT34,,AH34)*(1-AF34)+INDEX(Models!$BJ34:$BT34,,AH34+1)*AF34-ERP_i)*AE34*Ramure*Pc/MaxiM</f>
        <v>1.0387205127297511E-2</v>
      </c>
      <c r="AE34" s="305">
        <f t="shared" si="15"/>
        <v>0.7</v>
      </c>
      <c r="AF34" s="177">
        <f t="shared" si="23"/>
        <v>8.6112863001286399E-4</v>
      </c>
      <c r="AG34" s="919">
        <f t="shared" si="24"/>
        <v>2</v>
      </c>
      <c r="AH34" s="176">
        <f t="shared" si="16"/>
        <v>8</v>
      </c>
      <c r="AI34" s="225">
        <f t="shared" si="17"/>
        <v>2.0008611286300129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1090">
        <f>IF(t&gt;Tmaj,'2025'!Wh/'2025'!Env_an*'2026'!Env_an,0.001*'[3]mon-tableau (2)'!$B$58)</f>
        <v>4.9760883012287431</v>
      </c>
      <c r="C35" s="953"/>
      <c r="D35" s="393">
        <f t="shared" si="0"/>
        <v>5.2908132014365989</v>
      </c>
      <c r="E35" s="385">
        <f t="shared" si="1"/>
        <v>5.5148868748227553</v>
      </c>
      <c r="F35" s="385">
        <f t="shared" si="2"/>
        <v>5.5148868748227553</v>
      </c>
      <c r="G35" s="110">
        <f t="shared" si="21"/>
        <v>0.16513959826826172</v>
      </c>
      <c r="H35" s="412" t="b">
        <f>Wh_hp&gt;='2025'!Maxi_hp</f>
        <v>0</v>
      </c>
      <c r="I35" s="390">
        <f>IF(H35,Wh_hp,'2025'!Maxi_hp)</f>
        <v>18.089681774090039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5.948516574397289E-2</v>
      </c>
      <c r="M35" s="957"/>
      <c r="N35" s="957"/>
      <c r="O35" s="48">
        <f>IF(t&lt;Tnet,'2025'!Resal+('2025'!Salim-'2025'!Resal)*(1-EXP(('2025'!Tnet-t)/('2025'!Tau_j))),Resal+(Salim-Resal)*(1-EXP((Tnet-t)/(Tau_j))))*Salcycl</f>
        <v>4.0630692609330804E-2</v>
      </c>
      <c r="P35" s="169">
        <f>(INDEX(Models!$BJ35:$BT35,,T35)*(1-R35)+INDEX(Models!$BJ35:$BT35,,T35+1)*R35-ERP_i)*Q35*Ramure*Pc/MaxiM</f>
        <v>1.8349904833325477E-4</v>
      </c>
      <c r="Q35" s="305">
        <f t="shared" si="4"/>
        <v>0.7</v>
      </c>
      <c r="R35" s="177">
        <f t="shared" si="5"/>
        <v>0.4759371314932701</v>
      </c>
      <c r="S35" s="919">
        <f t="shared" si="6"/>
        <v>-2</v>
      </c>
      <c r="T35" s="176">
        <f t="shared" si="7"/>
        <v>4</v>
      </c>
      <c r="U35" s="251">
        <f t="shared" si="8"/>
        <v>-1.5240628685067299</v>
      </c>
      <c r="V35" s="383">
        <f t="shared" si="9"/>
        <v>30.12708790582802</v>
      </c>
      <c r="W35" s="402">
        <f t="shared" si="10"/>
        <v>4.9760883012287431</v>
      </c>
      <c r="X35" s="157">
        <f t="shared" si="11"/>
        <v>46043</v>
      </c>
      <c r="Y35" s="385">
        <f t="shared" si="12"/>
        <v>4.809762120826325</v>
      </c>
      <c r="Z35" s="385">
        <f t="shared" si="22"/>
        <v>5.1139673141157607</v>
      </c>
      <c r="AA35" s="386">
        <f t="shared" si="13"/>
        <v>5.5148868748227553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7.2697694405541233E-2</v>
      </c>
      <c r="AD35" s="231">
        <f>(INDEX(Models!$BJ35:$BT35,,AH35)*(1-AF35)+INDEX(Models!$BJ35:$BT35,,AH35+1)*AF35-ERP_i)*AE35*Ramure*Pc/MaxiM</f>
        <v>1.0141331992715785E-2</v>
      </c>
      <c r="AE35" s="305">
        <f t="shared" si="15"/>
        <v>0.7</v>
      </c>
      <c r="AF35" s="177">
        <f t="shared" si="23"/>
        <v>9.2469786724924674E-4</v>
      </c>
      <c r="AG35" s="919">
        <f t="shared" si="24"/>
        <v>2</v>
      </c>
      <c r="AH35" s="176">
        <f t="shared" si="16"/>
        <v>8</v>
      </c>
      <c r="AI35" s="225">
        <f t="shared" si="17"/>
        <v>2.0009246978672492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1090">
        <f>IF(t&gt;Tmaj,'2025'!Wh/'2025'!Env_an*'2026'!Env_an,0.001*'[3]mon-tableau (2)'!$B$59)</f>
        <v>29.502392244364685</v>
      </c>
      <c r="C36" s="953"/>
      <c r="D36" s="393">
        <f t="shared" si="0"/>
        <v>31.369030409777331</v>
      </c>
      <c r="E36" s="385">
        <f t="shared" si="1"/>
        <v>32.701151379647662</v>
      </c>
      <c r="F36" s="385">
        <f t="shared" si="2"/>
        <v>32.706810677953882</v>
      </c>
      <c r="G36" s="110">
        <f t="shared" si="21"/>
        <v>0.97090303910156128</v>
      </c>
      <c r="H36" s="412" t="b">
        <f>Wh_hp&gt;='2025'!Maxi_hp</f>
        <v>1</v>
      </c>
      <c r="I36" s="390">
        <f>IF(H36,Wh_hp,'2025'!Maxi_hp)</f>
        <v>32.706810677953882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5.9505765432610769E-2</v>
      </c>
      <c r="M36" s="957"/>
      <c r="N36" s="957"/>
      <c r="O36" s="48">
        <f>IF(t&lt;Tnet,'2025'!Resal+('2025'!Salim-'2025'!Resal)*(1-EXP(('2025'!Tnet-t)/('2025'!Tau_j))),Resal+(Salim-Resal)*(1-EXP((Tnet-t)/(Tau_j))))*Salcycl</f>
        <v>4.0736210000832135E-2</v>
      </c>
      <c r="P36" s="169">
        <f>(INDEX(Models!$BJ36:$BT36,,T36)*(1-R36)+INDEX(Models!$BJ36:$BT36,,T36+1)*R36-ERP_i)*Q36*Ramure*Pc/MaxiM</f>
        <v>1.8053356336106564E-4</v>
      </c>
      <c r="Q36" s="305">
        <f t="shared" si="4"/>
        <v>0.7</v>
      </c>
      <c r="R36" s="177">
        <f t="shared" si="5"/>
        <v>0.47600335037205221</v>
      </c>
      <c r="S36" s="919">
        <f t="shared" si="6"/>
        <v>-2</v>
      </c>
      <c r="T36" s="176">
        <f t="shared" si="7"/>
        <v>4</v>
      </c>
      <c r="U36" s="251">
        <f t="shared" si="8"/>
        <v>-1.5239966496279478</v>
      </c>
      <c r="V36" s="383">
        <f t="shared" si="9"/>
        <v>30.386320445899816</v>
      </c>
      <c r="W36" s="402">
        <f t="shared" si="10"/>
        <v>29.502392244364685</v>
      </c>
      <c r="X36" s="157">
        <f t="shared" si="11"/>
        <v>46044</v>
      </c>
      <c r="Y36" s="385">
        <f t="shared" si="12"/>
        <v>28.252098678070837</v>
      </c>
      <c r="Z36" s="385">
        <f t="shared" si="22"/>
        <v>30.039629845329465</v>
      </c>
      <c r="AA36" s="386">
        <f t="shared" si="13"/>
        <v>32.397123303322545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7.2768604666553924E-2</v>
      </c>
      <c r="AD36" s="231">
        <f>(INDEX(Models!$BJ36:$BT36,,AH36)*(1-AF36)+INDEX(Models!$BJ36:$BT36,,AH36+1)*AF36-ERP_i)*AE36*Ramure*Pc/MaxiM</f>
        <v>9.8791338157004013E-3</v>
      </c>
      <c r="AE36" s="305">
        <f t="shared" si="15"/>
        <v>0.7</v>
      </c>
      <c r="AF36" s="177">
        <f t="shared" si="23"/>
        <v>9.9091674603135615E-4</v>
      </c>
      <c r="AG36" s="919">
        <f t="shared" si="24"/>
        <v>2</v>
      </c>
      <c r="AH36" s="176">
        <f t="shared" si="16"/>
        <v>8</v>
      </c>
      <c r="AI36" s="225">
        <f t="shared" si="17"/>
        <v>2.0009909167460314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1090">
        <f>IF(t&gt;Tmaj,'2025'!Wh/'2025'!Env_an*'2026'!Env_an,0.001*'[3]mon-tableau (2)'!$B$60)</f>
        <v>29.559730832709963</v>
      </c>
      <c r="C37" s="953"/>
      <c r="D37" s="393">
        <f t="shared" si="0"/>
        <v>31.430685265663833</v>
      </c>
      <c r="E37" s="385">
        <f t="shared" si="1"/>
        <v>32.76902709662248</v>
      </c>
      <c r="F37" s="385">
        <f t="shared" si="2"/>
        <v>32.774541693857003</v>
      </c>
      <c r="G37" s="110">
        <f t="shared" si="21"/>
        <v>0.96429512515095783</v>
      </c>
      <c r="H37" s="412" t="b">
        <f>Wh_hp&gt;='2025'!Maxi_hp</f>
        <v>1</v>
      </c>
      <c r="I37" s="390">
        <f>IF(H37,Wh_hp,'2025'!Maxi_hp)</f>
        <v>32.774541693857003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5.952636467006267E-2</v>
      </c>
      <c r="M37" s="957"/>
      <c r="N37" s="957"/>
      <c r="O37" s="48">
        <f>IF(t&lt;Tnet,'2025'!Resal+('2025'!Salim-'2025'!Resal)*(1-EXP(('2025'!Tnet-t)/('2025'!Tau_j))),Resal+(Salim-Resal)*(1-EXP((Tnet-t)/(Tau_j))))*Salcycl</f>
        <v>4.0841671222414534E-2</v>
      </c>
      <c r="P37" s="169">
        <f>(INDEX(Models!$BJ37:$BT37,,T37)*(1-R37)+INDEX(Models!$BJ37:$BT37,,T37+1)*R37-ERP_i)*Q37*Ramure*Pc/MaxiM</f>
        <v>1.7729988137339884E-4</v>
      </c>
      <c r="Q37" s="305">
        <f t="shared" si="4"/>
        <v>0.7</v>
      </c>
      <c r="R37" s="177">
        <f t="shared" si="5"/>
        <v>0.47607232858282944</v>
      </c>
      <c r="S37" s="919">
        <f t="shared" si="6"/>
        <v>-2</v>
      </c>
      <c r="T37" s="176">
        <f t="shared" si="7"/>
        <v>4</v>
      </c>
      <c r="U37" s="251">
        <f t="shared" si="8"/>
        <v>-1.5239276714171706</v>
      </c>
      <c r="V37" s="383">
        <f t="shared" si="9"/>
        <v>30.653959309521813</v>
      </c>
      <c r="W37" s="402">
        <f t="shared" si="10"/>
        <v>29.559730832709963</v>
      </c>
      <c r="X37" s="157">
        <f t="shared" si="11"/>
        <v>46045</v>
      </c>
      <c r="Y37" s="385">
        <f t="shared" si="12"/>
        <v>28.318035996917779</v>
      </c>
      <c r="Z37" s="385">
        <f t="shared" si="22"/>
        <v>30.110398562085404</v>
      </c>
      <c r="AA37" s="386">
        <f t="shared" si="13"/>
        <v>32.475930489797832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7.2839542764003312E-2</v>
      </c>
      <c r="AD37" s="231">
        <f>(INDEX(Models!$BJ37:$BT37,,AH37)*(1-AF37)+INDEX(Models!$BJ37:$BT37,,AH37+1)*AF37-ERP_i)*AE37*Ramure*Pc/MaxiM</f>
        <v>9.6006523785659281E-3</v>
      </c>
      <c r="AE37" s="305">
        <f t="shared" si="15"/>
        <v>0.7</v>
      </c>
      <c r="AF37" s="177">
        <f t="shared" si="23"/>
        <v>1.0598949568083604E-3</v>
      </c>
      <c r="AG37" s="919">
        <f t="shared" si="24"/>
        <v>2</v>
      </c>
      <c r="AH37" s="176">
        <f t="shared" si="16"/>
        <v>8</v>
      </c>
      <c r="AI37" s="225">
        <f t="shared" si="17"/>
        <v>2.0010598949568084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1090">
        <f>IF(t&gt;Tmaj,'2025'!Wh/'2025'!Env_an*'2026'!Env_an,0.001*'[3]mon-tableau (2)'!$B$61)</f>
        <v>29.836400538957403</v>
      </c>
      <c r="C38" s="953"/>
      <c r="D38" s="393">
        <f t="shared" si="0"/>
        <v>31.725561383279356</v>
      </c>
      <c r="E38" s="385">
        <f t="shared" si="1"/>
        <v>33.08009461249015</v>
      </c>
      <c r="F38" s="385">
        <f t="shared" si="2"/>
        <v>33.085559372945198</v>
      </c>
      <c r="G38" s="110">
        <f t="shared" si="21"/>
        <v>0.9646065631950298</v>
      </c>
      <c r="H38" s="412" t="b">
        <f>Wh_hp&gt;='2025'!Maxi_hp</f>
        <v>1</v>
      </c>
      <c r="I38" s="390">
        <f>IF(H38,Wh_hp,'2025'!Maxi_hp)</f>
        <v>33.085559372945198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5.9546963456338253E-2</v>
      </c>
      <c r="M38" s="957"/>
      <c r="N38" s="957"/>
      <c r="O38" s="48">
        <f>IF(t&lt;Tnet,'2025'!Resal+('2025'!Salim-'2025'!Resal)*(1-EXP(('2025'!Tnet-t)/('2025'!Tau_j))),Resal+(Salim-Resal)*(1-EXP((Tnet-t)/(Tau_j))))*Salcycl</f>
        <v>4.0947078449387525E-2</v>
      </c>
      <c r="P38" s="169">
        <f>(INDEX(Models!$BJ38:$BT38,,T38)*(1-R38)+INDEX(Models!$BJ38:$BT38,,T38+1)*R38-ERP_i)*Q38*Ramure*Pc/MaxiM</f>
        <v>1.7396445397379831E-4</v>
      </c>
      <c r="Q38" s="305">
        <f t="shared" si="4"/>
        <v>0.7</v>
      </c>
      <c r="R38" s="177">
        <f t="shared" si="5"/>
        <v>0.47614418029305883</v>
      </c>
      <c r="S38" s="919">
        <f t="shared" si="6"/>
        <v>-2</v>
      </c>
      <c r="T38" s="176">
        <f t="shared" si="7"/>
        <v>4</v>
      </c>
      <c r="U38" s="251">
        <f t="shared" si="8"/>
        <v>-1.5238558197069412</v>
      </c>
      <c r="V38" s="383">
        <f t="shared" si="9"/>
        <v>30.930888567378407</v>
      </c>
      <c r="W38" s="402">
        <f t="shared" si="10"/>
        <v>29.836400538957403</v>
      </c>
      <c r="X38" s="157">
        <f t="shared" si="11"/>
        <v>46046</v>
      </c>
      <c r="Y38" s="385">
        <f t="shared" si="12"/>
        <v>28.59209041580748</v>
      </c>
      <c r="Z38" s="385">
        <f t="shared" si="22"/>
        <v>30.40246488106273</v>
      </c>
      <c r="AA38" s="386">
        <f t="shared" si="13"/>
        <v>32.793452274083855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7.2910511922853721E-2</v>
      </c>
      <c r="AD38" s="231">
        <f>(INDEX(Models!$BJ38:$BT38,,AH38)*(1-AF38)+INDEX(Models!$BJ38:$BT38,,AH38+1)*AF38-ERP_i)*AE38*Ramure*Pc/MaxiM</f>
        <v>9.2988983457276304E-3</v>
      </c>
      <c r="AE38" s="305">
        <f t="shared" si="15"/>
        <v>0.7</v>
      </c>
      <c r="AF38" s="177">
        <f t="shared" si="23"/>
        <v>1.1317466670379694E-3</v>
      </c>
      <c r="AG38" s="919">
        <f t="shared" si="24"/>
        <v>2</v>
      </c>
      <c r="AH38" s="176">
        <f t="shared" si="16"/>
        <v>8</v>
      </c>
      <c r="AI38" s="225">
        <f t="shared" si="17"/>
        <v>2.001131746667038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1090">
        <f>IF(t&gt;Tmaj,'2025'!Wh/'2025'!Env_an*'2026'!Env_an,0.001*'[3]mon-tableau (2)'!$B$62)</f>
        <v>29.386440614616035</v>
      </c>
      <c r="C39" s="953"/>
      <c r="D39" s="393">
        <f t="shared" si="0"/>
        <v>31.247795610490453</v>
      </c>
      <c r="E39" s="385">
        <f t="shared" si="1"/>
        <v>32.585510100976713</v>
      </c>
      <c r="F39" s="385">
        <f t="shared" si="2"/>
        <v>32.5906095515667</v>
      </c>
      <c r="G39" s="110">
        <f t="shared" si="21"/>
        <v>0.94137599375631575</v>
      </c>
      <c r="H39" s="412" t="b">
        <f>Wh_hp&gt;='2025'!Maxi_hp</f>
        <v>1</v>
      </c>
      <c r="I39" s="390">
        <f>IF(H39,Wh_hp,'2025'!Maxi_hp)</f>
        <v>32.5906095515667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5.9567561791447732E-2</v>
      </c>
      <c r="M39" s="957"/>
      <c r="N39" s="957"/>
      <c r="O39" s="48">
        <f>IF(t&lt;Tnet,'2025'!Resal+('2025'!Salim-'2025'!Resal)*(1-EXP(('2025'!Tnet-t)/('2025'!Tau_j))),Resal+(Salim-Resal)*(1-EXP((Tnet-t)/(Tau_j))))*Salcycl</f>
        <v>4.1052433622825658E-2</v>
      </c>
      <c r="P39" s="169">
        <f>(INDEX(Models!$BJ39:$BT39,,T39)*(1-R39)+INDEX(Models!$BJ39:$BT39,,T39+1)*R39-ERP_i)*Q39*Ramure*Pc/MaxiM</f>
        <v>1.7076825029554803E-4</v>
      </c>
      <c r="Q39" s="305">
        <f t="shared" si="4"/>
        <v>0.7</v>
      </c>
      <c r="R39" s="177">
        <f t="shared" si="5"/>
        <v>0.47621902432446706</v>
      </c>
      <c r="S39" s="919">
        <f t="shared" si="6"/>
        <v>-2</v>
      </c>
      <c r="T39" s="176">
        <f t="shared" si="7"/>
        <v>4</v>
      </c>
      <c r="U39" s="251">
        <f t="shared" si="8"/>
        <v>-1.5237809756755329</v>
      </c>
      <c r="V39" s="383">
        <f t="shared" si="9"/>
        <v>31.216029054489567</v>
      </c>
      <c r="W39" s="402">
        <f t="shared" si="10"/>
        <v>29.386440614616035</v>
      </c>
      <c r="X39" s="157">
        <f t="shared" si="11"/>
        <v>46047</v>
      </c>
      <c r="Y39" s="385">
        <f t="shared" si="12"/>
        <v>28.178635189816411</v>
      </c>
      <c r="Z39" s="385">
        <f t="shared" si="22"/>
        <v>29.963487056544363</v>
      </c>
      <c r="AA39" s="386">
        <f t="shared" si="13"/>
        <v>32.322426725329748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7.2981514934854302E-2</v>
      </c>
      <c r="AD39" s="231">
        <f>(INDEX(Models!$BJ39:$BT39,,AH39)*(1-AF39)+INDEX(Models!$BJ39:$BT39,,AH39+1)*AF39-ERP_i)*AE39*Ramure*Pc/MaxiM</f>
        <v>8.9807933595308625E-3</v>
      </c>
      <c r="AE39" s="305">
        <f t="shared" si="15"/>
        <v>0.7</v>
      </c>
      <c r="AF39" s="177">
        <f t="shared" si="23"/>
        <v>1.2065906984464192E-3</v>
      </c>
      <c r="AG39" s="919">
        <f t="shared" si="24"/>
        <v>2</v>
      </c>
      <c r="AH39" s="176">
        <f t="shared" si="16"/>
        <v>8</v>
      </c>
      <c r="AI39" s="225">
        <f t="shared" si="17"/>
        <v>2.0012065906984464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1090">
        <f>IF(t&gt;Tmaj,'2025'!Wh/'2025'!Env_an*'2026'!Env_an,0.001*'[3]mon-tableau (2)'!$B$63)</f>
        <v>30.142283213190588</v>
      </c>
      <c r="C40" s="953"/>
      <c r="D40" s="393">
        <f t="shared" si="0"/>
        <v>32.052215764091677</v>
      </c>
      <c r="E40" s="385">
        <f t="shared" si="1"/>
        <v>33.428038216061125</v>
      </c>
      <c r="F40" s="385">
        <f t="shared" si="2"/>
        <v>33.433298226507091</v>
      </c>
      <c r="G40" s="110">
        <f t="shared" si="21"/>
        <v>0.95663558903084045</v>
      </c>
      <c r="H40" s="412" t="b">
        <f>Wh_hp&gt;='2025'!Maxi_hp</f>
        <v>1</v>
      </c>
      <c r="I40" s="390">
        <f>IF(H40,Wh_hp,'2025'!Maxi_hp)</f>
        <v>33.433298226507091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5.9588159675400654E-2</v>
      </c>
      <c r="M40" s="957"/>
      <c r="N40" s="957"/>
      <c r="O40" s="48">
        <f>IF(t&lt;Tnet,'2025'!Resal+('2025'!Salim-'2025'!Resal)*(1-EXP(('2025'!Tnet-t)/('2025'!Tau_j))),Resal+(Salim-Resal)*(1-EXP((Tnet-t)/(Tau_j))))*Salcycl</f>
        <v>4.1157738395441033E-2</v>
      </c>
      <c r="P40" s="169">
        <f>(INDEX(Models!$BJ40:$BT40,,T40)*(1-R40)+INDEX(Models!$BJ40:$BT40,,T40+1)*R40-ERP_i)*Q40*Ramure*Pc/MaxiM</f>
        <v>1.6771597592143728E-4</v>
      </c>
      <c r="Q40" s="305">
        <f t="shared" si="4"/>
        <v>0.7</v>
      </c>
      <c r="R40" s="177">
        <f t="shared" si="5"/>
        <v>0.47629698433685985</v>
      </c>
      <c r="S40" s="919">
        <f t="shared" si="6"/>
        <v>-2</v>
      </c>
      <c r="T40" s="176">
        <f t="shared" si="7"/>
        <v>4</v>
      </c>
      <c r="U40" s="251">
        <f t="shared" si="8"/>
        <v>-1.5237030156631401</v>
      </c>
      <c r="V40" s="383">
        <f t="shared" si="9"/>
        <v>31.508309336500218</v>
      </c>
      <c r="W40" s="402">
        <f t="shared" si="10"/>
        <v>30.142283213190588</v>
      </c>
      <c r="X40" s="157">
        <f t="shared" si="11"/>
        <v>46048</v>
      </c>
      <c r="Y40" s="385">
        <f t="shared" si="12"/>
        <v>28.907807827558795</v>
      </c>
      <c r="Z40" s="385">
        <f t="shared" si="22"/>
        <v>30.739519206373206</v>
      </c>
      <c r="AA40" s="386">
        <f t="shared" si="13"/>
        <v>33.162094939914198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7.3052554066032727E-2</v>
      </c>
      <c r="AD40" s="231">
        <f>(INDEX(Models!$BJ40:$BT40,,AH40)*(1-AF40)+INDEX(Models!$BJ40:$BT40,,AH40+1)*AF40-ERP_i)*AE40*Ramure*Pc/MaxiM</f>
        <v>8.647344782154039E-3</v>
      </c>
      <c r="AE40" s="305">
        <f t="shared" si="15"/>
        <v>0.7</v>
      </c>
      <c r="AF40" s="177">
        <f t="shared" si="23"/>
        <v>1.2845507108387721E-3</v>
      </c>
      <c r="AG40" s="919">
        <f t="shared" si="24"/>
        <v>2</v>
      </c>
      <c r="AH40" s="176">
        <f t="shared" si="16"/>
        <v>8</v>
      </c>
      <c r="AI40" s="225">
        <f t="shared" si="17"/>
        <v>2.0012845507108388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1090">
        <f>IF(t&gt;Tmaj,'2025'!Wh/'2025'!Env_an*'2026'!Env_an,0.001*'[3]mon-tableau (2)'!$B$64)</f>
        <v>29.864433051270659</v>
      </c>
      <c r="C41" s="953"/>
      <c r="D41" s="393">
        <f t="shared" si="0"/>
        <v>31.757455502706165</v>
      </c>
      <c r="E41" s="385">
        <f t="shared" si="1"/>
        <v>33.124261718012221</v>
      </c>
      <c r="F41" s="385">
        <f t="shared" si="2"/>
        <v>33.129245497186162</v>
      </c>
      <c r="G41" s="110">
        <f t="shared" si="21"/>
        <v>0.93892301120122301</v>
      </c>
      <c r="H41" s="412" t="b">
        <f>Wh_hp&gt;='2025'!Maxi_hp</f>
        <v>1</v>
      </c>
      <c r="I41" s="390">
        <f>IF(H41,Wh_hp,'2025'!Maxi_hp)</f>
        <v>33.129245497186162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5.9608757108207122E-2</v>
      </c>
      <c r="M41" s="957"/>
      <c r="N41" s="957"/>
      <c r="O41" s="48">
        <f>IF(t&lt;Tnet,'2025'!Resal+('2025'!Salim-'2025'!Resal)*(1-EXP(('2025'!Tnet-t)/('2025'!Tau_j))),Resal+(Salim-Resal)*(1-EXP((Tnet-t)/(Tau_j))))*Salcycl</f>
        <v>4.1262994083965256E-2</v>
      </c>
      <c r="P41" s="169">
        <f>(INDEX(Models!$BJ41:$BT41,,T41)*(1-R41)+INDEX(Models!$BJ41:$BT41,,T41+1)*R41-ERP_i)*Q41*Ramure*Pc/MaxiM</f>
        <v>1.6481152538942251E-4</v>
      </c>
      <c r="Q41" s="305">
        <f t="shared" si="4"/>
        <v>0.7</v>
      </c>
      <c r="R41" s="177">
        <f t="shared" si="5"/>
        <v>0.47637818901868156</v>
      </c>
      <c r="S41" s="919">
        <f t="shared" si="6"/>
        <v>-2</v>
      </c>
      <c r="T41" s="176">
        <f t="shared" si="7"/>
        <v>4</v>
      </c>
      <c r="U41" s="251">
        <f t="shared" si="8"/>
        <v>-1.5236218109813184</v>
      </c>
      <c r="V41" s="383">
        <f t="shared" si="9"/>
        <v>31.806658550918204</v>
      </c>
      <c r="W41" s="402">
        <f t="shared" si="10"/>
        <v>29.864433051270659</v>
      </c>
      <c r="X41" s="157">
        <f t="shared" si="11"/>
        <v>46049</v>
      </c>
      <c r="Y41" s="385">
        <f t="shared" si="12"/>
        <v>28.657572991646305</v>
      </c>
      <c r="Z41" s="385">
        <f t="shared" si="22"/>
        <v>30.474095976820809</v>
      </c>
      <c r="AA41" s="386">
        <f t="shared" si="13"/>
        <v>32.878274811266088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7.3123630976570056E-2</v>
      </c>
      <c r="AD41" s="231">
        <f>(INDEX(Models!$BJ41:$BT41,,AH41)*(1-AF41)+INDEX(Models!$BJ41:$BT41,,AH41+1)*AF41-ERP_i)*AE41*Ramure*Pc/MaxiM</f>
        <v>8.2994972551701084E-3</v>
      </c>
      <c r="AE41" s="305">
        <f t="shared" si="15"/>
        <v>0.7</v>
      </c>
      <c r="AF41" s="177">
        <f t="shared" si="23"/>
        <v>1.3657553926607058E-3</v>
      </c>
      <c r="AG41" s="919">
        <f t="shared" si="24"/>
        <v>2</v>
      </c>
      <c r="AH41" s="176">
        <f t="shared" si="16"/>
        <v>8</v>
      </c>
      <c r="AI41" s="225">
        <f t="shared" si="17"/>
        <v>2.0013657553926607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1090">
        <f>IF(t&gt;Tmaj,'2025'!Wh/'2025'!Env_an*'2026'!Env_an,0.001*'[3]mon-tableau (2)'!$B$65)</f>
        <v>4.0456948365242615</v>
      </c>
      <c r="C42" s="953"/>
      <c r="D42" s="393">
        <f t="shared" si="0"/>
        <v>4.3022342882775755</v>
      </c>
      <c r="E42" s="385">
        <f t="shared" si="1"/>
        <v>4.4878902364661624</v>
      </c>
      <c r="F42" s="385">
        <f t="shared" si="2"/>
        <v>4.4878902364661624</v>
      </c>
      <c r="G42" s="110">
        <f t="shared" si="21"/>
        <v>0.12597441266305126</v>
      </c>
      <c r="H42" s="412" t="b">
        <f>Wh_hp&gt;='2025'!Maxi_hp</f>
        <v>0</v>
      </c>
      <c r="I42" s="390">
        <f>IF(H42,Wh_hp,'2025'!Maxi_hp)</f>
        <v>17.427879917759782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5.9629354089877018E-2</v>
      </c>
      <c r="M42" s="957"/>
      <c r="N42" s="957"/>
      <c r="O42" s="48">
        <f>IF(t&lt;Tnet,'2025'!Resal+('2025'!Salim-'2025'!Resal)*(1-EXP(('2025'!Tnet-t)/('2025'!Tau_j))),Resal+(Salim-Resal)*(1-EXP((Tnet-t)/(Tau_j))))*Salcycl</f>
        <v>4.1368201628472899E-2</v>
      </c>
      <c r="P42" s="169">
        <f>(INDEX(Models!$BJ42:$BT42,,T42)*(1-R42)+INDEX(Models!$BJ42:$BT42,,T42+1)*R42-ERP_i)*Q42*Ramure*Pc/MaxiM</f>
        <v>1.6205806088232625E-4</v>
      </c>
      <c r="Q42" s="305">
        <f t="shared" si="4"/>
        <v>0.7</v>
      </c>
      <c r="R42" s="177">
        <f t="shared" si="5"/>
        <v>0.4764627722845276</v>
      </c>
      <c r="S42" s="919">
        <f t="shared" si="6"/>
        <v>-2</v>
      </c>
      <c r="T42" s="176">
        <f t="shared" si="7"/>
        <v>4</v>
      </c>
      <c r="U42" s="251">
        <f t="shared" si="8"/>
        <v>-1.5235372277154724</v>
      </c>
      <c r="V42" s="383">
        <f t="shared" si="9"/>
        <v>32.110006417601319</v>
      </c>
      <c r="W42" s="402">
        <f t="shared" si="10"/>
        <v>4.0456948365242615</v>
      </c>
      <c r="X42" s="157">
        <f t="shared" si="11"/>
        <v>46050</v>
      </c>
      <c r="Y42" s="385">
        <f t="shared" si="12"/>
        <v>3.9113778974329474</v>
      </c>
      <c r="Z42" s="385">
        <f t="shared" si="22"/>
        <v>4.1594002475985219</v>
      </c>
      <c r="AA42" s="386">
        <f t="shared" si="13"/>
        <v>4.4878902364661624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7.3194746653674689E-2</v>
      </c>
      <c r="AD42" s="231">
        <f>(INDEX(Models!$BJ42:$BT42,,AH42)*(1-AF42)+INDEX(Models!$BJ42:$BT42,,AH42+1)*AF42-ERP_i)*AE42*Ramure*Pc/MaxiM</f>
        <v>7.9381284172869056E-3</v>
      </c>
      <c r="AE42" s="305">
        <f t="shared" si="15"/>
        <v>0.7</v>
      </c>
      <c r="AF42" s="177">
        <f t="shared" si="23"/>
        <v>1.4503386585067446E-3</v>
      </c>
      <c r="AG42" s="919">
        <f t="shared" si="24"/>
        <v>2</v>
      </c>
      <c r="AH42" s="176">
        <f t="shared" si="16"/>
        <v>8</v>
      </c>
      <c r="AI42" s="225">
        <f t="shared" si="17"/>
        <v>2.0014503386585067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1090">
        <f>IF(t&gt;Tmaj,'2025'!Wh/'2025'!Env_an*'2026'!Env_an,0.001*'[3]mon-tableau (2)'!$B$66)</f>
        <v>6.0141846273388913</v>
      </c>
      <c r="C43" s="953"/>
      <c r="D43" s="393">
        <f t="shared" si="0"/>
        <v>6.3956870436779409</v>
      </c>
      <c r="E43" s="385">
        <f t="shared" si="1"/>
        <v>6.6724145028251041</v>
      </c>
      <c r="F43" s="385">
        <f t="shared" si="2"/>
        <v>6.6724145028251041</v>
      </c>
      <c r="G43" s="110">
        <f t="shared" si="21"/>
        <v>0.18549443439434771</v>
      </c>
      <c r="H43" s="412" t="b">
        <f>Wh_hp&gt;='2025'!Maxi_hp</f>
        <v>0</v>
      </c>
      <c r="I43" s="390">
        <f>IF(H43,Wh_hp,'2025'!Maxi_hp)</f>
        <v>22.511927090396647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5.9649950620420111E-2</v>
      </c>
      <c r="M43" s="957"/>
      <c r="N43" s="957"/>
      <c r="O43" s="48">
        <f>IF(t&lt;Tnet,'2025'!Resal+('2025'!Salim-'2025'!Resal)*(1-EXP(('2025'!Tnet-t)/('2025'!Tau_j))),Resal+(Salim-Resal)*(1-EXP((Tnet-t)/(Tau_j))))*Salcycl</f>
        <v>4.1473361558997349E-2</v>
      </c>
      <c r="P43" s="169">
        <f>(INDEX(Models!$BJ43:$BT43,,T43)*(1-R43)+INDEX(Models!$BJ43:$BT43,,T43+1)*R43-ERP_i)*Q43*Ramure*Pc/MaxiM</f>
        <v>1.5945809139357187E-4</v>
      </c>
      <c r="Q43" s="305">
        <f t="shared" si="4"/>
        <v>0.7</v>
      </c>
      <c r="R43" s="177">
        <f t="shared" si="5"/>
        <v>0.47655087347981273</v>
      </c>
      <c r="S43" s="919">
        <f t="shared" si="6"/>
        <v>-2</v>
      </c>
      <c r="T43" s="176">
        <f t="shared" si="7"/>
        <v>4</v>
      </c>
      <c r="U43" s="251">
        <f t="shared" si="8"/>
        <v>-1.5234491265201873</v>
      </c>
      <c r="V43" s="383">
        <f t="shared" si="9"/>
        <v>32.417283227771918</v>
      </c>
      <c r="W43" s="402">
        <f t="shared" si="10"/>
        <v>6.0141846273388913</v>
      </c>
      <c r="X43" s="157">
        <f t="shared" si="11"/>
        <v>46051</v>
      </c>
      <c r="Y43" s="385">
        <f t="shared" si="12"/>
        <v>5.8147053468947227</v>
      </c>
      <c r="Z43" s="385">
        <f t="shared" si="22"/>
        <v>6.1835540400419227</v>
      </c>
      <c r="AA43" s="386">
        <f t="shared" si="13"/>
        <v>6.6724145028251041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7.3265901357926363E-2</v>
      </c>
      <c r="AD43" s="231">
        <f>(INDEX(Models!$BJ43:$BT43,,AH43)*(1-AF43)+INDEX(Models!$BJ43:$BT43,,AH43+1)*AF43-ERP_i)*AE43*Ramure*Pc/MaxiM</f>
        <v>7.5640457251358916E-3</v>
      </c>
      <c r="AE43" s="305">
        <f t="shared" si="15"/>
        <v>0.7</v>
      </c>
      <c r="AF43" s="177">
        <f t="shared" si="23"/>
        <v>1.5384398537920951E-3</v>
      </c>
      <c r="AG43" s="919">
        <f t="shared" si="24"/>
        <v>2</v>
      </c>
      <c r="AH43" s="176">
        <f t="shared" si="16"/>
        <v>8</v>
      </c>
      <c r="AI43" s="225">
        <f t="shared" si="17"/>
        <v>2.0015384398537921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1090">
        <f>IF(t&gt;Tmaj,'2025'!Wh/'2025'!Env_an*'2026'!Env_an,0.001*'[3]mon-tableau (2)'!$B$67)</f>
        <v>4.9312868225552533</v>
      </c>
      <c r="C44" s="953"/>
      <c r="D44" s="393">
        <f t="shared" si="0"/>
        <v>5.2442118081578197</v>
      </c>
      <c r="E44" s="385">
        <f t="shared" si="1"/>
        <v>5.471717470577838</v>
      </c>
      <c r="F44" s="385">
        <f t="shared" si="2"/>
        <v>5.471717470577838</v>
      </c>
      <c r="G44" s="110">
        <f t="shared" si="21"/>
        <v>0.15065387267549127</v>
      </c>
      <c r="H44" s="412" t="b">
        <f>Wh_hp&gt;='2025'!Maxi_hp</f>
        <v>0</v>
      </c>
      <c r="I44" s="390">
        <f>IF(H44,Wh_hp,'2025'!Maxi_hp)</f>
        <v>10.423685229998675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5.9670546699846283E-2</v>
      </c>
      <c r="M44" s="957"/>
      <c r="N44" s="957"/>
      <c r="O44" s="48">
        <f>IF(t&lt;Tnet,'2025'!Resal+('2025'!Salim-'2025'!Resal)*(1-EXP(('2025'!Tnet-t)/('2025'!Tau_j))),Resal+(Salim-Resal)*(1-EXP((Tnet-t)/(Tau_j))))*Salcycl</f>
        <v>4.1578473969708117E-2</v>
      </c>
      <c r="P44" s="169">
        <f>(INDEX(Models!$BJ44:$BT44,,T44)*(1-R44)+INDEX(Models!$BJ44:$BT44,,T44+1)*R44-ERP_i)*Q44*Ramure*Pc/MaxiM</f>
        <v>1.5706127762124425E-4</v>
      </c>
      <c r="Q44" s="305">
        <f t="shared" si="4"/>
        <v>0.7</v>
      </c>
      <c r="R44" s="177">
        <f t="shared" si="5"/>
        <v>0.47664263759280634</v>
      </c>
      <c r="S44" s="919">
        <f t="shared" si="6"/>
        <v>-2</v>
      </c>
      <c r="T44" s="176">
        <f t="shared" si="7"/>
        <v>4</v>
      </c>
      <c r="U44" s="251">
        <f t="shared" si="8"/>
        <v>-1.5233573624071937</v>
      </c>
      <c r="V44" s="383">
        <f t="shared" si="9"/>
        <v>32.727418291907561</v>
      </c>
      <c r="W44" s="402">
        <f t="shared" si="10"/>
        <v>4.9312868225552533</v>
      </c>
      <c r="X44" s="157">
        <f t="shared" si="11"/>
        <v>46052</v>
      </c>
      <c r="Y44" s="385">
        <f t="shared" si="12"/>
        <v>4.7678818247735846</v>
      </c>
      <c r="Z44" s="385">
        <f t="shared" si="22"/>
        <v>5.0704376089043697</v>
      </c>
      <c r="AA44" s="386">
        <f t="shared" si="13"/>
        <v>5.471717470577838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7.3337094583410908E-2</v>
      </c>
      <c r="AD44" s="231">
        <f>(INDEX(Models!$BJ44:$BT44,,AH44)*(1-AF44)+INDEX(Models!$BJ44:$BT44,,AH44+1)*AF44-ERP_i)*AE44*Ramure*Pc/MaxiM</f>
        <v>7.1908233828852138E-3</v>
      </c>
      <c r="AE44" s="305">
        <f t="shared" si="15"/>
        <v>0.7</v>
      </c>
      <c r="AF44" s="177">
        <f t="shared" si="23"/>
        <v>1.6302039667852597E-3</v>
      </c>
      <c r="AG44" s="919">
        <f t="shared" si="24"/>
        <v>2</v>
      </c>
      <c r="AH44" s="176">
        <f t="shared" si="16"/>
        <v>8</v>
      </c>
      <c r="AI44" s="225">
        <f t="shared" si="17"/>
        <v>2.0016302039667853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1090">
        <f>IF(t&gt;Tmaj,'2025'!Wh/'2025'!Env_an*'2026'!Env_an,0.001*'[3]mon-tableau (2)'!$B$68)</f>
        <v>6.7661125192716449</v>
      </c>
      <c r="C45" s="953"/>
      <c r="D45" s="393">
        <f t="shared" si="0"/>
        <v>7.1956277600364817</v>
      </c>
      <c r="E45" s="385">
        <f t="shared" si="1"/>
        <v>7.5086133329900493</v>
      </c>
      <c r="F45" s="385">
        <f t="shared" si="2"/>
        <v>7.5086133329900493</v>
      </c>
      <c r="G45" s="110">
        <f t="shared" si="21"/>
        <v>0.20475784443934192</v>
      </c>
      <c r="H45" s="412" t="b">
        <f>Wh_hp&gt;='2025'!Maxi_hp</f>
        <v>0</v>
      </c>
      <c r="I45" s="390">
        <f>IF(H45,Wh_hp,'2025'!Maxi_hp)</f>
        <v>26.210661022055326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5.9691142328165525E-2</v>
      </c>
      <c r="M45" s="957"/>
      <c r="N45" s="957"/>
      <c r="O45" s="48">
        <f>IF(t&lt;Tnet,'2025'!Resal+('2025'!Salim-'2025'!Resal)*(1-EXP(('2025'!Tnet-t)/('2025'!Tau_j))),Resal+(Salim-Resal)*(1-EXP((Tnet-t)/(Tau_j))))*Salcycl</f>
        <v>4.1683538500834207E-2</v>
      </c>
      <c r="P45" s="169">
        <f>(INDEX(Models!$BJ45:$BT45,,T45)*(1-R45)+INDEX(Models!$BJ45:$BT45,,T45+1)*R45-ERP_i)*Q45*Ramure*Pc/MaxiM</f>
        <v>1.5490179957942292E-4</v>
      </c>
      <c r="Q45" s="305">
        <f t="shared" si="4"/>
        <v>0.7</v>
      </c>
      <c r="R45" s="177">
        <f t="shared" si="5"/>
        <v>0.47673821547423634</v>
      </c>
      <c r="S45" s="919">
        <f t="shared" si="6"/>
        <v>-2</v>
      </c>
      <c r="T45" s="176">
        <f t="shared" si="7"/>
        <v>4</v>
      </c>
      <c r="U45" s="251">
        <f t="shared" si="8"/>
        <v>-1.5232617845257637</v>
      </c>
      <c r="V45" s="383">
        <f t="shared" si="9"/>
        <v>33.039341934810984</v>
      </c>
      <c r="W45" s="402">
        <f t="shared" si="10"/>
        <v>6.7661125192716449</v>
      </c>
      <c r="X45" s="157">
        <f t="shared" si="11"/>
        <v>46053</v>
      </c>
      <c r="Y45" s="385">
        <f t="shared" si="12"/>
        <v>6.5421223407217495</v>
      </c>
      <c r="Z45" s="385">
        <f t="shared" si="22"/>
        <v>6.9574186049036824</v>
      </c>
      <c r="AA45" s="386">
        <f t="shared" si="13"/>
        <v>7.5086133329900493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7.3408325031816837E-2</v>
      </c>
      <c r="AD45" s="231">
        <f>(INDEX(Models!$BJ45:$BT45,,AH45)*(1-AF45)+INDEX(Models!$BJ45:$BT45,,AH45+1)*AF45-ERP_i)*AE45*Ramure*Pc/MaxiM</f>
        <v>6.8301778655170068E-3</v>
      </c>
      <c r="AE45" s="305">
        <f t="shared" si="15"/>
        <v>0.7</v>
      </c>
      <c r="AF45" s="177">
        <f t="shared" si="23"/>
        <v>1.7257818482154796E-3</v>
      </c>
      <c r="AG45" s="919">
        <f t="shared" si="24"/>
        <v>2</v>
      </c>
      <c r="AH45" s="176">
        <f t="shared" si="16"/>
        <v>8</v>
      </c>
      <c r="AI45" s="225">
        <f t="shared" si="17"/>
        <v>2.0017257818482155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1090">
        <f>IF(t&gt;Tmaj,'2025'!Wh/'2025'!Env_an*'2026'!Env_an,0.001*'[4]mon-tableau'!$B$35)</f>
        <v>13.997530032840785</v>
      </c>
      <c r="C46" s="953"/>
      <c r="D46" s="393">
        <f t="shared" si="0"/>
        <v>14.886424292593983</v>
      </c>
      <c r="E46" s="385">
        <f t="shared" si="1"/>
        <v>15.535636064293488</v>
      </c>
      <c r="F46" s="385">
        <f t="shared" si="2"/>
        <v>15.536042446061307</v>
      </c>
      <c r="G46" s="110">
        <f t="shared" si="21"/>
        <v>0.41963782086177681</v>
      </c>
      <c r="H46" s="412" t="b">
        <f>Wh_hp&gt;='2025'!Maxi_hp</f>
        <v>0</v>
      </c>
      <c r="I46" s="390">
        <f>IF(H46,Wh_hp,'2025'!Maxi_hp)</f>
        <v>29.47119267155292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5.9711737505387608E-2</v>
      </c>
      <c r="M46" s="957"/>
      <c r="N46" s="957"/>
      <c r="O46" s="48">
        <f>IF(t&lt;Tnet,'2025'!Resal+('2025'!Salim-'2025'!Resal)*(1-EXP(('2025'!Tnet-t)/('2025'!Tau_j))),Resal+(Salim-Resal)*(1-EXP((Tnet-t)/(Tau_j))))*Salcycl</f>
        <v>4.1788554328433876E-2</v>
      </c>
      <c r="P46" s="169">
        <f>(INDEX(Models!$BJ46:$BT46,,T46)*(1-R46)+INDEX(Models!$BJ46:$BT46,,T46+1)*R46-ERP_i)*Q46*Ramure*Pc/MaxiM</f>
        <v>1.5297842553009704E-4</v>
      </c>
      <c r="Q46" s="305">
        <f t="shared" si="4"/>
        <v>0.7</v>
      </c>
      <c r="R46" s="177">
        <f t="shared" si="5"/>
        <v>0.47683776406467682</v>
      </c>
      <c r="S46" s="919">
        <f t="shared" si="6"/>
        <v>-2</v>
      </c>
      <c r="T46" s="176">
        <f t="shared" si="7"/>
        <v>4</v>
      </c>
      <c r="U46" s="251">
        <f t="shared" si="8"/>
        <v>-1.5231622359353232</v>
      </c>
      <c r="V46" s="383">
        <f t="shared" si="9"/>
        <v>33.351986186352867</v>
      </c>
      <c r="W46" s="402">
        <f t="shared" si="10"/>
        <v>13.997530032840785</v>
      </c>
      <c r="X46" s="157">
        <f t="shared" si="11"/>
        <v>46054</v>
      </c>
      <c r="Y46" s="385">
        <f t="shared" si="12"/>
        <v>13.519940830160957</v>
      </c>
      <c r="Z46" s="385">
        <f t="shared" si="22"/>
        <v>14.378506431944771</v>
      </c>
      <c r="AA46" s="386">
        <f t="shared" si="13"/>
        <v>15.518823207860105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7.3479590600515121E-2</v>
      </c>
      <c r="AD46" s="231">
        <f>(INDEX(Models!$BJ46:$BT46,,AH46)*(1-AF46)+INDEX(Models!$BJ46:$BT46,,AH46+1)*AF46-ERP_i)*AE46*Ramure*Pc/MaxiM</f>
        <v>6.4820131153824892E-3</v>
      </c>
      <c r="AE46" s="305">
        <f t="shared" si="15"/>
        <v>0.7</v>
      </c>
      <c r="AF46" s="177">
        <f t="shared" si="23"/>
        <v>1.8253304386557367E-3</v>
      </c>
      <c r="AG46" s="919">
        <f t="shared" si="24"/>
        <v>2</v>
      </c>
      <c r="AH46" s="176">
        <f t="shared" si="16"/>
        <v>8</v>
      </c>
      <c r="AI46" s="225">
        <f t="shared" si="17"/>
        <v>2.0018253304386557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1090">
        <f>IF(t&gt;Tmaj,'2025'!Wh/'2025'!Env_an*'2026'!Env_an,0.001*'[4]mon-tableau'!$B$36)</f>
        <v>5.2673374206293131</v>
      </c>
      <c r="C47" s="953"/>
      <c r="D47" s="393">
        <f t="shared" si="0"/>
        <v>5.6019552742148431</v>
      </c>
      <c r="E47" s="385">
        <f t="shared" si="1"/>
        <v>5.8469026064432796</v>
      </c>
      <c r="F47" s="385">
        <f t="shared" si="2"/>
        <v>5.8469026064432796</v>
      </c>
      <c r="G47" s="110">
        <f t="shared" si="21"/>
        <v>0.15644297026146461</v>
      </c>
      <c r="H47" s="412" t="b">
        <f>Wh_hp&gt;='2025'!Maxi_hp</f>
        <v>0</v>
      </c>
      <c r="I47" s="390">
        <f>IF(H47,Wh_hp,'2025'!Maxi_hp)</f>
        <v>31.55257955620117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5.9732332231522411E-2</v>
      </c>
      <c r="M47" s="957"/>
      <c r="N47" s="957"/>
      <c r="O47" s="48">
        <f>IF(t&lt;Tnet,'2025'!Resal+('2025'!Salim-'2025'!Resal)*(1-EXP(('2025'!Tnet-t)/('2025'!Tau_j))),Resal+(Salim-Resal)*(1-EXP((Tnet-t)/(Tau_j))))*Salcycl</f>
        <v>4.1893520162026424E-2</v>
      </c>
      <c r="P47" s="169">
        <f>(INDEX(Models!$BJ47:$BT47,,T47)*(1-R47)+INDEX(Models!$BJ47:$BT47,,T47+1)*R47-ERP_i)*Q47*Ramure*Pc/MaxiM</f>
        <v>1.5128967376121547E-4</v>
      </c>
      <c r="Q47" s="305">
        <f t="shared" si="4"/>
        <v>0.7</v>
      </c>
      <c r="R47" s="177">
        <f t="shared" si="5"/>
        <v>0.47694144662992155</v>
      </c>
      <c r="S47" s="919">
        <f t="shared" si="6"/>
        <v>-2</v>
      </c>
      <c r="T47" s="176">
        <f t="shared" si="7"/>
        <v>4</v>
      </c>
      <c r="U47" s="251">
        <f t="shared" si="8"/>
        <v>-1.5230585533700784</v>
      </c>
      <c r="V47" s="383">
        <f t="shared" si="9"/>
        <v>33.66428365600153</v>
      </c>
      <c r="W47" s="402">
        <f t="shared" si="10"/>
        <v>5.2673374206293131</v>
      </c>
      <c r="X47" s="157">
        <f t="shared" si="11"/>
        <v>46055</v>
      </c>
      <c r="Y47" s="385">
        <f t="shared" si="12"/>
        <v>5.0932961801347663</v>
      </c>
      <c r="Z47" s="385">
        <f t="shared" si="22"/>
        <v>5.4168577254417407</v>
      </c>
      <c r="AA47" s="386">
        <f t="shared" si="13"/>
        <v>5.8469026064432796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7.3550888384497901E-2</v>
      </c>
      <c r="AD47" s="231">
        <f>(INDEX(Models!$BJ47:$BT47,,AH47)*(1-AF47)+INDEX(Models!$BJ47:$BT47,,AH47+1)*AF47-ERP_i)*AE47*Ramure*Pc/MaxiM</f>
        <v>6.1461879370390757E-3</v>
      </c>
      <c r="AE47" s="305">
        <f t="shared" si="15"/>
        <v>0.7</v>
      </c>
      <c r="AF47" s="177">
        <f t="shared" si="23"/>
        <v>1.9290130039006925E-3</v>
      </c>
      <c r="AG47" s="919">
        <f t="shared" si="24"/>
        <v>2</v>
      </c>
      <c r="AH47" s="176">
        <f t="shared" si="16"/>
        <v>8</v>
      </c>
      <c r="AI47" s="225">
        <f t="shared" si="17"/>
        <v>2.0019290130039007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1090">
        <f>IF(t&gt;Tmaj,'2025'!Wh/'2025'!Env_an*'2026'!Env_an,0.001*'[4]mon-tableau'!$B$37)</f>
        <v>11.52055576300938</v>
      </c>
      <c r="C48" s="953"/>
      <c r="D48" s="393">
        <f t="shared" si="0"/>
        <v>12.252689838433197</v>
      </c>
      <c r="E48" s="385">
        <f t="shared" si="1"/>
        <v>12.789843228326106</v>
      </c>
      <c r="F48" s="385">
        <f t="shared" si="2"/>
        <v>12.789950237046213</v>
      </c>
      <c r="G48" s="110">
        <f t="shared" si="21"/>
        <v>0.33903956343694608</v>
      </c>
      <c r="H48" s="412" t="b">
        <f>Wh_hp&gt;='2025'!Maxi_hp</f>
        <v>0</v>
      </c>
      <c r="I48" s="390">
        <f>IF(H48,Wh_hp,'2025'!Maxi_hp)</f>
        <v>28.70079034414249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5.9752926506579929E-2</v>
      </c>
      <c r="M48" s="957"/>
      <c r="N48" s="957"/>
      <c r="O48" s="48">
        <f>IF(t&lt;Tnet,'2025'!Resal+('2025'!Salim-'2025'!Resal)*(1-EXP(('2025'!Tnet-t)/('2025'!Tau_j))),Resal+(Salim-Resal)*(1-EXP((Tnet-t)/(Tau_j))))*Salcycl</f>
        <v>4.1998434250019333E-2</v>
      </c>
      <c r="P48" s="169">
        <f>(INDEX(Models!$BJ48:$BT48,,T48)*(1-R48)+INDEX(Models!$BJ48:$BT48,,T48+1)*R48-ERP_i)*Q48*Ramure*Pc/MaxiM</f>
        <v>1.4983390110532422E-4</v>
      </c>
      <c r="Q48" s="305">
        <f t="shared" si="4"/>
        <v>0.7</v>
      </c>
      <c r="R48" s="177">
        <f t="shared" si="5"/>
        <v>0.47704943300455471</v>
      </c>
      <c r="S48" s="919">
        <f t="shared" si="6"/>
        <v>-2</v>
      </c>
      <c r="T48" s="176">
        <f t="shared" si="7"/>
        <v>4</v>
      </c>
      <c r="U48" s="251">
        <f t="shared" si="8"/>
        <v>-1.5229505669954453</v>
      </c>
      <c r="V48" s="383">
        <f t="shared" si="9"/>
        <v>33.975167531960281</v>
      </c>
      <c r="W48" s="402">
        <f t="shared" si="10"/>
        <v>11.52055576300938</v>
      </c>
      <c r="X48" s="157">
        <f t="shared" si="11"/>
        <v>46056</v>
      </c>
      <c r="Y48" s="385">
        <f t="shared" si="12"/>
        <v>11.136731619583342</v>
      </c>
      <c r="Z48" s="385">
        <f t="shared" si="22"/>
        <v>11.844473578849462</v>
      </c>
      <c r="AA48" s="386">
        <f t="shared" si="13"/>
        <v>12.7857918947293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7.3622214691909604E-2</v>
      </c>
      <c r="AD48" s="231">
        <f>(INDEX(Models!$BJ48:$BT48,,AH48)*(1-AF48)+INDEX(Models!$BJ48:$BT48,,AH48+1)*AF48-ERP_i)*AE48*Ramure*Pc/MaxiM</f>
        <v>5.8225222285564404E-3</v>
      </c>
      <c r="AE48" s="305">
        <f t="shared" si="15"/>
        <v>0.7</v>
      </c>
      <c r="AF48" s="177">
        <f t="shared" si="23"/>
        <v>2.0369993785336327E-3</v>
      </c>
      <c r="AG48" s="919">
        <f t="shared" si="24"/>
        <v>2</v>
      </c>
      <c r="AH48" s="176">
        <f t="shared" si="16"/>
        <v>8</v>
      </c>
      <c r="AI48" s="225">
        <f t="shared" si="17"/>
        <v>2.0020369993785336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1090">
        <f>IF(t&gt;Tmaj,'2025'!Wh/'2025'!Env_an*'2026'!Env_an,0.001*'[4]mon-tableau'!$B$38)</f>
        <v>11.048441169915884</v>
      </c>
      <c r="C49" s="953"/>
      <c r="D49" s="393">
        <f t="shared" si="0"/>
        <v>11.750829623305606</v>
      </c>
      <c r="E49" s="385">
        <f t="shared" si="1"/>
        <v>12.267324393663792</v>
      </c>
      <c r="F49" s="385">
        <f t="shared" si="2"/>
        <v>12.26738238310943</v>
      </c>
      <c r="G49" s="110">
        <f t="shared" si="21"/>
        <v>0.32221997236726041</v>
      </c>
      <c r="H49" s="412" t="b">
        <f>Wh_hp&gt;='2025'!Maxi_hp</f>
        <v>0</v>
      </c>
      <c r="I49" s="390">
        <f>IF(H49,Wh_hp,'2025'!Maxi_hp)</f>
        <v>29.923583051666235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5.9773520330569929E-2</v>
      </c>
      <c r="M49" s="957"/>
      <c r="N49" s="957"/>
      <c r="O49" s="48">
        <f>IF(t&lt;Tnet,'2025'!Resal+('2025'!Salim-'2025'!Resal)*(1-EXP(('2025'!Tnet-t)/('2025'!Tau_j))),Resal+(Salim-Resal)*(1-EXP((Tnet-t)/(Tau_j))))*Salcycl</f>
        <v>4.2103294392782251E-2</v>
      </c>
      <c r="P49" s="169">
        <f>(INDEX(Models!$BJ49:$BT49,,T49)*(1-R49)+INDEX(Models!$BJ49:$BT49,,T49+1)*R49-ERP_i)*Q49*Ramure*Pc/MaxiM</f>
        <v>1.486093855586401E-4</v>
      </c>
      <c r="Q49" s="305">
        <f t="shared" si="4"/>
        <v>0.7</v>
      </c>
      <c r="R49" s="177">
        <f t="shared" si="5"/>
        <v>0.47716189984392066</v>
      </c>
      <c r="S49" s="919">
        <f t="shared" si="6"/>
        <v>-2</v>
      </c>
      <c r="T49" s="176">
        <f t="shared" si="7"/>
        <v>4</v>
      </c>
      <c r="U49" s="251">
        <f t="shared" si="8"/>
        <v>-1.5228381001560793</v>
      </c>
      <c r="V49" s="383">
        <f t="shared" si="9"/>
        <v>34.283571581699483</v>
      </c>
      <c r="W49" s="402">
        <f t="shared" si="10"/>
        <v>11.048441169915884</v>
      </c>
      <c r="X49" s="157">
        <f t="shared" si="11"/>
        <v>46057</v>
      </c>
      <c r="Y49" s="385">
        <f t="shared" si="12"/>
        <v>10.682254638110843</v>
      </c>
      <c r="Z49" s="385">
        <f t="shared" si="22"/>
        <v>11.361363319470184</v>
      </c>
      <c r="AA49" s="386">
        <f t="shared" si="13"/>
        <v>12.265231991357895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7.3693565072766573E-2</v>
      </c>
      <c r="AD49" s="231">
        <f>(INDEX(Models!$BJ49:$BT49,,AH49)*(1-AF49)+INDEX(Models!$BJ49:$BT49,,AH49+1)*AF49-ERP_i)*AE49*Ramure*Pc/MaxiM</f>
        <v>5.5108027571062358E-3</v>
      </c>
      <c r="AE49" s="305">
        <f t="shared" si="15"/>
        <v>0.7</v>
      </c>
      <c r="AF49" s="177">
        <f t="shared" si="23"/>
        <v>2.149466217899576E-3</v>
      </c>
      <c r="AG49" s="919">
        <f t="shared" si="24"/>
        <v>2</v>
      </c>
      <c r="AH49" s="176">
        <f t="shared" si="16"/>
        <v>8</v>
      </c>
      <c r="AI49" s="225">
        <f t="shared" si="17"/>
        <v>2.0021494662178996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1090">
        <f>IF(t&gt;Tmaj,'2025'!Wh/'2025'!Env_an*'2026'!Env_an,0.001*'[4]mon-tableau'!$B$39)</f>
        <v>10.438012215769902</v>
      </c>
      <c r="C50" s="953"/>
      <c r="D50" s="393">
        <f t="shared" si="0"/>
        <v>11.101836701837275</v>
      </c>
      <c r="E50" s="385">
        <f t="shared" si="1"/>
        <v>11.591073883823727</v>
      </c>
      <c r="F50" s="385">
        <f t="shared" si="2"/>
        <v>11.591078228725236</v>
      </c>
      <c r="G50" s="110">
        <f t="shared" si="21"/>
        <v>0.30173313103511634</v>
      </c>
      <c r="H50" s="412" t="b">
        <f>Wh_hp&gt;='2025'!Maxi_hp</f>
        <v>0</v>
      </c>
      <c r="I50" s="390">
        <f>IF(H50,Wh_hp,'2025'!Maxi_hp)</f>
        <v>37.591562892350396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5.9794113703502294E-2</v>
      </c>
      <c r="M50" s="957"/>
      <c r="N50" s="957"/>
      <c r="O50" s="48">
        <f>IF(t&lt;Tnet,'2025'!Resal+('2025'!Salim-'2025'!Resal)*(1-EXP(('2025'!Tnet-t)/('2025'!Tau_j))),Resal+(Salim-Resal)*(1-EXP((Tnet-t)/(Tau_j))))*Salcycl</f>
        <v>4.2208097963142288E-2</v>
      </c>
      <c r="P50" s="169">
        <f>(INDEX(Models!$BJ50:$BT50,,T50)*(1-R50)+INDEX(Models!$BJ50:$BT50,,T50+1)*R50-ERP_i)*Q50*Ramure*Pc/MaxiM</f>
        <v>1.4761440330431067E-4</v>
      </c>
      <c r="Q50" s="305">
        <f t="shared" si="4"/>
        <v>0.7</v>
      </c>
      <c r="R50" s="177">
        <f t="shared" si="5"/>
        <v>0.47727903088470147</v>
      </c>
      <c r="S50" s="919">
        <f t="shared" si="6"/>
        <v>-2</v>
      </c>
      <c r="T50" s="176">
        <f t="shared" si="7"/>
        <v>4</v>
      </c>
      <c r="U50" s="251">
        <f t="shared" si="8"/>
        <v>-1.5227209691152985</v>
      </c>
      <c r="V50" s="383">
        <f t="shared" si="9"/>
        <v>34.588430150583591</v>
      </c>
      <c r="W50" s="402">
        <f t="shared" si="10"/>
        <v>10.438012215769902</v>
      </c>
      <c r="X50" s="157">
        <f t="shared" si="11"/>
        <v>46058</v>
      </c>
      <c r="Y50" s="385">
        <f t="shared" si="12"/>
        <v>10.093976159153684</v>
      </c>
      <c r="Z50" s="385">
        <f t="shared" si="22"/>
        <v>10.735921042692247</v>
      </c>
      <c r="AA50" s="386">
        <f t="shared" si="13"/>
        <v>11.590924853701054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7.3764934360332712E-2</v>
      </c>
      <c r="AD50" s="231">
        <f>(INDEX(Models!$BJ50:$BT50,,AH50)*(1-AF50)+INDEX(Models!$BJ50:$BT50,,AH50+1)*AF50-ERP_i)*AE50*Ramure*Pc/MaxiM</f>
        <v>5.2107884678600849E-3</v>
      </c>
      <c r="AE50" s="305">
        <f t="shared" si="15"/>
        <v>0.7</v>
      </c>
      <c r="AF50" s="177">
        <f t="shared" si="23"/>
        <v>2.2665972586803917E-3</v>
      </c>
      <c r="AG50" s="919">
        <f t="shared" si="24"/>
        <v>2</v>
      </c>
      <c r="AH50" s="176">
        <f t="shared" si="16"/>
        <v>8</v>
      </c>
      <c r="AI50" s="225">
        <f t="shared" si="17"/>
        <v>2.0022665972586804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1090">
        <f>IF(t&gt;Tmaj,'2025'!Wh/'2025'!Env_an*'2026'!Env_an,0.001*'[4]mon-tableau'!$B$40)</f>
        <v>23.033153082863763</v>
      </c>
      <c r="C51" s="953"/>
      <c r="D51" s="393">
        <f t="shared" si="0"/>
        <v>24.498525179213047</v>
      </c>
      <c r="E51" s="385">
        <f t="shared" si="1"/>
        <v>25.580926895466103</v>
      </c>
      <c r="F51" s="385">
        <f t="shared" si="2"/>
        <v>25.582859386476798</v>
      </c>
      <c r="G51" s="110">
        <f t="shared" si="21"/>
        <v>0.66007251085402585</v>
      </c>
      <c r="H51" s="412" t="b">
        <f>Wh_hp&gt;='2025'!Maxi_hp</f>
        <v>0</v>
      </c>
      <c r="I51" s="390">
        <f>IF(H51,Wh_hp,'2025'!Maxi_hp)</f>
        <v>39.747861870771352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5.9814706625387015E-2</v>
      </c>
      <c r="M51" s="957"/>
      <c r="N51" s="957"/>
      <c r="O51" s="48">
        <f>IF(t&lt;Tnet,'2025'!Resal+('2025'!Salim-'2025'!Resal)*(1-EXP(('2025'!Tnet-t)/('2025'!Tau_j))),Resal+(Salim-Resal)*(1-EXP((Tnet-t)/(Tau_j))))*Salcycl</f>
        <v>4.2312841933999659E-2</v>
      </c>
      <c r="P51" s="169">
        <f>(INDEX(Models!$BJ51:$BT51,,T51)*(1-R51)+INDEX(Models!$BJ51:$BT51,,T51+1)*R51-ERP_i)*Q51*Ramure*Pc/MaxiM</f>
        <v>1.4683165975385961E-4</v>
      </c>
      <c r="Q51" s="305">
        <f t="shared" si="4"/>
        <v>0.7</v>
      </c>
      <c r="R51" s="177">
        <f t="shared" si="5"/>
        <v>0.47740101721429551</v>
      </c>
      <c r="S51" s="919">
        <f t="shared" si="6"/>
        <v>-2</v>
      </c>
      <c r="T51" s="176">
        <f t="shared" si="7"/>
        <v>4</v>
      </c>
      <c r="U51" s="251">
        <f t="shared" si="8"/>
        <v>-1.5225989827857045</v>
      </c>
      <c r="V51" s="383">
        <f t="shared" si="9"/>
        <v>34.892395114165666</v>
      </c>
      <c r="W51" s="402">
        <f t="shared" si="10"/>
        <v>23.033153082863763</v>
      </c>
      <c r="X51" s="157">
        <f t="shared" si="11"/>
        <v>46059</v>
      </c>
      <c r="Y51" s="385">
        <f t="shared" si="12"/>
        <v>22.220266242722076</v>
      </c>
      <c r="Z51" s="385">
        <f t="shared" si="22"/>
        <v>23.633922376052848</v>
      </c>
      <c r="AA51" s="386">
        <f t="shared" si="13"/>
        <v>25.518083685238292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7.3836316724495879E-2</v>
      </c>
      <c r="AD51" s="231">
        <f>(INDEX(Models!$BJ51:$BT51,,AH51)*(1-AF51)+INDEX(Models!$BJ51:$BT51,,AH51+1)*AF51-ERP_i)*AE51*Ramure*Pc/MaxiM</f>
        <v>4.9216910567342707E-3</v>
      </c>
      <c r="AE51" s="305">
        <f t="shared" si="15"/>
        <v>0.7</v>
      </c>
      <c r="AF51" s="177">
        <f t="shared" si="23"/>
        <v>2.3885835882748729E-3</v>
      </c>
      <c r="AG51" s="919">
        <f t="shared" si="24"/>
        <v>2</v>
      </c>
      <c r="AH51" s="176">
        <f t="shared" si="16"/>
        <v>8</v>
      </c>
      <c r="AI51" s="225">
        <f t="shared" si="17"/>
        <v>2.0023885835882749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1090">
        <f>IF(t&gt;Tmaj,'2025'!Wh/'2025'!Env_an*'2026'!Env_an,0.001*'[4]mon-tableau'!$B$41)</f>
        <v>9.0707481224372835</v>
      </c>
      <c r="C52" s="953"/>
      <c r="D52" s="393">
        <f t="shared" si="0"/>
        <v>9.6480415758193327</v>
      </c>
      <c r="E52" s="385">
        <f t="shared" si="1"/>
        <v>10.075415754438124</v>
      </c>
      <c r="F52" s="385">
        <f t="shared" si="2"/>
        <v>10.075415754438124</v>
      </c>
      <c r="G52" s="110">
        <f t="shared" si="21"/>
        <v>0.25766496744368778</v>
      </c>
      <c r="H52" s="412" t="b">
        <f>Wh_hp&gt;='2025'!Maxi_hp</f>
        <v>0</v>
      </c>
      <c r="I52" s="390">
        <f>IF(H52,Wh_hp,'2025'!Maxi_hp)</f>
        <v>25.290736794333089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5.9835299096233863E-2</v>
      </c>
      <c r="M52" s="957"/>
      <c r="N52" s="957"/>
      <c r="O52" s="48">
        <f>IF(t&lt;Tnet,'2025'!Resal+('2025'!Salim-'2025'!Resal)*(1-EXP(('2025'!Tnet-t)/('2025'!Tau_j))),Resal+(Salim-Resal)*(1-EXP((Tnet-t)/(Tau_j))))*Salcycl</f>
        <v>4.2417522912693399E-2</v>
      </c>
      <c r="P52" s="169">
        <f>(INDEX(Models!$BJ52:$BT52,,T52)*(1-R52)+INDEX(Models!$BJ52:$BT52,,T52+1)*R52-ERP_i)*Q52*Ramure*Pc/MaxiM</f>
        <v>1.4627533750651429E-4</v>
      </c>
      <c r="Q52" s="305">
        <f t="shared" si="4"/>
        <v>0.7</v>
      </c>
      <c r="R52" s="177">
        <f t="shared" si="5"/>
        <v>0.47752805754919714</v>
      </c>
      <c r="S52" s="919">
        <f t="shared" si="6"/>
        <v>-2</v>
      </c>
      <c r="T52" s="176">
        <f t="shared" si="7"/>
        <v>4</v>
      </c>
      <c r="U52" s="251">
        <f t="shared" si="8"/>
        <v>-1.5224719424508029</v>
      </c>
      <c r="V52" s="383">
        <f t="shared" si="9"/>
        <v>35.198503644762425</v>
      </c>
      <c r="W52" s="402">
        <f t="shared" si="10"/>
        <v>9.0707481224372835</v>
      </c>
      <c r="X52" s="157">
        <f t="shared" si="11"/>
        <v>46060</v>
      </c>
      <c r="Y52" s="385">
        <f t="shared" si="12"/>
        <v>8.7724557835966905</v>
      </c>
      <c r="Z52" s="385">
        <f t="shared" si="22"/>
        <v>9.3307648916874477</v>
      </c>
      <c r="AA52" s="386">
        <f t="shared" si="13"/>
        <v>10.075415754438124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7.3907705736377616E-2</v>
      </c>
      <c r="AD52" s="231">
        <f>(INDEX(Models!$BJ52:$BT52,,AH52)*(1-AF52)+INDEX(Models!$BJ52:$BT52,,AH52+1)*AF52-ERP_i)*AE52*Ramure*Pc/MaxiM</f>
        <v>4.6538019775426605E-3</v>
      </c>
      <c r="AE52" s="305">
        <f t="shared" si="15"/>
        <v>0.7</v>
      </c>
      <c r="AF52" s="177">
        <f t="shared" si="23"/>
        <v>2.515623923176058E-3</v>
      </c>
      <c r="AG52" s="919">
        <f t="shared" si="24"/>
        <v>2</v>
      </c>
      <c r="AH52" s="176">
        <f t="shared" si="16"/>
        <v>8</v>
      </c>
      <c r="AI52" s="225">
        <f t="shared" si="17"/>
        <v>2.0025156239231761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1090">
        <f>IF(t&gt;Tmaj,'2025'!Wh/'2025'!Env_an*'2026'!Env_an,0.001*'[4]mon-tableau'!$B$42)</f>
        <v>35.033498815926798</v>
      </c>
      <c r="C53" s="953"/>
      <c r="D53" s="393">
        <f t="shared" si="0"/>
        <v>37.263966752411342</v>
      </c>
      <c r="E53" s="385">
        <f t="shared" si="1"/>
        <v>38.918880738114986</v>
      </c>
      <c r="F53" s="385">
        <f t="shared" si="2"/>
        <v>38.924448008863976</v>
      </c>
      <c r="G53" s="110">
        <f t="shared" si="21"/>
        <v>0.98668196745332992</v>
      </c>
      <c r="H53" s="412" t="b">
        <f>Wh_hp&gt;='2025'!Maxi_hp</f>
        <v>1</v>
      </c>
      <c r="I53" s="390">
        <f>IF(H53,Wh_hp,'2025'!Maxi_hp)</f>
        <v>38.924448008863976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5.9855891116052717E-2</v>
      </c>
      <c r="M53" s="957"/>
      <c r="N53" s="957"/>
      <c r="O53" s="48">
        <f>IF(t&lt;Tnet,'2025'!Resal+('2025'!Salim-'2025'!Resal)*(1-EXP(('2025'!Tnet-t)/('2025'!Tau_j))),Resal+(Salim-Resal)*(1-EXP((Tnet-t)/(Tau_j))))*Salcycl</f>
        <v>4.2522137181681879E-2</v>
      </c>
      <c r="P53" s="169">
        <f>(INDEX(Models!$BJ53:$BT53,,T53)*(1-R53)+INDEX(Models!$BJ53:$BT53,,T53+1)*R53-ERP_i)*Q53*Ramure*Pc/MaxiM</f>
        <v>1.458010146506915E-4</v>
      </c>
      <c r="Q53" s="305">
        <f t="shared" si="4"/>
        <v>0.7</v>
      </c>
      <c r="R53" s="177">
        <f t="shared" si="5"/>
        <v>0.47766035852256339</v>
      </c>
      <c r="S53" s="919">
        <f t="shared" si="6"/>
        <v>-2</v>
      </c>
      <c r="T53" s="176">
        <f t="shared" si="7"/>
        <v>4</v>
      </c>
      <c r="U53" s="251">
        <f t="shared" si="8"/>
        <v>-1.5223396414774366</v>
      </c>
      <c r="V53" s="383">
        <f t="shared" si="9"/>
        <v>35.50627537094239</v>
      </c>
      <c r="W53" s="402">
        <f t="shared" si="10"/>
        <v>35.033498815926798</v>
      </c>
      <c r="X53" s="157">
        <f t="shared" si="11"/>
        <v>46061</v>
      </c>
      <c r="Y53" s="385">
        <f t="shared" si="12"/>
        <v>33.740651798964642</v>
      </c>
      <c r="Z53" s="385">
        <f t="shared" si="22"/>
        <v>35.888808407275398</v>
      </c>
      <c r="AA53" s="386">
        <f t="shared" si="13"/>
        <v>38.755937573245411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7.3979094443306581E-2</v>
      </c>
      <c r="AD53" s="231">
        <f>(INDEX(Models!$BJ53:$BT53,,AH53)*(1-AF53)+INDEX(Models!$BJ53:$BT53,,AH53+1)*AF53-ERP_i)*AE53*Ramure*Pc/MaxiM</f>
        <v>4.4131125645143314E-3</v>
      </c>
      <c r="AE53" s="305">
        <f t="shared" si="15"/>
        <v>0.7</v>
      </c>
      <c r="AF53" s="177">
        <f t="shared" si="23"/>
        <v>2.6479248965425306E-3</v>
      </c>
      <c r="AG53" s="919">
        <f t="shared" si="24"/>
        <v>2</v>
      </c>
      <c r="AH53" s="176">
        <f t="shared" si="16"/>
        <v>8</v>
      </c>
      <c r="AI53" s="225">
        <f t="shared" si="17"/>
        <v>2.0026479248965425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1090">
        <f>IF(t&gt;Tmaj,'2025'!Wh/'2025'!Env_an*'2026'!Env_an,0.001*'[4]mon-tableau'!$B$43)</f>
        <v>35.110369128068413</v>
      </c>
      <c r="C54" s="953"/>
      <c r="D54" s="393">
        <f t="shared" si="0"/>
        <v>37.346549130414722</v>
      </c>
      <c r="E54" s="385">
        <f t="shared" si="1"/>
        <v>39.009389941510371</v>
      </c>
      <c r="F54" s="385">
        <f t="shared" si="2"/>
        <v>39.014903551868542</v>
      </c>
      <c r="G54" s="110">
        <f t="shared" si="21"/>
        <v>0.98031564465901266</v>
      </c>
      <c r="H54" s="412" t="b">
        <f>Wh_hp&gt;='2025'!Maxi_hp</f>
        <v>1</v>
      </c>
      <c r="I54" s="390">
        <f>IF(H54,Wh_hp,'2025'!Maxi_hp)</f>
        <v>39.014903551868542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5.9876482684853571E-2</v>
      </c>
      <c r="M54" s="957"/>
      <c r="N54" s="957"/>
      <c r="O54" s="48">
        <f>IF(t&lt;Tnet,'2025'!Resal+('2025'!Salim-'2025'!Resal)*(1-EXP(('2025'!Tnet-t)/('2025'!Tau_j))),Resal+(Salim-Resal)*(1-EXP((Tnet-t)/(Tau_j))))*Salcycl</f>
        <v>4.262668074504284E-2</v>
      </c>
      <c r="P54" s="169">
        <f>(INDEX(Models!$BJ54:$BT54,,T54)*(1-R54)+INDEX(Models!$BJ54:$BT54,,T54+1)*R54-ERP_i)*Q54*Ramure*Pc/MaxiM</f>
        <v>1.4540875536855086E-4</v>
      </c>
      <c r="Q54" s="305">
        <f t="shared" si="4"/>
        <v>0.7</v>
      </c>
      <c r="R54" s="177">
        <f t="shared" si="5"/>
        <v>0.47779813498115442</v>
      </c>
      <c r="S54" s="919">
        <f t="shared" si="6"/>
        <v>-2</v>
      </c>
      <c r="T54" s="176">
        <f t="shared" si="7"/>
        <v>4</v>
      </c>
      <c r="U54" s="251">
        <f t="shared" si="8"/>
        <v>-1.5222018650188456</v>
      </c>
      <c r="V54" s="383">
        <f t="shared" si="9"/>
        <v>35.815225191117648</v>
      </c>
      <c r="W54" s="402">
        <f t="shared" si="10"/>
        <v>35.110369128068413</v>
      </c>
      <c r="X54" s="157">
        <f t="shared" si="11"/>
        <v>46062</v>
      </c>
      <c r="Y54" s="385">
        <f t="shared" si="12"/>
        <v>33.82414365058473</v>
      </c>
      <c r="Z54" s="385">
        <f t="shared" si="22"/>
        <v>35.978403930561676</v>
      </c>
      <c r="AA54" s="386">
        <f t="shared" si="13"/>
        <v>38.855685949156737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7.4050475453194334E-2</v>
      </c>
      <c r="AD54" s="231">
        <f>(INDEX(Models!$BJ54:$BT54,,AH54)*(1-AF54)+INDEX(Models!$BJ54:$BT54,,AH54+1)*AF54-ERP_i)*AE54*Ramure*Pc/MaxiM</f>
        <v>4.1989970163175353E-3</v>
      </c>
      <c r="AE54" s="305">
        <f t="shared" si="15"/>
        <v>0.7</v>
      </c>
      <c r="AF54" s="177">
        <f t="shared" si="23"/>
        <v>2.785701355133785E-3</v>
      </c>
      <c r="AG54" s="919">
        <f t="shared" si="24"/>
        <v>2</v>
      </c>
      <c r="AH54" s="176">
        <f t="shared" si="16"/>
        <v>8</v>
      </c>
      <c r="AI54" s="225">
        <f t="shared" si="17"/>
        <v>2.0027857013551338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1090">
        <f>IF(t&gt;Tmaj,'2025'!Wh/'2025'!Env_an*'2026'!Env_an,0.001*'[4]mon-tableau'!$B$44)</f>
        <v>32.62159437348123</v>
      </c>
      <c r="C55" s="953"/>
      <c r="D55" s="393">
        <f t="shared" si="0"/>
        <v>34.700024289290475</v>
      </c>
      <c r="E55" s="385">
        <f t="shared" si="1"/>
        <v>36.248985085877415</v>
      </c>
      <c r="F55" s="385">
        <f t="shared" si="2"/>
        <v>36.253516662282564</v>
      </c>
      <c r="G55" s="110">
        <f t="shared" si="21"/>
        <v>0.90300505168518064</v>
      </c>
      <c r="H55" s="412" t="b">
        <f>Wh_hp&gt;='2025'!Maxi_hp</f>
        <v>1</v>
      </c>
      <c r="I55" s="390">
        <f>IF(H55,Wh_hp,'2025'!Maxi_hp)</f>
        <v>36.253516662282564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5.9897073802646195E-2</v>
      </c>
      <c r="M55" s="957"/>
      <c r="N55" s="957"/>
      <c r="O55" s="48">
        <f>IF(t&lt;Tnet,'2025'!Resal+('2025'!Salim-'2025'!Resal)*(1-EXP(('2025'!Tnet-t)/('2025'!Tau_j))),Resal+(Salim-Resal)*(1-EXP((Tnet-t)/(Tau_j))))*Salcycl</f>
        <v>4.2731149380246053E-2</v>
      </c>
      <c r="P55" s="169">
        <f>(INDEX(Models!$BJ55:$BT55,,T55)*(1-R55)+INDEX(Models!$BJ55:$BT55,,T55+1)*R55-ERP_i)*Q55*Ramure*Pc/MaxiM</f>
        <v>1.4509858626342615E-4</v>
      </c>
      <c r="Q55" s="305">
        <f t="shared" si="4"/>
        <v>0.7</v>
      </c>
      <c r="R55" s="177">
        <f t="shared" si="5"/>
        <v>0.47794161029181703</v>
      </c>
      <c r="S55" s="919">
        <f t="shared" si="6"/>
        <v>-2</v>
      </c>
      <c r="T55" s="176">
        <f t="shared" si="7"/>
        <v>4</v>
      </c>
      <c r="U55" s="251">
        <f t="shared" si="8"/>
        <v>-1.522058389708183</v>
      </c>
      <c r="V55" s="383">
        <f t="shared" si="9"/>
        <v>36.124868272729429</v>
      </c>
      <c r="W55" s="402">
        <f t="shared" si="10"/>
        <v>32.62159437348123</v>
      </c>
      <c r="X55" s="157">
        <f t="shared" si="11"/>
        <v>46063</v>
      </c>
      <c r="Y55" s="385">
        <f t="shared" si="12"/>
        <v>31.446782740718124</v>
      </c>
      <c r="Z55" s="385">
        <f t="shared" si="22"/>
        <v>33.450361512986682</v>
      </c>
      <c r="AA55" s="386">
        <f t="shared" si="13"/>
        <v>36.128254229584897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7.4121841027273511E-2</v>
      </c>
      <c r="AD55" s="231">
        <f>(INDEX(Models!$BJ55:$BT55,,AH55)*(1-AF55)+INDEX(Models!$BJ55:$BT55,,AH55+1)*AF55-ERP_i)*AE55*Ramure*Pc/MaxiM</f>
        <v>4.0108342597267909E-3</v>
      </c>
      <c r="AE55" s="305">
        <f t="shared" si="15"/>
        <v>0.7</v>
      </c>
      <c r="AF55" s="177">
        <f t="shared" si="23"/>
        <v>2.9291766657961738E-3</v>
      </c>
      <c r="AG55" s="919">
        <f t="shared" si="24"/>
        <v>2</v>
      </c>
      <c r="AH55" s="176">
        <f t="shared" si="16"/>
        <v>8</v>
      </c>
      <c r="AI55" s="225">
        <f t="shared" si="17"/>
        <v>2.0029291766657962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1090">
        <f>IF(t&gt;Tmaj,'2025'!Wh/'2025'!Env_an*'2026'!Env_an,0.001*'[4]mon-tableau'!$B$45)</f>
        <v>16.421151726976813</v>
      </c>
      <c r="C56" s="953"/>
      <c r="D56" s="393">
        <f t="shared" si="0"/>
        <v>17.467780327676422</v>
      </c>
      <c r="E56" s="385">
        <f t="shared" si="1"/>
        <v>18.249507826328593</v>
      </c>
      <c r="F56" s="385">
        <f t="shared" si="2"/>
        <v>18.250077022223191</v>
      </c>
      <c r="G56" s="110">
        <f t="shared" si="21"/>
        <v>0.4506494042041056</v>
      </c>
      <c r="H56" s="412" t="b">
        <f>Wh_hp&gt;='2025'!Maxi_hp</f>
        <v>0</v>
      </c>
      <c r="I56" s="390">
        <f>IF(H56,Wh_hp,'2025'!Maxi_hp)</f>
        <v>32.069160070810902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5.9917664469440468E-2</v>
      </c>
      <c r="M56" s="957"/>
      <c r="N56" s="957"/>
      <c r="O56" s="48">
        <f>IF(t&lt;Tnet,'2025'!Resal+('2025'!Salim-'2025'!Resal)*(1-EXP(('2025'!Tnet-t)/('2025'!Tau_j))),Resal+(Salim-Resal)*(1-EXP((Tnet-t)/(Tau_j))))*Salcycl</f>
        <v>4.2835538694603548E-2</v>
      </c>
      <c r="P56" s="169">
        <f>(INDEX(Models!$BJ56:$BT56,,T56)*(1-R56)+INDEX(Models!$BJ56:$BT56,,T56+1)*R56-ERP_i)*Q56*Ramure*Pc/MaxiM</f>
        <v>1.4487051169860673E-4</v>
      </c>
      <c r="Q56" s="305">
        <f t="shared" si="4"/>
        <v>0.7</v>
      </c>
      <c r="R56" s="177">
        <f t="shared" si="5"/>
        <v>0.47809101665767817</v>
      </c>
      <c r="S56" s="919">
        <f t="shared" si="6"/>
        <v>-2</v>
      </c>
      <c r="T56" s="176">
        <f t="shared" si="7"/>
        <v>4</v>
      </c>
      <c r="U56" s="251">
        <f t="shared" si="8"/>
        <v>-1.5219089833423218</v>
      </c>
      <c r="V56" s="383">
        <f t="shared" si="9"/>
        <v>36.43472004854366</v>
      </c>
      <c r="W56" s="402">
        <f t="shared" si="10"/>
        <v>16.421151726976813</v>
      </c>
      <c r="X56" s="157">
        <f t="shared" si="11"/>
        <v>46064</v>
      </c>
      <c r="Y56" s="385">
        <f t="shared" si="12"/>
        <v>15.870515677145001</v>
      </c>
      <c r="Z56" s="385">
        <f t="shared" si="22"/>
        <v>16.882048600762261</v>
      </c>
      <c r="AA56" s="386">
        <f t="shared" si="13"/>
        <v>18.234958194357517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7.419318318009023E-2</v>
      </c>
      <c r="AD56" s="231">
        <f>(INDEX(Models!$BJ56:$BT56,,AH56)*(1-AF56)+INDEX(Models!$BJ56:$BT56,,AH56+1)*AF56-ERP_i)*AE56*Ramure*Pc/MaxiM</f>
        <v>3.8480114666491023E-3</v>
      </c>
      <c r="AE56" s="305">
        <f t="shared" si="15"/>
        <v>0.7</v>
      </c>
      <c r="AF56" s="177">
        <f t="shared" si="23"/>
        <v>3.0785830316575336E-3</v>
      </c>
      <c r="AG56" s="919">
        <f t="shared" si="24"/>
        <v>2</v>
      </c>
      <c r="AH56" s="176">
        <f t="shared" si="16"/>
        <v>8</v>
      </c>
      <c r="AI56" s="225">
        <f t="shared" si="17"/>
        <v>2.0030785830316575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1090">
        <f>IF(t&gt;Tmaj,'2025'!Wh/'2025'!Env_an*'2026'!Env_an,0.001*'[4]mon-tableau'!$B$46)</f>
        <v>27.311373276436704</v>
      </c>
      <c r="C57" s="953"/>
      <c r="D57" s="393">
        <f t="shared" si="0"/>
        <v>29.052744048522307</v>
      </c>
      <c r="E57" s="385">
        <f t="shared" si="1"/>
        <v>30.35623609657554</v>
      </c>
      <c r="F57" s="385">
        <f t="shared" si="2"/>
        <v>30.35901844751853</v>
      </c>
      <c r="G57" s="110">
        <f t="shared" si="21"/>
        <v>0.74324252660827939</v>
      </c>
      <c r="H57" s="412" t="b">
        <f>Wh_hp&gt;='2025'!Maxi_hp</f>
        <v>0</v>
      </c>
      <c r="I57" s="390">
        <f>IF(H57,Wh_hp,'2025'!Maxi_hp)</f>
        <v>40.986650074876621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5.9938254685246273E-2</v>
      </c>
      <c r="M57" s="957"/>
      <c r="N57" s="957"/>
      <c r="O57" s="48">
        <f>IF(t&lt;Tnet,'2025'!Resal+('2025'!Salim-'2025'!Resal)*(1-EXP(('2025'!Tnet-t)/('2025'!Tau_j))),Resal+(Salim-Resal)*(1-EXP((Tnet-t)/(Tau_j))))*Salcycl</f>
        <v>4.2939844185764409E-2</v>
      </c>
      <c r="P57" s="169">
        <f>(INDEX(Models!$BJ57:$BT57,,T57)*(1-R57)+INDEX(Models!$BJ57:$BT57,,T57+1)*R57-ERP_i)*Q57*Ramure*Pc/MaxiM</f>
        <v>1.4472452857068556E-4</v>
      </c>
      <c r="Q57" s="305">
        <f t="shared" si="4"/>
        <v>0.7</v>
      </c>
      <c r="R57" s="177">
        <f t="shared" si="5"/>
        <v>0.47824659544420101</v>
      </c>
      <c r="S57" s="919">
        <f t="shared" si="6"/>
        <v>-2</v>
      </c>
      <c r="T57" s="176">
        <f t="shared" si="7"/>
        <v>4</v>
      </c>
      <c r="U57" s="251">
        <f t="shared" si="8"/>
        <v>-1.521753404555799</v>
      </c>
      <c r="V57" s="383">
        <f t="shared" si="9"/>
        <v>36.744296215355448</v>
      </c>
      <c r="W57" s="402">
        <f t="shared" si="10"/>
        <v>27.311373276436704</v>
      </c>
      <c r="X57" s="157">
        <f t="shared" si="11"/>
        <v>46065</v>
      </c>
      <c r="Y57" s="385">
        <f t="shared" si="12"/>
        <v>26.357821819024444</v>
      </c>
      <c r="Z57" s="385">
        <f t="shared" si="22"/>
        <v>28.038394233560961</v>
      </c>
      <c r="AA57" s="386">
        <f t="shared" si="13"/>
        <v>30.287694536226379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7.4264493785589539E-2</v>
      </c>
      <c r="AD57" s="231">
        <f>(INDEX(Models!$BJ57:$BT57,,AH57)*(1-AF57)+INDEX(Models!$BJ57:$BT57,,AH57+1)*AF57-ERP_i)*AE57*Ramure*Pc/MaxiM</f>
        <v>3.709927197926911E-3</v>
      </c>
      <c r="AE57" s="305">
        <f t="shared" si="15"/>
        <v>0.7</v>
      </c>
      <c r="AF57" s="177">
        <f t="shared" si="23"/>
        <v>3.2341618181801479E-3</v>
      </c>
      <c r="AG57" s="919">
        <f t="shared" si="24"/>
        <v>2</v>
      </c>
      <c r="AH57" s="176">
        <f t="shared" si="16"/>
        <v>8</v>
      </c>
      <c r="AI57" s="225">
        <f t="shared" si="17"/>
        <v>2.0032341618181801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1090">
        <f>IF(t&gt;Tmaj,'2025'!Wh/'2025'!Env_an*'2026'!Env_an,0.001*'[4]mon-tableau'!$B$47)</f>
        <v>33.374831863835468</v>
      </c>
      <c r="C58" s="953"/>
      <c r="D58" s="393">
        <f t="shared" si="0"/>
        <v>35.50358584493155</v>
      </c>
      <c r="E58" s="385">
        <f t="shared" si="1"/>
        <v>37.100543932429744</v>
      </c>
      <c r="F58" s="385">
        <f t="shared" si="2"/>
        <v>37.105151918330513</v>
      </c>
      <c r="G58" s="110">
        <f t="shared" si="21"/>
        <v>0.90071106102303966</v>
      </c>
      <c r="H58" s="412" t="b">
        <f>Wh_hp&gt;='2025'!Maxi_hp</f>
        <v>0</v>
      </c>
      <c r="I58" s="390">
        <f>IF(H58,Wh_hp,'2025'!Maxi_hp)</f>
        <v>42.930559585857665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5.995884445007349E-2</v>
      </c>
      <c r="M58" s="957"/>
      <c r="N58" s="957"/>
      <c r="O58" s="48">
        <f>IF(t&lt;Tnet,'2025'!Resal+('2025'!Salim-'2025'!Resal)*(1-EXP(('2025'!Tnet-t)/('2025'!Tau_j))),Resal+(Salim-Resal)*(1-EXP((Tnet-t)/(Tau_j))))*Salcycl</f>
        <v>4.3044061305588723E-2</v>
      </c>
      <c r="P58" s="169">
        <f>(INDEX(Models!$BJ58:$BT58,,T58)*(1-R58)+INDEX(Models!$BJ58:$BT58,,T58+1)*R58-ERP_i)*Q58*Ramure*Pc/MaxiM</f>
        <v>1.447091436503986E-4</v>
      </c>
      <c r="Q58" s="305">
        <f t="shared" si="4"/>
        <v>0.7</v>
      </c>
      <c r="R58" s="177">
        <f t="shared" si="5"/>
        <v>0.47840859751524012</v>
      </c>
      <c r="S58" s="919">
        <f t="shared" si="6"/>
        <v>-2</v>
      </c>
      <c r="T58" s="176">
        <f t="shared" si="7"/>
        <v>4</v>
      </c>
      <c r="U58" s="251">
        <f t="shared" si="8"/>
        <v>-1.5215914024847599</v>
      </c>
      <c r="V58" s="383">
        <f t="shared" si="9"/>
        <v>37.053110933623465</v>
      </c>
      <c r="W58" s="402">
        <f t="shared" si="10"/>
        <v>33.374831863835468</v>
      </c>
      <c r="X58" s="157">
        <f t="shared" si="11"/>
        <v>46066</v>
      </c>
      <c r="Y58" s="385">
        <f t="shared" si="12"/>
        <v>32.187825168489809</v>
      </c>
      <c r="Z58" s="385">
        <f t="shared" si="22"/>
        <v>34.240868049718365</v>
      </c>
      <c r="AA58" s="386">
        <f t="shared" si="13"/>
        <v>36.99059199168552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7.433576468809186E-2</v>
      </c>
      <c r="AD58" s="231">
        <f>(INDEX(Models!$BJ58:$BT58,,AH58)*(1-AF58)+INDEX(Models!$BJ58:$BT58,,AH58+1)*AF58-ERP_i)*AE58*Ramure*Pc/MaxiM</f>
        <v>3.5976388032521321E-3</v>
      </c>
      <c r="AE58" s="305">
        <f t="shared" si="15"/>
        <v>0.7</v>
      </c>
      <c r="AF58" s="177">
        <f t="shared" si="23"/>
        <v>3.3961638892194834E-3</v>
      </c>
      <c r="AG58" s="919">
        <f t="shared" si="24"/>
        <v>2</v>
      </c>
      <c r="AH58" s="176">
        <f t="shared" si="16"/>
        <v>8</v>
      </c>
      <c r="AI58" s="225">
        <f t="shared" si="17"/>
        <v>2.0033961638892195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1090">
        <f>IF(t&gt;Tmaj,'2025'!Wh/'2025'!Env_an*'2026'!Env_an,0.001*'[4]mon-tableau'!$B$48)</f>
        <v>18.514311915082512</v>
      </c>
      <c r="C59" s="953"/>
      <c r="D59" s="393">
        <f t="shared" si="0"/>
        <v>19.695645584878623</v>
      </c>
      <c r="E59" s="385">
        <f t="shared" si="1"/>
        <v>20.583799170324326</v>
      </c>
      <c r="F59" s="385">
        <f t="shared" si="2"/>
        <v>20.584631755712842</v>
      </c>
      <c r="G59" s="110">
        <f t="shared" si="21"/>
        <v>0.49550434241229591</v>
      </c>
      <c r="H59" s="412" t="b">
        <f>Wh_hp&gt;='2025'!Maxi_hp</f>
        <v>0</v>
      </c>
      <c r="I59" s="390">
        <f>IF(H59,Wh_hp,'2025'!Maxi_hp)</f>
        <v>42.898613753230741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5.9979433763932111E-2</v>
      </c>
      <c r="M59" s="957"/>
      <c r="N59" s="957"/>
      <c r="O59" s="48">
        <f>IF(t&lt;Tnet,'2025'!Resal+('2025'!Salim-'2025'!Resal)*(1-EXP(('2025'!Tnet-t)/('2025'!Tau_j))),Resal+(Salim-Resal)*(1-EXP((Tnet-t)/(Tau_j))))*Salcycl</f>
        <v>4.3148185526710521E-2</v>
      </c>
      <c r="P59" s="169">
        <f>(INDEX(Models!$BJ59:$BT59,,T59)*(1-R59)+INDEX(Models!$BJ59:$BT59,,T59+1)*R59-ERP_i)*Q59*Ramure*Pc/MaxiM</f>
        <v>1.4478129961679502E-4</v>
      </c>
      <c r="Q59" s="305">
        <f t="shared" si="4"/>
        <v>0.7</v>
      </c>
      <c r="R59" s="177">
        <f t="shared" si="5"/>
        <v>0.47857728357922191</v>
      </c>
      <c r="S59" s="919">
        <f t="shared" si="6"/>
        <v>-2</v>
      </c>
      <c r="T59" s="176">
        <f t="shared" si="7"/>
        <v>4</v>
      </c>
      <c r="U59" s="251">
        <f t="shared" si="8"/>
        <v>-1.5214227164207781</v>
      </c>
      <c r="V59" s="383">
        <f t="shared" si="9"/>
        <v>37.360681983062115</v>
      </c>
      <c r="W59" s="402">
        <f t="shared" si="10"/>
        <v>18.514311915082512</v>
      </c>
      <c r="X59" s="157">
        <f t="shared" si="11"/>
        <v>46067</v>
      </c>
      <c r="Y59" s="385">
        <f t="shared" si="12"/>
        <v>17.892694830783746</v>
      </c>
      <c r="Z59" s="385">
        <f t="shared" si="22"/>
        <v>19.03436528248292</v>
      </c>
      <c r="AA59" s="386">
        <f t="shared" si="13"/>
        <v>20.56450840914319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7.440698781692992E-2</v>
      </c>
      <c r="AD59" s="231">
        <f>(INDEX(Models!$BJ59:$BT59,,AH59)*(1-AF59)+INDEX(Models!$BJ59:$BT59,,AH59+1)*AF59-ERP_i)*AE59*Ramure*Pc/MaxiM</f>
        <v>3.4993218823924218E-3</v>
      </c>
      <c r="AE59" s="305">
        <f t="shared" si="15"/>
        <v>0.7</v>
      </c>
      <c r="AF59" s="177">
        <f t="shared" si="23"/>
        <v>3.5648499532010547E-3</v>
      </c>
      <c r="AG59" s="919">
        <f t="shared" si="24"/>
        <v>2</v>
      </c>
      <c r="AH59" s="176">
        <f t="shared" si="16"/>
        <v>8</v>
      </c>
      <c r="AI59" s="225">
        <f t="shared" si="17"/>
        <v>2.0035648499532011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1090">
        <f>IF(t&gt;Tmaj,'2025'!Wh/'2025'!Env_an*'2026'!Env_an,0.001*'[4]mon-tableau'!$B$49)</f>
        <v>18.244688698516541</v>
      </c>
      <c r="C60" s="953"/>
      <c r="D60" s="393">
        <f t="shared" si="0"/>
        <v>19.409243763495997</v>
      </c>
      <c r="E60" s="385">
        <f t="shared" si="1"/>
        <v>20.286687897558558</v>
      </c>
      <c r="F60" s="385">
        <f t="shared" si="2"/>
        <v>20.287462396126713</v>
      </c>
      <c r="G60" s="110">
        <f t="shared" si="21"/>
        <v>0.48432236134215062</v>
      </c>
      <c r="H60" s="412" t="b">
        <f>Wh_hp&gt;='2025'!Maxi_hp</f>
        <v>0</v>
      </c>
      <c r="I60" s="390">
        <f>IF(H60,Wh_hp,'2025'!Maxi_hp)</f>
        <v>43.307632323541206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6.0000022626831906E-2</v>
      </c>
      <c r="M60" s="957"/>
      <c r="N60" s="957"/>
      <c r="O60" s="48">
        <f>IF(t&lt;Tnet,'2025'!Resal+('2025'!Salim-'2025'!Resal)*(1-EXP(('2025'!Tnet-t)/('2025'!Tau_j))),Resal+(Salim-Resal)*(1-EXP((Tnet-t)/(Tau_j))))*Salcycl</f>
        <v>4.325221241108361E-2</v>
      </c>
      <c r="P60" s="169">
        <f>(INDEX(Models!$BJ60:$BT60,,T60)*(1-R60)+INDEX(Models!$BJ60:$BT60,,T60+1)*R60-ERP_i)*Q60*Ramure*Pc/MaxiM</f>
        <v>1.4494093923638778E-4</v>
      </c>
      <c r="Q60" s="305">
        <f t="shared" si="4"/>
        <v>0.7</v>
      </c>
      <c r="R60" s="177">
        <f t="shared" si="5"/>
        <v>0.47875292454555241</v>
      </c>
      <c r="S60" s="919">
        <f t="shared" si="6"/>
        <v>-2</v>
      </c>
      <c r="T60" s="176">
        <f t="shared" si="7"/>
        <v>4</v>
      </c>
      <c r="U60" s="251">
        <f t="shared" si="8"/>
        <v>-1.5212470754544476</v>
      </c>
      <c r="V60" s="383">
        <f t="shared" si="9"/>
        <v>37.666525833076413</v>
      </c>
      <c r="W60" s="402">
        <f t="shared" si="10"/>
        <v>18.244688698516541</v>
      </c>
      <c r="X60" s="157">
        <f t="shared" si="11"/>
        <v>46068</v>
      </c>
      <c r="Y60" s="385">
        <f t="shared" si="12"/>
        <v>17.634025589631392</v>
      </c>
      <c r="Z60" s="385">
        <f t="shared" si="22"/>
        <v>18.759602142661443</v>
      </c>
      <c r="AA60" s="386">
        <f t="shared" si="13"/>
        <v>20.269215956553914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7.4478155303503435E-2</v>
      </c>
      <c r="AD60" s="231">
        <f>(INDEX(Models!$BJ60:$BT60,,AH60)*(1-AF60)+INDEX(Models!$BJ60:$BT60,,AH60+1)*AF60-ERP_i)*AE60*Ramure*Pc/MaxiM</f>
        <v>3.4146687910541116E-3</v>
      </c>
      <c r="AE60" s="305">
        <f t="shared" si="15"/>
        <v>0.7</v>
      </c>
      <c r="AF60" s="177">
        <f t="shared" si="23"/>
        <v>3.7404909195313252E-3</v>
      </c>
      <c r="AG60" s="919">
        <f t="shared" si="24"/>
        <v>2</v>
      </c>
      <c r="AH60" s="176">
        <f t="shared" si="16"/>
        <v>8</v>
      </c>
      <c r="AI60" s="225">
        <f t="shared" si="17"/>
        <v>2.0037404909195313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1090">
        <f>IF(t&gt;Tmaj,'2025'!Wh/'2025'!Env_an*'2026'!Env_an,0.001*'[4]mon-tableau'!$B$50)</f>
        <v>7.9350121332417487</v>
      </c>
      <c r="C61" s="953"/>
      <c r="D61" s="393">
        <f t="shared" si="0"/>
        <v>8.4416873672207071</v>
      </c>
      <c r="E61" s="385">
        <f t="shared" si="1"/>
        <v>8.8242737968825526</v>
      </c>
      <c r="F61" s="385">
        <f t="shared" si="2"/>
        <v>8.8242737968825526</v>
      </c>
      <c r="G61" s="110">
        <f t="shared" si="21"/>
        <v>0.20894987618261368</v>
      </c>
      <c r="H61" s="412" t="b">
        <f>Wh_hp&gt;='2025'!Maxi_hp</f>
        <v>0</v>
      </c>
      <c r="I61" s="390">
        <f>IF(H61,Wh_hp,'2025'!Maxi_hp)</f>
        <v>43.625435149292962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6.0020611038782645E-2</v>
      </c>
      <c r="M61" s="957"/>
      <c r="N61" s="957"/>
      <c r="O61" s="48">
        <f>IF(t&lt;Tnet,'2025'!Resal+('2025'!Salim-'2025'!Resal)*(1-EXP(('2025'!Tnet-t)/('2025'!Tau_j))),Resal+(Salim-Resal)*(1-EXP((Tnet-t)/(Tau_j))))*Salcycl</f>
        <v>4.335613767979473E-2</v>
      </c>
      <c r="P61" s="169">
        <f>(INDEX(Models!$BJ61:$BT61,,T61)*(1-R61)+INDEX(Models!$BJ61:$BT61,,T61+1)*R61-ERP_i)*Q61*Ramure*Pc/MaxiM</f>
        <v>1.4518806104258787E-4</v>
      </c>
      <c r="Q61" s="305">
        <f t="shared" si="4"/>
        <v>0.7</v>
      </c>
      <c r="R61" s="177">
        <f t="shared" si="5"/>
        <v>0.47893580189134033</v>
      </c>
      <c r="S61" s="919">
        <f t="shared" si="6"/>
        <v>-2</v>
      </c>
      <c r="T61" s="176">
        <f t="shared" si="7"/>
        <v>4</v>
      </c>
      <c r="U61" s="251">
        <f t="shared" si="8"/>
        <v>-1.5210641981086597</v>
      </c>
      <c r="V61" s="383">
        <f t="shared" si="9"/>
        <v>37.970159203549386</v>
      </c>
      <c r="W61" s="402">
        <f t="shared" si="10"/>
        <v>7.9350121332417487</v>
      </c>
      <c r="X61" s="157">
        <f t="shared" si="11"/>
        <v>46069</v>
      </c>
      <c r="Y61" s="385">
        <f t="shared" si="12"/>
        <v>7.6762765570720726</v>
      </c>
      <c r="Z61" s="385">
        <f t="shared" si="22"/>
        <v>8.1664307188216316</v>
      </c>
      <c r="AA61" s="386">
        <f t="shared" si="13"/>
        <v>8.8242737968825526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7.4549259599506659E-2</v>
      </c>
      <c r="AD61" s="231">
        <f>(INDEX(Models!$BJ61:$BT61,,AH61)*(1-AF61)+INDEX(Models!$BJ61:$BT61,,AH61+1)*AF61-ERP_i)*AE61*Ramure*Pc/MaxiM</f>
        <v>3.3433820302181307E-3</v>
      </c>
      <c r="AE61" s="305">
        <f t="shared" si="15"/>
        <v>0.7</v>
      </c>
      <c r="AF61" s="177">
        <f t="shared" si="23"/>
        <v>3.9233682653194712E-3</v>
      </c>
      <c r="AG61" s="919">
        <f t="shared" si="24"/>
        <v>2</v>
      </c>
      <c r="AH61" s="176">
        <f t="shared" si="16"/>
        <v>8</v>
      </c>
      <c r="AI61" s="225">
        <f t="shared" si="17"/>
        <v>2.0039233682653195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1090">
        <f>IF(t&gt;Tmaj,'2025'!Wh/'2025'!Env_an*'2026'!Env_an,0.001*'[4]mon-tableau'!$B$51)</f>
        <v>9.2726930664386789</v>
      </c>
      <c r="C62" s="953"/>
      <c r="D62" s="393">
        <f t="shared" si="0"/>
        <v>9.8649994622866988</v>
      </c>
      <c r="E62" s="385">
        <f t="shared" si="1"/>
        <v>10.313211179607404</v>
      </c>
      <c r="F62" s="385">
        <f t="shared" si="2"/>
        <v>10.313211179607404</v>
      </c>
      <c r="G62" s="110">
        <f t="shared" si="21"/>
        <v>0.24225444020449058</v>
      </c>
      <c r="H62" s="412" t="b">
        <f>Wh_hp&gt;='2025'!Maxi_hp</f>
        <v>0</v>
      </c>
      <c r="I62" s="390">
        <f>IF(H62,Wh_hp,'2025'!Maxi_hp)</f>
        <v>44.343925318135149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6.0041198999794432E-2</v>
      </c>
      <c r="M62" s="957"/>
      <c r="N62" s="957"/>
      <c r="O62" s="48">
        <f>IF(t&lt;Tnet,'2025'!Resal+('2025'!Salim-'2025'!Resal)*(1-EXP(('2025'!Tnet-t)/('2025'!Tau_j))),Resal+(Salim-Resal)*(1-EXP((Tnet-t)/(Tau_j))))*Salcycl</f>
        <v>4.345995728342756E-2</v>
      </c>
      <c r="P62" s="169">
        <f>(INDEX(Models!$BJ62:$BT62,,T62)*(1-R62)+INDEX(Models!$BJ62:$BT62,,T62+1)*R62-ERP_i)*Q62*Ramure*Pc/MaxiM</f>
        <v>1.4552273221548714E-4</v>
      </c>
      <c r="Q62" s="305">
        <f t="shared" si="4"/>
        <v>0.7</v>
      </c>
      <c r="R62" s="177">
        <f t="shared" si="5"/>
        <v>0.47912620803849681</v>
      </c>
      <c r="S62" s="919">
        <f t="shared" si="6"/>
        <v>-2</v>
      </c>
      <c r="T62" s="176">
        <f t="shared" si="7"/>
        <v>4</v>
      </c>
      <c r="U62" s="251">
        <f t="shared" si="8"/>
        <v>-1.5208737919615032</v>
      </c>
      <c r="V62" s="383">
        <f t="shared" si="9"/>
        <v>38.271099060073261</v>
      </c>
      <c r="W62" s="402">
        <f t="shared" si="10"/>
        <v>9.2726930664386789</v>
      </c>
      <c r="X62" s="157">
        <f t="shared" si="11"/>
        <v>46070</v>
      </c>
      <c r="Y62" s="385">
        <f t="shared" si="12"/>
        <v>8.9706249651969046</v>
      </c>
      <c r="Z62" s="385">
        <f t="shared" si="22"/>
        <v>9.5436363334768579</v>
      </c>
      <c r="AA62" s="386">
        <f t="shared" si="13"/>
        <v>10.313211179607404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7.4620293595097392E-2</v>
      </c>
      <c r="AD62" s="231">
        <f>(INDEX(Models!$BJ62:$BT62,,AH62)*(1-AF62)+INDEX(Models!$BJ62:$BT62,,AH62+1)*AF62-ERP_i)*AE62*Ramure*Pc/MaxiM</f>
        <v>3.2851754594524097E-3</v>
      </c>
      <c r="AE62" s="305">
        <f t="shared" si="15"/>
        <v>0.7</v>
      </c>
      <c r="AF62" s="177">
        <f t="shared" si="23"/>
        <v>4.1137744124757347E-3</v>
      </c>
      <c r="AG62" s="919">
        <f t="shared" si="24"/>
        <v>2</v>
      </c>
      <c r="AH62" s="176">
        <f t="shared" si="16"/>
        <v>8</v>
      </c>
      <c r="AI62" s="225">
        <f t="shared" si="17"/>
        <v>2.0041137744124757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1090">
        <f>IF(t&gt;Tmaj,'2025'!Wh/'2025'!Env_an*'2026'!Env_an,0.001*'[4]mon-tableau'!$B$52)</f>
        <v>30.389725620186844</v>
      </c>
      <c r="C63" s="953"/>
      <c r="D63" s="393">
        <f t="shared" si="0"/>
        <v>32.331620508698663</v>
      </c>
      <c r="E63" s="385">
        <f t="shared" si="1"/>
        <v>33.804257961688414</v>
      </c>
      <c r="F63" s="385">
        <f t="shared" si="2"/>
        <v>33.807697247952952</v>
      </c>
      <c r="G63" s="110">
        <f t="shared" si="21"/>
        <v>0.78789935109678277</v>
      </c>
      <c r="H63" s="412" t="b">
        <f>Wh_hp&gt;='2025'!Maxi_hp</f>
        <v>0</v>
      </c>
      <c r="I63" s="390">
        <f>IF(H63,Wh_hp,'2025'!Maxi_hp)</f>
        <v>43.682090944826165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6.0061786509877035E-2</v>
      </c>
      <c r="M63" s="957"/>
      <c r="N63" s="957"/>
      <c r="O63" s="48">
        <f>IF(t&lt;Tnet,'2025'!Resal+('2025'!Salim-'2025'!Resal)*(1-EXP(('2025'!Tnet-t)/('2025'!Tau_j))),Resal+(Salim-Resal)*(1-EXP((Tnet-t)/(Tau_j))))*Salcycl</f>
        <v>4.3563667472267718E-2</v>
      </c>
      <c r="P63" s="169">
        <f>(INDEX(Models!$BJ63:$BT63,,T63)*(1-R63)+INDEX(Models!$BJ63:$BT63,,T63+1)*R63-ERP_i)*Q63*Ramure*Pc/MaxiM</f>
        <v>1.4594510114270014E-4</v>
      </c>
      <c r="Q63" s="305">
        <f t="shared" si="4"/>
        <v>0.7</v>
      </c>
      <c r="R63" s="177">
        <f t="shared" si="5"/>
        <v>0.47932444674124497</v>
      </c>
      <c r="S63" s="919">
        <f t="shared" si="6"/>
        <v>-2</v>
      </c>
      <c r="T63" s="176">
        <f t="shared" si="7"/>
        <v>4</v>
      </c>
      <c r="U63" s="251">
        <f t="shared" si="8"/>
        <v>-1.520675553258755</v>
      </c>
      <c r="V63" s="383">
        <f t="shared" si="9"/>
        <v>38.568862612536385</v>
      </c>
      <c r="W63" s="402">
        <f t="shared" si="10"/>
        <v>30.389725620186844</v>
      </c>
      <c r="X63" s="157">
        <f t="shared" si="11"/>
        <v>46071</v>
      </c>
      <c r="Y63" s="385">
        <f t="shared" si="12"/>
        <v>29.337269958681528</v>
      </c>
      <c r="Z63" s="385">
        <f t="shared" si="22"/>
        <v>31.211913227517492</v>
      </c>
      <c r="AA63" s="386">
        <f t="shared" si="13"/>
        <v>33.73134994382908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7.4691250735801101E-2</v>
      </c>
      <c r="AD63" s="231">
        <f>(INDEX(Models!$BJ63:$BT63,,AH63)*(1-AF63)+INDEX(Models!$BJ63:$BT63,,AH63+1)*AF63-ERP_i)*AE63*Ramure*Pc/MaxiM</f>
        <v>3.2397753967784793E-3</v>
      </c>
      <c r="AE63" s="305">
        <f t="shared" si="15"/>
        <v>0.7</v>
      </c>
      <c r="AF63" s="177">
        <f t="shared" si="23"/>
        <v>4.3120131152241115E-3</v>
      </c>
      <c r="AG63" s="919">
        <f t="shared" si="24"/>
        <v>2</v>
      </c>
      <c r="AH63" s="176">
        <f t="shared" si="16"/>
        <v>8</v>
      </c>
      <c r="AI63" s="225">
        <f t="shared" si="17"/>
        <v>2.0043120131152241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1090">
        <f>IF(t&gt;Tmaj,'2025'!Wh/'2025'!Env_an*'2026'!Env_an,0.001*'[4]mon-tableau'!$B$53)</f>
        <v>18.529628215055887</v>
      </c>
      <c r="C64" s="953"/>
      <c r="D64" s="393">
        <f t="shared" si="0"/>
        <v>19.714098016670139</v>
      </c>
      <c r="E64" s="385">
        <f t="shared" si="1"/>
        <v>20.614266658874396</v>
      </c>
      <c r="F64" s="385">
        <f t="shared" si="2"/>
        <v>20.61502919208738</v>
      </c>
      <c r="G64" s="110">
        <f t="shared" si="21"/>
        <v>0.47674176871645069</v>
      </c>
      <c r="H64" s="412" t="b">
        <f>Wh_hp&gt;='2025'!Maxi_hp</f>
        <v>0</v>
      </c>
      <c r="I64" s="390">
        <f>IF(H64,Wh_hp,'2025'!Maxi_hp)</f>
        <v>40.826390842051637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6.0082373569040337E-2</v>
      </c>
      <c r="M64" s="957"/>
      <c r="N64" s="957"/>
      <c r="O64" s="48">
        <f>IF(t&lt;Tnet,'2025'!Resal+('2025'!Salim-'2025'!Resal)*(1-EXP(('2025'!Tnet-t)/('2025'!Tau_j))),Resal+(Salim-Resal)*(1-EXP((Tnet-t)/(Tau_j))))*Salcycl</f>
        <v>4.3667264865652491E-2</v>
      </c>
      <c r="P64" s="169">
        <f>(INDEX(Models!$BJ64:$BT64,,T64)*(1-R64)+INDEX(Models!$BJ64:$BT64,,T64+1)*R64-ERP_i)*Q64*Ramure*Pc/MaxiM</f>
        <v>1.4645540977078402E-4</v>
      </c>
      <c r="Q64" s="305">
        <f t="shared" si="4"/>
        <v>0.7</v>
      </c>
      <c r="R64" s="177">
        <f t="shared" si="5"/>
        <v>0.47953083348405401</v>
      </c>
      <c r="S64" s="919">
        <f t="shared" si="6"/>
        <v>-2</v>
      </c>
      <c r="T64" s="176">
        <f t="shared" si="7"/>
        <v>4</v>
      </c>
      <c r="U64" s="251">
        <f t="shared" si="8"/>
        <v>-1.520469166515946</v>
      </c>
      <c r="V64" s="383">
        <f t="shared" si="9"/>
        <v>38.862967307304984</v>
      </c>
      <c r="W64" s="402">
        <f t="shared" si="10"/>
        <v>18.529628215055887</v>
      </c>
      <c r="X64" s="157">
        <f t="shared" si="11"/>
        <v>46072</v>
      </c>
      <c r="Y64" s="385">
        <f t="shared" si="12"/>
        <v>17.913285663546631</v>
      </c>
      <c r="Z64" s="385">
        <f t="shared" si="22"/>
        <v>19.058356987693355</v>
      </c>
      <c r="AA64" s="386">
        <f t="shared" si="13"/>
        <v>20.598332067323696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7.4762125136980967E-2</v>
      </c>
      <c r="AD64" s="231">
        <f>(INDEX(Models!$BJ64:$BT64,,AH64)*(1-AF64)+INDEX(Models!$BJ64:$BT64,,AH64+1)*AF64-ERP_i)*AE64*Ramure*Pc/MaxiM</f>
        <v>3.2069216233681394E-3</v>
      </c>
      <c r="AE64" s="305">
        <f t="shared" si="15"/>
        <v>0.7</v>
      </c>
      <c r="AF64" s="177">
        <f t="shared" si="23"/>
        <v>4.5183998580329288E-3</v>
      </c>
      <c r="AG64" s="919">
        <f t="shared" si="24"/>
        <v>2</v>
      </c>
      <c r="AH64" s="176">
        <f t="shared" si="16"/>
        <v>8</v>
      </c>
      <c r="AI64" s="225">
        <f t="shared" si="17"/>
        <v>2.0045183998580329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1090">
        <f>IF(t&gt;Tmaj,'2025'!Wh/'2025'!Env_an*'2026'!Env_an,0.001*'[4]mon-tableau'!$B$54)</f>
        <v>21.840519778999386</v>
      </c>
      <c r="C65" s="953"/>
      <c r="D65" s="393">
        <f t="shared" si="0"/>
        <v>23.237140722476575</v>
      </c>
      <c r="E65" s="385">
        <f t="shared" si="1"/>
        <v>24.300805102860707</v>
      </c>
      <c r="F65" s="385">
        <f t="shared" si="2"/>
        <v>24.302121280445729</v>
      </c>
      <c r="G65" s="110">
        <f t="shared" si="21"/>
        <v>0.55775985555977192</v>
      </c>
      <c r="H65" s="412" t="b">
        <f>Wh_hp&gt;='2025'!Maxi_hp</f>
        <v>0</v>
      </c>
      <c r="I65" s="390">
        <f>IF(H65,Wh_hp,'2025'!Maxi_hp)</f>
        <v>43.218540620250515</v>
      </c>
      <c r="J65" s="85">
        <f>IF(H65,An,'2025'!An_max)</f>
        <v>2019</v>
      </c>
      <c r="K65" s="197">
        <f t="shared" si="3"/>
        <v>46073</v>
      </c>
      <c r="L65" s="147">
        <f>IF(t&lt;Tvie,1-EXP((T0-t)*PertePVj)+'2025'!Pspv,1-EXP((T0-t)*PertePVj)+Pspv)</f>
        <v>6.0102960177294107E-2</v>
      </c>
      <c r="M65" s="957"/>
      <c r="N65" s="957"/>
      <c r="O65" s="48">
        <f>IF(t&lt;Tnet,'2025'!Resal+('2025'!Salim-'2025'!Resal)*(1-EXP(('2025'!Tnet-t)/('2025'!Tau_j))),Resal+(Salim-Resal)*(1-EXP((Tnet-t)/(Tau_j))))*Salcycl</f>
        <v>4.3770746519789842E-2</v>
      </c>
      <c r="P65" s="169">
        <f>(INDEX(Models!$BJ65:$BT65,,T65)*(1-R65)+INDEX(Models!$BJ65:$BT65,,T65+1)*R65-ERP_i)*Q65*Ramure*Pc/MaxiM</f>
        <v>1.4705025003681015E-4</v>
      </c>
      <c r="Q65" s="305">
        <f t="shared" si="4"/>
        <v>0.7</v>
      </c>
      <c r="R65" s="177">
        <f t="shared" si="5"/>
        <v>0.47974569588996419</v>
      </c>
      <c r="S65" s="919">
        <f t="shared" si="6"/>
        <v>-2</v>
      </c>
      <c r="T65" s="176">
        <f t="shared" si="7"/>
        <v>4</v>
      </c>
      <c r="U65" s="251">
        <f t="shared" si="8"/>
        <v>-1.5202543041100358</v>
      </c>
      <c r="V65" s="383">
        <f t="shared" si="9"/>
        <v>39.15393095674677</v>
      </c>
      <c r="W65" s="402">
        <f t="shared" si="10"/>
        <v>21.840519778999386</v>
      </c>
      <c r="X65" s="157">
        <f t="shared" si="11"/>
        <v>46073</v>
      </c>
      <c r="Y65" s="385">
        <f t="shared" si="12"/>
        <v>21.107397516199999</v>
      </c>
      <c r="Z65" s="385">
        <f t="shared" si="22"/>
        <v>22.45713798628573</v>
      </c>
      <c r="AA65" s="386">
        <f t="shared" si="13"/>
        <v>24.273602325633416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7.4832911694753368E-2</v>
      </c>
      <c r="AD65" s="231">
        <f>(INDEX(Models!$BJ65:$BT65,,AH65)*(1-AF65)+INDEX(Models!$BJ65:$BT65,,AH65+1)*AF65-ERP_i)*AE65*Ramure*Pc/MaxiM</f>
        <v>3.1862869294130101E-3</v>
      </c>
      <c r="AE65" s="305">
        <f t="shared" si="15"/>
        <v>0.7</v>
      </c>
      <c r="AF65" s="177">
        <f t="shared" si="23"/>
        <v>4.7332622639433275E-3</v>
      </c>
      <c r="AG65" s="919">
        <f t="shared" si="24"/>
        <v>2</v>
      </c>
      <c r="AH65" s="176">
        <f t="shared" si="16"/>
        <v>8</v>
      </c>
      <c r="AI65" s="225">
        <f t="shared" si="17"/>
        <v>2.0047332622639433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1090">
        <f>IF(t&gt;Tmaj,'2025'!Wh/'2025'!Env_an*'2026'!Env_an,0.001*'[4]mon-tableau'!$B$55)</f>
        <v>21.504255106628765</v>
      </c>
      <c r="C66" s="953"/>
      <c r="D66" s="393">
        <f t="shared" si="0"/>
        <v>22.87987428854716</v>
      </c>
      <c r="E66" s="385">
        <f t="shared" si="1"/>
        <v>23.929771725341755</v>
      </c>
      <c r="F66" s="385">
        <f t="shared" si="2"/>
        <v>23.93100881405709</v>
      </c>
      <c r="G66" s="110">
        <f t="shared" si="21"/>
        <v>0.54515062926258384</v>
      </c>
      <c r="H66" s="412" t="b">
        <f>Wh_hp&gt;='2025'!Maxi_hp</f>
        <v>0</v>
      </c>
      <c r="I66" s="390">
        <f>IF(H66,Wh_hp,'2025'!Maxi_hp)</f>
        <v>42.441850727741603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6.0123546334648448E-2</v>
      </c>
      <c r="M66" s="957"/>
      <c r="N66" s="957"/>
      <c r="O66" s="48">
        <f>IF(t&lt;Tnet,'2025'!Resal+('2025'!Salim-'2025'!Resal)*(1-EXP(('2025'!Tnet-t)/('2025'!Tau_j))),Resal+(Salim-Resal)*(1-EXP((Tnet-t)/(Tau_j))))*Salcycl</f>
        <v>4.3874109993399898E-2</v>
      </c>
      <c r="P66" s="169">
        <f>(INDEX(Models!$BJ66:$BT66,,T66)*(1-R66)+INDEX(Models!$BJ66:$BT66,,T66+1)*R66-ERP_i)*Q66*Ramure*Pc/MaxiM</f>
        <v>1.4757482090893578E-4</v>
      </c>
      <c r="Q66" s="305">
        <f t="shared" si="4"/>
        <v>0.7</v>
      </c>
      <c r="R66" s="177">
        <f t="shared" si="5"/>
        <v>0.479969374139251</v>
      </c>
      <c r="S66" s="919">
        <f t="shared" si="6"/>
        <v>-2</v>
      </c>
      <c r="T66" s="176">
        <f t="shared" si="7"/>
        <v>4</v>
      </c>
      <c r="U66" s="251">
        <f t="shared" si="8"/>
        <v>-1.520030625860749</v>
      </c>
      <c r="V66" s="383">
        <f t="shared" si="9"/>
        <v>39.442664099505073</v>
      </c>
      <c r="W66" s="402">
        <f t="shared" si="10"/>
        <v>21.504255106628765</v>
      </c>
      <c r="X66" s="157">
        <f t="shared" si="11"/>
        <v>46074</v>
      </c>
      <c r="Y66" s="385">
        <f t="shared" si="12"/>
        <v>20.784291991832628</v>
      </c>
      <c r="Z66" s="385">
        <f t="shared" si="22"/>
        <v>22.11385540171538</v>
      </c>
      <c r="AA66" s="386">
        <f t="shared" si="13"/>
        <v>23.9043796405847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7.490360619228871E-2</v>
      </c>
      <c r="AD66" s="231">
        <f>(INDEX(Models!$BJ66:$BT66,,AH66)*(1-AF66)+INDEX(Models!$BJ66:$BT66,,AH66+1)*AF66-ERP_i)*AE66*Ramure*Pc/MaxiM</f>
        <v>3.1766480911399313E-3</v>
      </c>
      <c r="AE66" s="305">
        <f t="shared" si="15"/>
        <v>0.7</v>
      </c>
      <c r="AF66" s="177">
        <f t="shared" si="23"/>
        <v>4.9569405132299238E-3</v>
      </c>
      <c r="AG66" s="919">
        <f t="shared" si="24"/>
        <v>2</v>
      </c>
      <c r="AH66" s="176">
        <f t="shared" si="16"/>
        <v>8</v>
      </c>
      <c r="AI66" s="225">
        <f t="shared" si="17"/>
        <v>2.0049569405132299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1090">
        <f>IF(t&gt;Tmaj,'2025'!Wh/'2025'!Env_an*'2026'!Env_an,0.001*'[4]mon-tableau'!$B$56)</f>
        <v>35.212351755450001</v>
      </c>
      <c r="C67" s="953"/>
      <c r="D67" s="393">
        <f t="shared" si="0"/>
        <v>37.465693364155626</v>
      </c>
      <c r="E67" s="385">
        <f t="shared" si="1"/>
        <v>39.189127472882234</v>
      </c>
      <c r="F67" s="385">
        <f t="shared" si="2"/>
        <v>39.193986081997714</v>
      </c>
      <c r="G67" s="110">
        <f t="shared" si="21"/>
        <v>0.88628633330546114</v>
      </c>
      <c r="H67" s="412" t="b">
        <f>Wh_hp&gt;='2025'!Maxi_hp</f>
        <v>0</v>
      </c>
      <c r="I67" s="390">
        <f>IF(H67,Wh_hp,'2025'!Maxi_hp)</f>
        <v>42.464770609772728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6.0144132041113019E-2</v>
      </c>
      <c r="M67" s="957"/>
      <c r="N67" s="957"/>
      <c r="O67" s="48">
        <f>IF(t&lt;Tnet,'2025'!Resal+('2025'!Salim-'2025'!Resal)*(1-EXP(('2025'!Tnet-t)/('2025'!Tau_j))),Resal+(Salim-Resal)*(1-EXP((Tnet-t)/(Tau_j))))*Salcycl</f>
        <v>4.3977353410564607E-2</v>
      </c>
      <c r="P67" s="169">
        <f>(INDEX(Models!$BJ67:$BT67,,T67)*(1-R67)+INDEX(Models!$BJ67:$BT67,,T67+1)*R67-ERP_i)*Q67*Ramure*Pc/MaxiM</f>
        <v>1.4800112358457146E-4</v>
      </c>
      <c r="Q67" s="305">
        <f t="shared" si="4"/>
        <v>0.7</v>
      </c>
      <c r="R67" s="177">
        <f t="shared" si="5"/>
        <v>0.48020222139832014</v>
      </c>
      <c r="S67" s="919">
        <f t="shared" si="6"/>
        <v>-2</v>
      </c>
      <c r="T67" s="176">
        <f t="shared" si="7"/>
        <v>4</v>
      </c>
      <c r="U67" s="251">
        <f t="shared" si="8"/>
        <v>-1.5197977786016799</v>
      </c>
      <c r="V67" s="383">
        <f t="shared" si="9"/>
        <v>39.729265693212874</v>
      </c>
      <c r="W67" s="402">
        <f t="shared" si="10"/>
        <v>35.212351755450001</v>
      </c>
      <c r="X67" s="157">
        <f t="shared" si="11"/>
        <v>46075</v>
      </c>
      <c r="Y67" s="385">
        <f t="shared" si="12"/>
        <v>33.984479619219172</v>
      </c>
      <c r="Z67" s="385">
        <f t="shared" si="22"/>
        <v>36.159246090599275</v>
      </c>
      <c r="AA67" s="386">
        <f t="shared" si="13"/>
        <v>39.089986789238715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7.4974205400505853E-2</v>
      </c>
      <c r="AD67" s="231">
        <f>(INDEX(Models!$BJ67:$BT67,,AH67)*(1-AF67)+INDEX(Models!$BJ67:$BT67,,AH67+1)*AF67-ERP_i)*AE67*Ramure*Pc/MaxiM</f>
        <v>3.167987342570414E-3</v>
      </c>
      <c r="AE67" s="305">
        <f t="shared" si="15"/>
        <v>0.7</v>
      </c>
      <c r="AF67" s="177">
        <f t="shared" si="23"/>
        <v>5.1897877722995034E-3</v>
      </c>
      <c r="AG67" s="919">
        <f t="shared" si="24"/>
        <v>2</v>
      </c>
      <c r="AH67" s="176">
        <f t="shared" si="16"/>
        <v>8</v>
      </c>
      <c r="AI67" s="225">
        <f t="shared" si="17"/>
        <v>2.0051897877722995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1090">
        <f>IF(t&gt;Tmaj,'2025'!Wh/'2025'!Env_an*'2026'!Env_an,0.001*'[4]mon-tableau'!$B$57)</f>
        <v>36.728659464028958</v>
      </c>
      <c r="C68" s="953"/>
      <c r="D68" s="393">
        <f t="shared" si="0"/>
        <v>39.07988999772833</v>
      </c>
      <c r="E68" s="385">
        <f t="shared" si="1"/>
        <v>40.88198744449295</v>
      </c>
      <c r="F68" s="385">
        <f t="shared" si="2"/>
        <v>40.887340945177087</v>
      </c>
      <c r="G68" s="110">
        <f t="shared" si="21"/>
        <v>0.91788307193294461</v>
      </c>
      <c r="H68" s="412" t="b">
        <f>Wh_hp&gt;='2025'!Maxi_hp</f>
        <v>0</v>
      </c>
      <c r="I68" s="390">
        <f>IF(H68,Wh_hp,'2025'!Maxi_hp)</f>
        <v>43.491209699160983</v>
      </c>
      <c r="J68" s="85">
        <f>IF(H68,An,'2025'!An_max)</f>
        <v>2019</v>
      </c>
      <c r="K68" s="197">
        <f t="shared" si="3"/>
        <v>46076</v>
      </c>
      <c r="L68" s="147">
        <f>IF(t&lt;Tvie,1-EXP((T0-t)*PertePVj)+'2025'!Pspv,1-EXP((T0-t)*PertePVj)+Pspv)</f>
        <v>6.0164717296697812E-2</v>
      </c>
      <c r="M68" s="957"/>
      <c r="N68" s="957"/>
      <c r="O68" s="48">
        <f>IF(t&lt;Tnet,'2025'!Resal+('2025'!Salim-'2025'!Resal)*(1-EXP(('2025'!Tnet-t)/('2025'!Tau_j))),Resal+(Salim-Resal)*(1-EXP((Tnet-t)/(Tau_j))))*Salcycl</f>
        <v>4.4080475520212783E-2</v>
      </c>
      <c r="P68" s="169">
        <f>(INDEX(Models!$BJ68:$BT68,,T68)*(1-R68)+INDEX(Models!$BJ68:$BT68,,T68+1)*R68-ERP_i)*Q68*Ramure*Pc/MaxiM</f>
        <v>1.4833017609400424E-4</v>
      </c>
      <c r="Q68" s="305">
        <f t="shared" si="4"/>
        <v>0.7</v>
      </c>
      <c r="R68" s="177">
        <f t="shared" si="5"/>
        <v>0.48044460425869806</v>
      </c>
      <c r="S68" s="919">
        <f t="shared" si="6"/>
        <v>-2</v>
      </c>
      <c r="T68" s="176">
        <f t="shared" si="7"/>
        <v>4</v>
      </c>
      <c r="U68" s="251">
        <f t="shared" si="8"/>
        <v>-1.5195553957413019</v>
      </c>
      <c r="V68" s="383">
        <f t="shared" si="9"/>
        <v>40.013833490448391</v>
      </c>
      <c r="W68" s="402">
        <f t="shared" si="10"/>
        <v>36.728659464028958</v>
      </c>
      <c r="X68" s="157">
        <f t="shared" si="11"/>
        <v>46076</v>
      </c>
      <c r="Y68" s="385">
        <f t="shared" si="12"/>
        <v>35.444442586275706</v>
      </c>
      <c r="Z68" s="385">
        <f t="shared" si="22"/>
        <v>37.713462389201673</v>
      </c>
      <c r="AA68" s="386">
        <f t="shared" si="13"/>
        <v>40.773281348447597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7.5044707172247857E-2</v>
      </c>
      <c r="AD68" s="231">
        <f>(INDEX(Models!$BJ68:$BT68,,AH68)*(1-AF68)+INDEX(Models!$BJ68:$BT68,,AH68+1)*AF68-ERP_i)*AE68*Ramure*Pc/MaxiM</f>
        <v>3.1602648558960479E-3</v>
      </c>
      <c r="AE68" s="305">
        <f t="shared" si="15"/>
        <v>0.7</v>
      </c>
      <c r="AF68" s="177">
        <f t="shared" si="23"/>
        <v>5.4321706326772023E-3</v>
      </c>
      <c r="AG68" s="919">
        <f t="shared" si="24"/>
        <v>2</v>
      </c>
      <c r="AH68" s="176">
        <f t="shared" si="16"/>
        <v>8</v>
      </c>
      <c r="AI68" s="225">
        <f t="shared" si="17"/>
        <v>2.0054321706326772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1090">
        <f>IF(t&gt;Tmaj,'2025'!Wh/'2025'!Env_an*'2026'!Env_an,0.001*'[4]mon-tableau'!$B$58)</f>
        <v>20.8920791889093</v>
      </c>
      <c r="C69" s="953"/>
      <c r="D69" s="393">
        <f t="shared" si="0"/>
        <v>22.229998355658516</v>
      </c>
      <c r="E69" s="385">
        <f t="shared" si="1"/>
        <v>23.257599959512653</v>
      </c>
      <c r="F69" s="385">
        <f t="shared" si="2"/>
        <v>23.258678335581973</v>
      </c>
      <c r="G69" s="110">
        <f t="shared" si="21"/>
        <v>0.51840636309181864</v>
      </c>
      <c r="H69" s="412" t="b">
        <f>Wh_hp&gt;='2025'!Maxi_hp</f>
        <v>0</v>
      </c>
      <c r="I69" s="390">
        <f>IF(H69,Wh_hp,'2025'!Maxi_hp)</f>
        <v>44.144707241290959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6.0185302101412708E-2</v>
      </c>
      <c r="M69" s="957"/>
      <c r="N69" s="957"/>
      <c r="O69" s="48">
        <f>IF(t&lt;Tnet,'2025'!Resal+('2025'!Salim-'2025'!Resal)*(1-EXP(('2025'!Tnet-t)/('2025'!Tau_j))),Resal+(Salim-Resal)*(1-EXP((Tnet-t)/(Tau_j))))*Salcycl</f>
        <v>4.4183475751711658E-2</v>
      </c>
      <c r="P69" s="169">
        <f>(INDEX(Models!$BJ69:$BT69,,T69)*(1-R69)+INDEX(Models!$BJ69:$BT69,,T69+1)*R69-ERP_i)*Q69*Ramure*Pc/MaxiM</f>
        <v>1.4856366637594129E-4</v>
      </c>
      <c r="Q69" s="305">
        <f t="shared" si="4"/>
        <v>0.7</v>
      </c>
      <c r="R69" s="177">
        <f t="shared" si="5"/>
        <v>0.48069690318591629</v>
      </c>
      <c r="S69" s="919">
        <f t="shared" si="6"/>
        <v>-2</v>
      </c>
      <c r="T69" s="176">
        <f t="shared" si="7"/>
        <v>4</v>
      </c>
      <c r="U69" s="251">
        <f t="shared" si="8"/>
        <v>-1.5193030968140837</v>
      </c>
      <c r="V69" s="383">
        <f t="shared" si="9"/>
        <v>40.296465134830918</v>
      </c>
      <c r="W69" s="402">
        <f t="shared" si="10"/>
        <v>20.8920791889093</v>
      </c>
      <c r="X69" s="157">
        <f t="shared" si="11"/>
        <v>46077</v>
      </c>
      <c r="Y69" s="385">
        <f t="shared" si="12"/>
        <v>20.197021578001934</v>
      </c>
      <c r="Z69" s="385">
        <f t="shared" si="22"/>
        <v>21.490429574215209</v>
      </c>
      <c r="AA69" s="386">
        <f t="shared" si="13"/>
        <v>23.235788387146798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7.5115110529111975E-2</v>
      </c>
      <c r="AD69" s="231">
        <f>(INDEX(Models!$BJ69:$BT69,,AH69)*(1-AF69)+INDEX(Models!$BJ69:$BT69,,AH69+1)*AF69-ERP_i)*AE69*Ramure*Pc/MaxiM</f>
        <v>3.1534589457537805E-3</v>
      </c>
      <c r="AE69" s="305">
        <f t="shared" si="15"/>
        <v>0.7</v>
      </c>
      <c r="AF69" s="177">
        <f t="shared" si="23"/>
        <v>5.6844695598954331E-3</v>
      </c>
      <c r="AG69" s="919">
        <f t="shared" si="24"/>
        <v>2</v>
      </c>
      <c r="AH69" s="176">
        <f t="shared" si="16"/>
        <v>8</v>
      </c>
      <c r="AI69" s="225">
        <f t="shared" si="17"/>
        <v>2.0056844695598954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1090">
        <f>IF(t&gt;Tmaj,'2025'!Wh/'2025'!Env_an*'2026'!Env_an,0.001*'[4]mon-tableau'!$B$59)</f>
        <v>30.384641574988962</v>
      </c>
      <c r="C70" s="953"/>
      <c r="D70" s="393">
        <f t="shared" si="0"/>
        <v>32.331168217668036</v>
      </c>
      <c r="E70" s="385">
        <f t="shared" si="1"/>
        <v>33.829346647907506</v>
      </c>
      <c r="F70" s="385">
        <f t="shared" si="2"/>
        <v>33.832572315053319</v>
      </c>
      <c r="G70" s="110">
        <f t="shared" si="21"/>
        <v>0.74876966602818695</v>
      </c>
      <c r="H70" s="412" t="b">
        <f>Wh_hp&gt;='2025'!Maxi_hp</f>
        <v>0</v>
      </c>
      <c r="I70" s="390">
        <f>IF(H70,Wh_hp,'2025'!Maxi_hp)</f>
        <v>44.223095559004854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6.0205886455267477E-2</v>
      </c>
      <c r="M70" s="957"/>
      <c r="N70" s="957"/>
      <c r="O70" s="48">
        <f>IF(t&lt;Tnet,'2025'!Resal+('2025'!Salim-'2025'!Resal)*(1-EXP(('2025'!Tnet-t)/('2025'!Tau_j))),Resal+(Salim-Resal)*(1-EXP((Tnet-t)/(Tau_j))))*Salcycl</f>
        <v>4.4286354266086188E-2</v>
      </c>
      <c r="P70" s="169">
        <f>(INDEX(Models!$BJ70:$BT70,,T70)*(1-R70)+INDEX(Models!$BJ70:$BT70,,T70+1)*R70-ERP_i)*Q70*Ramure*Pc/MaxiM</f>
        <v>1.4870323202495963E-4</v>
      </c>
      <c r="Q70" s="305">
        <f t="shared" si="4"/>
        <v>0.7</v>
      </c>
      <c r="R70" s="177">
        <f t="shared" si="5"/>
        <v>0.48095951297805239</v>
      </c>
      <c r="S70" s="919">
        <f t="shared" si="6"/>
        <v>-2</v>
      </c>
      <c r="T70" s="176">
        <f t="shared" si="7"/>
        <v>4</v>
      </c>
      <c r="U70" s="251">
        <f t="shared" si="8"/>
        <v>-1.5190404870219476</v>
      </c>
      <c r="V70" s="383">
        <f t="shared" si="9"/>
        <v>40.577258186052411</v>
      </c>
      <c r="W70" s="402">
        <f t="shared" si="10"/>
        <v>30.384641574988962</v>
      </c>
      <c r="X70" s="157">
        <f t="shared" si="11"/>
        <v>46078</v>
      </c>
      <c r="Y70" s="385">
        <f t="shared" si="12"/>
        <v>29.345741376392759</v>
      </c>
      <c r="Z70" s="385">
        <f t="shared" si="22"/>
        <v>31.225713114658653</v>
      </c>
      <c r="AA70" s="386">
        <f t="shared" si="13"/>
        <v>33.764295725992461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7.518541574020017E-2</v>
      </c>
      <c r="AD70" s="231">
        <f>(INDEX(Models!$BJ70:$BT70,,AH70)*(1-AF70)+INDEX(Models!$BJ70:$BT70,,AH70+1)*AF70-ERP_i)*AE70*Ramure*Pc/MaxiM</f>
        <v>3.1475502604712247E-3</v>
      </c>
      <c r="AE70" s="305">
        <f t="shared" si="15"/>
        <v>0.7</v>
      </c>
      <c r="AF70" s="177">
        <f t="shared" si="23"/>
        <v>5.9470793520315368E-3</v>
      </c>
      <c r="AG70" s="919">
        <f t="shared" si="24"/>
        <v>2</v>
      </c>
      <c r="AH70" s="176">
        <f t="shared" si="16"/>
        <v>8</v>
      </c>
      <c r="AI70" s="225">
        <f t="shared" si="17"/>
        <v>2.0059470793520315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1090">
        <f>IF(t&gt;Tmaj,'2025'!Wh/'2025'!Env_an*'2026'!Env_an,0.001*'[4]mon-tableau'!$B$60)</f>
        <v>41.009779088082986</v>
      </c>
      <c r="C71" s="953"/>
      <c r="D71" s="393">
        <f t="shared" si="0"/>
        <v>43.637938071864234</v>
      </c>
      <c r="E71" s="385">
        <f t="shared" si="1"/>
        <v>45.664965332600659</v>
      </c>
      <c r="F71" s="385">
        <f t="shared" si="2"/>
        <v>45.671759028125585</v>
      </c>
      <c r="G71" s="110">
        <f t="shared" si="21"/>
        <v>1.0037563100773261</v>
      </c>
      <c r="H71" s="412" t="b">
        <f>Wh_hp&gt;='2025'!Maxi_hp</f>
        <v>1</v>
      </c>
      <c r="I71" s="390">
        <f>IF(H71,Wh_hp,'2025'!Maxi_hp)</f>
        <v>45.671759028125585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6.0226470358272111E-2</v>
      </c>
      <c r="M71" s="957"/>
      <c r="N71" s="957"/>
      <c r="O71" s="48">
        <f>IF(t&lt;Tnet,'2025'!Resal+('2025'!Salim-'2025'!Resal)*(1-EXP(('2025'!Tnet-t)/('2025'!Tau_j))),Resal+(Salim-Resal)*(1-EXP((Tnet-t)/(Tau_j))))*Salcycl</f>
        <v>4.4389112002441528E-2</v>
      </c>
      <c r="P71" s="169">
        <f>(INDEX(Models!$BJ71:$BT71,,T71)*(1-R71)+INDEX(Models!$BJ71:$BT71,,T71+1)*R71-ERP_i)*Q71*Ramure*Pc/MaxiM</f>
        <v>1.4875046789283712E-4</v>
      </c>
      <c r="Q71" s="305">
        <f t="shared" si="4"/>
        <v>0.7</v>
      </c>
      <c r="R71" s="177">
        <f t="shared" si="5"/>
        <v>0.4812328432336177</v>
      </c>
      <c r="S71" s="919">
        <f t="shared" si="6"/>
        <v>-2</v>
      </c>
      <c r="T71" s="176">
        <f t="shared" si="7"/>
        <v>4</v>
      </c>
      <c r="U71" s="251">
        <f t="shared" si="8"/>
        <v>-1.5187671567663823</v>
      </c>
      <c r="V71" s="383">
        <f t="shared" si="9"/>
        <v>40.856310118661902</v>
      </c>
      <c r="W71" s="402">
        <f t="shared" si="10"/>
        <v>41.009779088082986</v>
      </c>
      <c r="X71" s="157">
        <f t="shared" si="11"/>
        <v>46079</v>
      </c>
      <c r="Y71" s="385">
        <f t="shared" si="12"/>
        <v>39.566325234941729</v>
      </c>
      <c r="Z71" s="385">
        <f t="shared" si="22"/>
        <v>42.101978814008191</v>
      </c>
      <c r="AA71" s="386">
        <f t="shared" si="13"/>
        <v>45.528234531120084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7.5255624392154608E-2</v>
      </c>
      <c r="AD71" s="231">
        <f>(INDEX(Models!$BJ71:$BT71,,AH71)*(1-AF71)+INDEX(Models!$BJ71:$BT71,,AH71+1)*AF71-ERP_i)*AE71*Ramure*Pc/MaxiM</f>
        <v>3.1425217696808461E-3</v>
      </c>
      <c r="AE71" s="305">
        <f t="shared" si="15"/>
        <v>0.7</v>
      </c>
      <c r="AF71" s="177">
        <f t="shared" si="23"/>
        <v>6.220409607596622E-3</v>
      </c>
      <c r="AG71" s="919">
        <f t="shared" si="24"/>
        <v>2</v>
      </c>
      <c r="AH71" s="176">
        <f t="shared" si="16"/>
        <v>8</v>
      </c>
      <c r="AI71" s="225">
        <f t="shared" si="17"/>
        <v>2.0062204096075966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1090">
        <f>IF(t&gt;Tmaj,'2025'!Wh/'2025'!Env_an*'2026'!Env_an,0.001*'[4]mon-tableau'!$B$61)</f>
        <v>28.30151782449412</v>
      </c>
      <c r="C72" s="953"/>
      <c r="D72" s="393">
        <f t="shared" si="0"/>
        <v>30.115912846295288</v>
      </c>
      <c r="E72" s="385">
        <f t="shared" si="1"/>
        <v>31.51821333720963</v>
      </c>
      <c r="F72" s="385">
        <f t="shared" si="2"/>
        <v>31.520805421755504</v>
      </c>
      <c r="G72" s="110">
        <f t="shared" si="21"/>
        <v>0.68799120393224611</v>
      </c>
      <c r="H72" s="412" t="b">
        <f>Wh_hp&gt;='2025'!Maxi_hp</f>
        <v>0</v>
      </c>
      <c r="I72" s="390">
        <f>IF(H72,Wh_hp,'2025'!Maxi_hp)</f>
        <v>44.962572405256154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6.0247053810436491E-2</v>
      </c>
      <c r="M72" s="957"/>
      <c r="N72" s="957"/>
      <c r="O72" s="48">
        <f>IF(t&lt;Tnet,'2025'!Resal+('2025'!Salim-'2025'!Resal)*(1-EXP(('2025'!Tnet-t)/('2025'!Tau_j))),Resal+(Salim-Resal)*(1-EXP((Tnet-t)/(Tau_j))))*Salcycl</f>
        <v>4.4491750719220471E-2</v>
      </c>
      <c r="P72" s="169">
        <f>(INDEX(Models!$BJ72:$BT72,,T72)*(1-R72)+INDEX(Models!$BJ72:$BT72,,T72+1)*R72-ERP_i)*Q72*Ramure*Pc/MaxiM</f>
        <v>1.4834642999460746E-4</v>
      </c>
      <c r="Q72" s="305">
        <f t="shared" si="4"/>
        <v>0.7</v>
      </c>
      <c r="R72" s="177">
        <f t="shared" si="5"/>
        <v>0.48151731882842785</v>
      </c>
      <c r="S72" s="919">
        <f t="shared" si="6"/>
        <v>-2</v>
      </c>
      <c r="T72" s="176">
        <f t="shared" si="7"/>
        <v>4</v>
      </c>
      <c r="U72" s="251">
        <f t="shared" si="8"/>
        <v>-1.5184826811715721</v>
      </c>
      <c r="V72" s="383">
        <f t="shared" si="9"/>
        <v>41.133733148207398</v>
      </c>
      <c r="W72" s="402">
        <f t="shared" si="10"/>
        <v>28.30151782449412</v>
      </c>
      <c r="X72" s="157">
        <f t="shared" si="11"/>
        <v>46080</v>
      </c>
      <c r="Y72" s="385">
        <f t="shared" si="12"/>
        <v>27.342871614210669</v>
      </c>
      <c r="Z72" s="385">
        <f t="shared" si="22"/>
        <v>29.095808345244777</v>
      </c>
      <c r="AA72" s="386">
        <f t="shared" si="13"/>
        <v>31.466008719586032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7.5325739449945667E-2</v>
      </c>
      <c r="AD72" s="231">
        <f>(INDEX(Models!$BJ72:$BT72,,AH72)*(1-AF72)+INDEX(Models!$BJ72:$BT72,,AH72+1)*AF72-ERP_i)*AE72*Ramure*Pc/MaxiM</f>
        <v>3.1360455256968529E-3</v>
      </c>
      <c r="AE72" s="305">
        <f t="shared" si="15"/>
        <v>0.7</v>
      </c>
      <c r="AF72" s="177">
        <f t="shared" si="23"/>
        <v>6.5048852024069959E-3</v>
      </c>
      <c r="AG72" s="919">
        <f t="shared" si="24"/>
        <v>2</v>
      </c>
      <c r="AH72" s="176">
        <f t="shared" si="16"/>
        <v>8</v>
      </c>
      <c r="AI72" s="225">
        <f t="shared" si="17"/>
        <v>2.006504885202407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1090">
        <f>IF(t&gt;Tmaj,'2025'!Wh/'2025'!Env_an*'2026'!Env_an,0.001*'[4]mon-tableau'!$B$62)</f>
        <v>32.789358806401822</v>
      </c>
      <c r="C73" s="953"/>
      <c r="D73" s="393">
        <f t="shared" si="0"/>
        <v>34.892231119036254</v>
      </c>
      <c r="E73" s="385">
        <f t="shared" si="1"/>
        <v>36.520851962750939</v>
      </c>
      <c r="F73" s="385">
        <f t="shared" si="2"/>
        <v>36.524636066394045</v>
      </c>
      <c r="G73" s="110">
        <f t="shared" si="21"/>
        <v>0.79179465370707336</v>
      </c>
      <c r="H73" s="412" t="b">
        <f>Wh_hp&gt;='2025'!Maxi_hp</f>
        <v>0</v>
      </c>
      <c r="I73" s="390">
        <f>IF(H73,Wh_hp,'2025'!Maxi_hp)</f>
        <v>37.080698817786207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6.0267636811770386E-2</v>
      </c>
      <c r="M73" s="957"/>
      <c r="N73" s="957"/>
      <c r="O73" s="48">
        <f>IF(t&lt;Tnet,'2025'!Resal+('2025'!Salim-'2025'!Resal)*(1-EXP(('2025'!Tnet-t)/('2025'!Tau_j))),Resal+(Salim-Resal)*(1-EXP((Tnet-t)/(Tau_j))))*Salcycl</f>
        <v>4.4594273029987877E-2</v>
      </c>
      <c r="P73" s="169">
        <f>(INDEX(Models!$BJ73:$BT73,,T73)*(1-R73)+INDEX(Models!$BJ73:$BT73,,T73+1)*R73-ERP_i)*Q73*Ramure*Pc/MaxiM</f>
        <v>1.4745540532172443E-4</v>
      </c>
      <c r="Q73" s="305">
        <f t="shared" si="4"/>
        <v>0.7</v>
      </c>
      <c r="R73" s="177">
        <f t="shared" si="5"/>
        <v>0.4818133804010154</v>
      </c>
      <c r="S73" s="919">
        <f t="shared" si="6"/>
        <v>-2</v>
      </c>
      <c r="T73" s="176">
        <f t="shared" si="7"/>
        <v>4</v>
      </c>
      <c r="U73" s="251">
        <f t="shared" si="8"/>
        <v>-1.5181866195989846</v>
      </c>
      <c r="V73" s="383">
        <f t="shared" si="9"/>
        <v>41.409626409016873</v>
      </c>
      <c r="W73" s="402">
        <f t="shared" si="10"/>
        <v>32.789358806401822</v>
      </c>
      <c r="X73" s="157">
        <f t="shared" si="11"/>
        <v>46081</v>
      </c>
      <c r="Y73" s="385">
        <f t="shared" si="12"/>
        <v>31.665827314974855</v>
      </c>
      <c r="Z73" s="385">
        <f t="shared" si="22"/>
        <v>33.696644444107697</v>
      </c>
      <c r="AA73" s="386">
        <f t="shared" si="13"/>
        <v>36.4443976998786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7.5395765307984586E-2</v>
      </c>
      <c r="AD73" s="231">
        <f>(INDEX(Models!$BJ73:$BT73,,AH73)*(1-AF73)+INDEX(Models!$BJ73:$BT73,,AH73+1)*AF73-ERP_i)*AE73*Ramure*Pc/MaxiM</f>
        <v>3.1266534885850887E-3</v>
      </c>
      <c r="AE73" s="305">
        <f t="shared" si="15"/>
        <v>0.7</v>
      </c>
      <c r="AF73" s="177">
        <f t="shared" si="23"/>
        <v>6.8009467749945429E-3</v>
      </c>
      <c r="AG73" s="919">
        <f t="shared" si="24"/>
        <v>2</v>
      </c>
      <c r="AH73" s="176">
        <f t="shared" si="16"/>
        <v>8</v>
      </c>
      <c r="AI73" s="225">
        <f t="shared" si="17"/>
        <v>2.0068009467749945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1090">
        <f>IF(t&gt;Tmaj,'2025'!Wh/'2025'!Env_an*'2026'!Env_an,0.001*'[5]mon-tableau'!$B$38)</f>
        <v>41.908652019409729</v>
      </c>
      <c r="C74" s="953"/>
      <c r="D74" s="393">
        <f t="shared" si="0"/>
        <v>44.597346636400871</v>
      </c>
      <c r="E74" s="385">
        <f t="shared" si="1"/>
        <v>46.683964994496272</v>
      </c>
      <c r="F74" s="385">
        <f t="shared" si="2"/>
        <v>46.690785858346963</v>
      </c>
      <c r="G74" s="110">
        <f t="shared" si="21"/>
        <v>1.0053873048316819</v>
      </c>
      <c r="H74" s="412" t="b">
        <f>Wh_hp&gt;='2025'!Maxi_hp</f>
        <v>1</v>
      </c>
      <c r="I74" s="390">
        <f>IF(H74,Wh_hp,'2025'!Maxi_hp)</f>
        <v>46.690785858346963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6.028821936228379E-2</v>
      </c>
      <c r="M74" s="957"/>
      <c r="N74" s="957"/>
      <c r="O74" s="48">
        <f>IF(t&lt;Tnet,'2025'!Resal+('2025'!Salim-'2025'!Resal)*(1-EXP(('2025'!Tnet-t)/('2025'!Tau_j))),Resal+(Salim-Resal)*(1-EXP((Tnet-t)/(Tau_j))))*Salcycl</f>
        <v>4.4696682433495095E-2</v>
      </c>
      <c r="P74" s="169">
        <f>(INDEX(Models!$BJ74:$BT74,,T74)*(1-R74)+INDEX(Models!$BJ74:$BT74,,T74+1)*R74-ERP_i)*Q74*Ramure*Pc/MaxiM</f>
        <v>1.460858652365779E-4</v>
      </c>
      <c r="Q74" s="305">
        <f t="shared" si="4"/>
        <v>0.7</v>
      </c>
      <c r="R74" s="177">
        <f t="shared" si="5"/>
        <v>0.4821214848460742</v>
      </c>
      <c r="S74" s="919">
        <f t="shared" si="6"/>
        <v>-2</v>
      </c>
      <c r="T74" s="176">
        <f t="shared" si="7"/>
        <v>4</v>
      </c>
      <c r="U74" s="251">
        <f t="shared" si="8"/>
        <v>-1.5178785151539258</v>
      </c>
      <c r="V74" s="383">
        <f t="shared" si="9"/>
        <v>41.684087135381034</v>
      </c>
      <c r="W74" s="402">
        <f t="shared" si="10"/>
        <v>41.908652019409729</v>
      </c>
      <c r="X74" s="157">
        <f t="shared" si="11"/>
        <v>46082</v>
      </c>
      <c r="Y74" s="385">
        <f t="shared" si="12"/>
        <v>40.438422143096048</v>
      </c>
      <c r="Z74" s="385">
        <f t="shared" si="22"/>
        <v>43.032792582054618</v>
      </c>
      <c r="AA74" s="386">
        <f t="shared" si="13"/>
        <v>46.545372028450082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7.5465707831241624E-2</v>
      </c>
      <c r="AD74" s="231">
        <f>(INDEX(Models!$BJ74:$BT74,,AH74)*(1-AF74)+INDEX(Models!$BJ74:$BT74,,AH74+1)*AF74-ERP_i)*AE74*Ramure*Pc/MaxiM</f>
        <v>3.1144009941929066E-3</v>
      </c>
      <c r="AE74" s="305">
        <f t="shared" si="15"/>
        <v>0.7</v>
      </c>
      <c r="AF74" s="177">
        <f t="shared" si="23"/>
        <v>7.1090512200533418E-3</v>
      </c>
      <c r="AG74" s="919">
        <f t="shared" si="24"/>
        <v>2</v>
      </c>
      <c r="AH74" s="176">
        <f t="shared" si="16"/>
        <v>8</v>
      </c>
      <c r="AI74" s="225">
        <f t="shared" si="17"/>
        <v>2.0071090512200533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1090">
        <f>IF(t&gt;Tmaj,'2025'!Wh/'2025'!Env_an*'2026'!Env_an,0.001*'[5]mon-tableau'!$B$39)</f>
        <v>10.568758973424561</v>
      </c>
      <c r="C75" s="953"/>
      <c r="D75" s="393">
        <f t="shared" si="0"/>
        <v>11.247055404868753</v>
      </c>
      <c r="E75" s="385">
        <f t="shared" si="1"/>
        <v>11.774542958685601</v>
      </c>
      <c r="F75" s="385">
        <f t="shared" si="2"/>
        <v>11.774542958685601</v>
      </c>
      <c r="G75" s="110">
        <f t="shared" si="21"/>
        <v>0.25185740070449503</v>
      </c>
      <c r="H75" s="412" t="b">
        <f>Wh_hp&gt;='2025'!Maxi_hp</f>
        <v>0</v>
      </c>
      <c r="I75" s="390">
        <f>IF(H75,Wh_hp,'2025'!Maxi_hp)</f>
        <v>32.956677810715547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6.0308801461986472E-2</v>
      </c>
      <c r="M75" s="957"/>
      <c r="N75" s="957"/>
      <c r="O75" s="48">
        <f>IF(t&lt;Tnet,'2025'!Resal+('2025'!Salim-'2025'!Resal)*(1-EXP(('2025'!Tnet-t)/('2025'!Tau_j))),Resal+(Salim-Resal)*(1-EXP((Tnet-t)/(Tau_j))))*Salcycl</f>
        <v>4.4798983337840777E-2</v>
      </c>
      <c r="P75" s="169">
        <f>(INDEX(Models!$BJ75:$BT75,,T75)*(1-R75)+INDEX(Models!$BJ75:$BT75,,T75+1)*R75-ERP_i)*Q75*Ramure*Pc/MaxiM</f>
        <v>1.4424593942696402E-4</v>
      </c>
      <c r="Q75" s="305">
        <f t="shared" si="4"/>
        <v>0.7</v>
      </c>
      <c r="R75" s="177">
        <f t="shared" si="5"/>
        <v>0.48244210581533586</v>
      </c>
      <c r="S75" s="919">
        <f t="shared" si="6"/>
        <v>-2</v>
      </c>
      <c r="T75" s="176">
        <f t="shared" si="7"/>
        <v>4</v>
      </c>
      <c r="U75" s="251">
        <f t="shared" si="8"/>
        <v>-1.5175578941846641</v>
      </c>
      <c r="V75" s="383">
        <f t="shared" si="9"/>
        <v>41.957212467448706</v>
      </c>
      <c r="W75" s="402">
        <f t="shared" si="10"/>
        <v>10.568758973424561</v>
      </c>
      <c r="X75" s="157">
        <f t="shared" si="11"/>
        <v>46083</v>
      </c>
      <c r="Y75" s="385">
        <f t="shared" si="12"/>
        <v>10.228675978549282</v>
      </c>
      <c r="Z75" s="385">
        <f t="shared" si="22"/>
        <v>10.885146093166796</v>
      </c>
      <c r="AA75" s="386">
        <f t="shared" si="13"/>
        <v>11.774542958685601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7.553557438615767E-2</v>
      </c>
      <c r="AD75" s="231">
        <f>(INDEX(Models!$BJ75:$BT75,,AH75)*(1-AF75)+INDEX(Models!$BJ75:$BT75,,AH75+1)*AF75-ERP_i)*AE75*Ramure*Pc/MaxiM</f>
        <v>3.0993425982775813E-3</v>
      </c>
      <c r="AE75" s="305">
        <f t="shared" si="15"/>
        <v>0.7</v>
      </c>
      <c r="AF75" s="177">
        <f t="shared" si="23"/>
        <v>7.4296721893150064E-3</v>
      </c>
      <c r="AG75" s="919">
        <f t="shared" si="24"/>
        <v>2</v>
      </c>
      <c r="AH75" s="176">
        <f t="shared" si="16"/>
        <v>8</v>
      </c>
      <c r="AI75" s="225">
        <f t="shared" si="17"/>
        <v>2.007429672189315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1090">
        <f>IF(t&gt;Tmaj,'2025'!Wh/'2025'!Env_an*'2026'!Env_an,0.001*'[5]mon-tableau'!$B$40)</f>
        <v>39.624233172886321</v>
      </c>
      <c r="C76" s="953"/>
      <c r="D76" s="393">
        <f t="shared" si="0"/>
        <v>42.168215607365624</v>
      </c>
      <c r="E76" s="385">
        <f t="shared" si="1"/>
        <v>44.150631088610048</v>
      </c>
      <c r="F76" s="385">
        <f t="shared" si="2"/>
        <v>44.156346480539938</v>
      </c>
      <c r="G76" s="110">
        <f t="shared" si="21"/>
        <v>0.9383041078403076</v>
      </c>
      <c r="H76" s="412" t="b">
        <f>Wh_hp&gt;='2025'!Maxi_hp</f>
        <v>1</v>
      </c>
      <c r="I76" s="390">
        <f>IF(H76,Wh_hp,'2025'!Maxi_hp)</f>
        <v>44.156346480539938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6.0329383110888313E-2</v>
      </c>
      <c r="M76" s="957"/>
      <c r="N76" s="957"/>
      <c r="O76" s="48">
        <f>IF(t&lt;Tnet,'2025'!Resal+('2025'!Salim-'2025'!Resal)*(1-EXP(('2025'!Tnet-t)/('2025'!Tau_j))),Resal+(Salim-Resal)*(1-EXP((Tnet-t)/(Tau_j))))*Salcycl</f>
        <v>4.4901181078606266E-2</v>
      </c>
      <c r="P76" s="169">
        <f>(INDEX(Models!$BJ76:$BT76,,T76)*(1-R76)+INDEX(Models!$BJ76:$BT76,,T76+1)*R76-ERP_i)*Q76*Ramure*Pc/MaxiM</f>
        <v>1.4194343115885304E-4</v>
      </c>
      <c r="Q76" s="305">
        <f t="shared" si="4"/>
        <v>0.7</v>
      </c>
      <c r="R76" s="177">
        <f t="shared" si="5"/>
        <v>0.48277573422519371</v>
      </c>
      <c r="S76" s="919">
        <f t="shared" si="6"/>
        <v>-2</v>
      </c>
      <c r="T76" s="176">
        <f t="shared" si="7"/>
        <v>4</v>
      </c>
      <c r="U76" s="251">
        <f t="shared" si="8"/>
        <v>-1.5172242657748063</v>
      </c>
      <c r="V76" s="383">
        <f t="shared" si="9"/>
        <v>42.22909945113269</v>
      </c>
      <c r="W76" s="402">
        <f t="shared" si="10"/>
        <v>39.624233172886321</v>
      </c>
      <c r="X76" s="157">
        <f t="shared" si="11"/>
        <v>46084</v>
      </c>
      <c r="Y76" s="385">
        <f t="shared" si="12"/>
        <v>38.247593218460302</v>
      </c>
      <c r="Z76" s="385">
        <f t="shared" si="22"/>
        <v>40.7031916620777</v>
      </c>
      <c r="AA76" s="386">
        <f t="shared" si="13"/>
        <v>44.032267725416197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7.5605373861244468E-2</v>
      </c>
      <c r="AD76" s="231">
        <f>(INDEX(Models!$BJ76:$BT76,,AH76)*(1-AF76)+INDEX(Models!$BJ76:$BT76,,AH76+1)*AF76-ERP_i)*AE76*Ramure*Pc/MaxiM</f>
        <v>3.0815321945074415E-3</v>
      </c>
      <c r="AE76" s="305">
        <f t="shared" si="15"/>
        <v>0.7</v>
      </c>
      <c r="AF76" s="177">
        <f t="shared" si="23"/>
        <v>7.763300599172851E-3</v>
      </c>
      <c r="AG76" s="919">
        <f t="shared" si="24"/>
        <v>2</v>
      </c>
      <c r="AH76" s="176">
        <f t="shared" si="16"/>
        <v>8</v>
      </c>
      <c r="AI76" s="225">
        <f t="shared" si="17"/>
        <v>2.0077633005991729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1090">
        <f>IF(t&gt;Tmaj,'2025'!Wh/'2025'!Env_an*'2026'!Env_an,0.001*'[5]mon-tableau'!$B$41)</f>
        <v>4.2364044144550128</v>
      </c>
      <c r="C77" s="953"/>
      <c r="D77" s="393">
        <f t="shared" si="0"/>
        <v>4.5084917294124738</v>
      </c>
      <c r="E77" s="385">
        <f t="shared" si="1"/>
        <v>4.7209499719833508</v>
      </c>
      <c r="F77" s="385">
        <f t="shared" si="2"/>
        <v>4.7209499719833508</v>
      </c>
      <c r="G77" s="110">
        <f t="shared" si="21"/>
        <v>9.9666593219855479E-2</v>
      </c>
      <c r="H77" s="412" t="b">
        <f>Wh_hp&gt;='2025'!Maxi_hp</f>
        <v>0</v>
      </c>
      <c r="I77" s="390">
        <f>IF(H77,Wh_hp,'2025'!Maxi_hp)</f>
        <v>33.323703114447028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6.0349964308999193E-2</v>
      </c>
      <c r="M77" s="957"/>
      <c r="N77" s="957"/>
      <c r="O77" s="48">
        <f>IF(t&lt;Tnet,'2025'!Resal+('2025'!Salim-'2025'!Resal)*(1-EXP(('2025'!Tnet-t)/('2025'!Tau_j))),Resal+(Salim-Resal)*(1-EXP((Tnet-t)/(Tau_j))))*Salcycl</f>
        <v>4.5003281930907614E-2</v>
      </c>
      <c r="P77" s="169">
        <f>(INDEX(Models!$BJ77:$BT77,,T77)*(1-R77)+INDEX(Models!$BJ77:$BT77,,T77+1)*R77-ERP_i)*Q77*Ramure*Pc/MaxiM</f>
        <v>1.391858289623385E-4</v>
      </c>
      <c r="Q77" s="305">
        <f t="shared" si="4"/>
        <v>0.7</v>
      </c>
      <c r="R77" s="177">
        <f t="shared" si="5"/>
        <v>0.48312287877029192</v>
      </c>
      <c r="S77" s="919">
        <f t="shared" si="6"/>
        <v>-2</v>
      </c>
      <c r="T77" s="176">
        <f t="shared" si="7"/>
        <v>4</v>
      </c>
      <c r="U77" s="251">
        <f t="shared" si="8"/>
        <v>-1.5168771212297081</v>
      </c>
      <c r="V77" s="383">
        <f t="shared" si="9"/>
        <v>42.499845034844761</v>
      </c>
      <c r="W77" s="402">
        <f t="shared" si="10"/>
        <v>4.2364044144550128</v>
      </c>
      <c r="X77" s="157">
        <f t="shared" si="11"/>
        <v>46085</v>
      </c>
      <c r="Y77" s="385">
        <f t="shared" si="12"/>
        <v>4.1003429038122441</v>
      </c>
      <c r="Z77" s="385">
        <f t="shared" si="22"/>
        <v>4.363691532025463</v>
      </c>
      <c r="AA77" s="386">
        <f t="shared" si="13"/>
        <v>4.7209499719833508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7.5675116677374449E-2</v>
      </c>
      <c r="AD77" s="231">
        <f>(INDEX(Models!$BJ77:$BT77,,AH77)*(1-AF77)+INDEX(Models!$BJ77:$BT77,,AH77+1)*AF77-ERP_i)*AE77*Ramure*Pc/MaxiM</f>
        <v>3.0610231090649185E-3</v>
      </c>
      <c r="AE77" s="305">
        <f t="shared" si="15"/>
        <v>0.7</v>
      </c>
      <c r="AF77" s="177">
        <f t="shared" si="23"/>
        <v>8.1104451442710612E-3</v>
      </c>
      <c r="AG77" s="919">
        <f t="shared" si="24"/>
        <v>2</v>
      </c>
      <c r="AH77" s="176">
        <f t="shared" si="16"/>
        <v>8</v>
      </c>
      <c r="AI77" s="225">
        <f t="shared" si="17"/>
        <v>2.0081104451442711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1090">
        <f>IF(t&gt;Tmaj,'2025'!Wh/'2025'!Env_an*'2026'!Env_an,0.001*'[5]mon-tableau'!$B$42)</f>
        <v>15.061310703929525</v>
      </c>
      <c r="C78" s="953"/>
      <c r="D78" s="393">
        <f t="shared" si="0"/>
        <v>16.028989539107652</v>
      </c>
      <c r="E78" s="385">
        <f t="shared" si="1"/>
        <v>16.786132987795703</v>
      </c>
      <c r="F78" s="385">
        <f t="shared" si="2"/>
        <v>16.786303043148241</v>
      </c>
      <c r="G78" s="110">
        <f t="shared" si="21"/>
        <v>0.35210603354599029</v>
      </c>
      <c r="H78" s="412" t="b">
        <f>Wh_hp&gt;='2025'!Maxi_hp</f>
        <v>0</v>
      </c>
      <c r="I78" s="390">
        <f>IF(H78,Wh_hp,'2025'!Maxi_hp)</f>
        <v>47.032781812856342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6.0370545056329106E-2</v>
      </c>
      <c r="M78" s="957"/>
      <c r="N78" s="957"/>
      <c r="O78" s="48">
        <f>IF(t&lt;Tnet,'2025'!Resal+('2025'!Salim-'2025'!Resal)*(1-EXP(('2025'!Tnet-t)/('2025'!Tau_j))),Resal+(Salim-Resal)*(1-EXP((Tnet-t)/(Tau_j))))*Salcycl</f>
        <v>4.5105293115366638E-2</v>
      </c>
      <c r="P78" s="169">
        <f>(INDEX(Models!$BJ78:$BT78,,T78)*(1-R78)+INDEX(Models!$BJ78:$BT78,,T78+1)*R78-ERP_i)*Q78*Ramure*Pc/MaxiM</f>
        <v>1.3598031490967728E-4</v>
      </c>
      <c r="Q78" s="305">
        <f t="shared" si="4"/>
        <v>0.7</v>
      </c>
      <c r="R78" s="177">
        <f t="shared" si="5"/>
        <v>0.48348406644218755</v>
      </c>
      <c r="S78" s="919">
        <f t="shared" si="6"/>
        <v>-2</v>
      </c>
      <c r="T78" s="176">
        <f t="shared" si="7"/>
        <v>4</v>
      </c>
      <c r="U78" s="251">
        <f t="shared" si="8"/>
        <v>-1.5165159335578124</v>
      </c>
      <c r="V78" s="383">
        <f t="shared" si="9"/>
        <v>42.76954606950715</v>
      </c>
      <c r="W78" s="402">
        <f t="shared" si="10"/>
        <v>15.061310703929525</v>
      </c>
      <c r="X78" s="157">
        <f t="shared" si="11"/>
        <v>46086</v>
      </c>
      <c r="Y78" s="385">
        <f t="shared" si="12"/>
        <v>14.574889652607029</v>
      </c>
      <c r="Z78" s="385">
        <f t="shared" si="22"/>
        <v>15.51131627039168</v>
      </c>
      <c r="AA78" s="386">
        <f t="shared" si="13"/>
        <v>16.782503921610648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7.5744814787862075E-2</v>
      </c>
      <c r="AD78" s="231">
        <f>(INDEX(Models!$BJ78:$BT78,,AH78)*(1-AF78)+INDEX(Models!$BJ78:$BT78,,AH78+1)*AF78-ERP_i)*AE78*Ramure*Pc/MaxiM</f>
        <v>3.0378681726454149E-3</v>
      </c>
      <c r="AE78" s="305">
        <f t="shared" si="15"/>
        <v>0.7</v>
      </c>
      <c r="AF78" s="177">
        <f t="shared" si="23"/>
        <v>8.4716328161666965E-3</v>
      </c>
      <c r="AG78" s="919">
        <f t="shared" si="24"/>
        <v>2</v>
      </c>
      <c r="AH78" s="176">
        <f t="shared" si="16"/>
        <v>8</v>
      </c>
      <c r="AI78" s="225">
        <f t="shared" si="17"/>
        <v>2.0084716328161667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1090">
        <f>IF(t&gt;Tmaj,'2025'!Wh/'2025'!Env_an*'2026'!Env_an,0.001*'[5]mon-tableau'!$B$43)</f>
        <v>21.323428357397052</v>
      </c>
      <c r="C79" s="953"/>
      <c r="D79" s="393">
        <f t="shared" ref="D79:D142" si="25">Wh/(1-Ppv)</f>
        <v>22.693940992634268</v>
      </c>
      <c r="E79" s="385">
        <f t="shared" si="1"/>
        <v>23.768446446714744</v>
      </c>
      <c r="F79" s="385">
        <f t="shared" ref="F79:F142" si="26">Wh_sa/(1-Pvg*MEDIAN((-Sdif+Wh/Env_an)/Csdif,0,1))</f>
        <v>23.769324693752871</v>
      </c>
      <c r="G79" s="110">
        <f t="shared" si="21"/>
        <v>0.49540068422819444</v>
      </c>
      <c r="H79" s="412" t="b">
        <f>Wh_hp&gt;='2025'!Maxi_hp</f>
        <v>0</v>
      </c>
      <c r="I79" s="390">
        <f>IF(H79,Wh_hp,'2025'!Maxi_hp)</f>
        <v>24.181479709212134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6.039112535288782E-2</v>
      </c>
      <c r="M79" s="957"/>
      <c r="N79" s="957"/>
      <c r="O79" s="48">
        <f>IF(t&lt;Tnet,'2025'!Resal+('2025'!Salim-'2025'!Resal)*(1-EXP(('2025'!Tnet-t)/('2025'!Tau_j))),Resal+(Salim-Resal)*(1-EXP((Tnet-t)/(Tau_j))))*Salcycl</f>
        <v>4.5207222798063697E-2</v>
      </c>
      <c r="P79" s="169">
        <f>(INDEX(Models!$BJ79:$BT79,,T79)*(1-R79)+INDEX(Models!$BJ79:$BT79,,T79+1)*R79-ERP_i)*Q79*Ramure*Pc/MaxiM</f>
        <v>1.323325816089716E-4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0.48385984305208574</v>
      </c>
      <c r="S79" s="919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-1.5161401569479143</v>
      </c>
      <c r="V79" s="383">
        <f t="shared" ref="V79:V142" si="33">MaxiM*(1-Ppv)*(1-Pvg)*(1-Psa)</f>
        <v>43.038685756647823</v>
      </c>
      <c r="W79" s="402">
        <f t="shared" ref="W79:W142" si="34">Wh*(A79&gt;Tmaj)</f>
        <v>21.323428357397052</v>
      </c>
      <c r="X79" s="157">
        <f t="shared" ref="X79:X142" si="35">t</f>
        <v>46087</v>
      </c>
      <c r="Y79" s="385">
        <f t="shared" ref="Y79:Y142" si="36">Wh_pvt_s*(1-Ppv)</f>
        <v>20.623278775698921</v>
      </c>
      <c r="Z79" s="385">
        <f t="shared" ref="Z79:Z142" si="37">Wh_sa_s*(1-Psa_s)</f>
        <v>21.948790962031282</v>
      </c>
      <c r="AA79" s="386">
        <f t="shared" ref="AA79:AA142" si="38">Wh_hp*(1-Pvg_s*MEDIAN((-Sdif+Wh/Env_an)/Csdif,0,1))</f>
        <v>23.74933444278367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7.5814481668537562E-2</v>
      </c>
      <c r="AD79" s="231">
        <f>(INDEX(Models!$BJ79:$BT79,,AH79)*(1-AF79)+INDEX(Models!$BJ79:$BT79,,AH79+1)*AF79-ERP_i)*AE79*Ramure*Pc/MaxiM</f>
        <v>3.0120927289517012E-3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8.8474094260648783E-3</v>
      </c>
      <c r="AG79" s="91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2.0088474094260649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1090">
        <f>IF(t&gt;Tmaj,'2025'!Wh/'2025'!Env_an*'2026'!Env_an,0.001*'[5]mon-tableau'!$B$44)</f>
        <v>32.353297222457563</v>
      </c>
      <c r="C80" s="953"/>
      <c r="D80" s="393">
        <f t="shared" si="25"/>
        <v>34.433482623683588</v>
      </c>
      <c r="E80" s="385">
        <f t="shared" ref="E80:E143" si="47">Wh_pvt/(1-Psa)</f>
        <v>36.067675836630578</v>
      </c>
      <c r="F80" s="385">
        <f t="shared" si="26"/>
        <v>36.070630512549442</v>
      </c>
      <c r="G80" s="110">
        <f t="shared" ref="G80:G143" si="48">+Wh_hp/MaxiM</f>
        <v>0.7470254786375029</v>
      </c>
      <c r="H80" s="412" t="b">
        <f>Wh_hp&gt;='2025'!Maxi_hp</f>
        <v>0</v>
      </c>
      <c r="I80" s="390">
        <f>IF(H80,Wh_hp,'2025'!Maxi_hp)</f>
        <v>43.018931785268983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6.0411705198685217E-2</v>
      </c>
      <c r="M80" s="957"/>
      <c r="N80" s="957"/>
      <c r="O80" s="48">
        <f>IF(t&lt;Tnet,'2025'!Resal+('2025'!Salim-'2025'!Resal)*(1-EXP(('2025'!Tnet-t)/('2025'!Tau_j))),Resal+(Salim-Resal)*(1-EXP((Tnet-t)/(Tau_j))))*Salcycl</f>
        <v>4.5309080084591738E-2</v>
      </c>
      <c r="P80" s="169">
        <f>(INDEX(Models!$BJ80:$BT80,,T80)*(1-R80)+INDEX(Models!$BJ80:$BT80,,T80+1)*R80-ERP_i)*Q80*Ramure*Pc/MaxiM</f>
        <v>1.2825911639617686E-4</v>
      </c>
      <c r="Q80" s="305">
        <f t="shared" si="28"/>
        <v>0.7</v>
      </c>
      <c r="R80" s="177">
        <f t="shared" si="29"/>
        <v>0.48425077375652137</v>
      </c>
      <c r="S80" s="919">
        <f t="shared" si="30"/>
        <v>-2</v>
      </c>
      <c r="T80" s="176">
        <f t="shared" si="31"/>
        <v>4</v>
      </c>
      <c r="U80" s="251">
        <f t="shared" si="32"/>
        <v>-1.5157492262434786</v>
      </c>
      <c r="V80" s="383">
        <f t="shared" si="33"/>
        <v>43.307488961431964</v>
      </c>
      <c r="W80" s="402">
        <f t="shared" si="34"/>
        <v>32.353297222457563</v>
      </c>
      <c r="X80" s="157">
        <f t="shared" si="35"/>
        <v>46088</v>
      </c>
      <c r="Y80" s="385">
        <f t="shared" si="36"/>
        <v>31.260059982961899</v>
      </c>
      <c r="Z80" s="385">
        <f t="shared" si="37"/>
        <v>33.269954676874882</v>
      </c>
      <c r="AA80" s="386">
        <f t="shared" si="38"/>
        <v>36.001929887440546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7.5884132298105589E-2</v>
      </c>
      <c r="AD80" s="231">
        <f>(INDEX(Models!$BJ80:$BT80,,AH80)*(1-AF80)+INDEX(Models!$BJ80:$BT80,,AH80+1)*AF80-ERP_i)*AE80*Ramure*Pc/MaxiM</f>
        <v>2.9822158890802229E-3</v>
      </c>
      <c r="AE80" s="305">
        <f t="shared" si="40"/>
        <v>0.7</v>
      </c>
      <c r="AF80" s="177">
        <f t="shared" si="41"/>
        <v>9.2383401305005108E-3</v>
      </c>
      <c r="AG80" s="919">
        <f t="shared" ref="AG80:AG143" si="49">INDEX(Echel_vg,AH80)</f>
        <v>2</v>
      </c>
      <c r="AH80" s="176">
        <f t="shared" si="42"/>
        <v>8</v>
      </c>
      <c r="AI80" s="225">
        <f t="shared" si="43"/>
        <v>2.0092383401305005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1090">
        <f>IF(t&gt;Tmaj,'2025'!Wh/'2025'!Env_an*'2026'!Env_an,0.001*'[5]mon-tableau'!$B$45)</f>
        <v>31.035506995570088</v>
      </c>
      <c r="C81" s="953"/>
      <c r="D81" s="393">
        <f t="shared" si="25"/>
        <v>33.031687324580268</v>
      </c>
      <c r="E81" s="385">
        <f t="shared" si="47"/>
        <v>34.603041727371881</v>
      </c>
      <c r="F81" s="385">
        <f t="shared" si="26"/>
        <v>34.605566753102543</v>
      </c>
      <c r="G81" s="110">
        <f t="shared" si="48"/>
        <v>0.71218487971487965</v>
      </c>
      <c r="H81" s="412" t="b">
        <f>Wh_hp&gt;='2025'!Maxi_hp</f>
        <v>1</v>
      </c>
      <c r="I81" s="390">
        <f>IF(H81,Wh_hp,'2025'!Maxi_hp)</f>
        <v>34.605566753102543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6.0432284593731178E-2</v>
      </c>
      <c r="M81" s="957"/>
      <c r="N81" s="957"/>
      <c r="O81" s="48">
        <f>IF(t&lt;Tnet,'2025'!Resal+('2025'!Salim-'2025'!Resal)*(1-EXP(('2025'!Tnet-t)/('2025'!Tau_j))),Resal+(Salim-Resal)*(1-EXP((Tnet-t)/(Tau_j))))*Salcycl</f>
        <v>4.541087500838497E-2</v>
      </c>
      <c r="P81" s="169">
        <f>(INDEX(Models!$BJ81:$BT81,,T81)*(1-R81)+INDEX(Models!$BJ81:$BT81,,T81+1)*R81-ERP_i)*Q81*Ramure*Pc/MaxiM</f>
        <v>1.2390464808681876E-4</v>
      </c>
      <c r="Q81" s="305">
        <f t="shared" si="28"/>
        <v>0.7</v>
      </c>
      <c r="R81" s="177">
        <f t="shared" si="29"/>
        <v>0.48465744358473151</v>
      </c>
      <c r="S81" s="919">
        <f t="shared" si="30"/>
        <v>-2</v>
      </c>
      <c r="T81" s="176">
        <f t="shared" si="31"/>
        <v>4</v>
      </c>
      <c r="U81" s="251">
        <f t="shared" si="32"/>
        <v>-1.5153425564152685</v>
      </c>
      <c r="V81" s="383">
        <f t="shared" si="33"/>
        <v>43.575659711042306</v>
      </c>
      <c r="W81" s="402">
        <f t="shared" si="34"/>
        <v>31.035506995570088</v>
      </c>
      <c r="X81" s="157">
        <f t="shared" si="35"/>
        <v>46089</v>
      </c>
      <c r="Y81" s="385">
        <f t="shared" si="36"/>
        <v>29.99251258979341</v>
      </c>
      <c r="Z81" s="385">
        <f t="shared" si="37"/>
        <v>31.921608307736133</v>
      </c>
      <c r="AA81" s="386">
        <f t="shared" si="38"/>
        <v>34.545467234133241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7.5953783129167285E-2</v>
      </c>
      <c r="AD81" s="231">
        <f>(INDEX(Models!$BJ81:$BT81,,AH81)*(1-AF81)+INDEX(Models!$BJ81:$BT81,,AH81+1)*AF81-ERP_i)*AE81*Ramure*Pc/MaxiM</f>
        <v>2.9491223228581011E-3</v>
      </c>
      <c r="AE81" s="305">
        <f t="shared" si="40"/>
        <v>0.7</v>
      </c>
      <c r="AF81" s="177">
        <f t="shared" si="41"/>
        <v>9.6450099587106486E-3</v>
      </c>
      <c r="AG81" s="919">
        <f t="shared" si="49"/>
        <v>2</v>
      </c>
      <c r="AH81" s="176">
        <f t="shared" si="42"/>
        <v>8</v>
      </c>
      <c r="AI81" s="225">
        <f t="shared" si="43"/>
        <v>2.0096450099587106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1090">
        <f>IF(t&gt;Tmaj,'2025'!Wh/'2025'!Env_an*'2026'!Env_an,0.001*'[5]mon-tableau'!$B$46)</f>
        <v>32.75792616363465</v>
      </c>
      <c r="C82" s="953"/>
      <c r="D82" s="393">
        <f t="shared" si="25"/>
        <v>34.865654837702529</v>
      </c>
      <c r="E82" s="385">
        <f t="shared" si="47"/>
        <v>36.528146431234255</v>
      </c>
      <c r="F82" s="385">
        <f t="shared" si="26"/>
        <v>36.530929841257525</v>
      </c>
      <c r="G82" s="110">
        <f t="shared" si="48"/>
        <v>0.74713371532338935</v>
      </c>
      <c r="H82" s="412" t="b">
        <f>Wh_hp&gt;='2025'!Maxi_hp</f>
        <v>0</v>
      </c>
      <c r="I82" s="390">
        <f>IF(H82,Wh_hp,'2025'!Maxi_hp)</f>
        <v>44.616353864796501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6.0452863538035473E-2</v>
      </c>
      <c r="M82" s="957"/>
      <c r="N82" s="957"/>
      <c r="O82" s="48">
        <f>IF(t&lt;Tnet,'2025'!Resal+('2025'!Salim-'2025'!Resal)*(1-EXP(('2025'!Tnet-t)/('2025'!Tau_j))),Resal+(Salim-Resal)*(1-EXP((Tnet-t)/(Tau_j))))*Salcycl</f>
        <v>4.5512618513546474E-2</v>
      </c>
      <c r="P82" s="169">
        <f>(INDEX(Models!$BJ82:$BT82,,T82)*(1-R82)+INDEX(Models!$BJ82:$BT82,,T82+1)*R82-ERP_i)*Q82*Ramure*Pc/MaxiM</f>
        <v>1.1927400887146842E-4</v>
      </c>
      <c r="Q82" s="305">
        <f t="shared" si="28"/>
        <v>0.7</v>
      </c>
      <c r="R82" s="177">
        <f t="shared" si="29"/>
        <v>0.48508045796631838</v>
      </c>
      <c r="S82" s="919">
        <f t="shared" si="30"/>
        <v>-2</v>
      </c>
      <c r="T82" s="176">
        <f t="shared" si="31"/>
        <v>4</v>
      </c>
      <c r="U82" s="251">
        <f t="shared" si="32"/>
        <v>-1.5149195420336816</v>
      </c>
      <c r="V82" s="383">
        <f t="shared" si="33"/>
        <v>43.84290810030155</v>
      </c>
      <c r="W82" s="402">
        <f t="shared" si="34"/>
        <v>32.75792616363465</v>
      </c>
      <c r="X82" s="157">
        <f t="shared" si="35"/>
        <v>46090</v>
      </c>
      <c r="Y82" s="385">
        <f t="shared" si="36"/>
        <v>31.654201911767565</v>
      </c>
      <c r="Z82" s="385">
        <f t="shared" si="37"/>
        <v>33.690914147178624</v>
      </c>
      <c r="AA82" s="386">
        <f t="shared" si="38"/>
        <v>36.462953764293012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7.6023452050364412E-2</v>
      </c>
      <c r="AD82" s="231">
        <f>(INDEX(Models!$BJ82:$BT82,,AH82)*(1-AF82)+INDEX(Models!$BJ82:$BT82,,AH82+1)*AF82-ERP_i)*AE82*Ramure*Pc/MaxiM</f>
        <v>2.9128943055943702E-3</v>
      </c>
      <c r="AE82" s="305">
        <f t="shared" si="40"/>
        <v>0.7</v>
      </c>
      <c r="AF82" s="177">
        <f t="shared" si="41"/>
        <v>1.0068024340297299E-2</v>
      </c>
      <c r="AG82" s="919">
        <f t="shared" si="49"/>
        <v>2</v>
      </c>
      <c r="AH82" s="176">
        <f t="shared" si="42"/>
        <v>8</v>
      </c>
      <c r="AI82" s="225">
        <f t="shared" si="43"/>
        <v>2.0100680243402973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1090">
        <f>IF(t&gt;Tmaj,'2025'!Wh/'2025'!Env_an*'2026'!Env_an,0.001*'[5]mon-tableau'!$B$47)</f>
        <v>23.707703310449293</v>
      </c>
      <c r="C83" s="953"/>
      <c r="D83" s="393">
        <f t="shared" si="25"/>
        <v>25.233670202696796</v>
      </c>
      <c r="E83" s="385">
        <f t="shared" si="47"/>
        <v>26.439699165446285</v>
      </c>
      <c r="F83" s="385">
        <f t="shared" si="26"/>
        <v>26.4407251052086</v>
      </c>
      <c r="G83" s="110">
        <f t="shared" si="48"/>
        <v>0.53744001379267248</v>
      </c>
      <c r="H83" s="412" t="b">
        <f>Wh_hp&gt;='2025'!Maxi_hp</f>
        <v>0</v>
      </c>
      <c r="I83" s="390">
        <f>IF(H83,Wh_hp,'2025'!Maxi_hp)</f>
        <v>45.293809105395539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6.0473442031608204E-2</v>
      </c>
      <c r="M83" s="957"/>
      <c r="N83" s="957"/>
      <c r="O83" s="48">
        <f>IF(t&lt;Tnet,'2025'!Resal+('2025'!Salim-'2025'!Resal)*(1-EXP(('2025'!Tnet-t)/('2025'!Tau_j))),Resal+(Salim-Resal)*(1-EXP((Tnet-t)/(Tau_j))))*Salcycl</f>
        <v>4.5614322432443982E-2</v>
      </c>
      <c r="P83" s="169">
        <f>(INDEX(Models!$BJ83:$BT83,,T83)*(1-R83)+INDEX(Models!$BJ83:$BT83,,T83+1)*R83-ERP_i)*Q83*Ramure*Pc/MaxiM</f>
        <v>1.1437163866224725E-4</v>
      </c>
      <c r="Q83" s="305">
        <f t="shared" si="28"/>
        <v>0.7</v>
      </c>
      <c r="R83" s="177">
        <f t="shared" si="29"/>
        <v>0.4855204432576552</v>
      </c>
      <c r="S83" s="919">
        <f t="shared" si="30"/>
        <v>-2</v>
      </c>
      <c r="T83" s="176">
        <f t="shared" si="31"/>
        <v>4</v>
      </c>
      <c r="U83" s="251">
        <f t="shared" si="32"/>
        <v>-1.5144795567423448</v>
      </c>
      <c r="V83" s="383">
        <f t="shared" si="33"/>
        <v>44.108944325122494</v>
      </c>
      <c r="W83" s="402">
        <f t="shared" si="34"/>
        <v>23.707703310449293</v>
      </c>
      <c r="X83" s="157">
        <f t="shared" si="35"/>
        <v>46091</v>
      </c>
      <c r="Y83" s="385">
        <f t="shared" si="36"/>
        <v>22.929099916613321</v>
      </c>
      <c r="Z83" s="385">
        <f t="shared" si="37"/>
        <v>24.404951325904634</v>
      </c>
      <c r="AA83" s="386">
        <f t="shared" si="38"/>
        <v>26.414948158691406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7.6093158340173314E-2</v>
      </c>
      <c r="AD83" s="231">
        <f>(INDEX(Models!$BJ83:$BT83,,AH83)*(1-AF83)+INDEX(Models!$BJ83:$BT83,,AH83+1)*AF83-ERP_i)*AE83*Ramure*Pc/MaxiM</f>
        <v>2.8736108309376659E-3</v>
      </c>
      <c r="AE83" s="305">
        <f t="shared" si="40"/>
        <v>0.7</v>
      </c>
      <c r="AF83" s="177">
        <f t="shared" si="41"/>
        <v>1.0508009631634341E-2</v>
      </c>
      <c r="AG83" s="919">
        <f t="shared" si="49"/>
        <v>2</v>
      </c>
      <c r="AH83" s="176">
        <f t="shared" si="42"/>
        <v>8</v>
      </c>
      <c r="AI83" s="225">
        <f t="shared" si="43"/>
        <v>2.0105080096316343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1090">
        <f>IF(t&gt;Tmaj,'2025'!Wh/'2025'!Env_an*'2026'!Env_an,0.001*'[5]mon-tableau'!$B$48)</f>
        <v>15.806441798990791</v>
      </c>
      <c r="C84" s="953"/>
      <c r="D84" s="393">
        <f t="shared" si="25"/>
        <v>16.824205632244624</v>
      </c>
      <c r="E84" s="385">
        <f t="shared" si="47"/>
        <v>17.630187263640444</v>
      </c>
      <c r="F84" s="385">
        <f t="shared" si="26"/>
        <v>17.630341872309732</v>
      </c>
      <c r="G84" s="110">
        <f t="shared" si="48"/>
        <v>0.35617794187228408</v>
      </c>
      <c r="H84" s="412" t="b">
        <f>Wh_hp&gt;='2025'!Maxi_hp</f>
        <v>0</v>
      </c>
      <c r="I84" s="390">
        <f>IF(H84,Wh_hp,'2025'!Maxi_hp)</f>
        <v>36.273412618426136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6.0494020074459032E-2</v>
      </c>
      <c r="M84" s="957"/>
      <c r="N84" s="957"/>
      <c r="O84" s="48">
        <f>IF(t&lt;Tnet,'2025'!Resal+('2025'!Salim-'2025'!Resal)*(1-EXP(('2025'!Tnet-t)/('2025'!Tau_j))),Resal+(Salim-Resal)*(1-EXP((Tnet-t)/(Tau_j))))*Salcycl</f>
        <v>4.5715999458385344E-2</v>
      </c>
      <c r="P84" s="169">
        <f>(INDEX(Models!$BJ84:$BT84,,T84)*(1-R84)+INDEX(Models!$BJ84:$BT84,,T84+1)*R84-ERP_i)*Q84*Ramure*Pc/MaxiM</f>
        <v>1.0920155980801081E-4</v>
      </c>
      <c r="Q84" s="305">
        <f t="shared" si="28"/>
        <v>0.7</v>
      </c>
      <c r="R84" s="177">
        <f t="shared" si="29"/>
        <v>0.4859780472653199</v>
      </c>
      <c r="S84" s="919">
        <f t="shared" si="30"/>
        <v>-2</v>
      </c>
      <c r="T84" s="176">
        <f t="shared" si="31"/>
        <v>4</v>
      </c>
      <c r="U84" s="251">
        <f t="shared" si="32"/>
        <v>-1.5140219527346801</v>
      </c>
      <c r="V84" s="383">
        <f t="shared" si="33"/>
        <v>44.373478682961775</v>
      </c>
      <c r="W84" s="402">
        <f t="shared" si="34"/>
        <v>15.806441798990791</v>
      </c>
      <c r="X84" s="157">
        <f t="shared" si="35"/>
        <v>46092</v>
      </c>
      <c r="Y84" s="385">
        <f t="shared" si="36"/>
        <v>15.298784005069781</v>
      </c>
      <c r="Z84" s="385">
        <f t="shared" si="37"/>
        <v>16.283860169024429</v>
      </c>
      <c r="AA84" s="386">
        <f t="shared" si="38"/>
        <v>17.626333222174836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7.616292261294054E-2</v>
      </c>
      <c r="AD84" s="231">
        <f>(INDEX(Models!$BJ84:$BT84,,AH84)*(1-AF84)+INDEX(Models!$BJ84:$BT84,,AH84+1)*AF84-ERP_i)*AE84*Ramure*Pc/MaxiM</f>
        <v>2.8313473589658511E-3</v>
      </c>
      <c r="AE84" s="305">
        <f t="shared" si="40"/>
        <v>0.7</v>
      </c>
      <c r="AF84" s="177">
        <f t="shared" si="41"/>
        <v>1.0965613639299043E-2</v>
      </c>
      <c r="AG84" s="919">
        <f t="shared" si="49"/>
        <v>2</v>
      </c>
      <c r="AH84" s="176">
        <f t="shared" si="42"/>
        <v>8</v>
      </c>
      <c r="AI84" s="225">
        <f t="shared" si="43"/>
        <v>2.010965613639299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1090">
        <f>IF(t&gt;Tmaj,'2025'!Wh/'2025'!Env_an*'2026'!Env_an,0.001*'[5]mon-tableau'!$B$49)</f>
        <v>13.051907451594566</v>
      </c>
      <c r="C85" s="953"/>
      <c r="D85" s="393">
        <f t="shared" si="25"/>
        <v>13.892613359587614</v>
      </c>
      <c r="E85" s="385">
        <f t="shared" si="47"/>
        <v>14.559705019192112</v>
      </c>
      <c r="F85" s="385">
        <f t="shared" si="26"/>
        <v>14.559705019192112</v>
      </c>
      <c r="G85" s="110">
        <f t="shared" si="48"/>
        <v>0.2923758470085967</v>
      </c>
      <c r="H85" s="412" t="b">
        <f>Wh_hp&gt;='2025'!Maxi_hp</f>
        <v>0</v>
      </c>
      <c r="I85" s="390">
        <f>IF(H85,Wh_hp,'2025'!Maxi_hp)</f>
        <v>43.935491435363161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6.0514597666597947E-2</v>
      </c>
      <c r="M85" s="957"/>
      <c r="N85" s="957"/>
      <c r="O85" s="48">
        <f>IF(t&lt;Tnet,'2025'!Resal+('2025'!Salim-'2025'!Resal)*(1-EXP(('2025'!Tnet-t)/('2025'!Tau_j))),Resal+(Salim-Resal)*(1-EXP((Tnet-t)/(Tau_j))))*Salcycl</f>
        <v>4.5817663113721062E-2</v>
      </c>
      <c r="P85" s="169">
        <f>(INDEX(Models!$BJ85:$BT85,,T85)*(1-R85)+INDEX(Models!$BJ85:$BT85,,T85+1)*R85-ERP_i)*Q85*Ramure*Pc/MaxiM</f>
        <v>1.0376735182232626E-4</v>
      </c>
      <c r="Q85" s="305">
        <f t="shared" si="28"/>
        <v>0.7</v>
      </c>
      <c r="R85" s="177">
        <f t="shared" si="29"/>
        <v>0.48645393976467521</v>
      </c>
      <c r="S85" s="919">
        <f t="shared" si="30"/>
        <v>-2</v>
      </c>
      <c r="T85" s="176">
        <f t="shared" si="31"/>
        <v>4</v>
      </c>
      <c r="U85" s="251">
        <f t="shared" si="32"/>
        <v>-1.5135460602353248</v>
      </c>
      <c r="V85" s="383">
        <f t="shared" si="33"/>
        <v>44.63622157318062</v>
      </c>
      <c r="W85" s="402">
        <f t="shared" si="34"/>
        <v>13.051907451594566</v>
      </c>
      <c r="X85" s="157">
        <f t="shared" si="35"/>
        <v>46093</v>
      </c>
      <c r="Y85" s="385">
        <f t="shared" si="36"/>
        <v>12.635870492465083</v>
      </c>
      <c r="Z85" s="385">
        <f t="shared" si="37"/>
        <v>13.449778422401605</v>
      </c>
      <c r="AA85" s="386">
        <f t="shared" si="38"/>
        <v>14.559705019192112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7.623276675780441E-2</v>
      </c>
      <c r="AD85" s="231">
        <f>(INDEX(Models!$BJ85:$BT85,,AH85)*(1-AF85)+INDEX(Models!$BJ85:$BT85,,AH85+1)*AF85-ERP_i)*AE85*Ramure*Pc/MaxiM</f>
        <v>2.7861755674179933E-3</v>
      </c>
      <c r="AE85" s="305">
        <f t="shared" si="40"/>
        <v>0.7</v>
      </c>
      <c r="AF85" s="177">
        <f t="shared" si="41"/>
        <v>1.1441506138654134E-2</v>
      </c>
      <c r="AG85" s="919">
        <f t="shared" si="49"/>
        <v>2</v>
      </c>
      <c r="AH85" s="176">
        <f t="shared" si="42"/>
        <v>8</v>
      </c>
      <c r="AI85" s="225">
        <f t="shared" si="43"/>
        <v>2.0114415061386541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1090">
        <f>IF(t&gt;Tmaj,'2025'!Wh/'2025'!Env_an*'2026'!Env_an,0.001*'[5]mon-tableau'!$B$50)</f>
        <v>12.28550695179082</v>
      </c>
      <c r="C86" s="953"/>
      <c r="D86" s="393">
        <f t="shared" si="25"/>
        <v>13.077133515116401</v>
      </c>
      <c r="E86" s="385">
        <f t="shared" si="47"/>
        <v>13.706528069350647</v>
      </c>
      <c r="F86" s="385">
        <f t="shared" si="26"/>
        <v>13.706528069350647</v>
      </c>
      <c r="G86" s="110">
        <f t="shared" si="48"/>
        <v>0.27361146539522735</v>
      </c>
      <c r="H86" s="412" t="b">
        <f>Wh_hp&gt;='2025'!Maxi_hp</f>
        <v>0</v>
      </c>
      <c r="I86" s="390">
        <f>IF(H86,Wh_hp,'2025'!Maxi_hp)</f>
        <v>42.800557177693996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6.053517480803472E-2</v>
      </c>
      <c r="M86" s="957"/>
      <c r="N86" s="957"/>
      <c r="O86" s="48">
        <f>IF(t&lt;Tnet,'2025'!Resal+('2025'!Salim-'2025'!Resal)*(1-EXP(('2025'!Tnet-t)/('2025'!Tau_j))),Resal+(Salim-Resal)*(1-EXP((Tnet-t)/(Tau_j))))*Salcycl</f>
        <v>4.5919327713751457E-2</v>
      </c>
      <c r="P86" s="169">
        <f>(INDEX(Models!$BJ86:$BT86,,T86)*(1-R86)+INDEX(Models!$BJ86:$BT86,,T86+1)*R86-ERP_i)*Q86*Ramure*Pc/MaxiM</f>
        <v>9.8279598274908414E-5</v>
      </c>
      <c r="Q86" s="305">
        <f t="shared" si="28"/>
        <v>0.7</v>
      </c>
      <c r="R86" s="177">
        <f t="shared" si="29"/>
        <v>0.48694881301152093</v>
      </c>
      <c r="S86" s="919">
        <f t="shared" si="30"/>
        <v>-2</v>
      </c>
      <c r="T86" s="176">
        <f t="shared" si="31"/>
        <v>4</v>
      </c>
      <c r="U86" s="251">
        <f t="shared" si="32"/>
        <v>-1.5130511869884791</v>
      </c>
      <c r="V86" s="383">
        <f t="shared" si="33"/>
        <v>44.896874183830427</v>
      </c>
      <c r="W86" s="402">
        <f t="shared" si="34"/>
        <v>12.28550695179082</v>
      </c>
      <c r="X86" s="157">
        <f t="shared" si="35"/>
        <v>46094</v>
      </c>
      <c r="Y86" s="385">
        <f t="shared" si="36"/>
        <v>11.894266134636773</v>
      </c>
      <c r="Z86" s="385">
        <f t="shared" si="37"/>
        <v>12.660682779907551</v>
      </c>
      <c r="AA86" s="386">
        <f t="shared" si="38"/>
        <v>13.706528069350647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7.6302713871189948E-2</v>
      </c>
      <c r="AD86" s="231">
        <f>(INDEX(Models!$BJ86:$BT86,,AH86)*(1-AF86)+INDEX(Models!$BJ86:$BT86,,AH86+1)*AF86-ERP_i)*AE86*Ramure*Pc/MaxiM</f>
        <v>2.738462360337817E-3</v>
      </c>
      <c r="AE86" s="305">
        <f t="shared" si="40"/>
        <v>0.7</v>
      </c>
      <c r="AF86" s="177">
        <f t="shared" si="41"/>
        <v>1.1936379385500295E-2</v>
      </c>
      <c r="AG86" s="919">
        <f t="shared" si="49"/>
        <v>2</v>
      </c>
      <c r="AH86" s="176">
        <f t="shared" si="42"/>
        <v>8</v>
      </c>
      <c r="AI86" s="225">
        <f t="shared" si="43"/>
        <v>2.0119363793855003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1090">
        <f>IF(t&gt;Tmaj,'2025'!Wh/'2025'!Env_an*'2026'!Env_an,0.001*'[5]mon-tableau'!$B$51)</f>
        <v>12.97884149516149</v>
      </c>
      <c r="C87" s="953"/>
      <c r="D87" s="393">
        <f t="shared" si="25"/>
        <v>13.815446223517569</v>
      </c>
      <c r="E87" s="385">
        <f t="shared" si="47"/>
        <v>14.481918725785595</v>
      </c>
      <c r="F87" s="385">
        <f t="shared" si="26"/>
        <v>14.481918725785595</v>
      </c>
      <c r="G87" s="110">
        <f t="shared" si="48"/>
        <v>0.28740107601443138</v>
      </c>
      <c r="H87" s="412" t="b">
        <f>Wh_hp&gt;='2025'!Maxi_hp</f>
        <v>0</v>
      </c>
      <c r="I87" s="390">
        <f>IF(H87,Wh_hp,'2025'!Maxi_hp)</f>
        <v>36.891466840324576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6.0555751498779342E-2</v>
      </c>
      <c r="M87" s="957"/>
      <c r="N87" s="957"/>
      <c r="O87" s="48">
        <f>IF(t&lt;Tnet,'2025'!Resal+('2025'!Salim-'2025'!Resal)*(1-EXP(('2025'!Tnet-t)/('2025'!Tau_j))),Resal+(Salim-Resal)*(1-EXP((Tnet-t)/(Tau_j))))*Salcycl</f>
        <v>4.6021008326841951E-2</v>
      </c>
      <c r="P87" s="169">
        <f>(INDEX(Models!$BJ87:$BT87,,T87)*(1-R87)+INDEX(Models!$BJ87:$BT87,,T87+1)*R87-ERP_i)*Q87*Ramure*Pc/MaxiM</f>
        <v>9.3071077920560077E-5</v>
      </c>
      <c r="Q87" s="305">
        <f t="shared" si="28"/>
        <v>0.7</v>
      </c>
      <c r="R87" s="177">
        <f t="shared" si="29"/>
        <v>0.48746338224455865</v>
      </c>
      <c r="S87" s="919">
        <f t="shared" si="30"/>
        <v>-2</v>
      </c>
      <c r="T87" s="176">
        <f t="shared" si="31"/>
        <v>4</v>
      </c>
      <c r="U87" s="251">
        <f t="shared" si="32"/>
        <v>-1.5125366177554413</v>
      </c>
      <c r="V87" s="383">
        <f t="shared" si="33"/>
        <v>45.155132055739848</v>
      </c>
      <c r="W87" s="402">
        <f t="shared" si="34"/>
        <v>12.97884149516149</v>
      </c>
      <c r="X87" s="157">
        <f t="shared" si="35"/>
        <v>46095</v>
      </c>
      <c r="Y87" s="385">
        <f t="shared" si="36"/>
        <v>12.565906888324934</v>
      </c>
      <c r="Z87" s="385">
        <f t="shared" si="37"/>
        <v>13.375894214449072</v>
      </c>
      <c r="AA87" s="386">
        <f t="shared" si="38"/>
        <v>14.481918725785595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7.6372788183599286E-2</v>
      </c>
      <c r="AD87" s="231">
        <f>(INDEX(Models!$BJ87:$BT87,,AH87)*(1-AF87)+INDEX(Models!$BJ87:$BT87,,AH87+1)*AF87-ERP_i)*AE87*Ramure*Pc/MaxiM</f>
        <v>2.6903790778449363E-3</v>
      </c>
      <c r="AE87" s="305">
        <f t="shared" si="40"/>
        <v>0.7</v>
      </c>
      <c r="AF87" s="177">
        <f t="shared" si="41"/>
        <v>1.2450948618537794E-2</v>
      </c>
      <c r="AG87" s="919">
        <f t="shared" si="49"/>
        <v>2</v>
      </c>
      <c r="AH87" s="176">
        <f t="shared" si="42"/>
        <v>8</v>
      </c>
      <c r="AI87" s="225">
        <f t="shared" si="43"/>
        <v>2.0124509486185378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1090">
        <f>IF(t&gt;Tmaj,'2025'!Wh/'2025'!Env_an*'2026'!Env_an,0.001*'[5]mon-tableau'!$B$52)</f>
        <v>14.734339978995678</v>
      </c>
      <c r="C88" s="953"/>
      <c r="D88" s="393">
        <f t="shared" si="25"/>
        <v>15.684446128050682</v>
      </c>
      <c r="E88" s="385">
        <f t="shared" si="47"/>
        <v>16.442834386487494</v>
      </c>
      <c r="F88" s="385">
        <f t="shared" si="26"/>
        <v>16.442885044073666</v>
      </c>
      <c r="G88" s="110">
        <f t="shared" si="48"/>
        <v>0.3244408221690579</v>
      </c>
      <c r="H88" s="412" t="b">
        <f>Wh_hp&gt;='2025'!Maxi_hp</f>
        <v>0</v>
      </c>
      <c r="I88" s="390">
        <f>IF(H88,Wh_hp,'2025'!Maxi_hp)</f>
        <v>34.951737117929945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6.0576327738841695E-2</v>
      </c>
      <c r="M88" s="957"/>
      <c r="N88" s="957"/>
      <c r="O88" s="48">
        <f>IF(t&lt;Tnet,'2025'!Resal+('2025'!Salim-'2025'!Resal)*(1-EXP(('2025'!Tnet-t)/('2025'!Tau_j))),Resal+(Salim-Resal)*(1-EXP((Tnet-t)/(Tau_j))))*Salcycl</f>
        <v>4.612272073116809E-2</v>
      </c>
      <c r="P88" s="169">
        <f>(INDEX(Models!$BJ88:$BT88,,T88)*(1-R88)+INDEX(Models!$BJ88:$BT88,,T88+1)*R88-ERP_i)*Q88*Ramure*Pc/MaxiM</f>
        <v>8.8137063964623867E-5</v>
      </c>
      <c r="Q88" s="305">
        <f t="shared" si="28"/>
        <v>0.7</v>
      </c>
      <c r="R88" s="177">
        <f t="shared" si="29"/>
        <v>0.48799838617619029</v>
      </c>
      <c r="S88" s="919">
        <f t="shared" si="30"/>
        <v>-2</v>
      </c>
      <c r="T88" s="176">
        <f t="shared" si="31"/>
        <v>4</v>
      </c>
      <c r="U88" s="251">
        <f t="shared" si="32"/>
        <v>-1.5120016138238097</v>
      </c>
      <c r="V88" s="383">
        <f t="shared" si="33"/>
        <v>45.410705807720412</v>
      </c>
      <c r="W88" s="402">
        <f t="shared" si="34"/>
        <v>14.734339978995678</v>
      </c>
      <c r="X88" s="157">
        <f t="shared" si="35"/>
        <v>46096</v>
      </c>
      <c r="Y88" s="385">
        <f t="shared" si="36"/>
        <v>14.264715323952837</v>
      </c>
      <c r="Z88" s="385">
        <f t="shared" si="37"/>
        <v>15.184538930787417</v>
      </c>
      <c r="AA88" s="386">
        <f t="shared" si="38"/>
        <v>16.441366561135695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7.6443014981442084E-2</v>
      </c>
      <c r="AD88" s="231">
        <f>(INDEX(Models!$BJ88:$BT88,,AH88)*(1-AF88)+INDEX(Models!$BJ88:$BT88,,AH88+1)*AF88-ERP_i)*AE88*Ramure*Pc/MaxiM</f>
        <v>2.6419464081122676E-3</v>
      </c>
      <c r="AE88" s="305">
        <f t="shared" si="40"/>
        <v>0.7</v>
      </c>
      <c r="AF88" s="177">
        <f t="shared" si="41"/>
        <v>1.2985952550169433E-2</v>
      </c>
      <c r="AG88" s="919">
        <f t="shared" si="49"/>
        <v>2</v>
      </c>
      <c r="AH88" s="176">
        <f t="shared" si="42"/>
        <v>8</v>
      </c>
      <c r="AI88" s="225">
        <f t="shared" si="43"/>
        <v>2.0129859525501694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1090">
        <f>IF(t&gt;Tmaj,'2025'!Wh/'2025'!Env_an*'2026'!Env_an,0.001*'[5]mon-tableau'!$B$53)</f>
        <v>10.113534210708821</v>
      </c>
      <c r="C89" s="953"/>
      <c r="D89" s="393">
        <f t="shared" si="25"/>
        <v>10.765915344215344</v>
      </c>
      <c r="E89" s="385">
        <f t="shared" si="47"/>
        <v>11.287682619137493</v>
      </c>
      <c r="F89" s="385">
        <f t="shared" si="26"/>
        <v>11.287682619137493</v>
      </c>
      <c r="G89" s="110">
        <f t="shared" si="48"/>
        <v>0.22146206342626779</v>
      </c>
      <c r="H89" s="412" t="b">
        <f>Wh_hp&gt;='2025'!Maxi_hp</f>
        <v>0</v>
      </c>
      <c r="I89" s="390">
        <f>IF(H89,Wh_hp,'2025'!Maxi_hp)</f>
        <v>52.275659986289419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6.0596903528231438E-2</v>
      </c>
      <c r="M89" s="957"/>
      <c r="N89" s="957"/>
      <c r="O89" s="48">
        <f>IF(t&lt;Tnet,'2025'!Resal+('2025'!Salim-'2025'!Resal)*(1-EXP(('2025'!Tnet-t)/('2025'!Tau_j))),Resal+(Salim-Resal)*(1-EXP((Tnet-t)/(Tau_j))))*Salcycl</f>
        <v>4.6224481368525451E-2</v>
      </c>
      <c r="P89" s="169">
        <f>(INDEX(Models!$BJ89:$BT89,,T89)*(1-R89)+INDEX(Models!$BJ89:$BT89,,T89+1)*R89-ERP_i)*Q89*Ramure*Pc/MaxiM</f>
        <v>8.3472918822997087E-5</v>
      </c>
      <c r="Q89" s="305">
        <f t="shared" si="28"/>
        <v>0.7</v>
      </c>
      <c r="R89" s="177">
        <f t="shared" si="29"/>
        <v>0.48855458746896208</v>
      </c>
      <c r="S89" s="919">
        <f t="shared" si="30"/>
        <v>-2</v>
      </c>
      <c r="T89" s="176">
        <f t="shared" si="31"/>
        <v>4</v>
      </c>
      <c r="U89" s="251">
        <f t="shared" si="32"/>
        <v>-1.5114454125310379</v>
      </c>
      <c r="V89" s="383">
        <f t="shared" si="33"/>
        <v>45.663306157424536</v>
      </c>
      <c r="W89" s="402">
        <f t="shared" si="34"/>
        <v>10.113534210708821</v>
      </c>
      <c r="X89" s="157">
        <f t="shared" si="35"/>
        <v>46097</v>
      </c>
      <c r="Y89" s="385">
        <f t="shared" si="36"/>
        <v>9.7923598710683706</v>
      </c>
      <c r="Z89" s="385">
        <f t="shared" si="37"/>
        <v>10.424023412150479</v>
      </c>
      <c r="AA89" s="386">
        <f t="shared" si="38"/>
        <v>11.287682619137493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7.6513420524664547E-2</v>
      </c>
      <c r="AD89" s="231">
        <f>(INDEX(Models!$BJ89:$BT89,,AH89)*(1-AF89)+INDEX(Models!$BJ89:$BT89,,AH89+1)*AF89-ERP_i)*AE89*Ramure*Pc/MaxiM</f>
        <v>2.5931826825956366E-3</v>
      </c>
      <c r="AE89" s="305">
        <f t="shared" si="40"/>
        <v>0.7</v>
      </c>
      <c r="AF89" s="177">
        <f t="shared" si="41"/>
        <v>1.3542153842941218E-2</v>
      </c>
      <c r="AG89" s="919">
        <f t="shared" si="49"/>
        <v>2</v>
      </c>
      <c r="AH89" s="176">
        <f t="shared" si="42"/>
        <v>8</v>
      </c>
      <c r="AI89" s="225">
        <f t="shared" si="43"/>
        <v>2.0135421538429412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1090">
        <f>IF(t&gt;Tmaj,'2025'!Wh/'2025'!Env_an*'2026'!Env_an,0.001*'[5]mon-tableau'!$B$54)</f>
        <v>10.951536926642122</v>
      </c>
      <c r="C90" s="953"/>
      <c r="D90" s="393">
        <f t="shared" si="25"/>
        <v>11.658229400982325</v>
      </c>
      <c r="E90" s="385">
        <f t="shared" si="47"/>
        <v>12.224547547204354</v>
      </c>
      <c r="F90" s="385">
        <f t="shared" si="26"/>
        <v>12.224547547204354</v>
      </c>
      <c r="G90" s="110">
        <f t="shared" si="48"/>
        <v>0.23851100714219808</v>
      </c>
      <c r="H90" s="412" t="b">
        <f>Wh_hp&gt;='2025'!Maxi_hp</f>
        <v>0</v>
      </c>
      <c r="I90" s="390">
        <f>IF(H90,Wh_hp,'2025'!Maxi_hp)</f>
        <v>27.107916637934526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6.0617478866958674E-2</v>
      </c>
      <c r="M90" s="957"/>
      <c r="N90" s="957"/>
      <c r="O90" s="48">
        <f>IF(t&lt;Tnet,'2025'!Resal+('2025'!Salim-'2025'!Resal)*(1-EXP(('2025'!Tnet-t)/('2025'!Tau_j))),Resal+(Salim-Resal)*(1-EXP((Tnet-t)/(Tau_j))))*Salcycl</f>
        <v>4.6326307295646366E-2</v>
      </c>
      <c r="P90" s="169">
        <f>(INDEX(Models!$BJ90:$BT90,,T90)*(1-R90)+INDEX(Models!$BJ90:$BT90,,T90+1)*R90-ERP_i)*Q90*Ramure*Pc/MaxiM</f>
        <v>7.9074112225167807E-5</v>
      </c>
      <c r="Q90" s="305">
        <f t="shared" si="28"/>
        <v>0.7</v>
      </c>
      <c r="R90" s="177">
        <f t="shared" si="29"/>
        <v>0.48913277319472637</v>
      </c>
      <c r="S90" s="919">
        <f t="shared" si="30"/>
        <v>-2</v>
      </c>
      <c r="T90" s="176">
        <f t="shared" si="31"/>
        <v>4</v>
      </c>
      <c r="U90" s="251">
        <f t="shared" si="32"/>
        <v>-1.5108672268052736</v>
      </c>
      <c r="V90" s="383">
        <f t="shared" si="33"/>
        <v>45.912643926967519</v>
      </c>
      <c r="W90" s="402">
        <f t="shared" si="34"/>
        <v>10.951536926642122</v>
      </c>
      <c r="X90" s="157">
        <f t="shared" si="35"/>
        <v>46098</v>
      </c>
      <c r="Y90" s="385">
        <f t="shared" si="36"/>
        <v>10.604071549833362</v>
      </c>
      <c r="Z90" s="385">
        <f t="shared" si="37"/>
        <v>11.28834240714124</v>
      </c>
      <c r="AA90" s="386">
        <f t="shared" si="38"/>
        <v>12.224547547204354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7.6584031960938756E-2</v>
      </c>
      <c r="AD90" s="231">
        <f>(INDEX(Models!$BJ90:$BT90,,AH90)*(1-AF90)+INDEX(Models!$BJ90:$BT90,,AH90+1)*AF90-ERP_i)*AE90*Ramure*Pc/MaxiM</f>
        <v>2.5441038072282398E-3</v>
      </c>
      <c r="AE90" s="305">
        <f t="shared" si="40"/>
        <v>0.7</v>
      </c>
      <c r="AF90" s="177">
        <f t="shared" si="41"/>
        <v>1.4120339568705731E-2</v>
      </c>
      <c r="AG90" s="919">
        <f t="shared" si="49"/>
        <v>2</v>
      </c>
      <c r="AH90" s="176">
        <f t="shared" si="42"/>
        <v>8</v>
      </c>
      <c r="AI90" s="225">
        <f t="shared" si="43"/>
        <v>2.0141203395687057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1090">
        <f>IF(t&gt;Tmaj,'2025'!Wh/'2025'!Env_an*'2026'!Env_an,0.001*'[5]mon-tableau'!$B$55)</f>
        <v>13.431783746086143</v>
      </c>
      <c r="C91" s="953"/>
      <c r="D91" s="393">
        <f t="shared" si="25"/>
        <v>14.298837418078039</v>
      </c>
      <c r="E91" s="385">
        <f t="shared" si="47"/>
        <v>14.995029907553736</v>
      </c>
      <c r="F91" s="385">
        <f t="shared" si="26"/>
        <v>14.995029907553736</v>
      </c>
      <c r="G91" s="110">
        <f t="shared" si="48"/>
        <v>0.29097127453822402</v>
      </c>
      <c r="H91" s="412" t="b">
        <f>Wh_hp&gt;='2025'!Maxi_hp</f>
        <v>0</v>
      </c>
      <c r="I91" s="390">
        <f>IF(H91,Wh_hp,'2025'!Maxi_hp)</f>
        <v>38.270489516966428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6.0638053755033172E-2</v>
      </c>
      <c r="M91" s="957"/>
      <c r="N91" s="957"/>
      <c r="O91" s="48">
        <f>IF(t&lt;Tnet,'2025'!Resal+('2025'!Salim-'2025'!Resal)*(1-EXP(('2025'!Tnet-t)/('2025'!Tau_j))),Resal+(Salim-Resal)*(1-EXP((Tnet-t)/(Tau_j))))*Salcycl</f>
        <v>4.6428216133466392E-2</v>
      </c>
      <c r="P91" s="169">
        <f>(INDEX(Models!$BJ91:$BT91,,T91)*(1-R91)+INDEX(Models!$BJ91:$BT91,,T91+1)*R91-ERP_i)*Q91*Ramure*Pc/MaxiM</f>
        <v>7.4936239223987803E-5</v>
      </c>
      <c r="Q91" s="305">
        <f t="shared" si="28"/>
        <v>0.7</v>
      </c>
      <c r="R91" s="177">
        <f t="shared" si="29"/>
        <v>0.48973375527335183</v>
      </c>
      <c r="S91" s="919">
        <f t="shared" si="30"/>
        <v>-2</v>
      </c>
      <c r="T91" s="176">
        <f t="shared" si="31"/>
        <v>4</v>
      </c>
      <c r="U91" s="251">
        <f t="shared" si="32"/>
        <v>-1.5102662447266482</v>
      </c>
      <c r="V91" s="383">
        <f t="shared" si="33"/>
        <v>46.158430037607651</v>
      </c>
      <c r="W91" s="402">
        <f t="shared" si="34"/>
        <v>13.431783746086143</v>
      </c>
      <c r="X91" s="157">
        <f t="shared" si="35"/>
        <v>46099</v>
      </c>
      <c r="Y91" s="385">
        <f t="shared" si="36"/>
        <v>13.006018237730908</v>
      </c>
      <c r="Z91" s="385">
        <f t="shared" si="37"/>
        <v>13.845587730822553</v>
      </c>
      <c r="AA91" s="386">
        <f t="shared" si="38"/>
        <v>14.995029907553736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7.665487723716724E-2</v>
      </c>
      <c r="AD91" s="231">
        <f>(INDEX(Models!$BJ91:$BT91,,AH91)*(1-AF91)+INDEX(Models!$BJ91:$BT91,,AH91+1)*AF91-ERP_i)*AE91*Ramure*Pc/MaxiM</f>
        <v>2.4947231953429817E-3</v>
      </c>
      <c r="AE91" s="305">
        <f t="shared" si="40"/>
        <v>0.7</v>
      </c>
      <c r="AF91" s="177">
        <f t="shared" si="41"/>
        <v>1.4721321647330754E-2</v>
      </c>
      <c r="AG91" s="919">
        <f t="shared" si="49"/>
        <v>2</v>
      </c>
      <c r="AH91" s="176">
        <f t="shared" si="42"/>
        <v>8</v>
      </c>
      <c r="AI91" s="225">
        <f t="shared" si="43"/>
        <v>2.0147213216473308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1090">
        <f>IF(t&gt;Tmaj,'2025'!Wh/'2025'!Env_an*'2026'!Env_an,0.001*'[5]mon-tableau'!$B$56)</f>
        <v>30.776216436045491</v>
      </c>
      <c r="C92" s="953"/>
      <c r="D92" s="393">
        <f t="shared" si="25"/>
        <v>32.76361220716182</v>
      </c>
      <c r="E92" s="385">
        <f t="shared" si="47"/>
        <v>34.362507445012753</v>
      </c>
      <c r="F92" s="385">
        <f t="shared" si="26"/>
        <v>34.363774610685901</v>
      </c>
      <c r="G92" s="110">
        <f t="shared" si="48"/>
        <v>0.66325248712586815</v>
      </c>
      <c r="H92" s="412" t="b">
        <f>Wh_hp&gt;='2025'!Maxi_hp</f>
        <v>0</v>
      </c>
      <c r="I92" s="390">
        <f>IF(H92,Wh_hp,'2025'!Maxi_hp)</f>
        <v>46.831517578729603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6.0658628192464814E-2</v>
      </c>
      <c r="M92" s="957"/>
      <c r="N92" s="957"/>
      <c r="O92" s="48">
        <f>IF(t&lt;Tnet,'2025'!Resal+('2025'!Salim-'2025'!Resal)*(1-EXP(('2025'!Tnet-t)/('2025'!Tau_j))),Resal+(Salim-Resal)*(1-EXP((Tnet-t)/(Tau_j))))*Salcycl</f>
        <v>4.6530226014777978E-2</v>
      </c>
      <c r="P92" s="169">
        <f>(INDEX(Models!$BJ92:$BT92,,T92)*(1-R92)+INDEX(Models!$BJ92:$BT92,,T92+1)*R92-ERP_i)*Q92*Ramure*Pc/MaxiM</f>
        <v>7.1055038085616207E-5</v>
      </c>
      <c r="Q92" s="305">
        <f t="shared" si="28"/>
        <v>0.7</v>
      </c>
      <c r="R92" s="177">
        <f t="shared" si="29"/>
        <v>0.49035837088755829</v>
      </c>
      <c r="S92" s="919">
        <f t="shared" si="30"/>
        <v>-2</v>
      </c>
      <c r="T92" s="176">
        <f t="shared" si="31"/>
        <v>4</v>
      </c>
      <c r="U92" s="251">
        <f t="shared" si="32"/>
        <v>-1.5096416291124417</v>
      </c>
      <c r="V92" s="383">
        <f t="shared" si="33"/>
        <v>46.40037551867217</v>
      </c>
      <c r="W92" s="402">
        <f t="shared" si="34"/>
        <v>30.776216436045491</v>
      </c>
      <c r="X92" s="157">
        <f t="shared" si="35"/>
        <v>46100</v>
      </c>
      <c r="Y92" s="385">
        <f t="shared" si="36"/>
        <v>29.764836491238327</v>
      </c>
      <c r="Z92" s="385">
        <f t="shared" si="37"/>
        <v>31.686921692763409</v>
      </c>
      <c r="AA92" s="386">
        <f t="shared" si="38"/>
        <v>34.320170586706823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7.6725985009041486E-2</v>
      </c>
      <c r="AD92" s="231">
        <f>(INDEX(Models!$BJ92:$BT92,,AH92)*(1-AF92)+INDEX(Models!$BJ92:$BT92,,AH92+1)*AF92-ERP_i)*AE92*Ramure*Pc/MaxiM</f>
        <v>2.4450517009526177E-3</v>
      </c>
      <c r="AE92" s="305">
        <f t="shared" si="40"/>
        <v>0.7</v>
      </c>
      <c r="AF92" s="177">
        <f t="shared" si="41"/>
        <v>1.5345937261537657E-2</v>
      </c>
      <c r="AG92" s="919">
        <f t="shared" si="49"/>
        <v>2</v>
      </c>
      <c r="AH92" s="176">
        <f t="shared" si="42"/>
        <v>8</v>
      </c>
      <c r="AI92" s="225">
        <f t="shared" si="43"/>
        <v>2.0153459372615377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1090">
        <f>IF(t&gt;Tmaj,'2025'!Wh/'2025'!Env_an*'2026'!Env_an,0.001*'[5]mon-tableau'!$B$57)</f>
        <v>31.730224043860648</v>
      </c>
      <c r="C93" s="953"/>
      <c r="D93" s="393">
        <f t="shared" si="25"/>
        <v>33.779965393586615</v>
      </c>
      <c r="E93" s="385">
        <f t="shared" si="47"/>
        <v>35.432254901403198</v>
      </c>
      <c r="F93" s="385">
        <f t="shared" si="26"/>
        <v>35.433552892322595</v>
      </c>
      <c r="G93" s="110">
        <f t="shared" si="48"/>
        <v>0.68029567365311727</v>
      </c>
      <c r="H93" s="412" t="b">
        <f>Wh_hp&gt;='2025'!Maxi_hp</f>
        <v>0</v>
      </c>
      <c r="I93" s="390">
        <f>IF(H93,Wh_hp,'2025'!Maxi_hp)</f>
        <v>53.139538604347429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6.0679202179263481E-2</v>
      </c>
      <c r="M93" s="957"/>
      <c r="N93" s="957"/>
      <c r="O93" s="48">
        <f>IF(t&lt;Tnet,'2025'!Resal+('2025'!Salim-'2025'!Resal)*(1-EXP(('2025'!Tnet-t)/('2025'!Tau_j))),Resal+(Salim-Resal)*(1-EXP((Tnet-t)/(Tau_j))))*Salcycl</f>
        <v>4.6632355530698853E-2</v>
      </c>
      <c r="P93" s="169">
        <f>(INDEX(Models!$BJ93:$BT93,,T93)*(1-R93)+INDEX(Models!$BJ93:$BT93,,T93+1)*R93-ERP_i)*Q93*Ramure*Pc/MaxiM</f>
        <v>6.74232504548758E-5</v>
      </c>
      <c r="Q93" s="305">
        <f t="shared" si="28"/>
        <v>0.7</v>
      </c>
      <c r="R93" s="177">
        <f t="shared" si="29"/>
        <v>0.49100748287017981</v>
      </c>
      <c r="S93" s="919">
        <f t="shared" si="30"/>
        <v>-2</v>
      </c>
      <c r="T93" s="176">
        <f t="shared" si="31"/>
        <v>4</v>
      </c>
      <c r="U93" s="251">
        <f t="shared" si="32"/>
        <v>-1.5089925171298202</v>
      </c>
      <c r="V93" s="383">
        <f t="shared" si="33"/>
        <v>46.640377432608851</v>
      </c>
      <c r="W93" s="402">
        <f t="shared" si="34"/>
        <v>31.730224043860648</v>
      </c>
      <c r="X93" s="157">
        <f t="shared" si="35"/>
        <v>46101</v>
      </c>
      <c r="Y93" s="385">
        <f t="shared" si="36"/>
        <v>30.687406445045401</v>
      </c>
      <c r="Z93" s="385">
        <f t="shared" si="37"/>
        <v>32.669782800765688</v>
      </c>
      <c r="AA93" s="386">
        <f t="shared" si="38"/>
        <v>35.387446107720329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7.6797384549368158E-2</v>
      </c>
      <c r="AD93" s="231">
        <f>(INDEX(Models!$BJ93:$BT93,,AH93)*(1-AF93)+INDEX(Models!$BJ93:$BT93,,AH93+1)*AF93-ERP_i)*AE93*Ramure*Pc/MaxiM</f>
        <v>2.3949853881525258E-3</v>
      </c>
      <c r="AE93" s="305">
        <f t="shared" si="40"/>
        <v>0.7</v>
      </c>
      <c r="AF93" s="177">
        <f t="shared" si="41"/>
        <v>1.5995049244159176E-2</v>
      </c>
      <c r="AG93" s="919">
        <f t="shared" si="49"/>
        <v>2</v>
      </c>
      <c r="AH93" s="176">
        <f t="shared" si="42"/>
        <v>8</v>
      </c>
      <c r="AI93" s="225">
        <f t="shared" si="43"/>
        <v>2.0159950492441592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1090">
        <f>IF(t&gt;Tmaj,'2025'!Wh/'2025'!Env_an*'2026'!Env_an,0.001*'[5]mon-tableau'!$B$58)</f>
        <v>45.754130975188389</v>
      </c>
      <c r="C94" s="953"/>
      <c r="D94" s="393">
        <f t="shared" si="25"/>
        <v>48.710869849986516</v>
      </c>
      <c r="E94" s="385">
        <f t="shared" si="47"/>
        <v>51.098960541129671</v>
      </c>
      <c r="F94" s="385">
        <f t="shared" si="26"/>
        <v>51.102121768906862</v>
      </c>
      <c r="G94" s="110">
        <f t="shared" si="48"/>
        <v>0.97598034581542914</v>
      </c>
      <c r="H94" s="412" t="b">
        <f>Wh_hp&gt;='2025'!Maxi_hp</f>
        <v>0</v>
      </c>
      <c r="I94" s="390">
        <f>IF(H94,Wh_hp,'2025'!Maxi_hp)</f>
        <v>53.219933275475654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6.0699775715439053E-2</v>
      </c>
      <c r="M94" s="957"/>
      <c r="N94" s="957"/>
      <c r="O94" s="48">
        <f>IF(t&lt;Tnet,'2025'!Resal+('2025'!Salim-'2025'!Resal)*(1-EXP(('2025'!Tnet-t)/('2025'!Tau_j))),Resal+(Salim-Resal)*(1-EXP((Tnet-t)/(Tau_j))))*Salcycl</f>
        <v>4.673462367636573E-2</v>
      </c>
      <c r="P94" s="169">
        <f>(INDEX(Models!$BJ94:$BT94,,T94)*(1-R94)+INDEX(Models!$BJ94:$BT94,,T94+1)*R94-ERP_i)*Q94*Ramure*Pc/MaxiM</f>
        <v>6.4058895993283462E-5</v>
      </c>
      <c r="Q94" s="305">
        <f t="shared" si="28"/>
        <v>0.7</v>
      </c>
      <c r="R94" s="177">
        <f t="shared" si="29"/>
        <v>0.49168198005988017</v>
      </c>
      <c r="S94" s="919">
        <f t="shared" si="30"/>
        <v>-2</v>
      </c>
      <c r="T94" s="176">
        <f t="shared" si="31"/>
        <v>4</v>
      </c>
      <c r="U94" s="251">
        <f t="shared" si="32"/>
        <v>-1.5083180199401198</v>
      </c>
      <c r="V94" s="383">
        <f t="shared" si="33"/>
        <v>46.880073560704162</v>
      </c>
      <c r="W94" s="402">
        <f t="shared" si="34"/>
        <v>45.754130975188389</v>
      </c>
      <c r="X94" s="157">
        <f t="shared" si="35"/>
        <v>46102</v>
      </c>
      <c r="Y94" s="385">
        <f t="shared" si="36"/>
        <v>44.210180106288348</v>
      </c>
      <c r="Z94" s="385">
        <f t="shared" si="37"/>
        <v>47.067145267597503</v>
      </c>
      <c r="AA94" s="386">
        <f t="shared" si="38"/>
        <v>50.986426254357525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7.6869105655842276E-2</v>
      </c>
      <c r="AD94" s="231">
        <f>(INDEX(Models!$BJ94:$BT94,,AH94)*(1-AF94)+INDEX(Models!$BJ94:$BT94,,AH94+1)*AF94-ERP_i)*AE94*Ramure*Pc/MaxiM</f>
        <v>2.3444457203905902E-3</v>
      </c>
      <c r="AE94" s="305">
        <f t="shared" si="40"/>
        <v>0.7</v>
      </c>
      <c r="AF94" s="177">
        <f t="shared" si="41"/>
        <v>1.6669546433859317E-2</v>
      </c>
      <c r="AG94" s="919">
        <f t="shared" si="49"/>
        <v>2</v>
      </c>
      <c r="AH94" s="176">
        <f t="shared" si="42"/>
        <v>8</v>
      </c>
      <c r="AI94" s="225">
        <f t="shared" si="43"/>
        <v>2.0166695464338593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1090">
        <f>IF(t&gt;Tmaj,'2025'!Wh/'2025'!Env_an*'2026'!Env_an,0.001*'[5]mon-tableau'!$B$59)</f>
        <v>40.374992300750229</v>
      </c>
      <c r="C95" s="953"/>
      <c r="D95" s="393">
        <f t="shared" si="25"/>
        <v>42.985060146050436</v>
      </c>
      <c r="E95" s="385">
        <f t="shared" si="47"/>
        <v>45.097283876656704</v>
      </c>
      <c r="F95" s="385">
        <f t="shared" si="26"/>
        <v>45.099470661967558</v>
      </c>
      <c r="G95" s="110">
        <f t="shared" si="48"/>
        <v>0.85686602846461357</v>
      </c>
      <c r="H95" s="412" t="b">
        <f>Wh_hp&gt;='2025'!Maxi_hp</f>
        <v>0</v>
      </c>
      <c r="I95" s="390">
        <f>IF(H95,Wh_hp,'2025'!Maxi_hp)</f>
        <v>52.117627843898426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6.0720348801001411E-2</v>
      </c>
      <c r="M95" s="957"/>
      <c r="N95" s="957"/>
      <c r="O95" s="48">
        <f>IF(t&lt;Tnet,'2025'!Resal+('2025'!Salim-'2025'!Resal)*(1-EXP(('2025'!Tnet-t)/('2025'!Tau_j))),Resal+(Salim-Resal)*(1-EXP((Tnet-t)/(Tau_j))))*Salcycl</f>
        <v>4.68370497962428E-2</v>
      </c>
      <c r="P95" s="169">
        <f>(INDEX(Models!$BJ95:$BT95,,T95)*(1-R95)+INDEX(Models!$BJ95:$BT95,,T95+1)*R95-ERP_i)*Q95*Ramure*Pc/MaxiM</f>
        <v>6.0949997277254107E-5</v>
      </c>
      <c r="Q95" s="305">
        <f t="shared" si="28"/>
        <v>0.7</v>
      </c>
      <c r="R95" s="177">
        <f t="shared" si="29"/>
        <v>0.49238277762105476</v>
      </c>
      <c r="S95" s="919">
        <f t="shared" si="30"/>
        <v>-2</v>
      </c>
      <c r="T95" s="176">
        <f t="shared" si="31"/>
        <v>4</v>
      </c>
      <c r="U95" s="251">
        <f t="shared" si="32"/>
        <v>-1.5076172223789452</v>
      </c>
      <c r="V95" s="383">
        <f t="shared" si="33"/>
        <v>47.118788450048555</v>
      </c>
      <c r="W95" s="402">
        <f t="shared" si="34"/>
        <v>40.374992300750229</v>
      </c>
      <c r="X95" s="157">
        <f t="shared" si="35"/>
        <v>46103</v>
      </c>
      <c r="Y95" s="385">
        <f t="shared" si="36"/>
        <v>39.030321472254613</v>
      </c>
      <c r="Z95" s="385">
        <f t="shared" si="37"/>
        <v>41.553462190341364</v>
      </c>
      <c r="AA95" s="386">
        <f t="shared" si="38"/>
        <v>45.017133496939458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7.6941178558905227E-2</v>
      </c>
      <c r="AD95" s="231">
        <f>(INDEX(Models!$BJ95:$BT95,,AH95)*(1-AF95)+INDEX(Models!$BJ95:$BT95,,AH95+1)*AF95-ERP_i)*AE95*Ramure*Pc/MaxiM</f>
        <v>2.2948983420414413E-3</v>
      </c>
      <c r="AE95" s="305">
        <f t="shared" si="40"/>
        <v>0.7</v>
      </c>
      <c r="AF95" s="177">
        <f t="shared" si="41"/>
        <v>1.7370343995033899E-2</v>
      </c>
      <c r="AG95" s="919">
        <f t="shared" si="49"/>
        <v>2</v>
      </c>
      <c r="AH95" s="176">
        <f t="shared" si="42"/>
        <v>8</v>
      </c>
      <c r="AI95" s="225">
        <f t="shared" si="43"/>
        <v>2.0173703439950339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1090">
        <f>IF(t&gt;Tmaj,'2025'!Wh/'2025'!Env_an*'2026'!Env_an,0.001*'[5]mon-tableau'!$B$60)</f>
        <v>47.542517664295424</v>
      </c>
      <c r="C96" s="953"/>
      <c r="D96" s="393">
        <f t="shared" si="25"/>
        <v>50.617043528585839</v>
      </c>
      <c r="E96" s="385">
        <f t="shared" si="47"/>
        <v>53.110008947526545</v>
      </c>
      <c r="F96" s="385">
        <f t="shared" si="26"/>
        <v>53.113094499750893</v>
      </c>
      <c r="G96" s="110">
        <f t="shared" si="48"/>
        <v>1.0039418816445129</v>
      </c>
      <c r="H96" s="412" t="b">
        <f>Wh_hp&gt;='2025'!Maxi_hp</f>
        <v>1</v>
      </c>
      <c r="I96" s="390">
        <f>IF(H96,Wh_hp,'2025'!Maxi_hp)</f>
        <v>53.113094499750893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6.0740921435960327E-2</v>
      </c>
      <c r="M96" s="957"/>
      <c r="N96" s="957"/>
      <c r="O96" s="48">
        <f>IF(t&lt;Tnet,'2025'!Resal+('2025'!Salim-'2025'!Resal)*(1-EXP(('2025'!Tnet-t)/('2025'!Tau_j))),Resal+(Salim-Resal)*(1-EXP((Tnet-t)/(Tau_j))))*Salcycl</f>
        <v>4.6939653529408987E-2</v>
      </c>
      <c r="P96" s="169">
        <f>(INDEX(Models!$BJ96:$BT96,,T96)*(1-R96)+INDEX(Models!$BJ96:$BT96,,T96+1)*R96-ERP_i)*Q96*Ramure*Pc/MaxiM</f>
        <v>5.809400211775087E-5</v>
      </c>
      <c r="Q96" s="305">
        <f t="shared" si="28"/>
        <v>0.7</v>
      </c>
      <c r="R96" s="177">
        <f t="shared" si="29"/>
        <v>0.49311081732334938</v>
      </c>
      <c r="S96" s="919">
        <f t="shared" si="30"/>
        <v>-2</v>
      </c>
      <c r="T96" s="176">
        <f t="shared" si="31"/>
        <v>4</v>
      </c>
      <c r="U96" s="251">
        <f t="shared" si="32"/>
        <v>-1.5068891826766506</v>
      </c>
      <c r="V96" s="383">
        <f t="shared" si="33"/>
        <v>47.355846522129468</v>
      </c>
      <c r="W96" s="402">
        <f t="shared" si="34"/>
        <v>47.542517664295424</v>
      </c>
      <c r="X96" s="157">
        <f t="shared" si="35"/>
        <v>46104</v>
      </c>
      <c r="Y96" s="385">
        <f t="shared" si="36"/>
        <v>45.941546787025722</v>
      </c>
      <c r="Z96" s="385">
        <f t="shared" si="37"/>
        <v>48.912539506418383</v>
      </c>
      <c r="AA96" s="386">
        <f t="shared" si="38"/>
        <v>52.993783331165787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7.701363383027636E-2</v>
      </c>
      <c r="AD96" s="231">
        <f>(INDEX(Models!$BJ96:$BT96,,AH96)*(1-AF96)+INDEX(Models!$BJ96:$BT96,,AH96+1)*AF96-ERP_i)*AE96*Ramure*Pc/MaxiM</f>
        <v>2.2463607083873386E-3</v>
      </c>
      <c r="AE96" s="305">
        <f t="shared" si="40"/>
        <v>0.7</v>
      </c>
      <c r="AF96" s="177">
        <f t="shared" si="41"/>
        <v>1.8098383697328746E-2</v>
      </c>
      <c r="AG96" s="919">
        <f t="shared" si="49"/>
        <v>2</v>
      </c>
      <c r="AH96" s="176">
        <f t="shared" si="42"/>
        <v>8</v>
      </c>
      <c r="AI96" s="225">
        <f t="shared" si="43"/>
        <v>2.0180983836973287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1090">
        <f>IF(t&gt;Tmaj,'2025'!Wh/'2025'!Env_an*'2026'!Env_an,0.001*'[5]mon-tableau'!$B$61)</f>
        <v>44.748105300198951</v>
      </c>
      <c r="C97" s="953"/>
      <c r="D97" s="393">
        <f t="shared" si="25"/>
        <v>47.642962885627419</v>
      </c>
      <c r="E97" s="385">
        <f t="shared" si="47"/>
        <v>49.994843026702227</v>
      </c>
      <c r="F97" s="385">
        <f t="shared" si="26"/>
        <v>49.997380586211719</v>
      </c>
      <c r="G97" s="110">
        <f t="shared" si="48"/>
        <v>0.9402680208628974</v>
      </c>
      <c r="H97" s="412" t="b">
        <f>Wh_hp&gt;='2025'!Maxi_hp</f>
        <v>0</v>
      </c>
      <c r="I97" s="390">
        <f>IF(H97,Wh_hp,'2025'!Maxi_hp)</f>
        <v>52.635831121779191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6.076149362032579E-2</v>
      </c>
      <c r="M97" s="957"/>
      <c r="N97" s="957"/>
      <c r="O97" s="48">
        <f>IF(t&lt;Tnet,'2025'!Resal+('2025'!Salim-'2025'!Resal)*(1-EXP(('2025'!Tnet-t)/('2025'!Tau_j))),Resal+(Salim-Resal)*(1-EXP((Tnet-t)/(Tau_j))))*Salcycl</f>
        <v>4.7042454755156768E-2</v>
      </c>
      <c r="P97" s="169">
        <f>(INDEX(Models!$BJ97:$BT97,,T97)*(1-R97)+INDEX(Models!$BJ97:$BT97,,T97+1)*R97-ERP_i)*Q97*Ramure*Pc/MaxiM</f>
        <v>5.54883988829166E-5</v>
      </c>
      <c r="Q97" s="305">
        <f t="shared" si="28"/>
        <v>0.7</v>
      </c>
      <c r="R97" s="177">
        <f t="shared" si="29"/>
        <v>0.49386706777590916</v>
      </c>
      <c r="S97" s="919">
        <f t="shared" si="30"/>
        <v>-2</v>
      </c>
      <c r="T97" s="176">
        <f t="shared" si="31"/>
        <v>4</v>
      </c>
      <c r="U97" s="251">
        <f t="shared" si="32"/>
        <v>-1.5061329322240908</v>
      </c>
      <c r="V97" s="383">
        <f t="shared" si="33"/>
        <v>47.59057251170514</v>
      </c>
      <c r="W97" s="402">
        <f t="shared" si="34"/>
        <v>44.748105300198951</v>
      </c>
      <c r="X97" s="157">
        <f t="shared" si="35"/>
        <v>46105</v>
      </c>
      <c r="Y97" s="385">
        <f t="shared" si="36"/>
        <v>43.252358397003128</v>
      </c>
      <c r="Z97" s="385">
        <f t="shared" si="37"/>
        <v>46.050452683973496</v>
      </c>
      <c r="AA97" s="386">
        <f t="shared" si="38"/>
        <v>49.896824348513171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7.7086502292691178E-2</v>
      </c>
      <c r="AD97" s="231">
        <f>(INDEX(Models!$BJ97:$BT97,,AH97)*(1-AF97)+INDEX(Models!$BJ97:$BT97,,AH97+1)*AF97-ERP_i)*AE97*Ramure*Pc/MaxiM</f>
        <v>2.1988468080083997E-3</v>
      </c>
      <c r="AE97" s="305">
        <f t="shared" si="40"/>
        <v>0.7</v>
      </c>
      <c r="AF97" s="177">
        <f t="shared" si="41"/>
        <v>1.8854634149888305E-2</v>
      </c>
      <c r="AG97" s="919">
        <f t="shared" si="49"/>
        <v>2</v>
      </c>
      <c r="AH97" s="176">
        <f t="shared" si="42"/>
        <v>8</v>
      </c>
      <c r="AI97" s="225">
        <f t="shared" si="43"/>
        <v>2.0188546341498883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1090">
        <f>IF(t&gt;Tmaj,'2025'!Wh/'2025'!Env_an*'2026'!Env_an,0.001*'[5]mon-tableau'!$B$62)</f>
        <v>40.736483206580864</v>
      </c>
      <c r="C98" s="953"/>
      <c r="D98" s="393">
        <f t="shared" si="25"/>
        <v>43.37276973095652</v>
      </c>
      <c r="E98" s="385">
        <f t="shared" si="47"/>
        <v>45.518773880475386</v>
      </c>
      <c r="F98" s="385">
        <f t="shared" si="26"/>
        <v>45.520680492858595</v>
      </c>
      <c r="G98" s="110">
        <f t="shared" si="48"/>
        <v>0.85182085179650247</v>
      </c>
      <c r="H98" s="412" t="b">
        <f>Wh_hp&gt;='2025'!Maxi_hp</f>
        <v>0</v>
      </c>
      <c r="I98" s="390">
        <f>IF(H98,Wh_hp,'2025'!Maxi_hp)</f>
        <v>47.578792902284313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6.0782065354107573E-2</v>
      </c>
      <c r="M98" s="957"/>
      <c r="N98" s="957"/>
      <c r="O98" s="48">
        <f>IF(t&lt;Tnet,'2025'!Resal+('2025'!Salim-'2025'!Resal)*(1-EXP(('2025'!Tnet-t)/('2025'!Tau_j))),Resal+(Salim-Resal)*(1-EXP((Tnet-t)/(Tau_j))))*Salcycl</f>
        <v>4.7145473539201899E-2</v>
      </c>
      <c r="P98" s="169">
        <f>(INDEX(Models!$BJ98:$BT98,,T98)*(1-R98)+INDEX(Models!$BJ98:$BT98,,T98+1)*R98-ERP_i)*Q98*Ramure*Pc/MaxiM</f>
        <v>5.3130763467113261E-5</v>
      </c>
      <c r="Q98" s="305">
        <f t="shared" si="28"/>
        <v>0.7</v>
      </c>
      <c r="R98" s="177">
        <f t="shared" si="29"/>
        <v>0.49465252461115639</v>
      </c>
      <c r="S98" s="919">
        <f t="shared" si="30"/>
        <v>-2</v>
      </c>
      <c r="T98" s="176">
        <f t="shared" si="31"/>
        <v>4</v>
      </c>
      <c r="U98" s="251">
        <f t="shared" si="32"/>
        <v>-1.5053474753888436</v>
      </c>
      <c r="V98" s="383">
        <f t="shared" si="33"/>
        <v>47.822291470730413</v>
      </c>
      <c r="W98" s="402">
        <f t="shared" si="34"/>
        <v>40.736483206580864</v>
      </c>
      <c r="X98" s="157">
        <f t="shared" si="35"/>
        <v>46106</v>
      </c>
      <c r="Y98" s="385">
        <f t="shared" si="36"/>
        <v>39.388015018155073</v>
      </c>
      <c r="Z98" s="385">
        <f t="shared" si="37"/>
        <v>41.937034595708923</v>
      </c>
      <c r="AA98" s="386">
        <f t="shared" si="38"/>
        <v>45.443442184507617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7.7159814931318793E-2</v>
      </c>
      <c r="AD98" s="231">
        <f>(INDEX(Models!$BJ98:$BT98,,AH98)*(1-AF98)+INDEX(Models!$BJ98:$BT98,,AH98+1)*AF98-ERP_i)*AE98*Ramure*Pc/MaxiM</f>
        <v>2.15236737563063E-3</v>
      </c>
      <c r="AE98" s="305">
        <f t="shared" si="40"/>
        <v>0.7</v>
      </c>
      <c r="AF98" s="177">
        <f t="shared" si="41"/>
        <v>1.964009098513575E-2</v>
      </c>
      <c r="AG98" s="919">
        <f t="shared" si="49"/>
        <v>2</v>
      </c>
      <c r="AH98" s="176">
        <f t="shared" si="42"/>
        <v>8</v>
      </c>
      <c r="AI98" s="225">
        <f t="shared" si="43"/>
        <v>2.0196400909851357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1090">
        <f>IF(t&gt;Tmaj,'2025'!Wh/'2025'!Env_an*'2026'!Env_an,0.001*'[5]mon-tableau'!$B$63)</f>
        <v>44.247285488395299</v>
      </c>
      <c r="C99" s="953"/>
      <c r="D99" s="393">
        <f t="shared" si="25"/>
        <v>47.111807607692974</v>
      </c>
      <c r="E99" s="385">
        <f t="shared" si="47"/>
        <v>49.4481708869165</v>
      </c>
      <c r="F99" s="385">
        <f t="shared" si="26"/>
        <v>49.450408530185065</v>
      </c>
      <c r="G99" s="110">
        <f t="shared" si="48"/>
        <v>0.92084760629798879</v>
      </c>
      <c r="H99" s="412" t="b">
        <f>Wh_hp&gt;='2025'!Maxi_hp</f>
        <v>0</v>
      </c>
      <c r="I99" s="390">
        <f>IF(H99,Wh_hp,'2025'!Maxi_hp)</f>
        <v>56.081839676566283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6.0802636637315555E-2</v>
      </c>
      <c r="M99" s="957"/>
      <c r="N99" s="957"/>
      <c r="O99" s="48">
        <f>IF(t&lt;Tnet,'2025'!Resal+('2025'!Salim-'2025'!Resal)*(1-EXP(('2025'!Tnet-t)/('2025'!Tau_j))),Resal+(Salim-Resal)*(1-EXP((Tnet-t)/(Tau_j))))*Salcycl</f>
        <v>4.7248730080766382E-2</v>
      </c>
      <c r="P99" s="169">
        <f>(INDEX(Models!$BJ99:$BT99,,T99)*(1-R99)+INDEX(Models!$BJ99:$BT99,,T99+1)*R99-ERP_i)*Q99*Ramure*Pc/MaxiM</f>
        <v>5.101880481147892E-5</v>
      </c>
      <c r="Q99" s="305">
        <f t="shared" si="28"/>
        <v>0.7</v>
      </c>
      <c r="R99" s="177">
        <f t="shared" si="29"/>
        <v>0.49546821061256008</v>
      </c>
      <c r="S99" s="919">
        <f t="shared" si="30"/>
        <v>-2</v>
      </c>
      <c r="T99" s="176">
        <f t="shared" si="31"/>
        <v>4</v>
      </c>
      <c r="U99" s="251">
        <f t="shared" si="32"/>
        <v>-1.5045317893874399</v>
      </c>
      <c r="V99" s="383">
        <f t="shared" si="33"/>
        <v>48.05032877455654</v>
      </c>
      <c r="W99" s="402">
        <f t="shared" si="34"/>
        <v>44.247285488395299</v>
      </c>
      <c r="X99" s="157">
        <f t="shared" si="35"/>
        <v>46107</v>
      </c>
      <c r="Y99" s="385">
        <f t="shared" si="36"/>
        <v>42.776593042989823</v>
      </c>
      <c r="Z99" s="385">
        <f t="shared" si="37"/>
        <v>45.545904100319575</v>
      </c>
      <c r="AA99" s="386">
        <f t="shared" si="38"/>
        <v>49.358000290084902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7.7233602807265808E-2</v>
      </c>
      <c r="AD99" s="231">
        <f>(INDEX(Models!$BJ99:$BT99,,AH99)*(1-AF99)+INDEX(Models!$BJ99:$BT99,,AH99+1)*AF99-ERP_i)*AE99*Ramure*Pc/MaxiM</f>
        <v>2.1069301040412191E-3</v>
      </c>
      <c r="AE99" s="305">
        <f t="shared" si="40"/>
        <v>0.7</v>
      </c>
      <c r="AF99" s="177">
        <f t="shared" si="41"/>
        <v>2.045577698653922E-2</v>
      </c>
      <c r="AG99" s="919">
        <f t="shared" si="49"/>
        <v>2</v>
      </c>
      <c r="AH99" s="176">
        <f t="shared" si="42"/>
        <v>8</v>
      </c>
      <c r="AI99" s="225">
        <f t="shared" si="43"/>
        <v>2.0204557769865392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1090">
        <f>IF(t&gt;Tmaj,'2025'!Wh/'2025'!Env_an*'2026'!Env_an,0.001*'[5]mon-tableau'!$B$64)</f>
        <v>44.974166598190159</v>
      </c>
      <c r="C100" s="953"/>
      <c r="D100" s="393">
        <f t="shared" si="25"/>
        <v>47.886795069791532</v>
      </c>
      <c r="E100" s="385">
        <f t="shared" si="47"/>
        <v>50.267052854954507</v>
      </c>
      <c r="F100" s="385">
        <f t="shared" si="26"/>
        <v>50.269284814332863</v>
      </c>
      <c r="G100" s="110">
        <f t="shared" si="48"/>
        <v>0.93163905034495487</v>
      </c>
      <c r="H100" s="412" t="b">
        <f>Wh_hp&gt;='2025'!Maxi_hp</f>
        <v>0</v>
      </c>
      <c r="I100" s="390">
        <f>IF(H100,Wh_hp,'2025'!Maxi_hp)</f>
        <v>55.275486537639232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6.0823207469959728E-2</v>
      </c>
      <c r="M100" s="957"/>
      <c r="N100" s="957"/>
      <c r="O100" s="48">
        <f>IF(t&lt;Tnet,'2025'!Resal+('2025'!Salim-'2025'!Resal)*(1-EXP(('2025'!Tnet-t)/('2025'!Tau_j))),Resal+(Salim-Resal)*(1-EXP((Tnet-t)/(Tau_j))))*Salcycl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4.9205037793488839E-5</v>
      </c>
      <c r="Q100" s="305">
        <f t="shared" si="28"/>
        <v>0.7</v>
      </c>
      <c r="R100" s="177">
        <f t="shared" si="29"/>
        <v>0.49631517578052464</v>
      </c>
      <c r="S100" s="919">
        <f t="shared" si="30"/>
        <v>-2</v>
      </c>
      <c r="T100" s="176">
        <f t="shared" si="31"/>
        <v>4</v>
      </c>
      <c r="U100" s="251">
        <f t="shared" si="32"/>
        <v>-1.5036848242194754</v>
      </c>
      <c r="V100" s="383">
        <f t="shared" si="33"/>
        <v>48.27400748409476</v>
      </c>
      <c r="W100" s="402">
        <f t="shared" si="34"/>
        <v>44.974166598190159</v>
      </c>
      <c r="X100" s="157">
        <f t="shared" si="35"/>
        <v>46108</v>
      </c>
      <c r="Y100" s="385">
        <f t="shared" si="36"/>
        <v>43.480815531814464</v>
      </c>
      <c r="Z100" s="385">
        <f t="shared" si="37"/>
        <v>46.296731219988807</v>
      </c>
      <c r="AA100" s="386">
        <f t="shared" si="38"/>
        <v>50.17570982577206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7.7307896973504736E-2</v>
      </c>
      <c r="AD100" s="231">
        <f>(INDEX(Models!$BJ100:$BT100,,AH100)*(1-AF100)+INDEX(Models!$BJ100:$BT100,,AH100+1)*AF100-ERP_i)*AE100*Ramure*Pc/MaxiM</f>
        <v>2.0629232293920045E-3</v>
      </c>
      <c r="AE100" s="305">
        <f t="shared" si="40"/>
        <v>0.7</v>
      </c>
      <c r="AF100" s="177">
        <f t="shared" si="41"/>
        <v>2.1302742154504006E-2</v>
      </c>
      <c r="AG100" s="919">
        <f t="shared" si="49"/>
        <v>2</v>
      </c>
      <c r="AH100" s="176">
        <f t="shared" si="42"/>
        <v>8</v>
      </c>
      <c r="AI100" s="225">
        <f t="shared" si="43"/>
        <v>2.021302742154504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1090">
        <f>IF(t&gt;Tmaj,'2025'!Wh/'2025'!Env_an*'2026'!Env_an,0.001*'[5]mon-tableau'!$B$65)</f>
        <v>34.50289839221103</v>
      </c>
      <c r="C101" s="953"/>
      <c r="D101" s="393">
        <f t="shared" si="25"/>
        <v>36.738188576655794</v>
      </c>
      <c r="E101" s="385">
        <f t="shared" si="47"/>
        <v>38.56849660119893</v>
      </c>
      <c r="F101" s="385">
        <f t="shared" si="26"/>
        <v>38.569573367556842</v>
      </c>
      <c r="G101" s="110">
        <f t="shared" si="48"/>
        <v>0.71149367363183547</v>
      </c>
      <c r="H101" s="412" t="b">
        <f>Wh_hp&gt;='2025'!Maxi_hp</f>
        <v>0</v>
      </c>
      <c r="I101" s="390">
        <f>IF(H101,Wh_hp,'2025'!Maxi_hp)</f>
        <v>54.062253279945516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6.0843777852049863E-2</v>
      </c>
      <c r="M101" s="957"/>
      <c r="N101" s="957"/>
      <c r="O101" s="48">
        <f>IF(t&lt;Tnet,'2025'!Resal+('2025'!Salim-'2025'!Resal)*(1-EXP(('2025'!Tnet-t)/('2025'!Tau_j))),Resal+(Salim-Resal)*(1-EXP((Tnet-t)/(Tau_j))))*Salcycl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4.7489415372300383E-5</v>
      </c>
      <c r="Q101" s="305">
        <f t="shared" si="28"/>
        <v>0.7</v>
      </c>
      <c r="R101" s="177">
        <f t="shared" si="29"/>
        <v>0.49719449733018894</v>
      </c>
      <c r="S101" s="919">
        <f t="shared" si="30"/>
        <v>-2</v>
      </c>
      <c r="T101" s="176">
        <f t="shared" si="31"/>
        <v>4</v>
      </c>
      <c r="U101" s="251">
        <f t="shared" si="32"/>
        <v>-1.5028055026698111</v>
      </c>
      <c r="V101" s="383">
        <f t="shared" si="33"/>
        <v>48.492663202043445</v>
      </c>
      <c r="W101" s="402">
        <f t="shared" si="34"/>
        <v>34.50289839221103</v>
      </c>
      <c r="X101" s="157">
        <f t="shared" si="35"/>
        <v>46109</v>
      </c>
      <c r="Y101" s="385">
        <f t="shared" si="36"/>
        <v>33.380144391657204</v>
      </c>
      <c r="Z101" s="385">
        <f t="shared" si="37"/>
        <v>35.542696310219043</v>
      </c>
      <c r="AA101" s="386">
        <f t="shared" si="38"/>
        <v>38.523770802957522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7.7382728393494124E-2</v>
      </c>
      <c r="AD101" s="231">
        <f>(INDEX(Models!$BJ101:$BT101,,AH101)*(1-AF101)+INDEX(Models!$BJ101:$BT101,,AH101+1)*AF101-ERP_i)*AE101*Ramure*Pc/MaxiM</f>
        <v>2.0200640551083942E-3</v>
      </c>
      <c r="AE101" s="305">
        <f t="shared" si="40"/>
        <v>0.7</v>
      </c>
      <c r="AF101" s="177">
        <f t="shared" si="41"/>
        <v>2.2182063704168087E-2</v>
      </c>
      <c r="AG101" s="919">
        <f t="shared" si="49"/>
        <v>2</v>
      </c>
      <c r="AH101" s="176">
        <f t="shared" si="42"/>
        <v>8</v>
      </c>
      <c r="AI101" s="225">
        <f t="shared" si="43"/>
        <v>2.0221820637041681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1090">
        <f>IF(t&gt;Tmaj,'2025'!Wh/'2025'!Env_an*'2026'!Env_an,0.001*'[5]mon-tableau'!$B$66)</f>
        <v>27.190937625740098</v>
      </c>
      <c r="C102" s="953"/>
      <c r="D102" s="393">
        <f t="shared" si="25"/>
        <v>28.953152360437183</v>
      </c>
      <c r="E102" s="385">
        <f t="shared" si="47"/>
        <v>30.398929367677798</v>
      </c>
      <c r="F102" s="385">
        <f t="shared" si="26"/>
        <v>30.399443862192033</v>
      </c>
      <c r="G102" s="110">
        <f t="shared" si="48"/>
        <v>0.55825486293316773</v>
      </c>
      <c r="H102" s="412" t="b">
        <f>Wh_hp&gt;='2025'!Maxi_hp</f>
        <v>0</v>
      </c>
      <c r="I102" s="390">
        <f>IF(H102,Wh_hp,'2025'!Maxi_hp)</f>
        <v>54.934926813744624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6.0864347783595729E-2</v>
      </c>
      <c r="M102" s="957"/>
      <c r="N102" s="957"/>
      <c r="O102" s="48">
        <f>IF(t&lt;Tnet,'2025'!Resal+('2025'!Salim-'2025'!Resal)*(1-EXP(('2025'!Tnet-t)/('2025'!Tau_j))),Resal+(Salim-Resal)*(1-EXP((Tnet-t)/(Tau_j))))*Salcycl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4.5870921726962218E-5</v>
      </c>
      <c r="Q102" s="305">
        <f t="shared" si="28"/>
        <v>0.7</v>
      </c>
      <c r="R102" s="177">
        <f t="shared" si="29"/>
        <v>0.49810727961457535</v>
      </c>
      <c r="S102" s="919">
        <f t="shared" si="30"/>
        <v>-2</v>
      </c>
      <c r="T102" s="176">
        <f t="shared" si="31"/>
        <v>4</v>
      </c>
      <c r="U102" s="251">
        <f t="shared" si="32"/>
        <v>-1.5018927203854247</v>
      </c>
      <c r="V102" s="383">
        <f t="shared" si="33"/>
        <v>48.705622353969822</v>
      </c>
      <c r="W102" s="402">
        <f t="shared" si="34"/>
        <v>27.190937625740098</v>
      </c>
      <c r="X102" s="157">
        <f t="shared" si="35"/>
        <v>46110</v>
      </c>
      <c r="Y102" s="385">
        <f t="shared" si="36"/>
        <v>26.318609086163018</v>
      </c>
      <c r="Z102" s="385">
        <f t="shared" si="37"/>
        <v>28.024289168502829</v>
      </c>
      <c r="AA102" s="386">
        <f t="shared" si="38"/>
        <v>30.377254425945001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7.7458127862685411E-2</v>
      </c>
      <c r="AD102" s="231">
        <f>(INDEX(Models!$BJ102:$BT102,,AH102)*(1-AF102)+INDEX(Models!$BJ102:$BT102,,AH102+1)*AF102-ERP_i)*AE102*Ramure*Pc/MaxiM</f>
        <v>1.9783493605649159E-3</v>
      </c>
      <c r="AE102" s="305">
        <f t="shared" si="40"/>
        <v>0.7</v>
      </c>
      <c r="AF102" s="177">
        <f t="shared" si="41"/>
        <v>2.3094845988554269E-2</v>
      </c>
      <c r="AG102" s="919">
        <f t="shared" si="49"/>
        <v>2</v>
      </c>
      <c r="AH102" s="176">
        <f t="shared" si="42"/>
        <v>8</v>
      </c>
      <c r="AI102" s="225">
        <f t="shared" si="43"/>
        <v>2.0230948459885543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1090">
        <f>IF(t&gt;Tmaj,'2025'!Wh/'2025'!Env_an*'2026'!Env_an,0.001*'[5]mon-tableau'!$B$67)</f>
        <v>7.0976883967129023</v>
      </c>
      <c r="C103" s="953"/>
      <c r="D103" s="393">
        <f t="shared" si="25"/>
        <v>7.5578473045488979</v>
      </c>
      <c r="E103" s="385">
        <f t="shared" si="47"/>
        <v>7.9361187511450675</v>
      </c>
      <c r="F103" s="385">
        <f t="shared" si="26"/>
        <v>7.9361187511450675</v>
      </c>
      <c r="G103" s="110">
        <f t="shared" si="48"/>
        <v>0.14510432825975259</v>
      </c>
      <c r="H103" s="412" t="b">
        <f>Wh_hp&gt;='2025'!Maxi_hp</f>
        <v>0</v>
      </c>
      <c r="I103" s="390">
        <f>IF(H103,Wh_hp,'2025'!Maxi_hp)</f>
        <v>56.1503147173473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6.088491726460743E-2</v>
      </c>
      <c r="M103" s="957"/>
      <c r="N103" s="957"/>
      <c r="O103" s="48">
        <f>IF(t&lt;Tnet,'2025'!Resal+('2025'!Salim-'2025'!Resal)*(1-EXP(('2025'!Tnet-t)/('2025'!Tau_j))),Resal+(Salim-Resal)*(1-EXP((Tnet-t)/(Tau_j))))*Salcycl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4.4348571220132619E-5</v>
      </c>
      <c r="Q103" s="305">
        <f t="shared" si="28"/>
        <v>0.7</v>
      </c>
      <c r="R103" s="177">
        <f t="shared" si="29"/>
        <v>0.49905465396619353</v>
      </c>
      <c r="S103" s="919">
        <f t="shared" si="30"/>
        <v>-2</v>
      </c>
      <c r="T103" s="176">
        <f t="shared" si="31"/>
        <v>4</v>
      </c>
      <c r="U103" s="251">
        <f t="shared" si="32"/>
        <v>-1.5009453460338065</v>
      </c>
      <c r="V103" s="383">
        <f t="shared" si="33"/>
        <v>48.912211713412631</v>
      </c>
      <c r="W103" s="402">
        <f t="shared" si="34"/>
        <v>7.0976883967129023</v>
      </c>
      <c r="X103" s="157">
        <f t="shared" si="35"/>
        <v>46111</v>
      </c>
      <c r="Y103" s="385">
        <f t="shared" si="36"/>
        <v>6.8750724960673271</v>
      </c>
      <c r="Z103" s="385">
        <f t="shared" si="37"/>
        <v>7.3207987204742455</v>
      </c>
      <c r="AA103" s="386">
        <f t="shared" si="38"/>
        <v>7.9361187511450675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7.7534125933037601E-2</v>
      </c>
      <c r="AD103" s="231">
        <f>(INDEX(Models!$BJ103:$BT103,,AH103)*(1-AF103)+INDEX(Models!$BJ103:$BT103,,AH103+1)*AF103-ERP_i)*AE103*Ramure*Pc/MaxiM</f>
        <v>1.93777372992424E-3</v>
      </c>
      <c r="AE103" s="305">
        <f t="shared" si="40"/>
        <v>0.7</v>
      </c>
      <c r="AF103" s="177">
        <f t="shared" si="41"/>
        <v>2.4042220340172893E-2</v>
      </c>
      <c r="AG103" s="919">
        <f t="shared" si="49"/>
        <v>2</v>
      </c>
      <c r="AH103" s="176">
        <f t="shared" si="42"/>
        <v>8</v>
      </c>
      <c r="AI103" s="225">
        <f t="shared" si="43"/>
        <v>2.0240422203401729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1090">
        <f>IF(t&gt;Tmaj,'2025'!Wh/'2025'!Env_an*'2026'!Env_an,0.001*'[5]mon-tableau'!$B$68)</f>
        <v>21.12714777687431</v>
      </c>
      <c r="C104" s="953"/>
      <c r="D104" s="393">
        <f t="shared" si="25"/>
        <v>22.497360455790247</v>
      </c>
      <c r="E104" s="385">
        <f t="shared" si="47"/>
        <v>23.625955555860266</v>
      </c>
      <c r="F104" s="385">
        <f t="shared" si="26"/>
        <v>23.626144150911884</v>
      </c>
      <c r="G104" s="110">
        <f t="shared" si="48"/>
        <v>0.43017009159345937</v>
      </c>
      <c r="H104" s="412" t="b">
        <f>Wh_hp&gt;='2025'!Maxi_hp</f>
        <v>0</v>
      </c>
      <c r="I104" s="390">
        <f>IF(H104,Wh_hp,'2025'!Maxi_hp)</f>
        <v>49.506417533337903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6.0905486295094624E-2</v>
      </c>
      <c r="M104" s="957"/>
      <c r="N104" s="957"/>
      <c r="O104" s="48">
        <f>IF(t&lt;Tnet,'2025'!Resal+('2025'!Salim-'2025'!Resal)*(1-EXP(('2025'!Tnet-t)/('2025'!Tau_j))),Resal+(Salim-Resal)*(1-EXP((Tnet-t)/(Tau_j))))*Salcycl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4.292142477287212E-5</v>
      </c>
      <c r="Q104" s="305">
        <f t="shared" si="28"/>
        <v>0.7</v>
      </c>
      <c r="R104" s="177">
        <f t="shared" si="29"/>
        <v>0.50003777844985797</v>
      </c>
      <c r="S104" s="919">
        <f t="shared" si="30"/>
        <v>-2</v>
      </c>
      <c r="T104" s="176">
        <f t="shared" si="31"/>
        <v>4</v>
      </c>
      <c r="U104" s="251">
        <f t="shared" si="32"/>
        <v>-1.499962221550142</v>
      </c>
      <c r="V104" s="383">
        <f t="shared" si="33"/>
        <v>49.111758403104091</v>
      </c>
      <c r="W104" s="402">
        <f t="shared" si="34"/>
        <v>21.12714777687431</v>
      </c>
      <c r="X104" s="157">
        <f t="shared" si="35"/>
        <v>46112</v>
      </c>
      <c r="Y104" s="385">
        <f t="shared" si="36"/>
        <v>20.457993201786373</v>
      </c>
      <c r="Z104" s="385">
        <f t="shared" si="37"/>
        <v>21.784807496186644</v>
      </c>
      <c r="AA104" s="386">
        <f t="shared" si="38"/>
        <v>23.617802964719228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7.7610752840590311E-2</v>
      </c>
      <c r="AD104" s="231">
        <f>(INDEX(Models!$BJ104:$BT104,,AH104)*(1-AF104)+INDEX(Models!$BJ104:$BT104,,AH104+1)*AF104-ERP_i)*AE104*Ramure*Pc/MaxiM</f>
        <v>1.8983297420111865E-3</v>
      </c>
      <c r="AE104" s="305">
        <f t="shared" si="40"/>
        <v>0.7</v>
      </c>
      <c r="AF104" s="177">
        <f t="shared" si="41"/>
        <v>2.5025344823836893E-2</v>
      </c>
      <c r="AG104" s="919">
        <f t="shared" si="49"/>
        <v>2</v>
      </c>
      <c r="AH104" s="176">
        <f t="shared" si="42"/>
        <v>8</v>
      </c>
      <c r="AI104" s="225">
        <f t="shared" si="43"/>
        <v>2.0250253448238369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1090">
        <f>IF(t&gt;Tmaj,'2025'!Wh/'2025'!Env_an*'2026'!Env_an,0.001*'[6]mon-tableau'!$B$37)</f>
        <v>31.470009005899982</v>
      </c>
      <c r="C105" s="953"/>
      <c r="D105" s="393">
        <f t="shared" si="25"/>
        <v>33.511747577783417</v>
      </c>
      <c r="E105" s="385">
        <f t="shared" si="47"/>
        <v>35.196771820503592</v>
      </c>
      <c r="F105" s="385">
        <f t="shared" si="26"/>
        <v>35.197479240903448</v>
      </c>
      <c r="G105" s="110">
        <f t="shared" si="48"/>
        <v>0.63827670074921528</v>
      </c>
      <c r="H105" s="412" t="b">
        <f>Wh_hp&gt;='2025'!Maxi_hp</f>
        <v>0</v>
      </c>
      <c r="I105" s="390">
        <f>IF(H105,Wh_hp,'2025'!Maxi_hp)</f>
        <v>49.445909039564896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6.0926054875067304E-2</v>
      </c>
      <c r="M105" s="957"/>
      <c r="N105" s="957"/>
      <c r="O105" s="48">
        <f>IF(t&lt;Tnet,'2025'!Resal+('2025'!Salim-'2025'!Resal)*(1-EXP(('2025'!Tnet-t)/('2025'!Tau_j))),Resal+(Salim-Resal)*(1-EXP((Tnet-t)/(Tau_j))))*Salcycl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4.1588605793699156E-5</v>
      </c>
      <c r="Q105" s="305">
        <f t="shared" si="28"/>
        <v>0.7</v>
      </c>
      <c r="R105" s="177">
        <f t="shared" si="29"/>
        <v>0.50105783751914323</v>
      </c>
      <c r="S105" s="919">
        <f t="shared" si="30"/>
        <v>-2</v>
      </c>
      <c r="T105" s="176">
        <f t="shared" si="31"/>
        <v>4</v>
      </c>
      <c r="U105" s="251">
        <f t="shared" si="32"/>
        <v>-1.4989421624808568</v>
      </c>
      <c r="V105" s="383">
        <f t="shared" si="33"/>
        <v>49.303589908576555</v>
      </c>
      <c r="W105" s="402">
        <f t="shared" si="34"/>
        <v>31.470009005899982</v>
      </c>
      <c r="X105" s="157">
        <f t="shared" si="35"/>
        <v>46113</v>
      </c>
      <c r="Y105" s="385">
        <f t="shared" si="36"/>
        <v>30.457807334417033</v>
      </c>
      <c r="Z105" s="385">
        <f t="shared" si="37"/>
        <v>32.433875407292852</v>
      </c>
      <c r="AA105" s="386">
        <f t="shared" si="38"/>
        <v>35.165840582069549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7.7688038436074719E-2</v>
      </c>
      <c r="AD105" s="231">
        <f>(INDEX(Models!$BJ105:$BT105,,AH105)*(1-AF105)+INDEX(Models!$BJ105:$BT105,,AH105+1)*AF105-ERP_i)*AE105*Ramure*Pc/MaxiM</f>
        <v>1.8600081512381557E-3</v>
      </c>
      <c r="AE105" s="305">
        <f t="shared" si="40"/>
        <v>0.7</v>
      </c>
      <c r="AF105" s="177">
        <f t="shared" si="41"/>
        <v>2.6045403893122376E-2</v>
      </c>
      <c r="AG105" s="919">
        <f t="shared" si="49"/>
        <v>2</v>
      </c>
      <c r="AH105" s="176">
        <f t="shared" si="42"/>
        <v>8</v>
      </c>
      <c r="AI105" s="225">
        <f t="shared" si="43"/>
        <v>2.0260454038931224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1090">
        <f>IF(t&gt;Tmaj,'2025'!Wh/'2025'!Env_an*'2026'!Env_an,0.001*'[6]mon-tableau'!$B$38)</f>
        <v>19.303261034449239</v>
      </c>
      <c r="C106" s="953"/>
      <c r="D106" s="393">
        <f t="shared" si="25"/>
        <v>20.55608499722425</v>
      </c>
      <c r="E106" s="385">
        <f t="shared" si="47"/>
        <v>21.592070023924226</v>
      </c>
      <c r="F106" s="385">
        <f t="shared" si="26"/>
        <v>21.592182122623225</v>
      </c>
      <c r="G106" s="110">
        <f t="shared" si="48"/>
        <v>0.39005332879365529</v>
      </c>
      <c r="H106" s="412" t="b">
        <f>Wh_hp&gt;='2025'!Maxi_hp</f>
        <v>0</v>
      </c>
      <c r="I106" s="390">
        <f>IF(H106,Wh_hp,'2025'!Maxi_hp)</f>
        <v>44.480418756560418</v>
      </c>
      <c r="J106" s="85">
        <f>IF(H106,An,'2025'!An_max)</f>
        <v>2020</v>
      </c>
      <c r="K106" s="197">
        <f t="shared" si="27"/>
        <v>46114</v>
      </c>
      <c r="L106" s="147">
        <f>IF(t&lt;Tvie,1-EXP((T0-t)*PertePVj)+'2025'!Pspv,1-EXP((T0-t)*PertePVj)+Pspv)</f>
        <v>6.094662300453535E-2</v>
      </c>
      <c r="M106" s="957"/>
      <c r="N106" s="957"/>
      <c r="O106" s="48">
        <f>IF(t&lt;Tnet,'2025'!Resal+('2025'!Salim-'2025'!Resal)*(1-EXP(('2025'!Tnet-t)/('2025'!Tau_j))),Resal+(Salim-Resal)*(1-EXP((Tnet-t)/(Tau_j))))*Salcycl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4.0349315754732422E-5</v>
      </c>
      <c r="Q106" s="305">
        <f t="shared" si="28"/>
        <v>0.7</v>
      </c>
      <c r="R106" s="177">
        <f t="shared" si="29"/>
        <v>0.50211604156858258</v>
      </c>
      <c r="S106" s="919">
        <f t="shared" si="30"/>
        <v>-2</v>
      </c>
      <c r="T106" s="176">
        <f t="shared" si="31"/>
        <v>4</v>
      </c>
      <c r="U106" s="251">
        <f t="shared" si="32"/>
        <v>-1.4978839584314174</v>
      </c>
      <c r="V106" s="383">
        <f t="shared" si="33"/>
        <v>49.487034074825132</v>
      </c>
      <c r="W106" s="402">
        <f t="shared" si="34"/>
        <v>19.303261034449239</v>
      </c>
      <c r="X106" s="157">
        <f t="shared" si="35"/>
        <v>46114</v>
      </c>
      <c r="Y106" s="385">
        <f t="shared" si="36"/>
        <v>18.695025772771658</v>
      </c>
      <c r="Z106" s="385">
        <f t="shared" si="37"/>
        <v>19.908373933531948</v>
      </c>
      <c r="AA106" s="386">
        <f t="shared" si="38"/>
        <v>21.587118014663197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7.7766012118475142E-2</v>
      </c>
      <c r="AD106" s="231">
        <f>(INDEX(Models!$BJ106:$BT106,,AH106)*(1-AF106)+INDEX(Models!$BJ106:$BT106,,AH106+1)*AF106-ERP_i)*AE106*Ramure*Pc/MaxiM</f>
        <v>1.8227980602866479E-3</v>
      </c>
      <c r="AE106" s="305">
        <f t="shared" si="40"/>
        <v>0.7</v>
      </c>
      <c r="AF106" s="177">
        <f t="shared" si="41"/>
        <v>2.7103607942561503E-2</v>
      </c>
      <c r="AG106" s="919">
        <f t="shared" si="49"/>
        <v>2</v>
      </c>
      <c r="AH106" s="176">
        <f t="shared" si="42"/>
        <v>8</v>
      </c>
      <c r="AI106" s="225">
        <f t="shared" si="43"/>
        <v>2.0271036079425615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1090">
        <f>IF(t&gt;Tmaj,'2025'!Wh/'2025'!Env_an*'2026'!Env_an,0.001*'[6]mon-tableau'!$B$39)</f>
        <v>24.651395325564568</v>
      </c>
      <c r="C107" s="953"/>
      <c r="D107" s="393">
        <f t="shared" si="25"/>
        <v>26.251899913388506</v>
      </c>
      <c r="E107" s="385">
        <f t="shared" si="47"/>
        <v>27.578009743385582</v>
      </c>
      <c r="F107" s="385">
        <f t="shared" si="26"/>
        <v>27.578313052345216</v>
      </c>
      <c r="G107" s="110">
        <f t="shared" si="48"/>
        <v>0.49636885011456011</v>
      </c>
      <c r="H107" s="412" t="b">
        <f>Wh_hp&gt;='2025'!Maxi_hp</f>
        <v>0</v>
      </c>
      <c r="I107" s="390">
        <f>IF(H107,Wh_hp,'2025'!Maxi_hp)</f>
        <v>52.947397962650761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6.0967190683508532E-2</v>
      </c>
      <c r="M107" s="957"/>
      <c r="N107" s="957"/>
      <c r="O107" s="48">
        <f>IF(t&lt;Tnet,'2025'!Resal+('2025'!Salim-'2025'!Resal)*(1-EXP(('2025'!Tnet-t)/('2025'!Tau_j))),Resal+(Salim-Resal)*(1-EXP((Tnet-t)/(Tau_j))))*Salcycl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3.9202342893946576E-5</v>
      </c>
      <c r="Q107" s="305">
        <f t="shared" si="28"/>
        <v>0.7</v>
      </c>
      <c r="R107" s="177">
        <f t="shared" si="29"/>
        <v>0.50321362637339595</v>
      </c>
      <c r="S107" s="919">
        <f t="shared" si="30"/>
        <v>-2</v>
      </c>
      <c r="T107" s="176">
        <f t="shared" si="31"/>
        <v>4</v>
      </c>
      <c r="U107" s="251">
        <f t="shared" si="32"/>
        <v>-1.496786373626604</v>
      </c>
      <c r="V107" s="383">
        <f t="shared" si="33"/>
        <v>49.662060861012847</v>
      </c>
      <c r="W107" s="402">
        <f t="shared" si="34"/>
        <v>24.651395325564568</v>
      </c>
      <c r="X107" s="157">
        <f t="shared" si="35"/>
        <v>46115</v>
      </c>
      <c r="Y107" s="385">
        <f t="shared" si="36"/>
        <v>23.869030936937403</v>
      </c>
      <c r="Z107" s="385">
        <f t="shared" si="37"/>
        <v>25.418740112298448</v>
      </c>
      <c r="AA107" s="386">
        <f t="shared" si="38"/>
        <v>27.56448961329011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7.7844702771391036E-2</v>
      </c>
      <c r="AD107" s="231">
        <f>(INDEX(Models!$BJ107:$BT107,,AH107)*(1-AF107)+INDEX(Models!$BJ107:$BT107,,AH107+1)*AF107-ERP_i)*AE107*Ramure*Pc/MaxiM</f>
        <v>1.786663995895302E-3</v>
      </c>
      <c r="AE107" s="305">
        <f t="shared" si="40"/>
        <v>0.7</v>
      </c>
      <c r="AF107" s="177">
        <f t="shared" si="41"/>
        <v>2.8201192747375092E-2</v>
      </c>
      <c r="AG107" s="919">
        <f t="shared" si="49"/>
        <v>2</v>
      </c>
      <c r="AH107" s="176">
        <f t="shared" si="42"/>
        <v>8</v>
      </c>
      <c r="AI107" s="225">
        <f t="shared" si="43"/>
        <v>2.0282011927473751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1090">
        <f>IF(t&gt;Tmaj,'2025'!Wh/'2025'!Env_an*'2026'!Env_an,0.001*'[6]mon-tableau'!$B$40)</f>
        <v>43.230083719844366</v>
      </c>
      <c r="C108" s="953"/>
      <c r="D108" s="393">
        <f t="shared" si="25"/>
        <v>46.037827604587171</v>
      </c>
      <c r="E108" s="385">
        <f t="shared" si="47"/>
        <v>48.36882135862956</v>
      </c>
      <c r="F108" s="385">
        <f t="shared" si="26"/>
        <v>48.370324727211994</v>
      </c>
      <c r="G108" s="110">
        <f t="shared" si="48"/>
        <v>0.8675554866702212</v>
      </c>
      <c r="H108" s="412" t="b">
        <f>Wh_hp&gt;='2025'!Maxi_hp</f>
        <v>0</v>
      </c>
      <c r="I108" s="390">
        <f>IF(H108,Wh_hp,'2025'!Maxi_hp)</f>
        <v>55.741875297523443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6.0987757911996732E-2</v>
      </c>
      <c r="M108" s="957"/>
      <c r="N108" s="957"/>
      <c r="O108" s="48">
        <f>IF(t&lt;Tnet,'2025'!Resal+('2025'!Salim-'2025'!Resal)*(1-EXP(('2025'!Tnet-t)/('2025'!Tau_j))),Resal+(Salim-Resal)*(1-EXP((Tnet-t)/(Tau_j))))*Salcycl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3.8332872613817479E-5</v>
      </c>
      <c r="Q108" s="305">
        <f t="shared" si="28"/>
        <v>0.7</v>
      </c>
      <c r="R108" s="177">
        <f t="shared" si="29"/>
        <v>0.50435185240824865</v>
      </c>
      <c r="S108" s="919">
        <f t="shared" si="30"/>
        <v>-2</v>
      </c>
      <c r="T108" s="176">
        <f t="shared" si="31"/>
        <v>4</v>
      </c>
      <c r="U108" s="251">
        <f t="shared" si="32"/>
        <v>-1.4956481475917514</v>
      </c>
      <c r="V108" s="383">
        <f t="shared" si="33"/>
        <v>49.829400941964721</v>
      </c>
      <c r="W108" s="402">
        <f t="shared" si="34"/>
        <v>43.230083719844366</v>
      </c>
      <c r="X108" s="157">
        <f t="shared" si="35"/>
        <v>46116</v>
      </c>
      <c r="Y108" s="385">
        <f t="shared" si="36"/>
        <v>41.821457007191135</v>
      </c>
      <c r="Z108" s="385">
        <f t="shared" si="37"/>
        <v>44.53771221788999</v>
      </c>
      <c r="AA108" s="386">
        <f t="shared" si="38"/>
        <v>48.301570496807152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7.7924138701990373E-2</v>
      </c>
      <c r="AD108" s="231">
        <f>(INDEX(Models!$BJ108:$BT108,,AH108)*(1-AF108)+INDEX(Models!$BJ108:$BT108,,AH108+1)*AF108-ERP_i)*AE108*Ramure*Pc/MaxiM</f>
        <v>1.753094475010569E-3</v>
      </c>
      <c r="AE108" s="305">
        <f t="shared" si="40"/>
        <v>0.7</v>
      </c>
      <c r="AF108" s="177">
        <f t="shared" si="41"/>
        <v>2.9339418782227789E-2</v>
      </c>
      <c r="AG108" s="919">
        <f t="shared" si="49"/>
        <v>2</v>
      </c>
      <c r="AH108" s="176">
        <f t="shared" si="42"/>
        <v>8</v>
      </c>
      <c r="AI108" s="225">
        <f t="shared" si="43"/>
        <v>2.0293394187822278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1090">
        <f>IF(t&gt;Tmaj,'2025'!Wh/'2025'!Env_an*'2026'!Env_an,0.001*'[6]mon-tableau'!$B$41)</f>
        <v>49.817721718498021</v>
      </c>
      <c r="C109" s="953"/>
      <c r="D109" s="393">
        <f t="shared" si="25"/>
        <v>53.054487093351121</v>
      </c>
      <c r="E109" s="385">
        <f t="shared" si="47"/>
        <v>55.747001007223005</v>
      </c>
      <c r="F109" s="385">
        <f t="shared" si="26"/>
        <v>55.749093369743534</v>
      </c>
      <c r="G109" s="110">
        <f t="shared" si="48"/>
        <v>0.9965627637872998</v>
      </c>
      <c r="H109" s="412" t="b">
        <f>Wh_hp&gt;='2025'!Maxi_hp</f>
        <v>0</v>
      </c>
      <c r="I109" s="390">
        <f>IF(H109,Wh_hp,'2025'!Maxi_hp)</f>
        <v>58.256884739736201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6.100832469000983E-2</v>
      </c>
      <c r="M109" s="957"/>
      <c r="N109" s="957"/>
      <c r="O109" s="48">
        <f>IF(t&lt;Tnet,'2025'!Resal+('2025'!Salim-'2025'!Resal)*(1-EXP(('2025'!Tnet-t)/('2025'!Tau_j))),Resal+(Salim-Resal)*(1-EXP((Tnet-t)/(Tau_j))))*Salcycl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3.7716969749596742E-5</v>
      </c>
      <c r="Q109" s="305">
        <f t="shared" si="28"/>
        <v>0.7</v>
      </c>
      <c r="R109" s="177">
        <f t="shared" si="29"/>
        <v>0.50553200403626741</v>
      </c>
      <c r="S109" s="919">
        <f t="shared" si="30"/>
        <v>-2</v>
      </c>
      <c r="T109" s="176">
        <f t="shared" si="31"/>
        <v>4</v>
      </c>
      <c r="U109" s="251">
        <f t="shared" si="32"/>
        <v>-1.4944679959637326</v>
      </c>
      <c r="V109" s="383">
        <f t="shared" si="33"/>
        <v>49.989538343704346</v>
      </c>
      <c r="W109" s="402">
        <f t="shared" si="34"/>
        <v>49.817721718498021</v>
      </c>
      <c r="X109" s="157">
        <f t="shared" si="35"/>
        <v>46117</v>
      </c>
      <c r="Y109" s="385">
        <f t="shared" si="36"/>
        <v>48.181862716569661</v>
      </c>
      <c r="Z109" s="385">
        <f t="shared" si="37"/>
        <v>51.312342785854135</v>
      </c>
      <c r="AA109" s="386">
        <f t="shared" si="38"/>
        <v>55.653562629390009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7.8004347582293507E-2</v>
      </c>
      <c r="AD109" s="231">
        <f>(INDEX(Models!$BJ109:$BT109,,AH109)*(1-AF109)+INDEX(Models!$BJ109:$BT109,,AH109+1)*AF109-ERP_i)*AE109*Ramure*Pc/MaxiM</f>
        <v>1.7220390867857874E-3</v>
      </c>
      <c r="AE109" s="305">
        <f t="shared" si="40"/>
        <v>0.7</v>
      </c>
      <c r="AF109" s="177">
        <f t="shared" si="41"/>
        <v>3.0519570410246555E-2</v>
      </c>
      <c r="AG109" s="919">
        <f t="shared" si="49"/>
        <v>2</v>
      </c>
      <c r="AH109" s="176">
        <f t="shared" si="42"/>
        <v>8</v>
      </c>
      <c r="AI109" s="225">
        <f t="shared" si="43"/>
        <v>2.0305195704102466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1090">
        <f>IF(t&gt;Tmaj,'2025'!Wh/'2025'!Env_an*'2026'!Env_an,0.001*'[6]mon-tableau'!$B$42)</f>
        <v>11.699778872183925</v>
      </c>
      <c r="C110" s="953"/>
      <c r="D110" s="393">
        <f t="shared" si="25"/>
        <v>12.460211778893719</v>
      </c>
      <c r="E110" s="385">
        <f t="shared" si="47"/>
        <v>13.094042057514734</v>
      </c>
      <c r="F110" s="385">
        <f t="shared" si="26"/>
        <v>13.094042057514734</v>
      </c>
      <c r="G110" s="110">
        <f t="shared" si="48"/>
        <v>0.2333197489320423</v>
      </c>
      <c r="H110" s="412" t="b">
        <f>Wh_hp&gt;='2025'!Maxi_hp</f>
        <v>0</v>
      </c>
      <c r="I110" s="390">
        <f>IF(H110,Wh_hp,'2025'!Maxi_hp)</f>
        <v>57.685469912803519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6.1028891017557707E-2</v>
      </c>
      <c r="M110" s="957"/>
      <c r="N110" s="957"/>
      <c r="O110" s="48">
        <f>IF(t&lt;Tnet,'2025'!Resal+('2025'!Salim-'2025'!Resal)*(1-EXP(('2025'!Tnet-t)/('2025'!Tau_j))),Resal+(Salim-Resal)*(1-EXP((Tnet-t)/(Tau_j))))*Salcycl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3.7354586499223057E-5</v>
      </c>
      <c r="Q110" s="305">
        <f t="shared" si="28"/>
        <v>0.7</v>
      </c>
      <c r="R110" s="177">
        <f t="shared" si="29"/>
        <v>0.50675538855930768</v>
      </c>
      <c r="S110" s="919">
        <f t="shared" si="30"/>
        <v>-2</v>
      </c>
      <c r="T110" s="176">
        <f t="shared" si="31"/>
        <v>4</v>
      </c>
      <c r="U110" s="251">
        <f t="shared" si="32"/>
        <v>-1.4932446114406923</v>
      </c>
      <c r="V110" s="383">
        <f t="shared" si="33"/>
        <v>50.142955687774297</v>
      </c>
      <c r="W110" s="402">
        <f t="shared" si="34"/>
        <v>11.699778872183925</v>
      </c>
      <c r="X110" s="157">
        <f t="shared" si="35"/>
        <v>46118</v>
      </c>
      <c r="Y110" s="385">
        <f t="shared" si="36"/>
        <v>11.334873420215485</v>
      </c>
      <c r="Z110" s="385">
        <f t="shared" si="37"/>
        <v>12.071589116835579</v>
      </c>
      <c r="AA110" s="386">
        <f t="shared" si="38"/>
        <v>13.094042057514734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7.8085356392479627E-2</v>
      </c>
      <c r="AD110" s="231">
        <f>(INDEX(Models!$BJ110:$BT110,,AH110)*(1-AF110)+INDEX(Models!$BJ110:$BT110,,AH110+1)*AF110-ERP_i)*AE110*Ramure*Pc/MaxiM</f>
        <v>1.6934475231627016E-3</v>
      </c>
      <c r="AE110" s="305">
        <f t="shared" si="40"/>
        <v>0.7</v>
      </c>
      <c r="AF110" s="177">
        <f t="shared" si="41"/>
        <v>3.1742954933286605E-2</v>
      </c>
      <c r="AG110" s="919">
        <f t="shared" si="49"/>
        <v>2</v>
      </c>
      <c r="AH110" s="176">
        <f t="shared" si="42"/>
        <v>8</v>
      </c>
      <c r="AI110" s="225">
        <f t="shared" si="43"/>
        <v>2.0317429549332866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1090">
        <f>IF(t&gt;Tmaj,'2025'!Wh/'2025'!Env_an*'2026'!Env_an,0.001*'[6]mon-tableau'!$B$43)</f>
        <v>38.537528769302646</v>
      </c>
      <c r="C111" s="953"/>
      <c r="D111" s="393">
        <f t="shared" si="25"/>
        <v>41.043193437909068</v>
      </c>
      <c r="E111" s="385">
        <f t="shared" si="47"/>
        <v>43.135873091994654</v>
      </c>
      <c r="F111" s="385">
        <f t="shared" si="26"/>
        <v>43.136943384609438</v>
      </c>
      <c r="G111" s="110">
        <f t="shared" si="48"/>
        <v>0.76629440916767066</v>
      </c>
      <c r="H111" s="412" t="b">
        <f>Wh_hp&gt;='2025'!Maxi_hp</f>
        <v>0</v>
      </c>
      <c r="I111" s="390">
        <f>IF(H111,Wh_hp,'2025'!Maxi_hp)</f>
        <v>56.268394657199678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6.1049456894650245E-2</v>
      </c>
      <c r="M111" s="957"/>
      <c r="N111" s="957"/>
      <c r="O111" s="48">
        <f>IF(t&lt;Tnet,'2025'!Resal+('2025'!Salim-'2025'!Resal)*(1-EXP(('2025'!Tnet-t)/('2025'!Tau_j))),Resal+(Salim-Resal)*(1-EXP((Tnet-t)/(Tau_j))))*Salcycl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3.7246212524887434E-5</v>
      </c>
      <c r="Q111" s="305">
        <f t="shared" si="28"/>
        <v>0.7</v>
      </c>
      <c r="R111" s="177">
        <f t="shared" si="29"/>
        <v>0.50802333512025677</v>
      </c>
      <c r="S111" s="919">
        <f t="shared" si="30"/>
        <v>-2</v>
      </c>
      <c r="T111" s="176">
        <f t="shared" si="31"/>
        <v>4</v>
      </c>
      <c r="U111" s="251">
        <f t="shared" si="32"/>
        <v>-1.4919766648797432</v>
      </c>
      <c r="V111" s="383">
        <f t="shared" si="33"/>
        <v>50.290135349527361</v>
      </c>
      <c r="W111" s="402">
        <f t="shared" si="34"/>
        <v>38.537528769302646</v>
      </c>
      <c r="X111" s="157">
        <f t="shared" si="35"/>
        <v>46119</v>
      </c>
      <c r="Y111" s="385">
        <f t="shared" si="36"/>
        <v>37.295946118068208</v>
      </c>
      <c r="Z111" s="385">
        <f t="shared" si="37"/>
        <v>39.720884547040114</v>
      </c>
      <c r="AA111" s="386">
        <f t="shared" si="38"/>
        <v>43.089033255275595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7.8167191365870345E-2</v>
      </c>
      <c r="AD111" s="231">
        <f>(INDEX(Models!$BJ111:$BT111,,AH111)*(1-AF111)+INDEX(Models!$BJ111:$BT111,,AH111+1)*AF111-ERP_i)*AE111*Ramure*Pc/MaxiM</f>
        <v>1.6672738227046405E-3</v>
      </c>
      <c r="AE111" s="305">
        <f t="shared" si="40"/>
        <v>0.7</v>
      </c>
      <c r="AF111" s="177">
        <f t="shared" si="41"/>
        <v>3.3010901494235689E-2</v>
      </c>
      <c r="AG111" s="919">
        <f t="shared" si="49"/>
        <v>2</v>
      </c>
      <c r="AH111" s="176">
        <f t="shared" si="42"/>
        <v>8</v>
      </c>
      <c r="AI111" s="225">
        <f t="shared" si="43"/>
        <v>2.0330109014942357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1090">
        <f>IF(t&gt;Tmaj,'2025'!Wh/'2025'!Env_an*'2026'!Env_an,0.001*'[6]mon-tableau'!$B$44)</f>
        <v>31.267792136556835</v>
      </c>
      <c r="C112" s="953"/>
      <c r="D112" s="393">
        <f t="shared" si="25"/>
        <v>33.301516492059989</v>
      </c>
      <c r="E112" s="385">
        <f t="shared" si="47"/>
        <v>35.003448251748416</v>
      </c>
      <c r="F112" s="385">
        <f t="shared" si="26"/>
        <v>35.004046615053106</v>
      </c>
      <c r="G112" s="110">
        <f t="shared" si="48"/>
        <v>0.61999188134089345</v>
      </c>
      <c r="H112" s="412" t="b">
        <f>Wh_hp&gt;='2025'!Maxi_hp</f>
        <v>0</v>
      </c>
      <c r="I112" s="390">
        <f>IF(H112,Wh_hp,'2025'!Maxi_hp)</f>
        <v>56.211155978326396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6.1070022321297324E-2</v>
      </c>
      <c r="M112" s="957"/>
      <c r="N112" s="957"/>
      <c r="O112" s="48">
        <f>IF(t&lt;Tnet,'2025'!Resal+('2025'!Salim-'2025'!Resal)*(1-EXP(('2025'!Tnet-t)/('2025'!Tau_j))),Resal+(Salim-Resal)*(1-EXP((Tnet-t)/(Tau_j))))*Salcycl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3.7392861245566655E-5</v>
      </c>
      <c r="Q112" s="305">
        <f t="shared" si="28"/>
        <v>0.7</v>
      </c>
      <c r="R112" s="177">
        <f t="shared" si="29"/>
        <v>0.50933719344800021</v>
      </c>
      <c r="S112" s="919">
        <f t="shared" si="30"/>
        <v>-2</v>
      </c>
      <c r="T112" s="176">
        <f t="shared" si="31"/>
        <v>4</v>
      </c>
      <c r="U112" s="251">
        <f t="shared" si="32"/>
        <v>-1.4906628065519998</v>
      </c>
      <c r="V112" s="383">
        <f t="shared" si="33"/>
        <v>50.431559460424722</v>
      </c>
      <c r="W112" s="402">
        <f t="shared" si="34"/>
        <v>31.267792136556835</v>
      </c>
      <c r="X112" s="157">
        <f t="shared" si="35"/>
        <v>46120</v>
      </c>
      <c r="Y112" s="385">
        <f t="shared" si="36"/>
        <v>30.271800209843619</v>
      </c>
      <c r="Z112" s="385">
        <f t="shared" si="37"/>
        <v>32.240743111306308</v>
      </c>
      <c r="AA112" s="386">
        <f t="shared" si="38"/>
        <v>34.977747590729564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7.8249877935212264E-2</v>
      </c>
      <c r="AD112" s="231">
        <f>(INDEX(Models!$BJ112:$BT112,,AH112)*(1-AF112)+INDEX(Models!$BJ112:$BT112,,AH112+1)*AF112-ERP_i)*AE112*Ramure*Pc/MaxiM</f>
        <v>1.6434760616374773E-3</v>
      </c>
      <c r="AE112" s="305">
        <f t="shared" si="40"/>
        <v>0.7</v>
      </c>
      <c r="AF112" s="177">
        <f t="shared" si="41"/>
        <v>3.4324759821979356E-2</v>
      </c>
      <c r="AG112" s="919">
        <f t="shared" si="49"/>
        <v>2</v>
      </c>
      <c r="AH112" s="176">
        <f t="shared" si="42"/>
        <v>8</v>
      </c>
      <c r="AI112" s="225">
        <f t="shared" si="43"/>
        <v>2.0343247598219794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1090">
        <f>IF(t&gt;Tmaj,'2025'!Wh/'2025'!Env_an*'2026'!Env_an,0.001*'[6]mon-tableau'!$B$45)</f>
        <v>34.125279124526188</v>
      </c>
      <c r="C113" s="953"/>
      <c r="D113" s="393">
        <f t="shared" si="25"/>
        <v>36.345656634011547</v>
      </c>
      <c r="E113" s="385">
        <f t="shared" si="47"/>
        <v>38.207528512747878</v>
      </c>
      <c r="F113" s="385">
        <f t="shared" si="26"/>
        <v>38.208301826835182</v>
      </c>
      <c r="G113" s="110">
        <f t="shared" si="48"/>
        <v>0.67483143005053448</v>
      </c>
      <c r="H113" s="412" t="b">
        <f>Wh_hp&gt;='2025'!Maxi_hp</f>
        <v>0</v>
      </c>
      <c r="I113" s="390">
        <f>IF(H113,Wh_hp,'2025'!Maxi_hp)</f>
        <v>45.992596170964376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6.1090587297508714E-2</v>
      </c>
      <c r="M113" s="957"/>
      <c r="N113" s="957"/>
      <c r="O113" s="48">
        <f>IF(t&lt;Tnet,'2025'!Resal+('2025'!Salim-'2025'!Resal)*(1-EXP(('2025'!Tnet-t)/('2025'!Tau_j))),Resal+(Salim-Resal)*(1-EXP((Tnet-t)/(Tau_j))))*Salcycl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3.7796057275986548E-5</v>
      </c>
      <c r="Q113" s="305">
        <f t="shared" si="28"/>
        <v>0.7</v>
      </c>
      <c r="R113" s="177">
        <f t="shared" si="29"/>
        <v>0.51069833243556628</v>
      </c>
      <c r="S113" s="919">
        <f t="shared" si="30"/>
        <v>-2</v>
      </c>
      <c r="T113" s="176">
        <f t="shared" si="31"/>
        <v>4</v>
      </c>
      <c r="U113" s="251">
        <f t="shared" si="32"/>
        <v>-1.4893016675644337</v>
      </c>
      <c r="V113" s="383">
        <f t="shared" si="33"/>
        <v>50.567709901853249</v>
      </c>
      <c r="W113" s="402">
        <f t="shared" si="34"/>
        <v>34.125279124526188</v>
      </c>
      <c r="X113" s="157">
        <f t="shared" si="35"/>
        <v>46121</v>
      </c>
      <c r="Y113" s="385">
        <f t="shared" si="36"/>
        <v>33.035271340261687</v>
      </c>
      <c r="Z113" s="385">
        <f t="shared" si="37"/>
        <v>35.184726975071293</v>
      </c>
      <c r="AA113" s="386">
        <f t="shared" si="38"/>
        <v>38.17511508828639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7.8333440679859687E-2</v>
      </c>
      <c r="AD113" s="231">
        <f>(INDEX(Models!$BJ113:$BT113,,AH113)*(1-AF113)+INDEX(Models!$BJ113:$BT113,,AH113+1)*AF113-ERP_i)*AE113*Ramure*Pc/MaxiM</f>
        <v>1.6220160625400883E-3</v>
      </c>
      <c r="AE113" s="305">
        <f t="shared" si="40"/>
        <v>0.7</v>
      </c>
      <c r="AF113" s="177">
        <f t="shared" si="41"/>
        <v>3.5685898809545424E-2</v>
      </c>
      <c r="AG113" s="919">
        <f t="shared" si="49"/>
        <v>2</v>
      </c>
      <c r="AH113" s="176">
        <f t="shared" si="42"/>
        <v>8</v>
      </c>
      <c r="AI113" s="225">
        <f t="shared" si="43"/>
        <v>2.0356858988095454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1090">
        <f>IF(t&gt;Tmaj,'2025'!Wh/'2025'!Env_an*'2026'!Env_an,0.001*'[6]mon-tableau'!$B$46)</f>
        <v>52.167828028381457</v>
      </c>
      <c r="C114" s="953"/>
      <c r="D114" s="393">
        <f t="shared" si="25"/>
        <v>55.563369540164246</v>
      </c>
      <c r="E114" s="385">
        <f t="shared" si="47"/>
        <v>58.416408764671125</v>
      </c>
      <c r="F114" s="385">
        <f t="shared" si="26"/>
        <v>58.418678511810597</v>
      </c>
      <c r="G114" s="110">
        <f t="shared" si="48"/>
        <v>1.0289705588508633</v>
      </c>
      <c r="H114" s="412" t="b">
        <f>Wh_hp&gt;='2025'!Maxi_hp</f>
        <v>1</v>
      </c>
      <c r="I114" s="390">
        <f>IF(H114,Wh_hp,'2025'!Maxi_hp)</f>
        <v>58.418678511810597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6.1111151823294407E-2</v>
      </c>
      <c r="M114" s="957"/>
      <c r="N114" s="957"/>
      <c r="O114" s="48">
        <f>IF(t&lt;Tnet,'2025'!Resal+('2025'!Salim-'2025'!Resal)*(1-EXP(('2025'!Tnet-t)/('2025'!Tau_j))),Resal+(Salim-Resal)*(1-EXP((Tnet-t)/(Tau_j))))*Salcycl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3.885310652850416E-5</v>
      </c>
      <c r="Q114" s="305">
        <f t="shared" si="28"/>
        <v>0.7</v>
      </c>
      <c r="R114" s="177">
        <f t="shared" si="29"/>
        <v>0.51210813854190884</v>
      </c>
      <c r="S114" s="919">
        <f t="shared" si="30"/>
        <v>-2</v>
      </c>
      <c r="T114" s="176">
        <f t="shared" si="31"/>
        <v>4</v>
      </c>
      <c r="U114" s="251">
        <f t="shared" si="32"/>
        <v>-1.4878918614580912</v>
      </c>
      <c r="V114" s="383">
        <f t="shared" si="33"/>
        <v>50.699048266882954</v>
      </c>
      <c r="W114" s="402">
        <f t="shared" si="34"/>
        <v>52.167828028381457</v>
      </c>
      <c r="X114" s="157">
        <f t="shared" si="35"/>
        <v>46122</v>
      </c>
      <c r="Y114" s="385">
        <f t="shared" si="36"/>
        <v>50.466373632585288</v>
      </c>
      <c r="Z114" s="385">
        <f t="shared" si="37"/>
        <v>53.751169513398196</v>
      </c>
      <c r="AA114" s="386">
        <f t="shared" si="38"/>
        <v>58.32488467855589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7.8417903273442724E-2</v>
      </c>
      <c r="AD114" s="231">
        <f>(INDEX(Models!$BJ114:$BT114,,AH114)*(1-AF114)+INDEX(Models!$BJ114:$BT114,,AH114+1)*AF114-ERP_i)*AE114*Ramure*Pc/MaxiM</f>
        <v>1.6055452749713535E-3</v>
      </c>
      <c r="AE114" s="305">
        <f t="shared" si="40"/>
        <v>0.7</v>
      </c>
      <c r="AF114" s="177">
        <f t="shared" si="41"/>
        <v>3.7095704915887762E-2</v>
      </c>
      <c r="AG114" s="919">
        <f t="shared" si="49"/>
        <v>2</v>
      </c>
      <c r="AH114" s="176">
        <f t="shared" si="42"/>
        <v>8</v>
      </c>
      <c r="AI114" s="225">
        <f t="shared" si="43"/>
        <v>2.0370957049158878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1090">
        <f>IF(t&gt;Tmaj,'2025'!Wh/'2025'!Env_an*'2026'!Env_an,0.001*'[6]mon-tableau'!$B$47)</f>
        <v>43.047487158105</v>
      </c>
      <c r="C115" s="953"/>
      <c r="D115" s="393">
        <f t="shared" si="25"/>
        <v>45.85040083584154</v>
      </c>
      <c r="E115" s="385">
        <f t="shared" si="47"/>
        <v>48.210265416078308</v>
      </c>
      <c r="F115" s="385">
        <f t="shared" si="26"/>
        <v>48.211791662745838</v>
      </c>
      <c r="G115" s="110">
        <f t="shared" si="48"/>
        <v>0.84694952123855949</v>
      </c>
      <c r="H115" s="412" t="b">
        <f>Wh_hp&gt;='2025'!Maxi_hp</f>
        <v>0</v>
      </c>
      <c r="I115" s="390">
        <f>IF(H115,Wh_hp,'2025'!Maxi_hp)</f>
        <v>56.926003902955259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6.1131715898664174E-2</v>
      </c>
      <c r="M115" s="957"/>
      <c r="N115" s="957"/>
      <c r="O115" s="48">
        <f>IF(t&lt;Tnet,'2025'!Resal+('2025'!Salim-'2025'!Resal)*(1-EXP(('2025'!Tnet-t)/('2025'!Tau_j))),Resal+(Salim-Resal)*(1-EXP((Tnet-t)/(Tau_j))))*Salcycl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4.0515042035231647E-5</v>
      </c>
      <c r="Q115" s="305">
        <f t="shared" si="28"/>
        <v>0.7</v>
      </c>
      <c r="R115" s="177">
        <f t="shared" si="29"/>
        <v>0.51356801400780583</v>
      </c>
      <c r="S115" s="919">
        <f t="shared" si="30"/>
        <v>-2</v>
      </c>
      <c r="T115" s="176">
        <f t="shared" si="31"/>
        <v>4</v>
      </c>
      <c r="U115" s="251">
        <f t="shared" si="32"/>
        <v>-1.4864319859921942</v>
      </c>
      <c r="V115" s="383">
        <f t="shared" si="33"/>
        <v>50.82605840779032</v>
      </c>
      <c r="W115" s="402">
        <f t="shared" si="34"/>
        <v>43.047487158105</v>
      </c>
      <c r="X115" s="157">
        <f t="shared" si="35"/>
        <v>46123</v>
      </c>
      <c r="Y115" s="385">
        <f t="shared" si="36"/>
        <v>41.659167584242077</v>
      </c>
      <c r="Z115" s="385">
        <f t="shared" si="37"/>
        <v>44.371684814251999</v>
      </c>
      <c r="AA115" s="386">
        <f t="shared" si="38"/>
        <v>48.151756004349593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7.8503288431602244E-2</v>
      </c>
      <c r="AD115" s="231">
        <f>(INDEX(Models!$BJ115:$BT115,,AH115)*(1-AF115)+INDEX(Models!$BJ115:$BT115,,AH115+1)*AF115-ERP_i)*AE115*Ramure*Pc/MaxiM</f>
        <v>1.5936789742293214E-3</v>
      </c>
      <c r="AE115" s="305">
        <f t="shared" si="40"/>
        <v>0.7</v>
      </c>
      <c r="AF115" s="177">
        <f t="shared" si="41"/>
        <v>3.8555580381784971E-2</v>
      </c>
      <c r="AG115" s="919">
        <f t="shared" si="49"/>
        <v>2</v>
      </c>
      <c r="AH115" s="176">
        <f t="shared" si="42"/>
        <v>8</v>
      </c>
      <c r="AI115" s="225">
        <f t="shared" si="43"/>
        <v>2.038555580381785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1090">
        <f>IF(t&gt;Tmaj,'2025'!Wh/'2025'!Env_an*'2026'!Env_an,0.001*'[6]mon-tableau'!$B$48)</f>
        <v>2.432329148521815</v>
      </c>
      <c r="C116" s="953"/>
      <c r="D116" s="393">
        <f t="shared" si="25"/>
        <v>2.5907600300586013</v>
      </c>
      <c r="E116" s="385">
        <f t="shared" si="47"/>
        <v>2.7244192484140557</v>
      </c>
      <c r="F116" s="385">
        <f t="shared" si="26"/>
        <v>2.7244192484140557</v>
      </c>
      <c r="G116" s="110">
        <f t="shared" si="48"/>
        <v>4.7738218907485072E-2</v>
      </c>
      <c r="H116" s="412" t="b">
        <f>Wh_hp&gt;='2025'!Maxi_hp</f>
        <v>0</v>
      </c>
      <c r="I116" s="390">
        <f>IF(H116,Wh_hp,'2025'!Maxi_hp)</f>
        <v>56.893751444283453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6.1152279523627895E-2</v>
      </c>
      <c r="M116" s="957"/>
      <c r="N116" s="957"/>
      <c r="O116" s="48">
        <f>IF(t&lt;Tnet,'2025'!Resal+('2025'!Salim-'2025'!Resal)*(1-EXP(('2025'!Tnet-t)/('2025'!Tau_j))),Resal+(Salim-Resal)*(1-EXP((Tnet-t)/(Tau_j))))*Salcycl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4.2788847378422955E-5</v>
      </c>
      <c r="Q116" s="305">
        <f t="shared" si="28"/>
        <v>0.7</v>
      </c>
      <c r="R116" s="177">
        <f t="shared" si="29"/>
        <v>0.51507937487643418</v>
      </c>
      <c r="S116" s="919">
        <f t="shared" si="30"/>
        <v>-2</v>
      </c>
      <c r="T116" s="176">
        <f t="shared" si="31"/>
        <v>4</v>
      </c>
      <c r="U116" s="251">
        <f t="shared" si="32"/>
        <v>-1.4849206251235658</v>
      </c>
      <c r="V116" s="383">
        <f t="shared" si="33"/>
        <v>50.949221140291563</v>
      </c>
      <c r="W116" s="402">
        <f t="shared" si="34"/>
        <v>2.432329148521815</v>
      </c>
      <c r="X116" s="157">
        <f t="shared" si="35"/>
        <v>46124</v>
      </c>
      <c r="Y116" s="385">
        <f t="shared" si="36"/>
        <v>2.3567971132301939</v>
      </c>
      <c r="Z116" s="385">
        <f t="shared" si="37"/>
        <v>2.5103081807924643</v>
      </c>
      <c r="AA116" s="386">
        <f t="shared" si="38"/>
        <v>2.7244192484140557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7.8589617859376945E-2</v>
      </c>
      <c r="AD116" s="231">
        <f>(INDEX(Models!$BJ116:$BT116,,AH116)*(1-AF116)+INDEX(Models!$BJ116:$BT116,,AH116+1)*AF116-ERP_i)*AE116*Ramure*Pc/MaxiM</f>
        <v>1.586401973269585E-3</v>
      </c>
      <c r="AE116" s="305">
        <f t="shared" si="40"/>
        <v>0.7</v>
      </c>
      <c r="AF116" s="177">
        <f t="shared" si="41"/>
        <v>4.0066941250413546E-2</v>
      </c>
      <c r="AG116" s="919">
        <f t="shared" si="49"/>
        <v>2</v>
      </c>
      <c r="AH116" s="176">
        <f t="shared" si="42"/>
        <v>8</v>
      </c>
      <c r="AI116" s="225">
        <f t="shared" si="43"/>
        <v>2.0400669412504135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1090">
        <f>IF(t&gt;Tmaj,'2025'!Wh/'2025'!Env_an*'2026'!Env_an,0.001*'[6]mon-tableau'!$B$49)</f>
        <v>0</v>
      </c>
      <c r="C117" s="953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2" t="b">
        <f>Wh_hp&gt;='2025'!Maxi_hp</f>
        <v>0</v>
      </c>
      <c r="I117" s="390">
        <f>IF(H117,Wh_hp,'2025'!Maxi_hp)</f>
        <v>58.336070770675065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6.1172842698195562E-2</v>
      </c>
      <c r="M117" s="957"/>
      <c r="N117" s="957"/>
      <c r="O117" s="48">
        <f>IF(t&lt;Tnet,'2025'!Resal+('2025'!Salim-'2025'!Resal)*(1-EXP(('2025'!Tnet-t)/('2025'!Tau_j))),Resal+(Salim-Resal)*(1-EXP((Tnet-t)/(Tau_j))))*Salcycl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4.5682627681324466E-5</v>
      </c>
      <c r="Q117" s="305">
        <f t="shared" si="28"/>
        <v>0.7</v>
      </c>
      <c r="R117" s="177">
        <f t="shared" si="29"/>
        <v>0.51664364880935576</v>
      </c>
      <c r="S117" s="919">
        <f t="shared" si="30"/>
        <v>-2</v>
      </c>
      <c r="T117" s="176">
        <f t="shared" si="31"/>
        <v>4</v>
      </c>
      <c r="U117" s="251">
        <f t="shared" si="32"/>
        <v>-1.4833563511906442</v>
      </c>
      <c r="V117" s="383">
        <f t="shared" si="33"/>
        <v>51.069016998447182</v>
      </c>
      <c r="W117" s="402">
        <f t="shared" si="34"/>
        <v>0</v>
      </c>
      <c r="X117" s="157">
        <f t="shared" si="35"/>
        <v>46125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7.8676912197840565E-2</v>
      </c>
      <c r="AD117" s="231">
        <f>(INDEX(Models!$BJ117:$BT117,,AH117)*(1-AF117)+INDEX(Models!$BJ117:$BT117,,AH117+1)*AF117-ERP_i)*AE117*Ramure*Pc/MaxiM</f>
        <v>1.5837052427002329E-3</v>
      </c>
      <c r="AE117" s="305">
        <f t="shared" si="40"/>
        <v>0.7</v>
      </c>
      <c r="AF117" s="177">
        <f t="shared" si="41"/>
        <v>4.1631215183334902E-2</v>
      </c>
      <c r="AG117" s="919">
        <f t="shared" si="49"/>
        <v>2</v>
      </c>
      <c r="AH117" s="176">
        <f t="shared" si="42"/>
        <v>8</v>
      </c>
      <c r="AI117" s="225">
        <f t="shared" si="43"/>
        <v>2.0416312151833349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1090">
        <f>IF(t&gt;Tmaj,'2025'!Wh/'2025'!Env_an*'2026'!Env_an,0.001*'[6]mon-tableau'!$B$50)</f>
        <v>40.85415991151006</v>
      </c>
      <c r="C118" s="953"/>
      <c r="D118" s="393">
        <f t="shared" si="25"/>
        <v>43.517120722709329</v>
      </c>
      <c r="E118" s="385">
        <f t="shared" si="47"/>
        <v>45.772901677478629</v>
      </c>
      <c r="F118" s="385">
        <f t="shared" si="26"/>
        <v>45.774504561437872</v>
      </c>
      <c r="G118" s="110">
        <f t="shared" si="48"/>
        <v>0.79814088029849195</v>
      </c>
      <c r="H118" s="412" t="b">
        <f>Wh_hp&gt;='2025'!Maxi_hp</f>
        <v>0</v>
      </c>
      <c r="I118" s="390">
        <f>IF(H118,Wh_hp,'2025'!Maxi_hp)</f>
        <v>56.615625243922842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6.1193405422376834E-2</v>
      </c>
      <c r="M118" s="957"/>
      <c r="N118" s="957"/>
      <c r="O118" s="48">
        <f>IF(t&lt;Tnet,'2025'!Resal+('2025'!Salim-'2025'!Resal)*(1-EXP(('2025'!Tnet-t)/('2025'!Tau_j))),Resal+(Salim-Resal)*(1-EXP((Tnet-t)/(Tau_j))))*Salcycl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4.9205586535002961E-5</v>
      </c>
      <c r="Q118" s="305">
        <f t="shared" si="28"/>
        <v>0.7</v>
      </c>
      <c r="R118" s="177">
        <f t="shared" si="29"/>
        <v>0.51826227268891945</v>
      </c>
      <c r="S118" s="919">
        <f t="shared" si="30"/>
        <v>-2</v>
      </c>
      <c r="T118" s="176">
        <f t="shared" si="31"/>
        <v>4</v>
      </c>
      <c r="U118" s="251">
        <f t="shared" si="32"/>
        <v>-1.4817377273110806</v>
      </c>
      <c r="V118" s="383">
        <f t="shared" si="33"/>
        <v>51.185926238339228</v>
      </c>
      <c r="W118" s="402">
        <f t="shared" si="34"/>
        <v>40.85415991151006</v>
      </c>
      <c r="X118" s="157">
        <f t="shared" si="35"/>
        <v>46126</v>
      </c>
      <c r="Y118" s="385">
        <f t="shared" si="36"/>
        <v>39.543927348764434</v>
      </c>
      <c r="Z118" s="385">
        <f t="shared" si="37"/>
        <v>42.121484421991703</v>
      </c>
      <c r="AA118" s="386">
        <f t="shared" si="38"/>
        <v>45.722853727514973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7.8765190969610183E-2</v>
      </c>
      <c r="AD118" s="231">
        <f>(INDEX(Models!$BJ118:$BT118,,AH118)*(1-AF118)+INDEX(Models!$BJ118:$BT118,,AH118+1)*AF118-ERP_i)*AE118*Ramure*Pc/MaxiM</f>
        <v>1.5855855088847725E-3</v>
      </c>
      <c r="AE118" s="305">
        <f t="shared" si="40"/>
        <v>0.7</v>
      </c>
      <c r="AF118" s="177">
        <f t="shared" si="41"/>
        <v>4.3249839062898587E-2</v>
      </c>
      <c r="AG118" s="919">
        <f t="shared" si="49"/>
        <v>2</v>
      </c>
      <c r="AH118" s="176">
        <f t="shared" si="42"/>
        <v>8</v>
      </c>
      <c r="AI118" s="225">
        <f t="shared" si="43"/>
        <v>2.0432498390628986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1090">
        <f>IF(t&gt;Tmaj,'2025'!Wh/'2025'!Env_an*'2026'!Env_an,0.001*'[6]mon-tableau'!$B$51)</f>
        <v>45.469478051335905</v>
      </c>
      <c r="C119" s="953"/>
      <c r="D119" s="393">
        <f t="shared" si="25"/>
        <v>48.434335926102349</v>
      </c>
      <c r="E119" s="385">
        <f t="shared" si="47"/>
        <v>50.951013582733211</v>
      </c>
      <c r="F119" s="385">
        <f t="shared" si="26"/>
        <v>50.953291314567721</v>
      </c>
      <c r="G119" s="110">
        <f t="shared" si="48"/>
        <v>0.8863295111434546</v>
      </c>
      <c r="H119" s="412" t="b">
        <f>Wh_hp&gt;='2025'!Maxi_hp</f>
        <v>0</v>
      </c>
      <c r="I119" s="390">
        <f>IF(H119,Wh_hp,'2025'!Maxi_hp)</f>
        <v>56.990205602590848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6.1213967696181704E-2</v>
      </c>
      <c r="M119" s="957"/>
      <c r="N119" s="957"/>
      <c r="O119" s="48">
        <f>IF(t&lt;Tnet,'2025'!Resal+('2025'!Salim-'2025'!Resal)*(1-EXP(('2025'!Tnet-t)/('2025'!Tau_j))),Resal+(Salim-Resal)*(1-EXP((Tnet-t)/(Tau_j))))*Salcycl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5.3368002302876817E-5</v>
      </c>
      <c r="Q119" s="305">
        <f t="shared" si="28"/>
        <v>0.7</v>
      </c>
      <c r="R119" s="177">
        <f t="shared" si="29"/>
        <v>0.51993668999845077</v>
      </c>
      <c r="S119" s="919">
        <f t="shared" si="30"/>
        <v>-2</v>
      </c>
      <c r="T119" s="176">
        <f t="shared" si="31"/>
        <v>4</v>
      </c>
      <c r="U119" s="251">
        <f t="shared" si="32"/>
        <v>-1.4800633100015492</v>
      </c>
      <c r="V119" s="383">
        <f t="shared" si="33"/>
        <v>51.300428835264611</v>
      </c>
      <c r="W119" s="402">
        <f t="shared" si="34"/>
        <v>45.469478051335905</v>
      </c>
      <c r="X119" s="157">
        <f t="shared" si="35"/>
        <v>46127</v>
      </c>
      <c r="Y119" s="385">
        <f t="shared" si="36"/>
        <v>44.003535915016968</v>
      </c>
      <c r="Z119" s="385">
        <f t="shared" si="37"/>
        <v>46.872806369978193</v>
      </c>
      <c r="AA119" s="386">
        <f t="shared" si="38"/>
        <v>50.885343272908962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7.8854472522877098E-2</v>
      </c>
      <c r="AD119" s="231">
        <f>(INDEX(Models!$BJ119:$BT119,,AH119)*(1-AF119)+INDEX(Models!$BJ119:$BT119,,AH119+1)*AF119-ERP_i)*AE119*Ramure*Pc/MaxiM</f>
        <v>1.5920448530339353E-3</v>
      </c>
      <c r="AE119" s="305">
        <f t="shared" si="40"/>
        <v>0.7</v>
      </c>
      <c r="AF119" s="177">
        <f t="shared" si="41"/>
        <v>4.4924256372429916E-2</v>
      </c>
      <c r="AG119" s="919">
        <f t="shared" si="49"/>
        <v>2</v>
      </c>
      <c r="AH119" s="176">
        <f t="shared" si="42"/>
        <v>8</v>
      </c>
      <c r="AI119" s="225">
        <f t="shared" si="43"/>
        <v>2.0449242563724299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1090">
        <f>IF(t&gt;Tmaj,'2025'!Wh/'2025'!Env_an*'2026'!Env_an,0.001*'[6]mon-tableau'!$B$52)</f>
        <v>40.910123322359084</v>
      </c>
      <c r="C120" s="953"/>
      <c r="D120" s="393">
        <f t="shared" si="25"/>
        <v>43.578640894647279</v>
      </c>
      <c r="E120" s="385">
        <f t="shared" si="47"/>
        <v>45.848447333301806</v>
      </c>
      <c r="F120" s="385">
        <f t="shared" si="26"/>
        <v>45.850336453812091</v>
      </c>
      <c r="G120" s="110">
        <f t="shared" si="48"/>
        <v>0.7957019645744895</v>
      </c>
      <c r="H120" s="412" t="b">
        <f>Wh_hp&gt;='2025'!Maxi_hp</f>
        <v>0</v>
      </c>
      <c r="I120" s="390">
        <f>IF(H120,Wh_hp,'2025'!Maxi_hp)</f>
        <v>53.394011325702145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6.123452951961994E-2</v>
      </c>
      <c r="M120" s="957"/>
      <c r="N120" s="957"/>
      <c r="O120" s="48">
        <f>IF(t&lt;Tnet,'2025'!Resal+('2025'!Salim-'2025'!Resal)*(1-EXP(('2025'!Tnet-t)/('2025'!Tau_j))),Resal+(Salim-Resal)*(1-EXP((Tnet-t)/(Tau_j))))*Salcycl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5.8181203275694994E-5</v>
      </c>
      <c r="Q120" s="305">
        <f t="shared" si="28"/>
        <v>0.7</v>
      </c>
      <c r="R120" s="177">
        <f t="shared" si="29"/>
        <v>0.52166834797209316</v>
      </c>
      <c r="S120" s="919">
        <f t="shared" si="30"/>
        <v>-2</v>
      </c>
      <c r="T120" s="176">
        <f t="shared" si="31"/>
        <v>4</v>
      </c>
      <c r="U120" s="251">
        <f t="shared" si="32"/>
        <v>-1.4783316520279068</v>
      </c>
      <c r="V120" s="383">
        <f t="shared" si="33"/>
        <v>51.413004478136401</v>
      </c>
      <c r="W120" s="402">
        <f t="shared" si="34"/>
        <v>40.910123322359084</v>
      </c>
      <c r="X120" s="157">
        <f t="shared" si="35"/>
        <v>46128</v>
      </c>
      <c r="Y120" s="385">
        <f t="shared" si="36"/>
        <v>39.599708691517051</v>
      </c>
      <c r="Z120" s="385">
        <f t="shared" si="37"/>
        <v>42.182749511710632</v>
      </c>
      <c r="AA120" s="386">
        <f t="shared" si="38"/>
        <v>45.798284749652922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7.8944773973651627E-2</v>
      </c>
      <c r="AD120" s="231">
        <f>(INDEX(Models!$BJ120:$BT120,,AH120)*(1-AF120)+INDEX(Models!$BJ120:$BT120,,AH120+1)*AF120-ERP_i)*AE120*Ramure*Pc/MaxiM</f>
        <v>1.6030903079233673E-3</v>
      </c>
      <c r="AE120" s="305">
        <f t="shared" si="40"/>
        <v>0.7</v>
      </c>
      <c r="AF120" s="177">
        <f t="shared" si="41"/>
        <v>4.6655914346072525E-2</v>
      </c>
      <c r="AG120" s="919">
        <f t="shared" si="49"/>
        <v>2</v>
      </c>
      <c r="AH120" s="176">
        <f t="shared" si="42"/>
        <v>8</v>
      </c>
      <c r="AI120" s="225">
        <f t="shared" si="43"/>
        <v>2.0466559143460725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1090">
        <f>IF(t&gt;Tmaj,'2025'!Wh/'2025'!Env_an*'2026'!Env_an,0.001*'[6]mon-tableau'!$B$53)</f>
        <v>51.660042875755828</v>
      </c>
      <c r="C121" s="953"/>
      <c r="D121" s="393">
        <f t="shared" si="25"/>
        <v>55.030969941431756</v>
      </c>
      <c r="E121" s="385">
        <f t="shared" si="47"/>
        <v>57.904175649828517</v>
      </c>
      <c r="F121" s="385">
        <f t="shared" si="26"/>
        <v>57.907861992961593</v>
      </c>
      <c r="G121" s="110">
        <f t="shared" si="48"/>
        <v>1.002657118657535</v>
      </c>
      <c r="H121" s="412" t="b">
        <f>Wh_hp&gt;='2025'!Maxi_hp</f>
        <v>1</v>
      </c>
      <c r="I121" s="390">
        <f>IF(H121,Wh_hp,'2025'!Maxi_hp)</f>
        <v>57.907861992961593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6.1255090892701536E-2</v>
      </c>
      <c r="M121" s="957"/>
      <c r="N121" s="957"/>
      <c r="O121" s="48">
        <f>IF(t&lt;Tnet,'2025'!Resal+('2025'!Salim-'2025'!Resal)*(1-EXP(('2025'!Tnet-t)/('2025'!Tau_j))),Resal+(Salim-Resal)*(1-EXP((Tnet-t)/(Tau_j))))*Salcycl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6.3658767673413071E-5</v>
      </c>
      <c r="Q121" s="305">
        <f t="shared" si="28"/>
        <v>0.7</v>
      </c>
      <c r="R121" s="177">
        <f t="shared" si="29"/>
        <v>0.52345869450677007</v>
      </c>
      <c r="S121" s="919">
        <f t="shared" si="30"/>
        <v>-2</v>
      </c>
      <c r="T121" s="176">
        <f t="shared" si="31"/>
        <v>4</v>
      </c>
      <c r="U121" s="251">
        <f t="shared" si="32"/>
        <v>-1.4765413054932299</v>
      </c>
      <c r="V121" s="383">
        <f t="shared" si="33"/>
        <v>51.523139779752263</v>
      </c>
      <c r="W121" s="402">
        <f t="shared" si="34"/>
        <v>51.660042875755828</v>
      </c>
      <c r="X121" s="157">
        <f t="shared" si="35"/>
        <v>46129</v>
      </c>
      <c r="Y121" s="385">
        <f t="shared" si="36"/>
        <v>49.983209234887802</v>
      </c>
      <c r="Z121" s="385">
        <f t="shared" si="37"/>
        <v>53.244719358765359</v>
      </c>
      <c r="AA121" s="386">
        <f t="shared" si="38"/>
        <v>57.814122793693947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7.9036111145960194E-2</v>
      </c>
      <c r="AD121" s="231">
        <f>(INDEX(Models!$BJ121:$BT121,,AH121)*(1-AF121)+INDEX(Models!$BJ121:$BT121,,AH121+1)*AF121-ERP_i)*AE121*Ramure*Pc/MaxiM</f>
        <v>1.6187646381943552E-3</v>
      </c>
      <c r="AE121" s="305">
        <f t="shared" si="40"/>
        <v>0.7</v>
      </c>
      <c r="AF121" s="177">
        <f t="shared" si="41"/>
        <v>4.8446260880749215E-2</v>
      </c>
      <c r="AG121" s="919">
        <f t="shared" si="49"/>
        <v>2</v>
      </c>
      <c r="AH121" s="176">
        <f t="shared" si="42"/>
        <v>8</v>
      </c>
      <c r="AI121" s="225">
        <f t="shared" si="43"/>
        <v>2.0484462608807492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1090">
        <f>IF(t&gt;Tmaj,'2025'!Wh/'2025'!Env_an*'2026'!Env_an,0.001*'[6]mon-tableau'!$B$54)</f>
        <v>36.837714682032157</v>
      </c>
      <c r="C122" s="953"/>
      <c r="D122" s="393">
        <f t="shared" si="25"/>
        <v>39.242312989190147</v>
      </c>
      <c r="E122" s="385">
        <f t="shared" si="47"/>
        <v>41.296131916083759</v>
      </c>
      <c r="F122" s="385">
        <f t="shared" si="26"/>
        <v>41.29784495187765</v>
      </c>
      <c r="G122" s="110">
        <f t="shared" si="48"/>
        <v>0.71347502381199024</v>
      </c>
      <c r="H122" s="412" t="b">
        <f>Wh_hp&gt;='2025'!Maxi_hp</f>
        <v>0</v>
      </c>
      <c r="I122" s="390">
        <f>IF(H122,Wh_hp,'2025'!Maxi_hp)</f>
        <v>42.269665111428111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6.1275651815436261E-2</v>
      </c>
      <c r="M122" s="957"/>
      <c r="N122" s="957"/>
      <c r="O122" s="48">
        <f>IF(t&lt;Tnet,'2025'!Resal+('2025'!Salim-'2025'!Resal)*(1-EXP(('2025'!Tnet-t)/('2025'!Tau_j))),Resal+(Salim-Resal)*(1-EXP((Tnet-t)/(Tau_j))))*Salcycl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7.0220880044921094E-5</v>
      </c>
      <c r="Q122" s="305">
        <f t="shared" si="28"/>
        <v>0.7</v>
      </c>
      <c r="R122" s="177">
        <f t="shared" si="29"/>
        <v>0.52530917482949291</v>
      </c>
      <c r="S122" s="919">
        <f t="shared" si="30"/>
        <v>-2</v>
      </c>
      <c r="T122" s="176">
        <f t="shared" si="31"/>
        <v>4</v>
      </c>
      <c r="U122" s="251">
        <f t="shared" si="32"/>
        <v>-1.4746908251705071</v>
      </c>
      <c r="V122" s="383">
        <f t="shared" si="33"/>
        <v>51.62991648119538</v>
      </c>
      <c r="W122" s="402">
        <f t="shared" si="34"/>
        <v>36.837714682032157</v>
      </c>
      <c r="X122" s="157">
        <f t="shared" si="35"/>
        <v>46130</v>
      </c>
      <c r="Y122" s="385">
        <f t="shared" si="36"/>
        <v>35.665077130219245</v>
      </c>
      <c r="Z122" s="385">
        <f t="shared" si="37"/>
        <v>37.993130996541588</v>
      </c>
      <c r="AA122" s="386">
        <f t="shared" si="38"/>
        <v>41.257798656010912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7.9128498509788758E-2</v>
      </c>
      <c r="AD122" s="231">
        <f>(INDEX(Models!$BJ122:$BT122,,AH122)*(1-AF122)+INDEX(Models!$BJ122:$BT122,,AH122+1)*AF122-ERP_i)*AE122*Ramure*Pc/MaxiM</f>
        <v>1.6415804902184684E-3</v>
      </c>
      <c r="AE122" s="305">
        <f t="shared" si="40"/>
        <v>0.7</v>
      </c>
      <c r="AF122" s="177">
        <f t="shared" si="41"/>
        <v>5.0296741203472273E-2</v>
      </c>
      <c r="AG122" s="919">
        <f t="shared" si="49"/>
        <v>2</v>
      </c>
      <c r="AH122" s="176">
        <f t="shared" si="42"/>
        <v>8</v>
      </c>
      <c r="AI122" s="225">
        <f t="shared" si="43"/>
        <v>2.0502967412034723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1090">
        <f>IF(t&gt;Tmaj,'2025'!Wh/'2025'!Env_an*'2026'!Env_an,0.001*'[6]mon-tableau'!$B$55)</f>
        <v>8.8178912174035631</v>
      </c>
      <c r="C123" s="953"/>
      <c r="D123" s="393">
        <f t="shared" si="25"/>
        <v>9.393688757658861</v>
      </c>
      <c r="E123" s="385">
        <f t="shared" si="47"/>
        <v>9.8865167654653963</v>
      </c>
      <c r="F123" s="385">
        <f t="shared" si="26"/>
        <v>9.8865167654653963</v>
      </c>
      <c r="G123" s="110">
        <f t="shared" si="48"/>
        <v>0.17043596705450059</v>
      </c>
      <c r="H123" s="412" t="b">
        <f>Wh_hp&gt;='2025'!Maxi_hp</f>
        <v>0</v>
      </c>
      <c r="I123" s="390">
        <f>IF(H123,Wh_hp,'2025'!Maxi_hp)</f>
        <v>56.035337326864806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6.1296212287834106E-2</v>
      </c>
      <c r="M123" s="957"/>
      <c r="N123" s="957"/>
      <c r="O123" s="48">
        <f>IF(t&lt;Tnet,'2025'!Resal+('2025'!Salim-'2025'!Resal)*(1-EXP(('2025'!Tnet-t)/('2025'!Tau_j))),Resal+(Salim-Resal)*(1-EXP((Tnet-t)/(Tau_j))))*Salcycl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7.7693738547208744E-5</v>
      </c>
      <c r="Q123" s="305">
        <f t="shared" si="28"/>
        <v>0.7</v>
      </c>
      <c r="R123" s="177">
        <f t="shared" si="29"/>
        <v>0.52722122791412973</v>
      </c>
      <c r="S123" s="919">
        <f t="shared" si="30"/>
        <v>-2</v>
      </c>
      <c r="T123" s="176">
        <f t="shared" si="31"/>
        <v>4</v>
      </c>
      <c r="U123" s="251">
        <f t="shared" si="32"/>
        <v>-1.4727787720858703</v>
      </c>
      <c r="V123" s="383">
        <f t="shared" si="33"/>
        <v>51.733247828196312</v>
      </c>
      <c r="W123" s="402">
        <f t="shared" si="34"/>
        <v>8.8178912174035631</v>
      </c>
      <c r="X123" s="157">
        <f t="shared" si="35"/>
        <v>46131</v>
      </c>
      <c r="Y123" s="385">
        <f t="shared" si="36"/>
        <v>8.5452905857959571</v>
      </c>
      <c r="Z123" s="385">
        <f t="shared" si="37"/>
        <v>9.1032876373310145</v>
      </c>
      <c r="AA123" s="386">
        <f t="shared" si="38"/>
        <v>9.8865167654653963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7.9221949116627222E-2</v>
      </c>
      <c r="AD123" s="231">
        <f>(INDEX(Models!$BJ123:$BT123,,AH123)*(1-AF123)+INDEX(Models!$BJ123:$BT123,,AH123+1)*AF123-ERP_i)*AE123*Ramure*Pc/MaxiM</f>
        <v>1.6700313420034039E-3</v>
      </c>
      <c r="AE123" s="305">
        <f t="shared" si="40"/>
        <v>0.7</v>
      </c>
      <c r="AF123" s="177">
        <f t="shared" si="41"/>
        <v>5.2208794288108873E-2</v>
      </c>
      <c r="AG123" s="919">
        <f t="shared" si="49"/>
        <v>2</v>
      </c>
      <c r="AH123" s="176">
        <f t="shared" si="42"/>
        <v>8</v>
      </c>
      <c r="AI123" s="225">
        <f t="shared" si="43"/>
        <v>2.0522087942881089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1090">
        <f>IF(t&gt;Tmaj,'2025'!Wh/'2025'!Env_an*'2026'!Env_an,0.001*'[6]mon-tableau'!$B$56)</f>
        <v>9.9487482621791088</v>
      </c>
      <c r="C124" s="953"/>
      <c r="D124" s="393">
        <f t="shared" si="25"/>
        <v>10.598621525028113</v>
      </c>
      <c r="E124" s="385">
        <f t="shared" si="47"/>
        <v>11.156017690686172</v>
      </c>
      <c r="F124" s="385">
        <f t="shared" si="26"/>
        <v>11.156017690686172</v>
      </c>
      <c r="G124" s="110">
        <f t="shared" si="48"/>
        <v>0.19192183660877596</v>
      </c>
      <c r="H124" s="412" t="b">
        <f>Wh_hp&gt;='2025'!Maxi_hp</f>
        <v>0</v>
      </c>
      <c r="I124" s="390">
        <f>IF(H124,Wh_hp,'2025'!Maxi_hp)</f>
        <v>54.638540839726012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6.1316772309904732E-2</v>
      </c>
      <c r="M124" s="957"/>
      <c r="N124" s="957"/>
      <c r="O124" s="48">
        <f>IF(t&lt;Tnet,'2025'!Resal+('2025'!Salim-'2025'!Resal)*(1-EXP(('2025'!Tnet-t)/('2025'!Tau_j))),Resal+(Salim-Resal)*(1-EXP((Tnet-t)/(Tau_j))))*Salcycl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8.6099103763237277E-5</v>
      </c>
      <c r="Q124" s="305">
        <f t="shared" si="28"/>
        <v>0.7</v>
      </c>
      <c r="R124" s="177">
        <f t="shared" si="29"/>
        <v>0.52919628264279894</v>
      </c>
      <c r="S124" s="919">
        <f t="shared" si="30"/>
        <v>-2</v>
      </c>
      <c r="T124" s="176">
        <f t="shared" si="31"/>
        <v>4</v>
      </c>
      <c r="U124" s="251">
        <f t="shared" si="32"/>
        <v>-1.4708037173572011</v>
      </c>
      <c r="V124" s="383">
        <f t="shared" si="33"/>
        <v>51.833037134531487</v>
      </c>
      <c r="W124" s="402">
        <f t="shared" si="34"/>
        <v>9.9487482621791088</v>
      </c>
      <c r="X124" s="157">
        <f t="shared" si="35"/>
        <v>46132</v>
      </c>
      <c r="Y124" s="385">
        <f t="shared" si="36"/>
        <v>9.6413672144660119</v>
      </c>
      <c r="Z124" s="385">
        <f t="shared" si="37"/>
        <v>10.271161697638314</v>
      </c>
      <c r="AA124" s="386">
        <f t="shared" si="38"/>
        <v>11.156017690686172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7.9316474532538303E-2</v>
      </c>
      <c r="AD124" s="231">
        <f>(INDEX(Models!$BJ124:$BT124,,AH124)*(1-AF124)+INDEX(Models!$BJ124:$BT124,,AH124+1)*AF124-ERP_i)*AE124*Ramure*Pc/MaxiM</f>
        <v>1.7041736829941077E-3</v>
      </c>
      <c r="AE124" s="305">
        <f t="shared" si="40"/>
        <v>0.7</v>
      </c>
      <c r="AF124" s="177">
        <f t="shared" si="41"/>
        <v>5.4183849016778307E-2</v>
      </c>
      <c r="AG124" s="919">
        <f t="shared" si="49"/>
        <v>2</v>
      </c>
      <c r="AH124" s="176">
        <f t="shared" si="42"/>
        <v>8</v>
      </c>
      <c r="AI124" s="225">
        <f t="shared" si="43"/>
        <v>2.0541838490167783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1090">
        <f>IF(t&gt;Tmaj,'2025'!Wh/'2025'!Env_an*'2026'!Env_an,0.001*'[6]mon-tableau'!$B$57)</f>
        <v>8.9850205022934162</v>
      </c>
      <c r="C125" s="953"/>
      <c r="D125" s="393">
        <f t="shared" si="25"/>
        <v>9.5721506857249707</v>
      </c>
      <c r="E125" s="385">
        <f t="shared" si="47"/>
        <v>10.076792538753367</v>
      </c>
      <c r="F125" s="385">
        <f t="shared" si="26"/>
        <v>10.076792538753367</v>
      </c>
      <c r="G125" s="110">
        <f t="shared" si="48"/>
        <v>0.17300795903604715</v>
      </c>
      <c r="H125" s="412" t="b">
        <f>Wh_hp&gt;='2025'!Maxi_hp</f>
        <v>0</v>
      </c>
      <c r="I125" s="390">
        <f>IF(H125,Wh_hp,'2025'!Maxi_hp)</f>
        <v>49.293646269634195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6.133733188165813E-2</v>
      </c>
      <c r="M125" s="957"/>
      <c r="N125" s="957"/>
      <c r="O125" s="48">
        <f>IF(t&lt;Tnet,'2025'!Resal+('2025'!Salim-'2025'!Resal)*(1-EXP(('2025'!Tnet-t)/('2025'!Tau_j))),Resal+(Salim-Resal)*(1-EXP((Tnet-t)/(Tau_j))))*Salcycl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9.5460965207154285E-5</v>
      </c>
      <c r="Q125" s="305">
        <f t="shared" si="28"/>
        <v>0.7</v>
      </c>
      <c r="R125" s="177">
        <f t="shared" si="29"/>
        <v>0.53123575370827214</v>
      </c>
      <c r="S125" s="919">
        <f t="shared" si="30"/>
        <v>-2</v>
      </c>
      <c r="T125" s="176">
        <f t="shared" si="31"/>
        <v>4</v>
      </c>
      <c r="U125" s="251">
        <f t="shared" si="32"/>
        <v>-1.4687642462917279</v>
      </c>
      <c r="V125" s="383">
        <f t="shared" si="33"/>
        <v>51.929187729981614</v>
      </c>
      <c r="W125" s="402">
        <f t="shared" si="34"/>
        <v>8.9850205022934162</v>
      </c>
      <c r="X125" s="157">
        <f t="shared" si="35"/>
        <v>46133</v>
      </c>
      <c r="Y125" s="385">
        <f t="shared" si="36"/>
        <v>8.7075731719328946</v>
      </c>
      <c r="Z125" s="385">
        <f t="shared" si="37"/>
        <v>9.2765734354688192</v>
      </c>
      <c r="AA125" s="386">
        <f t="shared" si="38"/>
        <v>10.076792538753367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7.9412084768745797E-2</v>
      </c>
      <c r="AD125" s="231">
        <f>(INDEX(Models!$BJ125:$BT125,,AH125)*(1-AF125)+INDEX(Models!$BJ125:$BT125,,AH125+1)*AF125-ERP_i)*AE125*Ramure*Pc/MaxiM</f>
        <v>1.7440760863005726E-3</v>
      </c>
      <c r="AE125" s="305">
        <f t="shared" si="40"/>
        <v>0.7</v>
      </c>
      <c r="AF125" s="177">
        <f t="shared" si="41"/>
        <v>5.622332008225106E-2</v>
      </c>
      <c r="AG125" s="919">
        <f t="shared" si="49"/>
        <v>2</v>
      </c>
      <c r="AH125" s="176">
        <f t="shared" si="42"/>
        <v>8</v>
      </c>
      <c r="AI125" s="225">
        <f t="shared" si="43"/>
        <v>2.0562233200822511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1090">
        <f>IF(t&gt;Tmaj,'2025'!Wh/'2025'!Env_an*'2026'!Env_an,0.001*'[6]mon-tableau'!$B$58)</f>
        <v>27.166462755258841</v>
      </c>
      <c r="C126" s="953"/>
      <c r="D126" s="393">
        <f t="shared" si="25"/>
        <v>28.942301325359232</v>
      </c>
      <c r="E126" s="385">
        <f t="shared" si="47"/>
        <v>30.471872728559077</v>
      </c>
      <c r="F126" s="385">
        <f t="shared" si="26"/>
        <v>30.472896250543997</v>
      </c>
      <c r="G126" s="110">
        <f t="shared" si="48"/>
        <v>0.52217731180703153</v>
      </c>
      <c r="H126" s="412" t="b">
        <f>Wh_hp&gt;='2025'!Maxi_hp</f>
        <v>0</v>
      </c>
      <c r="I126" s="390">
        <f>IF(H126,Wh_hp,'2025'!Maxi_hp)</f>
        <v>60.094501166563738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6.1357891003104181E-2</v>
      </c>
      <c r="M126" s="957"/>
      <c r="N126" s="957"/>
      <c r="O126" s="48">
        <f>IF(t&lt;Tnet,'2025'!Resal+('2025'!Salim-'2025'!Resal)*(1-EXP(('2025'!Tnet-t)/('2025'!Tau_j))),Resal+(Salim-Resal)*(1-EXP((Tnet-t)/(Tau_j))))*Salcycl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1.0580545521969352E-4</v>
      </c>
      <c r="Q126" s="305">
        <f t="shared" si="28"/>
        <v>0.7</v>
      </c>
      <c r="R126" s="177">
        <f t="shared" si="29"/>
        <v>0.53334103725515458</v>
      </c>
      <c r="S126" s="919">
        <f t="shared" si="30"/>
        <v>-2</v>
      </c>
      <c r="T126" s="176">
        <f t="shared" si="31"/>
        <v>4</v>
      </c>
      <c r="U126" s="251">
        <f t="shared" si="32"/>
        <v>-1.4666589627448454</v>
      </c>
      <c r="V126" s="383">
        <f t="shared" si="33"/>
        <v>52.02160297059558</v>
      </c>
      <c r="W126" s="402">
        <f t="shared" si="34"/>
        <v>27.166462755258841</v>
      </c>
      <c r="X126" s="157">
        <f t="shared" si="35"/>
        <v>46134</v>
      </c>
      <c r="Y126" s="385">
        <f t="shared" si="36"/>
        <v>26.313982821988205</v>
      </c>
      <c r="Z126" s="385">
        <f t="shared" si="37"/>
        <v>28.03409581753084</v>
      </c>
      <c r="AA126" s="386">
        <f t="shared" si="38"/>
        <v>30.45558225701004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7.9508788209814607E-2</v>
      </c>
      <c r="AD126" s="231">
        <f>(INDEX(Models!$BJ126:$BT126,,AH126)*(1-AF126)+INDEX(Models!$BJ126:$BT126,,AH126+1)*AF126-ERP_i)*AE126*Ramure*Pc/MaxiM</f>
        <v>1.78981496687406E-3</v>
      </c>
      <c r="AE126" s="305">
        <f t="shared" si="40"/>
        <v>0.7</v>
      </c>
      <c r="AF126" s="177">
        <f t="shared" si="41"/>
        <v>5.8328603629133724E-2</v>
      </c>
      <c r="AG126" s="919">
        <f t="shared" si="49"/>
        <v>2</v>
      </c>
      <c r="AH126" s="176">
        <f t="shared" si="42"/>
        <v>8</v>
      </c>
      <c r="AI126" s="225">
        <f t="shared" si="43"/>
        <v>2.0583286036291337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1090">
        <f>IF(t&gt;Tmaj,'2025'!Wh/'2025'!Env_an*'2026'!Env_an,0.001*'[6]mon-tableau'!$B$59)</f>
        <v>9.3346673154892095</v>
      </c>
      <c r="C127" s="953"/>
      <c r="D127" s="393">
        <f t="shared" si="25"/>
        <v>9.9450809671369953</v>
      </c>
      <c r="E127" s="385">
        <f t="shared" si="47"/>
        <v>10.471961085948193</v>
      </c>
      <c r="F127" s="385">
        <f t="shared" si="26"/>
        <v>10.471961085948193</v>
      </c>
      <c r="G127" s="110">
        <f t="shared" si="48"/>
        <v>0.17911226828649024</v>
      </c>
      <c r="H127" s="412" t="b">
        <f>Wh_hp&gt;='2025'!Maxi_hp</f>
        <v>0</v>
      </c>
      <c r="I127" s="390">
        <f>IF(H127,Wh_hp,'2025'!Maxi_hp)</f>
        <v>60.511949341362161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6.1378449674252655E-2</v>
      </c>
      <c r="M127" s="957"/>
      <c r="N127" s="957"/>
      <c r="O127" s="48">
        <f>IF(t&lt;Tnet,'2025'!Resal+('2025'!Salim-'2025'!Resal)*(1-EXP(('2025'!Tnet-t)/('2025'!Tau_j))),Resal+(Salim-Resal)*(1-EXP((Tnet-t)/(Tau_j))))*Salcycl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1.1716060378392051E-4</v>
      </c>
      <c r="Q127" s="305">
        <f t="shared" si="28"/>
        <v>0.7</v>
      </c>
      <c r="R127" s="177">
        <f t="shared" si="29"/>
        <v>0.53551350625918803</v>
      </c>
      <c r="S127" s="919">
        <f t="shared" si="30"/>
        <v>-2</v>
      </c>
      <c r="T127" s="176">
        <f t="shared" si="31"/>
        <v>4</v>
      </c>
      <c r="U127" s="251">
        <f t="shared" si="32"/>
        <v>-1.464486493740812</v>
      </c>
      <c r="V127" s="383">
        <f t="shared" si="33"/>
        <v>52.110186250901286</v>
      </c>
      <c r="W127" s="402">
        <f t="shared" si="34"/>
        <v>9.3346673154892095</v>
      </c>
      <c r="X127" s="157">
        <f t="shared" si="35"/>
        <v>46135</v>
      </c>
      <c r="Y127" s="385">
        <f t="shared" si="36"/>
        <v>9.0467385752120517</v>
      </c>
      <c r="Z127" s="385">
        <f t="shared" si="37"/>
        <v>9.6383239571607895</v>
      </c>
      <c r="AA127" s="386">
        <f t="shared" si="38"/>
        <v>10.471961085948193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7.9606591539575028E-2</v>
      </c>
      <c r="AD127" s="231">
        <f>(INDEX(Models!$BJ127:$BT127,,AH127)*(1-AF127)+INDEX(Models!$BJ127:$BT127,,AH127+1)*AF127-ERP_i)*AE127*Ramure*Pc/MaxiM</f>
        <v>1.8414695225923215E-3</v>
      </c>
      <c r="AE127" s="305">
        <f t="shared" si="40"/>
        <v>0.7</v>
      </c>
      <c r="AF127" s="177">
        <f t="shared" si="41"/>
        <v>6.0501072633166952E-2</v>
      </c>
      <c r="AG127" s="919">
        <f t="shared" si="49"/>
        <v>2</v>
      </c>
      <c r="AH127" s="176">
        <f t="shared" si="42"/>
        <v>8</v>
      </c>
      <c r="AI127" s="225">
        <f t="shared" si="43"/>
        <v>2.060501072633167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1090">
        <f>IF(t&gt;Tmaj,'2025'!Wh/'2025'!Env_an*'2026'!Env_an,0.001*'[6]mon-tableau'!$B$60)</f>
        <v>23.994899434025129</v>
      </c>
      <c r="C128" s="953"/>
      <c r="D128" s="393">
        <f t="shared" si="25"/>
        <v>25.564536619777783</v>
      </c>
      <c r="E128" s="385">
        <f t="shared" si="47"/>
        <v>26.922262399429517</v>
      </c>
      <c r="F128" s="385">
        <f t="shared" si="26"/>
        <v>26.923059661365439</v>
      </c>
      <c r="G128" s="110">
        <f t="shared" si="48"/>
        <v>0.45967189009091908</v>
      </c>
      <c r="H128" s="412" t="b">
        <f>Wh_hp&gt;='2025'!Maxi_hp</f>
        <v>0</v>
      </c>
      <c r="I128" s="390">
        <f>IF(H128,Wh_hp,'2025'!Maxi_hp)</f>
        <v>59.112989516648078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6.1399007895113544E-2</v>
      </c>
      <c r="M128" s="957"/>
      <c r="N128" s="957"/>
      <c r="O128" s="48">
        <f>IF(t&lt;Tnet,'2025'!Resal+('2025'!Salim-'2025'!Resal)*(1-EXP(('2025'!Tnet-t)/('2025'!Tau_j))),Resal+(Salim-Resal)*(1-EXP((Tnet-t)/(Tau_j))))*Salcycl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1.2978393887927848E-4</v>
      </c>
      <c r="Q128" s="305">
        <f t="shared" si="28"/>
        <v>0.7</v>
      </c>
      <c r="R128" s="177">
        <f t="shared" si="29"/>
        <v>0.53775450564576954</v>
      </c>
      <c r="S128" s="919">
        <f t="shared" si="30"/>
        <v>-2</v>
      </c>
      <c r="T128" s="176">
        <f t="shared" si="31"/>
        <v>4</v>
      </c>
      <c r="U128" s="251">
        <f t="shared" si="32"/>
        <v>-1.4622454943542305</v>
      </c>
      <c r="V128" s="383">
        <f t="shared" si="33"/>
        <v>52.194829135673878</v>
      </c>
      <c r="W128" s="402">
        <f t="shared" si="34"/>
        <v>23.994899434025129</v>
      </c>
      <c r="X128" s="157">
        <f t="shared" si="35"/>
        <v>46136</v>
      </c>
      <c r="Y128" s="385">
        <f t="shared" si="36"/>
        <v>23.245766427518596</v>
      </c>
      <c r="Z128" s="385">
        <f t="shared" si="37"/>
        <v>24.766398739242902</v>
      </c>
      <c r="AA128" s="386">
        <f t="shared" si="38"/>
        <v>26.911384051766316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7.9705499665024812E-2</v>
      </c>
      <c r="AD128" s="231">
        <f>(INDEX(Models!$BJ128:$BT128,,AH128)*(1-AF128)+INDEX(Models!$BJ128:$BT128,,AH128+1)*AF128-ERP_i)*AE128*Ramure*Pc/MaxiM</f>
        <v>1.900638340191667E-3</v>
      </c>
      <c r="AE128" s="305">
        <f t="shared" si="40"/>
        <v>0.7</v>
      </c>
      <c r="AF128" s="177">
        <f t="shared" si="41"/>
        <v>6.2742072019748463E-2</v>
      </c>
      <c r="AG128" s="919">
        <f t="shared" si="49"/>
        <v>2</v>
      </c>
      <c r="AH128" s="176">
        <f t="shared" si="42"/>
        <v>8</v>
      </c>
      <c r="AI128" s="225">
        <f t="shared" si="43"/>
        <v>2.0627420720197485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1090">
        <f>IF(t&gt;Tmaj,'2025'!Wh/'2025'!Env_an*'2026'!Env_an,0.001*'[6]mon-tableau'!$B$61)</f>
        <v>45.508580074755528</v>
      </c>
      <c r="C129" s="953"/>
      <c r="D129" s="393">
        <f t="shared" si="25"/>
        <v>48.486606379167597</v>
      </c>
      <c r="E129" s="385">
        <f t="shared" si="47"/>
        <v>51.068096364175418</v>
      </c>
      <c r="F129" s="385">
        <f t="shared" si="26"/>
        <v>51.074061202512354</v>
      </c>
      <c r="G129" s="110">
        <f t="shared" si="48"/>
        <v>0.87053038993478515</v>
      </c>
      <c r="H129" s="412" t="b">
        <f>Wh_hp&gt;='2025'!Maxi_hp</f>
        <v>0</v>
      </c>
      <c r="I129" s="390">
        <f>IF(H129,Wh_hp,'2025'!Maxi_hp)</f>
        <v>55.415664195239167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6.1419565665696618E-2</v>
      </c>
      <c r="M129" s="957"/>
      <c r="N129" s="957"/>
      <c r="O129" s="48">
        <f>IF(t&lt;Tnet,'2025'!Resal+('2025'!Salim-'2025'!Resal)*(1-EXP(('2025'!Tnet-t)/('2025'!Tau_j))),Resal+(Salim-Resal)*(1-EXP((Tnet-t)/(Tau_j))))*Salcycl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1.432847538964765E-4</v>
      </c>
      <c r="Q129" s="305">
        <f t="shared" si="28"/>
        <v>0.7</v>
      </c>
      <c r="R129" s="177">
        <f t="shared" si="29"/>
        <v>0.54006534715073529</v>
      </c>
      <c r="S129" s="919">
        <f t="shared" si="30"/>
        <v>-2</v>
      </c>
      <c r="T129" s="176">
        <f t="shared" si="31"/>
        <v>4</v>
      </c>
      <c r="U129" s="251">
        <f t="shared" si="32"/>
        <v>-1.4599346528492647</v>
      </c>
      <c r="V129" s="383">
        <f t="shared" si="33"/>
        <v>52.275457159464658</v>
      </c>
      <c r="W129" s="402">
        <f t="shared" si="34"/>
        <v>45.508580074755528</v>
      </c>
      <c r="X129" s="157">
        <f t="shared" si="35"/>
        <v>46137</v>
      </c>
      <c r="Y129" s="385">
        <f t="shared" si="36"/>
        <v>44.040830861820368</v>
      </c>
      <c r="Z129" s="385">
        <f t="shared" si="37"/>
        <v>46.922809437271852</v>
      </c>
      <c r="AA129" s="386">
        <f t="shared" si="38"/>
        <v>50.99227417107565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7.9805515638526239E-2</v>
      </c>
      <c r="AD129" s="231">
        <f>(INDEX(Models!$BJ129:$BT129,,AH129)*(1-AF129)+INDEX(Models!$BJ129:$BT129,,AH129+1)*AF129-ERP_i)*AE129*Ramure*Pc/MaxiM</f>
        <v>1.9646525202142492E-3</v>
      </c>
      <c r="AE129" s="305">
        <f t="shared" si="40"/>
        <v>0.7</v>
      </c>
      <c r="AF129" s="177">
        <f t="shared" si="41"/>
        <v>6.5052913524714207E-2</v>
      </c>
      <c r="AG129" s="919">
        <f t="shared" si="49"/>
        <v>2</v>
      </c>
      <c r="AH129" s="176">
        <f t="shared" si="42"/>
        <v>8</v>
      </c>
      <c r="AI129" s="225">
        <f t="shared" si="43"/>
        <v>2.0650529135247142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1090">
        <f>IF(t&gt;Tmaj,'2025'!Wh/'2025'!Env_an*'2026'!Env_an,0.001*'[6]mon-tableau'!$B$62)</f>
        <v>50.897296202793122</v>
      </c>
      <c r="C130" s="953"/>
      <c r="D130" s="393">
        <f t="shared" si="25"/>
        <v>54.22914131458716</v>
      </c>
      <c r="E130" s="385">
        <f t="shared" si="47"/>
        <v>57.123549406013716</v>
      </c>
      <c r="F130" s="385">
        <f t="shared" si="26"/>
        <v>57.132201145082647</v>
      </c>
      <c r="G130" s="110">
        <f t="shared" si="48"/>
        <v>0.972207417602442</v>
      </c>
      <c r="H130" s="412" t="b">
        <f>Wh_hp&gt;='2025'!Maxi_hp</f>
        <v>0</v>
      </c>
      <c r="I130" s="390">
        <f>IF(H130,Wh_hp,'2025'!Maxi_hp)</f>
        <v>57.132530865836813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6.1440122986011647E-2</v>
      </c>
      <c r="M130" s="957"/>
      <c r="N130" s="957"/>
      <c r="O130" s="48">
        <f>IF(t&lt;Tnet,'2025'!Resal+('2025'!Salim-'2025'!Resal)*(1-EXP(('2025'!Tnet-t)/('2025'!Tau_j))),Resal+(Salim-Resal)*(1-EXP((Tnet-t)/(Tau_j))))*Salcycl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1.5769330795917962E-4</v>
      </c>
      <c r="Q130" s="305">
        <f t="shared" si="28"/>
        <v>0.7</v>
      </c>
      <c r="R130" s="177">
        <f t="shared" si="29"/>
        <v>0.54244730392859419</v>
      </c>
      <c r="S130" s="919">
        <f t="shared" si="30"/>
        <v>-2</v>
      </c>
      <c r="T130" s="176">
        <f t="shared" si="31"/>
        <v>4</v>
      </c>
      <c r="U130" s="251">
        <f t="shared" si="32"/>
        <v>-1.4575526960714058</v>
      </c>
      <c r="V130" s="383">
        <f t="shared" si="33"/>
        <v>52.351974110179242</v>
      </c>
      <c r="W130" s="402">
        <f t="shared" si="34"/>
        <v>50.897296202793122</v>
      </c>
      <c r="X130" s="157">
        <f t="shared" si="35"/>
        <v>46138</v>
      </c>
      <c r="Y130" s="385">
        <f t="shared" si="36"/>
        <v>49.240888970072213</v>
      </c>
      <c r="Z130" s="385">
        <f t="shared" si="37"/>
        <v>52.464302146317216</v>
      </c>
      <c r="AA130" s="386">
        <f t="shared" si="38"/>
        <v>57.020629058028319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7.990664057869748E-2</v>
      </c>
      <c r="AD130" s="231">
        <f>(INDEX(Models!$BJ130:$BT130,,AH130)*(1-AF130)+INDEX(Models!$BJ130:$BT130,,AH130+1)*AF130-ERP_i)*AE130*Ramure*Pc/MaxiM</f>
        <v>2.0335994120180213E-3</v>
      </c>
      <c r="AE130" s="305">
        <f t="shared" si="40"/>
        <v>0.7</v>
      </c>
      <c r="AF130" s="177">
        <f t="shared" si="41"/>
        <v>6.7434870302573557E-2</v>
      </c>
      <c r="AG130" s="919">
        <f t="shared" si="49"/>
        <v>2</v>
      </c>
      <c r="AH130" s="176">
        <f t="shared" si="42"/>
        <v>8</v>
      </c>
      <c r="AI130" s="225">
        <f t="shared" si="43"/>
        <v>2.0674348703025736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1090">
        <f>IF(t&gt;Tmaj,'2025'!Wh/'2025'!Env_an*'2026'!Env_an,0.001*'[6]mon-tableau'!$B$63)</f>
        <v>37.516686785126971</v>
      </c>
      <c r="C131" s="953"/>
      <c r="D131" s="393">
        <f t="shared" si="25"/>
        <v>39.973484306841335</v>
      </c>
      <c r="E131" s="385">
        <f t="shared" si="47"/>
        <v>42.112338942325259</v>
      </c>
      <c r="F131" s="385">
        <f t="shared" si="26"/>
        <v>42.116666268621181</v>
      </c>
      <c r="G131" s="110">
        <f t="shared" si="48"/>
        <v>0.71558534538302954</v>
      </c>
      <c r="H131" s="412" t="b">
        <f>Wh_hp&gt;='2025'!Maxi_hp</f>
        <v>0</v>
      </c>
      <c r="I131" s="390">
        <f>IF(H131,Wh_hp,'2025'!Maxi_hp)</f>
        <v>42.119383601475008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6.1460679856068734E-2</v>
      </c>
      <c r="M131" s="957"/>
      <c r="N131" s="957"/>
      <c r="O131" s="48">
        <f>IF(t&lt;Tnet,'2025'!Resal+('2025'!Salim-'2025'!Resal)*(1-EXP(('2025'!Tnet-t)/('2025'!Tau_j))),Resal+(Salim-Resal)*(1-EXP((Tnet-t)/(Tau_j))))*Salcycl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1.7304175002829934E-4</v>
      </c>
      <c r="Q131" s="305">
        <f t="shared" si="28"/>
        <v>0.7</v>
      </c>
      <c r="R131" s="177">
        <f t="shared" si="29"/>
        <v>0.54490160491572914</v>
      </c>
      <c r="S131" s="919">
        <f t="shared" si="30"/>
        <v>-2</v>
      </c>
      <c r="T131" s="176">
        <f t="shared" si="31"/>
        <v>4</v>
      </c>
      <c r="U131" s="251">
        <f t="shared" si="32"/>
        <v>-1.4550983950842709</v>
      </c>
      <c r="V131" s="383">
        <f t="shared" si="33"/>
        <v>52.424283838457683</v>
      </c>
      <c r="W131" s="402">
        <f t="shared" si="34"/>
        <v>37.516686785126971</v>
      </c>
      <c r="X131" s="157">
        <f t="shared" si="35"/>
        <v>46139</v>
      </c>
      <c r="Y131" s="385">
        <f t="shared" si="36"/>
        <v>36.320036831194372</v>
      </c>
      <c r="Z131" s="385">
        <f t="shared" si="37"/>
        <v>38.698471179262313</v>
      </c>
      <c r="AA131" s="386">
        <f t="shared" si="38"/>
        <v>42.06396134524914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8.0008873590478924E-2</v>
      </c>
      <c r="AD131" s="231">
        <f>(INDEX(Models!$BJ131:$BT131,,AH131)*(1-AF131)+INDEX(Models!$BJ131:$BT131,,AH131+1)*AF131-ERP_i)*AE131*Ramure*Pc/MaxiM</f>
        <v>2.1075721015063648E-3</v>
      </c>
      <c r="AE131" s="305">
        <f t="shared" si="40"/>
        <v>0.7</v>
      </c>
      <c r="AF131" s="177">
        <f t="shared" si="41"/>
        <v>6.9889171289708507E-2</v>
      </c>
      <c r="AG131" s="919">
        <f t="shared" si="49"/>
        <v>2</v>
      </c>
      <c r="AH131" s="176">
        <f t="shared" si="42"/>
        <v>8</v>
      </c>
      <c r="AI131" s="225">
        <f t="shared" si="43"/>
        <v>2.0698891712897085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1090">
        <f>IF(t&gt;Tmaj,'2025'!Wh/'2025'!Env_an*'2026'!Env_an,0.001*'[6]mon-tableau'!$B$64)</f>
        <v>20.177107923204989</v>
      </c>
      <c r="C132" s="953"/>
      <c r="D132" s="393">
        <f t="shared" si="25"/>
        <v>21.498886013893323</v>
      </c>
      <c r="E132" s="385">
        <f t="shared" si="47"/>
        <v>22.652103636106848</v>
      </c>
      <c r="F132" s="385">
        <f t="shared" si="26"/>
        <v>22.652620730256498</v>
      </c>
      <c r="G132" s="110">
        <f t="shared" si="48"/>
        <v>0.38431829723675554</v>
      </c>
      <c r="H132" s="412" t="b">
        <f>Wh_hp&gt;='2025'!Maxi_hp</f>
        <v>0</v>
      </c>
      <c r="I132" s="390">
        <f>IF(H132,Wh_hp,'2025'!Maxi_hp)</f>
        <v>44.927139058198264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6.1481236275877538E-2</v>
      </c>
      <c r="M132" s="957"/>
      <c r="N132" s="957"/>
      <c r="O132" s="48">
        <f>IF(t&lt;Tnet,'2025'!Resal+('2025'!Salim-'2025'!Resal)*(1-EXP(('2025'!Tnet-t)/('2025'!Tau_j))),Resal+(Salim-Resal)*(1-EXP((Tnet-t)/(Tau_j))))*Salcycl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1.8936416056422554E-4</v>
      </c>
      <c r="Q132" s="305">
        <f t="shared" si="28"/>
        <v>0.7</v>
      </c>
      <c r="R132" s="177">
        <f t="shared" si="29"/>
        <v>0.54742942895860658</v>
      </c>
      <c r="S132" s="919">
        <f t="shared" si="30"/>
        <v>-2</v>
      </c>
      <c r="T132" s="176">
        <f t="shared" si="31"/>
        <v>4</v>
      </c>
      <c r="U132" s="251">
        <f t="shared" si="32"/>
        <v>-1.4525705710413934</v>
      </c>
      <c r="V132" s="383">
        <f t="shared" si="33"/>
        <v>52.492290259815036</v>
      </c>
      <c r="W132" s="402">
        <f t="shared" si="34"/>
        <v>20.177107923204989</v>
      </c>
      <c r="X132" s="157">
        <f t="shared" si="35"/>
        <v>46140</v>
      </c>
      <c r="Y132" s="385">
        <f t="shared" si="36"/>
        <v>19.551576175612936</v>
      </c>
      <c r="Z132" s="385">
        <f t="shared" si="37"/>
        <v>20.83237643329646</v>
      </c>
      <c r="AA132" s="386">
        <f t="shared" si="38"/>
        <v>22.646649621748502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8.0112211684933737E-2</v>
      </c>
      <c r="AD132" s="231">
        <f>(INDEX(Models!$BJ132:$BT132,,AH132)*(1-AF132)+INDEX(Models!$BJ132:$BT132,,AH132+1)*AF132-ERP_i)*AE132*Ramure*Pc/MaxiM</f>
        <v>2.1866693928299522E-3</v>
      </c>
      <c r="AE132" s="305">
        <f t="shared" si="40"/>
        <v>0.7</v>
      </c>
      <c r="AF132" s="177">
        <f t="shared" si="41"/>
        <v>7.2416995332585721E-2</v>
      </c>
      <c r="AG132" s="919">
        <f t="shared" si="49"/>
        <v>2</v>
      </c>
      <c r="AH132" s="176">
        <f t="shared" si="42"/>
        <v>8</v>
      </c>
      <c r="AI132" s="225">
        <f t="shared" si="43"/>
        <v>2.0724169953325857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1090">
        <f>IF(t&gt;Tmaj,'2025'!Wh/'2025'!Env_an*'2026'!Env_an,0.001*'[6]mon-tableau'!$B$65)</f>
        <v>40.848404935909294</v>
      </c>
      <c r="C133" s="953"/>
      <c r="D133" s="393">
        <f t="shared" si="25"/>
        <v>43.525288166125613</v>
      </c>
      <c r="E133" s="385">
        <f t="shared" si="47"/>
        <v>45.865886001114852</v>
      </c>
      <c r="F133" s="385">
        <f t="shared" si="26"/>
        <v>45.872350288655966</v>
      </c>
      <c r="G133" s="110">
        <f t="shared" si="48"/>
        <v>0.77718619031845348</v>
      </c>
      <c r="H133" s="412" t="b">
        <f>Wh_hp&gt;='2025'!Maxi_hp</f>
        <v>0</v>
      </c>
      <c r="I133" s="390">
        <f>IF(H133,Wh_hp,'2025'!Maxi_hp)</f>
        <v>53.012856919854819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6.150179224544805E-2</v>
      </c>
      <c r="M133" s="957"/>
      <c r="N133" s="957"/>
      <c r="O133" s="48">
        <f>IF(t&lt;Tnet,'2025'!Resal+('2025'!Salim-'2025'!Resal)*(1-EXP(('2025'!Tnet-t)/('2025'!Tau_j))),Resal+(Salim-Resal)*(1-EXP((Tnet-t)/(Tau_j))))*Salcycl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2.0669659103427556E-4</v>
      </c>
      <c r="Q133" s="305">
        <f t="shared" si="28"/>
        <v>0.7</v>
      </c>
      <c r="R133" s="177">
        <f t="shared" si="29"/>
        <v>0.55003189871973857</v>
      </c>
      <c r="S133" s="919">
        <f t="shared" si="30"/>
        <v>-2</v>
      </c>
      <c r="T133" s="176">
        <f t="shared" si="31"/>
        <v>4</v>
      </c>
      <c r="U133" s="251">
        <f t="shared" si="32"/>
        <v>-1.4499681012802614</v>
      </c>
      <c r="V133" s="383">
        <f t="shared" si="33"/>
        <v>52.555897361507434</v>
      </c>
      <c r="W133" s="402">
        <f t="shared" si="34"/>
        <v>40.848404935909294</v>
      </c>
      <c r="X133" s="157">
        <f t="shared" si="35"/>
        <v>46141</v>
      </c>
      <c r="Y133" s="385">
        <f t="shared" si="36"/>
        <v>39.536393257535828</v>
      </c>
      <c r="Z133" s="385">
        <f t="shared" si="37"/>
        <v>42.127297559928735</v>
      </c>
      <c r="AA133" s="386">
        <f t="shared" si="38"/>
        <v>45.801326525601482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8.0216649699416165E-2</v>
      </c>
      <c r="AD133" s="231">
        <f>(INDEX(Models!$BJ133:$BT133,,AH133)*(1-AF133)+INDEX(Models!$BJ133:$BT133,,AH133+1)*AF133-ERP_i)*AE133*Ramure*Pc/MaxiM</f>
        <v>2.2709957767853453E-3</v>
      </c>
      <c r="AE133" s="305">
        <f t="shared" si="40"/>
        <v>0.7</v>
      </c>
      <c r="AF133" s="177">
        <f t="shared" si="41"/>
        <v>7.501946509371793E-2</v>
      </c>
      <c r="AG133" s="919">
        <f t="shared" si="49"/>
        <v>2</v>
      </c>
      <c r="AH133" s="176">
        <f t="shared" si="42"/>
        <v>8</v>
      </c>
      <c r="AI133" s="225">
        <f t="shared" si="43"/>
        <v>2.0750194650937179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1090">
        <f>IF(t&gt;Tmaj,'2025'!Wh/'2025'!Env_an*'2026'!Env_an,0.001*'[6]mon-tableau'!$B$66)</f>
        <v>41.639618750673904</v>
      </c>
      <c r="C134" s="953"/>
      <c r="D134" s="393">
        <f t="shared" si="25"/>
        <v>44.369323714314504</v>
      </c>
      <c r="E134" s="385">
        <f t="shared" si="47"/>
        <v>44.731131932607276</v>
      </c>
      <c r="F134" s="385">
        <f t="shared" si="26"/>
        <v>44.737706443063324</v>
      </c>
      <c r="G134" s="110">
        <f t="shared" si="48"/>
        <v>0.75698318854591073</v>
      </c>
      <c r="H134" s="412" t="b">
        <f>Wh_hp&gt;='2025'!Maxi_hp</f>
        <v>0</v>
      </c>
      <c r="I134" s="390">
        <f>IF(H134,Wh_hp,'2025'!Maxi_hp)</f>
        <v>59.629748537925202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6.1522347764789931E-2</v>
      </c>
      <c r="M134" s="957"/>
      <c r="N134" s="957"/>
      <c r="O134" s="48">
        <f>IF(t&lt;Tnet,'2025'!Resal+('2025'!Salim-'2025'!Resal)*(1-EXP(('2025'!Tnet-t)/('2025'!Tau_j))),Resal+(Salim-Resal)*(1-EXP((Tnet-t)/(Tau_j))))*Salcycl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2.2507710092120961E-4</v>
      </c>
      <c r="Q134" s="305">
        <f t="shared" si="28"/>
        <v>0.7</v>
      </c>
      <c r="R134" s="177">
        <f t="shared" si="29"/>
        <v>0.55271007437701769</v>
      </c>
      <c r="S134" s="919">
        <f t="shared" si="30"/>
        <v>-2</v>
      </c>
      <c r="T134" s="176">
        <f t="shared" si="31"/>
        <v>4</v>
      </c>
      <c r="U134" s="251">
        <f t="shared" si="32"/>
        <v>-1.4472899256229823</v>
      </c>
      <c r="V134" s="383">
        <f t="shared" si="33"/>
        <v>55.003025170557372</v>
      </c>
      <c r="W134" s="402">
        <f t="shared" si="34"/>
        <v>41.639618750673904</v>
      </c>
      <c r="X134" s="157">
        <f t="shared" si="35"/>
        <v>46142</v>
      </c>
      <c r="Y134" s="385">
        <f t="shared" si="36"/>
        <v>39.776241521044405</v>
      </c>
      <c r="Z134" s="385">
        <f t="shared" si="37"/>
        <v>42.383791906293908</v>
      </c>
      <c r="AA134" s="386">
        <f t="shared" si="38"/>
        <v>44.668751436529092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5.1153422845989734E-2</v>
      </c>
      <c r="AD134" s="231">
        <f>(INDEX(Models!$BJ134:$BT134,,AH134)*(1-AF134)+INDEX(Models!$BJ134:$BT134,,AH134+1)*AF134-ERP_i)*AE134*Ramure*Pc/MaxiM</f>
        <v>2.3606613858906632E-3</v>
      </c>
      <c r="AE134" s="305">
        <f t="shared" si="40"/>
        <v>0.7</v>
      </c>
      <c r="AF134" s="177">
        <f t="shared" si="41"/>
        <v>7.7697640750996833E-2</v>
      </c>
      <c r="AG134" s="919">
        <f t="shared" si="49"/>
        <v>2</v>
      </c>
      <c r="AH134" s="176">
        <f t="shared" si="42"/>
        <v>8</v>
      </c>
      <c r="AI134" s="225">
        <f t="shared" si="43"/>
        <v>2.0776976407509968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1090">
        <f>IF(t&gt;Tmaj,'2025'!Wh/'2025'!Env_an*'2026'!Env_an,0.001*[7]mois!$B$38)</f>
        <v>46.608467063461013</v>
      </c>
      <c r="C135" s="953"/>
      <c r="D135" s="393">
        <f t="shared" si="25"/>
        <v>49.664995026631807</v>
      </c>
      <c r="E135" s="385">
        <f t="shared" si="47"/>
        <v>50.07738839565566</v>
      </c>
      <c r="F135" s="385">
        <f t="shared" si="26"/>
        <v>50.086951517318241</v>
      </c>
      <c r="G135" s="110">
        <f t="shared" si="48"/>
        <v>0.84647926693620212</v>
      </c>
      <c r="H135" s="412" t="b">
        <f>Wh_hp&gt;='2025'!Maxi_hp</f>
        <v>0</v>
      </c>
      <c r="I135" s="390">
        <f>IF(H135,Wh_hp,'2025'!Maxi_hp)</f>
        <v>57.486763345827086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6.1542902833913393E-2</v>
      </c>
      <c r="M135" s="957"/>
      <c r="N135" s="957"/>
      <c r="O135" s="48">
        <f>IF(t&lt;Tnet,'2025'!Resal+('2025'!Salim-'2025'!Resal)*(1-EXP(('2025'!Tnet-t)/('2025'!Tau_j))),Resal+(Salim-Resal)*(1-EXP((Tnet-t)/(Tau_j))))*Salcycl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2.4454757210844023E-4</v>
      </c>
      <c r="Q135" s="305">
        <f t="shared" si="28"/>
        <v>0.7</v>
      </c>
      <c r="R135" s="177">
        <f t="shared" si="29"/>
        <v>0.55546494713507766</v>
      </c>
      <c r="S135" s="919">
        <f t="shared" si="30"/>
        <v>-2</v>
      </c>
      <c r="T135" s="176">
        <f t="shared" si="31"/>
        <v>4</v>
      </c>
      <c r="U135" s="251">
        <f t="shared" si="32"/>
        <v>-1.4445350528649223</v>
      </c>
      <c r="V135" s="383">
        <f t="shared" si="33"/>
        <v>55.058604968195688</v>
      </c>
      <c r="W135" s="402">
        <f t="shared" si="34"/>
        <v>46.608467063461013</v>
      </c>
      <c r="X135" s="157">
        <f t="shared" si="35"/>
        <v>46143</v>
      </c>
      <c r="Y135" s="385">
        <f t="shared" si="36"/>
        <v>44.508742438611982</v>
      </c>
      <c r="Z135" s="385">
        <f t="shared" si="37"/>
        <v>47.427572952474456</v>
      </c>
      <c r="AA135" s="386">
        <f t="shared" si="38"/>
        <v>49.990916573302677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5.1276187686407758E-2</v>
      </c>
      <c r="AD135" s="231">
        <f>(INDEX(Models!$BJ135:$BT135,,AH135)*(1-AF135)+INDEX(Models!$BJ135:$BT135,,AH135+1)*AF135-ERP_i)*AE135*Ramure*Pc/MaxiM</f>
        <v>2.4557998136174415E-3</v>
      </c>
      <c r="AE135" s="305">
        <f t="shared" si="40"/>
        <v>0.7</v>
      </c>
      <c r="AF135" s="177">
        <f t="shared" si="41"/>
        <v>8.04525135090568E-2</v>
      </c>
      <c r="AG135" s="919">
        <f t="shared" si="49"/>
        <v>2</v>
      </c>
      <c r="AH135" s="176">
        <f t="shared" si="42"/>
        <v>8</v>
      </c>
      <c r="AI135" s="225">
        <f t="shared" si="43"/>
        <v>2.0804525135090568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1090">
        <f>IF(t&gt;Tmaj,'2025'!Wh/'2025'!Env_an*'2026'!Env_an,0.001*[7]mois!$B$39)</f>
        <v>27.302140783138316</v>
      </c>
      <c r="C136" s="953"/>
      <c r="D136" s="393">
        <f t="shared" si="25"/>
        <v>29.093219994431248</v>
      </c>
      <c r="E136" s="385">
        <f t="shared" si="47"/>
        <v>29.339135888362229</v>
      </c>
      <c r="F136" s="385">
        <f t="shared" si="26"/>
        <v>29.341309691066812</v>
      </c>
      <c r="G136" s="110">
        <f t="shared" si="48"/>
        <v>0.49532801813780697</v>
      </c>
      <c r="H136" s="412" t="b">
        <f>Wh_hp&gt;='2025'!Maxi_hp</f>
        <v>0</v>
      </c>
      <c r="I136" s="390">
        <f>IF(H136,Wh_hp,'2025'!Maxi_hp)</f>
        <v>52.039309618554178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6.1563457452827985E-2</v>
      </c>
      <c r="M136" s="957"/>
      <c r="N136" s="957"/>
      <c r="O136" s="48">
        <f>IF(t&lt;Tnet,'2025'!Resal+('2025'!Salim-'2025'!Resal)*(1-EXP(('2025'!Tnet-t)/('2025'!Tau_j))),Resal+(Salim-Resal)*(1-EXP((Tnet-t)/(Tau_j))))*Salcycl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2.6537710350515531E-4</v>
      </c>
      <c r="Q136" s="305">
        <f t="shared" si="28"/>
        <v>0.7</v>
      </c>
      <c r="R136" s="177">
        <f t="shared" si="29"/>
        <v>0.55829743257051279</v>
      </c>
      <c r="S136" s="919">
        <f t="shared" si="30"/>
        <v>-2</v>
      </c>
      <c r="T136" s="176">
        <f t="shared" si="31"/>
        <v>4</v>
      </c>
      <c r="U136" s="251">
        <f t="shared" si="32"/>
        <v>-1.4417025674294872</v>
      </c>
      <c r="V136" s="383">
        <f t="shared" si="33"/>
        <v>55.108769867373546</v>
      </c>
      <c r="W136" s="402">
        <f t="shared" si="34"/>
        <v>27.302140783138316</v>
      </c>
      <c r="X136" s="157">
        <f t="shared" si="35"/>
        <v>46144</v>
      </c>
      <c r="Y136" s="385">
        <f t="shared" si="36"/>
        <v>26.101017590872171</v>
      </c>
      <c r="Z136" s="385">
        <f t="shared" si="37"/>
        <v>27.81330053498014</v>
      </c>
      <c r="AA136" s="386">
        <f t="shared" si="38"/>
        <v>29.320356094847813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5.1399633585367505E-2</v>
      </c>
      <c r="AD136" s="231">
        <f>(INDEX(Models!$BJ136:$BT136,,AH136)*(1-AF136)+INDEX(Models!$BJ136:$BT136,,AH136+1)*AF136-ERP_i)*AE136*Ramure*Pc/MaxiM</f>
        <v>2.5580079833779153E-3</v>
      </c>
      <c r="AE136" s="305">
        <f t="shared" si="40"/>
        <v>0.7</v>
      </c>
      <c r="AF136" s="177">
        <f t="shared" si="41"/>
        <v>8.3284998944491928E-2</v>
      </c>
      <c r="AG136" s="919">
        <f t="shared" si="49"/>
        <v>2</v>
      </c>
      <c r="AH136" s="176">
        <f t="shared" si="42"/>
        <v>8</v>
      </c>
      <c r="AI136" s="225">
        <f t="shared" si="43"/>
        <v>2.0832849989444919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1090">
        <f>IF(t&gt;Tmaj,'2025'!Wh/'2025'!Env_an*'2026'!Env_an,0.001*[7]mois!$B$40)</f>
        <v>31.183353399564979</v>
      </c>
      <c r="C137" s="953"/>
      <c r="D137" s="393">
        <f t="shared" si="25"/>
        <v>33.229776331335223</v>
      </c>
      <c r="E137" s="385">
        <f t="shared" si="47"/>
        <v>33.515619827210685</v>
      </c>
      <c r="F137" s="385">
        <f t="shared" si="26"/>
        <v>33.519269067209727</v>
      </c>
      <c r="G137" s="110">
        <f t="shared" si="48"/>
        <v>0.56528774940584336</v>
      </c>
      <c r="H137" s="412" t="b">
        <f>Wh_hp&gt;='2025'!Maxi_hp</f>
        <v>0</v>
      </c>
      <c r="I137" s="390">
        <f>IF(H137,Wh_hp,'2025'!Maxi_hp)</f>
        <v>59.632265422182535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6.1584011621543588E-2</v>
      </c>
      <c r="M137" s="957"/>
      <c r="N137" s="957"/>
      <c r="O137" s="48">
        <f>IF(t&lt;Tnet,'2025'!Resal+('2025'!Salim-'2025'!Resal)*(1-EXP(('2025'!Tnet-t)/('2025'!Tau_j))),Resal+(Salim-Resal)*(1-EXP((Tnet-t)/(Tau_j))))*Salcycl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2.8715985354164507E-4</v>
      </c>
      <c r="Q137" s="305">
        <f t="shared" si="28"/>
        <v>0.7</v>
      </c>
      <c r="R137" s="177">
        <f t="shared" si="29"/>
        <v>0.56120836383607653</v>
      </c>
      <c r="S137" s="919">
        <f t="shared" si="30"/>
        <v>-2</v>
      </c>
      <c r="T137" s="176">
        <f t="shared" si="31"/>
        <v>4</v>
      </c>
      <c r="U137" s="251">
        <f t="shared" si="32"/>
        <v>-1.4387916361639235</v>
      </c>
      <c r="V137" s="383">
        <f t="shared" si="33"/>
        <v>55.153845362559842</v>
      </c>
      <c r="W137" s="402">
        <f t="shared" si="34"/>
        <v>31.183353399564979</v>
      </c>
      <c r="X137" s="157">
        <f t="shared" si="35"/>
        <v>46145</v>
      </c>
      <c r="Y137" s="385">
        <f t="shared" si="36"/>
        <v>29.804195688294659</v>
      </c>
      <c r="Z137" s="385">
        <f t="shared" si="37"/>
        <v>31.760110715712617</v>
      </c>
      <c r="AA137" s="386">
        <f t="shared" si="38"/>
        <v>33.48540443490247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5.1523753357792725E-2</v>
      </c>
      <c r="AD137" s="231">
        <f>(INDEX(Models!$BJ137:$BT137,,AH137)*(1-AF137)+INDEX(Models!$BJ137:$BT137,,AH137+1)*AF137-ERP_i)*AE137*Ramure*Pc/MaxiM</f>
        <v>2.6648186625553827E-3</v>
      </c>
      <c r="AE137" s="305">
        <f t="shared" si="40"/>
        <v>0.7</v>
      </c>
      <c r="AF137" s="177">
        <f t="shared" si="41"/>
        <v>8.6195930210055671E-2</v>
      </c>
      <c r="AG137" s="919">
        <f t="shared" si="49"/>
        <v>2</v>
      </c>
      <c r="AH137" s="176">
        <f t="shared" si="42"/>
        <v>8</v>
      </c>
      <c r="AI137" s="225">
        <f t="shared" si="43"/>
        <v>2.0861959302100557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1090">
        <f>IF(t&gt;Tmaj,'2025'!Wh/'2025'!Env_an*'2026'!Env_an,0.001*[7]mois!$B$41)</f>
        <v>18.392583325149097</v>
      </c>
      <c r="C138" s="953"/>
      <c r="D138" s="393">
        <f t="shared" si="25"/>
        <v>19.600034959477913</v>
      </c>
      <c r="E138" s="385">
        <f t="shared" si="47"/>
        <v>19.771565247829763</v>
      </c>
      <c r="F138" s="385">
        <f t="shared" si="26"/>
        <v>19.771856189150544</v>
      </c>
      <c r="G138" s="110">
        <f t="shared" si="48"/>
        <v>0.33313601693923073</v>
      </c>
      <c r="H138" s="412" t="b">
        <f>Wh_hp&gt;='2025'!Maxi_hp</f>
        <v>0</v>
      </c>
      <c r="I138" s="390">
        <f>IF(H138,Wh_hp,'2025'!Maxi_hp)</f>
        <v>56.02715044671482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6.1604565340070194E-2</v>
      </c>
      <c r="M138" s="957"/>
      <c r="N138" s="957"/>
      <c r="O138" s="48">
        <f>IF(t&lt;Tnet,'2025'!Resal+('2025'!Salim-'2025'!Resal)*(1-EXP(('2025'!Tnet-t)/('2025'!Tau_j))),Resal+(Salim-Resal)*(1-EXP((Tnet-t)/(Tau_j))))*Salcycl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3.0993328680633864E-4</v>
      </c>
      <c r="Q138" s="305">
        <f t="shared" si="28"/>
        <v>0.7</v>
      </c>
      <c r="R138" s="177">
        <f t="shared" si="29"/>
        <v>0.56419848475236689</v>
      </c>
      <c r="S138" s="919">
        <f t="shared" si="30"/>
        <v>-2</v>
      </c>
      <c r="T138" s="176">
        <f t="shared" si="31"/>
        <v>4</v>
      </c>
      <c r="U138" s="251">
        <f t="shared" si="32"/>
        <v>-1.4358015152476331</v>
      </c>
      <c r="V138" s="383">
        <f t="shared" si="33"/>
        <v>55.194132372147365</v>
      </c>
      <c r="W138" s="402">
        <f t="shared" si="34"/>
        <v>18.392583325149097</v>
      </c>
      <c r="X138" s="157">
        <f t="shared" si="35"/>
        <v>46146</v>
      </c>
      <c r="Y138" s="385">
        <f t="shared" si="36"/>
        <v>17.593222592108372</v>
      </c>
      <c r="Z138" s="385">
        <f t="shared" si="37"/>
        <v>18.748197127028941</v>
      </c>
      <c r="AA138" s="386">
        <f t="shared" si="38"/>
        <v>19.769249989142871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5.1648538142553928E-2</v>
      </c>
      <c r="AD138" s="231">
        <f>(INDEX(Models!$BJ138:$BT138,,AH138)*(1-AF138)+INDEX(Models!$BJ138:$BT138,,AH138+1)*AF138-ERP_i)*AE138*Ramure*Pc/MaxiM</f>
        <v>2.7763266224271085E-3</v>
      </c>
      <c r="AE138" s="305">
        <f t="shared" si="40"/>
        <v>0.7</v>
      </c>
      <c r="AF138" s="177">
        <f t="shared" si="41"/>
        <v>8.9186051126346033E-2</v>
      </c>
      <c r="AG138" s="919">
        <f t="shared" si="49"/>
        <v>2</v>
      </c>
      <c r="AH138" s="176">
        <f t="shared" si="42"/>
        <v>8</v>
      </c>
      <c r="AI138" s="225">
        <f t="shared" si="43"/>
        <v>2.089186051126346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1090">
        <f>IF(t&gt;Tmaj,'2025'!Wh/'2025'!Env_an*'2026'!Env_an,0.001*[7]mois!$B$42)</f>
        <v>38.62674648283673</v>
      </c>
      <c r="C139" s="953"/>
      <c r="D139" s="393">
        <f t="shared" si="25"/>
        <v>41.16344890386921</v>
      </c>
      <c r="E139" s="385">
        <f t="shared" si="47"/>
        <v>41.529852708141213</v>
      </c>
      <c r="F139" s="385">
        <f t="shared" si="26"/>
        <v>41.537761950075996</v>
      </c>
      <c r="G139" s="110">
        <f t="shared" si="48"/>
        <v>0.69928041096699878</v>
      </c>
      <c r="H139" s="412" t="b">
        <f>Wh_hp&gt;='2025'!Maxi_hp</f>
        <v>0</v>
      </c>
      <c r="I139" s="390">
        <f>IF(H139,Wh_hp,'2025'!Maxi_hp)</f>
        <v>58.496922298592779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6.1625118608417684E-2</v>
      </c>
      <c r="M139" s="957"/>
      <c r="N139" s="957"/>
      <c r="O139" s="48">
        <f>IF(t&lt;Tnet,'2025'!Resal+('2025'!Salim-'2025'!Resal)*(1-EXP(('2025'!Tnet-t)/('2025'!Tau_j))),Resal+(Salim-Resal)*(1-EXP((Tnet-t)/(Tau_j))))*Salcycl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3.3373577793756922E-4</v>
      </c>
      <c r="Q139" s="305">
        <f t="shared" si="28"/>
        <v>0.7</v>
      </c>
      <c r="R139" s="177">
        <f t="shared" si="29"/>
        <v>0.5672684428189434</v>
      </c>
      <c r="S139" s="919">
        <f t="shared" si="30"/>
        <v>-2</v>
      </c>
      <c r="T139" s="176">
        <f t="shared" si="31"/>
        <v>4</v>
      </c>
      <c r="U139" s="251">
        <f t="shared" si="32"/>
        <v>-1.4327315571810566</v>
      </c>
      <c r="V139" s="383">
        <f t="shared" si="33"/>
        <v>55.229931581671437</v>
      </c>
      <c r="W139" s="402">
        <f t="shared" si="34"/>
        <v>38.62674648283673</v>
      </c>
      <c r="X139" s="157">
        <f t="shared" si="35"/>
        <v>46147</v>
      </c>
      <c r="Y139" s="385">
        <f t="shared" si="36"/>
        <v>36.898949141276951</v>
      </c>
      <c r="Z139" s="385">
        <f t="shared" si="37"/>
        <v>39.322183354436021</v>
      </c>
      <c r="AA139" s="386">
        <f t="shared" si="38"/>
        <v>41.469209255364063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5.1773977355266884E-2</v>
      </c>
      <c r="AD139" s="231">
        <f>(INDEX(Models!$BJ139:$BT139,,AH139)*(1-AF139)+INDEX(Models!$BJ139:$BT139,,AH139+1)*AF139-ERP_i)*AE139*Ramure*Pc/MaxiM</f>
        <v>2.8926270163508088E-3</v>
      </c>
      <c r="AE139" s="305">
        <f t="shared" si="40"/>
        <v>0.7</v>
      </c>
      <c r="AF139" s="177">
        <f t="shared" si="41"/>
        <v>9.2256009192922317E-2</v>
      </c>
      <c r="AG139" s="919">
        <f t="shared" si="49"/>
        <v>2</v>
      </c>
      <c r="AH139" s="176">
        <f t="shared" si="42"/>
        <v>8</v>
      </c>
      <c r="AI139" s="225">
        <f t="shared" si="43"/>
        <v>2.0922560091929223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1090">
        <f>IF(t&gt;Tmaj,'2025'!Wh/'2025'!Env_an*'2026'!Env_an,0.001*[7]mois!$B$43)</f>
        <v>36.073192905542463</v>
      </c>
      <c r="C140" s="953"/>
      <c r="D140" s="393">
        <f t="shared" si="25"/>
        <v>38.443039912636351</v>
      </c>
      <c r="E140" s="385">
        <f t="shared" si="47"/>
        <v>38.790988693584026</v>
      </c>
      <c r="F140" s="385">
        <f t="shared" si="26"/>
        <v>38.798000399869125</v>
      </c>
      <c r="G140" s="110">
        <f t="shared" si="48"/>
        <v>0.65265594631507118</v>
      </c>
      <c r="H140" s="412" t="b">
        <f>Wh_hp&gt;='2025'!Maxi_hp</f>
        <v>0</v>
      </c>
      <c r="I140" s="390">
        <f>IF(H140,Wh_hp,'2025'!Maxi_hp)</f>
        <v>61.787025291973102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6.1645671426595827E-2</v>
      </c>
      <c r="M140" s="957"/>
      <c r="N140" s="957"/>
      <c r="O140" s="48">
        <f>IF(t&lt;Tnet,'2025'!Resal+('2025'!Salim-'2025'!Resal)*(1-EXP(('2025'!Tnet-t)/('2025'!Tau_j))),Resal+(Salim-Resal)*(1-EXP((Tnet-t)/(Tau_j))))*Salcycl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3.5860653628024143E-4</v>
      </c>
      <c r="Q140" s="305">
        <f t="shared" si="28"/>
        <v>0.7</v>
      </c>
      <c r="R140" s="177">
        <f t="shared" si="29"/>
        <v>0.57041878218028463</v>
      </c>
      <c r="S140" s="919">
        <f t="shared" si="30"/>
        <v>-2</v>
      </c>
      <c r="T140" s="176">
        <f t="shared" si="31"/>
        <v>4</v>
      </c>
      <c r="U140" s="251">
        <f t="shared" si="32"/>
        <v>-1.4295812178197154</v>
      </c>
      <c r="V140" s="383">
        <f t="shared" si="33"/>
        <v>55.261543446233389</v>
      </c>
      <c r="W140" s="402">
        <f t="shared" si="34"/>
        <v>36.073192905542463</v>
      </c>
      <c r="X140" s="157">
        <f t="shared" si="35"/>
        <v>46148</v>
      </c>
      <c r="Y140" s="385">
        <f t="shared" si="36"/>
        <v>34.46435842415773</v>
      </c>
      <c r="Z140" s="385">
        <f t="shared" si="37"/>
        <v>36.728512220489748</v>
      </c>
      <c r="AA140" s="386">
        <f t="shared" si="38"/>
        <v>38.739072347159862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5.190005864499013E-2</v>
      </c>
      <c r="AD140" s="231">
        <f>(INDEX(Models!$BJ140:$BT140,,AH140)*(1-AF140)+INDEX(Models!$BJ140:$BT140,,AH140+1)*AF140-ERP_i)*AE140*Ramure*Pc/MaxiM</f>
        <v>3.0138148993378282E-3</v>
      </c>
      <c r="AE140" s="305">
        <f t="shared" si="40"/>
        <v>0.7</v>
      </c>
      <c r="AF140" s="177">
        <f t="shared" si="41"/>
        <v>9.5406348554263776E-2</v>
      </c>
      <c r="AG140" s="919">
        <f t="shared" si="49"/>
        <v>2</v>
      </c>
      <c r="AH140" s="176">
        <f t="shared" si="42"/>
        <v>8</v>
      </c>
      <c r="AI140" s="225">
        <f t="shared" si="43"/>
        <v>2.0954063485542638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1090">
        <f>IF(t&gt;Tmaj,'2025'!Wh/'2025'!Env_an*'2026'!Env_an,0.001*[7]mois!$B$44)</f>
        <v>46.677684264164604</v>
      </c>
      <c r="C141" s="953"/>
      <c r="D141" s="393">
        <f t="shared" si="25"/>
        <v>49.745288348170519</v>
      </c>
      <c r="E141" s="385">
        <f t="shared" si="47"/>
        <v>50.202995609534959</v>
      </c>
      <c r="F141" s="385">
        <f t="shared" si="26"/>
        <v>50.218011420410647</v>
      </c>
      <c r="G141" s="110">
        <f t="shared" si="48"/>
        <v>0.84417266208108599</v>
      </c>
      <c r="H141" s="412" t="b">
        <f>Wh_hp&gt;='2025'!Maxi_hp</f>
        <v>0</v>
      </c>
      <c r="I141" s="390">
        <f>IF(H141,Wh_hp,'2025'!Maxi_hp)</f>
        <v>57.268675300754929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6.1666223794614505E-2</v>
      </c>
      <c r="M141" s="957"/>
      <c r="N141" s="957"/>
      <c r="O141" s="48">
        <f>IF(t&lt;Tnet,'2025'!Resal+('2025'!Salim-'2025'!Resal)*(1-EXP(('2025'!Tnet-t)/('2025'!Tau_j))),Resal+(Salim-Resal)*(1-EXP((Tnet-t)/(Tau_j))))*Salcycl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3.8458551940452802E-4</v>
      </c>
      <c r="Q141" s="305">
        <f t="shared" si="28"/>
        <v>0.7</v>
      </c>
      <c r="R141" s="177">
        <f t="shared" si="29"/>
        <v>0.57364993658543706</v>
      </c>
      <c r="S141" s="919">
        <f t="shared" si="30"/>
        <v>-2</v>
      </c>
      <c r="T141" s="176">
        <f t="shared" si="31"/>
        <v>4</v>
      </c>
      <c r="U141" s="251">
        <f t="shared" si="32"/>
        <v>-1.4263500634145629</v>
      </c>
      <c r="V141" s="383">
        <f t="shared" si="33"/>
        <v>55.289268195322357</v>
      </c>
      <c r="W141" s="402">
        <f t="shared" si="34"/>
        <v>46.677684264164604</v>
      </c>
      <c r="X141" s="157">
        <f t="shared" si="35"/>
        <v>46149</v>
      </c>
      <c r="Y141" s="385">
        <f t="shared" si="36"/>
        <v>44.560636827741327</v>
      </c>
      <c r="Z141" s="385">
        <f t="shared" si="37"/>
        <v>47.489110972797114</v>
      </c>
      <c r="AA141" s="386">
        <f t="shared" si="38"/>
        <v>50.095413417282273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5.2026767855478363E-2</v>
      </c>
      <c r="AD141" s="231">
        <f>(INDEX(Models!$BJ141:$BT141,,AH141)*(1-AF141)+INDEX(Models!$BJ141:$BT141,,AH141+1)*AF141-ERP_i)*AE141*Ramure*Pc/MaxiM</f>
        <v>3.1399847202006237E-3</v>
      </c>
      <c r="AE141" s="305">
        <f t="shared" si="40"/>
        <v>0.7</v>
      </c>
      <c r="AF141" s="177">
        <f t="shared" si="41"/>
        <v>9.8637502959416423E-2</v>
      </c>
      <c r="AG141" s="919">
        <f t="shared" si="49"/>
        <v>2</v>
      </c>
      <c r="AH141" s="176">
        <f t="shared" si="42"/>
        <v>8</v>
      </c>
      <c r="AI141" s="225">
        <f t="shared" si="43"/>
        <v>2.0986375029594164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1090">
        <f>IF(t&gt;Tmaj,'2025'!Wh/'2025'!Env_an*'2026'!Env_an,0.001*[7]mois!$B$45)</f>
        <v>48.695618885224995</v>
      </c>
      <c r="C142" s="953"/>
      <c r="D142" s="393">
        <f t="shared" si="25"/>
        <v>51.896976004149074</v>
      </c>
      <c r="E142" s="385">
        <f t="shared" si="47"/>
        <v>52.382274085617922</v>
      </c>
      <c r="F142" s="385">
        <f t="shared" si="26"/>
        <v>52.400162051380917</v>
      </c>
      <c r="G142" s="110">
        <f t="shared" si="48"/>
        <v>0.8802964069844682</v>
      </c>
      <c r="H142" s="412" t="b">
        <f>Wh_hp&gt;='2025'!Maxi_hp</f>
        <v>0</v>
      </c>
      <c r="I142" s="390">
        <f>IF(H142,Wh_hp,'2025'!Maxi_hp)</f>
        <v>59.229596839292704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6.1686775712483488E-2</v>
      </c>
      <c r="M142" s="957"/>
      <c r="N142" s="957"/>
      <c r="O142" s="48">
        <f>IF(t&lt;Tnet,'2025'!Resal+('2025'!Salim-'2025'!Resal)*(1-EXP(('2025'!Tnet-t)/('2025'!Tau_j))),Resal+(Salim-Resal)*(1-EXP((Tnet-t)/(Tau_j))))*Salcycl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4.117466771915653E-4</v>
      </c>
      <c r="Q142" s="305">
        <f t="shared" si="28"/>
        <v>0.7</v>
      </c>
      <c r="R142" s="177">
        <f t="shared" si="29"/>
        <v>0.57696222238356998</v>
      </c>
      <c r="S142" s="919">
        <f t="shared" si="30"/>
        <v>-2</v>
      </c>
      <c r="T142" s="176">
        <f t="shared" si="31"/>
        <v>4</v>
      </c>
      <c r="U142" s="251">
        <f t="shared" si="32"/>
        <v>-1.42303777761643</v>
      </c>
      <c r="V142" s="383">
        <f t="shared" si="33"/>
        <v>55.313403992758083</v>
      </c>
      <c r="W142" s="402">
        <f t="shared" si="34"/>
        <v>48.695618885224995</v>
      </c>
      <c r="X142" s="157">
        <f t="shared" si="35"/>
        <v>46150</v>
      </c>
      <c r="Y142" s="385">
        <f t="shared" si="36"/>
        <v>46.477062382859707</v>
      </c>
      <c r="Z142" s="385">
        <f t="shared" si="37"/>
        <v>49.532566716355127</v>
      </c>
      <c r="AA142" s="386">
        <f t="shared" si="38"/>
        <v>52.258037030154874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5.2154088991652033E-2</v>
      </c>
      <c r="AD142" s="231">
        <f>(INDEX(Models!$BJ142:$BT142,,AH142)*(1-AF142)+INDEX(Models!$BJ142:$BT142,,AH142+1)*AF142-ERP_i)*AE142*Ramure*Pc/MaxiM</f>
        <v>3.2714455076091041E-3</v>
      </c>
      <c r="AE142" s="305">
        <f t="shared" si="40"/>
        <v>0.7</v>
      </c>
      <c r="AF142" s="177">
        <f t="shared" si="41"/>
        <v>0.10194978875754934</v>
      </c>
      <c r="AG142" s="919">
        <f t="shared" si="49"/>
        <v>2</v>
      </c>
      <c r="AH142" s="176">
        <f t="shared" si="42"/>
        <v>8</v>
      </c>
      <c r="AI142" s="225">
        <f t="shared" si="43"/>
        <v>2.1019497887575493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1090">
        <f>IF(t&gt;Tmaj,'2025'!Wh/'2025'!Env_an*'2026'!Env_an,0.001*[7]mois!$B$46)</f>
        <v>52.972470852739406</v>
      </c>
      <c r="C143" s="953"/>
      <c r="D143" s="393">
        <f t="shared" ref="D143:D206" si="50">Wh/(1-Ppv)</f>
        <v>56.456234165769239</v>
      </c>
      <c r="E143" s="385">
        <f t="shared" si="47"/>
        <v>56.992654055904843</v>
      </c>
      <c r="F143" s="385">
        <f t="shared" ref="F143:F206" si="51">Wh_sa/(1-Pvg*MEDIAN((-Sdif+Wh/Env_an)/Csdif,0,1))</f>
        <v>57.016204492823867</v>
      </c>
      <c r="G143" s="110">
        <f t="shared" si="48"/>
        <v>0.95729200272599346</v>
      </c>
      <c r="H143" s="412" t="b">
        <f>Wh_hp&gt;='2025'!Maxi_hp</f>
        <v>0</v>
      </c>
      <c r="I143" s="390">
        <f>IF(H143,Wh_hp,'2025'!Maxi_hp)</f>
        <v>57.017522723417969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6.1707327180212879E-2</v>
      </c>
      <c r="M143" s="957"/>
      <c r="N143" s="957"/>
      <c r="O143" s="48">
        <f>IF(t&lt;Tnet,'2025'!Resal+('2025'!Salim-'2025'!Resal)*(1-EXP(('2025'!Tnet-t)/('2025'!Tau_j))),Resal+(Salim-Resal)*(1-EXP((Tnet-t)/(Tau_j))))*Salcycl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4.3986902984332639E-4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0.58035583160091542</v>
      </c>
      <c r="S143" s="919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-1.4196441683990846</v>
      </c>
      <c r="V143" s="383">
        <f t="shared" ref="V143:V206" si="58">MaxiM*(1-Ppv)*(1-Pvg)*(1-Psa)</f>
        <v>55.334265141387391</v>
      </c>
      <c r="W143" s="402">
        <f t="shared" ref="W143:W206" si="59">Wh*(A143&gt;Tmaj)</f>
        <v>52.972470852739406</v>
      </c>
      <c r="X143" s="157">
        <f t="shared" ref="X143:X206" si="60">t</f>
        <v>46151</v>
      </c>
      <c r="Y143" s="385">
        <f t="shared" ref="Y143:Y206" si="61">Wh_pvt_s*(1-Ppv)</f>
        <v>50.538721331389667</v>
      </c>
      <c r="Z143" s="385">
        <f t="shared" ref="Z143:Z206" si="62">Wh_sa_s*(1-Psa_s)</f>
        <v>53.862427785468135</v>
      </c>
      <c r="AA143" s="386">
        <f t="shared" ref="AA143:AA206" si="63">Wh_hp*(1-Pvg_s*MEDIAN((-Sdif+Wh/Env_an)/Csdif,0,1))</f>
        <v>56.833813458974099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5.228200419193902E-2</v>
      </c>
      <c r="AD143" s="231">
        <f>(INDEX(Models!$BJ143:$BT143,,AH143)*(1-AF143)+INDEX(Models!$BJ143:$BT143,,AH143+1)*AF143-ERP_i)*AE143*Ramure*Pc/MaxiM</f>
        <v>3.4066530225100185E-3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0.10534339797489434</v>
      </c>
      <c r="AG143" s="91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2.1053433979748943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1090">
        <f>IF(t&gt;Tmaj,'2025'!Wh/'2025'!Env_an*'2026'!Env_an,0.001*[7]mois!$B$47)</f>
        <v>50.487385734460801</v>
      </c>
      <c r="C144" s="953"/>
      <c r="D144" s="393">
        <f t="shared" si="50"/>
        <v>53.80889462801801</v>
      </c>
      <c r="E144" s="385">
        <f t="shared" ref="E144:E169" si="72">Wh_pvt/(1-Psa)</f>
        <v>54.328259332435408</v>
      </c>
      <c r="F144" s="385">
        <f t="shared" si="51"/>
        <v>54.3505486530863</v>
      </c>
      <c r="G144" s="110">
        <f t="shared" ref="G144:G169" si="73">+Wh_hp/MaxiM</f>
        <v>0.91205870270795641</v>
      </c>
      <c r="H144" s="412" t="b">
        <f>Wh_hp&gt;='2025'!Maxi_hp</f>
        <v>0</v>
      </c>
      <c r="I144" s="390">
        <f>IF(H144,Wh_hp,'2025'!Maxi_hp)</f>
        <v>54.353291069772212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6.1727878197812225E-2</v>
      </c>
      <c r="M144" s="957"/>
      <c r="N144" s="957"/>
      <c r="O144" s="48">
        <f>IF(t&lt;Tnet,'2025'!Resal+('2025'!Salim-'2025'!Resal)*(1-EXP(('2025'!Tnet-t)/('2025'!Tau_j))),Resal+(Salim-Resal)*(1-EXP((Tnet-t)/(Tau_j))))*Salcycl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4.6898584928981447E-4</v>
      </c>
      <c r="Q144" s="305">
        <f t="shared" si="53"/>
        <v>0.7</v>
      </c>
      <c r="R144" s="177">
        <f t="shared" si="54"/>
        <v>0.58383082514763363</v>
      </c>
      <c r="S144" s="919">
        <f t="shared" si="55"/>
        <v>-2</v>
      </c>
      <c r="T144" s="176">
        <f t="shared" si="56"/>
        <v>4</v>
      </c>
      <c r="U144" s="251">
        <f t="shared" si="57"/>
        <v>-1.4161691748523664</v>
      </c>
      <c r="V144" s="383">
        <f t="shared" si="58"/>
        <v>55.352151699819046</v>
      </c>
      <c r="W144" s="402">
        <f t="shared" si="59"/>
        <v>50.487385734460801</v>
      </c>
      <c r="X144" s="157">
        <f t="shared" si="60"/>
        <v>46152</v>
      </c>
      <c r="Y144" s="385">
        <f t="shared" si="61"/>
        <v>48.173074808637743</v>
      </c>
      <c r="Z144" s="385">
        <f t="shared" si="62"/>
        <v>51.342327763196487</v>
      </c>
      <c r="AA144" s="386">
        <f t="shared" si="63"/>
        <v>54.182034965811837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5.2410493707133098E-2</v>
      </c>
      <c r="AD144" s="231">
        <f>(INDEX(Models!$BJ144:$BT144,,AH144)*(1-AF144)+INDEX(Models!$BJ144:$BT144,,AH144+1)*AF144-ERP_i)*AE144*Ramure*Pc/MaxiM</f>
        <v>3.545668169129032E-3</v>
      </c>
      <c r="AE144" s="305">
        <f t="shared" si="65"/>
        <v>0.7</v>
      </c>
      <c r="AF144" s="177">
        <f t="shared" si="66"/>
        <v>0.10881839152161277</v>
      </c>
      <c r="AG144" s="919">
        <f t="shared" ref="AG144:AG207" si="74">INDEX(Echel_vg,AH144)</f>
        <v>2</v>
      </c>
      <c r="AH144" s="176">
        <f t="shared" si="67"/>
        <v>8</v>
      </c>
      <c r="AI144" s="225">
        <f t="shared" si="68"/>
        <v>2.1088183915216128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1090">
        <f>IF(t&gt;Tmaj,'2025'!Wh/'2025'!Env_an*'2026'!Env_an,0.001*[7]mois!$B$48)</f>
        <v>54.159960494136399</v>
      </c>
      <c r="C145" s="953"/>
      <c r="D145" s="393">
        <f t="shared" si="50"/>
        <v>57.724348303369922</v>
      </c>
      <c r="E145" s="385">
        <f t="shared" si="72"/>
        <v>58.290202772881003</v>
      </c>
      <c r="F145" s="385">
        <f t="shared" si="51"/>
        <v>58.318404431898713</v>
      </c>
      <c r="G145" s="110">
        <f t="shared" si="73"/>
        <v>0.97817765672193036</v>
      </c>
      <c r="H145" s="412" t="b">
        <f>Wh_hp&gt;='2025'!Maxi_hp</f>
        <v>0</v>
      </c>
      <c r="I145" s="390">
        <f>IF(H145,Wh_hp,'2025'!Maxi_hp)</f>
        <v>58.319176830397367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6.174842876529163E-2</v>
      </c>
      <c r="M145" s="957"/>
      <c r="N145" s="957"/>
      <c r="O145" s="48">
        <f>IF(t&lt;Tnet,'2025'!Resal+('2025'!Salim-'2025'!Resal)*(1-EXP(('2025'!Tnet-t)/('2025'!Tau_j))),Resal+(Salim-Resal)*(1-EXP((Tnet-t)/(Tau_j))))*Salcycl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4.9913019281002204E-4</v>
      </c>
      <c r="Q145" s="305">
        <f t="shared" si="53"/>
        <v>0.7</v>
      </c>
      <c r="R145" s="177">
        <f t="shared" si="54"/>
        <v>0.58738712620599798</v>
      </c>
      <c r="S145" s="919">
        <f t="shared" si="55"/>
        <v>-2</v>
      </c>
      <c r="T145" s="176">
        <f t="shared" si="56"/>
        <v>4</v>
      </c>
      <c r="U145" s="251">
        <f t="shared" si="57"/>
        <v>-1.412612873794002</v>
      </c>
      <c r="V145" s="383">
        <f t="shared" si="58"/>
        <v>55.367363544320057</v>
      </c>
      <c r="W145" s="402">
        <f t="shared" si="59"/>
        <v>54.159960494136399</v>
      </c>
      <c r="X145" s="157">
        <f t="shared" si="60"/>
        <v>46153</v>
      </c>
      <c r="Y145" s="385">
        <f t="shared" si="61"/>
        <v>51.657244853528724</v>
      </c>
      <c r="Z145" s="385">
        <f t="shared" si="62"/>
        <v>55.056923363900665</v>
      </c>
      <c r="AA145" s="386">
        <f t="shared" si="63"/>
        <v>58.109995561037955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5.253953588639295E-2</v>
      </c>
      <c r="AD145" s="231">
        <f>(INDEX(Models!$BJ145:$BT145,,AH145)*(1-AF145)+INDEX(Models!$BJ145:$BT145,,AH145+1)*AF145-ERP_i)*AE145*Ramure*Pc/MaxiM</f>
        <v>3.6885475365381459E-3</v>
      </c>
      <c r="AE145" s="305">
        <f t="shared" si="65"/>
        <v>0.7</v>
      </c>
      <c r="AF145" s="177">
        <f t="shared" si="66"/>
        <v>0.1123746925799769</v>
      </c>
      <c r="AG145" s="919">
        <f t="shared" si="74"/>
        <v>2</v>
      </c>
      <c r="AH145" s="176">
        <f t="shared" si="67"/>
        <v>8</v>
      </c>
      <c r="AI145" s="225">
        <f t="shared" si="68"/>
        <v>2.1123746925799769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1090">
        <f>IF(t&gt;Tmaj,'2025'!Wh/'2025'!Env_an*'2026'!Env_an,0.001*[7]mois!$B$49)</f>
        <v>41.693683204348176</v>
      </c>
      <c r="C146" s="953"/>
      <c r="D146" s="393">
        <f t="shared" si="50"/>
        <v>44.438610817509719</v>
      </c>
      <c r="E146" s="385">
        <f t="shared" si="72"/>
        <v>44.880932614779738</v>
      </c>
      <c r="F146" s="385">
        <f t="shared" si="51"/>
        <v>44.896336470624142</v>
      </c>
      <c r="G146" s="110">
        <f t="shared" si="73"/>
        <v>0.75272161637002277</v>
      </c>
      <c r="H146" s="412" t="b">
        <f>Wh_hp&gt;='2025'!Maxi_hp</f>
        <v>0</v>
      </c>
      <c r="I146" s="390">
        <f>IF(H146,Wh_hp,'2025'!Maxi_hp)</f>
        <v>54.342875304504368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6.1768978882660863E-2</v>
      </c>
      <c r="M146" s="957"/>
      <c r="N146" s="957"/>
      <c r="O146" s="48">
        <f>IF(t&lt;Tnet,'2025'!Resal+('2025'!Salim-'2025'!Resal)*(1-EXP(('2025'!Tnet-t)/('2025'!Tau_j))),Resal+(Salim-Resal)*(1-EXP((Tnet-t)/(Tau_j))))*Salcycl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5.3033476700087745E-4</v>
      </c>
      <c r="Q146" s="305">
        <f t="shared" si="53"/>
        <v>0.7</v>
      </c>
      <c r="R146" s="177">
        <f t="shared" si="54"/>
        <v>0.59102451385382659</v>
      </c>
      <c r="S146" s="919">
        <f t="shared" si="55"/>
        <v>-2</v>
      </c>
      <c r="T146" s="176">
        <f t="shared" si="56"/>
        <v>4</v>
      </c>
      <c r="U146" s="251">
        <f t="shared" si="57"/>
        <v>-1.4089754861461734</v>
      </c>
      <c r="V146" s="383">
        <f t="shared" si="58"/>
        <v>55.380200381758783</v>
      </c>
      <c r="W146" s="402">
        <f t="shared" si="59"/>
        <v>41.693683204348176</v>
      </c>
      <c r="X146" s="157">
        <f t="shared" si="60"/>
        <v>46154</v>
      </c>
      <c r="Y146" s="385">
        <f t="shared" si="61"/>
        <v>39.80553402565404</v>
      </c>
      <c r="Z146" s="385">
        <f t="shared" si="62"/>
        <v>42.426154251699799</v>
      </c>
      <c r="AA146" s="386">
        <f t="shared" si="63"/>
        <v>44.784936892538425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5.266910717097871E-2</v>
      </c>
      <c r="AD146" s="231">
        <f>(INDEX(Models!$BJ146:$BT146,,AH146)*(1-AF146)+INDEX(Models!$BJ146:$BT146,,AH146+1)*AF146-ERP_i)*AE146*Ramure*Pc/MaxiM</f>
        <v>3.8353429092597663E-3</v>
      </c>
      <c r="AE146" s="305">
        <f t="shared" si="65"/>
        <v>0.7</v>
      </c>
      <c r="AF146" s="177">
        <f t="shared" si="66"/>
        <v>0.11601208022780574</v>
      </c>
      <c r="AG146" s="919">
        <f t="shared" si="74"/>
        <v>2</v>
      </c>
      <c r="AH146" s="176">
        <f t="shared" si="67"/>
        <v>8</v>
      </c>
      <c r="AI146" s="225">
        <f t="shared" si="68"/>
        <v>2.1160120802278057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1090">
        <f>IF(t&gt;Tmaj,'2025'!Wh/'2025'!Env_an*'2026'!Env_an,0.001*[7]mois!$B$50)</f>
        <v>38.178190204995019</v>
      </c>
      <c r="C147" s="953"/>
      <c r="D147" s="393">
        <f t="shared" si="50"/>
        <v>40.692564586268091</v>
      </c>
      <c r="E147" s="385">
        <f t="shared" si="72"/>
        <v>41.103745158900068</v>
      </c>
      <c r="F147" s="385">
        <f t="shared" si="51"/>
        <v>41.116609025382829</v>
      </c>
      <c r="G147" s="110">
        <f t="shared" si="73"/>
        <v>0.68907724824633709</v>
      </c>
      <c r="H147" s="412" t="b">
        <f>Wh_hp&gt;='2025'!Maxi_hp</f>
        <v>0</v>
      </c>
      <c r="I147" s="390">
        <f>IF(H147,Wh_hp,'2025'!Maxi_hp)</f>
        <v>61.987907498178245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6.1789528549929806E-2</v>
      </c>
      <c r="M147" s="957"/>
      <c r="N147" s="957"/>
      <c r="O147" s="48">
        <f>IF(t&lt;Tnet,'2025'!Resal+('2025'!Salim-'2025'!Resal)*(1-EXP(('2025'!Tnet-t)/('2025'!Tau_j))),Resal+(Salim-Resal)*(1-EXP((Tnet-t)/(Tau_j))))*Salcycl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5.6263178101661766E-4</v>
      </c>
      <c r="Q147" s="305">
        <f t="shared" si="53"/>
        <v>0.7</v>
      </c>
      <c r="R147" s="177">
        <f t="shared" si="54"/>
        <v>0.59474261697927866</v>
      </c>
      <c r="S147" s="919">
        <f t="shared" si="55"/>
        <v>-2</v>
      </c>
      <c r="T147" s="176">
        <f t="shared" si="56"/>
        <v>4</v>
      </c>
      <c r="U147" s="251">
        <f t="shared" si="57"/>
        <v>-1.4052573830207213</v>
      </c>
      <c r="V147" s="383">
        <f t="shared" si="58"/>
        <v>55.390961751486167</v>
      </c>
      <c r="W147" s="402">
        <f t="shared" si="59"/>
        <v>38.178190204995019</v>
      </c>
      <c r="X147" s="157">
        <f t="shared" si="60"/>
        <v>46155</v>
      </c>
      <c r="Y147" s="385">
        <f t="shared" si="61"/>
        <v>36.458258931833441</v>
      </c>
      <c r="Z147" s="385">
        <f t="shared" si="62"/>
        <v>38.859360496674739</v>
      </c>
      <c r="AA147" s="386">
        <f t="shared" si="63"/>
        <v>41.025471855773802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5.2799182096286174E-2</v>
      </c>
      <c r="AD147" s="231">
        <f>(INDEX(Models!$BJ147:$BT147,,AH147)*(1-AF147)+INDEX(Models!$BJ147:$BT147,,AH147+1)*AF147-ERP_i)*AE147*Ramure*Pc/MaxiM</f>
        <v>3.9861007670333693E-3</v>
      </c>
      <c r="AE147" s="305">
        <f t="shared" si="65"/>
        <v>0.7</v>
      </c>
      <c r="AF147" s="177">
        <f t="shared" si="66"/>
        <v>0.11973018335325802</v>
      </c>
      <c r="AG147" s="919">
        <f t="shared" si="74"/>
        <v>2</v>
      </c>
      <c r="AH147" s="176">
        <f t="shared" si="67"/>
        <v>8</v>
      </c>
      <c r="AI147" s="225">
        <f t="shared" si="68"/>
        <v>2.119730183353258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1090">
        <f>IF(t&gt;Tmaj,'2025'!Wh/'2025'!Env_an*'2026'!Env_an,0.001*[7]mois!$B$51)</f>
        <v>49.830506709364364</v>
      </c>
      <c r="C148" s="953"/>
      <c r="D148" s="393">
        <f t="shared" si="50"/>
        <v>53.113453394135561</v>
      </c>
      <c r="E148" s="385">
        <f t="shared" si="72"/>
        <v>53.658171463859141</v>
      </c>
      <c r="F148" s="385">
        <f t="shared" si="51"/>
        <v>53.685575255429598</v>
      </c>
      <c r="G148" s="110">
        <f t="shared" si="73"/>
        <v>0.89939145357057415</v>
      </c>
      <c r="H148" s="412" t="b">
        <f>Wh_hp&gt;='2025'!Maxi_hp</f>
        <v>0</v>
      </c>
      <c r="I148" s="390">
        <f>IF(H148,Wh_hp,'2025'!Maxi_hp)</f>
        <v>60.924968033525275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6.1810077767108229E-2</v>
      </c>
      <c r="M148" s="957"/>
      <c r="N148" s="957"/>
      <c r="O148" s="48">
        <f>IF(t&lt;Tnet,'2025'!Resal+('2025'!Salim-'2025'!Resal)*(1-EXP(('2025'!Tnet-t)/('2025'!Tau_j))),Resal+(Salim-Resal)*(1-EXP((Tnet-t)/(Tau_j))))*Salcycl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5.9605278904556046E-4</v>
      </c>
      <c r="Q148" s="305">
        <f t="shared" si="53"/>
        <v>0.7</v>
      </c>
      <c r="R148" s="177">
        <f t="shared" si="54"/>
        <v>0.59854090854488118</v>
      </c>
      <c r="S148" s="919">
        <f t="shared" si="55"/>
        <v>-2</v>
      </c>
      <c r="T148" s="176">
        <f t="shared" si="56"/>
        <v>4</v>
      </c>
      <c r="U148" s="251">
        <f t="shared" si="57"/>
        <v>-1.4014590914551188</v>
      </c>
      <c r="V148" s="383">
        <f t="shared" si="58"/>
        <v>55.399947034315325</v>
      </c>
      <c r="W148" s="402">
        <f t="shared" si="59"/>
        <v>49.830506709364364</v>
      </c>
      <c r="X148" s="157">
        <f t="shared" si="60"/>
        <v>46156</v>
      </c>
      <c r="Y148" s="385">
        <f t="shared" si="61"/>
        <v>47.532182868498282</v>
      </c>
      <c r="Z148" s="385">
        <f t="shared" si="62"/>
        <v>50.663710771238833</v>
      </c>
      <c r="AA148" s="386">
        <f t="shared" si="63"/>
        <v>53.49519729715221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5.2929733302696159E-2</v>
      </c>
      <c r="AD148" s="231">
        <f>(INDEX(Models!$BJ148:$BT148,,AH148)*(1-AF148)+INDEX(Models!$BJ148:$BT148,,AH148+1)*AF148-ERP_i)*AE148*Ramure*Pc/MaxiM</f>
        <v>4.1408617749946674E-3</v>
      </c>
      <c r="AE148" s="305">
        <f t="shared" si="65"/>
        <v>0.7</v>
      </c>
      <c r="AF148" s="177">
        <f t="shared" si="66"/>
        <v>0.1235284749188601</v>
      </c>
      <c r="AG148" s="919">
        <f t="shared" si="74"/>
        <v>2</v>
      </c>
      <c r="AH148" s="176">
        <f t="shared" si="67"/>
        <v>8</v>
      </c>
      <c r="AI148" s="225">
        <f t="shared" si="68"/>
        <v>2.1235284749188601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1090">
        <f>IF(t&gt;Tmaj,'2025'!Wh/'2025'!Env_an*'2026'!Env_an,0.001*[7]mois!$B$52)</f>
        <v>50.839286522144313</v>
      </c>
      <c r="C149" s="953"/>
      <c r="D149" s="393">
        <f t="shared" si="50"/>
        <v>54.189880804074171</v>
      </c>
      <c r="E149" s="385">
        <f t="shared" si="72"/>
        <v>54.753839938497535</v>
      </c>
      <c r="F149" s="385">
        <f t="shared" si="51"/>
        <v>54.784320645406609</v>
      </c>
      <c r="G149" s="110">
        <f t="shared" si="73"/>
        <v>0.91750099968420495</v>
      </c>
      <c r="H149" s="412" t="b">
        <f>Wh_hp&gt;='2025'!Maxi_hp</f>
        <v>0</v>
      </c>
      <c r="I149" s="390">
        <f>IF(H149,Wh_hp,'2025'!Maxi_hp)</f>
        <v>61.115724809852011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6.1830626534206123E-2</v>
      </c>
      <c r="M149" s="957"/>
      <c r="N149" s="957"/>
      <c r="O149" s="48">
        <f>IF(t&lt;Tnet,'2025'!Resal+('2025'!Salim-'2025'!Resal)*(1-EXP(('2025'!Tnet-t)/('2025'!Tau_j))),Resal+(Salim-Resal)*(1-EXP((Tnet-t)/(Tau_j))))*Salcycl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6.3063951681264238E-4</v>
      </c>
      <c r="Q149" s="305">
        <f t="shared" si="53"/>
        <v>0.7</v>
      </c>
      <c r="R149" s="177">
        <f t="shared" si="54"/>
        <v>0.60241870025992084</v>
      </c>
      <c r="S149" s="919">
        <f t="shared" si="55"/>
        <v>-2</v>
      </c>
      <c r="T149" s="176">
        <f t="shared" si="56"/>
        <v>4</v>
      </c>
      <c r="U149" s="251">
        <f t="shared" si="57"/>
        <v>-1.3975812997400792</v>
      </c>
      <c r="V149" s="383">
        <f t="shared" si="58"/>
        <v>55.406488883987478</v>
      </c>
      <c r="W149" s="402">
        <f t="shared" si="59"/>
        <v>50.839286522144313</v>
      </c>
      <c r="X149" s="157">
        <f t="shared" si="60"/>
        <v>46157</v>
      </c>
      <c r="Y149" s="385">
        <f t="shared" si="61"/>
        <v>48.485186517982598</v>
      </c>
      <c r="Z149" s="385">
        <f t="shared" si="62"/>
        <v>51.680632398889955</v>
      </c>
      <c r="AA149" s="386">
        <f t="shared" si="63"/>
        <v>54.576501493907699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5.3060731555704607E-2</v>
      </c>
      <c r="AD149" s="231">
        <f>(INDEX(Models!$BJ149:$BT149,,AH149)*(1-AF149)+INDEX(Models!$BJ149:$BT149,,AH149+1)*AF149-ERP_i)*AE149*Ramure*Pc/MaxiM</f>
        <v>4.2997352284720883E-3</v>
      </c>
      <c r="AE149" s="305">
        <f t="shared" si="65"/>
        <v>0.7</v>
      </c>
      <c r="AF149" s="177">
        <f t="shared" si="66"/>
        <v>0.12740626663389998</v>
      </c>
      <c r="AG149" s="919">
        <f t="shared" si="74"/>
        <v>2</v>
      </c>
      <c r="AH149" s="176">
        <f t="shared" si="67"/>
        <v>8</v>
      </c>
      <c r="AI149" s="225">
        <f t="shared" si="68"/>
        <v>2.1274062666339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1090">
        <f>IF(t&gt;Tmaj,'2025'!Wh/'2025'!Env_an*'2026'!Env_an,0.001*[7]mois!$B$53)</f>
        <v>48.954431436907967</v>
      </c>
      <c r="C150" s="953"/>
      <c r="D150" s="393">
        <f t="shared" si="50"/>
        <v>52.181946109824345</v>
      </c>
      <c r="E150" s="385">
        <f t="shared" si="72"/>
        <v>52.73291450021653</v>
      </c>
      <c r="F150" s="385">
        <f t="shared" si="51"/>
        <v>52.76222447359028</v>
      </c>
      <c r="G150" s="110">
        <f t="shared" si="73"/>
        <v>0.88339985733850934</v>
      </c>
      <c r="H150" s="412" t="b">
        <f>Wh_hp&gt;='2025'!Maxi_hp</f>
        <v>0</v>
      </c>
      <c r="I150" s="390">
        <f>IF(H150,Wh_hp,'2025'!Maxi_hp)</f>
        <v>53.059049152756259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6.1851174851233259E-2</v>
      </c>
      <c r="M150" s="957"/>
      <c r="N150" s="957"/>
      <c r="O150" s="48">
        <f>IF(t&lt;Tnet,'2025'!Resal+('2025'!Salim-'2025'!Resal)*(1-EXP(('2025'!Tnet-t)/('2025'!Tau_j))),Resal+(Salim-Resal)*(1-EXP((Tnet-t)/(Tau_j))))*Salcycl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6.6642467089345135E-4</v>
      </c>
      <c r="Q150" s="305">
        <f t="shared" si="53"/>
        <v>0.7</v>
      </c>
      <c r="R150" s="177">
        <f t="shared" si="54"/>
        <v>0.6063751377210469</v>
      </c>
      <c r="S150" s="919">
        <f t="shared" si="55"/>
        <v>-2</v>
      </c>
      <c r="T150" s="176">
        <f t="shared" si="56"/>
        <v>4</v>
      </c>
      <c r="U150" s="251">
        <f t="shared" si="57"/>
        <v>-1.3936248622789531</v>
      </c>
      <c r="V150" s="383">
        <f t="shared" si="58"/>
        <v>55.409787850389307</v>
      </c>
      <c r="W150" s="402">
        <f t="shared" si="59"/>
        <v>48.954431436907967</v>
      </c>
      <c r="X150" s="157">
        <f t="shared" si="60"/>
        <v>46158</v>
      </c>
      <c r="Y150" s="385">
        <f t="shared" si="61"/>
        <v>46.691538472868125</v>
      </c>
      <c r="Z150" s="385">
        <f t="shared" si="62"/>
        <v>49.769862969730866</v>
      </c>
      <c r="AA150" s="386">
        <f t="shared" si="63"/>
        <v>52.565959130650057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5.3192145775741127E-2</v>
      </c>
      <c r="AD150" s="231">
        <f>(INDEX(Models!$BJ150:$BT150,,AH150)*(1-AF150)+INDEX(Models!$BJ150:$BT150,,AH150+1)*AF150-ERP_i)*AE150*Ramure*Pc/MaxiM</f>
        <v>4.4625105901289989E-3</v>
      </c>
      <c r="AE150" s="305">
        <f t="shared" si="65"/>
        <v>0.7</v>
      </c>
      <c r="AF150" s="177">
        <f t="shared" si="66"/>
        <v>0.13136270409502604</v>
      </c>
      <c r="AG150" s="919">
        <f t="shared" si="74"/>
        <v>2</v>
      </c>
      <c r="AH150" s="176">
        <f t="shared" si="67"/>
        <v>8</v>
      </c>
      <c r="AI150" s="225">
        <f t="shared" si="68"/>
        <v>2.131362704095026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1090">
        <f>IF(t&gt;Tmaj,'2025'!Wh/'2025'!Env_an*'2026'!Env_an,0.001*[7]mois!$B$54)</f>
        <v>52.418111647514159</v>
      </c>
      <c r="C151" s="953"/>
      <c r="D151" s="393">
        <f t="shared" si="50"/>
        <v>55.875206959323428</v>
      </c>
      <c r="E151" s="385">
        <f t="shared" si="72"/>
        <v>56.473645393620643</v>
      </c>
      <c r="F151" s="385">
        <f t="shared" si="51"/>
        <v>56.510316835363604</v>
      </c>
      <c r="G151" s="110">
        <f t="shared" si="73"/>
        <v>0.94595389689134857</v>
      </c>
      <c r="H151" s="412" t="b">
        <f>Wh_hp&gt;='2025'!Maxi_hp</f>
        <v>0</v>
      </c>
      <c r="I151" s="390">
        <f>IF(H151,Wh_hp,'2025'!Maxi_hp)</f>
        <v>56.512829738857199</v>
      </c>
      <c r="J151" s="85">
        <f>IF(H151,An,'2025'!An_max)</f>
        <v>2025</v>
      </c>
      <c r="K151" s="197">
        <f t="shared" si="52"/>
        <v>46159</v>
      </c>
      <c r="L151" s="147">
        <f>IF(t&lt;Tvie,1-EXP((T0-t)*PertePVj)+'2025'!Pspv,1-EXP((T0-t)*PertePVj)+Pspv)</f>
        <v>6.1871722718199518E-2</v>
      </c>
      <c r="M151" s="957"/>
      <c r="N151" s="957"/>
      <c r="O151" s="48">
        <f>IF(t&lt;Tnet,'2025'!Resal+('2025'!Salim-'2025'!Resal)*(1-EXP(('2025'!Tnet-t)/('2025'!Tau_j))),Resal+(Salim-Resal)*(1-EXP((Tnet-t)/(Tau_j))))*Salcycl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7.0317308795542818E-4</v>
      </c>
      <c r="Q151" s="305">
        <f t="shared" si="53"/>
        <v>0.7</v>
      </c>
      <c r="R151" s="177">
        <f t="shared" si="54"/>
        <v>0.61040919608102073</v>
      </c>
      <c r="S151" s="919">
        <f t="shared" si="55"/>
        <v>-2</v>
      </c>
      <c r="T151" s="176">
        <f t="shared" si="56"/>
        <v>4</v>
      </c>
      <c r="U151" s="251">
        <f t="shared" si="57"/>
        <v>-1.3895908039189793</v>
      </c>
      <c r="V151" s="383">
        <f t="shared" si="58"/>
        <v>55.409959027119719</v>
      </c>
      <c r="W151" s="402">
        <f t="shared" si="59"/>
        <v>52.418111647514159</v>
      </c>
      <c r="X151" s="157">
        <f t="shared" si="60"/>
        <v>46159</v>
      </c>
      <c r="Y151" s="385">
        <f t="shared" si="61"/>
        <v>49.972682690420655</v>
      </c>
      <c r="Z151" s="385">
        <f t="shared" si="62"/>
        <v>53.26849632463383</v>
      </c>
      <c r="AA151" s="386">
        <f t="shared" si="63"/>
        <v>56.268980223109054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5.3323943078018687E-2</v>
      </c>
      <c r="AD151" s="231">
        <f>(INDEX(Models!$BJ151:$BT151,,AH151)*(1-AF151)+INDEX(Models!$BJ151:$BT151,,AH151+1)*AF151-ERP_i)*AE151*Ramure*Pc/MaxiM</f>
        <v>4.6276176449572019E-3</v>
      </c>
      <c r="AE151" s="305">
        <f t="shared" si="65"/>
        <v>0.7</v>
      </c>
      <c r="AF151" s="177">
        <f t="shared" si="66"/>
        <v>0.13539676245499965</v>
      </c>
      <c r="AG151" s="919">
        <f t="shared" si="74"/>
        <v>2</v>
      </c>
      <c r="AH151" s="176">
        <f t="shared" si="67"/>
        <v>8</v>
      </c>
      <c r="AI151" s="225">
        <f t="shared" si="68"/>
        <v>2.1353967624549997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1090">
        <f>IF(t&gt;Tmaj,'2025'!Wh/'2025'!Env_an*'2026'!Env_an,0.001*[7]mois!$B$55)</f>
        <v>50.782658844962931</v>
      </c>
      <c r="C152" s="953"/>
      <c r="D152" s="393">
        <f t="shared" si="50"/>
        <v>54.13307792728358</v>
      </c>
      <c r="E152" s="385">
        <f t="shared" si="72"/>
        <v>54.721076113115721</v>
      </c>
      <c r="F152" s="385">
        <f t="shared" si="51"/>
        <v>54.756808624843174</v>
      </c>
      <c r="G152" s="110">
        <f t="shared" si="73"/>
        <v>0.91645595692086546</v>
      </c>
      <c r="H152" s="412" t="b">
        <f>Wh_hp&gt;='2025'!Maxi_hp</f>
        <v>0</v>
      </c>
      <c r="I152" s="390">
        <f>IF(H152,Wh_hp,'2025'!Maxi_hp)</f>
        <v>59.62470514235855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6.1892270135114669E-2</v>
      </c>
      <c r="M152" s="957"/>
      <c r="N152" s="957"/>
      <c r="O152" s="48">
        <f>IF(t&lt;Tnet,'2025'!Resal+('2025'!Salim-'2025'!Resal)*(1-EXP(('2025'!Tnet-t)/('2025'!Tau_j))),Resal+(Salim-Resal)*(1-EXP((Tnet-t)/(Tau_j))))*Salcycl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7.409080744511696E-4</v>
      </c>
      <c r="Q152" s="305">
        <f t="shared" si="53"/>
        <v>0.7</v>
      </c>
      <c r="R152" s="177">
        <f t="shared" si="54"/>
        <v>0.61451967630497784</v>
      </c>
      <c r="S152" s="919">
        <f t="shared" si="55"/>
        <v>-2</v>
      </c>
      <c r="T152" s="176">
        <f t="shared" si="56"/>
        <v>4</v>
      </c>
      <c r="U152" s="251">
        <f t="shared" si="57"/>
        <v>-1.3854803236950222</v>
      </c>
      <c r="V152" s="383">
        <f t="shared" si="58"/>
        <v>55.407103157507528</v>
      </c>
      <c r="W152" s="402">
        <f t="shared" si="59"/>
        <v>50.782658844962931</v>
      </c>
      <c r="X152" s="157">
        <f t="shared" si="60"/>
        <v>46160</v>
      </c>
      <c r="Y152" s="385">
        <f t="shared" si="61"/>
        <v>48.416518019246233</v>
      </c>
      <c r="Z152" s="385">
        <f t="shared" si="62"/>
        <v>51.61082941531631</v>
      </c>
      <c r="AA152" s="386">
        <f t="shared" si="63"/>
        <v>54.525552175516701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5.3456088822685502E-2</v>
      </c>
      <c r="AD152" s="231">
        <f>(INDEX(Models!$BJ152:$BT152,,AH152)*(1-AF152)+INDEX(Models!$BJ152:$BT152,,AH152+1)*AF152-ERP_i)*AE152*Ramure*Pc/MaxiM</f>
        <v>4.7950665176232721E-3</v>
      </c>
      <c r="AE152" s="305">
        <f t="shared" si="65"/>
        <v>0.7</v>
      </c>
      <c r="AF152" s="177">
        <f t="shared" si="66"/>
        <v>0.13950724267895698</v>
      </c>
      <c r="AG152" s="919">
        <f t="shared" si="74"/>
        <v>2</v>
      </c>
      <c r="AH152" s="176">
        <f t="shared" si="67"/>
        <v>8</v>
      </c>
      <c r="AI152" s="225">
        <f t="shared" si="68"/>
        <v>2.139507242678957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1090">
        <f>IF(t&gt;Tmaj,'2025'!Wh/'2025'!Env_an*'2026'!Env_an,0.001*[7]mois!$B$56)</f>
        <v>53.0514304720853</v>
      </c>
      <c r="C153" s="953"/>
      <c r="D153" s="393">
        <f t="shared" si="50"/>
        <v>56.552771895032969</v>
      </c>
      <c r="E153" s="385">
        <f t="shared" si="72"/>
        <v>57.175647119417654</v>
      </c>
      <c r="F153" s="385">
        <f t="shared" si="51"/>
        <v>57.217553800547158</v>
      </c>
      <c r="G153" s="110">
        <f t="shared" si="73"/>
        <v>0.95753894289107</v>
      </c>
      <c r="H153" s="412" t="b">
        <f>Wh_hp&gt;='2025'!Maxi_hp</f>
        <v>0</v>
      </c>
      <c r="I153" s="390">
        <f>IF(H153,Wh_hp,'2025'!Maxi_hp)</f>
        <v>59.775748831066402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6.1912817101988815E-2</v>
      </c>
      <c r="M153" s="957"/>
      <c r="N153" s="957"/>
      <c r="O153" s="48">
        <f>IF(t&lt;Tnet,'2025'!Resal+('2025'!Salim-'2025'!Resal)*(1-EXP(('2025'!Tnet-t)/('2025'!Tau_j))),Resal+(Salim-Resal)*(1-EXP((Tnet-t)/(Tau_j))))*Salcycl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7.7965172053814935E-4</v>
      </c>
      <c r="Q153" s="305">
        <f t="shared" si="53"/>
        <v>0.7</v>
      </c>
      <c r="R153" s="177">
        <f t="shared" si="54"/>
        <v>0.61870520207227431</v>
      </c>
      <c r="S153" s="919">
        <f t="shared" si="55"/>
        <v>-2</v>
      </c>
      <c r="T153" s="176">
        <f t="shared" si="56"/>
        <v>4</v>
      </c>
      <c r="U153" s="251">
        <f t="shared" si="57"/>
        <v>-1.3812947979277257</v>
      </c>
      <c r="V153" s="383">
        <f t="shared" si="58"/>
        <v>55.401321024765934</v>
      </c>
      <c r="W153" s="402">
        <f t="shared" si="59"/>
        <v>53.0514304720853</v>
      </c>
      <c r="X153" s="157">
        <f t="shared" si="60"/>
        <v>46161</v>
      </c>
      <c r="Y153" s="385">
        <f t="shared" si="61"/>
        <v>50.561759609124884</v>
      </c>
      <c r="Z153" s="385">
        <f t="shared" si="62"/>
        <v>53.89878524182113</v>
      </c>
      <c r="AA153" s="386">
        <f t="shared" si="63"/>
        <v>56.950689948316928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5.3588546675473393E-2</v>
      </c>
      <c r="AD153" s="231">
        <f>(INDEX(Models!$BJ153:$BT153,,AH153)*(1-AF153)+INDEX(Models!$BJ153:$BT153,,AH153+1)*AF153-ERP_i)*AE153*Ramure*Pc/MaxiM</f>
        <v>4.9648613522454959E-3</v>
      </c>
      <c r="AE153" s="305">
        <f t="shared" si="65"/>
        <v>0.7</v>
      </c>
      <c r="AF153" s="177">
        <f t="shared" si="66"/>
        <v>0.14369276844625345</v>
      </c>
      <c r="AG153" s="919">
        <f t="shared" si="74"/>
        <v>2</v>
      </c>
      <c r="AH153" s="176">
        <f t="shared" si="67"/>
        <v>8</v>
      </c>
      <c r="AI153" s="225">
        <f t="shared" si="68"/>
        <v>2.1436927684462534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1090">
        <f>IF(t&gt;Tmaj,'2025'!Wh/'2025'!Env_an*'2026'!Env_an,0.001*[7]mois!$B$57)</f>
        <v>48.120286468451191</v>
      </c>
      <c r="C154" s="953"/>
      <c r="D154" s="393">
        <f t="shared" si="50"/>
        <v>51.297300854966423</v>
      </c>
      <c r="E154" s="385">
        <f t="shared" si="72"/>
        <v>51.870094755572438</v>
      </c>
      <c r="F154" s="385">
        <f t="shared" si="51"/>
        <v>51.90464962934459</v>
      </c>
      <c r="G154" s="110">
        <f t="shared" si="73"/>
        <v>0.86857788803036495</v>
      </c>
      <c r="H154" s="412" t="b">
        <f>Wh_hp&gt;='2025'!Maxi_hp</f>
        <v>0</v>
      </c>
      <c r="I154" s="390">
        <f>IF(H154,Wh_hp,'2025'!Maxi_hp)</f>
        <v>61.745336141235896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6.1933363618831505E-2</v>
      </c>
      <c r="M154" s="957"/>
      <c r="N154" s="957"/>
      <c r="O154" s="48">
        <f>IF(t&lt;Tnet,'2025'!Resal+('2025'!Salim-'2025'!Resal)*(1-EXP(('2025'!Tnet-t)/('2025'!Tau_j))),Resal+(Salim-Resal)*(1-EXP((Tnet-t)/(Tau_j))))*Salcycl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8.1942476804145446E-4</v>
      </c>
      <c r="Q154" s="305">
        <f t="shared" si="53"/>
        <v>0.7</v>
      </c>
      <c r="R154" s="177">
        <f t="shared" si="54"/>
        <v>0.62296421737993501</v>
      </c>
      <c r="S154" s="919">
        <f t="shared" si="55"/>
        <v>-2</v>
      </c>
      <c r="T154" s="176">
        <f t="shared" si="56"/>
        <v>4</v>
      </c>
      <c r="U154" s="251">
        <f t="shared" si="57"/>
        <v>-1.377035782620065</v>
      </c>
      <c r="V154" s="383">
        <f t="shared" si="58"/>
        <v>55.392713458781351</v>
      </c>
      <c r="W154" s="402">
        <f t="shared" si="59"/>
        <v>48.120286468451191</v>
      </c>
      <c r="X154" s="157">
        <f t="shared" si="60"/>
        <v>46162</v>
      </c>
      <c r="Y154" s="385">
        <f t="shared" si="61"/>
        <v>45.88203735443048</v>
      </c>
      <c r="Z154" s="385">
        <f t="shared" si="62"/>
        <v>48.911277274962202</v>
      </c>
      <c r="AA154" s="386">
        <f t="shared" si="63"/>
        <v>51.688024017574861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5.3721278678955001E-2</v>
      </c>
      <c r="AD154" s="231">
        <f>(INDEX(Models!$BJ154:$BT154,,AH154)*(1-AF154)+INDEX(Models!$BJ154:$BT154,,AH154+1)*AF154-ERP_i)*AE154*Ramure*Pc/MaxiM</f>
        <v>5.1370001478433592E-3</v>
      </c>
      <c r="AE154" s="305">
        <f t="shared" si="65"/>
        <v>0.7</v>
      </c>
      <c r="AF154" s="177">
        <f t="shared" si="66"/>
        <v>0.14795178375391416</v>
      </c>
      <c r="AG154" s="919">
        <f t="shared" si="74"/>
        <v>2</v>
      </c>
      <c r="AH154" s="176">
        <f t="shared" si="67"/>
        <v>8</v>
      </c>
      <c r="AI154" s="225">
        <f t="shared" si="68"/>
        <v>2.1479517837539142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1090">
        <f>IF(t&gt;Tmaj,'2025'!Wh/'2025'!Env_an*'2026'!Env_an,0.001*[7]mois!$B$58)</f>
        <v>48.710281458380805</v>
      </c>
      <c r="C155" s="953"/>
      <c r="D155" s="393">
        <f t="shared" si="50"/>
        <v>51.927386043533936</v>
      </c>
      <c r="E155" s="385">
        <f t="shared" si="72"/>
        <v>52.515121123745594</v>
      </c>
      <c r="F155" s="385">
        <f t="shared" si="51"/>
        <v>52.552549758236736</v>
      </c>
      <c r="G155" s="110">
        <f t="shared" si="73"/>
        <v>0.87941225744318963</v>
      </c>
      <c r="H155" s="412" t="b">
        <f>Wh_hp&gt;='2025'!Maxi_hp</f>
        <v>0</v>
      </c>
      <c r="I155" s="390">
        <f>IF(H155,Wh_hp,'2025'!Maxi_hp)</f>
        <v>58.246676654523853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6.1953909685652842E-2</v>
      </c>
      <c r="M155" s="957"/>
      <c r="N155" s="957"/>
      <c r="O155" s="48">
        <f>IF(t&lt;Tnet,'2025'!Resal+('2025'!Salim-'2025'!Resal)*(1-EXP(('2025'!Tnet-t)/('2025'!Tau_j))),Resal+(Salim-Resal)*(1-EXP((Tnet-t)/(Tau_j))))*Salcycl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8.6024647645125134E-4</v>
      </c>
      <c r="Q155" s="305">
        <f t="shared" si="53"/>
        <v>0.7</v>
      </c>
      <c r="R155" s="177">
        <f t="shared" si="54"/>
        <v>0.62729498490087776</v>
      </c>
      <c r="S155" s="919">
        <f t="shared" si="55"/>
        <v>-2</v>
      </c>
      <c r="T155" s="176">
        <f t="shared" si="56"/>
        <v>4</v>
      </c>
      <c r="U155" s="251">
        <f t="shared" si="57"/>
        <v>-1.3727050150991222</v>
      </c>
      <c r="V155" s="383">
        <f t="shared" si="58"/>
        <v>55.381381346621311</v>
      </c>
      <c r="W155" s="402">
        <f t="shared" si="59"/>
        <v>48.710281458380805</v>
      </c>
      <c r="X155" s="157">
        <f t="shared" si="60"/>
        <v>46163</v>
      </c>
      <c r="Y155" s="385">
        <f t="shared" si="61"/>
        <v>46.436770492878644</v>
      </c>
      <c r="Z155" s="385">
        <f t="shared" si="62"/>
        <v>49.503719457236144</v>
      </c>
      <c r="AA155" s="386">
        <f t="shared" si="63"/>
        <v>52.321451756377975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5.3854245334435884E-2</v>
      </c>
      <c r="AD155" s="231">
        <f>(INDEX(Models!$BJ155:$BT155,,AH155)*(1-AF155)+INDEX(Models!$BJ155:$BT155,,AH155+1)*AF155-ERP_i)*AE155*Ramure*Pc/MaxiM</f>
        <v>5.3114746107278026E-3</v>
      </c>
      <c r="AE155" s="305">
        <f t="shared" si="65"/>
        <v>0.7</v>
      </c>
      <c r="AF155" s="177">
        <f t="shared" si="66"/>
        <v>0.1522825512748569</v>
      </c>
      <c r="AG155" s="919">
        <f t="shared" si="74"/>
        <v>2</v>
      </c>
      <c r="AH155" s="176">
        <f t="shared" si="67"/>
        <v>8</v>
      </c>
      <c r="AI155" s="225">
        <f t="shared" si="68"/>
        <v>2.1522825512748569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1090">
        <f>IF(t&gt;Tmaj,'2025'!Wh/'2025'!Env_an*'2026'!Env_an,0.001*[7]mois!$B$59)</f>
        <v>37.261624948983055</v>
      </c>
      <c r="C156" s="953"/>
      <c r="D156" s="393">
        <f t="shared" si="50"/>
        <v>39.723465058723875</v>
      </c>
      <c r="E156" s="385">
        <f t="shared" si="72"/>
        <v>40.179123892419689</v>
      </c>
      <c r="F156" s="385">
        <f t="shared" si="51"/>
        <v>40.198447243937892</v>
      </c>
      <c r="G156" s="110">
        <f t="shared" si="73"/>
        <v>0.67270445749470686</v>
      </c>
      <c r="H156" s="412" t="b">
        <f>Wh_hp&gt;='2025'!Maxi_hp</f>
        <v>0</v>
      </c>
      <c r="I156" s="390">
        <f>IF(H156,Wh_hp,'2025'!Maxi_hp)</f>
        <v>58.677512490213942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6.1974455302462594E-2</v>
      </c>
      <c r="M156" s="957"/>
      <c r="N156" s="957"/>
      <c r="O156" s="48">
        <f>IF(t&lt;Tnet,'2025'!Resal+('2025'!Salim-'2025'!Resal)*(1-EXP(('2025'!Tnet-t)/('2025'!Tau_j))),Resal+(Salim-Resal)*(1-EXP((Tnet-t)/(Tau_j))))*Salcycl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9.0214448534210929E-4</v>
      </c>
      <c r="Q156" s="305">
        <f t="shared" si="53"/>
        <v>0.7</v>
      </c>
      <c r="R156" s="177">
        <f t="shared" si="54"/>
        <v>0.63169558514643342</v>
      </c>
      <c r="S156" s="919">
        <f t="shared" si="55"/>
        <v>-2</v>
      </c>
      <c r="T156" s="176">
        <f t="shared" si="56"/>
        <v>4</v>
      </c>
      <c r="U156" s="251">
        <f t="shared" si="57"/>
        <v>-1.3683044148535666</v>
      </c>
      <c r="V156" s="383">
        <f t="shared" si="58"/>
        <v>55.367425079867033</v>
      </c>
      <c r="W156" s="402">
        <f t="shared" si="59"/>
        <v>37.261624948983055</v>
      </c>
      <c r="X156" s="157">
        <f t="shared" si="60"/>
        <v>46164</v>
      </c>
      <c r="Y156" s="385">
        <f t="shared" si="61"/>
        <v>35.567141368048013</v>
      </c>
      <c r="Z156" s="385">
        <f t="shared" si="62"/>
        <v>37.917028559724876</v>
      </c>
      <c r="AA156" s="386">
        <f t="shared" si="63"/>
        <v>40.080891933111914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5.3987405694417949E-2</v>
      </c>
      <c r="AD156" s="231">
        <f>(INDEX(Models!$BJ156:$BT156,,AH156)*(1-AF156)+INDEX(Models!$BJ156:$BT156,,AH156+1)*AF156-ERP_i)*AE156*Ramure*Pc/MaxiM</f>
        <v>5.4882754311229524E-3</v>
      </c>
      <c r="AE156" s="305">
        <f t="shared" si="65"/>
        <v>0.7</v>
      </c>
      <c r="AF156" s="177">
        <f t="shared" si="66"/>
        <v>0.15668315152041234</v>
      </c>
      <c r="AG156" s="919">
        <f t="shared" si="74"/>
        <v>2</v>
      </c>
      <c r="AH156" s="176">
        <f t="shared" si="67"/>
        <v>8</v>
      </c>
      <c r="AI156" s="225">
        <f t="shared" si="68"/>
        <v>2.1566831515204123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1090">
        <f>IF(t&gt;Tmaj,'2025'!Wh/'2025'!Env_an*'2026'!Env_an,0.001*[7]mois!$B$60)</f>
        <v>17.403992303467955</v>
      </c>
      <c r="C157" s="953"/>
      <c r="D157" s="393">
        <f t="shared" si="50"/>
        <v>18.554263902830929</v>
      </c>
      <c r="E157" s="385">
        <f t="shared" si="72"/>
        <v>18.769924961223989</v>
      </c>
      <c r="F157" s="385">
        <f t="shared" si="51"/>
        <v>18.770290647559115</v>
      </c>
      <c r="G157" s="110">
        <f t="shared" si="73"/>
        <v>0.31413884133919567</v>
      </c>
      <c r="H157" s="412" t="b">
        <f>Wh_hp&gt;='2025'!Maxi_hp</f>
        <v>0</v>
      </c>
      <c r="I157" s="390">
        <f>IF(H157,Wh_hp,'2025'!Maxi_hp)</f>
        <v>53.955691624579302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6.1995000469270534E-2</v>
      </c>
      <c r="M157" s="957"/>
      <c r="N157" s="957"/>
      <c r="O157" s="48">
        <f>IF(t&lt;Tnet,'2025'!Resal+('2025'!Salim-'2025'!Resal)*(1-EXP(('2025'!Tnet-t)/('2025'!Tau_j))),Resal+(Salim-Resal)*(1-EXP((Tnet-t)/(Tau_j))))*Salcycl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9.4508938927603272E-4</v>
      </c>
      <c r="Q157" s="305">
        <f t="shared" si="53"/>
        <v>0.7</v>
      </c>
      <c r="R157" s="177">
        <f t="shared" si="54"/>
        <v>0.6361639164782058</v>
      </c>
      <c r="S157" s="919">
        <f t="shared" si="55"/>
        <v>-2</v>
      </c>
      <c r="T157" s="176">
        <f t="shared" si="56"/>
        <v>4</v>
      </c>
      <c r="U157" s="251">
        <f t="shared" si="57"/>
        <v>-1.3638360835217942</v>
      </c>
      <c r="V157" s="383">
        <f t="shared" si="58"/>
        <v>55.350948182303824</v>
      </c>
      <c r="W157" s="402">
        <f t="shared" si="59"/>
        <v>17.403992303467955</v>
      </c>
      <c r="X157" s="157">
        <f t="shared" si="60"/>
        <v>46165</v>
      </c>
      <c r="Y157" s="385">
        <f t="shared" si="61"/>
        <v>16.651797685231156</v>
      </c>
      <c r="Z157" s="385">
        <f t="shared" si="62"/>
        <v>17.752354937939362</v>
      </c>
      <c r="AA157" s="386">
        <f t="shared" si="63"/>
        <v>18.76809785956112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5.412071746547837E-2</v>
      </c>
      <c r="AD157" s="231">
        <f>(INDEX(Models!$BJ157:$BT157,,AH157)*(1-AF157)+INDEX(Models!$BJ157:$BT157,,AH157+1)*AF157-ERP_i)*AE157*Ramure*Pc/MaxiM</f>
        <v>5.6670990156546955E-3</v>
      </c>
      <c r="AE157" s="305">
        <f t="shared" si="65"/>
        <v>0.7</v>
      </c>
      <c r="AF157" s="177">
        <f t="shared" si="66"/>
        <v>0.16115148285218472</v>
      </c>
      <c r="AG157" s="919">
        <f t="shared" si="74"/>
        <v>2</v>
      </c>
      <c r="AH157" s="176">
        <f t="shared" si="67"/>
        <v>8</v>
      </c>
      <c r="AI157" s="225">
        <f t="shared" si="68"/>
        <v>2.1611514828521847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1090">
        <f>IF(t&gt;Tmaj,'2025'!Wh/'2025'!Env_an*'2026'!Env_an,0.001*[7]mois!$B$61)</f>
        <v>16.544520654809975</v>
      </c>
      <c r="C158" s="953"/>
      <c r="D158" s="393">
        <f t="shared" si="50"/>
        <v>17.638374036904739</v>
      </c>
      <c r="E158" s="385">
        <f t="shared" si="72"/>
        <v>17.846081068667843</v>
      </c>
      <c r="F158" s="385">
        <f t="shared" si="51"/>
        <v>17.846081068667843</v>
      </c>
      <c r="G158" s="110">
        <f t="shared" si="73"/>
        <v>0.29870854287917087</v>
      </c>
      <c r="H158" s="412" t="b">
        <f>Wh_hp&gt;='2025'!Maxi_hp</f>
        <v>0</v>
      </c>
      <c r="I158" s="390">
        <f>IF(H158,Wh_hp,'2025'!Maxi_hp)</f>
        <v>25.770368698840517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6.2015545186086651E-2</v>
      </c>
      <c r="M158" s="957"/>
      <c r="N158" s="957"/>
      <c r="O158" s="48">
        <f>IF(t&lt;Tnet,'2025'!Resal+('2025'!Salim-'2025'!Resal)*(1-EXP(('2025'!Tnet-t)/('2025'!Tau_j))),Resal+(Salim-Resal)*(1-EXP((Tnet-t)/(Tau_j))))*Salcycl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9.8908877763295017E-4</v>
      </c>
      <c r="Q158" s="305">
        <f t="shared" si="53"/>
        <v>0.7</v>
      </c>
      <c r="R158" s="177">
        <f t="shared" si="54"/>
        <v>0.64069769600903514</v>
      </c>
      <c r="S158" s="919">
        <f t="shared" si="55"/>
        <v>-2</v>
      </c>
      <c r="T158" s="176">
        <f t="shared" si="56"/>
        <v>4</v>
      </c>
      <c r="U158" s="251">
        <f t="shared" si="57"/>
        <v>-1.3593023039909649</v>
      </c>
      <c r="V158" s="383">
        <f t="shared" si="58"/>
        <v>55.332052092613608</v>
      </c>
      <c r="W158" s="402">
        <f t="shared" si="59"/>
        <v>16.544520654809975</v>
      </c>
      <c r="X158" s="157">
        <f t="shared" si="60"/>
        <v>46166</v>
      </c>
      <c r="Y158" s="385">
        <f t="shared" si="61"/>
        <v>15.831167814821169</v>
      </c>
      <c r="Z158" s="385">
        <f t="shared" si="62"/>
        <v>16.877857339290248</v>
      </c>
      <c r="AA158" s="386">
        <f t="shared" si="63"/>
        <v>17.846081068667843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5.4254137121314251E-2</v>
      </c>
      <c r="AD158" s="231">
        <f>(INDEX(Models!$BJ158:$BT158,,AH158)*(1-AF158)+INDEX(Models!$BJ158:$BT158,,AH158+1)*AF158-ERP_i)*AE158*Ramure*Pc/MaxiM</f>
        <v>5.847879329892264E-3</v>
      </c>
      <c r="AE158" s="305">
        <f t="shared" si="65"/>
        <v>0.7</v>
      </c>
      <c r="AF158" s="177">
        <f t="shared" si="66"/>
        <v>0.16568526238301429</v>
      </c>
      <c r="AG158" s="919">
        <f t="shared" si="74"/>
        <v>2</v>
      </c>
      <c r="AH158" s="176">
        <f t="shared" si="67"/>
        <v>8</v>
      </c>
      <c r="AI158" s="225">
        <f t="shared" si="68"/>
        <v>2.1656852623830143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1090">
        <f>IF(t&gt;Tmaj,'2025'!Wh/'2025'!Env_an*'2026'!Env_an,0.001*[7]mois!$B$62)</f>
        <v>38.540766593609689</v>
      </c>
      <c r="C159" s="953"/>
      <c r="D159" s="393">
        <f t="shared" si="50"/>
        <v>41.089818233124021</v>
      </c>
      <c r="E159" s="385">
        <f t="shared" si="72"/>
        <v>41.579960617666238</v>
      </c>
      <c r="F159" s="385">
        <f t="shared" si="51"/>
        <v>41.604350003013735</v>
      </c>
      <c r="G159" s="110">
        <f t="shared" si="73"/>
        <v>0.69649085445934811</v>
      </c>
      <c r="H159" s="412" t="b">
        <f>Wh_hp&gt;='2025'!Maxi_hp</f>
        <v>0</v>
      </c>
      <c r="I159" s="390">
        <f>IF(H159,Wh_hp,'2025'!Maxi_hp)</f>
        <v>55.122596698708996</v>
      </c>
      <c r="J159" s="85">
        <f>IF(H159,An,'2025'!An_max)</f>
        <v>2021</v>
      </c>
      <c r="K159" s="197">
        <f t="shared" si="52"/>
        <v>46167</v>
      </c>
      <c r="L159" s="147">
        <f>IF(t&lt;Tvie,1-EXP((T0-t)*PertePVj)+'2025'!Pspv,1-EXP((T0-t)*PertePVj)+Pspv)</f>
        <v>6.2036089452920717E-2</v>
      </c>
      <c r="M159" s="957"/>
      <c r="N159" s="957"/>
      <c r="O159" s="48">
        <f>IF(t&lt;Tnet,'2025'!Resal+('2025'!Salim-'2025'!Resal)*(1-EXP(('2025'!Tnet-t)/('2025'!Tau_j))),Resal+(Salim-Resal)*(1-EXP((Tnet-t)/(Tau_j))))*Salcycl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1.0341535681270061E-3</v>
      </c>
      <c r="Q159" s="305">
        <f t="shared" si="53"/>
        <v>0.7</v>
      </c>
      <c r="R159" s="177">
        <f t="shared" si="54"/>
        <v>0.6452944614267524</v>
      </c>
      <c r="S159" s="919">
        <f t="shared" si="55"/>
        <v>-2</v>
      </c>
      <c r="T159" s="176">
        <f t="shared" si="56"/>
        <v>4</v>
      </c>
      <c r="U159" s="251">
        <f t="shared" si="57"/>
        <v>-1.3547055385732476</v>
      </c>
      <c r="V159" s="383">
        <f t="shared" si="58"/>
        <v>55.310838031487215</v>
      </c>
      <c r="W159" s="402">
        <f t="shared" si="59"/>
        <v>38.540766593609689</v>
      </c>
      <c r="X159" s="157">
        <f t="shared" si="60"/>
        <v>46167</v>
      </c>
      <c r="Y159" s="385">
        <f t="shared" si="61"/>
        <v>36.774843997632338</v>
      </c>
      <c r="Z159" s="385">
        <f t="shared" si="62"/>
        <v>39.207099104893011</v>
      </c>
      <c r="AA159" s="386">
        <f t="shared" si="63"/>
        <v>41.46212542813241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5.4387620025608853E-2</v>
      </c>
      <c r="AD159" s="231">
        <f>(INDEX(Models!$BJ159:$BT159,,AH159)*(1-AF159)+INDEX(Models!$BJ159:$BT159,,AH159+1)*AF159-ERP_i)*AE159*Ramure*Pc/MaxiM</f>
        <v>6.0305763959713123E-3</v>
      </c>
      <c r="AE159" s="305">
        <f t="shared" si="65"/>
        <v>0.7</v>
      </c>
      <c r="AF159" s="177">
        <f t="shared" si="66"/>
        <v>0.17028202780073132</v>
      </c>
      <c r="AG159" s="919">
        <f t="shared" si="74"/>
        <v>2</v>
      </c>
      <c r="AH159" s="176">
        <f t="shared" si="67"/>
        <v>8</v>
      </c>
      <c r="AI159" s="225">
        <f t="shared" si="68"/>
        <v>2.1702820278007313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1090">
        <f>IF(t&gt;Tmaj,'2025'!Wh/'2025'!Env_an*'2026'!Env_an,0.001*[7]mois!$B$63)</f>
        <v>26.227591455264452</v>
      </c>
      <c r="C160" s="953"/>
      <c r="D160" s="393">
        <f t="shared" si="50"/>
        <v>27.962873224101973</v>
      </c>
      <c r="E160" s="385">
        <f t="shared" si="72"/>
        <v>28.300702523201949</v>
      </c>
      <c r="F160" s="385">
        <f t="shared" si="51"/>
        <v>28.308321032711579</v>
      </c>
      <c r="G160" s="110">
        <f t="shared" si="73"/>
        <v>0.47400144206436362</v>
      </c>
      <c r="H160" s="412" t="b">
        <f>Wh_hp&gt;='2025'!Maxi_hp</f>
        <v>0</v>
      </c>
      <c r="I160" s="390">
        <f>IF(H160,Wh_hp,'2025'!Maxi_hp)</f>
        <v>58.823190702914935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6.2056633269782613E-2</v>
      </c>
      <c r="M160" s="957"/>
      <c r="N160" s="957"/>
      <c r="O160" s="48">
        <f>IF(t&lt;Tnet,'2025'!Resal+('2025'!Salim-'2025'!Resal)*(1-EXP(('2025'!Tnet-t)/('2025'!Tau_j))),Resal+(Salim-Resal)*(1-EXP((Tnet-t)/(Tau_j))))*Salcycl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1.0802927192957365E-3</v>
      </c>
      <c r="Q160" s="305">
        <f t="shared" si="53"/>
        <v>0.7</v>
      </c>
      <c r="R160" s="177">
        <f t="shared" si="54"/>
        <v>0.64995157376758472</v>
      </c>
      <c r="S160" s="919">
        <f t="shared" si="55"/>
        <v>-2</v>
      </c>
      <c r="T160" s="176">
        <f t="shared" si="56"/>
        <v>4</v>
      </c>
      <c r="U160" s="251">
        <f t="shared" si="57"/>
        <v>-1.3500484262324153</v>
      </c>
      <c r="V160" s="383">
        <f t="shared" si="58"/>
        <v>55.287407288502976</v>
      </c>
      <c r="W160" s="402">
        <f t="shared" si="59"/>
        <v>26.227591455264452</v>
      </c>
      <c r="X160" s="157">
        <f t="shared" si="60"/>
        <v>46168</v>
      </c>
      <c r="Y160" s="385">
        <f t="shared" si="61"/>
        <v>25.065109410155422</v>
      </c>
      <c r="Z160" s="385">
        <f t="shared" si="62"/>
        <v>26.723478516123407</v>
      </c>
      <c r="AA160" s="386">
        <f t="shared" si="63"/>
        <v>28.264490193659846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5.452112056428008E-2</v>
      </c>
      <c r="AD160" s="231">
        <f>(INDEX(Models!$BJ160:$BT160,,AH160)*(1-AF160)+INDEX(Models!$BJ160:$BT160,,AH160+1)*AF160-ERP_i)*AE160*Ramure*Pc/MaxiM</f>
        <v>6.2151443465888389E-3</v>
      </c>
      <c r="AE160" s="305">
        <f t="shared" si="65"/>
        <v>0.7</v>
      </c>
      <c r="AF160" s="177">
        <f t="shared" si="66"/>
        <v>0.17493914014156386</v>
      </c>
      <c r="AG160" s="919">
        <f t="shared" si="74"/>
        <v>2</v>
      </c>
      <c r="AH160" s="176">
        <f t="shared" si="67"/>
        <v>8</v>
      </c>
      <c r="AI160" s="225">
        <f t="shared" si="68"/>
        <v>2.1749391401415639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1090">
        <f>IF(t&gt;Tmaj,'2025'!Wh/'2025'!Env_an*'2026'!Env_an,0.001*[7]mois!$B$64)</f>
        <v>41.799712377965939</v>
      </c>
      <c r="C161" s="953"/>
      <c r="D161" s="393">
        <f t="shared" si="50"/>
        <v>44.566259970170513</v>
      </c>
      <c r="E161" s="385">
        <f t="shared" si="72"/>
        <v>45.111493511461063</v>
      </c>
      <c r="F161" s="385">
        <f t="shared" si="51"/>
        <v>45.144680633971667</v>
      </c>
      <c r="G161" s="110">
        <f t="shared" si="73"/>
        <v>0.75609647956215542</v>
      </c>
      <c r="H161" s="412" t="b">
        <f>Wh_hp&gt;='2025'!Maxi_hp</f>
        <v>0</v>
      </c>
      <c r="I161" s="390">
        <f>IF(H161,Wh_hp,'2025'!Maxi_hp)</f>
        <v>60.55384086599669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6.2077176636682219E-2</v>
      </c>
      <c r="M161" s="957"/>
      <c r="N161" s="957"/>
      <c r="O161" s="48">
        <f>IF(t&lt;Tnet,'2025'!Resal+('2025'!Salim-'2025'!Resal)*(1-EXP(('2025'!Tnet-t)/('2025'!Tau_j))),Resal+(Salim-Resal)*(1-EXP((Tnet-t)/(Tau_j))))*Salcycl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1.127513128363205E-3</v>
      </c>
      <c r="Q161" s="305">
        <f t="shared" si="53"/>
        <v>0.7</v>
      </c>
      <c r="R161" s="177">
        <f t="shared" si="54"/>
        <v>0.65466622115856055</v>
      </c>
      <c r="S161" s="919">
        <f t="shared" si="55"/>
        <v>-2</v>
      </c>
      <c r="T161" s="176">
        <f t="shared" si="56"/>
        <v>4</v>
      </c>
      <c r="U161" s="251">
        <f t="shared" si="57"/>
        <v>-1.3453337788414395</v>
      </c>
      <c r="V161" s="383">
        <f t="shared" si="58"/>
        <v>55.261861229628821</v>
      </c>
      <c r="W161" s="402">
        <f t="shared" si="59"/>
        <v>41.799712377965939</v>
      </c>
      <c r="X161" s="157">
        <f t="shared" si="60"/>
        <v>46169</v>
      </c>
      <c r="Y161" s="385">
        <f t="shared" si="61"/>
        <v>39.860962655582121</v>
      </c>
      <c r="Z161" s="385">
        <f t="shared" si="62"/>
        <v>42.499192537658729</v>
      </c>
      <c r="AA161" s="386">
        <f t="shared" si="63"/>
        <v>44.956258517672161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5.4654592286579456E-2</v>
      </c>
      <c r="AD161" s="231">
        <f>(INDEX(Models!$BJ161:$BT161,,AH161)*(1-AF161)+INDEX(Models!$BJ161:$BT161,,AH161+1)*AF161-ERP_i)*AE161*Ramure*Pc/MaxiM</f>
        <v>6.4015314896252841E-3</v>
      </c>
      <c r="AE161" s="305">
        <f t="shared" si="65"/>
        <v>0.7</v>
      </c>
      <c r="AF161" s="177">
        <f t="shared" si="66"/>
        <v>0.17965378753253969</v>
      </c>
      <c r="AG161" s="919">
        <f t="shared" si="74"/>
        <v>2</v>
      </c>
      <c r="AH161" s="176">
        <f t="shared" si="67"/>
        <v>8</v>
      </c>
      <c r="AI161" s="225">
        <f t="shared" si="68"/>
        <v>2.1796537875325397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1090">
        <f>IF(t&gt;Tmaj,'2025'!Wh/'2025'!Env_an*'2026'!Env_an,0.001*[7]mois!$B$65)</f>
        <v>51.486874301870081</v>
      </c>
      <c r="C162" s="953"/>
      <c r="D162" s="393">
        <f t="shared" si="50"/>
        <v>54.895776857868618</v>
      </c>
      <c r="E162" s="385">
        <f t="shared" si="72"/>
        <v>55.5757797640658</v>
      </c>
      <c r="F162" s="385">
        <f t="shared" si="51"/>
        <v>55.634855954617855</v>
      </c>
      <c r="G162" s="110">
        <f t="shared" si="73"/>
        <v>0.93204764460734024</v>
      </c>
      <c r="H162" s="412" t="b">
        <f>Wh_hp&gt;='2025'!Maxi_hp</f>
        <v>0</v>
      </c>
      <c r="I162" s="390">
        <f>IF(H162,Wh_hp,'2025'!Maxi_hp)</f>
        <v>57.676626455771242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6.2097719553629305E-2</v>
      </c>
      <c r="M162" s="957"/>
      <c r="N162" s="957"/>
      <c r="O162" s="48">
        <f>IF(t&lt;Tnet,'2025'!Resal+('2025'!Salim-'2025'!Resal)*(1-EXP(('2025'!Tnet-t)/('2025'!Tau_j))),Resal+(Salim-Resal)*(1-EXP((Tnet-t)/(Tau_j))))*Salcycl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1.175819536275439E-3</v>
      </c>
      <c r="Q162" s="305">
        <f t="shared" si="53"/>
        <v>0.7</v>
      </c>
      <c r="R162" s="177">
        <f t="shared" si="54"/>
        <v>0.65943542354010276</v>
      </c>
      <c r="S162" s="919">
        <f t="shared" si="55"/>
        <v>-2</v>
      </c>
      <c r="T162" s="176">
        <f t="shared" si="56"/>
        <v>4</v>
      </c>
      <c r="U162" s="251">
        <f t="shared" si="57"/>
        <v>-1.3405645764598972</v>
      </c>
      <c r="V162" s="383">
        <f t="shared" si="58"/>
        <v>55.234301295992822</v>
      </c>
      <c r="W162" s="402">
        <f t="shared" si="59"/>
        <v>51.486874301870081</v>
      </c>
      <c r="X162" s="157">
        <f t="shared" si="60"/>
        <v>46170</v>
      </c>
      <c r="Y162" s="385">
        <f t="shared" si="61"/>
        <v>49.02770780572623</v>
      </c>
      <c r="Z162" s="385">
        <f t="shared" si="62"/>
        <v>52.273791020523738</v>
      </c>
      <c r="AA162" s="386">
        <f t="shared" si="63"/>
        <v>55.303773502545461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5.4787988054418368E-2</v>
      </c>
      <c r="AD162" s="231">
        <f>(INDEX(Models!$BJ162:$BT162,,AH162)*(1-AF162)+INDEX(Models!$BJ162:$BT162,,AH162+1)*AF162-ERP_i)*AE162*Ramure*Pc/MaxiM</f>
        <v>6.5896804046908734E-3</v>
      </c>
      <c r="AE162" s="305">
        <f t="shared" si="65"/>
        <v>0.7</v>
      </c>
      <c r="AF162" s="177">
        <f t="shared" si="66"/>
        <v>0.1844229899140819</v>
      </c>
      <c r="AG162" s="919">
        <f t="shared" si="74"/>
        <v>2</v>
      </c>
      <c r="AH162" s="176">
        <f t="shared" si="67"/>
        <v>8</v>
      </c>
      <c r="AI162" s="225">
        <f t="shared" si="68"/>
        <v>2.1844229899140819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1090">
        <f>IF(t&gt;Tmaj,'2025'!Wh/'2025'!Env_an*'2026'!Env_an,0.001*[7]mois!$B$66)</f>
        <v>55.747306089754844</v>
      </c>
      <c r="C163" s="953"/>
      <c r="D163" s="393">
        <f t="shared" si="50"/>
        <v>59.439590123441889</v>
      </c>
      <c r="E163" s="385">
        <f t="shared" si="72"/>
        <v>60.184972060839918</v>
      </c>
      <c r="F163" s="385">
        <f t="shared" si="51"/>
        <v>60.258802059722221</v>
      </c>
      <c r="G163" s="110">
        <f t="shared" si="73"/>
        <v>1.0098272319624233</v>
      </c>
      <c r="H163" s="412" t="b">
        <f>Wh_hp&gt;='2025'!Maxi_hp</f>
        <v>1</v>
      </c>
      <c r="I163" s="390">
        <f>IF(H163,Wh_hp,'2025'!Maxi_hp)</f>
        <v>60.258802059722221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6.2118262020633863E-2</v>
      </c>
      <c r="M163" s="957"/>
      <c r="N163" s="957"/>
      <c r="O163" s="48">
        <f>IF(t&lt;Tnet,'2025'!Resal+('2025'!Salim-'2025'!Resal)*(1-EXP(('2025'!Tnet-t)/('2025'!Tau_j))),Resal+(Salim-Resal)*(1-EXP((Tnet-t)/(Tau_j))))*Salcycl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1.2252151778445301E-3</v>
      </c>
      <c r="Q163" s="305">
        <f t="shared" si="53"/>
        <v>0.7</v>
      </c>
      <c r="R163" s="177">
        <f t="shared" si="54"/>
        <v>0.66425603837132474</v>
      </c>
      <c r="S163" s="919">
        <f t="shared" si="55"/>
        <v>-2</v>
      </c>
      <c r="T163" s="176">
        <f t="shared" si="56"/>
        <v>4</v>
      </c>
      <c r="U163" s="251">
        <f t="shared" si="57"/>
        <v>-1.3357439616286753</v>
      </c>
      <c r="V163" s="383">
        <f t="shared" si="58"/>
        <v>55.204795756418321</v>
      </c>
      <c r="W163" s="402">
        <f t="shared" si="59"/>
        <v>55.747306089754844</v>
      </c>
      <c r="X163" s="157">
        <f t="shared" si="60"/>
        <v>46171</v>
      </c>
      <c r="Y163" s="385">
        <f t="shared" si="61"/>
        <v>53.049613908075059</v>
      </c>
      <c r="Z163" s="385">
        <f t="shared" si="62"/>
        <v>56.56322301612208</v>
      </c>
      <c r="AA163" s="386">
        <f t="shared" si="63"/>
        <v>59.850275573911297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5.492126019921019E-2</v>
      </c>
      <c r="AD163" s="231">
        <f>(INDEX(Models!$BJ163:$BT163,,AH163)*(1-AF163)+INDEX(Models!$BJ163:$BT163,,AH163+1)*AF163-ERP_i)*AE163*Ramure*Pc/MaxiM</f>
        <v>6.7795321487811077E-3</v>
      </c>
      <c r="AE163" s="305">
        <f t="shared" si="65"/>
        <v>0.7</v>
      </c>
      <c r="AF163" s="177">
        <f t="shared" si="66"/>
        <v>0.18924360474530388</v>
      </c>
      <c r="AG163" s="919">
        <f t="shared" si="74"/>
        <v>2</v>
      </c>
      <c r="AH163" s="176">
        <f t="shared" si="67"/>
        <v>8</v>
      </c>
      <c r="AI163" s="225">
        <f t="shared" si="68"/>
        <v>2.1892436047453039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1090">
        <f>IF(t&gt;Tmaj,'2025'!Wh/'2025'!Env_an*'2026'!Env_an,0.001*[7]mois!$B$67)</f>
        <v>46.712146984888385</v>
      </c>
      <c r="C164" s="953"/>
      <c r="D164" s="393">
        <f t="shared" si="50"/>
        <v>49.807100651988577</v>
      </c>
      <c r="E164" s="385">
        <f t="shared" si="72"/>
        <v>50.439312198212875</v>
      </c>
      <c r="F164" s="385">
        <f t="shared" si="51"/>
        <v>50.489589880758395</v>
      </c>
      <c r="G164" s="110">
        <f t="shared" si="73"/>
        <v>0.8464071586987062</v>
      </c>
      <c r="H164" s="412" t="b">
        <f>Wh_hp&gt;='2025'!Maxi_hp</f>
        <v>0</v>
      </c>
      <c r="I164" s="390">
        <f>IF(H164,Wh_hp,'2025'!Maxi_hp)</f>
        <v>58.524365554999449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6.2138804037705553E-2</v>
      </c>
      <c r="M164" s="957"/>
      <c r="N164" s="957"/>
      <c r="O164" s="48">
        <f>IF(t&lt;Tnet,'2025'!Resal+('2025'!Salim-'2025'!Resal)*(1-EXP(('2025'!Tnet-t)/('2025'!Tau_j))),Resal+(Salim-Resal)*(1-EXP((Tnet-t)/(Tau_j))))*Salcycl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1.2751666021897071E-3</v>
      </c>
      <c r="Q164" s="305">
        <f t="shared" si="53"/>
        <v>0.7</v>
      </c>
      <c r="R164" s="177">
        <f t="shared" si="54"/>
        <v>0.66912476731141246</v>
      </c>
      <c r="S164" s="919">
        <f t="shared" si="55"/>
        <v>-2</v>
      </c>
      <c r="T164" s="176">
        <f t="shared" si="56"/>
        <v>4</v>
      </c>
      <c r="U164" s="251">
        <f t="shared" si="57"/>
        <v>-1.3308752326885875</v>
      </c>
      <c r="V164" s="383">
        <f t="shared" si="58"/>
        <v>55.173309702201436</v>
      </c>
      <c r="W164" s="402">
        <f t="shared" si="59"/>
        <v>46.712146984888385</v>
      </c>
      <c r="X164" s="157">
        <f t="shared" si="60"/>
        <v>46172</v>
      </c>
      <c r="Y164" s="385">
        <f t="shared" si="61"/>
        <v>44.501772380816114</v>
      </c>
      <c r="Z164" s="385">
        <f t="shared" si="62"/>
        <v>47.450275768318761</v>
      </c>
      <c r="AA164" s="386">
        <f t="shared" si="63"/>
        <v>50.214820614165369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5.5054360685433637E-2</v>
      </c>
      <c r="AD164" s="231">
        <f>(INDEX(Models!$BJ164:$BT164,,AH164)*(1-AF164)+INDEX(Models!$BJ164:$BT164,,AH164+1)*AF164-ERP_i)*AE164*Ramure*Pc/MaxiM</f>
        <v>6.9688293956337863E-3</v>
      </c>
      <c r="AE164" s="305">
        <f t="shared" si="65"/>
        <v>0.7</v>
      </c>
      <c r="AF164" s="177">
        <f t="shared" si="66"/>
        <v>0.19411233368539138</v>
      </c>
      <c r="AG164" s="919">
        <f t="shared" si="74"/>
        <v>2</v>
      </c>
      <c r="AH164" s="176">
        <f t="shared" si="67"/>
        <v>8</v>
      </c>
      <c r="AI164" s="225">
        <f t="shared" si="68"/>
        <v>2.1941123336853914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1090">
        <f>IF(t&gt;Tmaj,'2025'!Wh/'2025'!Env_an*'2026'!Env_an,0.001*[7]mois!$B$68)</f>
        <v>51.903538530653535</v>
      </c>
      <c r="C165" s="953"/>
      <c r="D165" s="393">
        <f t="shared" si="50"/>
        <v>55.34366449930495</v>
      </c>
      <c r="E165" s="385">
        <f t="shared" si="72"/>
        <v>56.054624415973215</v>
      </c>
      <c r="F165" s="385">
        <f t="shared" si="51"/>
        <v>56.122786644157827</v>
      </c>
      <c r="G165" s="110">
        <f t="shared" si="73"/>
        <v>0.94120423751755589</v>
      </c>
      <c r="H165" s="412" t="b">
        <f>Wh_hp&gt;='2025'!Maxi_hp</f>
        <v>0</v>
      </c>
      <c r="I165" s="390">
        <f>IF(H165,Wh_hp,'2025'!Maxi_hp)</f>
        <v>59.313017833892296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6.2159345604854477E-2</v>
      </c>
      <c r="M165" s="957"/>
      <c r="N165" s="957"/>
      <c r="O165" s="48">
        <f>IF(t&lt;Tnet,'2025'!Resal+('2025'!Salim-'2025'!Resal)*(1-EXP(('2025'!Tnet-t)/('2025'!Tau_j))),Resal+(Salim-Resal)*(1-EXP((Tnet-t)/(Tau_j))))*Salcycl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1.3256694966225567E-3</v>
      </c>
      <c r="Q165" s="305">
        <f t="shared" si="53"/>
        <v>0.7</v>
      </c>
      <c r="R165" s="177">
        <f t="shared" si="54"/>
        <v>0.6740381638610391</v>
      </c>
      <c r="S165" s="919">
        <f t="shared" si="55"/>
        <v>-2</v>
      </c>
      <c r="T165" s="176">
        <f t="shared" si="56"/>
        <v>4</v>
      </c>
      <c r="U165" s="251">
        <f t="shared" si="57"/>
        <v>-1.3259618361389609</v>
      </c>
      <c r="V165" s="383">
        <f t="shared" si="58"/>
        <v>55.139745846169987</v>
      </c>
      <c r="W165" s="402">
        <f t="shared" si="59"/>
        <v>51.903538530653535</v>
      </c>
      <c r="X165" s="157">
        <f t="shared" si="60"/>
        <v>46173</v>
      </c>
      <c r="Y165" s="385">
        <f t="shared" si="61"/>
        <v>49.403382212445116</v>
      </c>
      <c r="Z165" s="385">
        <f t="shared" si="62"/>
        <v>52.677799774320427</v>
      </c>
      <c r="AA165" s="386">
        <f t="shared" si="63"/>
        <v>55.754750651006184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5.5187241280043771E-2</v>
      </c>
      <c r="AD165" s="231">
        <f>(INDEX(Models!$BJ165:$BT165,,AH165)*(1-AF165)+INDEX(Models!$BJ165:$BT165,,AH165+1)*AF165-ERP_i)*AE165*Ramure*Pc/MaxiM</f>
        <v>7.1578365727553708E-3</v>
      </c>
      <c r="AE165" s="305">
        <f t="shared" si="65"/>
        <v>0.7</v>
      </c>
      <c r="AF165" s="177">
        <f t="shared" si="66"/>
        <v>0.19902573023501802</v>
      </c>
      <c r="AG165" s="919">
        <f t="shared" si="74"/>
        <v>2</v>
      </c>
      <c r="AH165" s="176">
        <f t="shared" si="67"/>
        <v>8</v>
      </c>
      <c r="AI165" s="225">
        <f t="shared" si="68"/>
        <v>2.199025730235018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1090">
        <f>IF(t&gt;Tmaj,'2025'!Wh/'2025'!Env_an*'2026'!Env_an,0.001*'[8]mon-tableau'!$B$37)</f>
        <v>52.758222881941258</v>
      </c>
      <c r="C166" s="953"/>
      <c r="D166" s="393">
        <f t="shared" si="50"/>
        <v>56.256228817207194</v>
      </c>
      <c r="E166" s="385">
        <f t="shared" si="72"/>
        <v>56.987524174929561</v>
      </c>
      <c r="F166" s="385">
        <f t="shared" si="51"/>
        <v>57.061303284031055</v>
      </c>
      <c r="G166" s="110">
        <f t="shared" si="73"/>
        <v>0.95734960223974608</v>
      </c>
      <c r="H166" s="412" t="b">
        <f>Wh_hp&gt;='2025'!Maxi_hp</f>
        <v>0</v>
      </c>
      <c r="I166" s="390">
        <f>IF(H166,Wh_hp,'2025'!Maxi_hp)</f>
        <v>60.331915443766647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6.2179886722090294E-2</v>
      </c>
      <c r="M166" s="957"/>
      <c r="N166" s="957"/>
      <c r="O166" s="48">
        <f>IF(t&lt;Tnet,'2025'!Resal+('2025'!Salim-'2025'!Resal)*(1-EXP(('2025'!Tnet-t)/('2025'!Tau_j))),Resal+(Salim-Resal)*(1-EXP((Tnet-t)/(Tau_j))))*Salcycl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1.3767032285330954E-3</v>
      </c>
      <c r="Q166" s="305">
        <f t="shared" si="53"/>
        <v>0.7</v>
      </c>
      <c r="R166" s="177">
        <f t="shared" si="54"/>
        <v>0.67899264193812137</v>
      </c>
      <c r="S166" s="919">
        <f t="shared" si="55"/>
        <v>-2</v>
      </c>
      <c r="T166" s="176">
        <f t="shared" si="56"/>
        <v>4</v>
      </c>
      <c r="U166" s="251">
        <f t="shared" si="57"/>
        <v>-1.3210073580618786</v>
      </c>
      <c r="V166" s="383">
        <f t="shared" si="58"/>
        <v>55.104007916702216</v>
      </c>
      <c r="W166" s="402">
        <f t="shared" si="59"/>
        <v>52.758222881941258</v>
      </c>
      <c r="X166" s="157">
        <f t="shared" si="60"/>
        <v>46174</v>
      </c>
      <c r="Y166" s="385">
        <f t="shared" si="61"/>
        <v>50.204093998638143</v>
      </c>
      <c r="Z166" s="385">
        <f t="shared" si="62"/>
        <v>53.532754616621098</v>
      </c>
      <c r="AA166" s="386">
        <f t="shared" si="63"/>
        <v>56.667597840188556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5.5319853726784024E-2</v>
      </c>
      <c r="AD166" s="231">
        <f>(INDEX(Models!$BJ166:$BT166,,AH166)*(1-AF166)+INDEX(Models!$BJ166:$BT166,,AH166+1)*AF166-ERP_i)*AE166*Ramure*Pc/MaxiM</f>
        <v>7.3464638192281672E-3</v>
      </c>
      <c r="AE166" s="305">
        <f t="shared" si="65"/>
        <v>0.7</v>
      </c>
      <c r="AF166" s="177">
        <f t="shared" si="66"/>
        <v>0.20398020831210051</v>
      </c>
      <c r="AG166" s="919">
        <f t="shared" si="74"/>
        <v>2</v>
      </c>
      <c r="AH166" s="176">
        <f t="shared" si="67"/>
        <v>8</v>
      </c>
      <c r="AI166" s="225">
        <f t="shared" si="68"/>
        <v>2.2039802083121005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1090">
        <f>IF(t&gt;Tmaj,'2025'!Wh/'2025'!Env_an*'2026'!Env_an,0.001*'[8]mon-tableau'!$B$38)</f>
        <v>41.764929339928173</v>
      </c>
      <c r="C167" s="953"/>
      <c r="D167" s="393">
        <f t="shared" si="50"/>
        <v>44.535027056651408</v>
      </c>
      <c r="E167" s="385">
        <f t="shared" si="72"/>
        <v>45.120772399063121</v>
      </c>
      <c r="F167" s="385">
        <f t="shared" si="51"/>
        <v>45.163018024846693</v>
      </c>
      <c r="G167" s="110">
        <f t="shared" si="73"/>
        <v>0.75807806369404684</v>
      </c>
      <c r="H167" s="412" t="b">
        <f>Wh_hp&gt;='2025'!Maxi_hp</f>
        <v>0</v>
      </c>
      <c r="I167" s="390">
        <f>IF(H167,Wh_hp,'2025'!Maxi_hp)</f>
        <v>59.300139796564821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6.2200427389422996E-2</v>
      </c>
      <c r="M167" s="957"/>
      <c r="N167" s="957"/>
      <c r="O167" s="48">
        <f>IF(t&lt;Tnet,'2025'!Resal+('2025'!Salim-'2025'!Resal)*(1-EXP(('2025'!Tnet-t)/('2025'!Tau_j))),Resal+(Salim-Resal)*(1-EXP((Tnet-t)/(Tau_j))))*Salcycl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1.4282451575999108E-3</v>
      </c>
      <c r="Q167" s="305">
        <f t="shared" si="53"/>
        <v>0.7</v>
      </c>
      <c r="R167" s="177">
        <f t="shared" si="54"/>
        <v>0.68398448535253387</v>
      </c>
      <c r="S167" s="919">
        <f t="shared" si="55"/>
        <v>-2</v>
      </c>
      <c r="T167" s="176">
        <f t="shared" si="56"/>
        <v>4</v>
      </c>
      <c r="U167" s="251">
        <f t="shared" si="57"/>
        <v>-1.3160155146474661</v>
      </c>
      <c r="V167" s="383">
        <f t="shared" si="58"/>
        <v>55.065999865112268</v>
      </c>
      <c r="W167" s="402">
        <f t="shared" si="59"/>
        <v>41.764929339928173</v>
      </c>
      <c r="X167" s="157">
        <f t="shared" si="60"/>
        <v>46175</v>
      </c>
      <c r="Y167" s="385">
        <f t="shared" si="61"/>
        <v>39.807834115131008</v>
      </c>
      <c r="Z167" s="385">
        <f t="shared" si="62"/>
        <v>42.448125673929354</v>
      </c>
      <c r="AA167" s="386">
        <f t="shared" si="63"/>
        <v>44.940153821250362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5.545214992438742E-2</v>
      </c>
      <c r="AD167" s="231">
        <f>(INDEX(Models!$BJ167:$BT167,,AH167)*(1-AF167)+INDEX(Models!$BJ167:$BT167,,AH167+1)*AF167-ERP_i)*AE167*Ramure*Pc/MaxiM</f>
        <v>7.5346195892449378E-3</v>
      </c>
      <c r="AE167" s="305">
        <f t="shared" si="65"/>
        <v>0.7</v>
      </c>
      <c r="AF167" s="177">
        <f t="shared" si="66"/>
        <v>0.20897205172651301</v>
      </c>
      <c r="AG167" s="919">
        <f t="shared" si="74"/>
        <v>2</v>
      </c>
      <c r="AH167" s="176">
        <f t="shared" si="67"/>
        <v>8</v>
      </c>
      <c r="AI167" s="225">
        <f t="shared" si="68"/>
        <v>2.208972051726513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1090">
        <f>IF(t&gt;Tmaj,'2025'!Wh/'2025'!Env_an*'2026'!Env_an,0.001*'[8]mon-tableau'!$B$39)</f>
        <v>52.464114237896503</v>
      </c>
      <c r="C168" s="953"/>
      <c r="D168" s="393">
        <f t="shared" si="50"/>
        <v>55.945070667673434</v>
      </c>
      <c r="E168" s="385">
        <f t="shared" si="72"/>
        <v>56.689450727394643</v>
      </c>
      <c r="F168" s="385">
        <f t="shared" si="51"/>
        <v>56.767894310061671</v>
      </c>
      <c r="G168" s="110">
        <f t="shared" si="73"/>
        <v>0.95335476285730003</v>
      </c>
      <c r="H168" s="412" t="b">
        <f>Wh_hp&gt;='2025'!Maxi_hp</f>
        <v>0</v>
      </c>
      <c r="I168" s="390">
        <f>IF(H168,Wh_hp,'2025'!Maxi_hp)</f>
        <v>56.771957373225192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6.2220967606862354E-2</v>
      </c>
      <c r="M168" s="957"/>
      <c r="N168" s="957"/>
      <c r="O168" s="48">
        <f>IF(t&lt;Tnet,'2025'!Resal+('2025'!Salim-'2025'!Resal)*(1-EXP(('2025'!Tnet-t)/('2025'!Tau_j))),Resal+(Salim-Resal)*(1-EXP((Tnet-t)/(Tau_j))))*Salcycl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1.4802707008143656E-3</v>
      </c>
      <c r="Q168" s="305">
        <f t="shared" si="53"/>
        <v>0.7</v>
      </c>
      <c r="R168" s="177">
        <f t="shared" si="54"/>
        <v>0.68900985813480586</v>
      </c>
      <c r="S168" s="919">
        <f t="shared" si="55"/>
        <v>-2</v>
      </c>
      <c r="T168" s="176">
        <f t="shared" si="56"/>
        <v>4</v>
      </c>
      <c r="U168" s="251">
        <f t="shared" si="57"/>
        <v>-1.3109901418651941</v>
      </c>
      <c r="V168" s="383">
        <f t="shared" si="58"/>
        <v>55.025625857311212</v>
      </c>
      <c r="W168" s="402">
        <f t="shared" si="59"/>
        <v>52.464114237896503</v>
      </c>
      <c r="X168" s="157">
        <f t="shared" si="60"/>
        <v>46176</v>
      </c>
      <c r="Y168" s="385">
        <f t="shared" si="61"/>
        <v>49.91425318134096</v>
      </c>
      <c r="Z168" s="385">
        <f t="shared" si="62"/>
        <v>53.226028155016166</v>
      </c>
      <c r="AA168" s="386">
        <f t="shared" si="63"/>
        <v>56.358673277974269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5.5584082107596043E-2</v>
      </c>
      <c r="AD168" s="231">
        <f>(INDEX(Models!$BJ168:$BT168,,AH168)*(1-AF168)+INDEX(Models!$BJ168:$BT168,,AH168+1)*AF168-ERP_i)*AE168*Ramure*Pc/MaxiM</f>
        <v>7.7222110893028547E-3</v>
      </c>
      <c r="AE168" s="305">
        <f t="shared" si="65"/>
        <v>0.7</v>
      </c>
      <c r="AF168" s="177">
        <f t="shared" si="66"/>
        <v>0.21399742450878501</v>
      </c>
      <c r="AG168" s="919">
        <f t="shared" si="74"/>
        <v>2</v>
      </c>
      <c r="AH168" s="176">
        <f t="shared" si="67"/>
        <v>8</v>
      </c>
      <c r="AI168" s="225">
        <f t="shared" si="68"/>
        <v>2.213997424508785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1090">
        <f>IF(t&gt;Tmaj,'2025'!Wh/'2025'!Env_an*'2026'!Env_an,0.001*'[8]mon-tableau'!$B$40)</f>
        <v>21.729050071599175</v>
      </c>
      <c r="C169" s="953"/>
      <c r="D169" s="393">
        <f t="shared" si="50"/>
        <v>23.171264501973344</v>
      </c>
      <c r="E169" s="385">
        <f t="shared" si="72"/>
        <v>23.483117679798983</v>
      </c>
      <c r="F169" s="385">
        <f t="shared" si="51"/>
        <v>23.488013722075735</v>
      </c>
      <c r="G169" s="110">
        <f t="shared" si="73"/>
        <v>0.39467382576009263</v>
      </c>
      <c r="H169" s="412" t="b">
        <f>Wh_hp&gt;='2025'!Maxi_hp</f>
        <v>0</v>
      </c>
      <c r="I169" s="390">
        <f>IF(H169,Wh_hp,'2025'!Maxi_hp)</f>
        <v>57.111684044434135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6.2241507374418137E-2</v>
      </c>
      <c r="M169" s="957"/>
      <c r="N169" s="957"/>
      <c r="O169" s="48">
        <f>IF(t&lt;Tnet,'2025'!Resal+('2025'!Salim-'2025'!Resal)*(1-EXP(('2025'!Tnet-t)/('2025'!Tau_j))),Resal+(Salim-Resal)*(1-EXP((Tnet-t)/(Tau_j))))*Salcycl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1.532753413027874E-3</v>
      </c>
      <c r="Q169" s="305">
        <f t="shared" si="53"/>
        <v>0.7</v>
      </c>
      <c r="R169" s="177">
        <f t="shared" si="54"/>
        <v>0.69406481566446576</v>
      </c>
      <c r="S169" s="919">
        <f t="shared" si="55"/>
        <v>-2</v>
      </c>
      <c r="T169" s="176">
        <f t="shared" si="56"/>
        <v>4</v>
      </c>
      <c r="U169" s="251">
        <f t="shared" si="57"/>
        <v>-1.3059351843355342</v>
      </c>
      <c r="V169" s="383">
        <f t="shared" si="58"/>
        <v>54.982790266036737</v>
      </c>
      <c r="W169" s="402">
        <f t="shared" si="59"/>
        <v>21.729050071599175</v>
      </c>
      <c r="X169" s="157">
        <f t="shared" si="60"/>
        <v>46177</v>
      </c>
      <c r="Y169" s="385">
        <f t="shared" si="61"/>
        <v>20.776516214280647</v>
      </c>
      <c r="Z169" s="385">
        <f t="shared" si="62"/>
        <v>22.155508457310312</v>
      </c>
      <c r="AA169" s="386">
        <f t="shared" si="63"/>
        <v>23.462749705914447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5.5715603029878775E-2</v>
      </c>
      <c r="AD169" s="231">
        <f>(INDEX(Models!$BJ169:$BT169,,AH169)*(1-AF169)+INDEX(Models!$BJ169:$BT169,,AH169+1)*AF169-ERP_i)*AE169*Ramure*Pc/MaxiM</f>
        <v>7.9091447355107824E-3</v>
      </c>
      <c r="AE169" s="305">
        <f t="shared" si="65"/>
        <v>0.7</v>
      </c>
      <c r="AF169" s="177">
        <f t="shared" si="66"/>
        <v>0.2190523820384449</v>
      </c>
      <c r="AG169" s="919">
        <f t="shared" si="74"/>
        <v>2</v>
      </c>
      <c r="AH169" s="176">
        <f t="shared" si="67"/>
        <v>8</v>
      </c>
      <c r="AI169" s="225">
        <f t="shared" si="68"/>
        <v>2.2190523820384449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1090">
        <f>IF(t&gt;Tmaj,'2025'!Wh/'2025'!Env_an*'2026'!Env_an,0.001*'[8]mon-tableau'!$B$41)</f>
        <v>30.657381409522706</v>
      </c>
      <c r="C170" s="953"/>
      <c r="D170" s="393">
        <f t="shared" si="50"/>
        <v>32.692908825304393</v>
      </c>
      <c r="E170" s="385">
        <f t="shared" ref="E170:E232" si="75">Wh_pvt/(1-Psa)</f>
        <v>33.137913072211049</v>
      </c>
      <c r="F170" s="385">
        <f t="shared" si="51"/>
        <v>33.157282001268896</v>
      </c>
      <c r="G170" s="110">
        <f t="shared" ref="G170:G232" si="76">+Wh_hp/MaxiM</f>
        <v>0.55748289928827821</v>
      </c>
      <c r="H170" s="412" t="b">
        <f>Wh_hp&gt;='2025'!Maxi_hp</f>
        <v>0</v>
      </c>
      <c r="I170" s="390">
        <f>IF(H170,Wh_hp,'2025'!Maxi_hp)</f>
        <v>42.716075181662134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6.2262046692100448E-2</v>
      </c>
      <c r="M170" s="957"/>
      <c r="N170" s="957"/>
      <c r="O170" s="48">
        <f>IF(t&lt;Tnet,'2025'!Resal+('2025'!Salim-'2025'!Resal)*(1-EXP(('2025'!Tnet-t)/('2025'!Tau_j))),Resal+(Salim-Resal)*(1-EXP((Tnet-t)/(Tau_j))))*Salcycl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1.5846563197179117E-3</v>
      </c>
      <c r="Q170" s="305">
        <f t="shared" si="53"/>
        <v>0.7</v>
      </c>
      <c r="R170" s="177">
        <f t="shared" si="54"/>
        <v>0.69914531653473766</v>
      </c>
      <c r="S170" s="919">
        <f t="shared" si="55"/>
        <v>-2</v>
      </c>
      <c r="T170" s="176">
        <f t="shared" si="56"/>
        <v>4</v>
      </c>
      <c r="U170" s="251">
        <f t="shared" si="57"/>
        <v>-1.3008546834652623</v>
      </c>
      <c r="V170" s="383">
        <f t="shared" si="58"/>
        <v>54.937453169802154</v>
      </c>
      <c r="W170" s="402">
        <f t="shared" si="59"/>
        <v>30.657381409522706</v>
      </c>
      <c r="X170" s="157">
        <f t="shared" si="60"/>
        <v>46178</v>
      </c>
      <c r="Y170" s="385">
        <f t="shared" si="61"/>
        <v>29.268858583577057</v>
      </c>
      <c r="Z170" s="385">
        <f t="shared" si="62"/>
        <v>31.212193641443491</v>
      </c>
      <c r="AA170" s="386">
        <f t="shared" si="63"/>
        <v>33.058394777953175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5.5846666146685535E-2</v>
      </c>
      <c r="AD170" s="231">
        <f>(INDEX(Models!$BJ170:$BT170,,AH170)*(1-AF170)+INDEX(Models!$BJ170:$BT170,,AH170+1)*AF170-ERP_i)*AE170*Ramure*Pc/MaxiM</f>
        <v>8.0903937898994041E-3</v>
      </c>
      <c r="AE170" s="305">
        <f t="shared" si="65"/>
        <v>0.7</v>
      </c>
      <c r="AF170" s="177">
        <f t="shared" si="66"/>
        <v>0.2241328829087168</v>
      </c>
      <c r="AG170" s="919">
        <f t="shared" si="74"/>
        <v>2</v>
      </c>
      <c r="AH170" s="176">
        <f t="shared" si="67"/>
        <v>8</v>
      </c>
      <c r="AI170" s="225">
        <f t="shared" si="68"/>
        <v>2.2241328829087168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1090">
        <f>IF(t&gt;Tmaj,'2025'!Wh/'2025'!Env_an*'2026'!Env_an,0.001*'[8]mon-tableau'!$B$42)</f>
        <v>45.932289294922427</v>
      </c>
      <c r="C171" s="953"/>
      <c r="D171" s="393">
        <f t="shared" si="50"/>
        <v>48.983082309875812</v>
      </c>
      <c r="E171" s="385">
        <f t="shared" si="75"/>
        <v>49.657315779816678</v>
      </c>
      <c r="F171" s="385">
        <f t="shared" si="51"/>
        <v>49.719690652969753</v>
      </c>
      <c r="G171" s="110">
        <f t="shared" si="76"/>
        <v>0.83649389757407178</v>
      </c>
      <c r="H171" s="412" t="b">
        <f>Wh_hp&gt;='2025'!Maxi_hp</f>
        <v>0</v>
      </c>
      <c r="I171" s="390">
        <f>IF(H171,Wh_hp,'2025'!Maxi_hp)</f>
        <v>56.000265625104696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6.2282585559918835E-2</v>
      </c>
      <c r="M171" s="957"/>
      <c r="N171" s="957"/>
      <c r="O171" s="48">
        <f>IF(t&lt;Tnet,'2025'!Resal+('2025'!Salim-'2025'!Resal)*(1-EXP(('2025'!Tnet-t)/('2025'!Tau_j))),Resal+(Salim-Resal)*(1-EXP((Tnet-t)/(Tau_j))))*Salcycl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1.6358968810723743E-3</v>
      </c>
      <c r="Q171" s="305">
        <f t="shared" si="53"/>
        <v>0.7</v>
      </c>
      <c r="R171" s="177">
        <f t="shared" si="54"/>
        <v>0.70424723508187759</v>
      </c>
      <c r="S171" s="919">
        <f t="shared" si="55"/>
        <v>-2</v>
      </c>
      <c r="T171" s="176">
        <f t="shared" si="56"/>
        <v>4</v>
      </c>
      <c r="U171" s="251">
        <f t="shared" si="57"/>
        <v>-1.2957527649181224</v>
      </c>
      <c r="V171" s="383">
        <f t="shared" si="58"/>
        <v>54.889522085340467</v>
      </c>
      <c r="W171" s="402">
        <f t="shared" si="59"/>
        <v>45.932289294922427</v>
      </c>
      <c r="X171" s="157">
        <f t="shared" si="60"/>
        <v>46179</v>
      </c>
      <c r="Y171" s="385">
        <f t="shared" si="61"/>
        <v>43.734200554901506</v>
      </c>
      <c r="Z171" s="385">
        <f t="shared" si="62"/>
        <v>46.638997934165019</v>
      </c>
      <c r="AA171" s="386">
        <f t="shared" si="63"/>
        <v>49.404526255833275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5.5977225798045649E-2</v>
      </c>
      <c r="AD171" s="231">
        <f>(INDEX(Models!$BJ171:$BT171,,AH171)*(1-AF171)+INDEX(Models!$BJ171:$BT171,,AH171+1)*AF171-ERP_i)*AE171*Ramure*Pc/MaxiM</f>
        <v>8.2657715877884376E-3</v>
      </c>
      <c r="AE171" s="305">
        <f t="shared" si="65"/>
        <v>0.7</v>
      </c>
      <c r="AF171" s="177">
        <f t="shared" si="66"/>
        <v>0.22923480145585673</v>
      </c>
      <c r="AG171" s="919">
        <f t="shared" si="74"/>
        <v>2</v>
      </c>
      <c r="AH171" s="176">
        <f t="shared" si="67"/>
        <v>8</v>
      </c>
      <c r="AI171" s="225">
        <f t="shared" si="68"/>
        <v>2.2292348014558567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1090">
        <f>IF(t&gt;Tmaj,'2025'!Wh/'2025'!Env_an*'2026'!Env_an,0.001*'[8]mon-tableau'!$B$43)</f>
        <v>26.892502137558346</v>
      </c>
      <c r="C172" s="953"/>
      <c r="D172" s="393">
        <f t="shared" si="50"/>
        <v>28.679312926413179</v>
      </c>
      <c r="E172" s="385">
        <f t="shared" si="75"/>
        <v>29.078458029011301</v>
      </c>
      <c r="F172" s="385">
        <f t="shared" si="51"/>
        <v>29.091801846552524</v>
      </c>
      <c r="G172" s="110">
        <f t="shared" si="76"/>
        <v>0.48978860742032537</v>
      </c>
      <c r="H172" s="412" t="b">
        <f>Wh_hp&gt;='2025'!Maxi_hp</f>
        <v>0</v>
      </c>
      <c r="I172" s="390">
        <f>IF(H172,Wh_hp,'2025'!Maxi_hp)</f>
        <v>55.156942491889488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6.2303123977883401E-2</v>
      </c>
      <c r="M172" s="957"/>
      <c r="N172" s="957"/>
      <c r="O172" s="48">
        <f>IF(t&lt;Tnet,'2025'!Resal+('2025'!Salim-'2025'!Resal)*(1-EXP(('2025'!Tnet-t)/('2025'!Tau_j))),Resal+(Salim-Resal)*(1-EXP((Tnet-t)/(Tau_j))))*Salcycl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1.6864024256880281E-3</v>
      </c>
      <c r="Q172" s="305">
        <f t="shared" si="53"/>
        <v>0.7</v>
      </c>
      <c r="R172" s="177">
        <f t="shared" si="54"/>
        <v>0.70936637449970363</v>
      </c>
      <c r="S172" s="919">
        <f t="shared" si="55"/>
        <v>-2</v>
      </c>
      <c r="T172" s="176">
        <f t="shared" si="56"/>
        <v>4</v>
      </c>
      <c r="U172" s="251">
        <f t="shared" si="57"/>
        <v>-1.2906336255002964</v>
      </c>
      <c r="V172" s="383">
        <f t="shared" si="58"/>
        <v>54.838904054425626</v>
      </c>
      <c r="W172" s="402">
        <f t="shared" si="59"/>
        <v>26.892502137558346</v>
      </c>
      <c r="X172" s="157">
        <f t="shared" si="60"/>
        <v>46180</v>
      </c>
      <c r="Y172" s="385">
        <f t="shared" si="61"/>
        <v>25.689652346027309</v>
      </c>
      <c r="Z172" s="385">
        <f t="shared" si="62"/>
        <v>27.396542531961458</v>
      </c>
      <c r="AA172" s="386">
        <f t="shared" si="63"/>
        <v>29.025058372293937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5.6107237389296391E-2</v>
      </c>
      <c r="AD172" s="231">
        <f>(INDEX(Models!$BJ172:$BT172,,AH172)*(1-AF172)+INDEX(Models!$BJ172:$BT172,,AH172+1)*AF172-ERP_i)*AE172*Ramure*Pc/MaxiM</f>
        <v>8.4350941206137765E-3</v>
      </c>
      <c r="AE172" s="305">
        <f t="shared" si="65"/>
        <v>0.7</v>
      </c>
      <c r="AF172" s="177">
        <f t="shared" si="66"/>
        <v>0.23435394087368255</v>
      </c>
      <c r="AG172" s="919">
        <f t="shared" si="74"/>
        <v>2</v>
      </c>
      <c r="AH172" s="176">
        <f t="shared" si="67"/>
        <v>8</v>
      </c>
      <c r="AI172" s="225">
        <f t="shared" si="68"/>
        <v>2.2343539408736826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1090">
        <f>IF(t&gt;Tmaj,'2025'!Wh/'2025'!Env_an*'2026'!Env_an,0.001*'[8]mon-tableau'!$B$44)</f>
        <v>19.995445747232068</v>
      </c>
      <c r="C173" s="953"/>
      <c r="D173" s="393">
        <f t="shared" si="50"/>
        <v>21.324464461510846</v>
      </c>
      <c r="E173" s="385">
        <f t="shared" si="75"/>
        <v>21.624507187772444</v>
      </c>
      <c r="F173" s="385">
        <f t="shared" si="51"/>
        <v>21.627992580556413</v>
      </c>
      <c r="G173" s="110">
        <f t="shared" si="76"/>
        <v>0.3644020156099459</v>
      </c>
      <c r="H173" s="412" t="b">
        <f>Wh_hp&gt;='2025'!Maxi_hp</f>
        <v>0</v>
      </c>
      <c r="I173" s="390">
        <f>IF(H173,Wh_hp,'2025'!Maxi_hp)</f>
        <v>61.487890344452325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6.2323661946003917E-2</v>
      </c>
      <c r="M173" s="957"/>
      <c r="N173" s="957"/>
      <c r="O173" s="48">
        <f>IF(t&lt;Tnet,'2025'!Resal+('2025'!Salim-'2025'!Resal)*(1-EXP(('2025'!Tnet-t)/('2025'!Tau_j))),Resal+(Salim-Resal)*(1-EXP((Tnet-t)/(Tau_j))))*Salcycl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1.7360985913322691E-3</v>
      </c>
      <c r="Q173" s="305">
        <f t="shared" si="53"/>
        <v>0.7</v>
      </c>
      <c r="R173" s="177">
        <f t="shared" si="54"/>
        <v>0.71449848045297015</v>
      </c>
      <c r="S173" s="919">
        <f t="shared" si="55"/>
        <v>-2</v>
      </c>
      <c r="T173" s="176">
        <f t="shared" si="56"/>
        <v>4</v>
      </c>
      <c r="U173" s="251">
        <f t="shared" si="57"/>
        <v>-1.2855015195470298</v>
      </c>
      <c r="V173" s="383">
        <f t="shared" si="58"/>
        <v>54.785506269917754</v>
      </c>
      <c r="W173" s="402">
        <f t="shared" si="59"/>
        <v>19.995445747232068</v>
      </c>
      <c r="X173" s="157">
        <f t="shared" si="60"/>
        <v>46181</v>
      </c>
      <c r="Y173" s="385">
        <f t="shared" si="61"/>
        <v>19.124298609672568</v>
      </c>
      <c r="Z173" s="385">
        <f t="shared" si="62"/>
        <v>20.395415596560884</v>
      </c>
      <c r="AA173" s="386">
        <f t="shared" si="63"/>
        <v>21.610730868205881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5.6236657568717006E-2</v>
      </c>
      <c r="AD173" s="231">
        <f>(INDEX(Models!$BJ173:$BT173,,AH173)*(1-AF173)+INDEX(Models!$BJ173:$BT173,,AH173+1)*AF173-ERP_i)*AE173*Ramure*Pc/MaxiM</f>
        <v>8.5981799909591542E-3</v>
      </c>
      <c r="AE173" s="305">
        <f t="shared" si="65"/>
        <v>0.7</v>
      </c>
      <c r="AF173" s="177">
        <f t="shared" si="66"/>
        <v>0.23948604682694929</v>
      </c>
      <c r="AG173" s="919">
        <f t="shared" si="74"/>
        <v>2</v>
      </c>
      <c r="AH173" s="176">
        <f t="shared" si="67"/>
        <v>8</v>
      </c>
      <c r="AI173" s="225">
        <f t="shared" si="68"/>
        <v>2.2394860468269493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1090">
        <f>IF(t&gt;Tmaj,'2025'!Wh/'2025'!Env_an*'2026'!Env_an,0.001*'[8]mon-tableau'!$B$45)</f>
        <v>44.426899079724755</v>
      </c>
      <c r="C174" s="953"/>
      <c r="D174" s="393">
        <f t="shared" si="50"/>
        <v>47.380818264380579</v>
      </c>
      <c r="E174" s="385">
        <f t="shared" si="75"/>
        <v>48.054719478898903</v>
      </c>
      <c r="F174" s="385">
        <f t="shared" si="51"/>
        <v>48.117508832795338</v>
      </c>
      <c r="G174" s="110">
        <f t="shared" si="76"/>
        <v>0.81136792381793144</v>
      </c>
      <c r="H174" s="412" t="b">
        <f>Wh_hp&gt;='2025'!Maxi_hp</f>
        <v>0</v>
      </c>
      <c r="I174" s="390">
        <f>IF(H174,Wh_hp,'2025'!Maxi_hp)</f>
        <v>58.767455716335284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6.2344199464290151E-2</v>
      </c>
      <c r="M174" s="957"/>
      <c r="N174" s="957"/>
      <c r="O174" s="48">
        <f>IF(t&lt;Tnet,'2025'!Resal+('2025'!Salim-'2025'!Resal)*(1-EXP(('2025'!Tnet-t)/('2025'!Tau_j))),Resal+(Salim-Resal)*(1-EXP((Tnet-t)/(Tau_j))))*Salcycl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1.7849095736678549E-3</v>
      </c>
      <c r="Q174" s="305">
        <f t="shared" si="53"/>
        <v>0.7</v>
      </c>
      <c r="R174" s="177">
        <f t="shared" si="54"/>
        <v>0.71963925509727589</v>
      </c>
      <c r="S174" s="919">
        <f t="shared" si="55"/>
        <v>-2</v>
      </c>
      <c r="T174" s="176">
        <f t="shared" si="56"/>
        <v>4</v>
      </c>
      <c r="U174" s="251">
        <f t="shared" si="57"/>
        <v>-1.2803607449027241</v>
      </c>
      <c r="V174" s="383">
        <f t="shared" si="58"/>
        <v>54.729236059397273</v>
      </c>
      <c r="W174" s="402">
        <f t="shared" si="59"/>
        <v>44.426899079724755</v>
      </c>
      <c r="X174" s="157">
        <f t="shared" si="60"/>
        <v>46182</v>
      </c>
      <c r="Y174" s="385">
        <f t="shared" si="61"/>
        <v>42.30208465696056</v>
      </c>
      <c r="Z174" s="385">
        <f t="shared" si="62"/>
        <v>45.114726142356453</v>
      </c>
      <c r="AA174" s="386">
        <f t="shared" si="63"/>
        <v>47.809531639831754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5.6365444400843318E-2</v>
      </c>
      <c r="AD174" s="231">
        <f>(INDEX(Models!$BJ174:$BT174,,AH174)*(1-AF174)+INDEX(Models!$BJ174:$BT174,,AH174+1)*AF174-ERP_i)*AE174*Ramure*Pc/MaxiM</f>
        <v>8.7548510388999641E-3</v>
      </c>
      <c r="AE174" s="305">
        <f t="shared" si="65"/>
        <v>0.7</v>
      </c>
      <c r="AF174" s="177">
        <f t="shared" si="66"/>
        <v>0.24462682147125525</v>
      </c>
      <c r="AG174" s="919">
        <f t="shared" si="74"/>
        <v>2</v>
      </c>
      <c r="AH174" s="176">
        <f t="shared" si="67"/>
        <v>8</v>
      </c>
      <c r="AI174" s="225">
        <f t="shared" si="68"/>
        <v>2.2446268214712553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1090">
        <f>IF(t&gt;Tmaj,'2025'!Wh/'2025'!Env_an*'2026'!Env_an,0.001*'[8]mon-tableau'!$B$46)</f>
        <v>54.399003404665542</v>
      </c>
      <c r="C175" s="953"/>
      <c r="D175" s="393">
        <f t="shared" si="50"/>
        <v>58.017232845430122</v>
      </c>
      <c r="E175" s="385">
        <f t="shared" si="75"/>
        <v>58.851271070165126</v>
      </c>
      <c r="F175" s="385">
        <f t="shared" si="51"/>
        <v>58.958562678695174</v>
      </c>
      <c r="G175" s="110">
        <f t="shared" si="76"/>
        <v>0.99503009412542331</v>
      </c>
      <c r="H175" s="412" t="b">
        <f>Wh_hp&gt;='2025'!Maxi_hp</f>
        <v>0</v>
      </c>
      <c r="I175" s="390">
        <f>IF(H175,Wh_hp,'2025'!Maxi_hp)</f>
        <v>58.95909184944972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6.2364736532752096E-2</v>
      </c>
      <c r="M175" s="957"/>
      <c r="N175" s="957"/>
      <c r="O175" s="48">
        <f>IF(t&lt;Tnet,'2025'!Resal+('2025'!Salim-'2025'!Resal)*(1-EXP(('2025'!Tnet-t)/('2025'!Tau_j))),Resal+(Salim-Resal)*(1-EXP((Tnet-t)/(Tau_j))))*Salcycl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1.8327583852731672E-3</v>
      </c>
      <c r="Q175" s="305">
        <f t="shared" si="53"/>
        <v>0.7</v>
      </c>
      <c r="R175" s="177">
        <f t="shared" si="54"/>
        <v>0.72478437140828755</v>
      </c>
      <c r="S175" s="919">
        <f t="shared" si="55"/>
        <v>-2</v>
      </c>
      <c r="T175" s="176">
        <f t="shared" si="56"/>
        <v>4</v>
      </c>
      <c r="U175" s="251">
        <f t="shared" si="57"/>
        <v>-1.2752156285917124</v>
      </c>
      <c r="V175" s="383">
        <f t="shared" si="58"/>
        <v>54.670000860444226</v>
      </c>
      <c r="W175" s="402">
        <f t="shared" si="59"/>
        <v>54.399003404665542</v>
      </c>
      <c r="X175" s="157">
        <f t="shared" si="60"/>
        <v>46183</v>
      </c>
      <c r="Y175" s="385">
        <f t="shared" si="61"/>
        <v>51.697392146967815</v>
      </c>
      <c r="Z175" s="385">
        <f t="shared" si="62"/>
        <v>55.135929887915985</v>
      </c>
      <c r="AA175" s="386">
        <f t="shared" si="63"/>
        <v>58.43725851391568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5.6493557534249353E-2</v>
      </c>
      <c r="AD175" s="231">
        <f>(INDEX(Models!$BJ175:$BT175,,AH175)*(1-AF175)+INDEX(Models!$BJ175:$BT175,,AH175+1)*AF175-ERP_i)*AE175*Ramure*Pc/MaxiM</f>
        <v>8.9049329427277508E-3</v>
      </c>
      <c r="AE175" s="305">
        <f t="shared" si="65"/>
        <v>0.7</v>
      </c>
      <c r="AF175" s="177">
        <f t="shared" si="66"/>
        <v>0.24977193778226647</v>
      </c>
      <c r="AG175" s="919">
        <f t="shared" si="74"/>
        <v>2</v>
      </c>
      <c r="AH175" s="176">
        <f t="shared" si="67"/>
        <v>8</v>
      </c>
      <c r="AI175" s="225">
        <f t="shared" si="68"/>
        <v>2.2497719377822665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1090">
        <f>IF(t&gt;Tmaj,'2025'!Wh/'2025'!Env_an*'2026'!Env_an,0.001*'[8]mon-tableau'!$B$47)</f>
        <v>52.919014471835901</v>
      </c>
      <c r="C176" s="953"/>
      <c r="D176" s="393">
        <f t="shared" si="50"/>
        <v>56.440041902606431</v>
      </c>
      <c r="E176" s="385">
        <f t="shared" si="75"/>
        <v>57.260013501637609</v>
      </c>
      <c r="F176" s="385">
        <f t="shared" si="51"/>
        <v>57.363068144984489</v>
      </c>
      <c r="G176" s="110">
        <f t="shared" si="76"/>
        <v>0.96899529792681038</v>
      </c>
      <c r="H176" s="412" t="b">
        <f>Wh_hp&gt;='2025'!Maxi_hp</f>
        <v>0</v>
      </c>
      <c r="I176" s="390">
        <f>IF(H176,Wh_hp,'2025'!Maxi_hp)</f>
        <v>57.366339016863442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6.2385273151399412E-2</v>
      </c>
      <c r="M176" s="957"/>
      <c r="N176" s="957"/>
      <c r="O176" s="48">
        <f>IF(t&lt;Tnet,'2025'!Resal+('2025'!Salim-'2025'!Resal)*(1-EXP(('2025'!Tnet-t)/('2025'!Tau_j))),Resal+(Salim-Resal)*(1-EXP((Tnet-t)/(Tau_j))))*Salcycl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1.8795671220866996E-3</v>
      </c>
      <c r="Q176" s="305">
        <f t="shared" si="53"/>
        <v>0.7</v>
      </c>
      <c r="R176" s="177">
        <f t="shared" si="54"/>
        <v>0.729929487719299</v>
      </c>
      <c r="S176" s="919">
        <f t="shared" si="55"/>
        <v>-2</v>
      </c>
      <c r="T176" s="176">
        <f t="shared" si="56"/>
        <v>4</v>
      </c>
      <c r="U176" s="251">
        <f t="shared" si="57"/>
        <v>-1.270070512280701</v>
      </c>
      <c r="V176" s="383">
        <f t="shared" si="58"/>
        <v>54.607708201862977</v>
      </c>
      <c r="W176" s="402">
        <f t="shared" si="59"/>
        <v>52.919014471835901</v>
      </c>
      <c r="X176" s="157">
        <f t="shared" si="60"/>
        <v>46184</v>
      </c>
      <c r="Y176" s="385">
        <f t="shared" si="61"/>
        <v>50.300311130455988</v>
      </c>
      <c r="Z176" s="385">
        <f t="shared" si="62"/>
        <v>53.647100125570155</v>
      </c>
      <c r="AA176" s="386">
        <f t="shared" si="63"/>
        <v>56.866962013970976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5.6620958362603779E-2</v>
      </c>
      <c r="AD176" s="231">
        <f>(INDEX(Models!$BJ176:$BT176,,AH176)*(1-AF176)+INDEX(Models!$BJ176:$BT176,,AH176+1)*AF176-ERP_i)*AE176*Ramure*Pc/MaxiM</f>
        <v>9.0482557858162695E-3</v>
      </c>
      <c r="AE176" s="305">
        <f t="shared" si="65"/>
        <v>0.7</v>
      </c>
      <c r="AF176" s="177">
        <f t="shared" si="66"/>
        <v>0.25491705409327814</v>
      </c>
      <c r="AG176" s="919">
        <f t="shared" si="74"/>
        <v>2</v>
      </c>
      <c r="AH176" s="176">
        <f t="shared" si="67"/>
        <v>8</v>
      </c>
      <c r="AI176" s="225">
        <f t="shared" si="68"/>
        <v>2.2549170540932781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1090">
        <f>IF(t&gt;Tmaj,'2025'!Wh/'2025'!Env_an*'2026'!Env_an,0.001*'[8]mon-tableau'!$B$48)</f>
        <v>40.563613306635766</v>
      </c>
      <c r="C177" s="953"/>
      <c r="D177" s="393">
        <f t="shared" si="50"/>
        <v>43.26350750661868</v>
      </c>
      <c r="E177" s="385">
        <f t="shared" si="75"/>
        <v>43.898639131957459</v>
      </c>
      <c r="F177" s="385">
        <f t="shared" si="51"/>
        <v>43.952278559062968</v>
      </c>
      <c r="G177" s="110">
        <f t="shared" si="76"/>
        <v>0.74319321987081055</v>
      </c>
      <c r="H177" s="412" t="b">
        <f>Wh_hp&gt;='2025'!Maxi_hp</f>
        <v>0</v>
      </c>
      <c r="I177" s="390">
        <f>IF(H177,Wh_hp,'2025'!Maxi_hp)</f>
        <v>53.061432092137871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6.24058093202422E-2</v>
      </c>
      <c r="M177" s="957"/>
      <c r="N177" s="957"/>
      <c r="O177" s="48">
        <f>IF(t&lt;Tnet,'2025'!Resal+('2025'!Salim-'2025'!Resal)*(1-EXP(('2025'!Tnet-t)/('2025'!Tau_j))),Resal+(Salim-Resal)*(1-EXP((Tnet-t)/(Tau_j))))*Salcycl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1.9252788541211712E-3</v>
      </c>
      <c r="Q177" s="305">
        <f t="shared" si="53"/>
        <v>0.7</v>
      </c>
      <c r="R177" s="177">
        <f t="shared" si="54"/>
        <v>0.73507026236360495</v>
      </c>
      <c r="S177" s="919">
        <f t="shared" si="55"/>
        <v>-2</v>
      </c>
      <c r="T177" s="176">
        <f t="shared" si="56"/>
        <v>4</v>
      </c>
      <c r="U177" s="251">
        <f t="shared" si="57"/>
        <v>-1.264929737636395</v>
      </c>
      <c r="V177" s="383">
        <f t="shared" si="58"/>
        <v>54.541652041498473</v>
      </c>
      <c r="W177" s="402">
        <f t="shared" si="59"/>
        <v>40.563613306635766</v>
      </c>
      <c r="X177" s="157">
        <f t="shared" si="60"/>
        <v>46185</v>
      </c>
      <c r="Y177" s="385">
        <f t="shared" si="61"/>
        <v>38.64455743951104</v>
      </c>
      <c r="Z177" s="385">
        <f t="shared" si="62"/>
        <v>41.21672022252362</v>
      </c>
      <c r="AA177" s="386">
        <f t="shared" si="63"/>
        <v>43.696385683469785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5.6747610177841745E-2</v>
      </c>
      <c r="AD177" s="231">
        <f>(INDEX(Models!$BJ177:$BT177,,AH177)*(1-AF177)+INDEX(Models!$BJ177:$BT177,,AH177+1)*AF177-ERP_i)*AE177*Ramure*Pc/MaxiM</f>
        <v>9.1847577217919404E-3</v>
      </c>
      <c r="AE177" s="305">
        <f t="shared" si="65"/>
        <v>0.7</v>
      </c>
      <c r="AF177" s="177">
        <f t="shared" si="66"/>
        <v>0.2600578287375841</v>
      </c>
      <c r="AG177" s="919">
        <f t="shared" si="74"/>
        <v>2</v>
      </c>
      <c r="AH177" s="176">
        <f t="shared" si="67"/>
        <v>8</v>
      </c>
      <c r="AI177" s="225">
        <f t="shared" si="68"/>
        <v>2.2600578287375841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1090">
        <f>IF(t&gt;Tmaj,'2025'!Wh/'2025'!Env_an*'2026'!Env_an,0.001*'[8]mon-tableau'!$B$49)</f>
        <v>49.831561180536134</v>
      </c>
      <c r="C178" s="953"/>
      <c r="D178" s="393">
        <f t="shared" si="50"/>
        <v>53.149489554102693</v>
      </c>
      <c r="E178" s="385">
        <f t="shared" si="75"/>
        <v>53.937841842730656</v>
      </c>
      <c r="F178" s="385">
        <f t="shared" si="51"/>
        <v>54.031278810143625</v>
      </c>
      <c r="G178" s="110">
        <f t="shared" si="76"/>
        <v>0.91459925362302619</v>
      </c>
      <c r="H178" s="412" t="b">
        <f>Wh_hp&gt;='2025'!Maxi_hp</f>
        <v>0</v>
      </c>
      <c r="I178" s="390">
        <f>IF(H178,Wh_hp,'2025'!Maxi_hp)</f>
        <v>61.924411785677407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6.2426345039290121E-2</v>
      </c>
      <c r="M178" s="957"/>
      <c r="N178" s="957"/>
      <c r="O178" s="48">
        <f>IF(t&lt;Tnet,'2025'!Resal+('2025'!Salim-'2025'!Resal)*(1-EXP(('2025'!Tnet-t)/('2025'!Tau_j))),Resal+(Salim-Resal)*(1-EXP((Tnet-t)/(Tau_j))))*Salcycl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1.9689032606777009E-3</v>
      </c>
      <c r="Q178" s="305">
        <f t="shared" si="53"/>
        <v>0.7</v>
      </c>
      <c r="R178" s="177">
        <f t="shared" si="54"/>
        <v>0.74020236831687147</v>
      </c>
      <c r="S178" s="919">
        <f t="shared" si="55"/>
        <v>-2</v>
      </c>
      <c r="T178" s="176">
        <f t="shared" si="56"/>
        <v>4</v>
      </c>
      <c r="U178" s="251">
        <f t="shared" si="57"/>
        <v>-1.2597976316831285</v>
      </c>
      <c r="V178" s="383">
        <f t="shared" si="58"/>
        <v>54.471508828209117</v>
      </c>
      <c r="W178" s="402">
        <f t="shared" si="59"/>
        <v>49.831561180536134</v>
      </c>
      <c r="X178" s="157">
        <f t="shared" si="60"/>
        <v>46186</v>
      </c>
      <c r="Y178" s="385">
        <f t="shared" si="61"/>
        <v>47.386436673613808</v>
      </c>
      <c r="Z178" s="385">
        <f t="shared" si="62"/>
        <v>50.541561639335519</v>
      </c>
      <c r="AA178" s="386">
        <f t="shared" si="63"/>
        <v>53.589375844294864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5.687347831433677E-2</v>
      </c>
      <c r="AD178" s="231">
        <f>(INDEX(Models!$BJ178:$BT178,,AH178)*(1-AF178)+INDEX(Models!$BJ178:$BT178,,AH178+1)*AF178-ERP_i)*AE178*Ramure*Pc/MaxiM</f>
        <v>9.3117768529157856E-3</v>
      </c>
      <c r="AE178" s="305">
        <f t="shared" si="65"/>
        <v>0.7</v>
      </c>
      <c r="AF178" s="177">
        <f t="shared" si="66"/>
        <v>0.26518993469085039</v>
      </c>
      <c r="AG178" s="919">
        <f t="shared" si="74"/>
        <v>2</v>
      </c>
      <c r="AH178" s="176">
        <f t="shared" si="67"/>
        <v>8</v>
      </c>
      <c r="AI178" s="225">
        <f t="shared" si="68"/>
        <v>2.2651899346908504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1090">
        <f>IF(t&gt;Tmaj,'2025'!Wh/'2025'!Env_an*'2026'!Env_an,0.001*'[8]mon-tableau'!$B$50)</f>
        <v>47.444873338697832</v>
      </c>
      <c r="C179" s="953"/>
      <c r="D179" s="393">
        <f t="shared" si="50"/>
        <v>50.604997564630963</v>
      </c>
      <c r="E179" s="385">
        <f t="shared" si="75"/>
        <v>51.363301398512817</v>
      </c>
      <c r="F179" s="385">
        <f t="shared" si="51"/>
        <v>51.447870401986407</v>
      </c>
      <c r="G179" s="110">
        <f t="shared" si="76"/>
        <v>0.87186530247440863</v>
      </c>
      <c r="H179" s="412" t="b">
        <f>Wh_hp&gt;='2025'!Maxi_hp</f>
        <v>0</v>
      </c>
      <c r="I179" s="390">
        <f>IF(H179,Wh_hp,'2025'!Maxi_hp)</f>
        <v>57.572810186062441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6.2446880308553165E-2</v>
      </c>
      <c r="M179" s="957"/>
      <c r="N179" s="957"/>
      <c r="O179" s="48">
        <f>IF(t&lt;Tnet,'2025'!Resal+('2025'!Salim-'2025'!Resal)*(1-EXP(('2025'!Tnet-t)/('2025'!Tau_j))),Resal+(Salim-Resal)*(1-EXP((Tnet-t)/(Tau_j))))*Salcycl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2.010965221912576E-3</v>
      </c>
      <c r="Q179" s="305">
        <f t="shared" si="53"/>
        <v>0.7</v>
      </c>
      <c r="R179" s="177">
        <f t="shared" si="54"/>
        <v>0.7453215077346973</v>
      </c>
      <c r="S179" s="919">
        <f t="shared" si="55"/>
        <v>-2</v>
      </c>
      <c r="T179" s="176">
        <f t="shared" si="56"/>
        <v>4</v>
      </c>
      <c r="U179" s="251">
        <f t="shared" si="57"/>
        <v>-1.2546784922653027</v>
      </c>
      <c r="V179" s="383">
        <f t="shared" si="58"/>
        <v>54.397650056165503</v>
      </c>
      <c r="W179" s="402">
        <f t="shared" si="59"/>
        <v>47.444873338697832</v>
      </c>
      <c r="X179" s="157">
        <f t="shared" si="60"/>
        <v>46187</v>
      </c>
      <c r="Y179" s="385">
        <f t="shared" si="61"/>
        <v>45.135114623540922</v>
      </c>
      <c r="Z179" s="385">
        <f t="shared" si="62"/>
        <v>48.141394525352446</v>
      </c>
      <c r="AA179" s="386">
        <f t="shared" si="63"/>
        <v>51.051240185023786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5.6998530283010836E-2</v>
      </c>
      <c r="AD179" s="231">
        <f>(INDEX(Models!$BJ179:$BT179,,AH179)*(1-AF179)+INDEX(Models!$BJ179:$BT179,,AH179+1)*AF179-ERP_i)*AE179*Ramure*Pc/MaxiM</f>
        <v>9.4314647153260212E-3</v>
      </c>
      <c r="AE179" s="305">
        <f t="shared" si="65"/>
        <v>0.7</v>
      </c>
      <c r="AF179" s="177">
        <f t="shared" si="66"/>
        <v>0.27030907410867666</v>
      </c>
      <c r="AG179" s="919">
        <f t="shared" si="74"/>
        <v>2</v>
      </c>
      <c r="AH179" s="176">
        <f t="shared" si="67"/>
        <v>8</v>
      </c>
      <c r="AI179" s="225">
        <f t="shared" si="68"/>
        <v>2.2703090741086767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1090">
        <f>IF(t&gt;Tmaj,'2025'!Wh/'2025'!Env_an*'2026'!Env_an,0.001*'[8]mon-tableau'!$B$51)</f>
        <v>50.935371688105896</v>
      </c>
      <c r="C180" s="953"/>
      <c r="D180" s="393">
        <f t="shared" si="50"/>
        <v>54.329174804161347</v>
      </c>
      <c r="E180" s="385">
        <f t="shared" si="75"/>
        <v>55.151534148443339</v>
      </c>
      <c r="F180" s="385">
        <f t="shared" si="51"/>
        <v>55.254790766869434</v>
      </c>
      <c r="G180" s="110">
        <f t="shared" si="76"/>
        <v>0.93751106576503018</v>
      </c>
      <c r="H180" s="412" t="b">
        <f>Wh_hp&gt;='2025'!Maxi_hp</f>
        <v>0</v>
      </c>
      <c r="I180" s="390">
        <f>IF(H180,Wh_hp,'2025'!Maxi_hp)</f>
        <v>55.261532485244501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6.2467415128040993E-2</v>
      </c>
      <c r="M180" s="957"/>
      <c r="N180" s="957"/>
      <c r="O180" s="48">
        <f>IF(t&lt;Tnet,'2025'!Resal+('2025'!Salim-'2025'!Resal)*(1-EXP(('2025'!Tnet-t)/('2025'!Tau_j))),Resal+(Salim-Resal)*(1-EXP((Tnet-t)/(Tau_j))))*Salcycl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2.0513577844110597E-3</v>
      </c>
      <c r="Q180" s="305">
        <f t="shared" si="53"/>
        <v>0.7</v>
      </c>
      <c r="R180" s="177">
        <f t="shared" si="54"/>
        <v>0.75042342628183745</v>
      </c>
      <c r="S180" s="919">
        <f t="shared" si="55"/>
        <v>-2</v>
      </c>
      <c r="T180" s="176">
        <f t="shared" si="56"/>
        <v>4</v>
      </c>
      <c r="U180" s="251">
        <f t="shared" si="57"/>
        <v>-1.2495765737181626</v>
      </c>
      <c r="V180" s="383">
        <f t="shared" si="58"/>
        <v>54.320481352760922</v>
      </c>
      <c r="W180" s="402">
        <f t="shared" si="59"/>
        <v>50.935371688105896</v>
      </c>
      <c r="X180" s="157">
        <f t="shared" si="60"/>
        <v>46188</v>
      </c>
      <c r="Y180" s="385">
        <f t="shared" si="61"/>
        <v>48.419379753503868</v>
      </c>
      <c r="Z180" s="385">
        <f t="shared" si="62"/>
        <v>51.645543349425679</v>
      </c>
      <c r="AA180" s="386">
        <f t="shared" si="63"/>
        <v>54.77440735450876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5.7122735894385365E-2</v>
      </c>
      <c r="AD180" s="231">
        <f>(INDEX(Models!$BJ180:$BT180,,AH180)*(1-AF180)+INDEX(Models!$BJ180:$BT180,,AH180+1)*AF180-ERP_i)*AE180*Ramure*Pc/MaxiM</f>
        <v>9.5435843965133021E-3</v>
      </c>
      <c r="AE180" s="305">
        <f t="shared" si="65"/>
        <v>0.7</v>
      </c>
      <c r="AF180" s="177">
        <f t="shared" si="66"/>
        <v>0.27541099265581659</v>
      </c>
      <c r="AG180" s="919">
        <f t="shared" si="74"/>
        <v>2</v>
      </c>
      <c r="AH180" s="176">
        <f t="shared" si="67"/>
        <v>8</v>
      </c>
      <c r="AI180" s="225">
        <f t="shared" si="68"/>
        <v>2.2754109926558166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1090">
        <f>IF(t&gt;Tmaj,'2025'!Wh/'2025'!Env_an*'2026'!Env_an,0.001*'[8]mon-tableau'!$B$52)</f>
        <v>49.43002464778219</v>
      </c>
      <c r="C181" s="953"/>
      <c r="D181" s="393">
        <f t="shared" si="50"/>
        <v>52.724681908143943</v>
      </c>
      <c r="E181" s="385">
        <f t="shared" si="75"/>
        <v>53.530750353309656</v>
      </c>
      <c r="F181" s="385">
        <f t="shared" si="51"/>
        <v>53.628632488675329</v>
      </c>
      <c r="G181" s="110">
        <f t="shared" si="76"/>
        <v>0.91107191224026385</v>
      </c>
      <c r="H181" s="412" t="b">
        <f>Wh_hp&gt;='2025'!Maxi_hp</f>
        <v>0</v>
      </c>
      <c r="I181" s="390">
        <f>IF(H181,Wh_hp,'2025'!Maxi_hp)</f>
        <v>59.636866753529013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6.2487949497763706E-2</v>
      </c>
      <c r="M181" s="957"/>
      <c r="N181" s="957"/>
      <c r="O181" s="48">
        <f>IF(t&lt;Tnet,'2025'!Resal+('2025'!Salim-'2025'!Resal)*(1-EXP(('2025'!Tnet-t)/('2025'!Tau_j))),Resal+(Salim-Resal)*(1-EXP((Tnet-t)/(Tau_j))))*Salcycl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2.0899728906998817E-3</v>
      </c>
      <c r="Q181" s="305">
        <f t="shared" si="53"/>
        <v>0.7</v>
      </c>
      <c r="R181" s="177">
        <f t="shared" si="54"/>
        <v>0.75550392715210934</v>
      </c>
      <c r="S181" s="919">
        <f t="shared" si="55"/>
        <v>-2</v>
      </c>
      <c r="T181" s="176">
        <f t="shared" si="56"/>
        <v>4</v>
      </c>
      <c r="U181" s="251">
        <f t="shared" si="57"/>
        <v>-1.2444960728478907</v>
      </c>
      <c r="V181" s="383">
        <f t="shared" si="58"/>
        <v>54.240407965831757</v>
      </c>
      <c r="W181" s="402">
        <f t="shared" si="59"/>
        <v>49.43002464778219</v>
      </c>
      <c r="X181" s="157">
        <f t="shared" si="60"/>
        <v>46189</v>
      </c>
      <c r="Y181" s="385">
        <f t="shared" si="61"/>
        <v>46.999934911907154</v>
      </c>
      <c r="Z181" s="385">
        <f t="shared" si="62"/>
        <v>50.132619507907904</v>
      </c>
      <c r="AA181" s="386">
        <f t="shared" si="63"/>
        <v>53.176781101336104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5.7246067369649614E-2</v>
      </c>
      <c r="AD181" s="231">
        <f>(INDEX(Models!$BJ181:$BT181,,AH181)*(1-AF181)+INDEX(Models!$BJ181:$BT181,,AH181+1)*AF181-ERP_i)*AE181*Ramure*Pc/MaxiM</f>
        <v>9.6479009845481835E-3</v>
      </c>
      <c r="AE181" s="305">
        <f t="shared" si="65"/>
        <v>0.7</v>
      </c>
      <c r="AF181" s="177">
        <f t="shared" si="66"/>
        <v>0.28049149352608849</v>
      </c>
      <c r="AG181" s="919">
        <f t="shared" si="74"/>
        <v>2</v>
      </c>
      <c r="AH181" s="176">
        <f t="shared" si="67"/>
        <v>8</v>
      </c>
      <c r="AI181" s="225">
        <f t="shared" si="68"/>
        <v>2.2804914935260885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1090">
        <f>IF(t&gt;Tmaj,'2025'!Wh/'2025'!Env_an*'2026'!Env_an,0.001*'[8]mon-tableau'!$B$53)</f>
        <v>50.075516001343125</v>
      </c>
      <c r="C182" s="953"/>
      <c r="D182" s="393">
        <f t="shared" si="50"/>
        <v>53.414367080247359</v>
      </c>
      <c r="E182" s="385">
        <f t="shared" si="75"/>
        <v>54.239068783996082</v>
      </c>
      <c r="F182" s="385">
        <f t="shared" si="51"/>
        <v>54.342193526323186</v>
      </c>
      <c r="G182" s="110">
        <f t="shared" si="76"/>
        <v>0.92440967484190062</v>
      </c>
      <c r="H182" s="412" t="b">
        <f>Wh_hp&gt;='2025'!Maxi_hp</f>
        <v>0</v>
      </c>
      <c r="I182" s="390">
        <f>IF(H182,Wh_hp,'2025'!Maxi_hp)</f>
        <v>58.647204437041879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6.2508483417730965E-2</v>
      </c>
      <c r="M182" s="957"/>
      <c r="N182" s="957"/>
      <c r="O182" s="48">
        <f>IF(t&lt;Tnet,'2025'!Resal+('2025'!Salim-'2025'!Resal)*(1-EXP(('2025'!Tnet-t)/('2025'!Tau_j))),Resal+(Salim-Resal)*(1-EXP((Tnet-t)/(Tau_j))))*Salcycl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2.1267017908964958E-3</v>
      </c>
      <c r="Q182" s="305">
        <f t="shared" si="53"/>
        <v>0.7</v>
      </c>
      <c r="R182" s="177">
        <f t="shared" si="54"/>
        <v>0.76055888468176902</v>
      </c>
      <c r="S182" s="919">
        <f t="shared" si="55"/>
        <v>-2</v>
      </c>
      <c r="T182" s="176">
        <f t="shared" si="56"/>
        <v>4</v>
      </c>
      <c r="U182" s="251">
        <f t="shared" si="57"/>
        <v>-1.239441115318231</v>
      </c>
      <c r="V182" s="383">
        <f t="shared" si="58"/>
        <v>54.157834749452881</v>
      </c>
      <c r="W182" s="402">
        <f t="shared" si="59"/>
        <v>50.075516001343125</v>
      </c>
      <c r="X182" s="157">
        <f t="shared" si="60"/>
        <v>46190</v>
      </c>
      <c r="Y182" s="385">
        <f t="shared" si="61"/>
        <v>47.605135004785012</v>
      </c>
      <c r="Z182" s="385">
        <f t="shared" si="62"/>
        <v>50.779270172315691</v>
      </c>
      <c r="AA182" s="386">
        <f t="shared" si="63"/>
        <v>53.869693662995253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5.7368499438905624E-2</v>
      </c>
      <c r="AD182" s="231">
        <f>(INDEX(Models!$BJ182:$BT182,,AH182)*(1-AF182)+INDEX(Models!$BJ182:$BT182,,AH182+1)*AF182-ERP_i)*AE182*Ramure*Pc/MaxiM</f>
        <v>9.744182461571679E-3</v>
      </c>
      <c r="AE182" s="305">
        <f t="shared" si="65"/>
        <v>0.7</v>
      </c>
      <c r="AF182" s="177">
        <f t="shared" si="66"/>
        <v>0.28554645105574838</v>
      </c>
      <c r="AG182" s="919">
        <f t="shared" si="74"/>
        <v>2</v>
      </c>
      <c r="AH182" s="176">
        <f t="shared" si="67"/>
        <v>8</v>
      </c>
      <c r="AI182" s="225">
        <f t="shared" si="68"/>
        <v>2.2855464510557484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1090">
        <f>IF(t&gt;Tmaj,'2025'!Wh/'2025'!Env_an*'2026'!Env_an,0.001*'[8]mon-tableau'!$B$54)</f>
        <v>51.76280814453127</v>
      </c>
      <c r="C183" s="953"/>
      <c r="D183" s="393">
        <f t="shared" si="50"/>
        <v>55.215371010949504</v>
      </c>
      <c r="E183" s="385">
        <f t="shared" si="75"/>
        <v>56.076229462823385</v>
      </c>
      <c r="F183" s="385">
        <f t="shared" si="51"/>
        <v>56.190267949985795</v>
      </c>
      <c r="G183" s="110">
        <f t="shared" si="76"/>
        <v>0.95714693472752632</v>
      </c>
      <c r="H183" s="412" t="b">
        <f>Wh_hp&gt;='2025'!Maxi_hp</f>
        <v>0</v>
      </c>
      <c r="I183" s="390">
        <f>IF(H183,Wh_hp,'2025'!Maxi_hp)</f>
        <v>56.677985927992459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6.2529016887952649E-2</v>
      </c>
      <c r="M183" s="957"/>
      <c r="N183" s="957"/>
      <c r="O183" s="48">
        <f>IF(t&lt;Tnet,'2025'!Resal+('2025'!Salim-'2025'!Resal)*(1-EXP(('2025'!Tnet-t)/('2025'!Tau_j))),Resal+(Salim-Resal)*(1-EXP((Tnet-t)/(Tau_j))))*Salcycl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2.1614354595023977E-3</v>
      </c>
      <c r="Q183" s="305">
        <f t="shared" si="53"/>
        <v>0.7</v>
      </c>
      <c r="R183" s="177">
        <f t="shared" si="54"/>
        <v>0.76558425746404102</v>
      </c>
      <c r="S183" s="919">
        <f t="shared" si="55"/>
        <v>-2</v>
      </c>
      <c r="T183" s="176">
        <f t="shared" si="56"/>
        <v>4</v>
      </c>
      <c r="U183" s="251">
        <f t="shared" si="57"/>
        <v>-1.234415742535959</v>
      </c>
      <c r="V183" s="383">
        <f t="shared" si="58"/>
        <v>54.073166136529522</v>
      </c>
      <c r="W183" s="402">
        <f t="shared" si="59"/>
        <v>51.76280814453127</v>
      </c>
      <c r="X183" s="157">
        <f t="shared" si="60"/>
        <v>46191</v>
      </c>
      <c r="Y183" s="385">
        <f t="shared" si="61"/>
        <v>49.190002303720753</v>
      </c>
      <c r="Z183" s="385">
        <f t="shared" si="62"/>
        <v>52.470959837528667</v>
      </c>
      <c r="AA183" s="386">
        <f t="shared" si="63"/>
        <v>55.671515805964404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5.7490009425840823E-2</v>
      </c>
      <c r="AD183" s="231">
        <f>(INDEX(Models!$BJ183:$BT183,,AH183)*(1-AF183)+INDEX(Models!$BJ183:$BT183,,AH183+1)*AF183-ERP_i)*AE183*Ramure*Pc/MaxiM</f>
        <v>9.8322005726357749E-3</v>
      </c>
      <c r="AE183" s="305">
        <f t="shared" si="65"/>
        <v>0.7</v>
      </c>
      <c r="AF183" s="177">
        <f t="shared" si="66"/>
        <v>0.29057182383801994</v>
      </c>
      <c r="AG183" s="919">
        <f t="shared" si="74"/>
        <v>2</v>
      </c>
      <c r="AH183" s="176">
        <f t="shared" si="67"/>
        <v>8</v>
      </c>
      <c r="AI183" s="225">
        <f t="shared" si="68"/>
        <v>2.2905718238380199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1090">
        <f>IF(t&gt;Tmaj,'2025'!Wh/'2025'!Env_an*'2026'!Env_an,0.001*'[8]mon-tableau'!$B$55)</f>
        <v>52.851517527441594</v>
      </c>
      <c r="C184" s="953"/>
      <c r="D184" s="393">
        <f t="shared" si="50"/>
        <v>56.377931785386153</v>
      </c>
      <c r="E184" s="385">
        <f t="shared" si="75"/>
        <v>57.26542819501158</v>
      </c>
      <c r="F184" s="385">
        <f t="shared" si="51"/>
        <v>57.387502194497849</v>
      </c>
      <c r="G184" s="110">
        <f t="shared" si="76"/>
        <v>0.97890538871869848</v>
      </c>
      <c r="H184" s="412" t="b">
        <f>Wh_hp&gt;='2025'!Maxi_hp</f>
        <v>0</v>
      </c>
      <c r="I184" s="390">
        <f>IF(H184,Wh_hp,'2025'!Maxi_hp)</f>
        <v>57.389962930332153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6.254954990843864E-2</v>
      </c>
      <c r="M184" s="957"/>
      <c r="N184" s="957"/>
      <c r="O184" s="48">
        <f>IF(t&lt;Tnet,'2025'!Resal+('2025'!Salim-'2025'!Resal)*(1-EXP(('2025'!Tnet-t)/('2025'!Tau_j))),Resal+(Salim-Resal)*(1-EXP((Tnet-t)/(Tau_j))))*Salcycl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2.1930740115822167E-3</v>
      </c>
      <c r="Q184" s="305">
        <f t="shared" si="53"/>
        <v>0.7</v>
      </c>
      <c r="R184" s="177">
        <f t="shared" si="54"/>
        <v>0.77057610087845352</v>
      </c>
      <c r="S184" s="919">
        <f t="shared" si="55"/>
        <v>-2</v>
      </c>
      <c r="T184" s="176">
        <f t="shared" si="56"/>
        <v>4</v>
      </c>
      <c r="U184" s="251">
        <f t="shared" si="57"/>
        <v>-1.2294238991215465</v>
      </c>
      <c r="V184" s="383">
        <f t="shared" si="58"/>
        <v>53.986859743267495</v>
      </c>
      <c r="W184" s="402">
        <f t="shared" si="59"/>
        <v>52.851517527441594</v>
      </c>
      <c r="X184" s="157">
        <f t="shared" si="60"/>
        <v>46192</v>
      </c>
      <c r="Y184" s="385">
        <f t="shared" si="61"/>
        <v>50.211325410981537</v>
      </c>
      <c r="Z184" s="385">
        <f t="shared" si="62"/>
        <v>53.561578007752161</v>
      </c>
      <c r="AA184" s="386">
        <f t="shared" si="63"/>
        <v>56.835928670897317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5.7610577318177501E-2</v>
      </c>
      <c r="AD184" s="231">
        <f>(INDEX(Models!$BJ184:$BT184,,AH184)*(1-AF184)+INDEX(Models!$BJ184:$BT184,,AH184+1)*AF184-ERP_i)*AE184*Ramure*Pc/MaxiM</f>
        <v>9.9090843682993826E-3</v>
      </c>
      <c r="AE184" s="305">
        <f t="shared" si="65"/>
        <v>0.7</v>
      </c>
      <c r="AF184" s="177">
        <f t="shared" si="66"/>
        <v>0.29556366725243244</v>
      </c>
      <c r="AG184" s="919">
        <f t="shared" si="74"/>
        <v>2</v>
      </c>
      <c r="AH184" s="176">
        <f t="shared" si="67"/>
        <v>8</v>
      </c>
      <c r="AI184" s="225">
        <f t="shared" si="68"/>
        <v>2.2955636672524324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1090">
        <f>IF(t&gt;Tmaj,'2025'!Wh/'2025'!Env_an*'2026'!Env_an,0.001*'[8]mon-tableau'!$B$56)</f>
        <v>33.335542827778362</v>
      </c>
      <c r="C185" s="953"/>
      <c r="D185" s="393">
        <f t="shared" si="50"/>
        <v>35.560570667447962</v>
      </c>
      <c r="E185" s="385">
        <f t="shared" si="75"/>
        <v>36.125722748217783</v>
      </c>
      <c r="F185" s="385">
        <f t="shared" si="51"/>
        <v>36.162292085398718</v>
      </c>
      <c r="G185" s="110">
        <f t="shared" si="76"/>
        <v>0.61772872556495406</v>
      </c>
      <c r="H185" s="412" t="b">
        <f>Wh_hp&gt;='2025'!Maxi_hp</f>
        <v>0</v>
      </c>
      <c r="I185" s="390">
        <f>IF(H185,Wh_hp,'2025'!Maxi_hp)</f>
        <v>50.746590499850917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6.2570082479198819E-2</v>
      </c>
      <c r="M185" s="957"/>
      <c r="N185" s="957"/>
      <c r="O185" s="48">
        <f>IF(t&lt;Tnet,'2025'!Resal+('2025'!Salim-'2025'!Resal)*(1-EXP(('2025'!Tnet-t)/('2025'!Tau_j))),Resal+(Salim-Resal)*(1-EXP((Tnet-t)/(Tau_j))))*Salcycl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2.2226892388279925E-3</v>
      </c>
      <c r="Q185" s="305">
        <f t="shared" si="53"/>
        <v>0.7</v>
      </c>
      <c r="R185" s="177">
        <f t="shared" si="54"/>
        <v>0.77553057895553579</v>
      </c>
      <c r="S185" s="919">
        <f t="shared" si="55"/>
        <v>-2</v>
      </c>
      <c r="T185" s="176">
        <f t="shared" si="56"/>
        <v>4</v>
      </c>
      <c r="U185" s="251">
        <f t="shared" si="57"/>
        <v>-1.2244694210444642</v>
      </c>
      <c r="V185" s="383">
        <f t="shared" si="58"/>
        <v>53.899255106163785</v>
      </c>
      <c r="W185" s="402">
        <f t="shared" si="59"/>
        <v>33.335542827778362</v>
      </c>
      <c r="X185" s="157">
        <f t="shared" si="60"/>
        <v>46193</v>
      </c>
      <c r="Y185" s="385">
        <f t="shared" si="61"/>
        <v>31.797545829767376</v>
      </c>
      <c r="Z185" s="385">
        <f t="shared" si="62"/>
        <v>33.919917889821136</v>
      </c>
      <c r="AA185" s="386">
        <f t="shared" si="63"/>
        <v>35.998094579162895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5.7730185823354402E-2</v>
      </c>
      <c r="AD185" s="231">
        <f>(INDEX(Models!$BJ185:$BT185,,AH185)*(1-AF185)+INDEX(Models!$BJ185:$BT185,,AH185+1)*AF185-ERP_i)*AE185*Ramure*Pc/MaxiM</f>
        <v>9.9799465422917427E-3</v>
      </c>
      <c r="AE185" s="305">
        <f t="shared" si="65"/>
        <v>0.7</v>
      </c>
      <c r="AF185" s="177">
        <f t="shared" si="66"/>
        <v>0.30051814532951493</v>
      </c>
      <c r="AG185" s="919">
        <f t="shared" si="74"/>
        <v>2</v>
      </c>
      <c r="AH185" s="176">
        <f t="shared" si="67"/>
        <v>8</v>
      </c>
      <c r="AI185" s="225">
        <f t="shared" si="68"/>
        <v>2.3005181453295149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1090">
        <f>IF(t&gt;Tmaj,'2025'!Wh/'2025'!Env_an*'2026'!Env_an,0.001*'[8]mon-tableau'!$B$57)</f>
        <v>23.567940111919096</v>
      </c>
      <c r="C186" s="953"/>
      <c r="D186" s="393">
        <f t="shared" si="50"/>
        <v>25.141566191881658</v>
      </c>
      <c r="E186" s="385">
        <f t="shared" si="75"/>
        <v>25.544916304152078</v>
      </c>
      <c r="F186" s="385">
        <f t="shared" si="51"/>
        <v>25.556251452222476</v>
      </c>
      <c r="G186" s="110">
        <f t="shared" si="76"/>
        <v>0.43718662497164384</v>
      </c>
      <c r="H186" s="412" t="b">
        <f>Wh_hp&gt;='2025'!Maxi_hp</f>
        <v>0</v>
      </c>
      <c r="I186" s="390">
        <f>IF(H186,Wh_hp,'2025'!Maxi_hp)</f>
        <v>50.271199376554243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6.2590614600242955E-2</v>
      </c>
      <c r="M186" s="957"/>
      <c r="N186" s="957"/>
      <c r="O186" s="48">
        <f>IF(t&lt;Tnet,'2025'!Resal+('2025'!Salim-'2025'!Resal)*(1-EXP(('2025'!Tnet-t)/('2025'!Tau_j))),Resal+(Salim-Resal)*(1-EXP((Tnet-t)/(Tau_j))))*Salcycl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2.2501810491681986E-3</v>
      </c>
      <c r="Q186" s="305">
        <f t="shared" si="53"/>
        <v>0.7</v>
      </c>
      <c r="R186" s="177">
        <f t="shared" si="54"/>
        <v>0.78044397550516242</v>
      </c>
      <c r="S186" s="919">
        <f t="shared" si="55"/>
        <v>-2</v>
      </c>
      <c r="T186" s="176">
        <f t="shared" si="56"/>
        <v>4</v>
      </c>
      <c r="U186" s="251">
        <f t="shared" si="57"/>
        <v>-1.2195560244948376</v>
      </c>
      <c r="V186" s="383">
        <f t="shared" si="58"/>
        <v>53.81075495065641</v>
      </c>
      <c r="W186" s="402">
        <f t="shared" si="59"/>
        <v>23.567940111919096</v>
      </c>
      <c r="X186" s="157">
        <f t="shared" si="60"/>
        <v>46194</v>
      </c>
      <c r="Y186" s="385">
        <f t="shared" si="61"/>
        <v>22.526116673774084</v>
      </c>
      <c r="Z186" s="385">
        <f t="shared" si="62"/>
        <v>24.030180436232619</v>
      </c>
      <c r="AA186" s="386">
        <f t="shared" si="63"/>
        <v>25.505652337732691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5.7848820409007157E-2</v>
      </c>
      <c r="AD186" s="231">
        <f>(INDEX(Models!$BJ186:$BT186,,AH186)*(1-AF186)+INDEX(Models!$BJ186:$BT186,,AH186+1)*AF186-ERP_i)*AE186*Ramure*Pc/MaxiM</f>
        <v>1.0044612370520119E-2</v>
      </c>
      <c r="AE186" s="305">
        <f t="shared" si="65"/>
        <v>0.7</v>
      </c>
      <c r="AF186" s="177">
        <f t="shared" si="66"/>
        <v>0.30543154187914157</v>
      </c>
      <c r="AG186" s="919">
        <f t="shared" si="74"/>
        <v>2</v>
      </c>
      <c r="AH186" s="176">
        <f t="shared" si="67"/>
        <v>8</v>
      </c>
      <c r="AI186" s="225">
        <f t="shared" si="68"/>
        <v>2.3054315418791416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1090">
        <f>IF(t&gt;Tmaj,'2025'!Wh/'2025'!Env_an*'2026'!Env_an,0.001*'[8]mon-tableau'!$B$58)</f>
        <v>41.616130378030533</v>
      </c>
      <c r="C187" s="953"/>
      <c r="D187" s="393">
        <f t="shared" si="50"/>
        <v>44.395802459677626</v>
      </c>
      <c r="E187" s="385">
        <f t="shared" si="75"/>
        <v>45.114721155575836</v>
      </c>
      <c r="F187" s="385">
        <f t="shared" si="51"/>
        <v>45.184438595031089</v>
      </c>
      <c r="G187" s="110">
        <f t="shared" si="76"/>
        <v>0.77409225512540147</v>
      </c>
      <c r="H187" s="412" t="b">
        <f>Wh_hp&gt;='2025'!Maxi_hp</f>
        <v>0</v>
      </c>
      <c r="I187" s="390">
        <f>IF(H187,Wh_hp,'2025'!Maxi_hp)</f>
        <v>58.651325061036623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6.2611146271581042E-2</v>
      </c>
      <c r="M187" s="957"/>
      <c r="N187" s="957"/>
      <c r="O187" s="48">
        <f>IF(t&lt;Tnet,'2025'!Resal+('2025'!Salim-'2025'!Resal)*(1-EXP(('2025'!Tnet-t)/('2025'!Tau_j))),Resal+(Salim-Resal)*(1-EXP((Tnet-t)/(Tau_j))))*Salcycl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2.275450653320387E-3</v>
      </c>
      <c r="Q187" s="305">
        <f t="shared" si="53"/>
        <v>0.7</v>
      </c>
      <c r="R187" s="177">
        <f t="shared" si="54"/>
        <v>0.78531270444525014</v>
      </c>
      <c r="S187" s="919">
        <f t="shared" si="55"/>
        <v>-2</v>
      </c>
      <c r="T187" s="176">
        <f t="shared" si="56"/>
        <v>4</v>
      </c>
      <c r="U187" s="251">
        <f t="shared" si="57"/>
        <v>-1.2146872955547499</v>
      </c>
      <c r="V187" s="383">
        <f t="shared" si="58"/>
        <v>53.721761525955756</v>
      </c>
      <c r="W187" s="402">
        <f t="shared" si="59"/>
        <v>41.616130378030533</v>
      </c>
      <c r="X187" s="157">
        <f t="shared" si="60"/>
        <v>46195</v>
      </c>
      <c r="Y187" s="385">
        <f t="shared" si="61"/>
        <v>39.626854504245976</v>
      </c>
      <c r="Z187" s="385">
        <f t="shared" si="62"/>
        <v>42.273656601134178</v>
      </c>
      <c r="AA187" s="386">
        <f t="shared" si="63"/>
        <v>44.874895876556657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5.796646932793012E-2</v>
      </c>
      <c r="AD187" s="231">
        <f>(INDEX(Models!$BJ187:$BT187,,AH187)*(1-AF187)+INDEX(Models!$BJ187:$BT187,,AH187+1)*AF187-ERP_i)*AE187*Ramure*Pc/MaxiM</f>
        <v>1.0102912362915127E-2</v>
      </c>
      <c r="AE187" s="305">
        <f t="shared" si="65"/>
        <v>0.7</v>
      </c>
      <c r="AF187" s="177">
        <f t="shared" si="66"/>
        <v>0.31030027081922906</v>
      </c>
      <c r="AG187" s="919">
        <f t="shared" si="74"/>
        <v>2</v>
      </c>
      <c r="AH187" s="176">
        <f t="shared" si="67"/>
        <v>8</v>
      </c>
      <c r="AI187" s="225">
        <f t="shared" si="68"/>
        <v>2.3103002708192291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1090">
        <f>IF(t&gt;Tmaj,'2025'!Wh/'2025'!Env_an*'2026'!Env_an,0.001*'[8]mon-tableau'!$B$59)</f>
        <v>41.252816726666168</v>
      </c>
      <c r="C188" s="953"/>
      <c r="D188" s="393">
        <f t="shared" si="50"/>
        <v>44.009185862335244</v>
      </c>
      <c r="E188" s="385">
        <f t="shared" si="75"/>
        <v>44.728443787157701</v>
      </c>
      <c r="F188" s="385">
        <f t="shared" si="51"/>
        <v>44.797453433476377</v>
      </c>
      <c r="G188" s="110">
        <f t="shared" si="76"/>
        <v>0.76858931516741735</v>
      </c>
      <c r="H188" s="412" t="b">
        <f>Wh_hp&gt;='2025'!Maxi_hp</f>
        <v>0</v>
      </c>
      <c r="I188" s="390">
        <f>IF(H188,Wh_hp,'2025'!Maxi_hp)</f>
        <v>52.717054573900171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6.2631677493222737E-2</v>
      </c>
      <c r="M188" s="957"/>
      <c r="N188" s="957"/>
      <c r="O188" s="48">
        <f>IF(t&lt;Tnet,'2025'!Resal+('2025'!Salim-'2025'!Resal)*(1-EXP(('2025'!Tnet-t)/('2025'!Tau_j))),Resal+(Salim-Resal)*(1-EXP((Tnet-t)/(Tau_j))))*Salcycl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2.2983774298837687E-3</v>
      </c>
      <c r="Q188" s="305">
        <f t="shared" si="53"/>
        <v>0.7</v>
      </c>
      <c r="R188" s="177">
        <f t="shared" si="54"/>
        <v>0.79013331927647212</v>
      </c>
      <c r="S188" s="919">
        <f t="shared" si="55"/>
        <v>-2</v>
      </c>
      <c r="T188" s="176">
        <f t="shared" si="56"/>
        <v>4</v>
      </c>
      <c r="U188" s="251">
        <f t="shared" si="57"/>
        <v>-1.2098666807235279</v>
      </c>
      <c r="V188" s="383">
        <f t="shared" si="58"/>
        <v>53.632677857371519</v>
      </c>
      <c r="W188" s="402">
        <f t="shared" si="59"/>
        <v>41.252816726666168</v>
      </c>
      <c r="X188" s="157">
        <f t="shared" si="60"/>
        <v>46196</v>
      </c>
      <c r="Y188" s="385">
        <f t="shared" si="61"/>
        <v>39.283505010131549</v>
      </c>
      <c r="Z188" s="385">
        <f t="shared" si="62"/>
        <v>41.908291614844416</v>
      </c>
      <c r="AA188" s="386">
        <f t="shared" si="63"/>
        <v>44.492558383955561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5.8083123627322319E-2</v>
      </c>
      <c r="AD188" s="231">
        <f>(INDEX(Models!$BJ188:$BT188,,AH188)*(1-AF188)+INDEX(Models!$BJ188:$BT188,,AH188+1)*AF188-ERP_i)*AE188*Ramure*Pc/MaxiM</f>
        <v>1.0154578927501096E-2</v>
      </c>
      <c r="AE188" s="305">
        <f t="shared" si="65"/>
        <v>0.7</v>
      </c>
      <c r="AF188" s="177">
        <f t="shared" si="66"/>
        <v>0.31512088565045104</v>
      </c>
      <c r="AG188" s="919">
        <f t="shared" si="74"/>
        <v>2</v>
      </c>
      <c r="AH188" s="176">
        <f t="shared" si="67"/>
        <v>8</v>
      </c>
      <c r="AI188" s="225">
        <f t="shared" si="68"/>
        <v>2.315120885650451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1090">
        <f>IF(t&gt;Tmaj,'2025'!Wh/'2025'!Env_an*'2026'!Env_an,0.001*'[8]mon-tableau'!$B$60)</f>
        <v>39.293109065089801</v>
      </c>
      <c r="C189" s="953"/>
      <c r="D189" s="393">
        <f t="shared" si="50"/>
        <v>41.919455522871623</v>
      </c>
      <c r="E189" s="385">
        <f t="shared" si="75"/>
        <v>42.610835057481808</v>
      </c>
      <c r="F189" s="385">
        <f t="shared" si="51"/>
        <v>42.672162592000689</v>
      </c>
      <c r="G189" s="110">
        <f t="shared" si="76"/>
        <v>0.7332004421274968</v>
      </c>
      <c r="H189" s="412" t="b">
        <f>Wh_hp&gt;='2025'!Maxi_hp</f>
        <v>0</v>
      </c>
      <c r="I189" s="390">
        <f>IF(H189,Wh_hp,'2025'!Maxi_hp)</f>
        <v>57.879746381610467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6.2652208265178033E-2</v>
      </c>
      <c r="M189" s="957"/>
      <c r="N189" s="957"/>
      <c r="O189" s="48">
        <f>IF(t&lt;Tnet,'2025'!Resal+('2025'!Salim-'2025'!Resal)*(1-EXP(('2025'!Tnet-t)/('2025'!Tau_j))),Resal+(Salim-Resal)*(1-EXP((Tnet-t)/(Tau_j))))*Salcycl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2.3188406922677609E-3</v>
      </c>
      <c r="Q189" s="305">
        <f t="shared" si="53"/>
        <v>0.7</v>
      </c>
      <c r="R189" s="177">
        <f t="shared" si="54"/>
        <v>0.79490252165801456</v>
      </c>
      <c r="S189" s="919">
        <f t="shared" si="55"/>
        <v>-2</v>
      </c>
      <c r="T189" s="176">
        <f t="shared" si="56"/>
        <v>4</v>
      </c>
      <c r="U189" s="251">
        <f t="shared" si="57"/>
        <v>-1.2050974783419854</v>
      </c>
      <c r="V189" s="383">
        <f t="shared" si="58"/>
        <v>53.543906575715994</v>
      </c>
      <c r="W189" s="402">
        <f t="shared" si="59"/>
        <v>39.293109065089801</v>
      </c>
      <c r="X189" s="157">
        <f t="shared" si="60"/>
        <v>46197</v>
      </c>
      <c r="Y189" s="385">
        <f t="shared" si="61"/>
        <v>37.432652946036342</v>
      </c>
      <c r="Z189" s="385">
        <f t="shared" si="62"/>
        <v>39.934646751294778</v>
      </c>
      <c r="AA189" s="386">
        <f t="shared" si="63"/>
        <v>42.402415480114755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5.8198777142242607E-2</v>
      </c>
      <c r="AD189" s="231">
        <f>(INDEX(Models!$BJ189:$BT189,,AH189)*(1-AF189)+INDEX(Models!$BJ189:$BT189,,AH189+1)*AF189-ERP_i)*AE189*Ramure*Pc/MaxiM</f>
        <v>1.0199343322211576E-2</v>
      </c>
      <c r="AE189" s="305">
        <f t="shared" si="65"/>
        <v>0.7</v>
      </c>
      <c r="AF189" s="177">
        <f t="shared" si="66"/>
        <v>0.3198900880319937</v>
      </c>
      <c r="AG189" s="919">
        <f t="shared" si="74"/>
        <v>2</v>
      </c>
      <c r="AH189" s="176">
        <f t="shared" si="67"/>
        <v>8</v>
      </c>
      <c r="AI189" s="225">
        <f t="shared" si="68"/>
        <v>2.3198900880319937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1090">
        <f>IF(t&gt;Tmaj,'2025'!Wh/'2025'!Env_an*'2026'!Env_an,0.001*'[8]mon-tableau'!$B$61)</f>
        <v>33.713062618019194</v>
      </c>
      <c r="C190" s="953"/>
      <c r="D190" s="393">
        <f t="shared" si="50"/>
        <v>35.967227249118871</v>
      </c>
      <c r="E190" s="385">
        <f t="shared" si="75"/>
        <v>36.565810000044578</v>
      </c>
      <c r="F190" s="385">
        <f t="shared" si="51"/>
        <v>36.606217728021562</v>
      </c>
      <c r="G190" s="110">
        <f t="shared" si="76"/>
        <v>0.62989275966816527</v>
      </c>
      <c r="H190" s="412" t="b">
        <f>Wh_hp&gt;='2025'!Maxi_hp</f>
        <v>0</v>
      </c>
      <c r="I190" s="390">
        <f>IF(H190,Wh_hp,'2025'!Maxi_hp)</f>
        <v>56.287194704165557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6.26727385874567E-2</v>
      </c>
      <c r="M190" s="957"/>
      <c r="N190" s="957"/>
      <c r="O190" s="48">
        <f>IF(t&lt;Tnet,'2025'!Resal+('2025'!Salim-'2025'!Resal)*(1-EXP(('2025'!Tnet-t)/('2025'!Tau_j))),Resal+(Salim-Resal)*(1-EXP((Tnet-t)/(Tau_j))))*Salcycl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2.336744774492615E-3</v>
      </c>
      <c r="Q190" s="305">
        <f t="shared" si="53"/>
        <v>0.7</v>
      </c>
      <c r="R190" s="177">
        <f t="shared" si="54"/>
        <v>0.79961716904899038</v>
      </c>
      <c r="S190" s="919">
        <f t="shared" si="55"/>
        <v>-2</v>
      </c>
      <c r="T190" s="176">
        <f t="shared" si="56"/>
        <v>4</v>
      </c>
      <c r="U190" s="251">
        <f t="shared" si="57"/>
        <v>-1.2003828309510096</v>
      </c>
      <c r="V190" s="383">
        <f t="shared" si="58"/>
        <v>53.455848584939815</v>
      </c>
      <c r="W190" s="402">
        <f t="shared" si="59"/>
        <v>33.713062618019194</v>
      </c>
      <c r="X190" s="157">
        <f t="shared" si="60"/>
        <v>46198</v>
      </c>
      <c r="Y190" s="385">
        <f t="shared" si="61"/>
        <v>32.154903268167651</v>
      </c>
      <c r="Z190" s="385">
        <f t="shared" si="62"/>
        <v>34.304884315122251</v>
      </c>
      <c r="AA190" s="386">
        <f t="shared" si="63"/>
        <v>36.429195530152079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5.8313426473322882E-2</v>
      </c>
      <c r="AD190" s="231">
        <f>(INDEX(Models!$BJ190:$BT190,,AH190)*(1-AF190)+INDEX(Models!$BJ190:$BT190,,AH190+1)*AF190-ERP_i)*AE190*Ramure*Pc/MaxiM</f>
        <v>1.0237044163341848E-2</v>
      </c>
      <c r="AE190" s="305">
        <f t="shared" si="65"/>
        <v>0.7</v>
      </c>
      <c r="AF190" s="177">
        <f t="shared" si="66"/>
        <v>0.32460473542296953</v>
      </c>
      <c r="AG190" s="919">
        <f t="shared" si="74"/>
        <v>2</v>
      </c>
      <c r="AH190" s="176">
        <f t="shared" si="67"/>
        <v>8</v>
      </c>
      <c r="AI190" s="225">
        <f t="shared" si="68"/>
        <v>2.3246047354229695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1090">
        <f>IF(t&gt;Tmaj,'2025'!Wh/'2025'!Env_an*'2026'!Env_an,0.001*'[8]mon-tableau'!$B$62)</f>
        <v>10.923376031335319</v>
      </c>
      <c r="C191" s="953"/>
      <c r="D191" s="393">
        <f t="shared" si="50"/>
        <v>11.654003608177392</v>
      </c>
      <c r="E191" s="385">
        <f t="shared" si="75"/>
        <v>11.849692512919788</v>
      </c>
      <c r="F191" s="385">
        <f t="shared" si="51"/>
        <v>11.849692512919788</v>
      </c>
      <c r="G191" s="110">
        <f t="shared" si="76"/>
        <v>0.20419918056553676</v>
      </c>
      <c r="H191" s="412" t="b">
        <f>Wh_hp&gt;='2025'!Maxi_hp</f>
        <v>0</v>
      </c>
      <c r="I191" s="390">
        <f>IF(H191,Wh_hp,'2025'!Maxi_hp)</f>
        <v>59.196700093726733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6.2693268460068619E-2</v>
      </c>
      <c r="M191" s="957"/>
      <c r="N191" s="957"/>
      <c r="O191" s="48">
        <f>IF(t&lt;Tnet,'2025'!Resal+('2025'!Salim-'2025'!Resal)*(1-EXP(('2025'!Tnet-t)/('2025'!Tau_j))),Resal+(Salim-Resal)*(1-EXP((Tnet-t)/(Tau_j))))*Salcycl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2.3520406498732469E-3</v>
      </c>
      <c r="Q191" s="305">
        <f t="shared" si="53"/>
        <v>0.7</v>
      </c>
      <c r="R191" s="177">
        <f t="shared" si="54"/>
        <v>0.80427428138982249</v>
      </c>
      <c r="S191" s="919">
        <f t="shared" si="55"/>
        <v>-2</v>
      </c>
      <c r="T191" s="176">
        <f t="shared" si="56"/>
        <v>4</v>
      </c>
      <c r="U191" s="251">
        <f t="shared" si="57"/>
        <v>-1.1957257186101775</v>
      </c>
      <c r="V191" s="383">
        <f t="shared" si="58"/>
        <v>53.367911549371804</v>
      </c>
      <c r="W191" s="402">
        <f t="shared" si="59"/>
        <v>10.923376031335319</v>
      </c>
      <c r="X191" s="157">
        <f t="shared" si="60"/>
        <v>46199</v>
      </c>
      <c r="Y191" s="385">
        <f t="shared" si="61"/>
        <v>10.457858968467987</v>
      </c>
      <c r="Z191" s="385">
        <f t="shared" si="62"/>
        <v>11.157349687744622</v>
      </c>
      <c r="AA191" s="386">
        <f t="shared" si="63"/>
        <v>11.849692512919788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5.8427070948912793E-2</v>
      </c>
      <c r="AD191" s="231">
        <f>(INDEX(Models!$BJ191:$BT191,,AH191)*(1-AF191)+INDEX(Models!$BJ191:$BT191,,AH191+1)*AF191-ERP_i)*AE191*Ramure*Pc/MaxiM</f>
        <v>1.0267718465301338E-2</v>
      </c>
      <c r="AE191" s="305">
        <f t="shared" si="65"/>
        <v>0.7</v>
      </c>
      <c r="AF191" s="177">
        <f t="shared" si="66"/>
        <v>0.32926184776380163</v>
      </c>
      <c r="AG191" s="919">
        <f t="shared" si="74"/>
        <v>2</v>
      </c>
      <c r="AH191" s="176">
        <f t="shared" si="67"/>
        <v>8</v>
      </c>
      <c r="AI191" s="225">
        <f t="shared" si="68"/>
        <v>2.3292618477638016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1090">
        <f>IF(t&gt;Tmaj,'2025'!Wh/'2025'!Env_an*'2026'!Env_an,0.001*'[8]mon-tableau'!$B$63)</f>
        <v>10.241784532773119</v>
      </c>
      <c r="C192" s="953"/>
      <c r="D192" s="393">
        <f t="shared" si="50"/>
        <v>10.927062096551499</v>
      </c>
      <c r="E192" s="385">
        <f t="shared" si="75"/>
        <v>11.112170622863818</v>
      </c>
      <c r="F192" s="385">
        <f t="shared" si="51"/>
        <v>11.112170622863818</v>
      </c>
      <c r="G192" s="110">
        <f t="shared" si="76"/>
        <v>0.19177387103976537</v>
      </c>
      <c r="H192" s="412" t="b">
        <f>Wh_hp&gt;='2025'!Maxi_hp</f>
        <v>0</v>
      </c>
      <c r="I192" s="390">
        <f>IF(H192,Wh_hp,'2025'!Maxi_hp)</f>
        <v>57.199547222334189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6.271379788302367E-2</v>
      </c>
      <c r="M192" s="957"/>
      <c r="N192" s="957"/>
      <c r="O192" s="48">
        <f>IF(t&lt;Tnet,'2025'!Resal+('2025'!Salim-'2025'!Resal)*(1-EXP(('2025'!Tnet-t)/('2025'!Tau_j))),Resal+(Salim-Resal)*(1-EXP((Tnet-t)/(Tau_j))))*Salcycl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2.3633922111131033E-3</v>
      </c>
      <c r="Q192" s="305">
        <f t="shared" si="53"/>
        <v>0.7</v>
      </c>
      <c r="R192" s="177">
        <f t="shared" si="54"/>
        <v>0.80887104680753974</v>
      </c>
      <c r="S192" s="919">
        <f t="shared" si="55"/>
        <v>-2</v>
      </c>
      <c r="T192" s="176">
        <f t="shared" si="56"/>
        <v>4</v>
      </c>
      <c r="U192" s="251">
        <f t="shared" si="57"/>
        <v>-1.1911289531924603</v>
      </c>
      <c r="V192" s="383">
        <f t="shared" si="58"/>
        <v>53.279308195545532</v>
      </c>
      <c r="W192" s="402">
        <f t="shared" si="59"/>
        <v>10.241784532773119</v>
      </c>
      <c r="X192" s="157">
        <f t="shared" si="60"/>
        <v>46200</v>
      </c>
      <c r="Y192" s="385">
        <f t="shared" si="61"/>
        <v>9.8055764569344319</v>
      </c>
      <c r="Z192" s="385">
        <f t="shared" si="62"/>
        <v>10.461667348550881</v>
      </c>
      <c r="AA192" s="386">
        <f t="shared" si="63"/>
        <v>11.112170622863818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5.8539712571952139E-2</v>
      </c>
      <c r="AD192" s="231">
        <f>(INDEX(Models!$BJ192:$BT192,,AH192)*(1-AF192)+INDEX(Models!$BJ192:$BT192,,AH192+1)*AF192-ERP_i)*AE192*Ramure*Pc/MaxiM</f>
        <v>1.028591898580457E-2</v>
      </c>
      <c r="AE192" s="305">
        <f t="shared" si="65"/>
        <v>0.7</v>
      </c>
      <c r="AF192" s="177">
        <f t="shared" si="66"/>
        <v>0.3338586131815191</v>
      </c>
      <c r="AG192" s="919">
        <f t="shared" si="74"/>
        <v>2</v>
      </c>
      <c r="AH192" s="176">
        <f t="shared" si="67"/>
        <v>8</v>
      </c>
      <c r="AI192" s="225">
        <f t="shared" si="68"/>
        <v>2.3338586131815191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1090">
        <f>IF(t&gt;Tmaj,'2025'!Wh/'2025'!Env_an*'2026'!Env_an,0.001*'[8]mon-tableau'!$B$64)</f>
        <v>52.739728924936394</v>
      </c>
      <c r="C193" s="953"/>
      <c r="D193" s="393">
        <f t="shared" si="50"/>
        <v>56.269775407481724</v>
      </c>
      <c r="E193" s="385">
        <f t="shared" si="75"/>
        <v>57.231363276790397</v>
      </c>
      <c r="F193" s="385">
        <f t="shared" si="51"/>
        <v>57.365777101305625</v>
      </c>
      <c r="G193" s="110">
        <f t="shared" si="76"/>
        <v>0.99150642791186749</v>
      </c>
      <c r="H193" s="412" t="b">
        <f>Wh_hp&gt;='2025'!Maxi_hp</f>
        <v>0</v>
      </c>
      <c r="I193" s="390">
        <f>IF(H193,Wh_hp,'2025'!Maxi_hp)</f>
        <v>57.36679187005182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6.2734326856331624E-2</v>
      </c>
      <c r="M193" s="957"/>
      <c r="N193" s="957"/>
      <c r="O193" s="48">
        <f>IF(t&lt;Tnet,'2025'!Resal+('2025'!Salim-'2025'!Resal)*(1-EXP(('2025'!Tnet-t)/('2025'!Tau_j))),Resal+(Salim-Resal)*(1-EXP((Tnet-t)/(Tau_j))))*Salcycl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2.3717831172195619E-3</v>
      </c>
      <c r="Q193" s="305">
        <f t="shared" si="53"/>
        <v>0.7</v>
      </c>
      <c r="R193" s="177">
        <f t="shared" si="54"/>
        <v>0.8134048263383693</v>
      </c>
      <c r="S193" s="919">
        <f t="shared" si="55"/>
        <v>-2</v>
      </c>
      <c r="T193" s="176">
        <f t="shared" si="56"/>
        <v>4</v>
      </c>
      <c r="U193" s="251">
        <f t="shared" si="57"/>
        <v>-1.1865951736616307</v>
      </c>
      <c r="V193" s="383">
        <f t="shared" si="58"/>
        <v>53.189985676516116</v>
      </c>
      <c r="W193" s="402">
        <f t="shared" si="59"/>
        <v>52.739728924936394</v>
      </c>
      <c r="X193" s="157">
        <f t="shared" si="60"/>
        <v>46201</v>
      </c>
      <c r="Y193" s="385">
        <f t="shared" si="61"/>
        <v>50.098738765865299</v>
      </c>
      <c r="Z193" s="385">
        <f t="shared" si="62"/>
        <v>53.452014942390761</v>
      </c>
      <c r="AA193" s="386">
        <f t="shared" si="63"/>
        <v>56.782378431582011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5.8651355951988837E-2</v>
      </c>
      <c r="AD193" s="231">
        <f>(INDEX(Models!$BJ193:$BT193,,AH193)*(1-AF193)+INDEX(Models!$BJ193:$BT193,,AH193+1)*AF193-ERP_i)*AE193*Ramure*Pc/MaxiM</f>
        <v>1.0294291680556086E-2</v>
      </c>
      <c r="AE193" s="305">
        <f t="shared" si="65"/>
        <v>0.7</v>
      </c>
      <c r="AF193" s="177">
        <f t="shared" si="66"/>
        <v>0.33839239271234822</v>
      </c>
      <c r="AG193" s="919">
        <f t="shared" si="74"/>
        <v>2</v>
      </c>
      <c r="AH193" s="176">
        <f t="shared" si="67"/>
        <v>8</v>
      </c>
      <c r="AI193" s="225">
        <f t="shared" si="68"/>
        <v>2.3383923927123482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1090">
        <f>IF(t&gt;Tmaj,'2025'!Wh/'2025'!Env_an*'2026'!Env_an,0.001*'[8]mon-tableau'!$B$65)</f>
        <v>53.563167455977513</v>
      </c>
      <c r="C194" s="953"/>
      <c r="D194" s="393">
        <f t="shared" si="50"/>
        <v>57.149581156480139</v>
      </c>
      <c r="E194" s="385">
        <f t="shared" si="75"/>
        <v>58.134673936167474</v>
      </c>
      <c r="F194" s="385">
        <f t="shared" si="51"/>
        <v>58.273197772555612</v>
      </c>
      <c r="G194" s="110">
        <f t="shared" si="76"/>
        <v>1.0087235496234723</v>
      </c>
      <c r="H194" s="412" t="b">
        <f>Wh_hp&gt;='2025'!Maxi_hp</f>
        <v>1</v>
      </c>
      <c r="I194" s="390">
        <f>IF(H194,Wh_hp,'2025'!Maxi_hp)</f>
        <v>58.273197772555612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6.2754855380002472E-2</v>
      </c>
      <c r="M194" s="957"/>
      <c r="N194" s="957"/>
      <c r="O194" s="48">
        <f>IF(t&lt;Tnet,'2025'!Resal+('2025'!Salim-'2025'!Resal)*(1-EXP(('2025'!Tnet-t)/('2025'!Tau_j))),Resal+(Salim-Resal)*(1-EXP((Tnet-t)/(Tau_j))))*Salcycl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2.3771449256792978E-3</v>
      </c>
      <c r="Q194" s="305">
        <f t="shared" si="53"/>
        <v>0.7</v>
      </c>
      <c r="R194" s="177">
        <f t="shared" si="54"/>
        <v>0.81787315767014146</v>
      </c>
      <c r="S194" s="919">
        <f t="shared" si="55"/>
        <v>-2</v>
      </c>
      <c r="T194" s="176">
        <f t="shared" si="56"/>
        <v>4</v>
      </c>
      <c r="U194" s="251">
        <f t="shared" si="57"/>
        <v>-1.1821268423298585</v>
      </c>
      <c r="V194" s="383">
        <f t="shared" si="58"/>
        <v>53.09994742957187</v>
      </c>
      <c r="W194" s="402">
        <f t="shared" si="59"/>
        <v>53.563167455977513</v>
      </c>
      <c r="X194" s="157">
        <f t="shared" si="60"/>
        <v>46202</v>
      </c>
      <c r="Y194" s="385">
        <f t="shared" si="61"/>
        <v>50.877790790873732</v>
      </c>
      <c r="Z194" s="385">
        <f t="shared" si="62"/>
        <v>54.284400493215614</v>
      </c>
      <c r="AA194" s="386">
        <f t="shared" si="63"/>
        <v>57.673405629030036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5.8762008222877644E-2</v>
      </c>
      <c r="AD194" s="231">
        <f>(INDEX(Models!$BJ194:$BT194,,AH194)*(1-AF194)+INDEX(Models!$BJ194:$BT194,,AH194+1)*AF194-ERP_i)*AE194*Ramure*Pc/MaxiM</f>
        <v>1.0292761791906557E-2</v>
      </c>
      <c r="AE194" s="305">
        <f t="shared" si="65"/>
        <v>0.7</v>
      </c>
      <c r="AF194" s="177">
        <f t="shared" si="66"/>
        <v>0.3428607240441206</v>
      </c>
      <c r="AG194" s="919">
        <f t="shared" si="74"/>
        <v>2</v>
      </c>
      <c r="AH194" s="176">
        <f t="shared" si="67"/>
        <v>8</v>
      </c>
      <c r="AI194" s="225">
        <f t="shared" si="68"/>
        <v>2.3428607240441206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1090">
        <f>IF(t&gt;Tmaj,'2025'!Wh/'2025'!Env_an*'2026'!Env_an,0.001*'[8]mon-tableau'!$B$66)</f>
        <v>12.197307980150374</v>
      </c>
      <c r="C195" s="953"/>
      <c r="D195" s="393">
        <f t="shared" si="50"/>
        <v>13.014284692075535</v>
      </c>
      <c r="E195" s="385">
        <f t="shared" si="75"/>
        <v>13.240537964891036</v>
      </c>
      <c r="F195" s="385">
        <f t="shared" si="51"/>
        <v>13.240537964891036</v>
      </c>
      <c r="G195" s="110">
        <f t="shared" si="76"/>
        <v>0.22955046155148112</v>
      </c>
      <c r="H195" s="412" t="b">
        <f>Wh_hp&gt;='2025'!Maxi_hp</f>
        <v>0</v>
      </c>
      <c r="I195" s="390">
        <f>IF(H195,Wh_hp,'2025'!Maxi_hp)</f>
        <v>51.899795502885659</v>
      </c>
      <c r="J195" s="85">
        <f>IF(H195,An,'2025'!An_max)</f>
        <v>2021</v>
      </c>
      <c r="K195" s="197">
        <f t="shared" si="52"/>
        <v>46203</v>
      </c>
      <c r="L195" s="147">
        <f>IF(t&lt;Tvie,1-EXP((T0-t)*PertePVj)+'2025'!Pspv,1-EXP((T0-t)*PertePVj)+Pspv)</f>
        <v>6.2775383454045874E-2</v>
      </c>
      <c r="M195" s="957"/>
      <c r="N195" s="957"/>
      <c r="O195" s="48">
        <f>IF(t&lt;Tnet,'2025'!Resal+('2025'!Salim-'2025'!Resal)*(1-EXP(('2025'!Tnet-t)/('2025'!Tau_j))),Resal+(Salim-Resal)*(1-EXP((Tnet-t)/(Tau_j))))*Salcycl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2.3794130665794767E-3</v>
      </c>
      <c r="Q195" s="305">
        <f t="shared" si="53"/>
        <v>0.7</v>
      </c>
      <c r="R195" s="177">
        <f t="shared" si="54"/>
        <v>0.82227375791569712</v>
      </c>
      <c r="S195" s="919">
        <f t="shared" si="55"/>
        <v>-2</v>
      </c>
      <c r="T195" s="176">
        <f t="shared" si="56"/>
        <v>4</v>
      </c>
      <c r="U195" s="251">
        <f t="shared" si="57"/>
        <v>-1.1777262420843029</v>
      </c>
      <c r="V195" s="383">
        <f t="shared" si="58"/>
        <v>53.009196600706183</v>
      </c>
      <c r="W195" s="402">
        <f t="shared" si="59"/>
        <v>12.197307980150374</v>
      </c>
      <c r="X195" s="157">
        <f t="shared" si="60"/>
        <v>46203</v>
      </c>
      <c r="Y195" s="385">
        <f t="shared" si="61"/>
        <v>11.678798370006728</v>
      </c>
      <c r="Z195" s="385">
        <f t="shared" si="62"/>
        <v>12.461045264738937</v>
      </c>
      <c r="AA195" s="386">
        <f t="shared" si="63"/>
        <v>13.240537964891036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5.8871678946808927E-2</v>
      </c>
      <c r="AD195" s="231">
        <f>(INDEX(Models!$BJ195:$BT195,,AH195)*(1-AF195)+INDEX(Models!$BJ195:$BT195,,AH195+1)*AF195-ERP_i)*AE195*Ramure*Pc/MaxiM</f>
        <v>1.0281264005719883E-2</v>
      </c>
      <c r="AE195" s="305">
        <f t="shared" si="65"/>
        <v>0.7</v>
      </c>
      <c r="AF195" s="177">
        <f t="shared" si="66"/>
        <v>0.34726132428967649</v>
      </c>
      <c r="AG195" s="919">
        <f t="shared" si="74"/>
        <v>2</v>
      </c>
      <c r="AH195" s="176">
        <f t="shared" si="67"/>
        <v>8</v>
      </c>
      <c r="AI195" s="225">
        <f t="shared" si="68"/>
        <v>2.3472613242896765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1090">
        <f>IF(t&gt;Tmaj,'2025'!Wh/'2025'!Env_an*'2026'!Env_an,0.001*[9]mois!$B$38)</f>
        <v>45.648580950361641</v>
      </c>
      <c r="C196" s="953"/>
      <c r="D196" s="393">
        <f t="shared" si="50"/>
        <v>48.707193545101767</v>
      </c>
      <c r="E196" s="385">
        <f t="shared" si="75"/>
        <v>49.561156512308422</v>
      </c>
      <c r="F196" s="385">
        <f t="shared" si="51"/>
        <v>49.656087424383344</v>
      </c>
      <c r="G196" s="110">
        <f t="shared" si="76"/>
        <v>0.8622295030710776</v>
      </c>
      <c r="H196" s="412" t="b">
        <f>Wh_hp&gt;='2025'!Maxi_hp</f>
        <v>0</v>
      </c>
      <c r="I196" s="390">
        <f>IF(H196,Wh_hp,'2025'!Maxi_hp)</f>
        <v>55.368807466601659</v>
      </c>
      <c r="J196" s="85">
        <f>IF(H196,An,'2025'!An_max)</f>
        <v>2021</v>
      </c>
      <c r="K196" s="197">
        <f t="shared" si="52"/>
        <v>46204</v>
      </c>
      <c r="L196" s="147">
        <f>IF(t&lt;Tvie,1-EXP((T0-t)*PertePVj)+'2025'!Pspv,1-EXP((T0-t)*PertePVj)+Pspv)</f>
        <v>6.2795911078471822E-2</v>
      </c>
      <c r="M196" s="957"/>
      <c r="N196" s="957"/>
      <c r="O196" s="48">
        <f>IF(t&lt;Tnet,'2025'!Resal+('2025'!Salim-'2025'!Resal)*(1-EXP(('2025'!Tnet-t)/('2025'!Tau_j))),Resal+(Salim-Resal)*(1-EXP((Tnet-t)/(Tau_j))))*Salcycl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2.378526860360373E-3</v>
      </c>
      <c r="Q196" s="305">
        <f t="shared" si="53"/>
        <v>0.7</v>
      </c>
      <c r="R196" s="177">
        <f t="shared" si="54"/>
        <v>0.82660452543664009</v>
      </c>
      <c r="S196" s="919">
        <f t="shared" si="55"/>
        <v>-2</v>
      </c>
      <c r="T196" s="176">
        <f t="shared" si="56"/>
        <v>4</v>
      </c>
      <c r="U196" s="251">
        <f t="shared" si="57"/>
        <v>-1.1733954745633599</v>
      </c>
      <c r="V196" s="383">
        <f t="shared" si="58"/>
        <v>52.917736043674296</v>
      </c>
      <c r="W196" s="402">
        <f t="shared" si="59"/>
        <v>45.648580950361641</v>
      </c>
      <c r="X196" s="157">
        <f t="shared" si="60"/>
        <v>46204</v>
      </c>
      <c r="Y196" s="385">
        <f t="shared" si="61"/>
        <v>43.431931421083618</v>
      </c>
      <c r="Z196" s="385">
        <f t="shared" si="62"/>
        <v>46.342020841012527</v>
      </c>
      <c r="AA196" s="386">
        <f t="shared" si="63"/>
        <v>49.246604275136853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5.8980380005424264E-2</v>
      </c>
      <c r="AD196" s="231">
        <f>(INDEX(Models!$BJ196:$BT196,,AH196)*(1-AF196)+INDEX(Models!$BJ196:$BT196,,AH196+1)*AF196-ERP_i)*AE196*Ramure*Pc/MaxiM</f>
        <v>1.0259742038284777E-2</v>
      </c>
      <c r="AE196" s="305">
        <f t="shared" si="65"/>
        <v>0.7</v>
      </c>
      <c r="AF196" s="177">
        <f t="shared" si="66"/>
        <v>0.35159209181061923</v>
      </c>
      <c r="AG196" s="919">
        <f t="shared" si="74"/>
        <v>2</v>
      </c>
      <c r="AH196" s="176">
        <f t="shared" si="67"/>
        <v>8</v>
      </c>
      <c r="AI196" s="225">
        <f t="shared" si="68"/>
        <v>2.3515920918106192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1090">
        <f>IF(t&gt;Tmaj,'2025'!Wh/'2025'!Env_an*'2026'!Env_an,0.001*[9]mois!$B$39)</f>
        <v>52.535321999373721</v>
      </c>
      <c r="C197" s="953"/>
      <c r="D197" s="393">
        <f t="shared" si="50"/>
        <v>56.056597814689695</v>
      </c>
      <c r="E197" s="385">
        <f t="shared" si="75"/>
        <v>57.04767070960731</v>
      </c>
      <c r="F197" s="385">
        <f t="shared" si="51"/>
        <v>57.182380513836087</v>
      </c>
      <c r="G197" s="110">
        <f t="shared" si="76"/>
        <v>0.9944869924915124</v>
      </c>
      <c r="H197" s="412" t="b">
        <f>Wh_hp&gt;='2025'!Maxi_hp</f>
        <v>0</v>
      </c>
      <c r="I197" s="390">
        <f>IF(H197,Wh_hp,'2025'!Maxi_hp)</f>
        <v>57.183024010135604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6.2816438253290086E-2</v>
      </c>
      <c r="M197" s="957"/>
      <c r="N197" s="957"/>
      <c r="O197" s="48">
        <f>IF(t&lt;Tnet,'2025'!Resal+('2025'!Salim-'2025'!Resal)*(1-EXP(('2025'!Tnet-t)/('2025'!Tau_j))),Resal+(Salim-Resal)*(1-EXP((Tnet-t)/(Tau_j))))*Salcycl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2.3744295032607052E-3</v>
      </c>
      <c r="Q197" s="305">
        <f t="shared" si="53"/>
        <v>0.7</v>
      </c>
      <c r="R197" s="177">
        <f t="shared" si="54"/>
        <v>0.8308635407443008</v>
      </c>
      <c r="S197" s="919">
        <f t="shared" si="55"/>
        <v>-2</v>
      </c>
      <c r="T197" s="176">
        <f t="shared" si="56"/>
        <v>4</v>
      </c>
      <c r="U197" s="251">
        <f t="shared" si="57"/>
        <v>-1.1691364592556992</v>
      </c>
      <c r="V197" s="383">
        <f t="shared" si="58"/>
        <v>52.825568323788993</v>
      </c>
      <c r="W197" s="402">
        <f t="shared" si="59"/>
        <v>52.535321999373721</v>
      </c>
      <c r="X197" s="157">
        <f t="shared" si="60"/>
        <v>46205</v>
      </c>
      <c r="Y197" s="385">
        <f t="shared" si="61"/>
        <v>49.912137262630722</v>
      </c>
      <c r="Z197" s="385">
        <f t="shared" si="62"/>
        <v>53.257589334585809</v>
      </c>
      <c r="AA197" s="386">
        <f t="shared" si="63"/>
        <v>56.602101404758294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5.9088125478877054E-2</v>
      </c>
      <c r="AD197" s="231">
        <f>(INDEX(Models!$BJ197:$BT197,,AH197)*(1-AF197)+INDEX(Models!$BJ197:$BT197,,AH197+1)*AF197-ERP_i)*AE197*Ramure*Pc/MaxiM</f>
        <v>1.0228148163441272E-2</v>
      </c>
      <c r="AE197" s="305">
        <f t="shared" si="65"/>
        <v>0.7</v>
      </c>
      <c r="AF197" s="177">
        <f t="shared" si="66"/>
        <v>0.35585110711827994</v>
      </c>
      <c r="AG197" s="919">
        <f t="shared" si="74"/>
        <v>2</v>
      </c>
      <c r="AH197" s="176">
        <f t="shared" si="67"/>
        <v>8</v>
      </c>
      <c r="AI197" s="225">
        <f t="shared" si="68"/>
        <v>2.3558511071182799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1090">
        <f>IF(t&gt;Tmaj,'2025'!Wh/'2025'!Env_an*'2026'!Env_an,0.001*[9]mois!$B$40)</f>
        <v>45.435279628678956</v>
      </c>
      <c r="C198" s="953"/>
      <c r="D198" s="393">
        <f t="shared" si="50"/>
        <v>48.481724023224103</v>
      </c>
      <c r="E198" s="385">
        <f t="shared" si="75"/>
        <v>49.345999331820387</v>
      </c>
      <c r="F198" s="385">
        <f t="shared" si="51"/>
        <v>49.439859742219106</v>
      </c>
      <c r="G198" s="110">
        <f t="shared" si="76"/>
        <v>0.86121044868649377</v>
      </c>
      <c r="H198" s="412" t="b">
        <f>Wh_hp&gt;='2025'!Maxi_hp</f>
        <v>0</v>
      </c>
      <c r="I198" s="390">
        <f>IF(H198,Wh_hp,'2025'!Maxi_hp)</f>
        <v>49.453752006128255</v>
      </c>
      <c r="J198" s="85">
        <f>IF(H198,An,'2025'!An_max)</f>
        <v>2025</v>
      </c>
      <c r="K198" s="197">
        <f t="shared" si="52"/>
        <v>46206</v>
      </c>
      <c r="L198" s="147">
        <f>IF(t&lt;Tvie,1-EXP((T0-t)*PertePVj)+'2025'!Pspv,1-EXP((T0-t)*PertePVj)+Pspv)</f>
        <v>6.2836964978510546E-2</v>
      </c>
      <c r="M198" s="957"/>
      <c r="N198" s="957"/>
      <c r="O198" s="48">
        <f>IF(t&lt;Tnet,'2025'!Resal+('2025'!Salim-'2025'!Resal)*(1-EXP(('2025'!Tnet-t)/('2025'!Tau_j))),Resal+(Salim-Resal)*(1-EXP((Tnet-t)/(Tau_j))))*Salcycl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2.3662744768120042E-3</v>
      </c>
      <c r="Q198" s="305">
        <f t="shared" si="53"/>
        <v>0.7</v>
      </c>
      <c r="R198" s="177">
        <f t="shared" si="54"/>
        <v>0.83504906651159727</v>
      </c>
      <c r="S198" s="919">
        <f t="shared" si="55"/>
        <v>-2</v>
      </c>
      <c r="T198" s="176">
        <f t="shared" si="56"/>
        <v>4</v>
      </c>
      <c r="U198" s="251">
        <f t="shared" si="57"/>
        <v>-1.1649509334884027</v>
      </c>
      <c r="V198" s="383">
        <f t="shared" si="58"/>
        <v>52.732737667906655</v>
      </c>
      <c r="W198" s="402">
        <f t="shared" si="59"/>
        <v>45.435279628678956</v>
      </c>
      <c r="X198" s="157">
        <f t="shared" si="60"/>
        <v>46206</v>
      </c>
      <c r="Y198" s="385">
        <f t="shared" si="61"/>
        <v>43.234360920289269</v>
      </c>
      <c r="Z198" s="385">
        <f t="shared" si="62"/>
        <v>46.133233284535059</v>
      </c>
      <c r="AA198" s="386">
        <f t="shared" si="63"/>
        <v>49.035910657629792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5.9194931513790253E-2</v>
      </c>
      <c r="AD198" s="231">
        <f>(INDEX(Models!$BJ198:$BT198,,AH198)*(1-AF198)+INDEX(Models!$BJ198:$BT198,,AH198+1)*AF198-ERP_i)*AE198*Ramure*Pc/MaxiM</f>
        <v>1.0183786803560671E-2</v>
      </c>
      <c r="AE198" s="305">
        <f t="shared" si="65"/>
        <v>0.7</v>
      </c>
      <c r="AF198" s="177">
        <f t="shared" si="66"/>
        <v>0.36003663288557641</v>
      </c>
      <c r="AG198" s="919">
        <f t="shared" si="74"/>
        <v>2</v>
      </c>
      <c r="AH198" s="176">
        <f t="shared" si="67"/>
        <v>8</v>
      </c>
      <c r="AI198" s="225">
        <f t="shared" si="68"/>
        <v>2.3600366328855764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1090">
        <f>IF(t&gt;Tmaj,'2025'!Wh/'2025'!Env_an*'2026'!Env_an,0.001*[9]mois!$B$41)</f>
        <v>43.328180585011715</v>
      </c>
      <c r="C199" s="953"/>
      <c r="D199" s="393">
        <f t="shared" si="50"/>
        <v>46.234356227204138</v>
      </c>
      <c r="E199" s="385">
        <f t="shared" si="75"/>
        <v>47.065348523846481</v>
      </c>
      <c r="F199" s="385">
        <f t="shared" si="51"/>
        <v>47.148330296931931</v>
      </c>
      <c r="G199" s="110">
        <f t="shared" si="76"/>
        <v>0.82262573624765978</v>
      </c>
      <c r="H199" s="412" t="b">
        <f>Wh_hp&gt;='2025'!Maxi_hp</f>
        <v>0</v>
      </c>
      <c r="I199" s="390">
        <f>IF(H199,Wh_hp,'2025'!Maxi_hp)</f>
        <v>55.745011407918014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6.2857491254143083E-2</v>
      </c>
      <c r="M199" s="957"/>
      <c r="N199" s="957"/>
      <c r="O199" s="48">
        <f>IF(t&lt;Tnet,'2025'!Resal+('2025'!Salim-'2025'!Resal)*(1-EXP(('2025'!Tnet-t)/('2025'!Tau_j))),Resal+(Salim-Resal)*(1-EXP((Tnet-t)/(Tau_j))))*Salcycl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2.3551363333172396E-3</v>
      </c>
      <c r="Q199" s="305">
        <f t="shared" si="53"/>
        <v>0.7</v>
      </c>
      <c r="R199" s="177">
        <f t="shared" si="54"/>
        <v>0.83915954673555415</v>
      </c>
      <c r="S199" s="919">
        <f t="shared" si="55"/>
        <v>-2</v>
      </c>
      <c r="T199" s="176">
        <f t="shared" si="56"/>
        <v>4</v>
      </c>
      <c r="U199" s="251">
        <f t="shared" si="57"/>
        <v>-1.1608404532644458</v>
      </c>
      <c r="V199" s="383">
        <f t="shared" si="58"/>
        <v>52.639186562751448</v>
      </c>
      <c r="W199" s="402">
        <f t="shared" si="59"/>
        <v>43.328180585011715</v>
      </c>
      <c r="X199" s="157">
        <f t="shared" si="60"/>
        <v>46207</v>
      </c>
      <c r="Y199" s="385">
        <f t="shared" si="61"/>
        <v>41.249879694558921</v>
      </c>
      <c r="Z199" s="385">
        <f t="shared" si="62"/>
        <v>44.01665628183072</v>
      </c>
      <c r="AA199" s="386">
        <f t="shared" si="63"/>
        <v>46.791426036048222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5.930081618114847E-2</v>
      </c>
      <c r="AD199" s="231">
        <f>(INDEX(Models!$BJ199:$BT199,,AH199)*(1-AF199)+INDEX(Models!$BJ199:$BT199,,AH199+1)*AF199-ERP_i)*AE199*Ramure*Pc/MaxiM</f>
        <v>1.012943157357447E-2</v>
      </c>
      <c r="AE199" s="305">
        <f t="shared" si="65"/>
        <v>0.7</v>
      </c>
      <c r="AF199" s="177">
        <f t="shared" si="66"/>
        <v>0.36414711310953329</v>
      </c>
      <c r="AG199" s="919">
        <f t="shared" si="74"/>
        <v>2</v>
      </c>
      <c r="AH199" s="176">
        <f t="shared" si="67"/>
        <v>8</v>
      </c>
      <c r="AI199" s="225">
        <f t="shared" si="68"/>
        <v>2.3641471131095333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1090">
        <f>IF(t&gt;Tmaj,'2025'!Wh/'2025'!Env_an*'2026'!Env_an,0.001*[9]mois!$B$42)</f>
        <v>52.757862312368893</v>
      </c>
      <c r="C200" s="953"/>
      <c r="D200" s="393">
        <f t="shared" si="50"/>
        <v>56.297753413051488</v>
      </c>
      <c r="E200" s="385">
        <f t="shared" si="75"/>
        <v>57.317858728063655</v>
      </c>
      <c r="F200" s="385">
        <f t="shared" si="51"/>
        <v>57.452353409792387</v>
      </c>
      <c r="G200" s="110">
        <f t="shared" si="76"/>
        <v>1.0040526453175844</v>
      </c>
      <c r="H200" s="412" t="b">
        <f>Wh_hp&gt;='2025'!Maxi_hp</f>
        <v>0</v>
      </c>
      <c r="I200" s="390">
        <f>IF(H200,Wh_hp,'2025'!Maxi_hp)</f>
        <v>58.767865102105034</v>
      </c>
      <c r="J200" s="85">
        <f>IF(H200,An,'2025'!An_max)</f>
        <v>2021</v>
      </c>
      <c r="K200" s="197">
        <f t="shared" si="52"/>
        <v>46208</v>
      </c>
      <c r="L200" s="147">
        <f>IF(t&lt;Tvie,1-EXP((T0-t)*PertePVj)+'2025'!Pspv,1-EXP((T0-t)*PertePVj)+Pspv)</f>
        <v>6.2878017080197468E-2</v>
      </c>
      <c r="M200" s="957"/>
      <c r="N200" s="957"/>
      <c r="O200" s="48">
        <f>IF(t&lt;Tnet,'2025'!Resal+('2025'!Salim-'2025'!Resal)*(1-EXP(('2025'!Tnet-t)/('2025'!Tau_j))),Resal+(Salim-Resal)*(1-EXP((Tnet-t)/(Tau_j))))*Salcycl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2.3409777623801557E-3</v>
      </c>
      <c r="Q200" s="305">
        <f t="shared" si="53"/>
        <v>0.7</v>
      </c>
      <c r="R200" s="177">
        <f t="shared" si="54"/>
        <v>0.84319360509552821</v>
      </c>
      <c r="S200" s="919">
        <f t="shared" si="55"/>
        <v>-2</v>
      </c>
      <c r="T200" s="176">
        <f t="shared" si="56"/>
        <v>4</v>
      </c>
      <c r="U200" s="251">
        <f t="shared" si="57"/>
        <v>-1.1568063949044718</v>
      </c>
      <c r="V200" s="383">
        <f t="shared" si="58"/>
        <v>52.544916402945631</v>
      </c>
      <c r="W200" s="402">
        <f t="shared" si="59"/>
        <v>52.757862312368893</v>
      </c>
      <c r="X200" s="157">
        <f t="shared" si="60"/>
        <v>46208</v>
      </c>
      <c r="Y200" s="385">
        <f t="shared" si="61"/>
        <v>50.131753791708952</v>
      </c>
      <c r="Z200" s="385">
        <f t="shared" si="62"/>
        <v>53.49544104761349</v>
      </c>
      <c r="AA200" s="386">
        <f t="shared" si="63"/>
        <v>56.874091940219245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5.940579932523718E-2</v>
      </c>
      <c r="AD200" s="231">
        <f>(INDEX(Models!$BJ200:$BT200,,AH200)*(1-AF200)+INDEX(Models!$BJ200:$BT200,,AH200+1)*AF200-ERP_i)*AE200*Ramure*Pc/MaxiM</f>
        <v>1.0065061485794198E-2</v>
      </c>
      <c r="AE200" s="305">
        <f t="shared" si="65"/>
        <v>0.7</v>
      </c>
      <c r="AF200" s="177">
        <f t="shared" si="66"/>
        <v>0.36818117146950735</v>
      </c>
      <c r="AG200" s="919">
        <f t="shared" si="74"/>
        <v>2</v>
      </c>
      <c r="AH200" s="176">
        <f t="shared" si="67"/>
        <v>8</v>
      </c>
      <c r="AI200" s="225">
        <f t="shared" si="68"/>
        <v>2.3681811714695074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1090">
        <f>IF(t&gt;Tmaj,'2025'!Wh/'2025'!Env_an*'2026'!Env_an,0.001*[9]mois!$B$43)</f>
        <v>43.218153012570596</v>
      </c>
      <c r="C201" s="953"/>
      <c r="D201" s="393">
        <f t="shared" si="50"/>
        <v>46.118968938401089</v>
      </c>
      <c r="E201" s="385">
        <f t="shared" si="75"/>
        <v>46.961371372946644</v>
      </c>
      <c r="F201" s="385">
        <f t="shared" si="51"/>
        <v>47.043201451589134</v>
      </c>
      <c r="G201" s="110">
        <f t="shared" si="76"/>
        <v>0.82350649637256779</v>
      </c>
      <c r="H201" s="412" t="b">
        <f>Wh_hp&gt;='2025'!Maxi_hp</f>
        <v>0</v>
      </c>
      <c r="I201" s="390">
        <f>IF(H201,Wh_hp,'2025'!Maxi_hp)</f>
        <v>56.315415913154332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6.2898542456683582E-2</v>
      </c>
      <c r="M201" s="957"/>
      <c r="N201" s="957"/>
      <c r="O201" s="48">
        <f>IF(t&lt;Tnet,'2025'!Resal+('2025'!Salim-'2025'!Resal)*(1-EXP(('2025'!Tnet-t)/('2025'!Tau_j))),Resal+(Salim-Resal)*(1-EXP((Tnet-t)/(Tau_j))))*Salcycl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2.3237646620122079E-3</v>
      </c>
      <c r="Q201" s="305">
        <f t="shared" si="53"/>
        <v>0.7</v>
      </c>
      <c r="R201" s="177">
        <f t="shared" si="54"/>
        <v>0.84715004255665427</v>
      </c>
      <c r="S201" s="919">
        <f t="shared" si="55"/>
        <v>-2</v>
      </c>
      <c r="T201" s="176">
        <f t="shared" si="56"/>
        <v>4</v>
      </c>
      <c r="U201" s="251">
        <f t="shared" si="57"/>
        <v>-1.1528499574433457</v>
      </c>
      <c r="V201" s="383">
        <f t="shared" si="58"/>
        <v>52.449928347402782</v>
      </c>
      <c r="W201" s="402">
        <f t="shared" si="59"/>
        <v>43.218153012570596</v>
      </c>
      <c r="X201" s="157">
        <f t="shared" si="60"/>
        <v>46209</v>
      </c>
      <c r="Y201" s="385">
        <f t="shared" si="61"/>
        <v>41.15073581418936</v>
      </c>
      <c r="Z201" s="385">
        <f t="shared" si="62"/>
        <v>43.912786052077202</v>
      </c>
      <c r="AA201" s="386">
        <f t="shared" si="63"/>
        <v>46.69138586824149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5.950990240480817E-2</v>
      </c>
      <c r="AD201" s="231">
        <f>(INDEX(Models!$BJ201:$BT201,,AH201)*(1-AF201)+INDEX(Models!$BJ201:$BT201,,AH201+1)*AF201-ERP_i)*AE201*Ramure*Pc/MaxiM</f>
        <v>9.9906615475740101E-3</v>
      </c>
      <c r="AE201" s="305">
        <f t="shared" si="65"/>
        <v>0.7</v>
      </c>
      <c r="AF201" s="177">
        <f t="shared" si="66"/>
        <v>0.37213760893063341</v>
      </c>
      <c r="AG201" s="919">
        <f t="shared" si="74"/>
        <v>2</v>
      </c>
      <c r="AH201" s="176">
        <f t="shared" si="67"/>
        <v>8</v>
      </c>
      <c r="AI201" s="225">
        <f t="shared" si="68"/>
        <v>2.3721376089306334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1090">
        <f>IF(t&gt;Tmaj,'2025'!Wh/'2025'!Env_an*'2026'!Env_an,0.001*[9]mois!$B$44)</f>
        <v>51.050432966027373</v>
      </c>
      <c r="C202" s="953"/>
      <c r="D202" s="393">
        <f t="shared" si="50"/>
        <v>54.478147179338457</v>
      </c>
      <c r="E202" s="385">
        <f t="shared" si="75"/>
        <v>55.481176035409575</v>
      </c>
      <c r="F202" s="385">
        <f t="shared" si="51"/>
        <v>55.604702867806864</v>
      </c>
      <c r="G202" s="110">
        <f t="shared" si="76"/>
        <v>0.97501666360136752</v>
      </c>
      <c r="H202" s="412" t="b">
        <f>Wh_hp&gt;='2025'!Maxi_hp</f>
        <v>0</v>
      </c>
      <c r="I202" s="390">
        <f>IF(H202,Wh_hp,'2025'!Maxi_hp)</f>
        <v>56.989181729783134</v>
      </c>
      <c r="J202" s="85">
        <f>IF(H202,An,'2025'!An_max)</f>
        <v>2018</v>
      </c>
      <c r="K202" s="197">
        <f t="shared" si="52"/>
        <v>46210</v>
      </c>
      <c r="L202" s="147">
        <f>IF(t&lt;Tvie,1-EXP((T0-t)*PertePVj)+'2025'!Pspv,1-EXP((T0-t)*PertePVj)+Pspv)</f>
        <v>6.2919067383611194E-2</v>
      </c>
      <c r="M202" s="957"/>
      <c r="N202" s="957"/>
      <c r="O202" s="48">
        <f>IF(t&lt;Tnet,'2025'!Resal+('2025'!Salim-'2025'!Resal)*(1-EXP(('2025'!Tnet-t)/('2025'!Tau_j))),Resal+(Salim-Resal)*(1-EXP((Tnet-t)/(Tau_j))))*Salcycl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2.3034659876813805E-3</v>
      </c>
      <c r="Q202" s="305">
        <f t="shared" si="53"/>
        <v>0.7</v>
      </c>
      <c r="R202" s="177">
        <f t="shared" si="54"/>
        <v>0.85102783427169371</v>
      </c>
      <c r="S202" s="919">
        <f t="shared" si="55"/>
        <v>-2</v>
      </c>
      <c r="T202" s="176">
        <f t="shared" si="56"/>
        <v>4</v>
      </c>
      <c r="U202" s="251">
        <f t="shared" si="57"/>
        <v>-1.1489721657283063</v>
      </c>
      <c r="V202" s="383">
        <f t="shared" si="58"/>
        <v>52.354223330115673</v>
      </c>
      <c r="W202" s="402">
        <f t="shared" si="59"/>
        <v>51.050432966027373</v>
      </c>
      <c r="X202" s="157">
        <f t="shared" si="60"/>
        <v>46210</v>
      </c>
      <c r="Y202" s="385">
        <f t="shared" si="61"/>
        <v>48.531762641050499</v>
      </c>
      <c r="Z202" s="385">
        <f t="shared" si="62"/>
        <v>51.790364046301498</v>
      </c>
      <c r="AA202" s="386">
        <f t="shared" si="63"/>
        <v>55.073466791036459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5.9613148327704486E-2</v>
      </c>
      <c r="AD202" s="231">
        <f>(INDEX(Models!$BJ202:$BT202,,AH202)*(1-AF202)+INDEX(Models!$BJ202:$BT202,,AH202+1)*AF202-ERP_i)*AE202*Ramure*Pc/MaxiM</f>
        <v>9.9062220775992717E-3</v>
      </c>
      <c r="AE202" s="305">
        <f t="shared" si="65"/>
        <v>0.7</v>
      </c>
      <c r="AF202" s="177">
        <f t="shared" si="66"/>
        <v>0.37601540064567285</v>
      </c>
      <c r="AG202" s="919">
        <f t="shared" si="74"/>
        <v>2</v>
      </c>
      <c r="AH202" s="176">
        <f t="shared" si="67"/>
        <v>8</v>
      </c>
      <c r="AI202" s="225">
        <f t="shared" si="68"/>
        <v>2.3760154006456728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1090">
        <f>IF(t&gt;Tmaj,'2025'!Wh/'2025'!Env_an*'2026'!Env_an,0.001*[9]mois!$B$45)</f>
        <v>53.502046104011939</v>
      </c>
      <c r="C203" s="953"/>
      <c r="D203" s="393">
        <f t="shared" si="50"/>
        <v>57.095621199348649</v>
      </c>
      <c r="E203" s="385">
        <f t="shared" si="75"/>
        <v>58.155144838430623</v>
      </c>
      <c r="F203" s="385">
        <f t="shared" si="51"/>
        <v>58.288044703587239</v>
      </c>
      <c r="G203" s="110">
        <f t="shared" si="76"/>
        <v>1.0238097275774949</v>
      </c>
      <c r="H203" s="412" t="b">
        <f>Wh_hp&gt;='2025'!Maxi_hp</f>
        <v>0</v>
      </c>
      <c r="I203" s="390">
        <f>IF(H203,Wh_hp,'2025'!Maxi_hp)</f>
        <v>59.606340921073496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6.2939591860990296E-2</v>
      </c>
      <c r="M203" s="957"/>
      <c r="N203" s="957"/>
      <c r="O203" s="48">
        <f>IF(t&lt;Tnet,'2025'!Resal+('2025'!Salim-'2025'!Resal)*(1-EXP(('2025'!Tnet-t)/('2025'!Tau_j))),Resal+(Salim-Resal)*(1-EXP((Tnet-t)/(Tau_j))))*Salcycl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2.2800535827278263E-3</v>
      </c>
      <c r="Q203" s="305">
        <f t="shared" si="53"/>
        <v>0.7</v>
      </c>
      <c r="R203" s="177">
        <f t="shared" si="54"/>
        <v>0.85482612583729622</v>
      </c>
      <c r="S203" s="919">
        <f t="shared" si="55"/>
        <v>-2</v>
      </c>
      <c r="T203" s="176">
        <f t="shared" si="56"/>
        <v>4</v>
      </c>
      <c r="U203" s="251">
        <f t="shared" si="57"/>
        <v>-1.1451738741627038</v>
      </c>
      <c r="V203" s="383">
        <f t="shared" si="58"/>
        <v>52.257802072858539</v>
      </c>
      <c r="W203" s="402">
        <f t="shared" si="59"/>
        <v>53.502046104011939</v>
      </c>
      <c r="X203" s="157">
        <f t="shared" si="60"/>
        <v>46211</v>
      </c>
      <c r="Y203" s="385">
        <f t="shared" si="61"/>
        <v>50.853880522758978</v>
      </c>
      <c r="Z203" s="385">
        <f t="shared" si="62"/>
        <v>54.269586123859561</v>
      </c>
      <c r="AA203" s="386">
        <f t="shared" si="63"/>
        <v>57.716137680369407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5.9715561280222276E-2</v>
      </c>
      <c r="AD203" s="231">
        <f>(INDEX(Models!$BJ203:$BT203,,AH203)*(1-AF203)+INDEX(Models!$BJ203:$BT203,,AH203+1)*AF203-ERP_i)*AE203*Ramure*Pc/MaxiM</f>
        <v>9.8117380009255101E-3</v>
      </c>
      <c r="AE203" s="305">
        <f t="shared" si="65"/>
        <v>0.7</v>
      </c>
      <c r="AF203" s="177">
        <f t="shared" si="66"/>
        <v>0.37981369221127537</v>
      </c>
      <c r="AG203" s="919">
        <f t="shared" si="74"/>
        <v>2</v>
      </c>
      <c r="AH203" s="176">
        <f t="shared" si="67"/>
        <v>8</v>
      </c>
      <c r="AI203" s="225">
        <f t="shared" si="68"/>
        <v>2.3798136922112754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1090">
        <f>IF(t&gt;Tmaj,'2025'!Wh/'2025'!Env_an*'2026'!Env_an,0.001*[9]mois!$B$46)</f>
        <v>52.89323581659243</v>
      </c>
      <c r="C204" s="953"/>
      <c r="D204" s="393">
        <f t="shared" si="50"/>
        <v>56.447155252910498</v>
      </c>
      <c r="E204" s="385">
        <f t="shared" si="75"/>
        <v>57.502836982706654</v>
      </c>
      <c r="F204" s="385">
        <f t="shared" si="51"/>
        <v>57.632712414968985</v>
      </c>
      <c r="G204" s="110">
        <f t="shared" si="76"/>
        <v>1.0140445049204443</v>
      </c>
      <c r="H204" s="412" t="b">
        <f>Wh_hp&gt;='2025'!Maxi_hp</f>
        <v>1</v>
      </c>
      <c r="I204" s="390">
        <f>IF(H204,Wh_hp,'2025'!Maxi_hp)</f>
        <v>57.632712414968985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6.296011588883077E-2</v>
      </c>
      <c r="M204" s="957"/>
      <c r="N204" s="957"/>
      <c r="O204" s="48">
        <f>IF(t&lt;Tnet,'2025'!Resal+('2025'!Salim-'2025'!Resal)*(1-EXP(('2025'!Tnet-t)/('2025'!Tau_j))),Resal+(Salim-Resal)*(1-EXP((Tnet-t)/(Tau_j))))*Salcycl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2.2535019925350483E-3</v>
      </c>
      <c r="Q204" s="305">
        <f t="shared" si="53"/>
        <v>0.7</v>
      </c>
      <c r="R204" s="177">
        <f t="shared" si="54"/>
        <v>0.85854422896274829</v>
      </c>
      <c r="S204" s="919">
        <f t="shared" si="55"/>
        <v>-2</v>
      </c>
      <c r="T204" s="176">
        <f t="shared" si="56"/>
        <v>4</v>
      </c>
      <c r="U204" s="251">
        <f t="shared" si="57"/>
        <v>-1.1414557710372517</v>
      </c>
      <c r="V204" s="383">
        <f t="shared" si="58"/>
        <v>52.160665098956486</v>
      </c>
      <c r="W204" s="402">
        <f t="shared" si="59"/>
        <v>52.89323581659243</v>
      </c>
      <c r="X204" s="157">
        <f t="shared" si="60"/>
        <v>46212</v>
      </c>
      <c r="Y204" s="385">
        <f t="shared" si="61"/>
        <v>50.280903316912571</v>
      </c>
      <c r="Z204" s="385">
        <f t="shared" si="62"/>
        <v>53.659299000497306</v>
      </c>
      <c r="AA204" s="386">
        <f t="shared" si="63"/>
        <v>57.073259680500954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5.9817166552518224E-2</v>
      </c>
      <c r="AD204" s="231">
        <f>(INDEX(Models!$BJ204:$BT204,,AH204)*(1-AF204)+INDEX(Models!$BJ204:$BT204,,AH204+1)*AF204-ERP_i)*AE204*Ramure*Pc/MaxiM</f>
        <v>9.7072081292971651E-3</v>
      </c>
      <c r="AE204" s="305">
        <f t="shared" si="65"/>
        <v>0.7</v>
      </c>
      <c r="AF204" s="177">
        <f t="shared" si="66"/>
        <v>0.38353179533672765</v>
      </c>
      <c r="AG204" s="919">
        <f t="shared" si="74"/>
        <v>2</v>
      </c>
      <c r="AH204" s="176">
        <f t="shared" si="67"/>
        <v>8</v>
      </c>
      <c r="AI204" s="225">
        <f t="shared" si="68"/>
        <v>2.3835317953367277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1090">
        <f>IF(t&gt;Tmaj,'2025'!Wh/'2025'!Env_an*'2026'!Env_an,0.001*[9]mois!$B$47)</f>
        <v>52.543688073093357</v>
      </c>
      <c r="C205" s="953"/>
      <c r="D205" s="393">
        <f t="shared" si="50"/>
        <v>56.075349439112095</v>
      </c>
      <c r="E205" s="385">
        <f t="shared" si="75"/>
        <v>57.132198697191434</v>
      </c>
      <c r="F205" s="385">
        <f t="shared" si="51"/>
        <v>57.259532821685092</v>
      </c>
      <c r="G205" s="110">
        <f t="shared" si="76"/>
        <v>1.0092447649986889</v>
      </c>
      <c r="H205" s="412" t="b">
        <f>Wh_hp&gt;='2025'!Maxi_hp</f>
        <v>1</v>
      </c>
      <c r="I205" s="390">
        <f>IF(H205,Wh_hp,'2025'!Maxi_hp)</f>
        <v>57.259532821685092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6.2980639467142274E-2</v>
      </c>
      <c r="M205" s="957"/>
      <c r="N205" s="957"/>
      <c r="O205" s="48">
        <f>IF(t&lt;Tnet,'2025'!Resal+('2025'!Salim-'2025'!Resal)*(1-EXP(('2025'!Tnet-t)/('2025'!Tau_j))),Resal+(Salim-Resal)*(1-EXP((Tnet-t)/(Tau_j))))*Salcycl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2.2238065561973053E-3</v>
      </c>
      <c r="Q205" s="305">
        <f t="shared" si="53"/>
        <v>0.7</v>
      </c>
      <c r="R205" s="177">
        <f t="shared" si="54"/>
        <v>0.86218161661057691</v>
      </c>
      <c r="S205" s="919">
        <f t="shared" si="55"/>
        <v>-2</v>
      </c>
      <c r="T205" s="176">
        <f t="shared" si="56"/>
        <v>4</v>
      </c>
      <c r="U205" s="251">
        <f t="shared" si="57"/>
        <v>-1.1378183833894231</v>
      </c>
      <c r="V205" s="383">
        <f t="shared" si="58"/>
        <v>52.062383571701375</v>
      </c>
      <c r="W205" s="402">
        <f t="shared" si="59"/>
        <v>52.543688073093357</v>
      </c>
      <c r="X205" s="157">
        <f t="shared" si="60"/>
        <v>46213</v>
      </c>
      <c r="Y205" s="385">
        <f t="shared" si="61"/>
        <v>49.954651457354707</v>
      </c>
      <c r="Z205" s="385">
        <f t="shared" si="62"/>
        <v>53.31229381316821</v>
      </c>
      <c r="AA205" s="386">
        <f t="shared" si="63"/>
        <v>56.710258537617158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5.9917990361391213E-2</v>
      </c>
      <c r="AD205" s="231">
        <f>(INDEX(Models!$BJ205:$BT205,,AH205)*(1-AF205)+INDEX(Models!$BJ205:$BT205,,AH205+1)*AF205-ERP_i)*AE205*Ramure*Pc/MaxiM</f>
        <v>9.5927133352354307E-3</v>
      </c>
      <c r="AE205" s="305">
        <f t="shared" si="65"/>
        <v>0.7</v>
      </c>
      <c r="AF205" s="177">
        <f t="shared" si="66"/>
        <v>0.38716918298455605</v>
      </c>
      <c r="AG205" s="919">
        <f t="shared" si="74"/>
        <v>2</v>
      </c>
      <c r="AH205" s="176">
        <f t="shared" si="67"/>
        <v>8</v>
      </c>
      <c r="AI205" s="225">
        <f t="shared" si="68"/>
        <v>2.387169182984556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1090">
        <f>IF(t&gt;Tmaj,'2025'!Wh/'2025'!Env_an*'2026'!Env_an,0.001*[9]mois!$B$48)</f>
        <v>51.290513779267279</v>
      </c>
      <c r="C206" s="953"/>
      <c r="D206" s="393">
        <f t="shared" si="50"/>
        <v>54.739143456534613</v>
      </c>
      <c r="E206" s="385">
        <f t="shared" si="75"/>
        <v>55.778720891561605</v>
      </c>
      <c r="F206" s="385">
        <f t="shared" si="51"/>
        <v>55.898930939073153</v>
      </c>
      <c r="G206" s="110">
        <f t="shared" si="76"/>
        <v>0.98702477572872083</v>
      </c>
      <c r="H206" s="412" t="b">
        <f>Wh_hp&gt;='2025'!Maxi_hp</f>
        <v>0</v>
      </c>
      <c r="I206" s="390">
        <f>IF(H206,Wh_hp,'2025'!Maxi_hp)</f>
        <v>56.244702289420005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6.300116259593469E-2</v>
      </c>
      <c r="M206" s="957"/>
      <c r="N206" s="957"/>
      <c r="O206" s="48">
        <f>IF(t&lt;Tnet,'2025'!Resal+('2025'!Salim-'2025'!Resal)*(1-EXP(('2025'!Tnet-t)/('2025'!Tau_j))),Resal+(Salim-Resal)*(1-EXP((Tnet-t)/(Tau_j))))*Salcycl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2.1909758564318642E-3</v>
      </c>
      <c r="Q206" s="305">
        <f t="shared" si="53"/>
        <v>0.7</v>
      </c>
      <c r="R206" s="177">
        <f t="shared" si="54"/>
        <v>0.86573791766894126</v>
      </c>
      <c r="S206" s="919">
        <f t="shared" si="55"/>
        <v>-2</v>
      </c>
      <c r="T206" s="176">
        <f t="shared" si="56"/>
        <v>4</v>
      </c>
      <c r="U206" s="251">
        <f t="shared" si="57"/>
        <v>-1.1342620823310587</v>
      </c>
      <c r="V206" s="383">
        <f t="shared" si="58"/>
        <v>51.962659888570691</v>
      </c>
      <c r="W206" s="402">
        <f t="shared" si="59"/>
        <v>51.290513779267279</v>
      </c>
      <c r="X206" s="157">
        <f t="shared" si="60"/>
        <v>46214</v>
      </c>
      <c r="Y206" s="385">
        <f t="shared" si="61"/>
        <v>48.776108868701179</v>
      </c>
      <c r="Z206" s="385">
        <f t="shared" si="62"/>
        <v>52.055677042070101</v>
      </c>
      <c r="AA206" s="386">
        <f t="shared" si="63"/>
        <v>55.379443804944948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6.0018059671774045E-2</v>
      </c>
      <c r="AD206" s="231">
        <f>(INDEX(Models!$BJ206:$BT206,,AH206)*(1-AF206)+INDEX(Models!$BJ206:$BT206,,AH206+1)*AF206-ERP_i)*AE206*Ramure*Pc/MaxiM</f>
        <v>9.4682914794834115E-3</v>
      </c>
      <c r="AE206" s="305">
        <f t="shared" si="65"/>
        <v>0.7</v>
      </c>
      <c r="AF206" s="177">
        <f t="shared" si="66"/>
        <v>0.39072548404292062</v>
      </c>
      <c r="AG206" s="919">
        <f t="shared" si="74"/>
        <v>2</v>
      </c>
      <c r="AH206" s="176">
        <f t="shared" si="67"/>
        <v>8</v>
      </c>
      <c r="AI206" s="225">
        <f t="shared" si="68"/>
        <v>2.3907254840429206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1090">
        <f>IF(t&gt;Tmaj,'2025'!Wh/'2025'!Env_an*'2026'!Env_an,0.001*[9]mois!$B$49)</f>
        <v>50.847896709276228</v>
      </c>
      <c r="C207" s="953"/>
      <c r="D207" s="393">
        <f t="shared" ref="D207:D270" si="77">Wh/(1-Ppv)</f>
        <v>54.267954668952768</v>
      </c>
      <c r="E207" s="385">
        <f t="shared" si="75"/>
        <v>55.306411428993933</v>
      </c>
      <c r="F207" s="385">
        <f t="shared" ref="F207:F270" si="78">Wh_sa/(1-Pvg*MEDIAN((-Sdif+Wh/Env_an)/Csdif,0,1))</f>
        <v>55.42258985830415</v>
      </c>
      <c r="G207" s="110">
        <f t="shared" si="76"/>
        <v>0.98039420967072566</v>
      </c>
      <c r="H207" s="412" t="b">
        <f>Wh_hp&gt;='2025'!Maxi_hp</f>
        <v>0</v>
      </c>
      <c r="I207" s="390">
        <f>IF(H207,Wh_hp,'2025'!Maxi_hp)</f>
        <v>57.631675116560842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6.3021685275218009E-2</v>
      </c>
      <c r="M207" s="957"/>
      <c r="N207" s="957"/>
      <c r="O207" s="48">
        <f>IF(t&lt;Tnet,'2025'!Resal+('2025'!Salim-'2025'!Resal)*(1-EXP(('2025'!Tnet-t)/('2025'!Tau_j))),Resal+(Salim-Resal)*(1-EXP((Tnet-t)/(Tau_j))))*Salcycl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2.1564448386669987E-3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0.86921291121565947</v>
      </c>
      <c r="S207" s="919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-1.1307870887843405</v>
      </c>
      <c r="V207" s="383">
        <f t="shared" ref="V207:V270" si="85">MaxiM*(1-Ppv)*(1-Pvg)*(1-Psa)</f>
        <v>51.861616395975332</v>
      </c>
      <c r="W207" s="402">
        <f t="shared" ref="W207:W270" si="86">Wh*(A207&gt;Tmaj)</f>
        <v>50.847896709276228</v>
      </c>
      <c r="X207" s="157">
        <f t="shared" ref="X207:X270" si="87">t</f>
        <v>46215</v>
      </c>
      <c r="Y207" s="385">
        <f t="shared" ref="Y207:Y270" si="88">Wh_pvt_s*(1-Ppv)</f>
        <v>48.364759371454682</v>
      </c>
      <c r="Z207" s="385">
        <f t="shared" ref="Z207:Z270" si="89">Wh_sa_s*(1-Psa_s)</f>
        <v>51.617800125567292</v>
      </c>
      <c r="AA207" s="386">
        <f t="shared" ref="AA207:AA270" si="90">Wh_hp*(1-Pvg_s*MEDIAN((-Sdif+Wh/Env_an)/Csdif,0,1))</f>
        <v>54.91941252706377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6.0117402018265854E-2</v>
      </c>
      <c r="AD207" s="231">
        <f>(INDEX(Models!$BJ207:$BT207,,AH207)*(1-AF207)+INDEX(Models!$BJ207:$BT207,,AH207+1)*AF207-ERP_i)*AE207*Ramure*Pc/MaxiM</f>
        <v>9.3397213693617483E-3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0.39420047758963861</v>
      </c>
      <c r="AG207" s="91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2.3942004775896386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1090">
        <f>IF(t&gt;Tmaj,'2025'!Wh/'2025'!Env_an*'2026'!Env_an,0.001*[9]mois!$B$50)</f>
        <v>51.103578303975986</v>
      </c>
      <c r="C208" s="953"/>
      <c r="D208" s="393">
        <f t="shared" si="77"/>
        <v>54.542028161048457</v>
      </c>
      <c r="E208" s="385">
        <f t="shared" si="75"/>
        <v>55.593581576506736</v>
      </c>
      <c r="F208" s="385">
        <f t="shared" si="78"/>
        <v>55.709559654506442</v>
      </c>
      <c r="G208" s="110">
        <f t="shared" si="76"/>
        <v>0.98729048679225728</v>
      </c>
      <c r="H208" s="412" t="b">
        <f>Wh_hp&gt;='2025'!Maxi_hp</f>
        <v>0</v>
      </c>
      <c r="I208" s="390">
        <f>IF(H208,Wh_hp,'2025'!Maxi_hp)</f>
        <v>55.710788562283746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6.304220750500189E-2</v>
      </c>
      <c r="M208" s="957"/>
      <c r="N208" s="957"/>
      <c r="O208" s="48">
        <f>IF(t&lt;Tnet,'2025'!Resal+('2025'!Salim-'2025'!Resal)*(1-EXP(('2025'!Tnet-t)/('2025'!Tau_j))),Resal+(Salim-Resal)*(1-EXP((Tnet-t)/(Tau_j))))*Salcycl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2.1202149604970127E-3</v>
      </c>
      <c r="Q208" s="305">
        <f t="shared" si="80"/>
        <v>0.7</v>
      </c>
      <c r="R208" s="177">
        <f t="shared" si="81"/>
        <v>0.87260652043300491</v>
      </c>
      <c r="S208" s="919">
        <f t="shared" si="82"/>
        <v>-2</v>
      </c>
      <c r="T208" s="176">
        <f t="shared" si="83"/>
        <v>4</v>
      </c>
      <c r="U208" s="251">
        <f t="shared" si="84"/>
        <v>-1.1273934795669951</v>
      </c>
      <c r="V208" s="383">
        <f t="shared" si="85"/>
        <v>51.759450244994149</v>
      </c>
      <c r="W208" s="402">
        <f t="shared" si="86"/>
        <v>51.103578303975986</v>
      </c>
      <c r="X208" s="157">
        <f t="shared" si="87"/>
        <v>46216</v>
      </c>
      <c r="Y208" s="385">
        <f t="shared" si="88"/>
        <v>48.610910099539034</v>
      </c>
      <c r="Z208" s="385">
        <f t="shared" si="89"/>
        <v>51.881643430377402</v>
      </c>
      <c r="AA208" s="386">
        <f t="shared" si="90"/>
        <v>55.205925971023817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6.0216045328018754E-2</v>
      </c>
      <c r="AD208" s="231">
        <f>(INDEX(Models!$BJ208:$BT208,,AH208)*(1-AF208)+INDEX(Models!$BJ208:$BT208,,AH208+1)*AF208-ERP_i)*AE208*Ramure*Pc/MaxiM</f>
        <v>9.207012986823096E-3</v>
      </c>
      <c r="AE208" s="305">
        <f t="shared" si="92"/>
        <v>0.7</v>
      </c>
      <c r="AF208" s="177">
        <f t="shared" si="93"/>
        <v>0.39759408680698405</v>
      </c>
      <c r="AG208" s="919">
        <f t="shared" ref="AG208:AG271" si="99">INDEX(Echel_vg,AH208)</f>
        <v>2</v>
      </c>
      <c r="AH208" s="176">
        <f t="shared" si="94"/>
        <v>8</v>
      </c>
      <c r="AI208" s="225">
        <f t="shared" si="95"/>
        <v>2.397594086806984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1090">
        <f>IF(t&gt;Tmaj,'2025'!Wh/'2025'!Env_an*'2026'!Env_an,0.001*[9]mois!$B$51)</f>
        <v>50.307483110252456</v>
      </c>
      <c r="C209" s="953"/>
      <c r="D209" s="393">
        <f t="shared" si="77"/>
        <v>53.693544576231325</v>
      </c>
      <c r="E209" s="385">
        <f t="shared" si="75"/>
        <v>54.736454569050409</v>
      </c>
      <c r="F209" s="385">
        <f t="shared" si="78"/>
        <v>54.846400315715897</v>
      </c>
      <c r="G209" s="110">
        <f t="shared" si="76"/>
        <v>0.97381172597988097</v>
      </c>
      <c r="H209" s="412" t="b">
        <f>Wh_hp&gt;='2025'!Maxi_hp</f>
        <v>0</v>
      </c>
      <c r="I209" s="390">
        <f>IF(H209,Wh_hp,'2025'!Maxi_hp)</f>
        <v>56.367501147703905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6.3062729285296326E-2</v>
      </c>
      <c r="M209" s="957"/>
      <c r="N209" s="957"/>
      <c r="O209" s="48">
        <f>IF(t&lt;Tnet,'2025'!Resal+('2025'!Salim-'2025'!Resal)*(1-EXP(('2025'!Tnet-t)/('2025'!Tau_j))),Resal+(Salim-Resal)*(1-EXP((Tnet-t)/(Tau_j))))*Salcycl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2.0822886226156629E-3</v>
      </c>
      <c r="Q209" s="305">
        <f t="shared" si="80"/>
        <v>0.7</v>
      </c>
      <c r="R209" s="177">
        <f t="shared" si="81"/>
        <v>0.87591880623113783</v>
      </c>
      <c r="S209" s="919">
        <f t="shared" si="82"/>
        <v>-2</v>
      </c>
      <c r="T209" s="176">
        <f t="shared" si="83"/>
        <v>4</v>
      </c>
      <c r="U209" s="251">
        <f t="shared" si="84"/>
        <v>-1.1240811937688622</v>
      </c>
      <c r="V209" s="383">
        <f t="shared" si="85"/>
        <v>51.6563584094798</v>
      </c>
      <c r="W209" s="402">
        <f t="shared" si="86"/>
        <v>50.307483110252456</v>
      </c>
      <c r="X209" s="157">
        <f t="shared" si="87"/>
        <v>46217</v>
      </c>
      <c r="Y209" s="385">
        <f t="shared" si="88"/>
        <v>47.86659722705339</v>
      </c>
      <c r="Z209" s="385">
        <f t="shared" si="89"/>
        <v>51.088369225124694</v>
      </c>
      <c r="AA209" s="386">
        <f t="shared" si="90"/>
        <v>54.367491044821833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6.0314017746262265E-2</v>
      </c>
      <c r="AD209" s="231">
        <f>(INDEX(Models!$BJ209:$BT209,,AH209)*(1-AF209)+INDEX(Models!$BJ209:$BT209,,AH209+1)*AF209-ERP_i)*AE209*Ramure*Pc/MaxiM</f>
        <v>9.0701764851527991E-3</v>
      </c>
      <c r="AE209" s="305">
        <f t="shared" si="92"/>
        <v>0.7</v>
      </c>
      <c r="AF209" s="177">
        <f t="shared" si="93"/>
        <v>0.40090637260511697</v>
      </c>
      <c r="AG209" s="919">
        <f t="shared" si="99"/>
        <v>2</v>
      </c>
      <c r="AH209" s="176">
        <f t="shared" si="94"/>
        <v>8</v>
      </c>
      <c r="AI209" s="225">
        <f t="shared" si="95"/>
        <v>2.400906372605117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1090">
        <f>IF(t&gt;Tmaj,'2025'!Wh/'2025'!Env_an*'2026'!Env_an,0.001*[9]mois!$B$52)</f>
        <v>48.249473206998928</v>
      </c>
      <c r="C210" s="953"/>
      <c r="D210" s="393">
        <f t="shared" si="77"/>
        <v>51.498143499651924</v>
      </c>
      <c r="E210" s="385">
        <f t="shared" si="75"/>
        <v>52.505797093412532</v>
      </c>
      <c r="F210" s="385">
        <f t="shared" si="78"/>
        <v>52.603413310571213</v>
      </c>
      <c r="G210" s="110">
        <f t="shared" si="76"/>
        <v>0.93575287441316302</v>
      </c>
      <c r="H210" s="412" t="b">
        <f>Wh_hp&gt;='2025'!Maxi_hp</f>
        <v>0</v>
      </c>
      <c r="I210" s="390">
        <f>IF(H210,Wh_hp,'2025'!Maxi_hp)</f>
        <v>57.830639820469678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6.3083250616111086E-2</v>
      </c>
      <c r="M210" s="957"/>
      <c r="N210" s="957"/>
      <c r="O210" s="48">
        <f>IF(t&lt;Tnet,'2025'!Resal+('2025'!Salim-'2025'!Resal)*(1-EXP(('2025'!Tnet-t)/('2025'!Tau_j))),Resal+(Salim-Resal)*(1-EXP((Tnet-t)/(Tau_j))))*Salcycl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2.0426690676844622E-3</v>
      </c>
      <c r="Q210" s="305">
        <f t="shared" si="80"/>
        <v>0.7</v>
      </c>
      <c r="R210" s="177">
        <f t="shared" si="81"/>
        <v>0.87914996063629025</v>
      </c>
      <c r="S210" s="919">
        <f t="shared" si="82"/>
        <v>-2</v>
      </c>
      <c r="T210" s="176">
        <f t="shared" si="83"/>
        <v>4</v>
      </c>
      <c r="U210" s="251">
        <f t="shared" si="84"/>
        <v>-1.1208500393637097</v>
      </c>
      <c r="V210" s="383">
        <f t="shared" si="85"/>
        <v>51.552537698049917</v>
      </c>
      <c r="W210" s="402">
        <f t="shared" si="86"/>
        <v>48.249473206998928</v>
      </c>
      <c r="X210" s="157">
        <f t="shared" si="87"/>
        <v>46218</v>
      </c>
      <c r="Y210" s="385">
        <f t="shared" si="88"/>
        <v>45.932000692477786</v>
      </c>
      <c r="Z210" s="385">
        <f t="shared" si="89"/>
        <v>49.024633963137497</v>
      </c>
      <c r="AA210" s="386">
        <f t="shared" si="90"/>
        <v>52.176698633925078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6.0411347465708004E-2</v>
      </c>
      <c r="AD210" s="231">
        <f>(INDEX(Models!$BJ210:$BT210,,AH210)*(1-AF210)+INDEX(Models!$BJ210:$BT210,,AH210+1)*AF210-ERP_i)*AE210*Ramure*Pc/MaxiM</f>
        <v>8.9292219682629969E-3</v>
      </c>
      <c r="AE210" s="305">
        <f t="shared" si="92"/>
        <v>0.7</v>
      </c>
      <c r="AF210" s="177">
        <f t="shared" si="93"/>
        <v>0.40413752701026961</v>
      </c>
      <c r="AG210" s="919">
        <f t="shared" si="99"/>
        <v>2</v>
      </c>
      <c r="AH210" s="176">
        <f t="shared" si="94"/>
        <v>8</v>
      </c>
      <c r="AI210" s="225">
        <f t="shared" si="95"/>
        <v>2.4041375270102696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1090">
        <f>IF(t&gt;Tmaj,'2025'!Wh/'2025'!Env_an*'2026'!Env_an,0.001*[9]mois!$B$53)</f>
        <v>50.075779526210816</v>
      </c>
      <c r="C211" s="953"/>
      <c r="D211" s="393">
        <f t="shared" si="77"/>
        <v>53.448586943559079</v>
      </c>
      <c r="E211" s="385">
        <f t="shared" si="75"/>
        <v>54.502055771053818</v>
      </c>
      <c r="F211" s="385">
        <f t="shared" si="78"/>
        <v>54.607179658317321</v>
      </c>
      <c r="G211" s="110">
        <f t="shared" si="76"/>
        <v>0.97325013955446227</v>
      </c>
      <c r="H211" s="412" t="b">
        <f>Wh_hp&gt;='2025'!Maxi_hp</f>
        <v>0</v>
      </c>
      <c r="I211" s="390">
        <f>IF(H211,Wh_hp,'2025'!Maxi_hp)</f>
        <v>57.203978991704709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6.3103771497456052E-2</v>
      </c>
      <c r="M211" s="957"/>
      <c r="N211" s="957"/>
      <c r="O211" s="48">
        <f>IF(t&lt;Tnet,'2025'!Resal+('2025'!Salim-'2025'!Resal)*(1-EXP(('2025'!Tnet-t)/('2025'!Tau_j))),Resal+(Salim-Resal)*(1-EXP((Tnet-t)/(Tau_j))))*Salcycl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2.0013602861883011E-3</v>
      </c>
      <c r="Q211" s="305">
        <f t="shared" si="80"/>
        <v>0.7</v>
      </c>
      <c r="R211" s="177">
        <f t="shared" si="81"/>
        <v>0.88230029999763171</v>
      </c>
      <c r="S211" s="919">
        <f t="shared" si="82"/>
        <v>-2</v>
      </c>
      <c r="T211" s="176">
        <f t="shared" si="83"/>
        <v>4</v>
      </c>
      <c r="U211" s="251">
        <f t="shared" si="84"/>
        <v>-1.1176997000023683</v>
      </c>
      <c r="V211" s="383">
        <f t="shared" si="85"/>
        <v>51.448184767658411</v>
      </c>
      <c r="W211" s="402">
        <f t="shared" si="86"/>
        <v>50.075779526210816</v>
      </c>
      <c r="X211" s="157">
        <f t="shared" si="87"/>
        <v>46219</v>
      </c>
      <c r="Y211" s="385">
        <f t="shared" si="88"/>
        <v>47.659465824066721</v>
      </c>
      <c r="Z211" s="385">
        <f t="shared" si="89"/>
        <v>50.869524686038709</v>
      </c>
      <c r="AA211" s="386">
        <f t="shared" si="90"/>
        <v>54.145780989571179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6.0508062561023937E-2</v>
      </c>
      <c r="AD211" s="231">
        <f>(INDEX(Models!$BJ211:$BT211,,AH211)*(1-AF211)+INDEX(Models!$BJ211:$BT211,,AH211+1)*AF211-ERP_i)*AE211*Ramure*Pc/MaxiM</f>
        <v>8.7841592978199941E-3</v>
      </c>
      <c r="AE211" s="305">
        <f t="shared" si="92"/>
        <v>0.7</v>
      </c>
      <c r="AF211" s="177">
        <f t="shared" si="93"/>
        <v>0.40728786637161063</v>
      </c>
      <c r="AG211" s="919">
        <f t="shared" si="99"/>
        <v>2</v>
      </c>
      <c r="AH211" s="176">
        <f t="shared" si="94"/>
        <v>8</v>
      </c>
      <c r="AI211" s="225">
        <f t="shared" si="95"/>
        <v>2.4072878663716106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1090">
        <f>IF(t&gt;Tmaj,'2025'!Wh/'2025'!Env_an*'2026'!Env_an,0.001*[9]mois!$B$54)</f>
        <v>50.046840315467271</v>
      </c>
      <c r="C212" s="953"/>
      <c r="D212" s="393">
        <f t="shared" si="77"/>
        <v>53.418868569589115</v>
      </c>
      <c r="E212" s="385">
        <f t="shared" si="75"/>
        <v>54.479384919172119</v>
      </c>
      <c r="F212" s="385">
        <f t="shared" si="78"/>
        <v>54.582419618004884</v>
      </c>
      <c r="G212" s="110">
        <f t="shared" si="76"/>
        <v>0.97467644876076054</v>
      </c>
      <c r="H212" s="412" t="b">
        <f>Wh_hp&gt;='2025'!Maxi_hp</f>
        <v>0</v>
      </c>
      <c r="I212" s="390">
        <f>IF(H212,Wh_hp,'2025'!Maxi_hp)</f>
        <v>57.205914857920881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6.3124291929340992E-2</v>
      </c>
      <c r="M212" s="957"/>
      <c r="N212" s="957"/>
      <c r="O212" s="48">
        <f>IF(t&lt;Tnet,'2025'!Resal+('2025'!Salim-'2025'!Resal)*(1-EXP(('2025'!Tnet-t)/('2025'!Tau_j))),Resal+(Salim-Resal)*(1-EXP((Tnet-t)/(Tau_j))))*Salcycl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1.9583431759010142E-3</v>
      </c>
      <c r="Q212" s="305">
        <f t="shared" si="80"/>
        <v>0.7</v>
      </c>
      <c r="R212" s="177">
        <f t="shared" si="81"/>
        <v>0.88537025806420799</v>
      </c>
      <c r="S212" s="919">
        <f t="shared" si="82"/>
        <v>-2</v>
      </c>
      <c r="T212" s="176">
        <f t="shared" si="83"/>
        <v>4</v>
      </c>
      <c r="U212" s="251">
        <f t="shared" si="84"/>
        <v>-1.114629741935792</v>
      </c>
      <c r="V212" s="383">
        <f t="shared" si="85"/>
        <v>51.343497356156554</v>
      </c>
      <c r="W212" s="402">
        <f t="shared" si="86"/>
        <v>50.046840315467271</v>
      </c>
      <c r="X212" s="157">
        <f t="shared" si="87"/>
        <v>46220</v>
      </c>
      <c r="Y212" s="385">
        <f t="shared" si="88"/>
        <v>47.638006350302952</v>
      </c>
      <c r="Z212" s="385">
        <f t="shared" si="89"/>
        <v>50.847733525299283</v>
      </c>
      <c r="AA212" s="386">
        <f t="shared" si="90"/>
        <v>54.128124725400667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6.0604190829504197E-2</v>
      </c>
      <c r="AD212" s="231">
        <f>(INDEX(Models!$BJ212:$BT212,,AH212)*(1-AF212)+INDEX(Models!$BJ212:$BT212,,AH212+1)*AF212-ERP_i)*AE212*Ramure*Pc/MaxiM</f>
        <v>8.6346183650437419E-3</v>
      </c>
      <c r="AE212" s="305">
        <f t="shared" si="92"/>
        <v>0.7</v>
      </c>
      <c r="AF212" s="177">
        <f t="shared" si="93"/>
        <v>0.41035782443818736</v>
      </c>
      <c r="AG212" s="919">
        <f t="shared" si="99"/>
        <v>2</v>
      </c>
      <c r="AH212" s="176">
        <f t="shared" si="94"/>
        <v>8</v>
      </c>
      <c r="AI212" s="225">
        <f t="shared" si="95"/>
        <v>2.4103578244381874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1090">
        <f>IF(t&gt;Tmaj,'2025'!Wh/'2025'!Env_an*'2026'!Env_an,0.001*[9]mois!$B$55)</f>
        <v>50.827495119831262</v>
      </c>
      <c r="C213" s="953"/>
      <c r="D213" s="393">
        <f t="shared" si="77"/>
        <v>54.253310187192788</v>
      </c>
      <c r="E213" s="385">
        <f t="shared" si="75"/>
        <v>55.338131424859981</v>
      </c>
      <c r="F213" s="385">
        <f t="shared" si="78"/>
        <v>55.443060354368676</v>
      </c>
      <c r="G213" s="110">
        <f t="shared" si="76"/>
        <v>0.99195432524875782</v>
      </c>
      <c r="H213" s="412" t="b">
        <f>Wh_hp&gt;='2025'!Maxi_hp</f>
        <v>0</v>
      </c>
      <c r="I213" s="390">
        <f>IF(H213,Wh_hp,'2025'!Maxi_hp)</f>
        <v>55.443747072736329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6.31448119117759E-2</v>
      </c>
      <c r="M213" s="957"/>
      <c r="N213" s="957"/>
      <c r="O213" s="48">
        <f>IF(t&lt;Tnet,'2025'!Resal+('2025'!Salim-'2025'!Resal)*(1-EXP(('2025'!Tnet-t)/('2025'!Tau_j))),Resal+(Salim-Resal)*(1-EXP((Tnet-t)/(Tau_j))))*Salcycl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1.9144982361518591E-3</v>
      </c>
      <c r="Q213" s="305">
        <f t="shared" si="80"/>
        <v>0.7</v>
      </c>
      <c r="R213" s="177">
        <f t="shared" si="81"/>
        <v>0.88836037898049836</v>
      </c>
      <c r="S213" s="919">
        <f t="shared" si="82"/>
        <v>-2</v>
      </c>
      <c r="T213" s="176">
        <f t="shared" si="83"/>
        <v>4</v>
      </c>
      <c r="U213" s="251">
        <f t="shared" si="84"/>
        <v>-1.1116396210195016</v>
      </c>
      <c r="V213" s="383">
        <f t="shared" si="85"/>
        <v>51.238626909628579</v>
      </c>
      <c r="W213" s="402">
        <f t="shared" si="86"/>
        <v>50.827495119831262</v>
      </c>
      <c r="X213" s="157">
        <f t="shared" si="87"/>
        <v>46221</v>
      </c>
      <c r="Y213" s="385">
        <f t="shared" si="88"/>
        <v>48.380091443428469</v>
      </c>
      <c r="Z213" s="385">
        <f t="shared" si="89"/>
        <v>51.640949485645045</v>
      </c>
      <c r="AA213" s="386">
        <f t="shared" si="90"/>
        <v>54.978107389600112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6.0699759638985704E-2</v>
      </c>
      <c r="AD213" s="231">
        <f>(INDEX(Models!$BJ213:$BT213,,AH213)*(1-AF213)+INDEX(Models!$BJ213:$BT213,,AH213+1)*AF213-ERP_i)*AE213*Ramure*Pc/MaxiM</f>
        <v>8.4833766541875973E-3</v>
      </c>
      <c r="AE213" s="305">
        <f t="shared" si="92"/>
        <v>0.7</v>
      </c>
      <c r="AF213" s="177">
        <f t="shared" si="93"/>
        <v>0.41334794535447772</v>
      </c>
      <c r="AG213" s="919">
        <f t="shared" si="99"/>
        <v>2</v>
      </c>
      <c r="AH213" s="176">
        <f t="shared" si="94"/>
        <v>8</v>
      </c>
      <c r="AI213" s="225">
        <f t="shared" si="95"/>
        <v>2.4133479453544777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1090">
        <f>IF(t&gt;Tmaj,'2025'!Wh/'2025'!Env_an*'2026'!Env_an,0.001*[9]mois!$B$56)</f>
        <v>34.718201414600976</v>
      </c>
      <c r="C214" s="953"/>
      <c r="D214" s="393">
        <f t="shared" si="77"/>
        <v>37.059048495870456</v>
      </c>
      <c r="E214" s="385">
        <f t="shared" si="75"/>
        <v>37.805339253730885</v>
      </c>
      <c r="F214" s="385">
        <f t="shared" si="78"/>
        <v>37.843648468201565</v>
      </c>
      <c r="G214" s="110">
        <f t="shared" si="76"/>
        <v>0.67838532943174235</v>
      </c>
      <c r="H214" s="412" t="b">
        <f>Wh_hp&gt;='2025'!Maxi_hp</f>
        <v>0</v>
      </c>
      <c r="I214" s="390">
        <f>IF(H214,Wh_hp,'2025'!Maxi_hp)</f>
        <v>57.76277955645417</v>
      </c>
      <c r="J214" s="85">
        <f>IF(H214,An,'2025'!An_max)</f>
        <v>2021</v>
      </c>
      <c r="K214" s="197">
        <f t="shared" si="79"/>
        <v>46222</v>
      </c>
      <c r="L214" s="147">
        <f>IF(t&lt;Tvie,1-EXP((T0-t)*PertePVj)+'2025'!Pspv,1-EXP((T0-t)*PertePVj)+Pspv)</f>
        <v>6.3165331444770545E-2</v>
      </c>
      <c r="M214" s="957"/>
      <c r="N214" s="957"/>
      <c r="O214" s="48">
        <f>IF(t&lt;Tnet,'2025'!Resal+('2025'!Salim-'2025'!Resal)*(1-EXP(('2025'!Tnet-t)/('2025'!Tau_j))),Resal+(Salim-Resal)*(1-EXP((Tnet-t)/(Tau_j))))*Salcycl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1.8698447967968692E-3</v>
      </c>
      <c r="Q214" s="305">
        <f t="shared" si="80"/>
        <v>0.7</v>
      </c>
      <c r="R214" s="177">
        <f t="shared" si="81"/>
        <v>0.8912713102460621</v>
      </c>
      <c r="S214" s="919">
        <f t="shared" si="82"/>
        <v>-2</v>
      </c>
      <c r="T214" s="176">
        <f t="shared" si="83"/>
        <v>4</v>
      </c>
      <c r="U214" s="251">
        <f t="shared" si="84"/>
        <v>-1.1087286897539379</v>
      </c>
      <c r="V214" s="383">
        <f t="shared" si="85"/>
        <v>51.133769274322482</v>
      </c>
      <c r="W214" s="402">
        <f t="shared" si="86"/>
        <v>34.718201414600976</v>
      </c>
      <c r="X214" s="157">
        <f t="shared" si="87"/>
        <v>46222</v>
      </c>
      <c r="Y214" s="385">
        <f t="shared" si="88"/>
        <v>33.147696846428843</v>
      </c>
      <c r="Z214" s="385">
        <f t="shared" si="89"/>
        <v>35.382653907918098</v>
      </c>
      <c r="AA214" s="386">
        <f t="shared" si="90"/>
        <v>37.672974712116265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6.0794795783980539E-2</v>
      </c>
      <c r="AD214" s="231">
        <f>(INDEX(Models!$BJ214:$BT214,,AH214)*(1-AF214)+INDEX(Models!$BJ214:$BT214,,AH214+1)*AF214-ERP_i)*AE214*Ramure*Pc/MaxiM</f>
        <v>8.3304614614361921E-3</v>
      </c>
      <c r="AE214" s="305">
        <f t="shared" si="92"/>
        <v>0.7</v>
      </c>
      <c r="AF214" s="177">
        <f t="shared" si="93"/>
        <v>0.41625887662004146</v>
      </c>
      <c r="AG214" s="919">
        <f t="shared" si="99"/>
        <v>2</v>
      </c>
      <c r="AH214" s="176">
        <f t="shared" si="94"/>
        <v>8</v>
      </c>
      <c r="AI214" s="225">
        <f t="shared" si="95"/>
        <v>2.4162588766200415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1090">
        <f>IF(t&gt;Tmaj,'2025'!Wh/'2025'!Env_an*'2026'!Env_an,0.001*[9]mois!$B$57)</f>
        <v>39.520184797485086</v>
      </c>
      <c r="C215" s="953"/>
      <c r="D215" s="393">
        <f t="shared" si="77"/>
        <v>42.185725759771316</v>
      </c>
      <c r="E215" s="385">
        <f t="shared" si="75"/>
        <v>43.041254001763669</v>
      </c>
      <c r="F215" s="385">
        <f t="shared" si="78"/>
        <v>43.094544220724458</v>
      </c>
      <c r="G215" s="110">
        <f t="shared" si="76"/>
        <v>0.77400757378435558</v>
      </c>
      <c r="H215" s="412" t="b">
        <f>Wh_hp&gt;='2025'!Maxi_hp</f>
        <v>0</v>
      </c>
      <c r="I215" s="390">
        <f>IF(H215,Wh_hp,'2025'!Maxi_hp)</f>
        <v>55.682250887635263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6.3185850528334697E-2</v>
      </c>
      <c r="M215" s="957"/>
      <c r="N215" s="957"/>
      <c r="O215" s="48">
        <f>IF(t&lt;Tnet,'2025'!Resal+('2025'!Salim-'2025'!Resal)*(1-EXP(('2025'!Tnet-t)/('2025'!Tau_j))),Resal+(Salim-Resal)*(1-EXP((Tnet-t)/(Tau_j))))*Salcycl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1.8244020718717713E-3</v>
      </c>
      <c r="Q215" s="305">
        <f t="shared" si="80"/>
        <v>0.7</v>
      </c>
      <c r="R215" s="177">
        <f t="shared" si="81"/>
        <v>0.89410379568149723</v>
      </c>
      <c r="S215" s="919">
        <f t="shared" si="82"/>
        <v>-2</v>
      </c>
      <c r="T215" s="176">
        <f t="shared" si="83"/>
        <v>4</v>
      </c>
      <c r="U215" s="251">
        <f t="shared" si="84"/>
        <v>-1.1058962043185028</v>
      </c>
      <c r="V215" s="383">
        <f t="shared" si="85"/>
        <v>51.029120222063725</v>
      </c>
      <c r="W215" s="402">
        <f t="shared" si="86"/>
        <v>39.520184797485086</v>
      </c>
      <c r="X215" s="157">
        <f t="shared" si="87"/>
        <v>46223</v>
      </c>
      <c r="Y215" s="385">
        <f t="shared" si="88"/>
        <v>37.703277395758576</v>
      </c>
      <c r="Z215" s="385">
        <f t="shared" si="89"/>
        <v>40.246272344436811</v>
      </c>
      <c r="AA215" s="386">
        <f t="shared" si="90"/>
        <v>42.85572875579853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6.0889325350899672E-2</v>
      </c>
      <c r="AD215" s="231">
        <f>(INDEX(Models!$BJ215:$BT215,,AH215)*(1-AF215)+INDEX(Models!$BJ215:$BT215,,AH215+1)*AF215-ERP_i)*AE215*Ramure*Pc/MaxiM</f>
        <v>8.1758986452360911E-3</v>
      </c>
      <c r="AE215" s="305">
        <f t="shared" si="92"/>
        <v>0.7</v>
      </c>
      <c r="AF215" s="177">
        <f t="shared" si="93"/>
        <v>0.41909136205547659</v>
      </c>
      <c r="AG215" s="919">
        <f t="shared" si="99"/>
        <v>2</v>
      </c>
      <c r="AH215" s="176">
        <f t="shared" si="94"/>
        <v>8</v>
      </c>
      <c r="AI215" s="225">
        <f t="shared" si="95"/>
        <v>2.4190913620554766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1090">
        <f>IF(t&gt;Tmaj,'2025'!Wh/'2025'!Env_an*'2026'!Env_an,0.001*[9]mois!$B$58)</f>
        <v>49.321971991178629</v>
      </c>
      <c r="C216" s="953"/>
      <c r="D216" s="393">
        <f t="shared" si="77"/>
        <v>52.649772978370166</v>
      </c>
      <c r="E216" s="385">
        <f t="shared" si="75"/>
        <v>53.724984884474956</v>
      </c>
      <c r="F216" s="385">
        <f t="shared" si="78"/>
        <v>53.816377577343637</v>
      </c>
      <c r="G216" s="110">
        <f t="shared" si="76"/>
        <v>0.96844658325022792</v>
      </c>
      <c r="H216" s="412" t="b">
        <f>Wh_hp&gt;='2025'!Maxi_hp</f>
        <v>0</v>
      </c>
      <c r="I216" s="390">
        <f>IF(H216,Wh_hp,'2025'!Maxi_hp)</f>
        <v>53.818782690026772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6.3206369162478238E-2</v>
      </c>
      <c r="M216" s="957"/>
      <c r="N216" s="957"/>
      <c r="O216" s="48">
        <f>IF(t&lt;Tnet,'2025'!Resal+('2025'!Salim-'2025'!Resal)*(1-EXP(('2025'!Tnet-t)/('2025'!Tau_j))),Resal+(Salim-Resal)*(1-EXP((Tnet-t)/(Tau_j))))*Salcycl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1.7781891182437792E-3</v>
      </c>
      <c r="Q216" s="305">
        <f t="shared" si="80"/>
        <v>0.7</v>
      </c>
      <c r="R216" s="177">
        <f t="shared" si="81"/>
        <v>0.89685866843955719</v>
      </c>
      <c r="S216" s="919">
        <f t="shared" si="82"/>
        <v>-2</v>
      </c>
      <c r="T216" s="176">
        <f t="shared" si="83"/>
        <v>4</v>
      </c>
      <c r="U216" s="251">
        <f t="shared" si="84"/>
        <v>-1.1031413315604428</v>
      </c>
      <c r="V216" s="383">
        <f t="shared" si="85"/>
        <v>50.924875456507138</v>
      </c>
      <c r="W216" s="402">
        <f t="shared" si="86"/>
        <v>49.321971991178629</v>
      </c>
      <c r="X216" s="157">
        <f t="shared" si="87"/>
        <v>46224</v>
      </c>
      <c r="Y216" s="385">
        <f t="shared" si="88"/>
        <v>46.977787985154905</v>
      </c>
      <c r="Z216" s="385">
        <f t="shared" si="89"/>
        <v>50.147424618115032</v>
      </c>
      <c r="AA216" s="386">
        <f t="shared" si="90"/>
        <v>53.404192436936974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6.0983373593145089E-2</v>
      </c>
      <c r="AD216" s="231">
        <f>(INDEX(Models!$BJ216:$BT216,,AH216)*(1-AF216)+INDEX(Models!$BJ216:$BT216,,AH216+1)*AF216-ERP_i)*AE216*Ramure*Pc/MaxiM</f>
        <v>8.0197126090383822E-3</v>
      </c>
      <c r="AE216" s="305">
        <f t="shared" si="92"/>
        <v>0.7</v>
      </c>
      <c r="AF216" s="177">
        <f t="shared" si="93"/>
        <v>0.42184623481353656</v>
      </c>
      <c r="AG216" s="919">
        <f t="shared" si="99"/>
        <v>2</v>
      </c>
      <c r="AH216" s="176">
        <f t="shared" si="94"/>
        <v>8</v>
      </c>
      <c r="AI216" s="225">
        <f t="shared" si="95"/>
        <v>2.4218462348135366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1090">
        <f>IF(t&gt;Tmaj,'2025'!Wh/'2025'!Env_an*'2026'!Env_an,0.001*[9]mois!$B$59)</f>
        <v>37.643043521628293</v>
      </c>
      <c r="C217" s="953"/>
      <c r="D217" s="393">
        <f t="shared" si="77"/>
        <v>40.183736075675064</v>
      </c>
      <c r="E217" s="385">
        <f t="shared" si="75"/>
        <v>41.010060992913949</v>
      </c>
      <c r="F217" s="385">
        <f t="shared" si="78"/>
        <v>41.054807362219677</v>
      </c>
      <c r="G217" s="110">
        <f t="shared" si="76"/>
        <v>0.74021970698991646</v>
      </c>
      <c r="H217" s="412" t="b">
        <f>Wh_hp&gt;='2025'!Maxi_hp</f>
        <v>0</v>
      </c>
      <c r="I217" s="390">
        <f>IF(H217,Wh_hp,'2025'!Maxi_hp)</f>
        <v>54.507643131176636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6.3226887347211047E-2</v>
      </c>
      <c r="M217" s="957"/>
      <c r="N217" s="957"/>
      <c r="O217" s="48">
        <f>IF(t&lt;Tnet,'2025'!Resal+('2025'!Salim-'2025'!Resal)*(1-EXP(('2025'!Tnet-t)/('2025'!Tau_j))),Resal+(Salim-Resal)*(1-EXP((Tnet-t)/(Tau_j))))*Salcycl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1.7312248051249903E-3</v>
      </c>
      <c r="Q217" s="305">
        <f t="shared" si="80"/>
        <v>0.7</v>
      </c>
      <c r="R217" s="177">
        <f t="shared" si="81"/>
        <v>0.89953684409683632</v>
      </c>
      <c r="S217" s="919">
        <f t="shared" si="82"/>
        <v>-2</v>
      </c>
      <c r="T217" s="176">
        <f t="shared" si="83"/>
        <v>4</v>
      </c>
      <c r="U217" s="251">
        <f t="shared" si="84"/>
        <v>-1.1004631559031637</v>
      </c>
      <c r="V217" s="383">
        <f t="shared" si="85"/>
        <v>50.821230618970226</v>
      </c>
      <c r="W217" s="402">
        <f t="shared" si="86"/>
        <v>37.643043521628293</v>
      </c>
      <c r="X217" s="157">
        <f t="shared" si="87"/>
        <v>46225</v>
      </c>
      <c r="Y217" s="385">
        <f t="shared" si="88"/>
        <v>35.931348160939152</v>
      </c>
      <c r="Z217" s="385">
        <f t="shared" si="89"/>
        <v>38.356510958333786</v>
      </c>
      <c r="AA217" s="386">
        <f t="shared" si="90"/>
        <v>40.851602869501804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6.1076964816740541E-2</v>
      </c>
      <c r="AD217" s="231">
        <f>(INDEX(Models!$BJ217:$BT217,,AH217)*(1-AF217)+INDEX(Models!$BJ217:$BT217,,AH217+1)*AF217-ERP_i)*AE217*Ramure*Pc/MaxiM</f>
        <v>7.8619263141199557E-3</v>
      </c>
      <c r="AE217" s="305">
        <f t="shared" si="92"/>
        <v>0.7</v>
      </c>
      <c r="AF217" s="177">
        <f t="shared" si="93"/>
        <v>0.42452441047081546</v>
      </c>
      <c r="AG217" s="919">
        <f t="shared" si="99"/>
        <v>2</v>
      </c>
      <c r="AH217" s="176">
        <f t="shared" si="94"/>
        <v>8</v>
      </c>
      <c r="AI217" s="225">
        <f t="shared" si="95"/>
        <v>2.4245244104708155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1090">
        <f>IF(t&gt;Tmaj,'2025'!Wh/'2025'!Env_an*'2026'!Env_an,0.001*[9]mois!$B$60)</f>
        <v>41.99577008757624</v>
      </c>
      <c r="C218" s="953"/>
      <c r="D218" s="393">
        <f t="shared" si="77"/>
        <v>44.831228987710183</v>
      </c>
      <c r="E218" s="385">
        <f t="shared" si="75"/>
        <v>45.759466050193822</v>
      </c>
      <c r="F218" s="385">
        <f t="shared" si="78"/>
        <v>45.817650160468453</v>
      </c>
      <c r="G218" s="110">
        <f t="shared" si="76"/>
        <v>0.82767581625573061</v>
      </c>
      <c r="H218" s="412" t="b">
        <f>Wh_hp&gt;='2025'!Maxi_hp</f>
        <v>0</v>
      </c>
      <c r="I218" s="390">
        <f>IF(H218,Wh_hp,'2025'!Maxi_hp)</f>
        <v>56.297408043792899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6.3247405082542896E-2</v>
      </c>
      <c r="M218" s="957"/>
      <c r="N218" s="957"/>
      <c r="O218" s="48">
        <f>IF(t&lt;Tnet,'2025'!Resal+('2025'!Salim-'2025'!Resal)*(1-EXP(('2025'!Tnet-t)/('2025'!Tau_j))),Resal+(Salim-Resal)*(1-EXP((Tnet-t)/(Tau_j))))*Salcycl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1.6835277942984378E-3</v>
      </c>
      <c r="Q218" s="305">
        <f t="shared" si="80"/>
        <v>0.7</v>
      </c>
      <c r="R218" s="177">
        <f t="shared" si="81"/>
        <v>0.90213931385796853</v>
      </c>
      <c r="S218" s="919">
        <f t="shared" si="82"/>
        <v>-2</v>
      </c>
      <c r="T218" s="176">
        <f t="shared" si="83"/>
        <v>4</v>
      </c>
      <c r="U218" s="251">
        <f t="shared" si="84"/>
        <v>-1.0978606861420315</v>
      </c>
      <c r="V218" s="383">
        <f t="shared" si="85"/>
        <v>50.718381293578069</v>
      </c>
      <c r="W218" s="402">
        <f t="shared" si="86"/>
        <v>41.99577008757624</v>
      </c>
      <c r="X218" s="157">
        <f t="shared" si="87"/>
        <v>46226</v>
      </c>
      <c r="Y218" s="385">
        <f t="shared" si="88"/>
        <v>40.060277111808411</v>
      </c>
      <c r="Z218" s="385">
        <f t="shared" si="89"/>
        <v>42.765055927428058</v>
      </c>
      <c r="AA218" s="386">
        <f t="shared" si="90"/>
        <v>45.551443282942166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6.1170122277059404E-2</v>
      </c>
      <c r="AD218" s="231">
        <f>(INDEX(Models!$BJ218:$BT218,,AH218)*(1-AF218)+INDEX(Models!$BJ218:$BT218,,AH218+1)*AF218-ERP_i)*AE218*Ramure*Pc/MaxiM</f>
        <v>7.7025613218719043E-3</v>
      </c>
      <c r="AE218" s="305">
        <f t="shared" si="92"/>
        <v>0.7</v>
      </c>
      <c r="AF218" s="177">
        <f t="shared" si="93"/>
        <v>0.42712688023194767</v>
      </c>
      <c r="AG218" s="919">
        <f t="shared" si="99"/>
        <v>2</v>
      </c>
      <c r="AH218" s="176">
        <f t="shared" si="94"/>
        <v>8</v>
      </c>
      <c r="AI218" s="225">
        <f t="shared" si="95"/>
        <v>2.4271268802319477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1090">
        <f>IF(t&gt;Tmaj,'2025'!Wh/'2025'!Env_an*'2026'!Env_an,0.001*[9]mois!$B$61)</f>
        <v>49.7197182667812</v>
      </c>
      <c r="C219" s="953"/>
      <c r="D219" s="393">
        <f t="shared" si="77"/>
        <v>53.07784312510703</v>
      </c>
      <c r="E219" s="385">
        <f t="shared" si="75"/>
        <v>54.184325490414849</v>
      </c>
      <c r="F219" s="385">
        <f t="shared" si="78"/>
        <v>54.270819564418794</v>
      </c>
      <c r="G219" s="110">
        <f t="shared" si="76"/>
        <v>0.98224709663371201</v>
      </c>
      <c r="H219" s="412" t="b">
        <f>Wh_hp&gt;='2025'!Maxi_hp</f>
        <v>0</v>
      </c>
      <c r="I219" s="390">
        <f>IF(H219,Wh_hp,'2025'!Maxi_hp)</f>
        <v>54.272063537261069</v>
      </c>
      <c r="J219" s="85">
        <f>IF(H219,An,'2025'!An_max)</f>
        <v>2025</v>
      </c>
      <c r="K219" s="197">
        <f t="shared" si="79"/>
        <v>46227</v>
      </c>
      <c r="L219" s="147">
        <f>IF(t&lt;Tvie,1-EXP((T0-t)*PertePVj)+'2025'!Pspv,1-EXP((T0-t)*PertePVj)+Pspv)</f>
        <v>6.3267922368483775E-2</v>
      </c>
      <c r="M219" s="957"/>
      <c r="N219" s="957"/>
      <c r="O219" s="48">
        <f>IF(t&lt;Tnet,'2025'!Resal+('2025'!Salim-'2025'!Resal)*(1-EXP(('2025'!Tnet-t)/('2025'!Tau_j))),Resal+(Salim-Resal)*(1-EXP((Tnet-t)/(Tau_j))))*Salcycl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1.6351229199311752E-3</v>
      </c>
      <c r="Q219" s="305">
        <f t="shared" si="80"/>
        <v>0.7</v>
      </c>
      <c r="R219" s="177">
        <f t="shared" si="81"/>
        <v>0.90466713790084574</v>
      </c>
      <c r="S219" s="919">
        <f t="shared" si="82"/>
        <v>-2</v>
      </c>
      <c r="T219" s="176">
        <f t="shared" si="83"/>
        <v>4</v>
      </c>
      <c r="U219" s="251">
        <f t="shared" si="84"/>
        <v>-1.0953328620991543</v>
      </c>
      <c r="V219" s="383">
        <f t="shared" si="85"/>
        <v>50.616243165896471</v>
      </c>
      <c r="W219" s="402">
        <f t="shared" si="86"/>
        <v>49.7197182667812</v>
      </c>
      <c r="X219" s="157">
        <f t="shared" si="87"/>
        <v>46227</v>
      </c>
      <c r="Y219" s="385">
        <f t="shared" si="88"/>
        <v>47.371981288691359</v>
      </c>
      <c r="Z219" s="385">
        <f t="shared" si="89"/>
        <v>50.571537390359495</v>
      </c>
      <c r="AA219" s="386">
        <f t="shared" si="90"/>
        <v>53.871883481702213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6.1262868087092179E-2</v>
      </c>
      <c r="AD219" s="231">
        <f>(INDEX(Models!$BJ219:$BT219,,AH219)*(1-AF219)+INDEX(Models!$BJ219:$BT219,,AH219+1)*AF219-ERP_i)*AE219*Ramure*Pc/MaxiM</f>
        <v>7.5416673332753155E-3</v>
      </c>
      <c r="AE219" s="305">
        <f t="shared" si="92"/>
        <v>0.7</v>
      </c>
      <c r="AF219" s="177">
        <f t="shared" si="93"/>
        <v>0.42965470427482488</v>
      </c>
      <c r="AG219" s="919">
        <f t="shared" si="99"/>
        <v>2</v>
      </c>
      <c r="AH219" s="176">
        <f t="shared" si="94"/>
        <v>8</v>
      </c>
      <c r="AI219" s="225">
        <f t="shared" si="95"/>
        <v>2.4296547042748249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1090">
        <f>IF(t&gt;Tmaj,'2025'!Wh/'2025'!Env_an*'2026'!Env_an,0.001*[9]mois!$B$62)</f>
        <v>25.555982072174416</v>
      </c>
      <c r="C220" s="953"/>
      <c r="D220" s="393">
        <f t="shared" si="77"/>
        <v>27.282658976137636</v>
      </c>
      <c r="E220" s="385">
        <f t="shared" si="75"/>
        <v>27.855252747259247</v>
      </c>
      <c r="F220" s="385">
        <f t="shared" si="78"/>
        <v>27.86825537352258</v>
      </c>
      <c r="G220" s="110">
        <f t="shared" si="76"/>
        <v>0.50534682670245368</v>
      </c>
      <c r="H220" s="412" t="b">
        <f>Wh_hp&gt;='2025'!Maxi_hp</f>
        <v>0</v>
      </c>
      <c r="I220" s="390">
        <f>IF(H220,Wh_hp,'2025'!Maxi_hp)</f>
        <v>54.530894378058939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6.3288439205043456E-2</v>
      </c>
      <c r="M220" s="957"/>
      <c r="N220" s="957"/>
      <c r="O220" s="48">
        <f>IF(t&lt;Tnet,'2025'!Resal+('2025'!Salim-'2025'!Resal)*(1-EXP(('2025'!Tnet-t)/('2025'!Tau_j))),Resal+(Salim-Resal)*(1-EXP((Tnet-t)/(Tau_j))))*Salcycl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1.5861145787401457E-3</v>
      </c>
      <c r="Q220" s="305">
        <f t="shared" si="80"/>
        <v>0.7</v>
      </c>
      <c r="R220" s="177">
        <f t="shared" si="81"/>
        <v>0.90712143888798069</v>
      </c>
      <c r="S220" s="919">
        <f t="shared" si="82"/>
        <v>-2</v>
      </c>
      <c r="T220" s="176">
        <f t="shared" si="83"/>
        <v>4</v>
      </c>
      <c r="U220" s="251">
        <f t="shared" si="84"/>
        <v>-1.0928785611120193</v>
      </c>
      <c r="V220" s="383">
        <f t="shared" si="85"/>
        <v>50.514530674698719</v>
      </c>
      <c r="W220" s="402">
        <f t="shared" si="86"/>
        <v>25.555982072174416</v>
      </c>
      <c r="X220" s="157">
        <f t="shared" si="87"/>
        <v>46228</v>
      </c>
      <c r="Y220" s="385">
        <f t="shared" si="88"/>
        <v>24.449676898075236</v>
      </c>
      <c r="Z220" s="385">
        <f t="shared" si="89"/>
        <v>26.101606856784805</v>
      </c>
      <c r="AA220" s="386">
        <f t="shared" si="90"/>
        <v>27.807758057349222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6.135522313757702E-2</v>
      </c>
      <c r="AD220" s="231">
        <f>(INDEX(Models!$BJ220:$BT220,,AH220)*(1-AF220)+INDEX(Models!$BJ220:$BT220,,AH220+1)*AF220-ERP_i)*AE220*Ramure*Pc/MaxiM</f>
        <v>7.3797149294218302E-3</v>
      </c>
      <c r="AE220" s="305">
        <f t="shared" si="92"/>
        <v>0.7</v>
      </c>
      <c r="AF220" s="177">
        <f t="shared" si="93"/>
        <v>0.43210900526195983</v>
      </c>
      <c r="AG220" s="919">
        <f t="shared" si="99"/>
        <v>2</v>
      </c>
      <c r="AH220" s="176">
        <f t="shared" si="94"/>
        <v>8</v>
      </c>
      <c r="AI220" s="225">
        <f t="shared" si="95"/>
        <v>2.4321090052619598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1090">
        <f>IF(t&gt;Tmaj,'2025'!Wh/'2025'!Env_an*'2026'!Env_an,0.001*[9]mois!$B$63)</f>
        <v>48.581832133275221</v>
      </c>
      <c r="C221" s="953"/>
      <c r="D221" s="393">
        <f t="shared" si="77"/>
        <v>51.865374846186917</v>
      </c>
      <c r="E221" s="385">
        <f t="shared" si="75"/>
        <v>52.96120267947633</v>
      </c>
      <c r="F221" s="385">
        <f t="shared" si="78"/>
        <v>53.038467673228418</v>
      </c>
      <c r="G221" s="110">
        <f t="shared" si="76"/>
        <v>0.96359696446529697</v>
      </c>
      <c r="H221" s="412" t="b">
        <f>Wh_hp&gt;='2025'!Maxi_hp</f>
        <v>0</v>
      </c>
      <c r="I221" s="390">
        <f>IF(H221,Wh_hp,'2025'!Maxi_hp)</f>
        <v>54.739727703954557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6.3308955592231708E-2</v>
      </c>
      <c r="M221" s="957"/>
      <c r="N221" s="957"/>
      <c r="O221" s="48">
        <f>IF(t&lt;Tnet,'2025'!Resal+('2025'!Salim-'2025'!Resal)*(1-EXP(('2025'!Tnet-t)/('2025'!Tau_j))),Resal+(Salim-Resal)*(1-EXP((Tnet-t)/(Tau_j))))*Salcycl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1.5365089561703189E-3</v>
      </c>
      <c r="Q221" s="305">
        <f t="shared" si="80"/>
        <v>0.7</v>
      </c>
      <c r="R221" s="177">
        <f t="shared" si="81"/>
        <v>0.9095033956658396</v>
      </c>
      <c r="S221" s="919">
        <f t="shared" si="82"/>
        <v>-2</v>
      </c>
      <c r="T221" s="176">
        <f t="shared" si="83"/>
        <v>4</v>
      </c>
      <c r="U221" s="251">
        <f t="shared" si="84"/>
        <v>-1.0904966043341604</v>
      </c>
      <c r="V221" s="383">
        <f t="shared" si="85"/>
        <v>50.413144231175451</v>
      </c>
      <c r="W221" s="402">
        <f t="shared" si="86"/>
        <v>48.581832133275221</v>
      </c>
      <c r="X221" s="157">
        <f t="shared" si="87"/>
        <v>46229</v>
      </c>
      <c r="Y221" s="385">
        <f t="shared" si="88"/>
        <v>46.308879216324826</v>
      </c>
      <c r="Z221" s="385">
        <f t="shared" si="89"/>
        <v>49.438797875562109</v>
      </c>
      <c r="AA221" s="386">
        <f t="shared" si="90"/>
        <v>52.675564172659172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6.1447207029195518E-2</v>
      </c>
      <c r="AD221" s="231">
        <f>(INDEX(Models!$BJ221:$BT221,,AH221)*(1-AF221)+INDEX(Models!$BJ221:$BT221,,AH221+1)*AF221-ERP_i)*AE221*Ramure*Pc/MaxiM</f>
        <v>7.2167802231284202E-3</v>
      </c>
      <c r="AE221" s="305">
        <f t="shared" si="92"/>
        <v>0.7</v>
      </c>
      <c r="AF221" s="177">
        <f t="shared" si="93"/>
        <v>0.43449096203981874</v>
      </c>
      <c r="AG221" s="919">
        <f t="shared" si="99"/>
        <v>2</v>
      </c>
      <c r="AH221" s="176">
        <f t="shared" si="94"/>
        <v>8</v>
      </c>
      <c r="AI221" s="225">
        <f t="shared" si="95"/>
        <v>2.4344909620398187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1090">
        <f>IF(t&gt;Tmaj,'2025'!Wh/'2025'!Env_an*'2026'!Env_an,0.001*[9]mois!$B$64)</f>
        <v>52.599464868646557</v>
      </c>
      <c r="C222" s="953"/>
      <c r="D222" s="393">
        <f t="shared" si="77"/>
        <v>56.155780789396864</v>
      </c>
      <c r="E222" s="385">
        <f t="shared" si="75"/>
        <v>57.350156021231243</v>
      </c>
      <c r="F222" s="385">
        <f t="shared" si="78"/>
        <v>57.435524145441825</v>
      </c>
      <c r="G222" s="110">
        <f t="shared" si="76"/>
        <v>1.0454659363283154</v>
      </c>
      <c r="H222" s="412" t="b">
        <f>Wh_hp&gt;='2025'!Maxi_hp</f>
        <v>1</v>
      </c>
      <c r="I222" s="390">
        <f>IF(H222,Wh_hp,'2025'!Maxi_hp)</f>
        <v>57.435524145441825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6.3329471530058412E-2</v>
      </c>
      <c r="M222" s="957"/>
      <c r="N222" s="957"/>
      <c r="O222" s="48">
        <f>IF(t&lt;Tnet,'2025'!Resal+('2025'!Salim-'2025'!Resal)*(1-EXP(('2025'!Tnet-t)/('2025'!Tau_j))),Resal+(Salim-Resal)*(1-EXP((Tnet-t)/(Tau_j))))*Salcycl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1.4863296797711393E-3</v>
      </c>
      <c r="Q222" s="305">
        <f t="shared" si="80"/>
        <v>0.7</v>
      </c>
      <c r="R222" s="177">
        <f t="shared" si="81"/>
        <v>0.91181423717080556</v>
      </c>
      <c r="S222" s="919">
        <f t="shared" si="82"/>
        <v>-2</v>
      </c>
      <c r="T222" s="176">
        <f t="shared" si="83"/>
        <v>4</v>
      </c>
      <c r="U222" s="251">
        <f t="shared" si="84"/>
        <v>-1.0881857628291944</v>
      </c>
      <c r="V222" s="383">
        <f t="shared" si="85"/>
        <v>50.311983433316144</v>
      </c>
      <c r="W222" s="402">
        <f t="shared" si="86"/>
        <v>52.599464868646557</v>
      </c>
      <c r="X222" s="157">
        <f t="shared" si="87"/>
        <v>46230</v>
      </c>
      <c r="Y222" s="385">
        <f t="shared" si="88"/>
        <v>50.131402495504673</v>
      </c>
      <c r="Z222" s="385">
        <f t="shared" si="89"/>
        <v>53.520849617628834</v>
      </c>
      <c r="AA222" s="386">
        <f t="shared" si="90"/>
        <v>57.030436405628762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6.1538838016914357E-2</v>
      </c>
      <c r="AD222" s="231">
        <f>(INDEX(Models!$BJ222:$BT222,,AH222)*(1-AF222)+INDEX(Models!$BJ222:$BT222,,AH222+1)*AF222-ERP_i)*AE222*Ramure*Pc/MaxiM</f>
        <v>7.0529127371984955E-3</v>
      </c>
      <c r="AE222" s="305">
        <f t="shared" si="92"/>
        <v>0.7</v>
      </c>
      <c r="AF222" s="177">
        <f t="shared" si="93"/>
        <v>0.43680180354478448</v>
      </c>
      <c r="AG222" s="919">
        <f t="shared" si="99"/>
        <v>2</v>
      </c>
      <c r="AH222" s="176">
        <f t="shared" si="94"/>
        <v>8</v>
      </c>
      <c r="AI222" s="225">
        <f t="shared" si="95"/>
        <v>2.4368018035447845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1090">
        <f>IF(t&gt;Tmaj,'2025'!Wh/'2025'!Env_an*'2026'!Env_an,0.001*[9]mois!$B$65)</f>
        <v>41.787052416174689</v>
      </c>
      <c r="C223" s="953"/>
      <c r="D223" s="393">
        <f t="shared" si="77"/>
        <v>44.613304689081907</v>
      </c>
      <c r="E223" s="385">
        <f t="shared" si="75"/>
        <v>45.568449640988121</v>
      </c>
      <c r="F223" s="385">
        <f t="shared" si="78"/>
        <v>45.618243178450086</v>
      </c>
      <c r="G223" s="110">
        <f t="shared" si="76"/>
        <v>0.83194324326211599</v>
      </c>
      <c r="H223" s="412" t="b">
        <f>Wh_hp&gt;='2025'!Maxi_hp</f>
        <v>0</v>
      </c>
      <c r="I223" s="390">
        <f>IF(H223,Wh_hp,'2025'!Maxi_hp)</f>
        <v>52.534108463708804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6.3349987018533449E-2</v>
      </c>
      <c r="M223" s="957"/>
      <c r="N223" s="957"/>
      <c r="O223" s="48">
        <f>IF(t&lt;Tnet,'2025'!Resal+('2025'!Salim-'2025'!Resal)*(1-EXP(('2025'!Tnet-t)/('2025'!Tau_j))),Resal+(Salim-Resal)*(1-EXP((Tnet-t)/(Tau_j))))*Salcycl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1.4355991516150776E-3</v>
      </c>
      <c r="Q223" s="305">
        <f t="shared" si="80"/>
        <v>0.7</v>
      </c>
      <c r="R223" s="177">
        <f t="shared" si="81"/>
        <v>0.91405523655738707</v>
      </c>
      <c r="S223" s="919">
        <f t="shared" si="82"/>
        <v>-2</v>
      </c>
      <c r="T223" s="176">
        <f t="shared" si="83"/>
        <v>4</v>
      </c>
      <c r="U223" s="251">
        <f t="shared" si="84"/>
        <v>-1.0859447634426129</v>
      </c>
      <c r="V223" s="383">
        <f t="shared" si="85"/>
        <v>50.21094801416735</v>
      </c>
      <c r="W223" s="402">
        <f t="shared" si="86"/>
        <v>41.787052416174689</v>
      </c>
      <c r="X223" s="157">
        <f t="shared" si="87"/>
        <v>46231</v>
      </c>
      <c r="Y223" s="385">
        <f t="shared" si="88"/>
        <v>39.884987624644062</v>
      </c>
      <c r="Z223" s="385">
        <f t="shared" si="89"/>
        <v>42.582594428932403</v>
      </c>
      <c r="AA223" s="386">
        <f t="shared" si="90"/>
        <v>45.379328476890592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6.1630132966432598E-2</v>
      </c>
      <c r="AD223" s="231">
        <f>(INDEX(Models!$BJ223:$BT223,,AH223)*(1-AF223)+INDEX(Models!$BJ223:$BT223,,AH223+1)*AF223-ERP_i)*AE223*Ramure*Pc/MaxiM</f>
        <v>6.8881577881305658E-3</v>
      </c>
      <c r="AE223" s="305">
        <f t="shared" si="92"/>
        <v>0.7</v>
      </c>
      <c r="AF223" s="177">
        <f t="shared" si="93"/>
        <v>0.43904280293136599</v>
      </c>
      <c r="AG223" s="919">
        <f t="shared" si="99"/>
        <v>2</v>
      </c>
      <c r="AH223" s="176">
        <f t="shared" si="94"/>
        <v>8</v>
      </c>
      <c r="AI223" s="225">
        <f t="shared" si="95"/>
        <v>2.439042802931366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1090">
        <f>IF(t&gt;Tmaj,'2025'!Wh/'2025'!Env_an*'2026'!Env_an,0.001*[9]mois!$B$66)</f>
        <v>27.833361588971936</v>
      </c>
      <c r="C224" s="953"/>
      <c r="D224" s="393">
        <f t="shared" si="77"/>
        <v>29.716511865277155</v>
      </c>
      <c r="E224" s="385">
        <f t="shared" si="75"/>
        <v>30.356893342923264</v>
      </c>
      <c r="F224" s="385">
        <f t="shared" si="78"/>
        <v>30.372236688043337</v>
      </c>
      <c r="G224" s="110">
        <f t="shared" si="76"/>
        <v>0.55495736750712044</v>
      </c>
      <c r="H224" s="412" t="b">
        <f>Wh_hp&gt;='2025'!Maxi_hp</f>
        <v>0</v>
      </c>
      <c r="I224" s="390">
        <f>IF(H224,Wh_hp,'2025'!Maxi_hp)</f>
        <v>55.721551124095164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6.3370502057666589E-2</v>
      </c>
      <c r="M224" s="957"/>
      <c r="N224" s="957"/>
      <c r="O224" s="48">
        <f>IF(t&lt;Tnet,'2025'!Resal+('2025'!Salim-'2025'!Resal)*(1-EXP(('2025'!Tnet-t)/('2025'!Tau_j))),Resal+(Salim-Resal)*(1-EXP((Tnet-t)/(Tau_j))))*Salcycl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1.384338545654889E-3</v>
      </c>
      <c r="Q224" s="305">
        <f t="shared" si="80"/>
        <v>0.7</v>
      </c>
      <c r="R224" s="177">
        <f t="shared" si="81"/>
        <v>0.91622770556142052</v>
      </c>
      <c r="S224" s="919">
        <f t="shared" si="82"/>
        <v>-2</v>
      </c>
      <c r="T224" s="176">
        <f t="shared" si="83"/>
        <v>4</v>
      </c>
      <c r="U224" s="251">
        <f t="shared" si="84"/>
        <v>-1.0837722944385795</v>
      </c>
      <c r="V224" s="383">
        <f t="shared" si="85"/>
        <v>50.109937841397503</v>
      </c>
      <c r="W224" s="402">
        <f t="shared" si="86"/>
        <v>27.833361588971936</v>
      </c>
      <c r="X224" s="157">
        <f t="shared" si="87"/>
        <v>46232</v>
      </c>
      <c r="Y224" s="385">
        <f t="shared" si="88"/>
        <v>26.626239075520672</v>
      </c>
      <c r="Z224" s="385">
        <f t="shared" si="89"/>
        <v>28.427717826542338</v>
      </c>
      <c r="AA224" s="386">
        <f t="shared" si="90"/>
        <v>30.297727092018938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6.172110732257536E-2</v>
      </c>
      <c r="AD224" s="231">
        <f>(INDEX(Models!$BJ224:$BT224,,AH224)*(1-AF224)+INDEX(Models!$BJ224:$BT224,,AH224+1)*AF224-ERP_i)*AE224*Ramure*Pc/MaxiM</f>
        <v>6.7225565866216802E-3</v>
      </c>
      <c r="AE224" s="305">
        <f t="shared" si="92"/>
        <v>0.7</v>
      </c>
      <c r="AF224" s="177">
        <f t="shared" si="93"/>
        <v>0.44121527193539967</v>
      </c>
      <c r="AG224" s="919">
        <f t="shared" si="99"/>
        <v>2</v>
      </c>
      <c r="AH224" s="176">
        <f t="shared" si="94"/>
        <v>8</v>
      </c>
      <c r="AI224" s="225">
        <f t="shared" si="95"/>
        <v>2.4412152719353997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1090">
        <f>IF(t&gt;Tmaj,'2025'!Wh/'2025'!Env_an*'2026'!Env_an,0.001*[9]mois!$B$67)</f>
        <v>41.942682054079789</v>
      </c>
      <c r="C225" s="953"/>
      <c r="D225" s="393">
        <f t="shared" si="77"/>
        <v>44.781421916271434</v>
      </c>
      <c r="E225" s="385">
        <f t="shared" si="75"/>
        <v>45.752720409259176</v>
      </c>
      <c r="F225" s="385">
        <f t="shared" si="78"/>
        <v>45.799688718392545</v>
      </c>
      <c r="G225" s="110">
        <f t="shared" si="76"/>
        <v>0.83844735096720546</v>
      </c>
      <c r="H225" s="412" t="b">
        <f>Wh_hp&gt;='2025'!Maxi_hp</f>
        <v>0</v>
      </c>
      <c r="I225" s="390">
        <f>IF(H225,Wh_hp,'2025'!Maxi_hp)</f>
        <v>53.533900381500366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6.3391016647467824E-2</v>
      </c>
      <c r="M225" s="957"/>
      <c r="N225" s="957"/>
      <c r="O225" s="48">
        <f>IF(t&lt;Tnet,'2025'!Resal+('2025'!Salim-'2025'!Resal)*(1-EXP(('2025'!Tnet-t)/('2025'!Tau_j))),Resal+(Salim-Resal)*(1-EXP((Tnet-t)/(Tau_j))))*Salcycl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1.3325678130766227E-3</v>
      </c>
      <c r="Q225" s="305">
        <f t="shared" si="80"/>
        <v>0.7</v>
      </c>
      <c r="R225" s="177">
        <f t="shared" si="81"/>
        <v>0.91833298910830274</v>
      </c>
      <c r="S225" s="919">
        <f t="shared" si="82"/>
        <v>-2</v>
      </c>
      <c r="T225" s="176">
        <f t="shared" si="83"/>
        <v>4</v>
      </c>
      <c r="U225" s="251">
        <f t="shared" si="84"/>
        <v>-1.0816670108916973</v>
      </c>
      <c r="V225" s="383">
        <f t="shared" si="85"/>
        <v>50.008852916435785</v>
      </c>
      <c r="W225" s="402">
        <f t="shared" si="86"/>
        <v>41.942682054079789</v>
      </c>
      <c r="X225" s="157">
        <f t="shared" si="87"/>
        <v>46233</v>
      </c>
      <c r="Y225" s="385">
        <f t="shared" si="88"/>
        <v>40.041842801457449</v>
      </c>
      <c r="Z225" s="385">
        <f t="shared" si="89"/>
        <v>42.751931182776211</v>
      </c>
      <c r="AA225" s="386">
        <f t="shared" si="90"/>
        <v>45.568607713924543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6.1811775089358943E-2</v>
      </c>
      <c r="AD225" s="231">
        <f>(INDEX(Models!$BJ225:$BT225,,AH225)*(1-AF225)+INDEX(Models!$BJ225:$BT225,,AH225+1)*AF225-ERP_i)*AE225*Ramure*Pc/MaxiM</f>
        <v>6.5561463558987633E-3</v>
      </c>
      <c r="AE225" s="305">
        <f t="shared" si="92"/>
        <v>0.7</v>
      </c>
      <c r="AF225" s="177">
        <f t="shared" si="93"/>
        <v>0.44332055548228189</v>
      </c>
      <c r="AG225" s="919">
        <f t="shared" si="99"/>
        <v>2</v>
      </c>
      <c r="AH225" s="176">
        <f t="shared" si="94"/>
        <v>8</v>
      </c>
      <c r="AI225" s="225">
        <f t="shared" si="95"/>
        <v>2.4433205554822819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1090">
        <f>IF(t&gt;Tmaj,'2025'!Wh/'2025'!Env_an*'2026'!Env_an,0.001*[9]mois!$B$68)</f>
        <v>50.416742243537222</v>
      </c>
      <c r="C226" s="953"/>
      <c r="D226" s="393">
        <f t="shared" si="77"/>
        <v>53.83019746757352</v>
      </c>
      <c r="E226" s="385">
        <f t="shared" si="75"/>
        <v>55.005292396503386</v>
      </c>
      <c r="F226" s="385">
        <f t="shared" si="78"/>
        <v>55.075837023601309</v>
      </c>
      <c r="G226" s="110">
        <f t="shared" si="76"/>
        <v>1.0102023959132442</v>
      </c>
      <c r="H226" s="412" t="b">
        <f>Wh_hp&gt;='2025'!Maxi_hp</f>
        <v>1</v>
      </c>
      <c r="I226" s="390">
        <f>IF(H226,Wh_hp,'2025'!Maxi_hp)</f>
        <v>55.075837023601309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6.3411530787946813E-2</v>
      </c>
      <c r="M226" s="957"/>
      <c r="N226" s="957"/>
      <c r="O226" s="48">
        <f>IF(t&lt;Tnet,'2025'!Resal+('2025'!Salim-'2025'!Resal)*(1-EXP(('2025'!Tnet-t)/('2025'!Tau_j))),Resal+(Salim-Resal)*(1-EXP((Tnet-t)/(Tau_j))))*Salcycl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1.2808634586470176E-3</v>
      </c>
      <c r="Q226" s="305">
        <f t="shared" si="80"/>
        <v>0.7</v>
      </c>
      <c r="R226" s="177">
        <f t="shared" si="81"/>
        <v>0.92037246017377594</v>
      </c>
      <c r="S226" s="919">
        <f t="shared" si="82"/>
        <v>-2</v>
      </c>
      <c r="T226" s="176">
        <f t="shared" si="83"/>
        <v>4</v>
      </c>
      <c r="U226" s="251">
        <f t="shared" si="84"/>
        <v>-1.0796275398262241</v>
      </c>
      <c r="V226" s="383">
        <f t="shared" si="85"/>
        <v>49.907565501227531</v>
      </c>
      <c r="W226" s="402">
        <f t="shared" si="86"/>
        <v>50.416742243537222</v>
      </c>
      <c r="X226" s="157">
        <f t="shared" si="87"/>
        <v>46234</v>
      </c>
      <c r="Y226" s="385">
        <f t="shared" si="88"/>
        <v>48.080993095623398</v>
      </c>
      <c r="Z226" s="385">
        <f t="shared" si="89"/>
        <v>51.336306901230245</v>
      </c>
      <c r="AA226" s="386">
        <f t="shared" si="90"/>
        <v>54.723829541587271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6.1902148821340965E-2</v>
      </c>
      <c r="AD226" s="231">
        <f>(INDEX(Models!$BJ226:$BT226,,AH226)*(1-AF226)+INDEX(Models!$BJ226:$BT226,,AH226+1)*AF226-ERP_i)*AE226*Ramure*Pc/MaxiM</f>
        <v>6.3913233286531307E-3</v>
      </c>
      <c r="AE226" s="305">
        <f t="shared" si="92"/>
        <v>0.7</v>
      </c>
      <c r="AF226" s="177">
        <f t="shared" si="93"/>
        <v>0.44536002654775508</v>
      </c>
      <c r="AG226" s="919">
        <f t="shared" si="99"/>
        <v>2</v>
      </c>
      <c r="AH226" s="176">
        <f t="shared" si="94"/>
        <v>8</v>
      </c>
      <c r="AI226" s="225">
        <f t="shared" si="95"/>
        <v>2.4453600265477551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1090">
        <f>IF(t&gt;Tmaj,'2025'!Wh/'2025'!Env_an*'2026'!Env_an,0.001*'[10]mon-tableau (1)'!$B$38)</f>
        <v>50.340991308134257</v>
      </c>
      <c r="C227" s="953"/>
      <c r="D227" s="393">
        <f t="shared" si="77"/>
        <v>53.750495104368966</v>
      </c>
      <c r="E227" s="385">
        <f t="shared" si="75"/>
        <v>54.931359942519627</v>
      </c>
      <c r="F227" s="385">
        <f t="shared" si="78"/>
        <v>54.998968794704098</v>
      </c>
      <c r="G227" s="110">
        <f t="shared" si="76"/>
        <v>1.0107420217858487</v>
      </c>
      <c r="H227" s="412" t="b">
        <f>Wh_hp&gt;='2025'!Maxi_hp</f>
        <v>1</v>
      </c>
      <c r="I227" s="390">
        <f>IF(H227,Wh_hp,'2025'!Maxi_hp)</f>
        <v>54.998968794704098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6.3432044479113547E-2</v>
      </c>
      <c r="M227" s="957"/>
      <c r="N227" s="957"/>
      <c r="O227" s="48">
        <f>IF(t&lt;Tnet,'2025'!Resal+('2025'!Salim-'2025'!Resal)*(1-EXP(('2025'!Tnet-t)/('2025'!Tau_j))),Resal+(Salim-Resal)*(1-EXP((Tnet-t)/(Tau_j))))*Salcycl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1.2292749058048235E-3</v>
      </c>
      <c r="Q227" s="305">
        <f t="shared" si="80"/>
        <v>0.7</v>
      </c>
      <c r="R227" s="177">
        <f t="shared" si="81"/>
        <v>0.92234751490244515</v>
      </c>
      <c r="S227" s="919">
        <f t="shared" si="82"/>
        <v>-2</v>
      </c>
      <c r="T227" s="176">
        <f t="shared" si="83"/>
        <v>4</v>
      </c>
      <c r="U227" s="251">
        <f t="shared" si="84"/>
        <v>-1.0776524850975548</v>
      </c>
      <c r="V227" s="383">
        <f t="shared" si="85"/>
        <v>49.805974445574471</v>
      </c>
      <c r="W227" s="402">
        <f t="shared" si="86"/>
        <v>50.340991308134257</v>
      </c>
      <c r="X227" s="157">
        <f t="shared" si="87"/>
        <v>46235</v>
      </c>
      <c r="Y227" s="385">
        <f t="shared" si="88"/>
        <v>48.016091400881635</v>
      </c>
      <c r="Z227" s="385">
        <f t="shared" si="89"/>
        <v>51.268133954227338</v>
      </c>
      <c r="AA227" s="386">
        <f t="shared" si="90"/>
        <v>54.656407036305261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6.1992239625763813E-2</v>
      </c>
      <c r="AD227" s="231">
        <f>(INDEX(Models!$BJ227:$BT227,,AH227)*(1-AF227)+INDEX(Models!$BJ227:$BT227,,AH227+1)*AF227-ERP_i)*AE227*Ramure*Pc/MaxiM</f>
        <v>6.2285123867963765E-3</v>
      </c>
      <c r="AE227" s="305">
        <f t="shared" si="92"/>
        <v>0.7</v>
      </c>
      <c r="AF227" s="177">
        <f t="shared" si="93"/>
        <v>0.44733508127642452</v>
      </c>
      <c r="AG227" s="919">
        <f t="shared" si="99"/>
        <v>2</v>
      </c>
      <c r="AH227" s="176">
        <f t="shared" si="94"/>
        <v>8</v>
      </c>
      <c r="AI227" s="225">
        <f t="shared" si="95"/>
        <v>2.4473350812764245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1090">
        <f>IF(t&gt;Tmaj,'2025'!Wh/'2025'!Env_an*'2026'!Env_an,0.001*'[10]mon-tableau (1)'!$B$39)</f>
        <v>50.385763696392132</v>
      </c>
      <c r="C228" s="953"/>
      <c r="D228" s="393">
        <f t="shared" si="77"/>
        <v>53.799478191710101</v>
      </c>
      <c r="E228" s="385">
        <f t="shared" si="75"/>
        <v>54.988926222406754</v>
      </c>
      <c r="F228" s="385">
        <f t="shared" si="78"/>
        <v>55.053769932764382</v>
      </c>
      <c r="G228" s="110">
        <f t="shared" si="76"/>
        <v>1.0137168832934345</v>
      </c>
      <c r="H228" s="412" t="b">
        <f>Wh_hp&gt;='2025'!Maxi_hp</f>
        <v>1</v>
      </c>
      <c r="I228" s="390">
        <f>IF(H228,Wh_hp,'2025'!Maxi_hp)</f>
        <v>55.053769932764382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6.3452557720977687E-2</v>
      </c>
      <c r="M228" s="957"/>
      <c r="N228" s="957"/>
      <c r="O228" s="48">
        <f>IF(t&lt;Tnet,'2025'!Resal+('2025'!Salim-'2025'!Resal)*(1-EXP(('2025'!Tnet-t)/('2025'!Tau_j))),Resal+(Salim-Resal)*(1-EXP((Tnet-t)/(Tau_j))))*Salcycl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1.1778250687795469E-3</v>
      </c>
      <c r="Q228" s="305">
        <f t="shared" si="80"/>
        <v>0.7</v>
      </c>
      <c r="R228" s="177">
        <f t="shared" si="81"/>
        <v>0.92425956798708198</v>
      </c>
      <c r="S228" s="919">
        <f t="shared" si="82"/>
        <v>-2</v>
      </c>
      <c r="T228" s="176">
        <f t="shared" si="83"/>
        <v>4</v>
      </c>
      <c r="U228" s="251">
        <f t="shared" si="84"/>
        <v>-1.075740432012918</v>
      </c>
      <c r="V228" s="383">
        <f t="shared" si="85"/>
        <v>49.703980003465396</v>
      </c>
      <c r="W228" s="402">
        <f t="shared" si="86"/>
        <v>50.385763696392132</v>
      </c>
      <c r="X228" s="157">
        <f t="shared" si="87"/>
        <v>46236</v>
      </c>
      <c r="Y228" s="385">
        <f t="shared" si="88"/>
        <v>48.066054023817991</v>
      </c>
      <c r="Z228" s="385">
        <f t="shared" si="89"/>
        <v>51.322604551513834</v>
      </c>
      <c r="AA228" s="386">
        <f t="shared" si="90"/>
        <v>54.71971716089061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6.2082057174900139E-2</v>
      </c>
      <c r="AD228" s="231">
        <f>(INDEX(Models!$BJ228:$BT228,,AH228)*(1-AF228)+INDEX(Models!$BJ228:$BT228,,AH228+1)*AF228-ERP_i)*AE228*Ramure*Pc/MaxiM</f>
        <v>6.0677547111077992E-3</v>
      </c>
      <c r="AE228" s="305">
        <f t="shared" si="92"/>
        <v>0.7</v>
      </c>
      <c r="AF228" s="177">
        <f t="shared" si="93"/>
        <v>0.44924713436106112</v>
      </c>
      <c r="AG228" s="919">
        <f t="shared" si="99"/>
        <v>2</v>
      </c>
      <c r="AH228" s="176">
        <f t="shared" si="94"/>
        <v>8</v>
      </c>
      <c r="AI228" s="225">
        <f t="shared" si="95"/>
        <v>2.4492471343610611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1090">
        <f>IF(t&gt;Tmaj,'2025'!Wh/'2025'!Env_an*'2026'!Env_an,0.001*'[10]mon-tableau (1)'!$B$40)</f>
        <v>48.788844816146849</v>
      </c>
      <c r="C229" s="953"/>
      <c r="D229" s="393">
        <f t="shared" si="77"/>
        <v>52.095506578652738</v>
      </c>
      <c r="E229" s="385">
        <f t="shared" si="75"/>
        <v>53.254541791663627</v>
      </c>
      <c r="F229" s="385">
        <f t="shared" si="78"/>
        <v>53.313195329412316</v>
      </c>
      <c r="G229" s="110">
        <f t="shared" si="76"/>
        <v>0.98359070115732972</v>
      </c>
      <c r="H229" s="412" t="b">
        <f>Wh_hp&gt;='2025'!Maxi_hp</f>
        <v>0</v>
      </c>
      <c r="I229" s="390">
        <f>IF(H229,Wh_hp,'2025'!Maxi_hp)</f>
        <v>53.74274506897126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6.3473070513549223E-2</v>
      </c>
      <c r="M229" s="957"/>
      <c r="N229" s="957"/>
      <c r="O229" s="48">
        <f>IF(t&lt;Tnet,'2025'!Resal+('2025'!Salim-'2025'!Resal)*(1-EXP(('2025'!Tnet-t)/('2025'!Tau_j))),Resal+(Salim-Resal)*(1-EXP((Tnet-t)/(Tau_j))))*Salcycl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1.1265355433990024E-3</v>
      </c>
      <c r="Q229" s="305">
        <f t="shared" si="80"/>
        <v>0.7</v>
      </c>
      <c r="R229" s="177">
        <f t="shared" si="81"/>
        <v>0.92611004830980503</v>
      </c>
      <c r="S229" s="919">
        <f t="shared" si="82"/>
        <v>-2</v>
      </c>
      <c r="T229" s="176">
        <f t="shared" si="83"/>
        <v>4</v>
      </c>
      <c r="U229" s="251">
        <f t="shared" si="84"/>
        <v>-1.073889951690195</v>
      </c>
      <c r="V229" s="383">
        <f t="shared" si="85"/>
        <v>49.601482568519863</v>
      </c>
      <c r="W229" s="402">
        <f t="shared" si="86"/>
        <v>48.788844816146849</v>
      </c>
      <c r="X229" s="157">
        <f t="shared" si="87"/>
        <v>46237</v>
      </c>
      <c r="Y229" s="385">
        <f t="shared" si="88"/>
        <v>46.554844232263839</v>
      </c>
      <c r="Z229" s="385">
        <f t="shared" si="89"/>
        <v>49.710096705700096</v>
      </c>
      <c r="AA229" s="386">
        <f t="shared" si="90"/>
        <v>53.005536216789388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6.2171609727918742E-2</v>
      </c>
      <c r="AD229" s="231">
        <f>(INDEX(Models!$BJ229:$BT229,,AH229)*(1-AF229)+INDEX(Models!$BJ229:$BT229,,AH229+1)*AF229-ERP_i)*AE229*Ramure*Pc/MaxiM</f>
        <v>5.9090881628550669E-3</v>
      </c>
      <c r="AE229" s="305">
        <f t="shared" si="92"/>
        <v>0.7</v>
      </c>
      <c r="AF229" s="177">
        <f t="shared" si="93"/>
        <v>0.45109761468378418</v>
      </c>
      <c r="AG229" s="919">
        <f t="shared" si="99"/>
        <v>2</v>
      </c>
      <c r="AH229" s="176">
        <f t="shared" si="94"/>
        <v>8</v>
      </c>
      <c r="AI229" s="225">
        <f t="shared" si="95"/>
        <v>2.4510976146837842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1090">
        <f>IF(t&gt;Tmaj,'2025'!Wh/'2025'!Env_an*'2026'!Env_an,0.001*'[10]mon-tableau (1)'!$B$41)</f>
        <v>48.258975114778096</v>
      </c>
      <c r="C230" s="953"/>
      <c r="D230" s="393">
        <f t="shared" si="77"/>
        <v>51.530853640056627</v>
      </c>
      <c r="E230" s="385">
        <f t="shared" si="75"/>
        <v>52.684498783099336</v>
      </c>
      <c r="F230" s="385">
        <f t="shared" si="78"/>
        <v>52.739187110672717</v>
      </c>
      <c r="G230" s="110">
        <f t="shared" si="76"/>
        <v>0.97492310113620217</v>
      </c>
      <c r="H230" s="412" t="b">
        <f>Wh_hp&gt;='2025'!Maxi_hp</f>
        <v>0</v>
      </c>
      <c r="I230" s="390">
        <f>IF(H230,Wh_hp,'2025'!Maxi_hp)</f>
        <v>52.740282076679769</v>
      </c>
      <c r="J230" s="85">
        <f>IF(H230,An,'2025'!An_max)</f>
        <v>2025</v>
      </c>
      <c r="K230" s="197">
        <f t="shared" si="79"/>
        <v>46238</v>
      </c>
      <c r="L230" s="147">
        <f>IF(t&lt;Tvie,1-EXP((T0-t)*PertePVj)+'2025'!Pspv,1-EXP((T0-t)*PertePVj)+Pspv)</f>
        <v>6.3493582856838038E-2</v>
      </c>
      <c r="M230" s="957"/>
      <c r="N230" s="957"/>
      <c r="O230" s="48">
        <f>IF(t&lt;Tnet,'2025'!Resal+('2025'!Salim-'2025'!Resal)*(1-EXP(('2025'!Tnet-t)/('2025'!Tau_j))),Resal+(Salim-Resal)*(1-EXP((Tnet-t)/(Tau_j))))*Salcycl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1.0754266624072716E-3</v>
      </c>
      <c r="Q230" s="305">
        <f t="shared" si="80"/>
        <v>0.7</v>
      </c>
      <c r="R230" s="177">
        <f t="shared" si="81"/>
        <v>0.92790039484448172</v>
      </c>
      <c r="S230" s="919">
        <f t="shared" si="82"/>
        <v>-2</v>
      </c>
      <c r="T230" s="176">
        <f t="shared" si="83"/>
        <v>4</v>
      </c>
      <c r="U230" s="251">
        <f t="shared" si="84"/>
        <v>-1.0720996051555183</v>
      </c>
      <c r="V230" s="383">
        <f t="shared" si="85"/>
        <v>49.498382670761124</v>
      </c>
      <c r="W230" s="402">
        <f t="shared" si="86"/>
        <v>48.258975114778096</v>
      </c>
      <c r="X230" s="157">
        <f t="shared" si="87"/>
        <v>46238</v>
      </c>
      <c r="Y230" s="385">
        <f t="shared" si="88"/>
        <v>46.058582932490907</v>
      </c>
      <c r="Z230" s="385">
        <f t="shared" si="89"/>
        <v>49.181278514880717</v>
      </c>
      <c r="AA230" s="386">
        <f t="shared" si="90"/>
        <v>52.446654653877374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6.2260904161505974E-2</v>
      </c>
      <c r="AD230" s="231">
        <f>(INDEX(Models!$BJ230:$BT230,,AH230)*(1-AF230)+INDEX(Models!$BJ230:$BT230,,AH230+1)*AF230-ERP_i)*AE230*Ramure*Pc/MaxiM</f>
        <v>5.7525475291793464E-3</v>
      </c>
      <c r="AE230" s="305">
        <f t="shared" si="92"/>
        <v>0.7</v>
      </c>
      <c r="AF230" s="177">
        <f t="shared" si="93"/>
        <v>0.45288796121846087</v>
      </c>
      <c r="AG230" s="919">
        <f t="shared" si="99"/>
        <v>2</v>
      </c>
      <c r="AH230" s="176">
        <f t="shared" si="94"/>
        <v>8</v>
      </c>
      <c r="AI230" s="225">
        <f t="shared" si="95"/>
        <v>2.4528879612184609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1090">
        <f>IF(t&gt;Tmaj,'2025'!Wh/'2025'!Env_an*'2026'!Env_an,0.001*'[10]mon-tableau (1)'!$B$42)</f>
        <v>43.509592361130487</v>
      </c>
      <c r="C231" s="953"/>
      <c r="D231" s="393">
        <f t="shared" si="77"/>
        <v>46.460488211571139</v>
      </c>
      <c r="E231" s="385">
        <f t="shared" si="75"/>
        <v>47.507079449680148</v>
      </c>
      <c r="F231" s="385">
        <f t="shared" si="78"/>
        <v>47.547501537871682</v>
      </c>
      <c r="G231" s="110">
        <f t="shared" si="76"/>
        <v>0.88070387487762869</v>
      </c>
      <c r="H231" s="412" t="b">
        <f>Wh_hp&gt;='2025'!Maxi_hp</f>
        <v>0</v>
      </c>
      <c r="I231" s="390">
        <f>IF(H231,Wh_hp,'2025'!Maxi_hp)</f>
        <v>53.36011340472448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6.3514094750853789E-2</v>
      </c>
      <c r="M231" s="957"/>
      <c r="N231" s="957"/>
      <c r="O231" s="48">
        <f>IF(t&lt;Tnet,'2025'!Resal+('2025'!Salim-'2025'!Resal)*(1-EXP(('2025'!Tnet-t)/('2025'!Tau_j))),Resal+(Salim-Resal)*(1-EXP((Tnet-t)/(Tau_j))))*Salcycl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1.0245175524374848E-3</v>
      </c>
      <c r="Q231" s="305">
        <f t="shared" si="80"/>
        <v>0.7</v>
      </c>
      <c r="R231" s="177">
        <f t="shared" si="81"/>
        <v>0.92963205281812411</v>
      </c>
      <c r="S231" s="919">
        <f t="shared" si="82"/>
        <v>-2</v>
      </c>
      <c r="T231" s="176">
        <f t="shared" si="83"/>
        <v>4</v>
      </c>
      <c r="U231" s="251">
        <f t="shared" si="84"/>
        <v>-1.0703679471818759</v>
      </c>
      <c r="V231" s="383">
        <f t="shared" si="85"/>
        <v>49.394580971892466</v>
      </c>
      <c r="W231" s="402">
        <f t="shared" si="86"/>
        <v>43.509592361130487</v>
      </c>
      <c r="X231" s="157">
        <f t="shared" si="87"/>
        <v>46239</v>
      </c>
      <c r="Y231" s="385">
        <f t="shared" si="88"/>
        <v>41.557324967542613</v>
      </c>
      <c r="Z231" s="385">
        <f t="shared" si="89"/>
        <v>44.37581466480966</v>
      </c>
      <c r="AA231" s="386">
        <f t="shared" si="90"/>
        <v>47.326627323169184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6.2349946008405432E-2</v>
      </c>
      <c r="AD231" s="231">
        <f>(INDEX(Models!$BJ231:$BT231,,AH231)*(1-AF231)+INDEX(Models!$BJ231:$BT231,,AH231+1)*AF231-ERP_i)*AE231*Ramure*Pc/MaxiM</f>
        <v>5.5981647650491378E-3</v>
      </c>
      <c r="AE231" s="305">
        <f t="shared" si="92"/>
        <v>0.7</v>
      </c>
      <c r="AF231" s="177">
        <f t="shared" si="93"/>
        <v>0.45461961919210303</v>
      </c>
      <c r="AG231" s="919">
        <f t="shared" si="99"/>
        <v>2</v>
      </c>
      <c r="AH231" s="176">
        <f t="shared" si="94"/>
        <v>8</v>
      </c>
      <c r="AI231" s="225">
        <f t="shared" si="95"/>
        <v>2.454619619192103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1090">
        <f>IF(t&gt;Tmaj,'2025'!Wh/'2025'!Env_an*'2026'!Env_an,0.001*'[10]mon-tableau (1)'!$B$43)</f>
        <v>45.994340269147003</v>
      </c>
      <c r="C232" s="953"/>
      <c r="D232" s="393">
        <f t="shared" si="77"/>
        <v>49.114831763611527</v>
      </c>
      <c r="E232" s="385">
        <f t="shared" si="75"/>
        <v>50.228035280606889</v>
      </c>
      <c r="F232" s="385">
        <f t="shared" si="78"/>
        <v>50.27231557718941</v>
      </c>
      <c r="G232" s="110">
        <f t="shared" si="76"/>
        <v>0.93305089277523479</v>
      </c>
      <c r="H232" s="412" t="b">
        <f>Wh_hp&gt;='2025'!Maxi_hp</f>
        <v>0</v>
      </c>
      <c r="I232" s="390">
        <f>IF(H232,Wh_hp,'2025'!Maxi_hp)</f>
        <v>54.203152791652954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6.3534606195606469E-2</v>
      </c>
      <c r="M232" s="957"/>
      <c r="N232" s="957"/>
      <c r="O232" s="48">
        <f>IF(t&lt;Tnet,'2025'!Resal+('2025'!Salim-'2025'!Resal)*(1-EXP(('2025'!Tnet-t)/('2025'!Tau_j))),Resal+(Salim-Resal)*(1-EXP((Tnet-t)/(Tau_j))))*Salcycl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9.7382619178415747E-4</v>
      </c>
      <c r="Q232" s="305">
        <f t="shared" si="80"/>
        <v>0.7</v>
      </c>
      <c r="R232" s="177">
        <f t="shared" si="81"/>
        <v>0.93130647012765566</v>
      </c>
      <c r="S232" s="919">
        <f t="shared" si="82"/>
        <v>-2</v>
      </c>
      <c r="T232" s="176">
        <f t="shared" si="83"/>
        <v>4</v>
      </c>
      <c r="U232" s="251">
        <f t="shared" si="84"/>
        <v>-1.0686935298723443</v>
      </c>
      <c r="V232" s="383">
        <f t="shared" si="85"/>
        <v>49.289978262456465</v>
      </c>
      <c r="W232" s="402">
        <f t="shared" si="86"/>
        <v>45.994340269147003</v>
      </c>
      <c r="X232" s="157">
        <f t="shared" si="87"/>
        <v>46240</v>
      </c>
      <c r="Y232" s="385">
        <f t="shared" si="88"/>
        <v>43.921357033595477</v>
      </c>
      <c r="Z232" s="385">
        <f t="shared" si="89"/>
        <v>46.901206733507607</v>
      </c>
      <c r="AA232" s="386">
        <f t="shared" si="90"/>
        <v>50.024685009536512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6.2438739502976529E-2</v>
      </c>
      <c r="AD232" s="231">
        <f>(INDEX(Models!$BJ232:$BT232,,AH232)*(1-AF232)+INDEX(Models!$BJ232:$BT232,,AH232+1)*AF232-ERP_i)*AE232*Ramure*Pc/MaxiM</f>
        <v>5.4459692296180027E-3</v>
      </c>
      <c r="AE232" s="305">
        <f t="shared" si="92"/>
        <v>0.7</v>
      </c>
      <c r="AF232" s="177">
        <f t="shared" si="93"/>
        <v>0.4562940365016348</v>
      </c>
      <c r="AG232" s="919">
        <f t="shared" si="99"/>
        <v>2</v>
      </c>
      <c r="AH232" s="176">
        <f t="shared" si="94"/>
        <v>8</v>
      </c>
      <c r="AI232" s="225">
        <f t="shared" si="95"/>
        <v>2.4562940365016348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1090">
        <f>IF(t&gt;Tmaj,'2025'!Wh/'2025'!Env_an*'2026'!Env_an,0.001*'[10]mon-tableau (1)'!$B$44)</f>
        <v>49.063010376152398</v>
      </c>
      <c r="C233" s="953"/>
      <c r="D233" s="393">
        <f t="shared" si="77"/>
        <v>52.392843697310241</v>
      </c>
      <c r="E233" s="385">
        <f t="shared" ref="E233:E296" si="100">Wh_pvt/(1-Psa)</f>
        <v>53.587609808377145</v>
      </c>
      <c r="F233" s="385">
        <f t="shared" si="78"/>
        <v>53.636961641327801</v>
      </c>
      <c r="G233" s="110">
        <f t="shared" ref="G233:G296" si="101">+Wh_hp/MaxiM</f>
        <v>0.99752574279836248</v>
      </c>
      <c r="H233" s="412" t="b">
        <f>Wh_hp&gt;='2025'!Maxi_hp</f>
        <v>0</v>
      </c>
      <c r="I233" s="390">
        <f>IF(H233,Wh_hp,'2025'!Maxi_hp)</f>
        <v>53.637055471324608</v>
      </c>
      <c r="J233" s="85">
        <f>IF(H233,An,'2025'!An_max)</f>
        <v>2025</v>
      </c>
      <c r="K233" s="197">
        <f t="shared" si="79"/>
        <v>46241</v>
      </c>
      <c r="L233" s="147">
        <f>IF(t&lt;Tvie,1-EXP((T0-t)*PertePVj)+'2025'!Pspv,1-EXP((T0-t)*PertePVj)+Pspv)</f>
        <v>6.3555117191105848E-2</v>
      </c>
      <c r="M233" s="957"/>
      <c r="N233" s="957"/>
      <c r="O233" s="48">
        <f>IF(t&lt;Tnet,'2025'!Resal+('2025'!Salim-'2025'!Resal)*(1-EXP(('2025'!Tnet-t)/('2025'!Tau_j))),Resal+(Salim-Resal)*(1-EXP((Tnet-t)/(Tau_j))))*Salcycl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9.2336815413764984E-4</v>
      </c>
      <c r="Q233" s="305">
        <f t="shared" si="80"/>
        <v>0.7</v>
      </c>
      <c r="R233" s="177">
        <f t="shared" si="81"/>
        <v>0.93292509400721912</v>
      </c>
      <c r="S233" s="919">
        <f t="shared" si="82"/>
        <v>-2</v>
      </c>
      <c r="T233" s="176">
        <f t="shared" si="83"/>
        <v>4</v>
      </c>
      <c r="U233" s="251">
        <f t="shared" si="84"/>
        <v>-1.0670749059927809</v>
      </c>
      <c r="V233" s="383">
        <f t="shared" si="85"/>
        <v>49.184545524294919</v>
      </c>
      <c r="W233" s="402">
        <f t="shared" si="86"/>
        <v>49.063010376152398</v>
      </c>
      <c r="X233" s="157">
        <f t="shared" si="87"/>
        <v>46241</v>
      </c>
      <c r="Y233" s="385">
        <f t="shared" si="88"/>
        <v>46.838940177537815</v>
      </c>
      <c r="Z233" s="385">
        <f t="shared" si="89"/>
        <v>50.017829172223173</v>
      </c>
      <c r="AA233" s="386">
        <f t="shared" si="90"/>
        <v>53.353904078898346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6.2527287632820117E-2</v>
      </c>
      <c r="AD233" s="231">
        <f>(INDEX(Models!$BJ233:$BT233,,AH233)*(1-AF233)+INDEX(Models!$BJ233:$BT233,,AH233+1)*AF233-ERP_i)*AE233*Ramure*Pc/MaxiM</f>
        <v>5.2959803782062055E-3</v>
      </c>
      <c r="AE233" s="305">
        <f t="shared" si="92"/>
        <v>0.7</v>
      </c>
      <c r="AF233" s="177">
        <f t="shared" si="93"/>
        <v>0.45791266038119849</v>
      </c>
      <c r="AG233" s="919">
        <f t="shared" si="99"/>
        <v>2</v>
      </c>
      <c r="AH233" s="176">
        <f t="shared" si="94"/>
        <v>8</v>
      </c>
      <c r="AI233" s="225">
        <f t="shared" si="95"/>
        <v>2.4579126603811985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1090">
        <f>IF(t&gt;Tmaj,'2025'!Wh/'2025'!Env_an*'2026'!Env_an,0.001*'[10]mon-tableau (1)'!$B$45)</f>
        <v>49.658941532987498</v>
      </c>
      <c r="C234" s="953"/>
      <c r="D234" s="393">
        <f t="shared" si="77"/>
        <v>53.030381314188709</v>
      </c>
      <c r="E234" s="385">
        <f t="shared" si="100"/>
        <v>54.247030521621433</v>
      </c>
      <c r="F234" s="385">
        <f t="shared" si="78"/>
        <v>54.294471719651796</v>
      </c>
      <c r="G234" s="110">
        <f t="shared" si="101"/>
        <v>1.0118300277067904</v>
      </c>
      <c r="H234" s="412" t="b">
        <f>Wh_hp&gt;='2025'!Maxi_hp</f>
        <v>1</v>
      </c>
      <c r="I234" s="390">
        <f>IF(H234,Wh_hp,'2025'!Maxi_hp)</f>
        <v>54.294471719651796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6.3575627737361806E-2</v>
      </c>
      <c r="M234" s="957"/>
      <c r="N234" s="957"/>
      <c r="O234" s="48">
        <f>IF(t&lt;Tnet,'2025'!Resal+('2025'!Salim-'2025'!Resal)*(1-EXP(('2025'!Tnet-t)/('2025'!Tau_j))),Resal+(Salim-Resal)*(1-EXP((Tnet-t)/(Tau_j))))*Salcycl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8.737758472966169E-4</v>
      </c>
      <c r="Q234" s="305">
        <f t="shared" si="80"/>
        <v>0.7</v>
      </c>
      <c r="R234" s="177">
        <f t="shared" si="81"/>
        <v>0.9344893679401407</v>
      </c>
      <c r="S234" s="919">
        <f t="shared" si="82"/>
        <v>-2</v>
      </c>
      <c r="T234" s="176">
        <f t="shared" si="83"/>
        <v>4</v>
      </c>
      <c r="U234" s="251">
        <f t="shared" si="84"/>
        <v>-1.0655106320598593</v>
      </c>
      <c r="V234" s="383">
        <f t="shared" si="85"/>
        <v>49.078343371103962</v>
      </c>
      <c r="W234" s="402">
        <f t="shared" si="86"/>
        <v>49.658941532987498</v>
      </c>
      <c r="X234" s="157">
        <f t="shared" si="87"/>
        <v>46242</v>
      </c>
      <c r="Y234" s="385">
        <f t="shared" si="88"/>
        <v>47.413638703568452</v>
      </c>
      <c r="Z234" s="385">
        <f t="shared" si="89"/>
        <v>50.632640614644728</v>
      </c>
      <c r="AA234" s="386">
        <f t="shared" si="90"/>
        <v>54.014809925453335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6.2615592195480976E-2</v>
      </c>
      <c r="AD234" s="231">
        <f>(INDEX(Models!$BJ234:$BT234,,AH234)*(1-AF234)+INDEX(Models!$BJ234:$BT234,,AH234+1)*AF234-ERP_i)*AE234*Ramure*Pc/MaxiM</f>
        <v>5.1508336915494553E-3</v>
      </c>
      <c r="AE234" s="305">
        <f t="shared" si="92"/>
        <v>0.7</v>
      </c>
      <c r="AF234" s="177">
        <f t="shared" si="93"/>
        <v>0.45947693431411984</v>
      </c>
      <c r="AG234" s="919">
        <f t="shared" si="99"/>
        <v>2</v>
      </c>
      <c r="AH234" s="176">
        <f t="shared" si="94"/>
        <v>8</v>
      </c>
      <c r="AI234" s="225">
        <f t="shared" si="95"/>
        <v>2.4594769343141198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1090">
        <f>IF(t&gt;Tmaj,'2025'!Wh/'2025'!Env_an*'2026'!Env_an,0.001*'[10]mon-tableau (1)'!$B$46)</f>
        <v>47.842954678066555</v>
      </c>
      <c r="C235" s="953"/>
      <c r="D235" s="393">
        <f t="shared" si="77"/>
        <v>51.092222716190463</v>
      </c>
      <c r="E235" s="385">
        <f t="shared" si="100"/>
        <v>52.271473185568048</v>
      </c>
      <c r="F235" s="385">
        <f t="shared" si="78"/>
        <v>52.313210223313817</v>
      </c>
      <c r="G235" s="110">
        <f t="shared" si="101"/>
        <v>0.97692937087398546</v>
      </c>
      <c r="H235" s="412" t="b">
        <f>Wh_hp&gt;='2025'!Maxi_hp</f>
        <v>0</v>
      </c>
      <c r="I235" s="390">
        <f>IF(H235,Wh_hp,'2025'!Maxi_hp)</f>
        <v>54.505372378920782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6.3596137834384225E-2</v>
      </c>
      <c r="M235" s="957"/>
      <c r="N235" s="957"/>
      <c r="O235" s="48">
        <f>IF(t&lt;Tnet,'2025'!Resal+('2025'!Salim-'2025'!Resal)*(1-EXP(('2025'!Tnet-t)/('2025'!Tau_j))),Resal+(Salim-Resal)*(1-EXP((Tnet-t)/(Tau_j))))*Salcycl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8.2498850423023495E-4</v>
      </c>
      <c r="Q235" s="305">
        <f t="shared" si="80"/>
        <v>0.7</v>
      </c>
      <c r="R235" s="177">
        <f t="shared" si="81"/>
        <v>0.93600072880876906</v>
      </c>
      <c r="S235" s="919">
        <f t="shared" si="82"/>
        <v>-2</v>
      </c>
      <c r="T235" s="176">
        <f t="shared" si="83"/>
        <v>4</v>
      </c>
      <c r="U235" s="251">
        <f t="shared" si="84"/>
        <v>-1.0639992711912309</v>
      </c>
      <c r="V235" s="383">
        <f t="shared" si="85"/>
        <v>48.971456600636664</v>
      </c>
      <c r="W235" s="402">
        <f t="shared" si="86"/>
        <v>47.842954678066555</v>
      </c>
      <c r="X235" s="157">
        <f t="shared" si="87"/>
        <v>46243</v>
      </c>
      <c r="Y235" s="385">
        <f t="shared" si="88"/>
        <v>45.692206821430659</v>
      </c>
      <c r="Z235" s="385">
        <f t="shared" si="89"/>
        <v>48.795406199797767</v>
      </c>
      <c r="AA235" s="386">
        <f t="shared" si="90"/>
        <v>52.059742258365908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6.2703653859207578E-2</v>
      </c>
      <c r="AD235" s="231">
        <f>(INDEX(Models!$BJ235:$BT235,,AH235)*(1-AF235)+INDEX(Models!$BJ235:$BT235,,AH235+1)*AF235-ERP_i)*AE235*Ramure*Pc/MaxiM</f>
        <v>5.0101341294606526E-3</v>
      </c>
      <c r="AE235" s="305">
        <f t="shared" si="92"/>
        <v>0.7</v>
      </c>
      <c r="AF235" s="177">
        <f t="shared" si="93"/>
        <v>0.46098829518274798</v>
      </c>
      <c r="AG235" s="919">
        <f t="shared" si="99"/>
        <v>2</v>
      </c>
      <c r="AH235" s="176">
        <f t="shared" si="94"/>
        <v>8</v>
      </c>
      <c r="AI235" s="225">
        <f t="shared" si="95"/>
        <v>2.460988295182748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1090">
        <f>IF(t&gt;Tmaj,'2025'!Wh/'2025'!Env_an*'2026'!Env_an,0.001*'[10]mon-tableau (1)'!$B$47)</f>
        <v>46.467834503665237</v>
      </c>
      <c r="C236" s="953"/>
      <c r="D236" s="393">
        <f t="shared" si="77"/>
        <v>49.62479776975858</v>
      </c>
      <c r="E236" s="385">
        <f t="shared" si="100"/>
        <v>50.777034740035823</v>
      </c>
      <c r="F236" s="385">
        <f t="shared" si="78"/>
        <v>50.813752318876254</v>
      </c>
      <c r="G236" s="110">
        <f t="shared" si="101"/>
        <v>0.95091141782305355</v>
      </c>
      <c r="H236" s="412" t="b">
        <f>Wh_hp&gt;='2025'!Maxi_hp</f>
        <v>0</v>
      </c>
      <c r="I236" s="390">
        <f>IF(H236,Wh_hp,'2025'!Maxi_hp)</f>
        <v>52.854099421104479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6.3616647482182764E-2</v>
      </c>
      <c r="M236" s="957"/>
      <c r="N236" s="957"/>
      <c r="O236" s="48">
        <f>IF(t&lt;Tnet,'2025'!Resal+('2025'!Salim-'2025'!Resal)*(1-EXP(('2025'!Tnet-t)/('2025'!Tau_j))),Resal+(Salim-Resal)*(1-EXP((Tnet-t)/(Tau_j))))*Salcycl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7.7702386819767223E-4</v>
      </c>
      <c r="Q236" s="305">
        <f t="shared" si="80"/>
        <v>0.7</v>
      </c>
      <c r="R236" s="177">
        <f t="shared" si="81"/>
        <v>0.93746060427466604</v>
      </c>
      <c r="S236" s="919">
        <f t="shared" si="82"/>
        <v>-2</v>
      </c>
      <c r="T236" s="176">
        <f t="shared" si="83"/>
        <v>4</v>
      </c>
      <c r="U236" s="251">
        <f t="shared" si="84"/>
        <v>-1.062539395725334</v>
      </c>
      <c r="V236" s="383">
        <f t="shared" si="85"/>
        <v>48.863966131197415</v>
      </c>
      <c r="W236" s="402">
        <f t="shared" si="86"/>
        <v>46.467834503665237</v>
      </c>
      <c r="X236" s="157">
        <f t="shared" si="87"/>
        <v>46244</v>
      </c>
      <c r="Y236" s="385">
        <f t="shared" si="88"/>
        <v>44.39134253744119</v>
      </c>
      <c r="Z236" s="385">
        <f t="shared" si="89"/>
        <v>47.407231683560418</v>
      </c>
      <c r="AA236" s="386">
        <f t="shared" si="90"/>
        <v>50.583440374999959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6.2791472226735576E-2</v>
      </c>
      <c r="AD236" s="231">
        <f>(INDEX(Models!$BJ236:$BT236,,AH236)*(1-AF236)+INDEX(Models!$BJ236:$BT236,,AH236+1)*AF236-ERP_i)*AE236*Ramure*Pc/MaxiM</f>
        <v>4.8739019067849691E-3</v>
      </c>
      <c r="AE236" s="305">
        <f t="shared" si="92"/>
        <v>0.7</v>
      </c>
      <c r="AF236" s="177">
        <f t="shared" si="93"/>
        <v>0.46244817064864518</v>
      </c>
      <c r="AG236" s="919">
        <f t="shared" si="99"/>
        <v>2</v>
      </c>
      <c r="AH236" s="176">
        <f t="shared" si="94"/>
        <v>8</v>
      </c>
      <c r="AI236" s="225">
        <f t="shared" si="95"/>
        <v>2.4624481706486452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1090">
        <f>IF(t&gt;Tmaj,'2025'!Wh/'2025'!Env_an*'2026'!Env_an,0.001*'[10]mon-tableau (1)'!$B$48)</f>
        <v>43.965079569269882</v>
      </c>
      <c r="C237" s="953"/>
      <c r="D237" s="393">
        <f t="shared" si="77"/>
        <v>46.953037364684221</v>
      </c>
      <c r="E237" s="385">
        <f t="shared" si="100"/>
        <v>48.049717362769094</v>
      </c>
      <c r="F237" s="385">
        <f t="shared" si="78"/>
        <v>48.079884602469036</v>
      </c>
      <c r="G237" s="110">
        <f t="shared" si="101"/>
        <v>0.90164522483795739</v>
      </c>
      <c r="H237" s="412" t="b">
        <f>Wh_hp&gt;='2025'!Maxi_hp</f>
        <v>0</v>
      </c>
      <c r="I237" s="390">
        <f>IF(H237,Wh_hp,'2025'!Maxi_hp)</f>
        <v>52.879735063277003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6.3637156680767415E-2</v>
      </c>
      <c r="M237" s="957"/>
      <c r="N237" s="957"/>
      <c r="O237" s="48">
        <f>IF(t&lt;Tnet,'2025'!Resal+('2025'!Salim-'2025'!Resal)*(1-EXP(('2025'!Tnet-t)/('2025'!Tau_j))),Resal+(Salim-Resal)*(1-EXP((Tnet-t)/(Tau_j))))*Salcycl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7.2989937914084231E-4</v>
      </c>
      <c r="Q237" s="305">
        <f t="shared" si="80"/>
        <v>0.7</v>
      </c>
      <c r="R237" s="177">
        <f t="shared" si="81"/>
        <v>0.9388704103810086</v>
      </c>
      <c r="S237" s="919">
        <f t="shared" si="82"/>
        <v>-2</v>
      </c>
      <c r="T237" s="176">
        <f t="shared" si="83"/>
        <v>4</v>
      </c>
      <c r="U237" s="251">
        <f t="shared" si="84"/>
        <v>-1.0611295896189914</v>
      </c>
      <c r="V237" s="383">
        <f t="shared" si="85"/>
        <v>48.755952887589146</v>
      </c>
      <c r="W237" s="402">
        <f t="shared" si="86"/>
        <v>43.965079569269882</v>
      </c>
      <c r="X237" s="157">
        <f t="shared" si="87"/>
        <v>46245</v>
      </c>
      <c r="Y237" s="385">
        <f t="shared" si="88"/>
        <v>42.017405002451831</v>
      </c>
      <c r="Z237" s="385">
        <f t="shared" si="89"/>
        <v>44.872994803497249</v>
      </c>
      <c r="AA237" s="386">
        <f t="shared" si="90"/>
        <v>47.883887994632815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6.2879045901056516E-2</v>
      </c>
      <c r="AD237" s="231">
        <f>(INDEX(Models!$BJ237:$BT237,,AH237)*(1-AF237)+INDEX(Models!$BJ237:$BT237,,AH237+1)*AF237-ERP_i)*AE237*Ramure*Pc/MaxiM</f>
        <v>4.7421575124635311E-3</v>
      </c>
      <c r="AE237" s="305">
        <f t="shared" si="92"/>
        <v>0.7</v>
      </c>
      <c r="AF237" s="177">
        <f t="shared" si="93"/>
        <v>0.46385797675498797</v>
      </c>
      <c r="AG237" s="919">
        <f t="shared" si="99"/>
        <v>2</v>
      </c>
      <c r="AH237" s="176">
        <f t="shared" si="94"/>
        <v>8</v>
      </c>
      <c r="AI237" s="225">
        <f t="shared" si="95"/>
        <v>2.463857976754988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1090">
        <f>IF(t&gt;Tmaj,'2025'!Wh/'2025'!Env_an*'2026'!Env_an,0.001*'[10]mon-tableau (1)'!$B$49)</f>
        <v>45.337780935147713</v>
      </c>
      <c r="C238" s="953"/>
      <c r="D238" s="393">
        <f t="shared" si="77"/>
        <v>48.42009088051703</v>
      </c>
      <c r="E238" s="385">
        <f t="shared" si="100"/>
        <v>49.557709246936007</v>
      </c>
      <c r="F238" s="385">
        <f t="shared" si="78"/>
        <v>49.588314577485043</v>
      </c>
      <c r="G238" s="110">
        <f t="shared" si="101"/>
        <v>0.93190336008955155</v>
      </c>
      <c r="H238" s="412" t="b">
        <f>Wh_hp&gt;='2025'!Maxi_hp</f>
        <v>0</v>
      </c>
      <c r="I238" s="390">
        <f>IF(H238,Wh_hp,'2025'!Maxi_hp)</f>
        <v>51.227825043986797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6.3657665430148058E-2</v>
      </c>
      <c r="M238" s="957"/>
      <c r="N238" s="957"/>
      <c r="O238" s="48">
        <f>IF(t&lt;Tnet,'2025'!Resal+('2025'!Salim-'2025'!Resal)*(1-EXP(('2025'!Tnet-t)/('2025'!Tau_j))),Resal+(Salim-Resal)*(1-EXP((Tnet-t)/(Tau_j))))*Salcycl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6.8363221392514918E-4</v>
      </c>
      <c r="Q238" s="305">
        <f t="shared" si="80"/>
        <v>0.7</v>
      </c>
      <c r="R238" s="177">
        <f t="shared" si="81"/>
        <v>0.94023154936857467</v>
      </c>
      <c r="S238" s="919">
        <f t="shared" si="82"/>
        <v>-2</v>
      </c>
      <c r="T238" s="176">
        <f t="shared" si="83"/>
        <v>4</v>
      </c>
      <c r="U238" s="251">
        <f t="shared" si="84"/>
        <v>-1.0597684506314253</v>
      </c>
      <c r="V238" s="383">
        <f t="shared" si="85"/>
        <v>48.647497797969606</v>
      </c>
      <c r="W238" s="402">
        <f t="shared" si="86"/>
        <v>45.337780935147713</v>
      </c>
      <c r="X238" s="157">
        <f t="shared" si="87"/>
        <v>46246</v>
      </c>
      <c r="Y238" s="385">
        <f t="shared" si="88"/>
        <v>43.326735238410201</v>
      </c>
      <c r="Z238" s="385">
        <f t="shared" si="89"/>
        <v>46.272323314649817</v>
      </c>
      <c r="AA238" s="386">
        <f t="shared" si="90"/>
        <v>49.381710494936108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6.2966372552144434E-2</v>
      </c>
      <c r="AD238" s="231">
        <f>(INDEX(Models!$BJ238:$BT238,,AH238)*(1-AF238)+INDEX(Models!$BJ238:$BT238,,AH238+1)*AF238-ERP_i)*AE238*Ramure*Pc/MaxiM</f>
        <v>4.6149217742504651E-3</v>
      </c>
      <c r="AE238" s="305">
        <f t="shared" si="92"/>
        <v>0.7</v>
      </c>
      <c r="AF238" s="177">
        <f t="shared" si="93"/>
        <v>0.46521911574255403</v>
      </c>
      <c r="AG238" s="919">
        <f t="shared" si="99"/>
        <v>2</v>
      </c>
      <c r="AH238" s="176">
        <f t="shared" si="94"/>
        <v>8</v>
      </c>
      <c r="AI238" s="225">
        <f t="shared" si="95"/>
        <v>2.465219115742554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1090">
        <f>IF(t&gt;Tmaj,'2025'!Wh/'2025'!Env_an*'2026'!Env_an,0.001*'[10]mon-tableau (1)'!$B$50)</f>
        <v>35.585938169053733</v>
      </c>
      <c r="C239" s="953"/>
      <c r="D239" s="393">
        <f t="shared" si="77"/>
        <v>38.006097017762777</v>
      </c>
      <c r="E239" s="385">
        <f t="shared" si="100"/>
        <v>38.904271719113659</v>
      </c>
      <c r="F239" s="385">
        <f t="shared" si="78"/>
        <v>38.91964224119441</v>
      </c>
      <c r="G239" s="110">
        <f t="shared" si="101"/>
        <v>0.73296750207736849</v>
      </c>
      <c r="H239" s="412" t="b">
        <f>Wh_hp&gt;='2025'!Maxi_hp</f>
        <v>0</v>
      </c>
      <c r="I239" s="390">
        <f>IF(H239,Wh_hp,'2025'!Maxi_hp)</f>
        <v>48.536022746732414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6.3678173730334353E-2</v>
      </c>
      <c r="M239" s="957"/>
      <c r="N239" s="957"/>
      <c r="O239" s="48">
        <f>IF(t&lt;Tnet,'2025'!Resal+('2025'!Salim-'2025'!Resal)*(1-EXP(('2025'!Tnet-t)/('2025'!Tau_j))),Resal+(Salim-Resal)*(1-EXP((Tnet-t)/(Tau_j))))*Salcycl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6.3823932203548473E-4</v>
      </c>
      <c r="Q239" s="305">
        <f t="shared" si="80"/>
        <v>0.7</v>
      </c>
      <c r="R239" s="177">
        <f t="shared" si="81"/>
        <v>0.94154540769631834</v>
      </c>
      <c r="S239" s="919">
        <f t="shared" si="82"/>
        <v>-2</v>
      </c>
      <c r="T239" s="176">
        <f t="shared" si="83"/>
        <v>4</v>
      </c>
      <c r="U239" s="251">
        <f t="shared" si="84"/>
        <v>-1.0584545923036817</v>
      </c>
      <c r="V239" s="383">
        <f t="shared" si="85"/>
        <v>48.538681791127487</v>
      </c>
      <c r="W239" s="402">
        <f t="shared" si="86"/>
        <v>35.585938169053733</v>
      </c>
      <c r="X239" s="157">
        <f t="shared" si="87"/>
        <v>46247</v>
      </c>
      <c r="Y239" s="385">
        <f t="shared" si="88"/>
        <v>34.048651571068056</v>
      </c>
      <c r="Z239" s="385">
        <f t="shared" si="89"/>
        <v>36.364261321044829</v>
      </c>
      <c r="AA239" s="386">
        <f t="shared" si="90"/>
        <v>38.811457581649819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6.3053448983632826E-2</v>
      </c>
      <c r="AD239" s="231">
        <f>(INDEX(Models!$BJ239:$BT239,,AH239)*(1-AF239)+INDEX(Models!$BJ239:$BT239,,AH239+1)*AF239-ERP_i)*AE239*Ramure*Pc/MaxiM</f>
        <v>4.4922159052014823E-3</v>
      </c>
      <c r="AE239" s="305">
        <f t="shared" si="92"/>
        <v>0.7</v>
      </c>
      <c r="AF239" s="177">
        <f t="shared" si="93"/>
        <v>0.46653297407029726</v>
      </c>
      <c r="AG239" s="919">
        <f t="shared" si="99"/>
        <v>2</v>
      </c>
      <c r="AH239" s="176">
        <f t="shared" si="94"/>
        <v>8</v>
      </c>
      <c r="AI239" s="225">
        <f t="shared" si="95"/>
        <v>2.4665329740702973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1090">
        <f>IF(t&gt;Tmaj,'2025'!Wh/'2025'!Env_an*'2026'!Env_an,0.001*'[10]mon-tableau (1)'!$B$51)</f>
        <v>32.593202830937038</v>
      </c>
      <c r="C240" s="953"/>
      <c r="D240" s="393">
        <f t="shared" si="77"/>
        <v>34.810591622346841</v>
      </c>
      <c r="E240" s="385">
        <f t="shared" si="100"/>
        <v>35.638033460482767</v>
      </c>
      <c r="F240" s="385">
        <f t="shared" si="78"/>
        <v>35.649334388738787</v>
      </c>
      <c r="G240" s="110">
        <f t="shared" si="101"/>
        <v>0.67281558905199834</v>
      </c>
      <c r="H240" s="412" t="b">
        <f>Wh_hp&gt;='2025'!Maxi_hp</f>
        <v>0</v>
      </c>
      <c r="I240" s="390">
        <f>IF(H240,Wh_hp,'2025'!Maxi_hp)</f>
        <v>53.538915966622881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6.3698681581336292E-2</v>
      </c>
      <c r="M240" s="957"/>
      <c r="N240" s="957"/>
      <c r="O240" s="48">
        <f>IF(t&lt;Tnet,'2025'!Resal+('2025'!Salim-'2025'!Resal)*(1-EXP(('2025'!Tnet-t)/('2025'!Tau_j))),Resal+(Salim-Resal)*(1-EXP((Tnet-t)/(Tau_j))))*Salcycl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5.9490659273575997E-4</v>
      </c>
      <c r="Q240" s="305">
        <f t="shared" si="80"/>
        <v>0.7</v>
      </c>
      <c r="R240" s="177">
        <f t="shared" si="81"/>
        <v>0.9428133542572672</v>
      </c>
      <c r="S240" s="919">
        <f t="shared" si="82"/>
        <v>-2</v>
      </c>
      <c r="T240" s="176">
        <f t="shared" si="83"/>
        <v>4</v>
      </c>
      <c r="U240" s="251">
        <f t="shared" si="84"/>
        <v>-1.0571866457427328</v>
      </c>
      <c r="V240" s="383">
        <f t="shared" si="85"/>
        <v>48.429529137776932</v>
      </c>
      <c r="W240" s="402">
        <f t="shared" si="86"/>
        <v>32.593202830937038</v>
      </c>
      <c r="X240" s="157">
        <f t="shared" si="87"/>
        <v>46248</v>
      </c>
      <c r="Y240" s="385">
        <f t="shared" si="88"/>
        <v>31.19803366096755</v>
      </c>
      <c r="Z240" s="385">
        <f t="shared" si="89"/>
        <v>33.320505960259112</v>
      </c>
      <c r="AA240" s="386">
        <f t="shared" si="90"/>
        <v>35.566163146839571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6.3140271198469405E-2</v>
      </c>
      <c r="AD240" s="231">
        <f>(INDEX(Models!$BJ240:$BT240,,AH240)*(1-AF240)+INDEX(Models!$BJ240:$BT240,,AH240+1)*AF240-ERP_i)*AE240*Ramure*Pc/MaxiM</f>
        <v>4.3783235333360168E-3</v>
      </c>
      <c r="AE240" s="305">
        <f t="shared" si="92"/>
        <v>0.7</v>
      </c>
      <c r="AF240" s="177">
        <f t="shared" si="93"/>
        <v>0.46780092063124634</v>
      </c>
      <c r="AG240" s="919">
        <f t="shared" si="99"/>
        <v>2</v>
      </c>
      <c r="AH240" s="176">
        <f t="shared" si="94"/>
        <v>8</v>
      </c>
      <c r="AI240" s="225">
        <f t="shared" si="95"/>
        <v>2.4678009206312463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1090">
        <f>IF(t&gt;Tmaj,'2025'!Wh/'2025'!Env_an*'2026'!Env_an,0.001*'[10]mon-tableau (1)'!$B$52)</f>
        <v>36.960995525489338</v>
      </c>
      <c r="C241" s="953"/>
      <c r="D241" s="393">
        <f t="shared" si="77"/>
        <v>39.47639969823615</v>
      </c>
      <c r="E241" s="385">
        <f t="shared" si="100"/>
        <v>40.420165619409225</v>
      </c>
      <c r="F241" s="385">
        <f t="shared" si="78"/>
        <v>40.435018823892207</v>
      </c>
      <c r="G241" s="110">
        <f t="shared" si="101"/>
        <v>0.76477677854919135</v>
      </c>
      <c r="H241" s="412" t="b">
        <f>Wh_hp&gt;='2025'!Maxi_hp</f>
        <v>0</v>
      </c>
      <c r="I241" s="390">
        <f>IF(H241,Wh_hp,'2025'!Maxi_hp)</f>
        <v>53.803189402990363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6.3719188983163644E-2</v>
      </c>
      <c r="M241" s="957"/>
      <c r="N241" s="957"/>
      <c r="O241" s="48">
        <f>IF(t&lt;Tnet,'2025'!Resal+('2025'!Salim-'2025'!Resal)*(1-EXP(('2025'!Tnet-t)/('2025'!Tau_j))),Resal+(Salim-Resal)*(1-EXP((Tnet-t)/(Tau_j))))*Salcycl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5.5307412787843611E-4</v>
      </c>
      <c r="Q241" s="305">
        <f t="shared" si="80"/>
        <v>0.7</v>
      </c>
      <c r="R241" s="177">
        <f t="shared" si="81"/>
        <v>0.94403673878030747</v>
      </c>
      <c r="S241" s="919">
        <f t="shared" si="82"/>
        <v>-2</v>
      </c>
      <c r="T241" s="176">
        <f t="shared" si="83"/>
        <v>4</v>
      </c>
      <c r="U241" s="251">
        <f t="shared" si="84"/>
        <v>-1.0559632612196925</v>
      </c>
      <c r="V241" s="383">
        <f t="shared" si="85"/>
        <v>48.320149019241114</v>
      </c>
      <c r="W241" s="402">
        <f t="shared" si="86"/>
        <v>36.960995525489338</v>
      </c>
      <c r="X241" s="157">
        <f t="shared" si="87"/>
        <v>46249</v>
      </c>
      <c r="Y241" s="385">
        <f t="shared" si="88"/>
        <v>35.364258389956014</v>
      </c>
      <c r="Z241" s="385">
        <f t="shared" si="89"/>
        <v>37.770995596448344</v>
      </c>
      <c r="AA241" s="386">
        <f t="shared" si="90"/>
        <v>40.320321915691324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6.3226834462620354E-2</v>
      </c>
      <c r="AD241" s="231">
        <f>(INDEX(Models!$BJ241:$BT241,,AH241)*(1-AF241)+INDEX(Models!$BJ241:$BT241,,AH241+1)*AF241-ERP_i)*AE241*Ramure*Pc/MaxiM</f>
        <v>4.2708556625782627E-3</v>
      </c>
      <c r="AE241" s="305">
        <f t="shared" si="92"/>
        <v>0.7</v>
      </c>
      <c r="AF241" s="177">
        <f t="shared" si="93"/>
        <v>0.46902430515428684</v>
      </c>
      <c r="AG241" s="919">
        <f t="shared" si="99"/>
        <v>2</v>
      </c>
      <c r="AH241" s="176">
        <f t="shared" si="94"/>
        <v>8</v>
      </c>
      <c r="AI241" s="225">
        <f t="shared" si="95"/>
        <v>2.4690243051542868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1090">
        <f>IF(t&gt;Tmaj,'2025'!Wh/'2025'!Env_an*'2026'!Env_an,0.001*'[10]mon-tableau (1)'!$B$53)</f>
        <v>34.227909430107474</v>
      </c>
      <c r="C242" s="953"/>
      <c r="D242" s="393">
        <f t="shared" si="77"/>
        <v>36.558112398367157</v>
      </c>
      <c r="E242" s="385">
        <f t="shared" si="100"/>
        <v>37.437121809893725</v>
      </c>
      <c r="F242" s="385">
        <f t="shared" si="78"/>
        <v>37.448367858146881</v>
      </c>
      <c r="G242" s="110">
        <f t="shared" si="101"/>
        <v>0.70981525877868856</v>
      </c>
      <c r="H242" s="412" t="b">
        <f>Wh_hp&gt;='2025'!Maxi_hp</f>
        <v>0</v>
      </c>
      <c r="I242" s="390">
        <f>IF(H242,Wh_hp,'2025'!Maxi_hp)</f>
        <v>53.769916943030935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6.373969593582629E-2</v>
      </c>
      <c r="M242" s="957"/>
      <c r="N242" s="957"/>
      <c r="O242" s="48">
        <f>IF(t&lt;Tnet,'2025'!Resal+('2025'!Salim-'2025'!Resal)*(1-EXP(('2025'!Tnet-t)/('2025'!Tau_j))),Resal+(Salim-Resal)*(1-EXP((Tnet-t)/(Tau_j))))*Salcycl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5.1276349526294162E-4</v>
      </c>
      <c r="Q242" s="305">
        <f t="shared" si="80"/>
        <v>0.7</v>
      </c>
      <c r="R242" s="177">
        <f t="shared" si="81"/>
        <v>0.94521689040832624</v>
      </c>
      <c r="S242" s="919">
        <f t="shared" si="82"/>
        <v>-2</v>
      </c>
      <c r="T242" s="176">
        <f t="shared" si="83"/>
        <v>4</v>
      </c>
      <c r="U242" s="251">
        <f t="shared" si="84"/>
        <v>-1.0547831095916738</v>
      </c>
      <c r="V242" s="383">
        <f t="shared" si="85"/>
        <v>48.210622297049426</v>
      </c>
      <c r="W242" s="402">
        <f t="shared" si="86"/>
        <v>34.227909430107474</v>
      </c>
      <c r="X242" s="157">
        <f t="shared" si="87"/>
        <v>46250</v>
      </c>
      <c r="Y242" s="385">
        <f t="shared" si="88"/>
        <v>32.761368305369373</v>
      </c>
      <c r="Z242" s="385">
        <f t="shared" si="89"/>
        <v>34.99173057231723</v>
      </c>
      <c r="AA242" s="386">
        <f t="shared" si="90"/>
        <v>37.356913840437244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6.3313133365952776E-2</v>
      </c>
      <c r="AD242" s="231">
        <f>(INDEX(Models!$BJ242:$BT242,,AH242)*(1-AF242)+INDEX(Models!$BJ242:$BT242,,AH242+1)*AF242-ERP_i)*AE242*Ramure*Pc/MaxiM</f>
        <v>4.1698453288653214E-3</v>
      </c>
      <c r="AE242" s="305">
        <f t="shared" si="92"/>
        <v>0.7</v>
      </c>
      <c r="AF242" s="177">
        <f t="shared" si="93"/>
        <v>0.47020445678230516</v>
      </c>
      <c r="AG242" s="919">
        <f t="shared" si="99"/>
        <v>2</v>
      </c>
      <c r="AH242" s="176">
        <f t="shared" si="94"/>
        <v>8</v>
      </c>
      <c r="AI242" s="225">
        <f t="shared" si="95"/>
        <v>2.4702044567823052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1090">
        <f>IF(t&gt;Tmaj,'2025'!Wh/'2025'!Env_an*'2026'!Env_an,0.001*'[10]mon-tableau (1)'!$B$54)</f>
        <v>24.983934275789871</v>
      </c>
      <c r="C243" s="953"/>
      <c r="D243" s="393">
        <f t="shared" si="77"/>
        <v>26.685400835218154</v>
      </c>
      <c r="E243" s="385">
        <f t="shared" si="100"/>
        <v>27.330682000392706</v>
      </c>
      <c r="F243" s="385">
        <f t="shared" si="78"/>
        <v>27.334743055593755</v>
      </c>
      <c r="G243" s="110">
        <f t="shared" si="101"/>
        <v>0.51923633802532976</v>
      </c>
      <c r="H243" s="412" t="b">
        <f>Wh_hp&gt;='2025'!Maxi_hp</f>
        <v>0</v>
      </c>
      <c r="I243" s="390">
        <f>IF(H243,Wh_hp,'2025'!Maxi_hp)</f>
        <v>51.890414604753857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6.3760202439334002E-2</v>
      </c>
      <c r="M243" s="957"/>
      <c r="N243" s="957"/>
      <c r="O243" s="48">
        <f>IF(t&lt;Tnet,'2025'!Resal+('2025'!Salim-'2025'!Resal)*(1-EXP(('2025'!Tnet-t)/('2025'!Tau_j))),Resal+(Salim-Resal)*(1-EXP((Tnet-t)/(Tau_j))))*Salcycl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4.7399595957206965E-4</v>
      </c>
      <c r="Q243" s="305">
        <f t="shared" si="80"/>
        <v>0.7</v>
      </c>
      <c r="R243" s="177">
        <f t="shared" si="81"/>
        <v>0.94635511644317893</v>
      </c>
      <c r="S243" s="919">
        <f t="shared" si="82"/>
        <v>-2</v>
      </c>
      <c r="T243" s="176">
        <f t="shared" si="83"/>
        <v>4</v>
      </c>
      <c r="U243" s="251">
        <f t="shared" si="84"/>
        <v>-1.0536448835568211</v>
      </c>
      <c r="V243" s="383">
        <f t="shared" si="85"/>
        <v>48.101029831847939</v>
      </c>
      <c r="W243" s="402">
        <f t="shared" si="86"/>
        <v>24.983934275789871</v>
      </c>
      <c r="X243" s="157">
        <f t="shared" si="87"/>
        <v>46251</v>
      </c>
      <c r="Y243" s="385">
        <f t="shared" si="88"/>
        <v>23.938753528743391</v>
      </c>
      <c r="Z243" s="385">
        <f t="shared" si="89"/>
        <v>25.569040742675991</v>
      </c>
      <c r="AA243" s="386">
        <f t="shared" si="90"/>
        <v>27.299826886751198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6.3399161879490532E-2</v>
      </c>
      <c r="AD243" s="231">
        <f>(INDEX(Models!$BJ243:$BT243,,AH243)*(1-AF243)+INDEX(Models!$BJ243:$BT243,,AH243+1)*AF243-ERP_i)*AE243*Ramure*Pc/MaxiM</f>
        <v>4.075325780067824E-3</v>
      </c>
      <c r="AE243" s="305">
        <f t="shared" si="92"/>
        <v>0.7</v>
      </c>
      <c r="AF243" s="177">
        <f t="shared" si="93"/>
        <v>0.47134268281715785</v>
      </c>
      <c r="AG243" s="919">
        <f t="shared" si="99"/>
        <v>2</v>
      </c>
      <c r="AH243" s="176">
        <f t="shared" si="94"/>
        <v>8</v>
      </c>
      <c r="AI243" s="225">
        <f t="shared" si="95"/>
        <v>2.4713426828171579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1090">
        <f>IF(t&gt;Tmaj,'2025'!Wh/'2025'!Env_an*'2026'!Env_an,0.001*'[10]mon-tableau (1)'!$B$55)</f>
        <v>33.238761025874041</v>
      </c>
      <c r="C244" s="953"/>
      <c r="D244" s="393">
        <f t="shared" si="77"/>
        <v>35.503178931931089</v>
      </c>
      <c r="E244" s="385">
        <f t="shared" si="100"/>
        <v>36.366536382494239</v>
      </c>
      <c r="F244" s="385">
        <f t="shared" si="78"/>
        <v>36.375447517339033</v>
      </c>
      <c r="G244" s="110">
        <f t="shared" si="101"/>
        <v>0.69246463744307718</v>
      </c>
      <c r="H244" s="412" t="b">
        <f>Wh_hp&gt;='2025'!Maxi_hp</f>
        <v>0</v>
      </c>
      <c r="I244" s="390">
        <f>IF(H244,Wh_hp,'2025'!Maxi_hp)</f>
        <v>49.183966953911138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6.3780708493696658E-2</v>
      </c>
      <c r="M244" s="957"/>
      <c r="N244" s="957"/>
      <c r="O244" s="48">
        <f>IF(t&lt;Tnet,'2025'!Resal+('2025'!Salim-'2025'!Resal)*(1-EXP(('2025'!Tnet-t)/('2025'!Tau_j))),Resal+(Salim-Resal)*(1-EXP((Tnet-t)/(Tau_j))))*Salcycl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4.3679248459455033E-4</v>
      </c>
      <c r="Q244" s="305">
        <f t="shared" si="80"/>
        <v>0.7</v>
      </c>
      <c r="R244" s="177">
        <f t="shared" si="81"/>
        <v>0.94745270124799252</v>
      </c>
      <c r="S244" s="919">
        <f t="shared" si="82"/>
        <v>-2</v>
      </c>
      <c r="T244" s="176">
        <f t="shared" si="83"/>
        <v>4</v>
      </c>
      <c r="U244" s="251">
        <f t="shared" si="84"/>
        <v>-1.0525472987520075</v>
      </c>
      <c r="V244" s="383">
        <f t="shared" si="85"/>
        <v>47.991452480835441</v>
      </c>
      <c r="W244" s="402">
        <f t="shared" si="86"/>
        <v>33.238761025874041</v>
      </c>
      <c r="X244" s="157">
        <f t="shared" si="87"/>
        <v>46252</v>
      </c>
      <c r="Y244" s="385">
        <f t="shared" si="88"/>
        <v>31.822068388875881</v>
      </c>
      <c r="Z244" s="385">
        <f t="shared" si="89"/>
        <v>33.98997294498885</v>
      </c>
      <c r="AA244" s="386">
        <f t="shared" si="90"/>
        <v>36.294100790933953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6.3484913408315163E-2</v>
      </c>
      <c r="AD244" s="231">
        <f>(INDEX(Models!$BJ244:$BT244,,AH244)*(1-AF244)+INDEX(Models!$BJ244:$BT244,,AH244+1)*AF244-ERP_i)*AE244*Ramure*Pc/MaxiM</f>
        <v>3.9873303859694342E-3</v>
      </c>
      <c r="AE244" s="305">
        <f t="shared" si="92"/>
        <v>0.7</v>
      </c>
      <c r="AF244" s="177">
        <f t="shared" si="93"/>
        <v>0.47244026762197144</v>
      </c>
      <c r="AG244" s="919">
        <f t="shared" si="99"/>
        <v>2</v>
      </c>
      <c r="AH244" s="176">
        <f t="shared" si="94"/>
        <v>8</v>
      </c>
      <c r="AI244" s="225">
        <f t="shared" si="95"/>
        <v>2.4724402676219714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1090">
        <f>IF(t&gt;Tmaj,'2025'!Wh/'2025'!Env_an*'2026'!Env_an,0.001*'[10]mon-tableau (1)'!$B$56)</f>
        <v>33.915787421028725</v>
      </c>
      <c r="C245" s="953"/>
      <c r="D245" s="393">
        <f t="shared" si="77"/>
        <v>36.227121773486751</v>
      </c>
      <c r="E245" s="385">
        <f t="shared" si="100"/>
        <v>37.113028840256071</v>
      </c>
      <c r="F245" s="385">
        <f t="shared" si="78"/>
        <v>37.121715719785591</v>
      </c>
      <c r="G245" s="110">
        <f t="shared" si="101"/>
        <v>0.70820218659844258</v>
      </c>
      <c r="H245" s="412" t="b">
        <f>Wh_hp&gt;='2025'!Maxi_hp</f>
        <v>0</v>
      </c>
      <c r="I245" s="390">
        <f>IF(H245,Wh_hp,'2025'!Maxi_hp)</f>
        <v>49.967163493960541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6.3801214098924142E-2</v>
      </c>
      <c r="M245" s="957"/>
      <c r="N245" s="957"/>
      <c r="O245" s="48">
        <f>IF(t&lt;Tnet,'2025'!Resal+('2025'!Salim-'2025'!Resal)*(1-EXP(('2025'!Tnet-t)/('2025'!Tau_j))),Resal+(Salim-Resal)*(1-EXP((Tnet-t)/(Tau_j))))*Salcycl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4.0117373028585008E-4</v>
      </c>
      <c r="Q245" s="305">
        <f t="shared" si="80"/>
        <v>0.7</v>
      </c>
      <c r="R245" s="177">
        <f t="shared" si="81"/>
        <v>0.94851090529743187</v>
      </c>
      <c r="S245" s="919">
        <f t="shared" si="82"/>
        <v>-2</v>
      </c>
      <c r="T245" s="176">
        <f t="shared" si="83"/>
        <v>4</v>
      </c>
      <c r="U245" s="251">
        <f t="shared" si="84"/>
        <v>-1.0514890947025681</v>
      </c>
      <c r="V245" s="383">
        <f t="shared" si="85"/>
        <v>47.88197109620836</v>
      </c>
      <c r="W245" s="402">
        <f t="shared" si="86"/>
        <v>33.915787421028725</v>
      </c>
      <c r="X245" s="157">
        <f t="shared" si="87"/>
        <v>46253</v>
      </c>
      <c r="Y245" s="385">
        <f t="shared" si="88"/>
        <v>32.469877130720882</v>
      </c>
      <c r="Z245" s="385">
        <f t="shared" si="89"/>
        <v>34.682673829222246</v>
      </c>
      <c r="AA245" s="386">
        <f t="shared" si="90"/>
        <v>37.037138851197142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6.3570380839469115E-2</v>
      </c>
      <c r="AD245" s="231">
        <f>(INDEX(Models!$BJ245:$BT245,,AH245)*(1-AF245)+INDEX(Models!$BJ245:$BT245,,AH245+1)*AF245-ERP_i)*AE245*Ramure*Pc/MaxiM</f>
        <v>3.9058925304802481E-3</v>
      </c>
      <c r="AE245" s="305">
        <f t="shared" si="92"/>
        <v>0.7</v>
      </c>
      <c r="AF245" s="177">
        <f t="shared" si="93"/>
        <v>0.47349847167141101</v>
      </c>
      <c r="AG245" s="919">
        <f t="shared" si="99"/>
        <v>2</v>
      </c>
      <c r="AH245" s="176">
        <f t="shared" si="94"/>
        <v>8</v>
      </c>
      <c r="AI245" s="225">
        <f t="shared" si="95"/>
        <v>2.473498471671411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1090">
        <f>IF(t&gt;Tmaj,'2025'!Wh/'2025'!Env_an*'2026'!Env_an,0.001*'[10]mon-tableau (1)'!$B$57)</f>
        <v>47.834557512386098</v>
      </c>
      <c r="C246" s="953"/>
      <c r="D246" s="393">
        <f t="shared" si="77"/>
        <v>51.095564270430671</v>
      </c>
      <c r="E246" s="385">
        <f t="shared" si="100"/>
        <v>52.352032191654317</v>
      </c>
      <c r="F246" s="385">
        <f t="shared" si="78"/>
        <v>52.371260826132861</v>
      </c>
      <c r="G246" s="110">
        <f t="shared" si="101"/>
        <v>1.0012955313911678</v>
      </c>
      <c r="H246" s="412" t="b">
        <f>Wh_hp&gt;='2025'!Maxi_hp</f>
        <v>0</v>
      </c>
      <c r="I246" s="390">
        <f>IF(H246,Wh_hp,'2025'!Maxi_hp)</f>
        <v>52.544338316202321</v>
      </c>
      <c r="J246" s="85">
        <f>IF(H246,An,'2025'!An_max)</f>
        <v>2021</v>
      </c>
      <c r="K246" s="197">
        <f t="shared" si="79"/>
        <v>46254</v>
      </c>
      <c r="L246" s="147">
        <f>IF(t&lt;Tvie,1-EXP((T0-t)*PertePVj)+'2025'!Pspv,1-EXP((T0-t)*PertePVj)+Pspv)</f>
        <v>6.3821719255026221E-2</v>
      </c>
      <c r="M246" s="957"/>
      <c r="N246" s="957"/>
      <c r="O246" s="48">
        <f>IF(t&lt;Tnet,'2025'!Resal+('2025'!Salim-'2025'!Resal)*(1-EXP(('2025'!Tnet-t)/('2025'!Tau_j))),Resal+(Salim-Resal)*(1-EXP((Tnet-t)/(Tau_j))))*Salcycl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3.671600449410659E-4</v>
      </c>
      <c r="Q246" s="305">
        <f t="shared" si="80"/>
        <v>0.7</v>
      </c>
      <c r="R246" s="177">
        <f t="shared" si="81"/>
        <v>0.94953096436671713</v>
      </c>
      <c r="S246" s="919">
        <f t="shared" si="82"/>
        <v>-2</v>
      </c>
      <c r="T246" s="176">
        <f t="shared" si="83"/>
        <v>4</v>
      </c>
      <c r="U246" s="251">
        <f t="shared" si="84"/>
        <v>-1.0504690356332829</v>
      </c>
      <c r="V246" s="383">
        <f t="shared" si="85"/>
        <v>47.772666523265414</v>
      </c>
      <c r="W246" s="402">
        <f t="shared" si="86"/>
        <v>47.834557512386098</v>
      </c>
      <c r="X246" s="157">
        <f t="shared" si="87"/>
        <v>46254</v>
      </c>
      <c r="Y246" s="385">
        <f t="shared" si="88"/>
        <v>45.732003845056333</v>
      </c>
      <c r="Z246" s="385">
        <f t="shared" si="89"/>
        <v>48.849674026473465</v>
      </c>
      <c r="AA246" s="386">
        <f t="shared" si="90"/>
        <v>52.170624143691029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6.3655556584311324E-2</v>
      </c>
      <c r="AD246" s="231">
        <f>(INDEX(Models!$BJ246:$BT246,,AH246)*(1-AF246)+INDEX(Models!$BJ246:$BT246,,AH246+1)*AF246-ERP_i)*AE246*Ramure*Pc/MaxiM</f>
        <v>3.8310454871026238E-3</v>
      </c>
      <c r="AE246" s="305">
        <f t="shared" si="92"/>
        <v>0.7</v>
      </c>
      <c r="AF246" s="177">
        <f t="shared" si="93"/>
        <v>0.47451853074069605</v>
      </c>
      <c r="AG246" s="919">
        <f t="shared" si="99"/>
        <v>2</v>
      </c>
      <c r="AH246" s="176">
        <f t="shared" si="94"/>
        <v>8</v>
      </c>
      <c r="AI246" s="225">
        <f t="shared" si="95"/>
        <v>2.4745185307406961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1090">
        <f>IF(t&gt;Tmaj,'2025'!Wh/'2025'!Env_an*'2026'!Env_an,0.001*'[10]mon-tableau (1)'!$B$58)</f>
        <v>31.786857096771797</v>
      </c>
      <c r="C247" s="953"/>
      <c r="D247" s="393">
        <f t="shared" si="77"/>
        <v>33.954593884056948</v>
      </c>
      <c r="E247" s="385">
        <f t="shared" si="100"/>
        <v>34.794176982696918</v>
      </c>
      <c r="F247" s="385">
        <f t="shared" si="78"/>
        <v>34.800283033166217</v>
      </c>
      <c r="G247" s="110">
        <f t="shared" si="101"/>
        <v>0.66678250147258578</v>
      </c>
      <c r="H247" s="412" t="b">
        <f>Wh_hp&gt;='2025'!Maxi_hp</f>
        <v>0</v>
      </c>
      <c r="I247" s="390">
        <f>IF(H247,Wh_hp,'2025'!Maxi_hp)</f>
        <v>51.773522913939907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6.3842223962012778E-2</v>
      </c>
      <c r="M247" s="957"/>
      <c r="N247" s="957"/>
      <c r="O247" s="48">
        <f>IF(t&lt;Tnet,'2025'!Resal+('2025'!Salim-'2025'!Resal)*(1-EXP(('2025'!Tnet-t)/('2025'!Tau_j))),Resal+(Salim-Resal)*(1-EXP((Tnet-t)/(Tau_j))))*Salcycl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3.3476592599658534E-4</v>
      </c>
      <c r="Q247" s="305">
        <f t="shared" si="80"/>
        <v>0.7</v>
      </c>
      <c r="R247" s="177">
        <f t="shared" si="81"/>
        <v>0.95051408885038136</v>
      </c>
      <c r="S247" s="919">
        <f t="shared" si="82"/>
        <v>-2</v>
      </c>
      <c r="T247" s="176">
        <f t="shared" si="83"/>
        <v>4</v>
      </c>
      <c r="U247" s="251">
        <f t="shared" si="84"/>
        <v>-1.0494859111496186</v>
      </c>
      <c r="V247" s="383">
        <f t="shared" si="85"/>
        <v>47.664406754304622</v>
      </c>
      <c r="W247" s="402">
        <f t="shared" si="86"/>
        <v>31.786857096771797</v>
      </c>
      <c r="X247" s="157">
        <f t="shared" si="87"/>
        <v>46255</v>
      </c>
      <c r="Y247" s="385">
        <f t="shared" si="88"/>
        <v>30.441829445507175</v>
      </c>
      <c r="Z247" s="385">
        <f t="shared" si="89"/>
        <v>32.517840715208578</v>
      </c>
      <c r="AA247" s="386">
        <f t="shared" si="90"/>
        <v>34.731651187317134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6.3740432614875622E-2</v>
      </c>
      <c r="AD247" s="231">
        <f>(INDEX(Models!$BJ247:$BT247,,AH247)*(1-AF247)+INDEX(Models!$BJ247:$BT247,,AH247+1)*AF247-ERP_i)*AE247*Ramure*Pc/MaxiM</f>
        <v>3.7627601579867365E-3</v>
      </c>
      <c r="AE247" s="305">
        <f t="shared" si="92"/>
        <v>0.7</v>
      </c>
      <c r="AF247" s="177">
        <f t="shared" si="93"/>
        <v>0.4755016552243605</v>
      </c>
      <c r="AG247" s="919">
        <f t="shared" si="99"/>
        <v>2</v>
      </c>
      <c r="AH247" s="176">
        <f t="shared" si="94"/>
        <v>8</v>
      </c>
      <c r="AI247" s="225">
        <f t="shared" si="95"/>
        <v>2.4755016552243605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1090">
        <f>IF(t&gt;Tmaj,'2025'!Wh/'2025'!Env_an*'2026'!Env_an,0.001*'[10]mon-tableau (1)'!$B$59)</f>
        <v>22.754765217302001</v>
      </c>
      <c r="C248" s="953"/>
      <c r="D248" s="393">
        <f t="shared" si="77"/>
        <v>24.307081774484644</v>
      </c>
      <c r="E248" s="385">
        <f t="shared" si="100"/>
        <v>24.911417280982217</v>
      </c>
      <c r="F248" s="385">
        <f t="shared" si="78"/>
        <v>24.913355949672635</v>
      </c>
      <c r="G248" s="110">
        <f t="shared" si="101"/>
        <v>0.47835823879306633</v>
      </c>
      <c r="H248" s="412" t="b">
        <f>Wh_hp&gt;='2025'!Maxi_hp</f>
        <v>0</v>
      </c>
      <c r="I248" s="390">
        <f>IF(H248,Wh_hp,'2025'!Maxi_hp)</f>
        <v>53.717329476513434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6.3862728219893583E-2</v>
      </c>
      <c r="M248" s="957"/>
      <c r="N248" s="957"/>
      <c r="O248" s="48">
        <f>IF(t&lt;Tnet,'2025'!Resal+('2025'!Salim-'2025'!Resal)*(1-EXP(('2025'!Tnet-t)/('2025'!Tau_j))),Resal+(Salim-Resal)*(1-EXP((Tnet-t)/(Tau_j))))*Salcycl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3.0521885166514016E-4</v>
      </c>
      <c r="Q248" s="305">
        <f t="shared" si="80"/>
        <v>0.7</v>
      </c>
      <c r="R248" s="177">
        <f t="shared" si="81"/>
        <v>0.95146146320199976</v>
      </c>
      <c r="S248" s="919">
        <f t="shared" si="82"/>
        <v>-2</v>
      </c>
      <c r="T248" s="176">
        <f t="shared" si="83"/>
        <v>4</v>
      </c>
      <c r="U248" s="251">
        <f t="shared" si="84"/>
        <v>-1.0485385367980002</v>
      </c>
      <c r="V248" s="383">
        <f t="shared" si="85"/>
        <v>47.557642957173854</v>
      </c>
      <c r="W248" s="402">
        <f t="shared" si="86"/>
        <v>22.754765217302001</v>
      </c>
      <c r="X248" s="157">
        <f t="shared" si="87"/>
        <v>46256</v>
      </c>
      <c r="Y248" s="385">
        <f t="shared" si="88"/>
        <v>21.813144221626089</v>
      </c>
      <c r="Z248" s="385">
        <f t="shared" si="89"/>
        <v>23.301223954204314</v>
      </c>
      <c r="AA248" s="386">
        <f t="shared" si="90"/>
        <v>24.889816504923843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6.3825000493887271E-2</v>
      </c>
      <c r="AD248" s="231">
        <f>(INDEX(Models!$BJ248:$BT248,,AH248)*(1-AF248)+INDEX(Models!$BJ248:$BT248,,AH248+1)*AF248-ERP_i)*AE248*Ramure*Pc/MaxiM</f>
        <v>3.7059876865886076E-3</v>
      </c>
      <c r="AE248" s="305">
        <f t="shared" si="92"/>
        <v>0.7</v>
      </c>
      <c r="AF248" s="177">
        <f t="shared" si="93"/>
        <v>0.47644902957597868</v>
      </c>
      <c r="AG248" s="919">
        <f t="shared" si="99"/>
        <v>2</v>
      </c>
      <c r="AH248" s="176">
        <f t="shared" si="94"/>
        <v>8</v>
      </c>
      <c r="AI248" s="225">
        <f t="shared" si="95"/>
        <v>2.4764490295759787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1090">
        <f>IF(t&gt;Tmaj,'2025'!Wh/'2025'!Env_an*'2026'!Env_an,0.001*'[10]mon-tableau (1)'!$B$60)</f>
        <v>44.148886610142071</v>
      </c>
      <c r="C249" s="953"/>
      <c r="D249" s="393">
        <f t="shared" si="77"/>
        <v>47.16173037453229</v>
      </c>
      <c r="E249" s="385">
        <f t="shared" si="100"/>
        <v>48.340688790079248</v>
      </c>
      <c r="F249" s="385">
        <f t="shared" si="78"/>
        <v>48.35279001248793</v>
      </c>
      <c r="G249" s="110">
        <f t="shared" si="101"/>
        <v>0.93036573077223594</v>
      </c>
      <c r="H249" s="412" t="b">
        <f>Wh_hp&gt;='2025'!Maxi_hp</f>
        <v>0</v>
      </c>
      <c r="I249" s="390">
        <f>IF(H249,Wh_hp,'2025'!Maxi_hp)</f>
        <v>51.339633290441888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6.3883232028678516E-2</v>
      </c>
      <c r="M249" s="957"/>
      <c r="N249" s="957"/>
      <c r="O249" s="48">
        <f>IF(t&lt;Tnet,'2025'!Resal+('2025'!Salim-'2025'!Resal)*(1-EXP(('2025'!Tnet-t)/('2025'!Tau_j))),Resal+(Salim-Resal)*(1-EXP((Tnet-t)/(Tau_j))))*Salcycl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2.7790440534197883E-4</v>
      </c>
      <c r="Q249" s="305">
        <f t="shared" si="80"/>
        <v>0.7</v>
      </c>
      <c r="R249" s="177">
        <f t="shared" si="81"/>
        <v>0.95237424548638594</v>
      </c>
      <c r="S249" s="919">
        <f t="shared" si="82"/>
        <v>-2</v>
      </c>
      <c r="T249" s="176">
        <f t="shared" si="83"/>
        <v>4</v>
      </c>
      <c r="U249" s="251">
        <f t="shared" si="84"/>
        <v>-1.0476257545136141</v>
      </c>
      <c r="V249" s="383">
        <f t="shared" si="85"/>
        <v>47.451947969044035</v>
      </c>
      <c r="W249" s="402">
        <f t="shared" si="86"/>
        <v>44.148886610142071</v>
      </c>
      <c r="X249" s="157">
        <f t="shared" si="87"/>
        <v>46257</v>
      </c>
      <c r="Y249" s="385">
        <f t="shared" si="88"/>
        <v>42.231492924161593</v>
      </c>
      <c r="Z249" s="385">
        <f t="shared" si="89"/>
        <v>45.113488369279352</v>
      </c>
      <c r="AA249" s="386">
        <f t="shared" si="90"/>
        <v>48.193498799837165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6.3909251398203484E-2</v>
      </c>
      <c r="AD249" s="231">
        <f>(INDEX(Models!$BJ249:$BT249,,AH249)*(1-AF249)+INDEX(Models!$BJ249:$BT249,,AH249+1)*AF249-ERP_i)*AE249*Ramure*Pc/MaxiM</f>
        <v>3.6581204966665512E-3</v>
      </c>
      <c r="AE249" s="305">
        <f t="shared" si="92"/>
        <v>0.7</v>
      </c>
      <c r="AF249" s="177">
        <f t="shared" si="93"/>
        <v>0.4773618118603653</v>
      </c>
      <c r="AG249" s="919">
        <f t="shared" si="99"/>
        <v>2</v>
      </c>
      <c r="AH249" s="176">
        <f t="shared" si="94"/>
        <v>8</v>
      </c>
      <c r="AI249" s="225">
        <f t="shared" si="95"/>
        <v>2.4773618118603653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1090">
        <f>IF(t&gt;Tmaj,'2025'!Wh/'2025'!Env_an*'2026'!Env_an,0.001*'[10]mon-tableau (1)'!$B$61)</f>
        <v>45.573423091048468</v>
      </c>
      <c r="C250" s="953"/>
      <c r="D250" s="393">
        <f t="shared" si="77"/>
        <v>48.684547534175287</v>
      </c>
      <c r="E250" s="385">
        <f t="shared" si="100"/>
        <v>49.908168201446564</v>
      </c>
      <c r="F250" s="385">
        <f t="shared" si="78"/>
        <v>49.920115067521323</v>
      </c>
      <c r="G250" s="110">
        <f t="shared" si="101"/>
        <v>0.96253061529542427</v>
      </c>
      <c r="H250" s="412" t="b">
        <f>Wh_hp&gt;='2025'!Maxi_hp</f>
        <v>0</v>
      </c>
      <c r="I250" s="390">
        <f>IF(H250,Wh_hp,'2025'!Maxi_hp)</f>
        <v>51.228164501997107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6.3903735388377458E-2</v>
      </c>
      <c r="M250" s="957"/>
      <c r="N250" s="957"/>
      <c r="O250" s="48">
        <f>IF(t&lt;Tnet,'2025'!Resal+('2025'!Salim-'2025'!Resal)*(1-EXP(('2025'!Tnet-t)/('2025'!Tau_j))),Resal+(Salim-Resal)*(1-EXP((Tnet-t)/(Tau_j))))*Salcycl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2.5284942318842596E-4</v>
      </c>
      <c r="Q250" s="305">
        <f t="shared" si="80"/>
        <v>0.7</v>
      </c>
      <c r="R250" s="177">
        <f t="shared" si="81"/>
        <v>0.95325356703605024</v>
      </c>
      <c r="S250" s="919">
        <f t="shared" si="82"/>
        <v>-2</v>
      </c>
      <c r="T250" s="176">
        <f t="shared" si="83"/>
        <v>4</v>
      </c>
      <c r="U250" s="251">
        <f t="shared" si="84"/>
        <v>-1.0467464329639498</v>
      </c>
      <c r="V250" s="383">
        <f t="shared" si="85"/>
        <v>47.346864216732413</v>
      </c>
      <c r="W250" s="402">
        <f t="shared" si="86"/>
        <v>45.573423091048468</v>
      </c>
      <c r="X250" s="157">
        <f t="shared" si="87"/>
        <v>46258</v>
      </c>
      <c r="Y250" s="385">
        <f t="shared" si="88"/>
        <v>43.589796251501767</v>
      </c>
      <c r="Z250" s="385">
        <f t="shared" si="89"/>
        <v>46.565506026868675</v>
      </c>
      <c r="AA250" s="386">
        <f t="shared" si="90"/>
        <v>49.749109557359887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6.3993176135556121E-2</v>
      </c>
      <c r="AD250" s="231">
        <f>(INDEX(Models!$BJ250:$BT250,,AH250)*(1-AF250)+INDEX(Models!$BJ250:$BT250,,AH250+1)*AF250-ERP_i)*AE250*Ramure*Pc/MaxiM</f>
        <v>3.6192457784144745E-3</v>
      </c>
      <c r="AE250" s="305">
        <f t="shared" si="92"/>
        <v>0.7</v>
      </c>
      <c r="AF250" s="177">
        <f t="shared" si="93"/>
        <v>0.47824113341002938</v>
      </c>
      <c r="AG250" s="919">
        <f t="shared" si="99"/>
        <v>2</v>
      </c>
      <c r="AH250" s="176">
        <f t="shared" si="94"/>
        <v>8</v>
      </c>
      <c r="AI250" s="225">
        <f t="shared" si="95"/>
        <v>2.4782411334100294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1090">
        <f>IF(t&gt;Tmaj,'2025'!Wh/'2025'!Env_an*'2026'!Env_an,0.001*'[10]mon-tableau (1)'!$B$62)</f>
        <v>29.42895497266915</v>
      </c>
      <c r="C251" s="953"/>
      <c r="D251" s="393">
        <f t="shared" si="77"/>
        <v>31.4386465035608</v>
      </c>
      <c r="E251" s="385">
        <f t="shared" si="100"/>
        <v>32.233066143143326</v>
      </c>
      <c r="F251" s="385">
        <f t="shared" si="78"/>
        <v>32.236487907796935</v>
      </c>
      <c r="G251" s="110">
        <f t="shared" si="101"/>
        <v>0.62286415022547859</v>
      </c>
      <c r="H251" s="412" t="b">
        <f>Wh_hp&gt;='2025'!Maxi_hp</f>
        <v>0</v>
      </c>
      <c r="I251" s="390">
        <f>IF(H251,Wh_hp,'2025'!Maxi_hp)</f>
        <v>50.680972332086561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6.392423829900018E-2</v>
      </c>
      <c r="M251" s="957"/>
      <c r="N251" s="957"/>
      <c r="O251" s="48">
        <f>IF(t&lt;Tnet,'2025'!Resal+('2025'!Salim-'2025'!Resal)*(1-EXP(('2025'!Tnet-t)/('2025'!Tau_j))),Resal+(Salim-Resal)*(1-EXP((Tnet-t)/(Tau_j))))*Salcycl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2.3007889532880514E-4</v>
      </c>
      <c r="Q251" s="305">
        <f t="shared" si="80"/>
        <v>0.7</v>
      </c>
      <c r="R251" s="177">
        <f t="shared" si="81"/>
        <v>0.95410053220401481</v>
      </c>
      <c r="S251" s="919">
        <f t="shared" si="82"/>
        <v>-2</v>
      </c>
      <c r="T251" s="176">
        <f t="shared" si="83"/>
        <v>4</v>
      </c>
      <c r="U251" s="251">
        <f t="shared" si="84"/>
        <v>-1.0458994677959852</v>
      </c>
      <c r="V251" s="383">
        <f t="shared" si="85"/>
        <v>47.24193445791682</v>
      </c>
      <c r="W251" s="402">
        <f t="shared" si="86"/>
        <v>29.42895497266915</v>
      </c>
      <c r="X251" s="157">
        <f t="shared" si="87"/>
        <v>46259</v>
      </c>
      <c r="Y251" s="385">
        <f t="shared" si="88"/>
        <v>28.195459267662702</v>
      </c>
      <c r="Z251" s="385">
        <f t="shared" si="89"/>
        <v>30.120915871624568</v>
      </c>
      <c r="AA251" s="386">
        <f t="shared" si="90"/>
        <v>32.183105141737151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6.4076765154590348E-2</v>
      </c>
      <c r="AD251" s="231">
        <f>(INDEX(Models!$BJ251:$BT251,,AH251)*(1-AF251)+INDEX(Models!$BJ251:$BT251,,AH251+1)*AF251-ERP_i)*AE251*Ramure*Pc/MaxiM</f>
        <v>3.5894484536441187E-3</v>
      </c>
      <c r="AE251" s="305">
        <f t="shared" si="92"/>
        <v>0.7</v>
      </c>
      <c r="AF251" s="177">
        <f t="shared" si="93"/>
        <v>0.47908809857799417</v>
      </c>
      <c r="AG251" s="919">
        <f t="shared" si="99"/>
        <v>2</v>
      </c>
      <c r="AH251" s="176">
        <f t="shared" si="94"/>
        <v>8</v>
      </c>
      <c r="AI251" s="225">
        <f t="shared" si="95"/>
        <v>2.4790880985779942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1090">
        <f>IF(t&gt;Tmaj,'2025'!Wh/'2025'!Env_an*'2026'!Env_an,0.001*'[10]mon-tableau (1)'!$B$63)</f>
        <v>40.411298357521297</v>
      </c>
      <c r="C252" s="953"/>
      <c r="D252" s="393">
        <f t="shared" si="77"/>
        <v>43.171915288800342</v>
      </c>
      <c r="E252" s="385">
        <f t="shared" si="100"/>
        <v>44.268649972554869</v>
      </c>
      <c r="F252" s="385">
        <f t="shared" si="78"/>
        <v>44.276039228070097</v>
      </c>
      <c r="G252" s="110">
        <f t="shared" si="101"/>
        <v>0.85728466245776613</v>
      </c>
      <c r="H252" s="412" t="b">
        <f>Wh_hp&gt;='2025'!Maxi_hp</f>
        <v>0</v>
      </c>
      <c r="I252" s="390">
        <f>IF(H252,Wh_hp,'2025'!Maxi_hp)</f>
        <v>53.637175533284911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6.3944740760556562E-2</v>
      </c>
      <c r="M252" s="957"/>
      <c r="N252" s="957"/>
      <c r="O252" s="48">
        <f>IF(t&lt;Tnet,'2025'!Resal+('2025'!Salim-'2025'!Resal)*(1-EXP(('2025'!Tnet-t)/('2025'!Tau_j))),Resal+(Salim-Resal)*(1-EXP((Tnet-t)/(Tau_j))))*Salcycl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2.0961594774662295E-4</v>
      </c>
      <c r="Q252" s="305">
        <f t="shared" si="80"/>
        <v>0.7</v>
      </c>
      <c r="R252" s="177">
        <f t="shared" si="81"/>
        <v>0.9549162182054185</v>
      </c>
      <c r="S252" s="919">
        <f t="shared" si="82"/>
        <v>-2</v>
      </c>
      <c r="T252" s="176">
        <f t="shared" si="83"/>
        <v>4</v>
      </c>
      <c r="U252" s="251">
        <f t="shared" si="84"/>
        <v>-1.0450837817945815</v>
      </c>
      <c r="V252" s="383">
        <f t="shared" si="85"/>
        <v>47.136701789802494</v>
      </c>
      <c r="W252" s="402">
        <f t="shared" si="86"/>
        <v>40.411298357521297</v>
      </c>
      <c r="X252" s="157">
        <f t="shared" si="87"/>
        <v>46260</v>
      </c>
      <c r="Y252" s="385">
        <f t="shared" si="88"/>
        <v>38.675514058297459</v>
      </c>
      <c r="Z252" s="385">
        <f t="shared" si="89"/>
        <v>41.317554360756219</v>
      </c>
      <c r="AA252" s="386">
        <f t="shared" si="90"/>
        <v>44.150233734576403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6.4160008548307182E-2</v>
      </c>
      <c r="AD252" s="231">
        <f>(INDEX(Models!$BJ252:$BT252,,AH252)*(1-AF252)+INDEX(Models!$BJ252:$BT252,,AH252+1)*AF252-ERP_i)*AE252*Ramure*Pc/MaxiM</f>
        <v>3.5688084809174878E-3</v>
      </c>
      <c r="AE252" s="305">
        <f t="shared" si="92"/>
        <v>0.7</v>
      </c>
      <c r="AF252" s="177">
        <f t="shared" si="93"/>
        <v>0.47990378457939764</v>
      </c>
      <c r="AG252" s="919">
        <f t="shared" si="99"/>
        <v>2</v>
      </c>
      <c r="AH252" s="176">
        <f t="shared" si="94"/>
        <v>8</v>
      </c>
      <c r="AI252" s="225">
        <f t="shared" si="95"/>
        <v>2.4799037845793976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1090">
        <f>IF(t&gt;Tmaj,'2025'!Wh/'2025'!Env_an*'2026'!Env_an,0.001*'[10]mon-tableau (1)'!$B$64)</f>
        <v>45.395175888527589</v>
      </c>
      <c r="C253" s="953"/>
      <c r="D253" s="393">
        <f t="shared" si="77"/>
        <v>48.497318649804619</v>
      </c>
      <c r="E253" s="385">
        <f t="shared" si="100"/>
        <v>49.735875331152407</v>
      </c>
      <c r="F253" s="385">
        <f t="shared" si="78"/>
        <v>49.744927388353474</v>
      </c>
      <c r="G253" s="110">
        <f t="shared" si="101"/>
        <v>0.96521494832692356</v>
      </c>
      <c r="H253" s="412" t="b">
        <f>Wh_hp&gt;='2025'!Maxi_hp</f>
        <v>0</v>
      </c>
      <c r="I253" s="390">
        <f>IF(H253,Wh_hp,'2025'!Maxi_hp)</f>
        <v>51.403994258295555</v>
      </c>
      <c r="J253" s="85">
        <f>IF(H253,An,'2025'!An_max)</f>
        <v>2018</v>
      </c>
      <c r="K253" s="197">
        <f t="shared" si="79"/>
        <v>46261</v>
      </c>
      <c r="L253" s="147">
        <f>IF(t&lt;Tvie,1-EXP((T0-t)*PertePVj)+'2025'!Pspv,1-EXP((T0-t)*PertePVj)+Pspv)</f>
        <v>6.3965242773056374E-2</v>
      </c>
      <c r="M253" s="957"/>
      <c r="N253" s="957"/>
      <c r="O253" s="48">
        <f>IF(t&lt;Tnet,'2025'!Resal+('2025'!Salim-'2025'!Resal)*(1-EXP(('2025'!Tnet-t)/('2025'!Tau_j))),Resal+(Salim-Resal)*(1-EXP((Tnet-t)/(Tau_j))))*Salcycl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1.9148225480598307E-4</v>
      </c>
      <c r="Q253" s="305">
        <f t="shared" si="80"/>
        <v>0.7</v>
      </c>
      <c r="R253" s="177">
        <f t="shared" si="81"/>
        <v>0.95570167504066572</v>
      </c>
      <c r="S253" s="919">
        <f t="shared" si="82"/>
        <v>-2</v>
      </c>
      <c r="T253" s="176">
        <f t="shared" si="83"/>
        <v>4</v>
      </c>
      <c r="U253" s="251">
        <f t="shared" si="84"/>
        <v>-1.0442983249593343</v>
      </c>
      <c r="V253" s="383">
        <f t="shared" si="85"/>
        <v>47.03070963963431</v>
      </c>
      <c r="W253" s="402">
        <f t="shared" si="86"/>
        <v>45.395175888527589</v>
      </c>
      <c r="X253" s="157">
        <f t="shared" si="87"/>
        <v>46261</v>
      </c>
      <c r="Y253" s="385">
        <f t="shared" si="88"/>
        <v>43.424338818877835</v>
      </c>
      <c r="Z253" s="385">
        <f t="shared" si="89"/>
        <v>46.391801675746443</v>
      </c>
      <c r="AA253" s="386">
        <f t="shared" si="90"/>
        <v>49.576756061989201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6.4242896051133105E-2</v>
      </c>
      <c r="AD253" s="231">
        <f>(INDEX(Models!$BJ253:$BT253,,AH253)*(1-AF253)+INDEX(Models!$BJ253:$BT253,,AH253+1)*AF253-ERP_i)*AE253*Ramure*Pc/MaxiM</f>
        <v>3.5574040298986891E-3</v>
      </c>
      <c r="AE253" s="305">
        <f t="shared" si="92"/>
        <v>0.7</v>
      </c>
      <c r="AF253" s="177">
        <f t="shared" si="93"/>
        <v>0.48068924141464464</v>
      </c>
      <c r="AG253" s="919">
        <f t="shared" si="99"/>
        <v>2</v>
      </c>
      <c r="AH253" s="176">
        <f t="shared" si="94"/>
        <v>8</v>
      </c>
      <c r="AI253" s="225">
        <f t="shared" si="95"/>
        <v>2.4806892414146446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1090">
        <f>IF(t&gt;Tmaj,'2025'!Wh/'2025'!Env_an*'2026'!Env_an,0.001*'[10]mon-tableau (1)'!$B$65)</f>
        <v>45.50189491824603</v>
      </c>
      <c r="C254" s="953"/>
      <c r="D254" s="393">
        <f t="shared" si="77"/>
        <v>48.612395209720574</v>
      </c>
      <c r="E254" s="385">
        <f t="shared" si="100"/>
        <v>49.86043071236147</v>
      </c>
      <c r="F254" s="385">
        <f t="shared" si="78"/>
        <v>49.868841367438023</v>
      </c>
      <c r="G254" s="110">
        <f t="shared" si="101"/>
        <v>0.96969690449914525</v>
      </c>
      <c r="H254" s="412" t="b">
        <f>Wh_hp&gt;='2025'!Maxi_hp</f>
        <v>0</v>
      </c>
      <c r="I254" s="390">
        <f>IF(H254,Wh_hp,'2025'!Maxi_hp)</f>
        <v>53.343274555388398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6.3985744336509609E-2</v>
      </c>
      <c r="M254" s="957"/>
      <c r="N254" s="957"/>
      <c r="O254" s="48">
        <f>IF(t&lt;Tnet,'2025'!Resal+('2025'!Salim-'2025'!Resal)*(1-EXP(('2025'!Tnet-t)/('2025'!Tau_j))),Resal+(Salim-Resal)*(1-EXP((Tnet-t)/(Tau_j))))*Salcycl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1.7628505463288406E-4</v>
      </c>
      <c r="Q254" s="305">
        <f t="shared" si="80"/>
        <v>0.7</v>
      </c>
      <c r="R254" s="177">
        <f t="shared" si="81"/>
        <v>0.9564579254932255</v>
      </c>
      <c r="S254" s="919">
        <f t="shared" si="82"/>
        <v>-2</v>
      </c>
      <c r="T254" s="176">
        <f t="shared" si="83"/>
        <v>4</v>
      </c>
      <c r="U254" s="251">
        <f t="shared" si="84"/>
        <v>-1.0435420745067745</v>
      </c>
      <c r="V254" s="383">
        <f t="shared" si="85"/>
        <v>46.923474221704879</v>
      </c>
      <c r="W254" s="402">
        <f t="shared" si="86"/>
        <v>45.50189491824603</v>
      </c>
      <c r="X254" s="157">
        <f t="shared" si="87"/>
        <v>46262</v>
      </c>
      <c r="Y254" s="385">
        <f t="shared" si="88"/>
        <v>43.526697609573745</v>
      </c>
      <c r="Z254" s="385">
        <f t="shared" si="89"/>
        <v>46.502173814350719</v>
      </c>
      <c r="AA254" s="386">
        <f t="shared" si="90"/>
        <v>49.699088401805248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6.4325417029951107E-2</v>
      </c>
      <c r="AD254" s="231">
        <f>(INDEX(Models!$BJ254:$BT254,,AH254)*(1-AF254)+INDEX(Models!$BJ254:$BT254,,AH254+1)*AF254-ERP_i)*AE254*Ramure*Pc/MaxiM</f>
        <v>3.557976227568932E-3</v>
      </c>
      <c r="AE254" s="305">
        <f t="shared" si="92"/>
        <v>0.7</v>
      </c>
      <c r="AF254" s="177">
        <f t="shared" si="93"/>
        <v>0.48144549186720464</v>
      </c>
      <c r="AG254" s="919">
        <f t="shared" si="99"/>
        <v>2</v>
      </c>
      <c r="AH254" s="176">
        <f t="shared" si="94"/>
        <v>8</v>
      </c>
      <c r="AI254" s="225">
        <f t="shared" si="95"/>
        <v>2.4814454918672046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1090">
        <f>IF(t&gt;Tmaj,'2025'!Wh/'2025'!Env_an*'2026'!Env_an,0.001*'[10]mon-tableau (1)'!$B$66)</f>
        <v>31.973387621098663</v>
      </c>
      <c r="C255" s="953"/>
      <c r="D255" s="393">
        <f t="shared" si="77"/>
        <v>34.159830090428557</v>
      </c>
      <c r="E255" s="385">
        <f t="shared" si="100"/>
        <v>35.041409299479561</v>
      </c>
      <c r="F255" s="385">
        <f t="shared" si="78"/>
        <v>35.044531321046286</v>
      </c>
      <c r="G255" s="110">
        <f t="shared" si="101"/>
        <v>0.68292865686993143</v>
      </c>
      <c r="H255" s="412" t="b">
        <f>Wh_hp&gt;='2025'!Maxi_hp</f>
        <v>0</v>
      </c>
      <c r="I255" s="390">
        <f>IF(H255,Wh_hp,'2025'!Maxi_hp)</f>
        <v>52.809812213553279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6.4006245450925814E-2</v>
      </c>
      <c r="M255" s="957"/>
      <c r="N255" s="957"/>
      <c r="O255" s="48">
        <f>IF(t&lt;Tnet,'2025'!Resal+('2025'!Salim-'2025'!Resal)*(1-EXP(('2025'!Tnet-t)/('2025'!Tau_j))),Resal+(Salim-Resal)*(1-EXP((Tnet-t)/(Tau_j))))*Salcycl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1.6283160025007672E-4</v>
      </c>
      <c r="Q255" s="305">
        <f t="shared" si="80"/>
        <v>0.7</v>
      </c>
      <c r="R255" s="177">
        <f t="shared" si="81"/>
        <v>0.95718596519552013</v>
      </c>
      <c r="S255" s="919">
        <f t="shared" si="82"/>
        <v>-2</v>
      </c>
      <c r="T255" s="176">
        <f t="shared" si="83"/>
        <v>4</v>
      </c>
      <c r="U255" s="251">
        <f t="shared" si="84"/>
        <v>-1.0428140348044799</v>
      </c>
      <c r="V255" s="383">
        <f t="shared" si="85"/>
        <v>46.814596566279491</v>
      </c>
      <c r="W255" s="402">
        <f t="shared" si="86"/>
        <v>31.973387621098663</v>
      </c>
      <c r="X255" s="157">
        <f t="shared" si="87"/>
        <v>46263</v>
      </c>
      <c r="Y255" s="385">
        <f t="shared" si="88"/>
        <v>30.628922308960451</v>
      </c>
      <c r="Z255" s="385">
        <f t="shared" si="89"/>
        <v>32.723425941785571</v>
      </c>
      <c r="AA255" s="386">
        <f t="shared" si="90"/>
        <v>34.976154743413865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6.4407560469536579E-2</v>
      </c>
      <c r="AD255" s="231">
        <f>(INDEX(Models!$BJ255:$BT255,,AH255)*(1-AF255)+INDEX(Models!$BJ255:$BT255,,AH255+1)*AF255-ERP_i)*AE255*Ramure*Pc/MaxiM</f>
        <v>3.5662365930422624E-3</v>
      </c>
      <c r="AE255" s="305">
        <f t="shared" si="92"/>
        <v>0.7</v>
      </c>
      <c r="AF255" s="177">
        <f t="shared" si="93"/>
        <v>0.48217353156949949</v>
      </c>
      <c r="AG255" s="919">
        <f t="shared" si="99"/>
        <v>2</v>
      </c>
      <c r="AH255" s="176">
        <f t="shared" si="94"/>
        <v>8</v>
      </c>
      <c r="AI255" s="225">
        <f t="shared" si="95"/>
        <v>2.4821735315694995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1090">
        <f>IF(t&gt;Tmaj,'2025'!Wh/'2025'!Env_an*'2026'!Env_an,0.001*'[10]mon-tableau (1)'!$B$67)</f>
        <v>45.193329622523336</v>
      </c>
      <c r="C256" s="953"/>
      <c r="D256" s="393">
        <f t="shared" si="77"/>
        <v>48.284851554251347</v>
      </c>
      <c r="E256" s="385">
        <f t="shared" si="100"/>
        <v>49.537433937113128</v>
      </c>
      <c r="F256" s="385">
        <f t="shared" si="78"/>
        <v>49.544575999373201</v>
      </c>
      <c r="G256" s="110">
        <f t="shared" si="101"/>
        <v>0.96765546223607179</v>
      </c>
      <c r="H256" s="412" t="b">
        <f>Wh_hp&gt;='2025'!Maxi_hp</f>
        <v>0</v>
      </c>
      <c r="I256" s="390">
        <f>IF(H256,Wh_hp,'2025'!Maxi_hp)</f>
        <v>51.020688029577649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6.4026746116315092E-2</v>
      </c>
      <c r="M256" s="957"/>
      <c r="N256" s="957"/>
      <c r="O256" s="48">
        <f>IF(t&lt;Tnet,'2025'!Resal+('2025'!Salim-'2025'!Resal)*(1-EXP(('2025'!Tnet-t)/('2025'!Tau_j))),Resal+(Salim-Resal)*(1-EXP((Tnet-t)/(Tau_j))))*Salcycl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1.5113628884896524E-4</v>
      </c>
      <c r="Q256" s="305">
        <f t="shared" si="80"/>
        <v>0.7</v>
      </c>
      <c r="R256" s="177">
        <f t="shared" si="81"/>
        <v>0.95788676275669493</v>
      </c>
      <c r="S256" s="919">
        <f t="shared" si="82"/>
        <v>-2</v>
      </c>
      <c r="T256" s="176">
        <f t="shared" si="83"/>
        <v>4</v>
      </c>
      <c r="U256" s="251">
        <f t="shared" si="84"/>
        <v>-1.0421132372433051</v>
      </c>
      <c r="V256" s="383">
        <f t="shared" si="85"/>
        <v>46.703621071890829</v>
      </c>
      <c r="W256" s="402">
        <f t="shared" si="86"/>
        <v>45.193329622523336</v>
      </c>
      <c r="X256" s="157">
        <f t="shared" si="87"/>
        <v>46264</v>
      </c>
      <c r="Y256" s="385">
        <f t="shared" si="88"/>
        <v>43.233648153312416</v>
      </c>
      <c r="Z256" s="385">
        <f t="shared" si="89"/>
        <v>46.191114942569868</v>
      </c>
      <c r="AA256" s="386">
        <f t="shared" si="90"/>
        <v>49.375293816389132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6.4489314952943882E-2</v>
      </c>
      <c r="AD256" s="231">
        <f>(INDEX(Models!$BJ256:$BT256,,AH256)*(1-AF256)+INDEX(Models!$BJ256:$BT256,,AH256+1)*AF256-ERP_i)*AE256*Ramure*Pc/MaxiM</f>
        <v>3.5822539727064233E-3</v>
      </c>
      <c r="AE256" s="305">
        <f t="shared" si="92"/>
        <v>0.7</v>
      </c>
      <c r="AF256" s="177">
        <f t="shared" si="93"/>
        <v>0.48287432913067407</v>
      </c>
      <c r="AG256" s="919">
        <f t="shared" si="99"/>
        <v>2</v>
      </c>
      <c r="AH256" s="176">
        <f t="shared" si="94"/>
        <v>8</v>
      </c>
      <c r="AI256" s="225">
        <f t="shared" si="95"/>
        <v>2.4828743291306741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1090">
        <f>IF(t&gt;Tmaj,'2025'!Wh/'2025'!Env_an*'2026'!Env_an,0.001*'[10]mon-tableau (1)'!$B$68)</f>
        <v>20.547419277646192</v>
      </c>
      <c r="C257" s="953"/>
      <c r="D257" s="393">
        <f t="shared" si="77"/>
        <v>21.953479165626597</v>
      </c>
      <c r="E257" s="385">
        <f t="shared" si="100"/>
        <v>22.525922683059044</v>
      </c>
      <c r="F257" s="385">
        <f t="shared" si="78"/>
        <v>22.526563551937798</v>
      </c>
      <c r="G257" s="110">
        <f t="shared" si="101"/>
        <v>0.44097577687223505</v>
      </c>
      <c r="H257" s="412" t="b">
        <f>Wh_hp&gt;='2025'!Maxi_hp</f>
        <v>0</v>
      </c>
      <c r="I257" s="390">
        <f>IF(H257,Wh_hp,'2025'!Maxi_hp)</f>
        <v>51.639133296774915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6.4047246332687213E-2</v>
      </c>
      <c r="M257" s="957"/>
      <c r="N257" s="957"/>
      <c r="O257" s="48">
        <f>IF(t&lt;Tnet,'2025'!Resal+('2025'!Salim-'2025'!Resal)*(1-EXP(('2025'!Tnet-t)/('2025'!Tau_j))),Resal+(Salim-Resal)*(1-EXP((Tnet-t)/(Tau_j))))*Salcycl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1.412129738319771E-4</v>
      </c>
      <c r="Q257" s="305">
        <f t="shared" si="80"/>
        <v>0.7</v>
      </c>
      <c r="R257" s="177">
        <f t="shared" si="81"/>
        <v>0.95856125994639507</v>
      </c>
      <c r="S257" s="919">
        <f t="shared" si="82"/>
        <v>-2</v>
      </c>
      <c r="T257" s="176">
        <f t="shared" si="83"/>
        <v>4</v>
      </c>
      <c r="U257" s="251">
        <f t="shared" si="84"/>
        <v>-1.0414387400536049</v>
      </c>
      <c r="V257" s="383">
        <f t="shared" si="85"/>
        <v>46.590092450280729</v>
      </c>
      <c r="W257" s="402">
        <f t="shared" si="86"/>
        <v>20.547419277646192</v>
      </c>
      <c r="X257" s="157">
        <f t="shared" si="87"/>
        <v>46265</v>
      </c>
      <c r="Y257" s="385">
        <f t="shared" si="88"/>
        <v>19.70807579620767</v>
      </c>
      <c r="Z257" s="385">
        <f t="shared" si="89"/>
        <v>21.056699410291991</v>
      </c>
      <c r="AA257" s="386">
        <f t="shared" si="90"/>
        <v>22.510197942608414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6.4570668637487658E-2</v>
      </c>
      <c r="AD257" s="231">
        <f>(INDEX(Models!$BJ257:$BT257,,AH257)*(1-AF257)+INDEX(Models!$BJ257:$BT257,,AH257+1)*AF257-ERP_i)*AE257*Ramure*Pc/MaxiM</f>
        <v>3.6060985929980372E-3</v>
      </c>
      <c r="AE257" s="305">
        <f t="shared" si="92"/>
        <v>0.7</v>
      </c>
      <c r="AF257" s="177">
        <f t="shared" si="93"/>
        <v>0.48354882632037421</v>
      </c>
      <c r="AG257" s="919">
        <f t="shared" si="99"/>
        <v>2</v>
      </c>
      <c r="AH257" s="176">
        <f t="shared" si="94"/>
        <v>8</v>
      </c>
      <c r="AI257" s="225">
        <f t="shared" si="95"/>
        <v>2.4835488263203742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1090">
        <f>IF(t&gt;Tmaj,'2025'!Wh/'2025'!Env_an*'2026'!Env_an,0.001*'[11]mon-tableau (3)'!$B$37)</f>
        <v>41.760192500211275</v>
      </c>
      <c r="C258" s="953"/>
      <c r="D258" s="393">
        <f t="shared" si="77"/>
        <v>44.618819712858702</v>
      </c>
      <c r="E258" s="385">
        <f t="shared" si="100"/>
        <v>45.788226070609547</v>
      </c>
      <c r="F258" s="385">
        <f t="shared" si="78"/>
        <v>45.793437106812988</v>
      </c>
      <c r="G258" s="110">
        <f t="shared" si="101"/>
        <v>0.89856234555889147</v>
      </c>
      <c r="H258" s="412" t="b">
        <f>Wh_hp&gt;='2025'!Maxi_hp</f>
        <v>0</v>
      </c>
      <c r="I258" s="390">
        <f>IF(H258,Wh_hp,'2025'!Maxi_hp)</f>
        <v>52.083506608695828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6.4067746100051948E-2</v>
      </c>
      <c r="M258" s="957"/>
      <c r="N258" s="957"/>
      <c r="O258" s="48">
        <f>IF(t&lt;Tnet,'2025'!Resal+('2025'!Salim-'2025'!Resal)*(1-EXP(('2025'!Tnet-t)/('2025'!Tau_j))),Resal+(Salim-Resal)*(1-EXP((Tnet-t)/(Tau_j))))*Salcycl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1.330751377537697E-4</v>
      </c>
      <c r="Q258" s="305">
        <f t="shared" si="80"/>
        <v>0.7</v>
      </c>
      <c r="R258" s="177">
        <f t="shared" si="81"/>
        <v>0.95921037192901659</v>
      </c>
      <c r="S258" s="919">
        <f t="shared" si="82"/>
        <v>-2</v>
      </c>
      <c r="T258" s="176">
        <f t="shared" si="83"/>
        <v>4</v>
      </c>
      <c r="U258" s="251">
        <f t="shared" si="84"/>
        <v>-1.0407896280709834</v>
      </c>
      <c r="V258" s="383">
        <f t="shared" si="85"/>
        <v>46.473555727322498</v>
      </c>
      <c r="W258" s="402">
        <f t="shared" si="86"/>
        <v>41.760192500211275</v>
      </c>
      <c r="X258" s="157">
        <f t="shared" si="87"/>
        <v>46266</v>
      </c>
      <c r="Y258" s="385">
        <f t="shared" si="88"/>
        <v>39.963909168628604</v>
      </c>
      <c r="Z258" s="385">
        <f t="shared" si="89"/>
        <v>42.699574677656933</v>
      </c>
      <c r="AA258" s="386">
        <f t="shared" si="90"/>
        <v>45.650984273753963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6.4651609227051779E-2</v>
      </c>
      <c r="AD258" s="231">
        <f>(INDEX(Models!$BJ258:$BT258,,AH258)*(1-AF258)+INDEX(Models!$BJ258:$BT258,,AH258+1)*AF258-ERP_i)*AE258*Ramure*Pc/MaxiM</f>
        <v>3.6378427711251417E-3</v>
      </c>
      <c r="AE258" s="305">
        <f t="shared" si="92"/>
        <v>0.7</v>
      </c>
      <c r="AF258" s="177">
        <f t="shared" si="93"/>
        <v>0.48419793830299573</v>
      </c>
      <c r="AG258" s="919">
        <f t="shared" si="99"/>
        <v>2</v>
      </c>
      <c r="AH258" s="176">
        <f t="shared" si="94"/>
        <v>8</v>
      </c>
      <c r="AI258" s="225">
        <f t="shared" si="95"/>
        <v>2.4841979383029957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1090">
        <f>IF(t&gt;Tmaj,'2025'!Wh/'2025'!Env_an*'2026'!Env_an,0.001*'[11]mon-tableau (3)'!$B$38)</f>
        <v>38.943113332757981</v>
      </c>
      <c r="C259" s="953"/>
      <c r="D259" s="393">
        <f t="shared" si="77"/>
        <v>41.609813256558922</v>
      </c>
      <c r="E259" s="385">
        <f t="shared" si="100"/>
        <v>42.705901448707721</v>
      </c>
      <c r="F259" s="385">
        <f t="shared" si="78"/>
        <v>42.710078142060254</v>
      </c>
      <c r="G259" s="110">
        <f t="shared" si="101"/>
        <v>0.84010784068893696</v>
      </c>
      <c r="H259" s="412" t="b">
        <f>Wh_hp&gt;='2025'!Maxi_hp</f>
        <v>0</v>
      </c>
      <c r="I259" s="390">
        <f>IF(H259,Wh_hp,'2025'!Maxi_hp)</f>
        <v>50.502495754224739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6.4088245418419176E-2</v>
      </c>
      <c r="M259" s="957"/>
      <c r="N259" s="957"/>
      <c r="O259" s="48">
        <f>IF(t&lt;Tnet,'2025'!Resal+('2025'!Salim-'2025'!Resal)*(1-EXP(('2025'!Tnet-t)/('2025'!Tau_j))),Resal+(Salim-Resal)*(1-EXP((Tnet-t)/(Tau_j))))*Salcycl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1.2673606790213366E-4</v>
      </c>
      <c r="Q259" s="305">
        <f t="shared" si="80"/>
        <v>0.7</v>
      </c>
      <c r="R259" s="177">
        <f t="shared" si="81"/>
        <v>0.95983498754322305</v>
      </c>
      <c r="S259" s="919">
        <f t="shared" si="82"/>
        <v>-2</v>
      </c>
      <c r="T259" s="176">
        <f t="shared" si="83"/>
        <v>4</v>
      </c>
      <c r="U259" s="251">
        <f t="shared" si="84"/>
        <v>-1.0401650124567769</v>
      </c>
      <c r="V259" s="383">
        <f t="shared" si="85"/>
        <v>46.353556239629178</v>
      </c>
      <c r="W259" s="402">
        <f t="shared" si="86"/>
        <v>38.943113332757981</v>
      </c>
      <c r="X259" s="157">
        <f t="shared" si="87"/>
        <v>46267</v>
      </c>
      <c r="Y259" s="385">
        <f t="shared" si="88"/>
        <v>37.279248511804383</v>
      </c>
      <c r="Z259" s="385">
        <f t="shared" si="89"/>
        <v>39.832012291020817</v>
      </c>
      <c r="AA259" s="386">
        <f t="shared" si="90"/>
        <v>42.588881015444066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6.4732123941540473E-2</v>
      </c>
      <c r="AD259" s="231">
        <f>(INDEX(Models!$BJ259:$BT259,,AH259)*(1-AF259)+INDEX(Models!$BJ259:$BT259,,AH259+1)*AF259-ERP_i)*AE259*Ramure*Pc/MaxiM</f>
        <v>3.677561643121597E-3</v>
      </c>
      <c r="AE259" s="305">
        <f t="shared" si="92"/>
        <v>0.7</v>
      </c>
      <c r="AF259" s="177">
        <f t="shared" si="93"/>
        <v>0.48482255391720219</v>
      </c>
      <c r="AG259" s="919">
        <f t="shared" si="99"/>
        <v>2</v>
      </c>
      <c r="AH259" s="176">
        <f t="shared" si="94"/>
        <v>8</v>
      </c>
      <c r="AI259" s="225">
        <f t="shared" si="95"/>
        <v>2.4848225539172022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1090">
        <f>IF(t&gt;Tmaj,'2025'!Wh/'2025'!Env_an*'2026'!Env_an,0.001*'[11]mon-tableau (3)'!$B$39)</f>
        <v>37.00993111557046</v>
      </c>
      <c r="C260" s="953"/>
      <c r="D260" s="393">
        <f t="shared" si="77"/>
        <v>39.545119039932018</v>
      </c>
      <c r="E260" s="385">
        <f t="shared" si="100"/>
        <v>40.592077176093945</v>
      </c>
      <c r="F260" s="385">
        <f t="shared" si="78"/>
        <v>40.595624875818984</v>
      </c>
      <c r="G260" s="110">
        <f t="shared" si="101"/>
        <v>0.80053927929955804</v>
      </c>
      <c r="H260" s="412" t="b">
        <f>Wh_hp&gt;='2025'!Maxi_hp</f>
        <v>0</v>
      </c>
      <c r="I260" s="390">
        <f>IF(H260,Wh_hp,'2025'!Maxi_hp)</f>
        <v>52.236523625300045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6.4108744287798669E-2</v>
      </c>
      <c r="M260" s="957"/>
      <c r="N260" s="957"/>
      <c r="O260" s="48">
        <f>IF(t&lt;Tnet,'2025'!Resal+('2025'!Salim-'2025'!Resal)*(1-EXP(('2025'!Tnet-t)/('2025'!Tau_j))),Resal+(Salim-Resal)*(1-EXP((Tnet-t)/(Tau_j))))*Salcycl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1.2220903454974067E-4</v>
      </c>
      <c r="Q260" s="305">
        <f t="shared" si="80"/>
        <v>0.7</v>
      </c>
      <c r="R260" s="177">
        <f t="shared" si="81"/>
        <v>0.96043596962184852</v>
      </c>
      <c r="S260" s="919">
        <f t="shared" si="82"/>
        <v>-2</v>
      </c>
      <c r="T260" s="176">
        <f t="shared" si="83"/>
        <v>4</v>
      </c>
      <c r="U260" s="251">
        <f t="shared" si="84"/>
        <v>-1.0395640303781515</v>
      </c>
      <c r="V260" s="383">
        <f t="shared" si="85"/>
        <v>46.229639636271543</v>
      </c>
      <c r="W260" s="402">
        <f t="shared" si="86"/>
        <v>37.00993111557046</v>
      </c>
      <c r="X260" s="157">
        <f t="shared" si="87"/>
        <v>46268</v>
      </c>
      <c r="Y260" s="385">
        <f t="shared" si="88"/>
        <v>35.436021899430273</v>
      </c>
      <c r="Z260" s="385">
        <f t="shared" si="89"/>
        <v>37.863396717457213</v>
      </c>
      <c r="AA260" s="386">
        <f t="shared" si="90"/>
        <v>40.487479302638626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6.4812199484357555E-2</v>
      </c>
      <c r="AD260" s="231">
        <f>(INDEX(Models!$BJ260:$BT260,,AH260)*(1-AF260)+INDEX(Models!$BJ260:$BT260,,AH260+1)*AF260-ERP_i)*AE260*Ramure*Pc/MaxiM</f>
        <v>3.7253339102854728E-3</v>
      </c>
      <c r="AE260" s="305">
        <f t="shared" si="92"/>
        <v>0.7</v>
      </c>
      <c r="AF260" s="177">
        <f t="shared" si="93"/>
        <v>0.48542353599582766</v>
      </c>
      <c r="AG260" s="919">
        <f t="shared" si="99"/>
        <v>2</v>
      </c>
      <c r="AH260" s="176">
        <f t="shared" si="94"/>
        <v>8</v>
      </c>
      <c r="AI260" s="225">
        <f t="shared" si="95"/>
        <v>2.4854235359958277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1090">
        <f>IF(t&gt;Tmaj,'2025'!Wh/'2025'!Env_an*'2026'!Env_an,0.001*'[11]mon-tableau (3)'!$B$40)</f>
        <v>44.226029437285639</v>
      </c>
      <c r="C261" s="953"/>
      <c r="D261" s="393">
        <f t="shared" si="77"/>
        <v>47.256556626756741</v>
      </c>
      <c r="E261" s="385">
        <f t="shared" si="100"/>
        <v>48.513945446811327</v>
      </c>
      <c r="F261" s="385">
        <f t="shared" si="78"/>
        <v>48.519406402922911</v>
      </c>
      <c r="G261" s="110">
        <f t="shared" si="101"/>
        <v>0.9592779956348193</v>
      </c>
      <c r="H261" s="412" t="b">
        <f>Wh_hp&gt;='2025'!Maxi_hp</f>
        <v>0</v>
      </c>
      <c r="I261" s="390">
        <f>IF(H261,Wh_hp,'2025'!Maxi_hp)</f>
        <v>51.364733019215166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6.4129242708200418E-2</v>
      </c>
      <c r="M261" s="957"/>
      <c r="N261" s="957"/>
      <c r="O261" s="48">
        <f>IF(t&lt;Tnet,'2025'!Resal+('2025'!Salim-'2025'!Resal)*(1-EXP(('2025'!Tnet-t)/('2025'!Tau_j))),Resal+(Salim-Resal)*(1-EXP((Tnet-t)/(Tau_j))))*Salcycl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1.1950285297607827E-4</v>
      </c>
      <c r="Q261" s="305">
        <f t="shared" si="80"/>
        <v>0.7</v>
      </c>
      <c r="R261" s="177">
        <f t="shared" si="81"/>
        <v>0.96101415534761281</v>
      </c>
      <c r="S261" s="919">
        <f t="shared" si="82"/>
        <v>-2</v>
      </c>
      <c r="T261" s="176">
        <f t="shared" si="83"/>
        <v>4</v>
      </c>
      <c r="U261" s="251">
        <f t="shared" si="84"/>
        <v>-1.0389858446523872</v>
      </c>
      <c r="V261" s="383">
        <f t="shared" si="85"/>
        <v>46.103134018704701</v>
      </c>
      <c r="W261" s="402">
        <f t="shared" si="86"/>
        <v>44.226029437285639</v>
      </c>
      <c r="X261" s="157">
        <f t="shared" si="87"/>
        <v>46269</v>
      </c>
      <c r="Y261" s="385">
        <f t="shared" si="88"/>
        <v>42.310080787400594</v>
      </c>
      <c r="Z261" s="385">
        <f t="shared" si="89"/>
        <v>45.209320258960219</v>
      </c>
      <c r="AA261" s="386">
        <f t="shared" si="90"/>
        <v>48.346620554727515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6.4891822008860511E-2</v>
      </c>
      <c r="AD261" s="231">
        <f>(INDEX(Models!$BJ261:$BT261,,AH261)*(1-AF261)+INDEX(Models!$BJ261:$BT261,,AH261+1)*AF261-ERP_i)*AE261*Ramure*Pc/MaxiM</f>
        <v>3.7810964584448405E-3</v>
      </c>
      <c r="AE261" s="305">
        <f t="shared" si="92"/>
        <v>0.7</v>
      </c>
      <c r="AF261" s="177">
        <f t="shared" si="93"/>
        <v>0.48600172172159217</v>
      </c>
      <c r="AG261" s="919">
        <f t="shared" si="99"/>
        <v>2</v>
      </c>
      <c r="AH261" s="176">
        <f t="shared" si="94"/>
        <v>8</v>
      </c>
      <c r="AI261" s="225">
        <f t="shared" si="95"/>
        <v>2.4860017217215922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1090">
        <f>IF(t&gt;Tmaj,'2025'!Wh/'2025'!Env_an*'2026'!Env_an,0.001*'[11]mon-tableau (3)'!$B$41)</f>
        <v>40.601014694725052</v>
      </c>
      <c r="C262" s="953"/>
      <c r="D262" s="393">
        <f t="shared" si="77"/>
        <v>43.384093011001951</v>
      </c>
      <c r="E262" s="385">
        <f t="shared" si="100"/>
        <v>44.544188089102882</v>
      </c>
      <c r="F262" s="385">
        <f t="shared" si="78"/>
        <v>44.548596672471497</v>
      </c>
      <c r="G262" s="110">
        <f t="shared" si="101"/>
        <v>0.88308424757551651</v>
      </c>
      <c r="H262" s="412" t="b">
        <f>Wh_hp&gt;='2025'!Maxi_hp</f>
        <v>0</v>
      </c>
      <c r="I262" s="390">
        <f>IF(H262,Wh_hp,'2025'!Maxi_hp)</f>
        <v>50.98450100113412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6.4149740679634082E-2</v>
      </c>
      <c r="M262" s="957"/>
      <c r="N262" s="957"/>
      <c r="O262" s="48">
        <f>IF(t&lt;Tnet,'2025'!Resal+('2025'!Salim-'2025'!Resal)*(1-EXP(('2025'!Tnet-t)/('2025'!Tau_j))),Resal+(Salim-Resal)*(1-EXP((Tnet-t)/(Tau_j))))*Salcycl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1.1880062097826173E-4</v>
      </c>
      <c r="Q262" s="305">
        <f t="shared" si="80"/>
        <v>0.7</v>
      </c>
      <c r="R262" s="177">
        <f t="shared" si="81"/>
        <v>0.96157035664038482</v>
      </c>
      <c r="S262" s="919">
        <f t="shared" si="82"/>
        <v>-2</v>
      </c>
      <c r="T262" s="176">
        <f t="shared" si="83"/>
        <v>4</v>
      </c>
      <c r="U262" s="251">
        <f t="shared" si="84"/>
        <v>-1.0384296433596152</v>
      </c>
      <c r="V262" s="383">
        <f t="shared" si="85"/>
        <v>45.975465224934261</v>
      </c>
      <c r="W262" s="402">
        <f t="shared" si="86"/>
        <v>40.601014694725052</v>
      </c>
      <c r="X262" s="157">
        <f t="shared" si="87"/>
        <v>46270</v>
      </c>
      <c r="Y262" s="385">
        <f t="shared" si="88"/>
        <v>38.857277097654134</v>
      </c>
      <c r="Z262" s="385">
        <f t="shared" si="89"/>
        <v>41.520827408727868</v>
      </c>
      <c r="AA262" s="386">
        <f t="shared" si="90"/>
        <v>44.405923657080834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6.4970977084786316E-2</v>
      </c>
      <c r="AD262" s="231">
        <f>(INDEX(Models!$BJ262:$BT262,,AH262)*(1-AF262)+INDEX(Models!$BJ262:$BT262,,AH262+1)*AF262-ERP_i)*AE262*Ramure*Pc/MaxiM</f>
        <v>3.8446914593739806E-3</v>
      </c>
      <c r="AE262" s="305">
        <f t="shared" si="92"/>
        <v>0.7</v>
      </c>
      <c r="AF262" s="177">
        <f t="shared" si="93"/>
        <v>0.48655792301436396</v>
      </c>
      <c r="AG262" s="919">
        <f t="shared" si="99"/>
        <v>2</v>
      </c>
      <c r="AH262" s="176">
        <f t="shared" si="94"/>
        <v>8</v>
      </c>
      <c r="AI262" s="225">
        <f t="shared" si="95"/>
        <v>2.486557923014364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1090">
        <f>IF(t&gt;Tmaj,'2025'!Wh/'2025'!Env_an*'2026'!Env_an,0.001*'[11]mon-tableau (3)'!$B$42)</f>
        <v>43.711415717848574</v>
      </c>
      <c r="C263" s="953"/>
      <c r="D263" s="393">
        <f t="shared" si="77"/>
        <v>46.708725777080865</v>
      </c>
      <c r="E263" s="385">
        <f t="shared" si="100"/>
        <v>47.963891633791484</v>
      </c>
      <c r="F263" s="385">
        <f t="shared" si="78"/>
        <v>47.969214174311176</v>
      </c>
      <c r="G263" s="110">
        <f t="shared" si="101"/>
        <v>0.95342435782096357</v>
      </c>
      <c r="H263" s="412" t="b">
        <f>Wh_hp&gt;='2025'!Maxi_hp</f>
        <v>0</v>
      </c>
      <c r="I263" s="390">
        <f>IF(H263,Wh_hp,'2025'!Maxi_hp)</f>
        <v>50.093779259666192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6.4170238202109542E-2</v>
      </c>
      <c r="M263" s="957"/>
      <c r="N263" s="957"/>
      <c r="O263" s="48">
        <f>IF(t&lt;Tnet,'2025'!Resal+('2025'!Salim-'2025'!Resal)*(1-EXP(('2025'!Tnet-t)/('2025'!Tau_j))),Resal+(Salim-Resal)*(1-EXP((Tnet-t)/(Tau_j))))*Salcycl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1.1886502366361963E-4</v>
      </c>
      <c r="Q263" s="305">
        <f t="shared" si="80"/>
        <v>0.7</v>
      </c>
      <c r="R263" s="177">
        <f t="shared" si="81"/>
        <v>0.96210536057201645</v>
      </c>
      <c r="S263" s="919">
        <f t="shared" si="82"/>
        <v>-2</v>
      </c>
      <c r="T263" s="176">
        <f t="shared" si="83"/>
        <v>4</v>
      </c>
      <c r="U263" s="251">
        <f t="shared" si="84"/>
        <v>-1.0378946394279835</v>
      </c>
      <c r="V263" s="383">
        <f t="shared" si="85"/>
        <v>45.846395331342862</v>
      </c>
      <c r="W263" s="402">
        <f t="shared" si="86"/>
        <v>43.711415717848574</v>
      </c>
      <c r="X263" s="157">
        <f t="shared" si="87"/>
        <v>46271</v>
      </c>
      <c r="Y263" s="385">
        <f t="shared" si="88"/>
        <v>41.817641557120005</v>
      </c>
      <c r="Z263" s="385">
        <f t="shared" si="89"/>
        <v>44.685094730029853</v>
      </c>
      <c r="AA263" s="386">
        <f t="shared" si="90"/>
        <v>47.794083091205273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6.5049649665682524E-2</v>
      </c>
      <c r="AD263" s="231">
        <f>(INDEX(Models!$BJ263:$BT263,,AH263)*(1-AF263)+INDEX(Models!$BJ263:$BT263,,AH263+1)*AF263-ERP_i)*AE263*Ramure*Pc/MaxiM</f>
        <v>3.9110947602224539E-3</v>
      </c>
      <c r="AE263" s="305">
        <f t="shared" si="92"/>
        <v>0.7</v>
      </c>
      <c r="AF263" s="177">
        <f t="shared" si="93"/>
        <v>0.4870929269459956</v>
      </c>
      <c r="AG263" s="919">
        <f t="shared" si="99"/>
        <v>2</v>
      </c>
      <c r="AH263" s="176">
        <f t="shared" si="94"/>
        <v>8</v>
      </c>
      <c r="AI263" s="225">
        <f t="shared" si="95"/>
        <v>2.4870929269459956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1090">
        <f>IF(t&gt;Tmaj,'2025'!Wh/'2025'!Env_an*'2026'!Env_an,0.001*'[11]mon-tableau (3)'!$B$43)</f>
        <v>34.969011177360649</v>
      </c>
      <c r="C264" s="953"/>
      <c r="D264" s="393">
        <f t="shared" si="77"/>
        <v>37.367669348369347</v>
      </c>
      <c r="E264" s="385">
        <f t="shared" si="100"/>
        <v>38.376744888386938</v>
      </c>
      <c r="F264" s="385">
        <f t="shared" si="78"/>
        <v>38.379796213387415</v>
      </c>
      <c r="G264" s="110">
        <f t="shared" si="101"/>
        <v>0.76489388921293333</v>
      </c>
      <c r="H264" s="412" t="b">
        <f>Wh_hp&gt;='2025'!Maxi_hp</f>
        <v>0</v>
      </c>
      <c r="I264" s="390">
        <f>IF(H264,Wh_hp,'2025'!Maxi_hp)</f>
        <v>51.37719632099251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6.4190735275636679E-2</v>
      </c>
      <c r="M264" s="957"/>
      <c r="N264" s="957"/>
      <c r="O264" s="48">
        <f>IF(t&lt;Tnet,'2025'!Resal+('2025'!Salim-'2025'!Resal)*(1-EXP(('2025'!Tnet-t)/('2025'!Tau_j))),Resal+(Salim-Resal)*(1-EXP((Tnet-t)/(Tau_j))))*Salcycl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1.1970196479909858E-4</v>
      </c>
      <c r="Q264" s="305">
        <f t="shared" si="80"/>
        <v>0.7</v>
      </c>
      <c r="R264" s="177">
        <f t="shared" si="81"/>
        <v>0.96261992980505395</v>
      </c>
      <c r="S264" s="919">
        <f t="shared" si="82"/>
        <v>-2</v>
      </c>
      <c r="T264" s="176">
        <f t="shared" si="83"/>
        <v>4</v>
      </c>
      <c r="U264" s="251">
        <f t="shared" si="84"/>
        <v>-1.037380070194946</v>
      </c>
      <c r="V264" s="383">
        <f t="shared" si="85"/>
        <v>45.715629128845698</v>
      </c>
      <c r="W264" s="402">
        <f t="shared" si="86"/>
        <v>34.969011177360649</v>
      </c>
      <c r="X264" s="157">
        <f t="shared" si="87"/>
        <v>46272</v>
      </c>
      <c r="Y264" s="385">
        <f t="shared" si="88"/>
        <v>33.488260966345337</v>
      </c>
      <c r="Z264" s="385">
        <f t="shared" si="89"/>
        <v>35.785348819141142</v>
      </c>
      <c r="AA264" s="386">
        <f t="shared" si="90"/>
        <v>38.278333380815788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6.5127824058402464E-2</v>
      </c>
      <c r="AD264" s="231">
        <f>(INDEX(Models!$BJ264:$BT264,,AH264)*(1-AF264)+INDEX(Models!$BJ264:$BT264,,AH264+1)*AF264-ERP_i)*AE264*Ramure*Pc/MaxiM</f>
        <v>3.9803365459256668E-3</v>
      </c>
      <c r="AE264" s="305">
        <f t="shared" si="92"/>
        <v>0.7</v>
      </c>
      <c r="AF264" s="177">
        <f t="shared" si="93"/>
        <v>0.4876074961790331</v>
      </c>
      <c r="AG264" s="919">
        <f t="shared" si="99"/>
        <v>2</v>
      </c>
      <c r="AH264" s="176">
        <f t="shared" si="94"/>
        <v>8</v>
      </c>
      <c r="AI264" s="225">
        <f t="shared" si="95"/>
        <v>2.4876074961790331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1090">
        <f>IF(t&gt;Tmaj,'2025'!Wh/'2025'!Env_an*'2026'!Env_an,0.001*'[11]mon-tableau (3)'!$B$44)</f>
        <v>38.35882733391341</v>
      </c>
      <c r="C265" s="953"/>
      <c r="D265" s="393">
        <f t="shared" si="77"/>
        <v>40.990903761118403</v>
      </c>
      <c r="E265" s="385">
        <f t="shared" si="100"/>
        <v>42.10320981349723</v>
      </c>
      <c r="F265" s="385">
        <f t="shared" si="78"/>
        <v>42.107161603578732</v>
      </c>
      <c r="G265" s="110">
        <f t="shared" si="101"/>
        <v>0.84149533139121124</v>
      </c>
      <c r="H265" s="412" t="b">
        <f>Wh_hp&gt;='2025'!Maxi_hp</f>
        <v>0</v>
      </c>
      <c r="I265" s="390">
        <f>IF(H265,Wh_hp,'2025'!Maxi_hp)</f>
        <v>49.21838095853591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6.4211231900225374E-2</v>
      </c>
      <c r="M265" s="957"/>
      <c r="N265" s="957"/>
      <c r="O265" s="48">
        <f>IF(t&lt;Tnet,'2025'!Resal+('2025'!Salim-'2025'!Resal)*(1-EXP(('2025'!Tnet-t)/('2025'!Tau_j))),Resal+(Salim-Resal)*(1-EXP((Tnet-t)/(Tau_j))))*Salcycl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1.2131728543465412E-4</v>
      </c>
      <c r="Q265" s="305">
        <f t="shared" si="80"/>
        <v>0.7</v>
      </c>
      <c r="R265" s="177">
        <f t="shared" si="81"/>
        <v>0.96311480305189989</v>
      </c>
      <c r="S265" s="919">
        <f t="shared" si="82"/>
        <v>-2</v>
      </c>
      <c r="T265" s="176">
        <f t="shared" si="83"/>
        <v>4</v>
      </c>
      <c r="U265" s="251">
        <f t="shared" si="84"/>
        <v>-1.0368851969481001</v>
      </c>
      <c r="V265" s="383">
        <f t="shared" si="85"/>
        <v>45.582871611159533</v>
      </c>
      <c r="W265" s="402">
        <f t="shared" si="86"/>
        <v>38.35882733391341</v>
      </c>
      <c r="X265" s="157">
        <f t="shared" si="87"/>
        <v>46273</v>
      </c>
      <c r="Y265" s="385">
        <f t="shared" si="88"/>
        <v>36.718616950148892</v>
      </c>
      <c r="Z265" s="385">
        <f t="shared" si="89"/>
        <v>39.238146686361937</v>
      </c>
      <c r="AA265" s="386">
        <f t="shared" si="90"/>
        <v>41.975157117829518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6.520548389573505E-2</v>
      </c>
      <c r="AD265" s="231">
        <f>(INDEX(Models!$BJ265:$BT265,,AH265)*(1-AF265)+INDEX(Models!$BJ265:$BT265,,AH265+1)*AF265-ERP_i)*AE265*Ramure*Pc/MaxiM</f>
        <v>4.052448522318397E-3</v>
      </c>
      <c r="AE265" s="305">
        <f t="shared" si="92"/>
        <v>0.7</v>
      </c>
      <c r="AF265" s="177">
        <f t="shared" si="93"/>
        <v>0.48810236942587881</v>
      </c>
      <c r="AG265" s="919">
        <f t="shared" si="99"/>
        <v>2</v>
      </c>
      <c r="AH265" s="176">
        <f t="shared" si="94"/>
        <v>8</v>
      </c>
      <c r="AI265" s="225">
        <f t="shared" si="95"/>
        <v>2.4881023694258788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1090">
        <f>IF(t&gt;Tmaj,'2025'!Wh/'2025'!Env_an*'2026'!Env_an,0.001*'[11]mon-tableau (3)'!$B$45)</f>
        <v>19.84791438138301</v>
      </c>
      <c r="C266" s="953"/>
      <c r="D266" s="393">
        <f t="shared" si="77"/>
        <v>21.210287821120481</v>
      </c>
      <c r="E266" s="385">
        <f t="shared" si="100"/>
        <v>21.788619661377993</v>
      </c>
      <c r="F266" s="385">
        <f t="shared" si="78"/>
        <v>21.789146161719614</v>
      </c>
      <c r="G266" s="110">
        <f t="shared" si="101"/>
        <v>0.43667517883146079</v>
      </c>
      <c r="H266" s="412" t="b">
        <f>Wh_hp&gt;='2025'!Maxi_hp</f>
        <v>0</v>
      </c>
      <c r="I266" s="390">
        <f>IF(H266,Wh_hp,'2025'!Maxi_hp)</f>
        <v>48.849649959056784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6.4231728075885286E-2</v>
      </c>
      <c r="M266" s="957"/>
      <c r="N266" s="957"/>
      <c r="O266" s="48">
        <f>IF(t&lt;Tnet,'2025'!Resal+('2025'!Salim-'2025'!Resal)*(1-EXP(('2025'!Tnet-t)/('2025'!Tau_j))),Resal+(Salim-Resal)*(1-EXP((Tnet-t)/(Tau_j))))*Salcycl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1.237168069199069E-4</v>
      </c>
      <c r="Q266" s="305">
        <f t="shared" si="80"/>
        <v>0.7</v>
      </c>
      <c r="R266" s="177">
        <f t="shared" si="81"/>
        <v>0.96359069555125498</v>
      </c>
      <c r="S266" s="919">
        <f t="shared" si="82"/>
        <v>-2</v>
      </c>
      <c r="T266" s="176">
        <f t="shared" si="83"/>
        <v>4</v>
      </c>
      <c r="U266" s="251">
        <f t="shared" si="84"/>
        <v>-1.036409304448745</v>
      </c>
      <c r="V266" s="383">
        <f t="shared" si="85"/>
        <v>45.447827970646713</v>
      </c>
      <c r="W266" s="402">
        <f t="shared" si="86"/>
        <v>19.84791438138301</v>
      </c>
      <c r="X266" s="157">
        <f t="shared" si="87"/>
        <v>46274</v>
      </c>
      <c r="Y266" s="385">
        <f t="shared" si="88"/>
        <v>19.04314193278541</v>
      </c>
      <c r="Z266" s="385">
        <f t="shared" si="89"/>
        <v>20.350275280897424</v>
      </c>
      <c r="AA266" s="386">
        <f t="shared" si="90"/>
        <v>21.771580955507776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6.5282612113236979E-2</v>
      </c>
      <c r="AD266" s="231">
        <f>(INDEX(Models!$BJ266:$BT266,,AH266)*(1-AF266)+INDEX(Models!$BJ266:$BT266,,AH266+1)*AF266-ERP_i)*AE266*Ramure*Pc/MaxiM</f>
        <v>4.1274640368417857E-3</v>
      </c>
      <c r="AE266" s="305">
        <f t="shared" si="92"/>
        <v>0.7</v>
      </c>
      <c r="AF266" s="177">
        <f t="shared" si="93"/>
        <v>0.48857826192523435</v>
      </c>
      <c r="AG266" s="919">
        <f t="shared" si="99"/>
        <v>2</v>
      </c>
      <c r="AH266" s="176">
        <f t="shared" si="94"/>
        <v>8</v>
      </c>
      <c r="AI266" s="225">
        <f t="shared" si="95"/>
        <v>2.4885782619252343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1090">
        <f>IF(t&gt;Tmaj,'2025'!Wh/'2025'!Env_an*'2026'!Env_an,0.001*'[11]mon-tableau (3)'!$B$46)</f>
        <v>43.327576826675291</v>
      </c>
      <c r="C267" s="953"/>
      <c r="D267" s="393">
        <f t="shared" si="77"/>
        <v>46.302623344451717</v>
      </c>
      <c r="E267" s="385">
        <f t="shared" si="100"/>
        <v>47.571193497669803</v>
      </c>
      <c r="F267" s="385">
        <f t="shared" si="78"/>
        <v>47.57685388268041</v>
      </c>
      <c r="G267" s="110">
        <f t="shared" si="101"/>
        <v>0.95623567383924313</v>
      </c>
      <c r="H267" s="412" t="b">
        <f>Wh_hp&gt;='2025'!Maxi_hp</f>
        <v>0</v>
      </c>
      <c r="I267" s="390">
        <f>IF(H267,Wh_hp,'2025'!Maxi_hp)</f>
        <v>47.577049674371182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6.4252223802626407E-2</v>
      </c>
      <c r="M267" s="957"/>
      <c r="N267" s="957"/>
      <c r="O267" s="48">
        <f>IF(t&lt;Tnet,'2025'!Resal+('2025'!Salim-'2025'!Resal)*(1-EXP(('2025'!Tnet-t)/('2025'!Tau_j))),Resal+(Salim-Resal)*(1-EXP((Tnet-t)/(Tau_j))))*Salcycl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1.2690637411176162E-4</v>
      </c>
      <c r="Q267" s="305">
        <f t="shared" si="80"/>
        <v>0.7</v>
      </c>
      <c r="R267" s="177">
        <f t="shared" si="81"/>
        <v>0.96404829955891991</v>
      </c>
      <c r="S267" s="919">
        <f t="shared" si="82"/>
        <v>-2</v>
      </c>
      <c r="T267" s="176">
        <f t="shared" si="83"/>
        <v>4</v>
      </c>
      <c r="U267" s="251">
        <f t="shared" si="84"/>
        <v>-1.0359517004410801</v>
      </c>
      <c r="V267" s="383">
        <f t="shared" si="85"/>
        <v>45.310203602608787</v>
      </c>
      <c r="W267" s="402">
        <f t="shared" si="86"/>
        <v>43.327576826675291</v>
      </c>
      <c r="X267" s="157">
        <f t="shared" si="87"/>
        <v>46275</v>
      </c>
      <c r="Y267" s="385">
        <f t="shared" si="88"/>
        <v>41.446098637350353</v>
      </c>
      <c r="Z267" s="385">
        <f t="shared" si="89"/>
        <v>44.291955259328653</v>
      </c>
      <c r="AA267" s="386">
        <f t="shared" si="90"/>
        <v>47.389280277054539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6.5359190931320837E-2</v>
      </c>
      <c r="AD267" s="231">
        <f>(INDEX(Models!$BJ267:$BT267,,AH267)*(1-AF267)+INDEX(Models!$BJ267:$BT267,,AH267+1)*AF267-ERP_i)*AE267*Ramure*Pc/MaxiM</f>
        <v>4.2054182046715764E-3</v>
      </c>
      <c r="AE267" s="305">
        <f t="shared" si="92"/>
        <v>0.7</v>
      </c>
      <c r="AF267" s="177">
        <f t="shared" si="93"/>
        <v>0.48903586593289905</v>
      </c>
      <c r="AG267" s="919">
        <f t="shared" si="99"/>
        <v>2</v>
      </c>
      <c r="AH267" s="176">
        <f t="shared" si="94"/>
        <v>8</v>
      </c>
      <c r="AI267" s="225">
        <f t="shared" si="95"/>
        <v>2.489035865932899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1090">
        <f>IF(t&gt;Tmaj,'2025'!Wh/'2025'!Env_an*'2026'!Env_an,0.001*'[11]mon-tableau (3)'!$B$47)</f>
        <v>44.135243791114029</v>
      </c>
      <c r="C268" s="953"/>
      <c r="D268" s="393">
        <f t="shared" si="77"/>
        <v>47.166781060120655</v>
      </c>
      <c r="E268" s="385">
        <f t="shared" si="100"/>
        <v>48.465179874529966</v>
      </c>
      <c r="F268" s="385">
        <f t="shared" si="78"/>
        <v>48.471320358765801</v>
      </c>
      <c r="G268" s="110">
        <f t="shared" si="101"/>
        <v>0.9770942466200303</v>
      </c>
      <c r="H268" s="412" t="b">
        <f>Wh_hp&gt;='2025'!Maxi_hp</f>
        <v>0</v>
      </c>
      <c r="I268" s="390">
        <f>IF(H268,Wh_hp,'2025'!Maxi_hp)</f>
        <v>48.471428052242906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6.4272719080458507E-2</v>
      </c>
      <c r="M268" s="957"/>
      <c r="N268" s="957"/>
      <c r="O268" s="48">
        <f>IF(t&lt;Tnet,'2025'!Resal+('2025'!Salim-'2025'!Resal)*(1-EXP(('2025'!Tnet-t)/('2025'!Tau_j))),Resal+(Salim-Resal)*(1-EXP((Tnet-t)/(Tau_j))))*Salcycl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1.3096763992173405E-4</v>
      </c>
      <c r="Q268" s="305">
        <f t="shared" si="80"/>
        <v>0.7</v>
      </c>
      <c r="R268" s="177">
        <f t="shared" si="81"/>
        <v>0.96448828485025651</v>
      </c>
      <c r="S268" s="919">
        <f t="shared" si="82"/>
        <v>-2</v>
      </c>
      <c r="T268" s="176">
        <f t="shared" si="83"/>
        <v>4</v>
      </c>
      <c r="U268" s="251">
        <f t="shared" si="84"/>
        <v>-1.0355117151497435</v>
      </c>
      <c r="V268" s="383">
        <f t="shared" si="85"/>
        <v>45.169700680233014</v>
      </c>
      <c r="W268" s="402">
        <f t="shared" si="86"/>
        <v>44.135243791114029</v>
      </c>
      <c r="X268" s="157">
        <f t="shared" si="87"/>
        <v>46276</v>
      </c>
      <c r="Y268" s="385">
        <f t="shared" si="88"/>
        <v>42.212314007704087</v>
      </c>
      <c r="Z268" s="385">
        <f t="shared" si="89"/>
        <v>45.1117701369377</v>
      </c>
      <c r="AA268" s="386">
        <f t="shared" si="90"/>
        <v>48.270350248511363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6.543520184362181E-2</v>
      </c>
      <c r="AD268" s="231">
        <f>(INDEX(Models!$BJ268:$BT268,,AH268)*(1-AF268)+INDEX(Models!$BJ268:$BT268,,AH268+1)*AF268-ERP_i)*AE268*Ramure*Pc/MaxiM</f>
        <v>4.2864015318605812E-3</v>
      </c>
      <c r="AE268" s="305">
        <f t="shared" si="92"/>
        <v>0.7</v>
      </c>
      <c r="AF268" s="177">
        <f t="shared" si="93"/>
        <v>0.48947585122423565</v>
      </c>
      <c r="AG268" s="919">
        <f t="shared" si="99"/>
        <v>2</v>
      </c>
      <c r="AH268" s="176">
        <f t="shared" si="94"/>
        <v>8</v>
      </c>
      <c r="AI268" s="225">
        <f t="shared" si="95"/>
        <v>2.4894758512242356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1090">
        <f>IF(t&gt;Tmaj,'2025'!Wh/'2025'!Env_an*'2026'!Env_an,0.001*'[11]mon-tableau (3)'!$B$48)</f>
        <v>31.044134383952539</v>
      </c>
      <c r="C269" s="953"/>
      <c r="D269" s="393">
        <f t="shared" si="77"/>
        <v>33.177203420374035</v>
      </c>
      <c r="E269" s="385">
        <f t="shared" si="100"/>
        <v>34.094815799488551</v>
      </c>
      <c r="F269" s="385">
        <f t="shared" si="78"/>
        <v>34.097382622429478</v>
      </c>
      <c r="G269" s="110">
        <f t="shared" si="101"/>
        <v>0.68942910453125195</v>
      </c>
      <c r="H269" s="412" t="b">
        <f>Wh_hp&gt;='2025'!Maxi_hp</f>
        <v>0</v>
      </c>
      <c r="I269" s="390">
        <f>IF(H269,Wh_hp,'2025'!Maxi_hp)</f>
        <v>49.547587041399964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6.4293213909391356E-2</v>
      </c>
      <c r="M269" s="957"/>
      <c r="N269" s="957"/>
      <c r="O269" s="48">
        <f>IF(t&lt;Tnet,'2025'!Resal+('2025'!Salim-'2025'!Resal)*(1-EXP(('2025'!Tnet-t)/('2025'!Tau_j))),Resal+(Salim-Resal)*(1-EXP((Tnet-t)/(Tau_j))))*Salcycl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1.3530017295621801E-4</v>
      </c>
      <c r="Q269" s="305">
        <f t="shared" si="80"/>
        <v>0.7</v>
      </c>
      <c r="R269" s="177">
        <f t="shared" si="81"/>
        <v>0.9649112992318436</v>
      </c>
      <c r="S269" s="919">
        <f t="shared" si="82"/>
        <v>-2</v>
      </c>
      <c r="T269" s="176">
        <f t="shared" si="83"/>
        <v>4</v>
      </c>
      <c r="U269" s="251">
        <f t="shared" si="84"/>
        <v>-1.0350887007681564</v>
      </c>
      <c r="V269" s="383">
        <f t="shared" si="85"/>
        <v>45.026052337827515</v>
      </c>
      <c r="W269" s="402">
        <f t="shared" si="86"/>
        <v>31.044134383952539</v>
      </c>
      <c r="X269" s="157">
        <f t="shared" si="87"/>
        <v>46277</v>
      </c>
      <c r="Y269" s="385">
        <f t="shared" si="88"/>
        <v>29.742571125091295</v>
      </c>
      <c r="Z269" s="385">
        <f t="shared" si="89"/>
        <v>31.786208636314399</v>
      </c>
      <c r="AA269" s="386">
        <f t="shared" si="90"/>
        <v>34.014521200043092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6.5510625612624232E-2</v>
      </c>
      <c r="AD269" s="231">
        <f>(INDEX(Models!$BJ269:$BT269,,AH269)*(1-AF269)+INDEX(Models!$BJ269:$BT269,,AH269+1)*AF269-ERP_i)*AE269*Ramure*Pc/MaxiM</f>
        <v>4.3677203446805283E-3</v>
      </c>
      <c r="AE269" s="305">
        <f t="shared" si="92"/>
        <v>0.7</v>
      </c>
      <c r="AF269" s="177">
        <f t="shared" si="93"/>
        <v>0.48989886560582274</v>
      </c>
      <c r="AG269" s="919">
        <f t="shared" si="99"/>
        <v>2</v>
      </c>
      <c r="AH269" s="176">
        <f t="shared" si="94"/>
        <v>8</v>
      </c>
      <c r="AI269" s="225">
        <f t="shared" si="95"/>
        <v>2.4898988656058227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1090">
        <f>IF(t&gt;Tmaj,'2025'!Wh/'2025'!Env_an*'2026'!Env_an,0.001*'[11]mon-tableau (3)'!$B$49)</f>
        <v>11.216062019199191</v>
      </c>
      <c r="C270" s="953"/>
      <c r="D270" s="393">
        <f t="shared" si="77"/>
        <v>11.986989783397023</v>
      </c>
      <c r="E270" s="385">
        <f t="shared" si="100"/>
        <v>12.320079999694924</v>
      </c>
      <c r="F270" s="385">
        <f t="shared" si="78"/>
        <v>12.320079999694924</v>
      </c>
      <c r="G270" s="110">
        <f t="shared" si="101"/>
        <v>0.24988305645152584</v>
      </c>
      <c r="H270" s="412" t="b">
        <f>Wh_hp&gt;='2025'!Maxi_hp</f>
        <v>0</v>
      </c>
      <c r="I270" s="390">
        <f>IF(H270,Wh_hp,'2025'!Maxi_hp)</f>
        <v>47.552887947991515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6.4313708289434945E-2</v>
      </c>
      <c r="M270" s="957"/>
      <c r="N270" s="957"/>
      <c r="O270" s="48">
        <f>IF(t&lt;Tnet,'2025'!Resal+('2025'!Salim-'2025'!Resal)*(1-EXP(('2025'!Tnet-t)/('2025'!Tau_j))),Resal+(Salim-Resal)*(1-EXP((Tnet-t)/(Tau_j))))*Salcycl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1.3990658963727035E-4</v>
      </c>
      <c r="Q270" s="305">
        <f t="shared" si="80"/>
        <v>0.7</v>
      </c>
      <c r="R270" s="177">
        <f t="shared" si="81"/>
        <v>0.96531796906005374</v>
      </c>
      <c r="S270" s="919">
        <f t="shared" si="82"/>
        <v>-2</v>
      </c>
      <c r="T270" s="176">
        <f t="shared" si="83"/>
        <v>4</v>
      </c>
      <c r="U270" s="251">
        <f t="shared" si="84"/>
        <v>-1.0346820309399463</v>
      </c>
      <c r="V270" s="383">
        <f t="shared" si="85"/>
        <v>44.878964494290926</v>
      </c>
      <c r="W270" s="402">
        <f t="shared" si="86"/>
        <v>11.216062019199191</v>
      </c>
      <c r="X270" s="157">
        <f t="shared" si="87"/>
        <v>46278</v>
      </c>
      <c r="Y270" s="385">
        <f t="shared" si="88"/>
        <v>10.771678700099327</v>
      </c>
      <c r="Z270" s="385">
        <f t="shared" si="89"/>
        <v>11.512062104070369</v>
      </c>
      <c r="AA270" s="386">
        <f t="shared" si="90"/>
        <v>12.320079999694924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6.5585442273472516E-2</v>
      </c>
      <c r="AD270" s="231">
        <f>(INDEX(Models!$BJ270:$BT270,,AH270)*(1-AF270)+INDEX(Models!$BJ270:$BT270,,AH270+1)*AF270-ERP_i)*AE270*Ramure*Pc/MaxiM</f>
        <v>4.4494012044975981E-3</v>
      </c>
      <c r="AE270" s="305">
        <f t="shared" si="92"/>
        <v>0.7</v>
      </c>
      <c r="AF270" s="177">
        <f t="shared" si="93"/>
        <v>0.49030553543403288</v>
      </c>
      <c r="AG270" s="919">
        <f t="shared" si="99"/>
        <v>2</v>
      </c>
      <c r="AH270" s="176">
        <f t="shared" si="94"/>
        <v>8</v>
      </c>
      <c r="AI270" s="225">
        <f t="shared" si="95"/>
        <v>2.4903055354340329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1090">
        <f>IF(t&gt;Tmaj,'2025'!Wh/'2025'!Env_an*'2026'!Env_an,0.001*'[11]mon-tableau (3)'!$B$50)</f>
        <v>33.903835903371146</v>
      </c>
      <c r="C271" s="953"/>
      <c r="D271" s="393">
        <f t="shared" ref="D271:D334" si="102">Wh/(1-Ppv)</f>
        <v>36.23498473903237</v>
      </c>
      <c r="E271" s="385">
        <f t="shared" si="100"/>
        <v>37.246556525274841</v>
      </c>
      <c r="F271" s="385">
        <f t="shared" ref="F271:F334" si="103">Wh_sa/(1-Pvg*MEDIAN((-Sdif+Wh/Env_an)/Csdif,0,1))</f>
        <v>37.250085350266701</v>
      </c>
      <c r="G271" s="110">
        <f t="shared" si="101"/>
        <v>0.75795989224721727</v>
      </c>
      <c r="H271" s="412" t="b">
        <f>Wh_hp&gt;='2025'!Maxi_hp</f>
        <v>0</v>
      </c>
      <c r="I271" s="390">
        <f>IF(H271,Wh_hp,'2025'!Maxi_hp)</f>
        <v>47.223329847400791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6.4334202220598935E-2</v>
      </c>
      <c r="M271" s="957"/>
      <c r="N271" s="957"/>
      <c r="O271" s="48">
        <f>IF(t&lt;Tnet,'2025'!Resal+('2025'!Salim-'2025'!Resal)*(1-EXP(('2025'!Tnet-t)/('2025'!Tau_j))),Resal+(Salim-Resal)*(1-EXP((Tnet-t)/(Tau_j))))*Salcycl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1.4478963059892517E-4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0.96570889976448937</v>
      </c>
      <c r="S271" s="919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-1.0342911002355106</v>
      </c>
      <c r="V271" s="383">
        <f t="shared" ref="V271:V334" si="110">MaxiM*(1-Ppv)*(1-Pvg)*(1-Psa)</f>
        <v>44.72814325544298</v>
      </c>
      <c r="W271" s="402">
        <f t="shared" ref="W271:W334" si="111">Wh*(A271&gt;Tmaj)</f>
        <v>33.903835903371146</v>
      </c>
      <c r="X271" s="157">
        <f t="shared" ref="X271:X334" si="112">t</f>
        <v>46279</v>
      </c>
      <c r="Y271" s="385">
        <f t="shared" ref="Y271:Y334" si="113">Wh_pvt_s*(1-Ppv)</f>
        <v>32.468603039366023</v>
      </c>
      <c r="Z271" s="385">
        <f t="shared" ref="Z271:Z334" si="114">Wh_sa_s*(1-Psa_s)</f>
        <v>34.701068604220843</v>
      </c>
      <c r="AA271" s="386">
        <f t="shared" ref="AA271:AA334" si="115">Wh_hp*(1-Pvg_s*MEDIAN((-Sdif+Wh/Env_an)/Csdif,0,1))</f>
        <v>37.139643925278968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6.5659631146821953E-2</v>
      </c>
      <c r="AD271" s="231">
        <f>(INDEX(Models!$BJ271:$BT271,,AH271)*(1-AF271)+INDEX(Models!$BJ271:$BT271,,AH271+1)*AF271-ERP_i)*AE271*Ramure*Pc/MaxiM</f>
        <v>4.5314724203305047E-3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0.49069646613846851</v>
      </c>
      <c r="AG271" s="91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2.4906964661384685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1090">
        <f>IF(t&gt;Tmaj,'2025'!Wh/'2025'!Env_an*'2026'!Env_an,0.001*'[11]mon-tableau (3)'!$B$51)</f>
        <v>38.907767329285363</v>
      </c>
      <c r="C272" s="953"/>
      <c r="D272" s="393">
        <f t="shared" si="102"/>
        <v>41.583885635502014</v>
      </c>
      <c r="E272" s="385">
        <f t="shared" si="100"/>
        <v>42.750145137312316</v>
      </c>
      <c r="F272" s="385">
        <f t="shared" si="103"/>
        <v>42.755392245265249</v>
      </c>
      <c r="G272" s="110">
        <f t="shared" si="101"/>
        <v>0.87287035627839504</v>
      </c>
      <c r="H272" s="412" t="b">
        <f>Wh_hp&gt;='2025'!Maxi_hp</f>
        <v>0</v>
      </c>
      <c r="I272" s="390">
        <f>IF(H272,Wh_hp,'2025'!Maxi_hp)</f>
        <v>48.01660304214726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6.4354695702893316E-2</v>
      </c>
      <c r="M272" s="957"/>
      <c r="N272" s="957"/>
      <c r="O272" s="48">
        <f>IF(t&lt;Tnet,'2025'!Resal+('2025'!Salim-'2025'!Resal)*(1-EXP(('2025'!Tnet-t)/('2025'!Tau_j))),Resal+(Salim-Resal)*(1-EXP((Tnet-t)/(Tau_j))))*Salcycl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1.4995217674921047E-4</v>
      </c>
      <c r="Q272" s="305">
        <f t="shared" si="105"/>
        <v>0.7</v>
      </c>
      <c r="R272" s="177">
        <f t="shared" si="106"/>
        <v>0.96608467637438733</v>
      </c>
      <c r="S272" s="919">
        <f t="shared" si="107"/>
        <v>-2</v>
      </c>
      <c r="T272" s="176">
        <f t="shared" si="108"/>
        <v>4</v>
      </c>
      <c r="U272" s="251">
        <f t="shared" si="109"/>
        <v>-1.0339153236256127</v>
      </c>
      <c r="V272" s="383">
        <f t="shared" si="110"/>
        <v>44.573294908538969</v>
      </c>
      <c r="W272" s="402">
        <f t="shared" si="111"/>
        <v>38.907767329285363</v>
      </c>
      <c r="X272" s="157">
        <f t="shared" si="112"/>
        <v>46280</v>
      </c>
      <c r="Y272" s="385">
        <f t="shared" si="113"/>
        <v>37.233168591505205</v>
      </c>
      <c r="Z272" s="385">
        <f t="shared" si="114"/>
        <v>39.794106185865182</v>
      </c>
      <c r="AA272" s="386">
        <f t="shared" si="115"/>
        <v>42.593940986388262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6.5733170861504056E-2</v>
      </c>
      <c r="AD272" s="231">
        <f>(INDEX(Models!$BJ272:$BT272,,AH272)*(1-AF272)+INDEX(Models!$BJ272:$BT272,,AH272+1)*AF272-ERP_i)*AE272*Ramure*Pc/MaxiM</f>
        <v>4.6139640969256324E-3</v>
      </c>
      <c r="AE272" s="305">
        <f t="shared" si="117"/>
        <v>0.7</v>
      </c>
      <c r="AF272" s="177">
        <f t="shared" si="118"/>
        <v>0.49107224274836625</v>
      </c>
      <c r="AG272" s="919">
        <f t="shared" ref="AG272:AG335" si="124">INDEX(Echel_vg,AH272)</f>
        <v>2</v>
      </c>
      <c r="AH272" s="176">
        <f t="shared" si="119"/>
        <v>8</v>
      </c>
      <c r="AI272" s="225">
        <f t="shared" si="120"/>
        <v>2.4910722427483662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1090">
        <f>IF(t&gt;Tmaj,'2025'!Wh/'2025'!Env_an*'2026'!Env_an,0.001*'[11]mon-tableau (3)'!$B$52)</f>
        <v>25.911199890359253</v>
      </c>
      <c r="C273" s="953"/>
      <c r="D273" s="393">
        <f t="shared" si="102"/>
        <v>27.694006805316658</v>
      </c>
      <c r="E273" s="385">
        <f t="shared" si="100"/>
        <v>28.474271621457476</v>
      </c>
      <c r="F273" s="385">
        <f t="shared" si="103"/>
        <v>28.476063155589387</v>
      </c>
      <c r="G273" s="110">
        <f t="shared" si="101"/>
        <v>0.58334601521947882</v>
      </c>
      <c r="H273" s="412" t="b">
        <f>Wh_hp&gt;='2025'!Maxi_hp</f>
        <v>0</v>
      </c>
      <c r="I273" s="390">
        <f>IF(H273,Wh_hp,'2025'!Maxi_hp)</f>
        <v>47.259197332077989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6.4375188736327749E-2</v>
      </c>
      <c r="M273" s="957"/>
      <c r="N273" s="957"/>
      <c r="O273" s="48">
        <f>IF(t&lt;Tnet,'2025'!Resal+('2025'!Salim-'2025'!Resal)*(1-EXP(('2025'!Tnet-t)/('2025'!Tau_j))),Resal+(Salim-Resal)*(1-EXP((Tnet-t)/(Tau_j))))*Salcycl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1.5539726605034716E-4</v>
      </c>
      <c r="Q273" s="305">
        <f t="shared" si="105"/>
        <v>0.7</v>
      </c>
      <c r="R273" s="177">
        <f t="shared" si="106"/>
        <v>0.96644586404628297</v>
      </c>
      <c r="S273" s="919">
        <f t="shared" si="107"/>
        <v>-2</v>
      </c>
      <c r="T273" s="176">
        <f t="shared" si="108"/>
        <v>4</v>
      </c>
      <c r="U273" s="251">
        <f t="shared" si="109"/>
        <v>-1.033554135953717</v>
      </c>
      <c r="V273" s="383">
        <f t="shared" si="110"/>
        <v>44.414125927201965</v>
      </c>
      <c r="W273" s="402">
        <f t="shared" si="111"/>
        <v>25.911199890359253</v>
      </c>
      <c r="X273" s="157">
        <f t="shared" si="112"/>
        <v>46281</v>
      </c>
      <c r="Y273" s="385">
        <f t="shared" si="113"/>
        <v>24.842317179411147</v>
      </c>
      <c r="Z273" s="385">
        <f t="shared" si="114"/>
        <v>26.551580163696869</v>
      </c>
      <c r="AA273" s="386">
        <f t="shared" si="115"/>
        <v>28.421913738656375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6.5806039387688475E-2</v>
      </c>
      <c r="AD273" s="231">
        <f>(INDEX(Models!$BJ273:$BT273,,AH273)*(1-AF273)+INDEX(Models!$BJ273:$BT273,,AH273+1)*AF273-ERP_i)*AE273*Ramure*Pc/MaxiM</f>
        <v>4.6969081971290974E-3</v>
      </c>
      <c r="AE273" s="305">
        <f t="shared" si="117"/>
        <v>0.7</v>
      </c>
      <c r="AF273" s="177">
        <f t="shared" si="118"/>
        <v>0.49143343042026189</v>
      </c>
      <c r="AG273" s="919">
        <f t="shared" si="124"/>
        <v>2</v>
      </c>
      <c r="AH273" s="176">
        <f t="shared" si="119"/>
        <v>8</v>
      </c>
      <c r="AI273" s="225">
        <f t="shared" si="120"/>
        <v>2.4914334304202619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1090">
        <f>IF(t&gt;Tmaj,'2025'!Wh/'2025'!Env_an*'2026'!Env_an,0.001*'[11]mon-tableau (3)'!$B$53)</f>
        <v>45.698985933976729</v>
      </c>
      <c r="C274" s="953"/>
      <c r="D274" s="393">
        <f t="shared" si="102"/>
        <v>48.844351208741564</v>
      </c>
      <c r="E274" s="385">
        <f t="shared" si="100"/>
        <v>50.226775171009088</v>
      </c>
      <c r="F274" s="385">
        <f t="shared" si="103"/>
        <v>50.234869420638525</v>
      </c>
      <c r="G274" s="110">
        <f t="shared" si="101"/>
        <v>1.0327374405723733</v>
      </c>
      <c r="H274" s="412" t="b">
        <f>Wh_hp&gt;='2025'!Maxi_hp</f>
        <v>1</v>
      </c>
      <c r="I274" s="390">
        <f>IF(H274,Wh_hp,'2025'!Maxi_hp)</f>
        <v>50.234869420638525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6.4395681320912224E-2</v>
      </c>
      <c r="M274" s="957"/>
      <c r="N274" s="957"/>
      <c r="O274" s="48">
        <f>IF(t&lt;Tnet,'2025'!Resal+('2025'!Salim-'2025'!Resal)*(1-EXP(('2025'!Tnet-t)/('2025'!Tau_j))),Resal+(Salim-Resal)*(1-EXP((Tnet-t)/(Tau_j))))*Salcycl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1.6112811126587175E-4</v>
      </c>
      <c r="Q274" s="305">
        <f t="shared" si="105"/>
        <v>0.7</v>
      </c>
      <c r="R274" s="177">
        <f t="shared" si="106"/>
        <v>0.9667930085913814</v>
      </c>
      <c r="S274" s="919">
        <f t="shared" si="107"/>
        <v>-2</v>
      </c>
      <c r="T274" s="176">
        <f t="shared" si="108"/>
        <v>4</v>
      </c>
      <c r="U274" s="251">
        <f t="shared" si="109"/>
        <v>-1.0332069914086186</v>
      </c>
      <c r="V274" s="383">
        <f t="shared" si="110"/>
        <v>44.250342960984369</v>
      </c>
      <c r="W274" s="402">
        <f t="shared" si="111"/>
        <v>45.698985933976729</v>
      </c>
      <c r="X274" s="157">
        <f t="shared" si="112"/>
        <v>46282</v>
      </c>
      <c r="Y274" s="385">
        <f t="shared" si="113"/>
        <v>43.693812808179899</v>
      </c>
      <c r="Z274" s="385">
        <f t="shared" si="114"/>
        <v>46.701166225769498</v>
      </c>
      <c r="AA274" s="386">
        <f t="shared" si="115"/>
        <v>49.994729734121684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6.5878214081119546E-2</v>
      </c>
      <c r="AD274" s="231">
        <f>(INDEX(Models!$BJ274:$BT274,,AH274)*(1-AF274)+INDEX(Models!$BJ274:$BT274,,AH274+1)*AF274-ERP_i)*AE274*Ramure*Pc/MaxiM</f>
        <v>4.7803386230796082E-3</v>
      </c>
      <c r="AE274" s="305">
        <f t="shared" si="117"/>
        <v>0.7</v>
      </c>
      <c r="AF274" s="177">
        <f t="shared" si="118"/>
        <v>0.49178057496536054</v>
      </c>
      <c r="AG274" s="919">
        <f t="shared" si="124"/>
        <v>2</v>
      </c>
      <c r="AH274" s="176">
        <f t="shared" si="119"/>
        <v>8</v>
      </c>
      <c r="AI274" s="225">
        <f t="shared" si="120"/>
        <v>2.4917805749653605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1090">
        <f>IF(t&gt;Tmaj,'2025'!Wh/'2025'!Env_an*'2026'!Env_an,0.001*'[11]mon-tableau (3)'!$B$54)</f>
        <v>44.196062522777403</v>
      </c>
      <c r="C275" s="953"/>
      <c r="D275" s="393">
        <f t="shared" si="102"/>
        <v>47.239019389707138</v>
      </c>
      <c r="E275" s="385">
        <f t="shared" si="100"/>
        <v>48.582041018082478</v>
      </c>
      <c r="F275" s="385">
        <f t="shared" si="103"/>
        <v>48.590162662386255</v>
      </c>
      <c r="G275" s="110">
        <f t="shared" si="101"/>
        <v>1.0025818254182672</v>
      </c>
      <c r="H275" s="412" t="b">
        <f>Wh_hp&gt;='2025'!Maxi_hp</f>
        <v>1</v>
      </c>
      <c r="I275" s="390">
        <f>IF(H275,Wh_hp,'2025'!Maxi_hp)</f>
        <v>48.590162662386255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6.4416173456656511E-2</v>
      </c>
      <c r="M275" s="957"/>
      <c r="N275" s="957"/>
      <c r="O275" s="48">
        <f>IF(t&lt;Tnet,'2025'!Resal+('2025'!Salim-'2025'!Resal)*(1-EXP(('2025'!Tnet-t)/('2025'!Tau_j))),Resal+(Salim-Resal)*(1-EXP((Tnet-t)/(Tau_j))))*Salcycl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1.6714585543184247E-4</v>
      </c>
      <c r="Q275" s="305">
        <f t="shared" si="105"/>
        <v>0.7</v>
      </c>
      <c r="R275" s="177">
        <f t="shared" si="106"/>
        <v>0.96712663700123924</v>
      </c>
      <c r="S275" s="919">
        <f t="shared" si="107"/>
        <v>-2</v>
      </c>
      <c r="T275" s="176">
        <f t="shared" si="108"/>
        <v>4</v>
      </c>
      <c r="U275" s="251">
        <f t="shared" si="109"/>
        <v>-1.0328733629987608</v>
      </c>
      <c r="V275" s="383">
        <f t="shared" si="110"/>
        <v>44.082249849621242</v>
      </c>
      <c r="W275" s="402">
        <f t="shared" si="111"/>
        <v>44.196062522777403</v>
      </c>
      <c r="X275" s="157">
        <f t="shared" si="112"/>
        <v>46283</v>
      </c>
      <c r="Y275" s="385">
        <f t="shared" si="113"/>
        <v>42.255541842294129</v>
      </c>
      <c r="Z275" s="385">
        <f t="shared" si="114"/>
        <v>45.164891315419212</v>
      </c>
      <c r="AA275" s="386">
        <f t="shared" si="115"/>
        <v>48.353809156623626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6.5949671738893129E-2</v>
      </c>
      <c r="AD275" s="231">
        <f>(INDEX(Models!$BJ275:$BT275,,AH275)*(1-AF275)+INDEX(Models!$BJ275:$BT275,,AH275+1)*AF275-ERP_i)*AE275*Ramure*Pc/MaxiM</f>
        <v>4.8642254483661019E-3</v>
      </c>
      <c r="AE275" s="305">
        <f t="shared" si="117"/>
        <v>0.7</v>
      </c>
      <c r="AF275" s="177">
        <f t="shared" si="118"/>
        <v>0.49211420337521838</v>
      </c>
      <c r="AG275" s="919">
        <f t="shared" si="124"/>
        <v>2</v>
      </c>
      <c r="AH275" s="176">
        <f t="shared" si="119"/>
        <v>8</v>
      </c>
      <c r="AI275" s="225">
        <f t="shared" si="120"/>
        <v>2.4921142033752184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1090">
        <f>IF(t&gt;Tmaj,'2025'!Wh/'2025'!Env_an*'2026'!Env_an,0.001*'[11]mon-tableau (3)'!$B$55)</f>
        <v>43.646977726229771</v>
      </c>
      <c r="C276" s="953"/>
      <c r="D276" s="393">
        <f t="shared" si="102"/>
        <v>46.653151208547285</v>
      </c>
      <c r="E276" s="385">
        <f t="shared" si="100"/>
        <v>47.985453746130389</v>
      </c>
      <c r="F276" s="385">
        <f t="shared" si="103"/>
        <v>47.993737984262957</v>
      </c>
      <c r="G276" s="110">
        <f t="shared" si="101"/>
        <v>0.99400028086981462</v>
      </c>
      <c r="H276" s="412" t="b">
        <f>Wh_hp&gt;='2025'!Maxi_hp</f>
        <v>0</v>
      </c>
      <c r="I276" s="390">
        <f>IF(H276,Wh_hp,'2025'!Maxi_hp)</f>
        <v>47.993775000052551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6.4436665143570382E-2</v>
      </c>
      <c r="M276" s="957"/>
      <c r="N276" s="957"/>
      <c r="O276" s="48">
        <f>IF(t&lt;Tnet,'2025'!Resal+('2025'!Salim-'2025'!Resal)*(1-EXP(('2025'!Tnet-t)/('2025'!Tau_j))),Resal+(Salim-Resal)*(1-EXP((Tnet-t)/(Tau_j))))*Salcycl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1.7410268296473867E-4</v>
      </c>
      <c r="Q276" s="305">
        <f t="shared" si="105"/>
        <v>0.7</v>
      </c>
      <c r="R276" s="177">
        <f t="shared" si="106"/>
        <v>0.96744725797050068</v>
      </c>
      <c r="S276" s="919">
        <f t="shared" si="107"/>
        <v>-2</v>
      </c>
      <c r="T276" s="176">
        <f t="shared" si="108"/>
        <v>4</v>
      </c>
      <c r="U276" s="251">
        <f t="shared" si="109"/>
        <v>-1.0325527420294993</v>
      </c>
      <c r="V276" s="383">
        <f t="shared" si="110"/>
        <v>43.910362440923414</v>
      </c>
      <c r="W276" s="402">
        <f t="shared" si="111"/>
        <v>43.646977726229771</v>
      </c>
      <c r="X276" s="157">
        <f t="shared" si="112"/>
        <v>46284</v>
      </c>
      <c r="Y276" s="385">
        <f t="shared" si="113"/>
        <v>41.731025266779113</v>
      </c>
      <c r="Z276" s="385">
        <f t="shared" si="114"/>
        <v>44.605238054976901</v>
      </c>
      <c r="AA276" s="386">
        <f t="shared" si="115"/>
        <v>47.758256726097848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6.6020388667117208E-2</v>
      </c>
      <c r="AD276" s="231">
        <f>(INDEX(Models!$BJ276:$BT276,,AH276)*(1-AF276)+INDEX(Models!$BJ276:$BT276,,AH276+1)*AF276-ERP_i)*AE276*Ramure*Pc/MaxiM</f>
        <v>4.9489063663285416E-3</v>
      </c>
      <c r="AE276" s="305">
        <f t="shared" si="117"/>
        <v>0.7</v>
      </c>
      <c r="AF276" s="177">
        <f t="shared" si="118"/>
        <v>0.49243482434448005</v>
      </c>
      <c r="AG276" s="919">
        <f t="shared" si="124"/>
        <v>2</v>
      </c>
      <c r="AH276" s="176">
        <f t="shared" si="119"/>
        <v>8</v>
      </c>
      <c r="AI276" s="225">
        <f t="shared" si="120"/>
        <v>2.49243482434448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1090">
        <f>IF(t&gt;Tmaj,'2025'!Wh/'2025'!Env_an*'2026'!Env_an,0.001*'[11]mon-tableau (3)'!$B$56)</f>
        <v>44.958500903730794</v>
      </c>
      <c r="C277" s="953"/>
      <c r="D277" s="393">
        <f t="shared" si="102"/>
        <v>48.056057732051926</v>
      </c>
      <c r="E277" s="385">
        <f t="shared" si="100"/>
        <v>49.434517914122665</v>
      </c>
      <c r="F277" s="385">
        <f t="shared" si="103"/>
        <v>49.443507967747351</v>
      </c>
      <c r="G277" s="110">
        <f t="shared" si="101"/>
        <v>1.0279810502340776</v>
      </c>
      <c r="H277" s="412" t="b">
        <f>Wh_hp&gt;='2025'!Maxi_hp</f>
        <v>1</v>
      </c>
      <c r="I277" s="390">
        <f>IF(H277,Wh_hp,'2025'!Maxi_hp)</f>
        <v>49.443507967747351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6.4457156381663716E-2</v>
      </c>
      <c r="M277" s="957"/>
      <c r="N277" s="957"/>
      <c r="O277" s="48">
        <f>IF(t&lt;Tnet,'2025'!Resal+('2025'!Salim-'2025'!Resal)*(1-EXP(('2025'!Tnet-t)/('2025'!Tau_j))),Resal+(Salim-Resal)*(1-EXP((Tnet-t)/(Tau_j))))*Salcycl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1.8182475302025379E-4</v>
      </c>
      <c r="Q277" s="305">
        <f t="shared" si="105"/>
        <v>0.7</v>
      </c>
      <c r="R277" s="177">
        <f t="shared" si="106"/>
        <v>0.96775536241555948</v>
      </c>
      <c r="S277" s="919">
        <f t="shared" si="107"/>
        <v>-2</v>
      </c>
      <c r="T277" s="176">
        <f t="shared" si="108"/>
        <v>4</v>
      </c>
      <c r="U277" s="251">
        <f t="shared" si="109"/>
        <v>-1.0322446375844405</v>
      </c>
      <c r="V277" s="383">
        <f t="shared" si="110"/>
        <v>43.734756485533921</v>
      </c>
      <c r="W277" s="402">
        <f t="shared" si="111"/>
        <v>44.958500903730794</v>
      </c>
      <c r="X277" s="157">
        <f t="shared" si="112"/>
        <v>46285</v>
      </c>
      <c r="Y277" s="385">
        <f t="shared" si="113"/>
        <v>42.981925007721948</v>
      </c>
      <c r="Z277" s="385">
        <f t="shared" si="114"/>
        <v>45.943299444719862</v>
      </c>
      <c r="AA277" s="386">
        <f t="shared" si="115"/>
        <v>49.19458642513748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6.609034076067094E-2</v>
      </c>
      <c r="AD277" s="231">
        <f>(INDEX(Models!$BJ277:$BT277,,AH277)*(1-AF277)+INDEX(Models!$BJ277:$BT277,,AH277+1)*AF277-ERP_i)*AE277*Ramure*Pc/MaxiM</f>
        <v>5.034463630134183E-3</v>
      </c>
      <c r="AE277" s="305">
        <f t="shared" si="117"/>
        <v>0.7</v>
      </c>
      <c r="AF277" s="177">
        <f t="shared" si="118"/>
        <v>0.4927429287895384</v>
      </c>
      <c r="AG277" s="919">
        <f t="shared" si="124"/>
        <v>2</v>
      </c>
      <c r="AH277" s="176">
        <f t="shared" si="119"/>
        <v>8</v>
      </c>
      <c r="AI277" s="225">
        <f t="shared" si="120"/>
        <v>2.4927429287895384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1090">
        <f>IF(t&gt;Tmaj,'2025'!Wh/'2025'!Env_an*'2026'!Env_an,0.001*'[11]mon-tableau (3)'!$B$57)</f>
        <v>43.966880821527852</v>
      </c>
      <c r="C278" s="953"/>
      <c r="D278" s="393">
        <f t="shared" si="102"/>
        <v>46.99714623447575</v>
      </c>
      <c r="E278" s="385">
        <f t="shared" si="100"/>
        <v>48.351169790477506</v>
      </c>
      <c r="F278" s="385">
        <f t="shared" si="103"/>
        <v>48.360373595586253</v>
      </c>
      <c r="G278" s="110">
        <f t="shared" si="101"/>
        <v>1.0094449846448981</v>
      </c>
      <c r="H278" s="412" t="b">
        <f>Wh_hp&gt;='2025'!Maxi_hp</f>
        <v>1</v>
      </c>
      <c r="I278" s="390">
        <f>IF(H278,Wh_hp,'2025'!Maxi_hp)</f>
        <v>48.360373595586253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6.4477647170946395E-2</v>
      </c>
      <c r="M278" s="957"/>
      <c r="N278" s="957"/>
      <c r="O278" s="48">
        <f>IF(t&lt;Tnet,'2025'!Resal+('2025'!Salim-'2025'!Resal)*(1-EXP(('2025'!Tnet-t)/('2025'!Tau_j))),Resal+(Salim-Resal)*(1-EXP((Tnet-t)/(Tau_j))))*Salcycl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1.9031708037901016E-4</v>
      </c>
      <c r="Q278" s="305">
        <f t="shared" si="105"/>
        <v>0.7</v>
      </c>
      <c r="R278" s="177">
        <f t="shared" si="106"/>
        <v>0.96805142398814725</v>
      </c>
      <c r="S278" s="919">
        <f t="shared" si="107"/>
        <v>-2</v>
      </c>
      <c r="T278" s="176">
        <f t="shared" si="108"/>
        <v>4</v>
      </c>
      <c r="U278" s="251">
        <f t="shared" si="109"/>
        <v>-1.0319485760118527</v>
      </c>
      <c r="V278" s="383">
        <f t="shared" si="110"/>
        <v>43.555499794765424</v>
      </c>
      <c r="W278" s="402">
        <f t="shared" si="111"/>
        <v>43.966880821527852</v>
      </c>
      <c r="X278" s="157">
        <f t="shared" si="112"/>
        <v>46286</v>
      </c>
      <c r="Y278" s="385">
        <f t="shared" si="113"/>
        <v>42.032655831737102</v>
      </c>
      <c r="Z278" s="385">
        <f t="shared" si="114"/>
        <v>44.92961146746395</v>
      </c>
      <c r="AA278" s="386">
        <f t="shared" si="115"/>
        <v>48.112725503376623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6.6159503595140876E-2</v>
      </c>
      <c r="AD278" s="231">
        <f>(INDEX(Models!$BJ278:$BT278,,AH278)*(1-AF278)+INDEX(Models!$BJ278:$BT278,,AH278+1)*AF278-ERP_i)*AE278*Ramure*Pc/MaxiM</f>
        <v>5.1208887317659886E-3</v>
      </c>
      <c r="AE278" s="305">
        <f t="shared" si="117"/>
        <v>0.7</v>
      </c>
      <c r="AF278" s="177">
        <f t="shared" si="118"/>
        <v>0.49303899036212639</v>
      </c>
      <c r="AG278" s="919">
        <f t="shared" si="124"/>
        <v>2</v>
      </c>
      <c r="AH278" s="176">
        <f t="shared" si="119"/>
        <v>8</v>
      </c>
      <c r="AI278" s="225">
        <f t="shared" si="120"/>
        <v>2.4930389903621264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1090">
        <f>IF(t&gt;Tmaj,'2025'!Wh/'2025'!Env_an*'2026'!Env_an,0.001*'[11]mon-tableau (3)'!$B$58)</f>
        <v>42.754384038813178</v>
      </c>
      <c r="C279" s="953"/>
      <c r="D279" s="393">
        <f t="shared" si="102"/>
        <v>45.702083291507577</v>
      </c>
      <c r="E279" s="385">
        <f t="shared" si="100"/>
        <v>47.024547012279598</v>
      </c>
      <c r="F279" s="385">
        <f t="shared" si="103"/>
        <v>47.033743061043445</v>
      </c>
      <c r="G279" s="110">
        <f t="shared" si="101"/>
        <v>0.98574101948252701</v>
      </c>
      <c r="H279" s="412" t="b">
        <f>Wh_hp&gt;='2025'!Maxi_hp</f>
        <v>0</v>
      </c>
      <c r="I279" s="390">
        <f>IF(H279,Wh_hp,'2025'!Maxi_hp)</f>
        <v>47.033841801162119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6.4498137511428189E-2</v>
      </c>
      <c r="M279" s="957"/>
      <c r="N279" s="957"/>
      <c r="O279" s="48">
        <f>IF(t&lt;Tnet,'2025'!Resal+('2025'!Salim-'2025'!Resal)*(1-EXP(('2025'!Tnet-t)/('2025'!Tau_j))),Resal+(Salim-Resal)*(1-EXP((Tnet-t)/(Tau_j))))*Salcycl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1.9958463153256883E-4</v>
      </c>
      <c r="Q279" s="305">
        <f t="shared" si="105"/>
        <v>0.7</v>
      </c>
      <c r="R279" s="177">
        <f t="shared" si="106"/>
        <v>0.96833589958295718</v>
      </c>
      <c r="S279" s="919">
        <f t="shared" si="107"/>
        <v>-2</v>
      </c>
      <c r="T279" s="176">
        <f t="shared" si="108"/>
        <v>4</v>
      </c>
      <c r="U279" s="251">
        <f t="shared" si="109"/>
        <v>-1.0316641004170428</v>
      </c>
      <c r="V279" s="383">
        <f t="shared" si="110"/>
        <v>43.372660150379147</v>
      </c>
      <c r="W279" s="402">
        <f t="shared" si="111"/>
        <v>42.754384038813178</v>
      </c>
      <c r="X279" s="157">
        <f t="shared" si="112"/>
        <v>46287</v>
      </c>
      <c r="Y279" s="385">
        <f t="shared" si="113"/>
        <v>40.876492550739741</v>
      </c>
      <c r="Z279" s="385">
        <f t="shared" si="114"/>
        <v>43.694720651867321</v>
      </c>
      <c r="AA279" s="386">
        <f t="shared" si="115"/>
        <v>46.793771660780926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6.6227852530874431E-2</v>
      </c>
      <c r="AD279" s="231">
        <f>(INDEX(Models!$BJ279:$BT279,,AH279)*(1-AF279)+INDEX(Models!$BJ279:$BT279,,AH279+1)*AF279-ERP_i)*AE279*Ramure*Pc/MaxiM</f>
        <v>5.2081719801262711E-3</v>
      </c>
      <c r="AE279" s="305">
        <f t="shared" si="117"/>
        <v>0.7</v>
      </c>
      <c r="AF279" s="177">
        <f t="shared" si="118"/>
        <v>0.49332346595693632</v>
      </c>
      <c r="AG279" s="919">
        <f t="shared" si="124"/>
        <v>2</v>
      </c>
      <c r="AH279" s="176">
        <f t="shared" si="119"/>
        <v>8</v>
      </c>
      <c r="AI279" s="225">
        <f t="shared" si="120"/>
        <v>2.4933234659569363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1090">
        <f>IF(t&gt;Tmaj,'2025'!Wh/'2025'!Env_an*'2026'!Env_an,0.001*'[11]mon-tableau (3)'!$B$59)</f>
        <v>28.184502012624112</v>
      </c>
      <c r="C280" s="953"/>
      <c r="D280" s="393">
        <f t="shared" si="102"/>
        <v>30.128341235041795</v>
      </c>
      <c r="E280" s="385">
        <f t="shared" si="100"/>
        <v>31.003930385110614</v>
      </c>
      <c r="F280" s="385">
        <f t="shared" si="103"/>
        <v>31.007204842284565</v>
      </c>
      <c r="G280" s="110">
        <f t="shared" si="101"/>
        <v>0.65255801569975114</v>
      </c>
      <c r="H280" s="412" t="b">
        <f>Wh_hp&gt;='2025'!Maxi_hp</f>
        <v>0</v>
      </c>
      <c r="I280" s="390">
        <f>IF(H280,Wh_hp,'2025'!Maxi_hp)</f>
        <v>46.242324699542912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6.4518627403118867E-2</v>
      </c>
      <c r="M280" s="957"/>
      <c r="N280" s="957"/>
      <c r="O280" s="48">
        <f>IF(t&lt;Tnet,'2025'!Resal+('2025'!Salim-'2025'!Resal)*(1-EXP(('2025'!Tnet-t)/('2025'!Tau_j))),Resal+(Salim-Resal)*(1-EXP((Tnet-t)/(Tau_j))))*Salcycl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2.0963341510647383E-4</v>
      </c>
      <c r="Q280" s="305">
        <f t="shared" si="105"/>
        <v>0.7</v>
      </c>
      <c r="R280" s="177">
        <f t="shared" si="106"/>
        <v>0.96860922983852249</v>
      </c>
      <c r="S280" s="919">
        <f t="shared" si="107"/>
        <v>-2</v>
      </c>
      <c r="T280" s="176">
        <f t="shared" si="108"/>
        <v>4</v>
      </c>
      <c r="U280" s="251">
        <f t="shared" si="109"/>
        <v>-1.0313907701614775</v>
      </c>
      <c r="V280" s="383">
        <f t="shared" si="110"/>
        <v>43.186305251822979</v>
      </c>
      <c r="W280" s="402">
        <f t="shared" si="111"/>
        <v>28.184502012624112</v>
      </c>
      <c r="X280" s="157">
        <f t="shared" si="112"/>
        <v>46288</v>
      </c>
      <c r="Y280" s="385">
        <f t="shared" si="113"/>
        <v>27.011395228685029</v>
      </c>
      <c r="Z280" s="385">
        <f t="shared" si="114"/>
        <v>28.874327185908399</v>
      </c>
      <c r="AA280" s="386">
        <f t="shared" si="115"/>
        <v>30.924476581151044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6.6295362828945728E-2</v>
      </c>
      <c r="AD280" s="231">
        <f>(INDEX(Models!$BJ280:$BT280,,AH280)*(1-AF280)+INDEX(Models!$BJ280:$BT280,,AH280+1)*AF280-ERP_i)*AE280*Ramure*Pc/MaxiM</f>
        <v>5.2963306544973662E-3</v>
      </c>
      <c r="AE280" s="305">
        <f t="shared" si="117"/>
        <v>0.7</v>
      </c>
      <c r="AF280" s="177">
        <f t="shared" si="118"/>
        <v>0.49359679621250185</v>
      </c>
      <c r="AG280" s="919">
        <f t="shared" si="124"/>
        <v>2</v>
      </c>
      <c r="AH280" s="176">
        <f t="shared" si="119"/>
        <v>8</v>
      </c>
      <c r="AI280" s="225">
        <f t="shared" si="120"/>
        <v>2.4935967962125019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1090">
        <f>IF(t&gt;Tmaj,'2025'!Wh/'2025'!Env_an*'2026'!Env_an,0.001*'[11]mon-tableau (3)'!$B$60)</f>
        <v>20.599313082896398</v>
      </c>
      <c r="C281" s="953"/>
      <c r="D281" s="393">
        <f t="shared" si="102"/>
        <v>22.020496478104331</v>
      </c>
      <c r="E281" s="385">
        <f t="shared" si="100"/>
        <v>22.663204814224603</v>
      </c>
      <c r="F281" s="385">
        <f t="shared" si="103"/>
        <v>22.664483233496501</v>
      </c>
      <c r="G281" s="110">
        <f t="shared" si="101"/>
        <v>0.47901415180407159</v>
      </c>
      <c r="H281" s="412" t="b">
        <f>Wh_hp&gt;='2025'!Maxi_hp</f>
        <v>0</v>
      </c>
      <c r="I281" s="390">
        <f>IF(H281,Wh_hp,'2025'!Maxi_hp)</f>
        <v>42.341790799167022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6.4539116846028421E-2</v>
      </c>
      <c r="M281" s="957"/>
      <c r="N281" s="957"/>
      <c r="O281" s="48">
        <f>IF(t&lt;Tnet,'2025'!Resal+('2025'!Salim-'2025'!Resal)*(1-EXP(('2025'!Tnet-t)/('2025'!Tau_j))),Resal+(Salim-Resal)*(1-EXP((Tnet-t)/(Tau_j))))*Salcycl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2.2046898582301353E-4</v>
      </c>
      <c r="Q281" s="305">
        <f t="shared" si="105"/>
        <v>0.7</v>
      </c>
      <c r="R281" s="177">
        <f t="shared" si="106"/>
        <v>0.96887183963065859</v>
      </c>
      <c r="S281" s="919">
        <f t="shared" si="107"/>
        <v>-2</v>
      </c>
      <c r="T281" s="176">
        <f t="shared" si="108"/>
        <v>4</v>
      </c>
      <c r="U281" s="251">
        <f t="shared" si="109"/>
        <v>-1.0311281603693414</v>
      </c>
      <c r="V281" s="383">
        <f t="shared" si="110"/>
        <v>42.99650278748922</v>
      </c>
      <c r="W281" s="402">
        <f t="shared" si="111"/>
        <v>20.599313082896398</v>
      </c>
      <c r="X281" s="157">
        <f t="shared" si="112"/>
        <v>46289</v>
      </c>
      <c r="Y281" s="385">
        <f t="shared" si="113"/>
        <v>19.767473808214554</v>
      </c>
      <c r="Z281" s="385">
        <f t="shared" si="114"/>
        <v>21.131267126389229</v>
      </c>
      <c r="AA281" s="386">
        <f t="shared" si="115"/>
        <v>22.633255445593171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6.6362009778685546E-2</v>
      </c>
      <c r="AD281" s="231">
        <f>(INDEX(Models!$BJ281:$BT281,,AH281)*(1-AF281)+INDEX(Models!$BJ281:$BT281,,AH281+1)*AF281-ERP_i)*AE281*Ramure*Pc/MaxiM</f>
        <v>5.3853683841269097E-3</v>
      </c>
      <c r="AE281" s="305">
        <f t="shared" si="117"/>
        <v>0.7</v>
      </c>
      <c r="AF281" s="177">
        <f t="shared" si="118"/>
        <v>0.49385940600463751</v>
      </c>
      <c r="AG281" s="919">
        <f t="shared" si="124"/>
        <v>2</v>
      </c>
      <c r="AH281" s="176">
        <f t="shared" si="119"/>
        <v>8</v>
      </c>
      <c r="AI281" s="225">
        <f t="shared" si="120"/>
        <v>2.4938594060046375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1090">
        <f>IF(t&gt;Tmaj,'2025'!Wh/'2025'!Env_an*'2026'!Env_an,0.001*'[11]mon-tableau (3)'!$B$61)</f>
        <v>30.379258815420652</v>
      </c>
      <c r="C282" s="953"/>
      <c r="D282" s="393">
        <f t="shared" si="102"/>
        <v>32.475889436767169</v>
      </c>
      <c r="E282" s="385">
        <f t="shared" si="100"/>
        <v>33.427794871097959</v>
      </c>
      <c r="F282" s="385">
        <f t="shared" si="103"/>
        <v>33.432337468763613</v>
      </c>
      <c r="G282" s="110">
        <f t="shared" si="101"/>
        <v>0.70967240303829127</v>
      </c>
      <c r="H282" s="412" t="b">
        <f>Wh_hp&gt;='2025'!Maxi_hp</f>
        <v>0</v>
      </c>
      <c r="I282" s="390">
        <f>IF(H282,Wh_hp,'2025'!Maxi_hp)</f>
        <v>48.914209724554347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6.4559605840166623E-2</v>
      </c>
      <c r="M282" s="957"/>
      <c r="N282" s="957"/>
      <c r="O282" s="48">
        <f>IF(t&lt;Tnet,'2025'!Resal+('2025'!Salim-'2025'!Resal)*(1-EXP(('2025'!Tnet-t)/('2025'!Tau_j))),Resal+(Salim-Resal)*(1-EXP((Tnet-t)/(Tau_j))))*Salcycl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2.321274164287106E-4</v>
      </c>
      <c r="Q282" s="305">
        <f t="shared" si="105"/>
        <v>0.7</v>
      </c>
      <c r="R282" s="177">
        <f t="shared" si="106"/>
        <v>0.96912413855787682</v>
      </c>
      <c r="S282" s="919">
        <f t="shared" si="107"/>
        <v>-2</v>
      </c>
      <c r="T282" s="176">
        <f t="shared" si="108"/>
        <v>4</v>
      </c>
      <c r="U282" s="251">
        <f t="shared" si="109"/>
        <v>-1.0308758614421232</v>
      </c>
      <c r="V282" s="383">
        <f t="shared" si="110"/>
        <v>42.803319097212558</v>
      </c>
      <c r="W282" s="402">
        <f t="shared" si="111"/>
        <v>30.379258815420652</v>
      </c>
      <c r="X282" s="157">
        <f t="shared" si="112"/>
        <v>46290</v>
      </c>
      <c r="Y282" s="385">
        <f t="shared" si="113"/>
        <v>29.102991377945337</v>
      </c>
      <c r="Z282" s="385">
        <f t="shared" si="114"/>
        <v>31.111540146910389</v>
      </c>
      <c r="AA282" s="386">
        <f t="shared" si="115"/>
        <v>33.325263014870451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6.6427768836280432E-2</v>
      </c>
      <c r="AD282" s="231">
        <f>(INDEX(Models!$BJ282:$BT282,,AH282)*(1-AF282)+INDEX(Models!$BJ282:$BT282,,AH282+1)*AF282-ERP_i)*AE282*Ramure*Pc/MaxiM</f>
        <v>5.4715205213200996E-3</v>
      </c>
      <c r="AE282" s="305">
        <f t="shared" si="117"/>
        <v>0.7</v>
      </c>
      <c r="AF282" s="177">
        <f t="shared" si="118"/>
        <v>0.49411170493185619</v>
      </c>
      <c r="AG282" s="919">
        <f t="shared" si="124"/>
        <v>2</v>
      </c>
      <c r="AH282" s="176">
        <f t="shared" si="119"/>
        <v>8</v>
      </c>
      <c r="AI282" s="225">
        <f t="shared" si="120"/>
        <v>2.4941117049318562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1090">
        <f>IF(t&gt;Tmaj,'2025'!Wh/'2025'!Env_an*'2026'!Env_an,0.001*'[11]mon-tableau (3)'!$B$62)</f>
        <v>31.741943515887595</v>
      </c>
      <c r="C283" s="953"/>
      <c r="D283" s="393">
        <f t="shared" si="102"/>
        <v>33.93336332204413</v>
      </c>
      <c r="E283" s="385">
        <f t="shared" si="100"/>
        <v>34.932189202984986</v>
      </c>
      <c r="F283" s="385">
        <f t="shared" si="103"/>
        <v>34.937620367415235</v>
      </c>
      <c r="G283" s="110">
        <f t="shared" si="101"/>
        <v>0.7449303089955881</v>
      </c>
      <c r="H283" s="412" t="b">
        <f>Wh_hp&gt;='2025'!Maxi_hp</f>
        <v>0</v>
      </c>
      <c r="I283" s="390">
        <f>IF(H283,Wh_hp,'2025'!Maxi_hp)</f>
        <v>47.979649608380406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6.458009438554313E-2</v>
      </c>
      <c r="M283" s="957"/>
      <c r="N283" s="957"/>
      <c r="O283" s="48">
        <f>IF(t&lt;Tnet,'2025'!Resal+('2025'!Salim-'2025'!Resal)*(1-EXP(('2025'!Tnet-t)/('2025'!Tau_j))),Resal+(Salim-Resal)*(1-EXP((Tnet-t)/(Tau_j))))*Salcycl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2.4453492474856123E-4</v>
      </c>
      <c r="Q283" s="305">
        <f t="shared" si="105"/>
        <v>0.7</v>
      </c>
      <c r="R283" s="177">
        <f t="shared" si="106"/>
        <v>0.96936652141825475</v>
      </c>
      <c r="S283" s="919">
        <f t="shared" si="107"/>
        <v>-2</v>
      </c>
      <c r="T283" s="176">
        <f t="shared" si="108"/>
        <v>4</v>
      </c>
      <c r="U283" s="251">
        <f t="shared" si="109"/>
        <v>-1.0306334785817453</v>
      </c>
      <c r="V283" s="383">
        <f t="shared" si="110"/>
        <v>42.606825182828935</v>
      </c>
      <c r="W283" s="402">
        <f t="shared" si="111"/>
        <v>31.741943515887595</v>
      </c>
      <c r="X283" s="157">
        <f t="shared" si="112"/>
        <v>46291</v>
      </c>
      <c r="Y283" s="385">
        <f t="shared" si="113"/>
        <v>30.400547610493465</v>
      </c>
      <c r="Z283" s="385">
        <f t="shared" si="114"/>
        <v>32.499359301664647</v>
      </c>
      <c r="AA283" s="386">
        <f t="shared" si="115"/>
        <v>34.814249839709639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6.649261577380286E-2</v>
      </c>
      <c r="AD283" s="231">
        <f>(INDEX(Models!$BJ283:$BT283,,AH283)*(1-AF283)+INDEX(Models!$BJ283:$BT283,,AH283+1)*AF283-ERP_i)*AE283*Ramure*Pc/MaxiM</f>
        <v>5.5546841006455325E-3</v>
      </c>
      <c r="AE283" s="305">
        <f t="shared" si="117"/>
        <v>0.7</v>
      </c>
      <c r="AF283" s="177">
        <f t="shared" si="118"/>
        <v>0.49435408779223389</v>
      </c>
      <c r="AG283" s="919">
        <f t="shared" si="124"/>
        <v>2</v>
      </c>
      <c r="AH283" s="176">
        <f t="shared" si="119"/>
        <v>8</v>
      </c>
      <c r="AI283" s="225">
        <f t="shared" si="120"/>
        <v>2.4943540877922339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1090">
        <f>IF(t&gt;Tmaj,'2025'!Wh/'2025'!Env_an*'2026'!Env_an,0.001*'[11]mon-tableau (3)'!$B$63)</f>
        <v>15.248631117749285</v>
      </c>
      <c r="C284" s="953"/>
      <c r="D284" s="393">
        <f t="shared" si="102"/>
        <v>16.301732534977329</v>
      </c>
      <c r="E284" s="385">
        <f t="shared" si="100"/>
        <v>16.783581498335089</v>
      </c>
      <c r="F284" s="385">
        <f t="shared" si="103"/>
        <v>16.783949614107236</v>
      </c>
      <c r="G284" s="110">
        <f t="shared" si="101"/>
        <v>0.35949263357046912</v>
      </c>
      <c r="H284" s="412" t="b">
        <f>Wh_hp&gt;='2025'!Maxi_hp</f>
        <v>0</v>
      </c>
      <c r="I284" s="390">
        <f>IF(H284,Wh_hp,'2025'!Maxi_hp)</f>
        <v>46.988763169188566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6.4600582482168045E-2</v>
      </c>
      <c r="M284" s="957"/>
      <c r="N284" s="957"/>
      <c r="O284" s="48">
        <f>IF(t&lt;Tnet,'2025'!Resal+('2025'!Salim-'2025'!Resal)*(1-EXP(('2025'!Tnet-t)/('2025'!Tau_j))),Resal+(Salim-Resal)*(1-EXP((Tnet-t)/(Tau_j))))*Salcycl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2.5769540588721967E-4</v>
      </c>
      <c r="Q284" s="305">
        <f t="shared" si="105"/>
        <v>0.7</v>
      </c>
      <c r="R284" s="177">
        <f t="shared" si="106"/>
        <v>0.9695993686773241</v>
      </c>
      <c r="S284" s="919">
        <f t="shared" si="107"/>
        <v>-2</v>
      </c>
      <c r="T284" s="176">
        <f t="shared" si="108"/>
        <v>4</v>
      </c>
      <c r="U284" s="251">
        <f t="shared" si="109"/>
        <v>-1.0304006313226759</v>
      </c>
      <c r="V284" s="383">
        <f t="shared" si="110"/>
        <v>42.407088644724169</v>
      </c>
      <c r="W284" s="402">
        <f t="shared" si="111"/>
        <v>15.248631117749285</v>
      </c>
      <c r="X284" s="157">
        <f t="shared" si="112"/>
        <v>46292</v>
      </c>
      <c r="Y284" s="385">
        <f t="shared" si="113"/>
        <v>14.647751240483567</v>
      </c>
      <c r="Z284" s="385">
        <f t="shared" si="114"/>
        <v>15.65935467369941</v>
      </c>
      <c r="AA284" s="386">
        <f t="shared" si="115"/>
        <v>16.775900334545405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6.6556526837893384E-2</v>
      </c>
      <c r="AD284" s="231">
        <f>(INDEX(Models!$BJ284:$BT284,,AH284)*(1-AF284)+INDEX(Models!$BJ284:$BT284,,AH284+1)*AF284-ERP_i)*AE284*Ramure*Pc/MaxiM</f>
        <v>5.6348098091237152E-3</v>
      </c>
      <c r="AE284" s="305">
        <f t="shared" si="117"/>
        <v>0.7</v>
      </c>
      <c r="AF284" s="177">
        <f t="shared" si="118"/>
        <v>0.49458693505130302</v>
      </c>
      <c r="AG284" s="919">
        <f t="shared" si="124"/>
        <v>2</v>
      </c>
      <c r="AH284" s="176">
        <f t="shared" si="119"/>
        <v>8</v>
      </c>
      <c r="AI284" s="225">
        <f t="shared" si="120"/>
        <v>2.494586935051303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1090">
        <f>IF(t&gt;Tmaj,'2025'!Wh/'2025'!Env_an*'2026'!Env_an,0.001*'[11]mon-tableau (3)'!$B$64)</f>
        <v>14.91100451296662</v>
      </c>
      <c r="C285" s="953"/>
      <c r="D285" s="393">
        <f t="shared" si="102"/>
        <v>15.941137903373322</v>
      </c>
      <c r="E285" s="385">
        <f t="shared" si="100"/>
        <v>16.414283591433197</v>
      </c>
      <c r="F285" s="385">
        <f t="shared" si="103"/>
        <v>16.41462310859864</v>
      </c>
      <c r="G285" s="110">
        <f t="shared" si="101"/>
        <v>0.35321771166458654</v>
      </c>
      <c r="H285" s="412" t="b">
        <f>Wh_hp&gt;='2025'!Maxi_hp</f>
        <v>0</v>
      </c>
      <c r="I285" s="390">
        <f>IF(H285,Wh_hp,'2025'!Maxi_hp)</f>
        <v>44.138858996476266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6.4621070130051028E-2</v>
      </c>
      <c r="M285" s="957"/>
      <c r="N285" s="957"/>
      <c r="O285" s="48">
        <f>IF(t&lt;Tnet,'2025'!Resal+('2025'!Salim-'2025'!Resal)*(1-EXP(('2025'!Tnet-t)/('2025'!Tau_j))),Resal+(Salim-Resal)*(1-EXP((Tnet-t)/(Tau_j))))*Salcycl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2.7161250829777368E-4</v>
      </c>
      <c r="Q285" s="305">
        <f t="shared" si="105"/>
        <v>0.7</v>
      </c>
      <c r="R285" s="177">
        <f t="shared" si="106"/>
        <v>0.9698230469266107</v>
      </c>
      <c r="S285" s="919">
        <f t="shared" si="107"/>
        <v>-2</v>
      </c>
      <c r="T285" s="176">
        <f t="shared" si="108"/>
        <v>4</v>
      </c>
      <c r="U285" s="251">
        <f t="shared" si="109"/>
        <v>-1.0301769530733893</v>
      </c>
      <c r="V285" s="383">
        <f t="shared" si="110"/>
        <v>42.204177040185492</v>
      </c>
      <c r="W285" s="402">
        <f t="shared" si="111"/>
        <v>14.91100451296662</v>
      </c>
      <c r="X285" s="157">
        <f t="shared" si="112"/>
        <v>46293</v>
      </c>
      <c r="Y285" s="385">
        <f t="shared" si="113"/>
        <v>14.324790731985921</v>
      </c>
      <c r="Z285" s="385">
        <f t="shared" si="114"/>
        <v>15.314425282144828</v>
      </c>
      <c r="AA285" s="386">
        <f t="shared" si="115"/>
        <v>16.407483267787121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6.6619478917177899E-2</v>
      </c>
      <c r="AD285" s="231">
        <f>(INDEX(Models!$BJ285:$BT285,,AH285)*(1-AF285)+INDEX(Models!$BJ285:$BT285,,AH285+1)*AF285-ERP_i)*AE285*Ramure*Pc/MaxiM</f>
        <v>5.7118469080257505E-3</v>
      </c>
      <c r="AE285" s="305">
        <f t="shared" si="117"/>
        <v>0.7</v>
      </c>
      <c r="AF285" s="177">
        <f t="shared" si="118"/>
        <v>0.49481061330059006</v>
      </c>
      <c r="AG285" s="919">
        <f t="shared" si="124"/>
        <v>2</v>
      </c>
      <c r="AH285" s="176">
        <f t="shared" si="119"/>
        <v>8</v>
      </c>
      <c r="AI285" s="225">
        <f t="shared" si="120"/>
        <v>2.4948106133005901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1090">
        <f>IF(t&gt;Tmaj,'2025'!Wh/'2025'!Env_an*'2026'!Env_an,0.001*'[11]mon-tableau (3)'!$B$65)</f>
        <v>21.484346012765613</v>
      </c>
      <c r="C286" s="953"/>
      <c r="D286" s="393">
        <f t="shared" si="102"/>
        <v>22.969104711793449</v>
      </c>
      <c r="E286" s="385">
        <f t="shared" si="100"/>
        <v>23.653649891396089</v>
      </c>
      <c r="F286" s="385">
        <f t="shared" si="103"/>
        <v>23.655696644786126</v>
      </c>
      <c r="G286" s="110">
        <f t="shared" si="101"/>
        <v>0.51145228417333288</v>
      </c>
      <c r="H286" s="412" t="b">
        <f>Wh_hp&gt;='2025'!Maxi_hp</f>
        <v>0</v>
      </c>
      <c r="I286" s="390">
        <f>IF(H286,Wh_hp,'2025'!Maxi_hp)</f>
        <v>45.467806820564945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6.4641557329201849E-2</v>
      </c>
      <c r="M286" s="957"/>
      <c r="N286" s="957"/>
      <c r="O286" s="48">
        <f>IF(t&lt;Tnet,'2025'!Resal+('2025'!Salim-'2025'!Resal)*(1-EXP(('2025'!Tnet-t)/('2025'!Tau_j))),Resal+(Salim-Resal)*(1-EXP((Tnet-t)/(Tau_j))))*Salcycl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2.8628960533453419E-4</v>
      </c>
      <c r="Q286" s="305">
        <f t="shared" si="105"/>
        <v>0.7</v>
      </c>
      <c r="R286" s="177">
        <f t="shared" si="106"/>
        <v>0.97003790933252088</v>
      </c>
      <c r="S286" s="919">
        <f t="shared" si="107"/>
        <v>-2</v>
      </c>
      <c r="T286" s="176">
        <f t="shared" si="108"/>
        <v>4</v>
      </c>
      <c r="U286" s="251">
        <f t="shared" si="109"/>
        <v>-1.0299620906674791</v>
      </c>
      <c r="V286" s="383">
        <f t="shared" si="110"/>
        <v>41.998157880090055</v>
      </c>
      <c r="W286" s="402">
        <f t="shared" si="111"/>
        <v>21.484346012765613</v>
      </c>
      <c r="X286" s="157">
        <f t="shared" si="112"/>
        <v>46294</v>
      </c>
      <c r="Y286" s="385">
        <f t="shared" si="113"/>
        <v>20.615014804708878</v>
      </c>
      <c r="Z286" s="385">
        <f t="shared" si="114"/>
        <v>22.039695013438166</v>
      </c>
      <c r="AA286" s="386">
        <f t="shared" si="115"/>
        <v>23.614332969985593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6.6681449717374261E-2</v>
      </c>
      <c r="AD286" s="231">
        <f>(INDEX(Models!$BJ286:$BT286,,AH286)*(1-AF286)+INDEX(Models!$BJ286:$BT286,,AH286+1)*AF286-ERP_i)*AE286*Ramure*Pc/MaxiM</f>
        <v>5.7857435055376711E-3</v>
      </c>
      <c r="AE286" s="305">
        <f t="shared" si="117"/>
        <v>0.7</v>
      </c>
      <c r="AF286" s="177">
        <f t="shared" si="118"/>
        <v>0.49502547570650002</v>
      </c>
      <c r="AG286" s="919">
        <f t="shared" si="124"/>
        <v>2</v>
      </c>
      <c r="AH286" s="176">
        <f t="shared" si="119"/>
        <v>8</v>
      </c>
      <c r="AI286" s="225">
        <f t="shared" si="120"/>
        <v>2.4950254757065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1090">
        <f>IF(t&gt;Tmaj,'2025'!Wh/'2025'!Env_an*'2026'!Env_an,0.001*'[11]mon-tableau (3)'!$B$66)</f>
        <v>30.969654596141211</v>
      </c>
      <c r="C287" s="953"/>
      <c r="D287" s="393">
        <f t="shared" si="102"/>
        <v>33.110657383370238</v>
      </c>
      <c r="E287" s="385">
        <f t="shared" si="100"/>
        <v>34.101471945409386</v>
      </c>
      <c r="F287" s="385">
        <f t="shared" si="103"/>
        <v>34.107956902069667</v>
      </c>
      <c r="G287" s="110">
        <f t="shared" si="101"/>
        <v>0.74101138232202812</v>
      </c>
      <c r="H287" s="412" t="b">
        <f>Wh_hp&gt;='2025'!Maxi_hp</f>
        <v>0</v>
      </c>
      <c r="I287" s="390">
        <f>IF(H287,Wh_hp,'2025'!Maxi_hp)</f>
        <v>41.385817820684117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6.4662044079630498E-2</v>
      </c>
      <c r="M287" s="957"/>
      <c r="N287" s="957"/>
      <c r="O287" s="48">
        <f>IF(t&lt;Tnet,'2025'!Resal+('2025'!Salim-'2025'!Resal)*(1-EXP(('2025'!Tnet-t)/('2025'!Tau_j))),Resal+(Salim-Resal)*(1-EXP((Tnet-t)/(Tau_j))))*Salcycl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3.017297688097603E-4</v>
      </c>
      <c r="Q287" s="305">
        <f t="shared" si="105"/>
        <v>0.7</v>
      </c>
      <c r="R287" s="177">
        <f t="shared" si="106"/>
        <v>0.97024429607532992</v>
      </c>
      <c r="S287" s="919">
        <f t="shared" si="107"/>
        <v>-2</v>
      </c>
      <c r="T287" s="176">
        <f t="shared" si="108"/>
        <v>4</v>
      </c>
      <c r="U287" s="251">
        <f t="shared" si="109"/>
        <v>-1.0297557039246701</v>
      </c>
      <c r="V287" s="383">
        <f t="shared" si="110"/>
        <v>41.789098630819197</v>
      </c>
      <c r="W287" s="402">
        <f t="shared" si="111"/>
        <v>30.969654596141211</v>
      </c>
      <c r="X287" s="157">
        <f t="shared" si="112"/>
        <v>46295</v>
      </c>
      <c r="Y287" s="385">
        <f t="shared" si="113"/>
        <v>29.663345360945737</v>
      </c>
      <c r="Z287" s="385">
        <f t="shared" si="114"/>
        <v>31.714040014293126</v>
      </c>
      <c r="AA287" s="386">
        <f t="shared" si="115"/>
        <v>33.98208664363505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6.674241794291752E-2</v>
      </c>
      <c r="AD287" s="231">
        <f>(INDEX(Models!$BJ287:$BT287,,AH287)*(1-AF287)+INDEX(Models!$BJ287:$BT287,,AH287+1)*AF287-ERP_i)*AE287*Ramure*Pc/MaxiM</f>
        <v>5.8564468456868187E-3</v>
      </c>
      <c r="AE287" s="305">
        <f t="shared" si="117"/>
        <v>0.7</v>
      </c>
      <c r="AF287" s="177">
        <f t="shared" si="118"/>
        <v>0.49523186244930884</v>
      </c>
      <c r="AG287" s="919">
        <f t="shared" si="124"/>
        <v>2</v>
      </c>
      <c r="AH287" s="176">
        <f t="shared" si="119"/>
        <v>8</v>
      </c>
      <c r="AI287" s="225">
        <f t="shared" si="120"/>
        <v>2.4952318624493088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1090">
        <f>IF(t&gt;Tmaj,'2025'!Wh/'2025'!Env_an*'2026'!Env_an,0.001*'[12]mon-tableau (1)'!$B$38)</f>
        <v>37.488702012668917</v>
      </c>
      <c r="C288" s="953"/>
      <c r="D288" s="393">
        <f t="shared" si="102"/>
        <v>40.081259284030878</v>
      </c>
      <c r="E288" s="385">
        <f t="shared" si="100"/>
        <v>41.28550881478369</v>
      </c>
      <c r="F288" s="385">
        <f t="shared" si="103"/>
        <v>41.296794148909171</v>
      </c>
      <c r="G288" s="110">
        <f t="shared" si="101"/>
        <v>0.90162751264013963</v>
      </c>
      <c r="H288" s="412" t="b">
        <f>Wh_hp&gt;='2025'!Maxi_hp</f>
        <v>0</v>
      </c>
      <c r="I288" s="390">
        <f>IF(H288,Wh_hp,'2025'!Maxi_hp)</f>
        <v>43.981299080889379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6.4682530381346748E-2</v>
      </c>
      <c r="M288" s="957"/>
      <c r="N288" s="957"/>
      <c r="O288" s="48">
        <f>IF(t&lt;Tnet,'2025'!Resal+('2025'!Salim-'2025'!Resal)*(1-EXP(('2025'!Tnet-t)/('2025'!Tau_j))),Resal+(Salim-Resal)*(1-EXP((Tnet-t)/(Tau_j))))*Salcycl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3.1793574507022582E-4</v>
      </c>
      <c r="Q288" s="305">
        <f t="shared" si="105"/>
        <v>0.7</v>
      </c>
      <c r="R288" s="177">
        <f t="shared" si="106"/>
        <v>0.97044253477807807</v>
      </c>
      <c r="S288" s="919">
        <f t="shared" si="107"/>
        <v>-2</v>
      </c>
      <c r="T288" s="176">
        <f t="shared" si="108"/>
        <v>4</v>
      </c>
      <c r="U288" s="251">
        <f t="shared" si="109"/>
        <v>-1.0295574652219219</v>
      </c>
      <c r="V288" s="383">
        <f t="shared" si="110"/>
        <v>41.577066707880071</v>
      </c>
      <c r="W288" s="402">
        <f t="shared" si="111"/>
        <v>37.488702012668917</v>
      </c>
      <c r="X288" s="157">
        <f t="shared" si="112"/>
        <v>46296</v>
      </c>
      <c r="Y288" s="385">
        <f t="shared" si="113"/>
        <v>35.861797107470551</v>
      </c>
      <c r="Z288" s="385">
        <f t="shared" si="114"/>
        <v>38.341844638154882</v>
      </c>
      <c r="AA288" s="386">
        <f t="shared" si="115"/>
        <v>41.086521373214069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6.6802363483820112E-2</v>
      </c>
      <c r="AD288" s="231">
        <f>(INDEX(Models!$BJ288:$BT288,,AH288)*(1-AF288)+INDEX(Models!$BJ288:$BT288,,AH288+1)*AF288-ERP_i)*AE288*Ramure*Pc/MaxiM</f>
        <v>5.9239036137774372E-3</v>
      </c>
      <c r="AE288" s="305">
        <f t="shared" si="117"/>
        <v>0.7</v>
      </c>
      <c r="AF288" s="177">
        <f t="shared" si="118"/>
        <v>0.49543010115205721</v>
      </c>
      <c r="AG288" s="919">
        <f t="shared" si="124"/>
        <v>2</v>
      </c>
      <c r="AH288" s="176">
        <f t="shared" si="119"/>
        <v>8</v>
      </c>
      <c r="AI288" s="225">
        <f t="shared" si="120"/>
        <v>2.4954301011520572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1090">
        <f>IF(t&gt;Tmaj,'2025'!Wh/'2025'!Env_an*'2026'!Env_an,0.001*'[12]mon-tableau (1)'!$B$39)</f>
        <v>36.914614520119052</v>
      </c>
      <c r="C289" s="953"/>
      <c r="D289" s="393">
        <f t="shared" si="102"/>
        <v>39.468334829323979</v>
      </c>
      <c r="E289" s="385">
        <f t="shared" si="100"/>
        <v>40.658914566815582</v>
      </c>
      <c r="F289" s="385">
        <f t="shared" si="103"/>
        <v>40.670443640135915</v>
      </c>
      <c r="G289" s="110">
        <f t="shared" si="101"/>
        <v>0.89244126421185477</v>
      </c>
      <c r="H289" s="412" t="b">
        <f>Wh_hp&gt;='2025'!Maxi_hp</f>
        <v>0</v>
      </c>
      <c r="I289" s="390">
        <f>IF(H289,Wh_hp,'2025'!Maxi_hp)</f>
        <v>47.647904130278036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6.4703016234360478E-2</v>
      </c>
      <c r="M289" s="957"/>
      <c r="N289" s="957"/>
      <c r="O289" s="48">
        <f>IF(t&lt;Tnet,'2025'!Resal+('2025'!Salim-'2025'!Resal)*(1-EXP(('2025'!Tnet-t)/('2025'!Tau_j))),Resal+(Salim-Resal)*(1-EXP((Tnet-t)/(Tau_j))))*Salcycl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3.3491497693842036E-4</v>
      </c>
      <c r="Q289" s="305">
        <f t="shared" si="105"/>
        <v>0.7</v>
      </c>
      <c r="R289" s="177">
        <f t="shared" si="106"/>
        <v>0.97063294092523456</v>
      </c>
      <c r="S289" s="919">
        <f t="shared" si="107"/>
        <v>-2</v>
      </c>
      <c r="T289" s="176">
        <f t="shared" si="108"/>
        <v>4</v>
      </c>
      <c r="U289" s="251">
        <f t="shared" si="109"/>
        <v>-1.0293670590747654</v>
      </c>
      <c r="V289" s="383">
        <f t="shared" si="110"/>
        <v>41.361506457110153</v>
      </c>
      <c r="W289" s="402">
        <f t="shared" si="111"/>
        <v>36.914614520119052</v>
      </c>
      <c r="X289" s="157">
        <f t="shared" si="112"/>
        <v>46297</v>
      </c>
      <c r="Y289" s="385">
        <f t="shared" si="113"/>
        <v>35.315704208030546</v>
      </c>
      <c r="Z289" s="385">
        <f t="shared" si="114"/>
        <v>37.758813319213822</v>
      </c>
      <c r="AA289" s="386">
        <f t="shared" si="115"/>
        <v>40.464308262456939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6.6861267606378269E-2</v>
      </c>
      <c r="AD289" s="231">
        <f>(INDEX(Models!$BJ289:$BT289,,AH289)*(1-AF289)+INDEX(Models!$BJ289:$BT289,,AH289+1)*AF289-ERP_i)*AE289*Ramure*Pc/MaxiM</f>
        <v>5.9881504214064343E-3</v>
      </c>
      <c r="AE289" s="305">
        <f t="shared" si="117"/>
        <v>0.7</v>
      </c>
      <c r="AF289" s="177">
        <f t="shared" si="118"/>
        <v>0.49562050729921392</v>
      </c>
      <c r="AG289" s="919">
        <f t="shared" si="124"/>
        <v>2</v>
      </c>
      <c r="AH289" s="176">
        <f t="shared" si="119"/>
        <v>8</v>
      </c>
      <c r="AI289" s="225">
        <f t="shared" si="120"/>
        <v>2.4956205072992139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1090">
        <f>IF(t&gt;Tmaj,'2025'!Wh/'2025'!Env_an*'2026'!Env_an,0.001*'[12]mon-tableau (1)'!$B$40)</f>
        <v>34.509317860973212</v>
      </c>
      <c r="C290" s="953"/>
      <c r="D290" s="393">
        <f t="shared" si="102"/>
        <v>36.897450028346029</v>
      </c>
      <c r="E290" s="385">
        <f t="shared" si="100"/>
        <v>38.014890992884553</v>
      </c>
      <c r="F290" s="385">
        <f t="shared" si="103"/>
        <v>38.025181178963102</v>
      </c>
      <c r="G290" s="110">
        <f t="shared" si="101"/>
        <v>0.83871757995721541</v>
      </c>
      <c r="H290" s="412" t="b">
        <f>Wh_hp&gt;='2025'!Maxi_hp</f>
        <v>0</v>
      </c>
      <c r="I290" s="390">
        <f>IF(H290,Wh_hp,'2025'!Maxi_hp)</f>
        <v>43.351504842538631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6.4723501638681347E-2</v>
      </c>
      <c r="M290" s="957"/>
      <c r="N290" s="957"/>
      <c r="O290" s="48">
        <f>IF(t&lt;Tnet,'2025'!Resal+('2025'!Salim-'2025'!Resal)*(1-EXP(('2025'!Tnet-t)/('2025'!Tau_j))),Resal+(Salim-Resal)*(1-EXP((Tnet-t)/(Tau_j))))*Salcycl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3.515880155109067E-4</v>
      </c>
      <c r="Q290" s="305">
        <f t="shared" si="105"/>
        <v>0.7</v>
      </c>
      <c r="R290" s="177">
        <f t="shared" si="106"/>
        <v>0.9708158182710227</v>
      </c>
      <c r="S290" s="919">
        <f t="shared" si="107"/>
        <v>-2</v>
      </c>
      <c r="T290" s="176">
        <f t="shared" si="108"/>
        <v>4</v>
      </c>
      <c r="U290" s="251">
        <f t="shared" si="109"/>
        <v>-1.0291841817289773</v>
      </c>
      <c r="V290" s="383">
        <f t="shared" si="110"/>
        <v>41.142004897920224</v>
      </c>
      <c r="W290" s="402">
        <f t="shared" si="111"/>
        <v>34.509317860973212</v>
      </c>
      <c r="X290" s="157">
        <f t="shared" si="112"/>
        <v>46298</v>
      </c>
      <c r="Y290" s="385">
        <f t="shared" si="113"/>
        <v>33.029734251572776</v>
      </c>
      <c r="Z290" s="385">
        <f t="shared" si="114"/>
        <v>35.315475487135181</v>
      </c>
      <c r="AA290" s="386">
        <f t="shared" si="115"/>
        <v>37.848246582581929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6.6919113146244227E-2</v>
      </c>
      <c r="AD290" s="231">
        <f>(INDEX(Models!$BJ290:$BT290,,AH290)*(1-AF290)+INDEX(Models!$BJ290:$BT290,,AH290+1)*AF290-ERP_i)*AE290*Ramure*Pc/MaxiM</f>
        <v>6.045379854361552E-3</v>
      </c>
      <c r="AE290" s="305">
        <f t="shared" si="117"/>
        <v>0.7</v>
      </c>
      <c r="AF290" s="177">
        <f t="shared" si="118"/>
        <v>0.49580338464500162</v>
      </c>
      <c r="AG290" s="919">
        <f t="shared" si="124"/>
        <v>2</v>
      </c>
      <c r="AH290" s="176">
        <f t="shared" si="119"/>
        <v>8</v>
      </c>
      <c r="AI290" s="225">
        <f t="shared" si="120"/>
        <v>2.4958033846450016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1090">
        <f>IF(t&gt;Tmaj,'2025'!Wh/'2025'!Env_an*'2026'!Env_an,0.001*'[12]mon-tableau (1)'!$B$41)</f>
        <v>40.414001978650425</v>
      </c>
      <c r="C291" s="953"/>
      <c r="D291" s="393">
        <f t="shared" si="102"/>
        <v>43.211699683688934</v>
      </c>
      <c r="E291" s="385">
        <f t="shared" si="100"/>
        <v>44.525508388225049</v>
      </c>
      <c r="F291" s="385">
        <f t="shared" si="103"/>
        <v>44.541579029406392</v>
      </c>
      <c r="G291" s="110">
        <f t="shared" si="101"/>
        <v>0.98765694240157031</v>
      </c>
      <c r="H291" s="412" t="b">
        <f>Wh_hp&gt;='2025'!Maxi_hp</f>
        <v>0</v>
      </c>
      <c r="I291" s="390">
        <f>IF(H291,Wh_hp,'2025'!Maxi_hp)</f>
        <v>44.844605022343991</v>
      </c>
      <c r="J291" s="85">
        <f>IF(H291,An,'2025'!An_max)</f>
        <v>2018</v>
      </c>
      <c r="K291" s="197">
        <f t="shared" si="104"/>
        <v>46299</v>
      </c>
      <c r="L291" s="147">
        <f>IF(t&lt;Tvie,1-EXP((T0-t)*PertePVj)+'2025'!Pspv,1-EXP((T0-t)*PertePVj)+Pspv)</f>
        <v>6.4743986594319347E-2</v>
      </c>
      <c r="M291" s="957"/>
      <c r="N291" s="957"/>
      <c r="O291" s="48">
        <f>IF(t&lt;Tnet,'2025'!Resal+('2025'!Salim-'2025'!Resal)*(1-EXP(('2025'!Tnet-t)/('2025'!Tau_j))),Resal+(Salim-Resal)*(1-EXP((Tnet-t)/(Tau_j))))*Salcycl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3.6727364459167723E-4</v>
      </c>
      <c r="Q291" s="305">
        <f t="shared" si="105"/>
        <v>0.7</v>
      </c>
      <c r="R291" s="177">
        <f t="shared" si="106"/>
        <v>0.97099145923735319</v>
      </c>
      <c r="S291" s="919">
        <f t="shared" si="107"/>
        <v>-2</v>
      </c>
      <c r="T291" s="176">
        <f t="shared" si="108"/>
        <v>4</v>
      </c>
      <c r="U291" s="251">
        <f t="shared" si="109"/>
        <v>-1.0290085407626468</v>
      </c>
      <c r="V291" s="383">
        <f t="shared" si="110"/>
        <v>40.91880344190146</v>
      </c>
      <c r="W291" s="402">
        <f t="shared" si="111"/>
        <v>40.414001978650425</v>
      </c>
      <c r="X291" s="157">
        <f t="shared" si="112"/>
        <v>46299</v>
      </c>
      <c r="Y291" s="385">
        <f t="shared" si="113"/>
        <v>38.634985928076425</v>
      </c>
      <c r="Z291" s="385">
        <f t="shared" si="114"/>
        <v>41.309529555858575</v>
      </c>
      <c r="AA291" s="386">
        <f t="shared" si="115"/>
        <v>44.27487872880765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6.6975884702303062E-2</v>
      </c>
      <c r="AD291" s="231">
        <f>(INDEX(Models!$BJ291:$BT291,,AH291)*(1-AF291)+INDEX(Models!$BJ291:$BT291,,AH291+1)*AF291-ERP_i)*AE291*Ramure*Pc/MaxiM</f>
        <v>6.0950891945943612E-3</v>
      </c>
      <c r="AE291" s="305">
        <f t="shared" si="117"/>
        <v>0.7</v>
      </c>
      <c r="AF291" s="177">
        <f t="shared" si="118"/>
        <v>0.49597902561133234</v>
      </c>
      <c r="AG291" s="919">
        <f t="shared" si="124"/>
        <v>2</v>
      </c>
      <c r="AH291" s="176">
        <f t="shared" si="119"/>
        <v>8</v>
      </c>
      <c r="AI291" s="225">
        <f t="shared" si="120"/>
        <v>2.4959790256113323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1090">
        <f>IF(t&gt;Tmaj,'2025'!Wh/'2025'!Env_an*'2026'!Env_an,0.001*'[12]mon-tableau (1)'!$B$42)</f>
        <v>40.358853876787663</v>
      </c>
      <c r="C292" s="953"/>
      <c r="D292" s="393">
        <f t="shared" si="102"/>
        <v>43.153679078373045</v>
      </c>
      <c r="E292" s="385">
        <f t="shared" si="100"/>
        <v>44.47082889902228</v>
      </c>
      <c r="F292" s="385">
        <f t="shared" si="103"/>
        <v>44.487622647435302</v>
      </c>
      <c r="G292" s="110">
        <f t="shared" si="101"/>
        <v>0.99180573608498956</v>
      </c>
      <c r="H292" s="412" t="b">
        <f>Wh_hp&gt;='2025'!Maxi_hp</f>
        <v>0</v>
      </c>
      <c r="I292" s="390">
        <f>IF(H292,Wh_hp,'2025'!Maxi_hp)</f>
        <v>44.683643039833356</v>
      </c>
      <c r="J292" s="85">
        <f>IF(H292,An,'2025'!An_max)</f>
        <v>2018</v>
      </c>
      <c r="K292" s="197">
        <f t="shared" si="104"/>
        <v>46300</v>
      </c>
      <c r="L292" s="147">
        <f>IF(t&lt;Tvie,1-EXP((T0-t)*PertePVj)+'2025'!Pspv,1-EXP((T0-t)*PertePVj)+Pspv)</f>
        <v>6.4764471101284138E-2</v>
      </c>
      <c r="M292" s="957"/>
      <c r="N292" s="957"/>
      <c r="O292" s="48">
        <f>IF(t&lt;Tnet,'2025'!Resal+('2025'!Salim-'2025'!Resal)*(1-EXP(('2025'!Tnet-t)/('2025'!Tau_j))),Resal+(Salim-Resal)*(1-EXP((Tnet-t)/(Tau_j))))*Salcycl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3.8196145790566255E-4</v>
      </c>
      <c r="Q292" s="305">
        <f t="shared" si="105"/>
        <v>0.7</v>
      </c>
      <c r="R292" s="177">
        <f t="shared" si="106"/>
        <v>0.97116014530133477</v>
      </c>
      <c r="S292" s="919">
        <f t="shared" si="107"/>
        <v>-2</v>
      </c>
      <c r="T292" s="176">
        <f t="shared" si="108"/>
        <v>4</v>
      </c>
      <c r="U292" s="251">
        <f t="shared" si="109"/>
        <v>-1.0288398546986652</v>
      </c>
      <c r="V292" s="383">
        <f t="shared" si="110"/>
        <v>40.692115383472533</v>
      </c>
      <c r="W292" s="402">
        <f t="shared" si="111"/>
        <v>40.358853876787663</v>
      </c>
      <c r="X292" s="157">
        <f t="shared" si="112"/>
        <v>46300</v>
      </c>
      <c r="Y292" s="385">
        <f t="shared" si="113"/>
        <v>38.582020026548442</v>
      </c>
      <c r="Z292" s="385">
        <f t="shared" si="114"/>
        <v>41.253800603555554</v>
      </c>
      <c r="AA292" s="386">
        <f t="shared" si="115"/>
        <v>44.217788325172705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6.7031568829727939E-2</v>
      </c>
      <c r="AD292" s="231">
        <f>(INDEX(Models!$BJ292:$BT292,,AH292)*(1-AF292)+INDEX(Models!$BJ292:$BT292,,AH292+1)*AF292-ERP_i)*AE292*Ramure*Pc/MaxiM</f>
        <v>6.137183229713029E-3</v>
      </c>
      <c r="AE292" s="305">
        <f t="shared" si="117"/>
        <v>0.7</v>
      </c>
      <c r="AF292" s="177">
        <f t="shared" si="118"/>
        <v>0.49614771167531391</v>
      </c>
      <c r="AG292" s="919">
        <f t="shared" si="124"/>
        <v>2</v>
      </c>
      <c r="AH292" s="176">
        <f t="shared" si="119"/>
        <v>8</v>
      </c>
      <c r="AI292" s="225">
        <f t="shared" si="120"/>
        <v>2.4961477116753139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1090">
        <f>IF(t&gt;Tmaj,'2025'!Wh/'2025'!Env_an*'2026'!Env_an,0.001*'[12]mon-tableau (1)'!$B$43)</f>
        <v>14.964031273339808</v>
      </c>
      <c r="C293" s="953"/>
      <c r="D293" s="393">
        <f t="shared" si="102"/>
        <v>16.000631465347396</v>
      </c>
      <c r="E293" s="385">
        <f t="shared" si="100"/>
        <v>16.490889901595899</v>
      </c>
      <c r="F293" s="385">
        <f t="shared" si="103"/>
        <v>16.491540769556551</v>
      </c>
      <c r="G293" s="110">
        <f t="shared" si="101"/>
        <v>0.36969611989178464</v>
      </c>
      <c r="H293" s="412" t="b">
        <f>Wh_hp&gt;='2025'!Maxi_hp</f>
        <v>0</v>
      </c>
      <c r="I293" s="390">
        <f>IF(H293,Wh_hp,'2025'!Maxi_hp)</f>
        <v>42.282942542755286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6.4784955159585711E-2</v>
      </c>
      <c r="M293" s="957"/>
      <c r="N293" s="957"/>
      <c r="O293" s="48">
        <f>IF(t&lt;Tnet,'2025'!Resal+('2025'!Salim-'2025'!Resal)*(1-EXP(('2025'!Tnet-t)/('2025'!Tau_j))),Resal+(Salim-Resal)*(1-EXP((Tnet-t)/(Tau_j))))*Salcycl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3.9564077335807219E-4</v>
      </c>
      <c r="Q293" s="305">
        <f t="shared" si="105"/>
        <v>0.7</v>
      </c>
      <c r="R293" s="177">
        <f t="shared" si="106"/>
        <v>0.97132214737237388</v>
      </c>
      <c r="S293" s="919">
        <f t="shared" si="107"/>
        <v>-2</v>
      </c>
      <c r="T293" s="176">
        <f t="shared" si="108"/>
        <v>4</v>
      </c>
      <c r="U293" s="251">
        <f t="shared" si="109"/>
        <v>-1.0286778526276261</v>
      </c>
      <c r="V293" s="383">
        <f t="shared" si="110"/>
        <v>40.462153804964821</v>
      </c>
      <c r="W293" s="402">
        <f t="shared" si="111"/>
        <v>14.964031273339808</v>
      </c>
      <c r="X293" s="157">
        <f t="shared" si="112"/>
        <v>46301</v>
      </c>
      <c r="Y293" s="385">
        <f t="shared" si="113"/>
        <v>14.379599995421072</v>
      </c>
      <c r="Z293" s="385">
        <f t="shared" si="114"/>
        <v>15.375715002397996</v>
      </c>
      <c r="AA293" s="386">
        <f t="shared" si="115"/>
        <v>16.481387935363031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6.70861542305346E-2</v>
      </c>
      <c r="AD293" s="231">
        <f>(INDEX(Models!$BJ293:$BT293,,AH293)*(1-AF293)+INDEX(Models!$BJ293:$BT293,,AH293+1)*AF293-ERP_i)*AE293*Ramure*Pc/MaxiM</f>
        <v>6.1715669151806551E-3</v>
      </c>
      <c r="AE293" s="305">
        <f t="shared" si="117"/>
        <v>0.7</v>
      </c>
      <c r="AF293" s="177">
        <f t="shared" si="118"/>
        <v>0.49630971374635324</v>
      </c>
      <c r="AG293" s="919">
        <f t="shared" si="124"/>
        <v>2</v>
      </c>
      <c r="AH293" s="176">
        <f t="shared" si="119"/>
        <v>8</v>
      </c>
      <c r="AI293" s="225">
        <f t="shared" si="120"/>
        <v>2.4963097137463532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1090">
        <f>IF(t&gt;Tmaj,'2025'!Wh/'2025'!Env_an*'2026'!Env_an,0.001*'[12]mon-tableau (1)'!$B$44)</f>
        <v>29.836173979807779</v>
      </c>
      <c r="C294" s="953"/>
      <c r="D294" s="393">
        <f t="shared" si="102"/>
        <v>31.903707759529503</v>
      </c>
      <c r="E294" s="385">
        <f t="shared" si="100"/>
        <v>32.88496708310457</v>
      </c>
      <c r="F294" s="385">
        <f t="shared" si="103"/>
        <v>32.893440829853283</v>
      </c>
      <c r="G294" s="110">
        <f t="shared" si="101"/>
        <v>0.74154414171004357</v>
      </c>
      <c r="H294" s="412" t="b">
        <f>Wh_hp&gt;='2025'!Maxi_hp</f>
        <v>0</v>
      </c>
      <c r="I294" s="390">
        <f>IF(H294,Wh_hp,'2025'!Maxi_hp)</f>
        <v>44.5855001708373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6.4805438769233947E-2</v>
      </c>
      <c r="M294" s="957"/>
      <c r="N294" s="957"/>
      <c r="O294" s="48">
        <f>IF(t&lt;Tnet,'2025'!Resal+('2025'!Salim-'2025'!Resal)*(1-EXP(('2025'!Tnet-t)/('2025'!Tau_j))),Resal+(Salim-Resal)*(1-EXP((Tnet-t)/(Tau_j))))*Salcycl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4.0830072330807267E-4</v>
      </c>
      <c r="Q294" s="305">
        <f t="shared" si="105"/>
        <v>0.7</v>
      </c>
      <c r="R294" s="177">
        <f t="shared" si="106"/>
        <v>0.97147772615889671</v>
      </c>
      <c r="S294" s="919">
        <f t="shared" si="107"/>
        <v>-2</v>
      </c>
      <c r="T294" s="176">
        <f t="shared" si="108"/>
        <v>4</v>
      </c>
      <c r="U294" s="251">
        <f t="shared" si="109"/>
        <v>-1.0285222738411033</v>
      </c>
      <c r="V294" s="383">
        <f t="shared" si="110"/>
        <v>40.22913157812544</v>
      </c>
      <c r="W294" s="402">
        <f t="shared" si="111"/>
        <v>29.836173979807779</v>
      </c>
      <c r="X294" s="157">
        <f t="shared" si="112"/>
        <v>46302</v>
      </c>
      <c r="Y294" s="385">
        <f t="shared" si="113"/>
        <v>28.584211833905336</v>
      </c>
      <c r="Z294" s="385">
        <f t="shared" si="114"/>
        <v>30.564989381767774</v>
      </c>
      <c r="AA294" s="386">
        <f t="shared" si="115"/>
        <v>32.764806425777238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6.7139631939921687E-2</v>
      </c>
      <c r="AD294" s="231">
        <f>(INDEX(Models!$BJ294:$BT294,,AH294)*(1-AF294)+INDEX(Models!$BJ294:$BT294,,AH294+1)*AF294-ERP_i)*AE294*Ramure*Pc/MaxiM</f>
        <v>6.1981460839057295E-3</v>
      </c>
      <c r="AE294" s="305">
        <f t="shared" si="117"/>
        <v>0.7</v>
      </c>
      <c r="AF294" s="177">
        <f t="shared" si="118"/>
        <v>0.49646529253287586</v>
      </c>
      <c r="AG294" s="919">
        <f t="shared" si="124"/>
        <v>2</v>
      </c>
      <c r="AH294" s="176">
        <f t="shared" si="119"/>
        <v>8</v>
      </c>
      <c r="AI294" s="225">
        <f t="shared" si="120"/>
        <v>2.4964652925328759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1090">
        <f>IF(t&gt;Tmaj,'2025'!Wh/'2025'!Env_an*'2026'!Env_an,0.001*'[12]mon-tableau (1)'!$B$45)</f>
        <v>17.256831338933782</v>
      </c>
      <c r="C295" s="953"/>
      <c r="D295" s="393">
        <f t="shared" si="102"/>
        <v>18.453068518058803</v>
      </c>
      <c r="E295" s="385">
        <f t="shared" si="100"/>
        <v>19.022773548237343</v>
      </c>
      <c r="F295" s="385">
        <f t="shared" si="103"/>
        <v>19.0242742400781</v>
      </c>
      <c r="G295" s="110">
        <f t="shared" si="101"/>
        <v>0.43134630417374586</v>
      </c>
      <c r="H295" s="412" t="b">
        <f>Wh_hp&gt;='2025'!Maxi_hp</f>
        <v>0</v>
      </c>
      <c r="I295" s="390">
        <f>IF(H295,Wh_hp,'2025'!Maxi_hp)</f>
        <v>41.761638375375632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6.4825921930238395E-2</v>
      </c>
      <c r="M295" s="957"/>
      <c r="N295" s="957"/>
      <c r="O295" s="48">
        <f>IF(t&lt;Tnet,'2025'!Resal+('2025'!Salim-'2025'!Resal)*(1-EXP(('2025'!Tnet-t)/('2025'!Tau_j))),Resal+(Salim-Resal)*(1-EXP((Tnet-t)/(Tau_j))))*Salcycl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4.1993034543838628E-4</v>
      </c>
      <c r="Q295" s="305">
        <f t="shared" si="105"/>
        <v>0.7</v>
      </c>
      <c r="R295" s="177">
        <f t="shared" si="106"/>
        <v>0.97162713252475807</v>
      </c>
      <c r="S295" s="919">
        <f t="shared" si="107"/>
        <v>-2</v>
      </c>
      <c r="T295" s="176">
        <f t="shared" si="108"/>
        <v>4</v>
      </c>
      <c r="U295" s="251">
        <f t="shared" si="109"/>
        <v>-1.0283728674752419</v>
      </c>
      <c r="V295" s="383">
        <f t="shared" si="110"/>
        <v>39.993261356857104</v>
      </c>
      <c r="W295" s="402">
        <f t="shared" si="111"/>
        <v>17.256831338933782</v>
      </c>
      <c r="X295" s="157">
        <f t="shared" si="112"/>
        <v>46303</v>
      </c>
      <c r="Y295" s="385">
        <f t="shared" si="113"/>
        <v>16.576214157370476</v>
      </c>
      <c r="Z295" s="385">
        <f t="shared" si="114"/>
        <v>17.725271204677181</v>
      </c>
      <c r="AA295" s="386">
        <f t="shared" si="115"/>
        <v>19.002057357242332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6.7191995506661592E-2</v>
      </c>
      <c r="AD295" s="231">
        <f>(INDEX(Models!$BJ295:$BT295,,AH295)*(1-AF295)+INDEX(Models!$BJ295:$BT295,,AH295+1)*AF295-ERP_i)*AE295*Ramure*Pc/MaxiM</f>
        <v>6.2168281524622145E-3</v>
      </c>
      <c r="AE295" s="305">
        <f t="shared" si="117"/>
        <v>0.7</v>
      </c>
      <c r="AF295" s="177">
        <f t="shared" si="118"/>
        <v>0.49661469889873722</v>
      </c>
      <c r="AG295" s="919">
        <f t="shared" si="124"/>
        <v>2</v>
      </c>
      <c r="AH295" s="176">
        <f t="shared" si="119"/>
        <v>8</v>
      </c>
      <c r="AI295" s="225">
        <f t="shared" si="120"/>
        <v>2.4966146988987372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1090">
        <f>IF(t&gt;Tmaj,'2025'!Wh/'2025'!Env_an*'2026'!Env_an,0.001*'[12]mon-tableau (1)'!$B$46)</f>
        <v>37.641692843788491</v>
      </c>
      <c r="C296" s="953"/>
      <c r="D296" s="393">
        <f t="shared" si="102"/>
        <v>40.251882718156942</v>
      </c>
      <c r="E296" s="385">
        <f t="shared" si="100"/>
        <v>41.499239493457118</v>
      </c>
      <c r="F296" s="385">
        <f t="shared" si="103"/>
        <v>41.515738696877541</v>
      </c>
      <c r="G296" s="110">
        <f t="shared" si="101"/>
        <v>0.94681619672352313</v>
      </c>
      <c r="H296" s="412" t="b">
        <f>Wh_hp&gt;='2025'!Maxi_hp</f>
        <v>0</v>
      </c>
      <c r="I296" s="390">
        <f>IF(H296,Wh_hp,'2025'!Maxi_hp)</f>
        <v>41.51643673919677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6.4846404642609157E-2</v>
      </c>
      <c r="M296" s="957"/>
      <c r="N296" s="957"/>
      <c r="O296" s="48">
        <f>IF(t&lt;Tnet,'2025'!Resal+('2025'!Salim-'2025'!Resal)*(1-EXP(('2025'!Tnet-t)/('2025'!Tau_j))),Resal+(Salim-Resal)*(1-EXP((Tnet-t)/(Tau_j))))*Salcycl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4.3007737032770644E-4</v>
      </c>
      <c r="Q296" s="305">
        <f t="shared" si="105"/>
        <v>0.7</v>
      </c>
      <c r="R296" s="177">
        <f t="shared" si="106"/>
        <v>0.97177060783542046</v>
      </c>
      <c r="S296" s="919">
        <f t="shared" si="107"/>
        <v>-2</v>
      </c>
      <c r="T296" s="176">
        <f t="shared" si="108"/>
        <v>4</v>
      </c>
      <c r="U296" s="251">
        <f t="shared" si="109"/>
        <v>-1.0282293921645795</v>
      </c>
      <c r="V296" s="383">
        <f t="shared" si="110"/>
        <v>39.754773126431331</v>
      </c>
      <c r="W296" s="402">
        <f t="shared" si="111"/>
        <v>37.641692843788491</v>
      </c>
      <c r="X296" s="157">
        <f t="shared" si="112"/>
        <v>46304</v>
      </c>
      <c r="Y296" s="385">
        <f t="shared" si="113"/>
        <v>36.004501646476811</v>
      </c>
      <c r="Z296" s="385">
        <f t="shared" si="114"/>
        <v>38.501163686075387</v>
      </c>
      <c r="AA296" s="386">
        <f t="shared" si="115"/>
        <v>41.276745862657705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6.7243241165804629E-2</v>
      </c>
      <c r="AD296" s="231">
        <f>(INDEX(Models!$BJ296:$BT296,,AH296)*(1-AF296)+INDEX(Models!$BJ296:$BT296,,AH296+1)*AF296-ERP_i)*AE296*Ramure*Pc/MaxiM</f>
        <v>6.2297195233804474E-3</v>
      </c>
      <c r="AE296" s="305">
        <f t="shared" si="117"/>
        <v>0.7</v>
      </c>
      <c r="AF296" s="177">
        <f t="shared" si="118"/>
        <v>0.49675817420939961</v>
      </c>
      <c r="AG296" s="919">
        <f t="shared" si="124"/>
        <v>2</v>
      </c>
      <c r="AH296" s="176">
        <f t="shared" si="119"/>
        <v>8</v>
      </c>
      <c r="AI296" s="225">
        <f t="shared" si="120"/>
        <v>2.4967581742093996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1090">
        <f>IF(t&gt;Tmaj,'2025'!Wh/'2025'!Env_an*'2026'!Env_an,0.001*'[12]mon-tableau (1)'!$B$47)</f>
        <v>30.724453319274701</v>
      </c>
      <c r="C297" s="953"/>
      <c r="D297" s="393">
        <f t="shared" si="102"/>
        <v>32.855700315894985</v>
      </c>
      <c r="E297" s="385">
        <f t="shared" ref="E297:E360" si="125">Wh_pvt/(1-Psa)</f>
        <v>33.877633619723341</v>
      </c>
      <c r="F297" s="385">
        <f t="shared" si="103"/>
        <v>33.887775938017299</v>
      </c>
      <c r="G297" s="110">
        <f t="shared" ref="G297:G360" si="126">+Wh_hp/MaxiM</f>
        <v>0.77745260097829127</v>
      </c>
      <c r="H297" s="412" t="b">
        <f>Wh_hp&gt;='2025'!Maxi_hp</f>
        <v>0</v>
      </c>
      <c r="I297" s="390">
        <f>IF(H297,Wh_hp,'2025'!Maxi_hp)</f>
        <v>33.890207774882008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6.4866886906355892E-2</v>
      </c>
      <c r="M297" s="957"/>
      <c r="N297" s="957"/>
      <c r="O297" s="48">
        <f>IF(t&lt;Tnet,'2025'!Resal+('2025'!Salim-'2025'!Resal)*(1-EXP(('2025'!Tnet-t)/('2025'!Tau_j))),Resal+(Salim-Resal)*(1-EXP((Tnet-t)/(Tau_j))))*Salcycl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4.386956517166673E-4</v>
      </c>
      <c r="Q297" s="305">
        <f t="shared" si="105"/>
        <v>0.7</v>
      </c>
      <c r="R297" s="177">
        <f t="shared" si="106"/>
        <v>0.97190838429401172</v>
      </c>
      <c r="S297" s="919">
        <f t="shared" si="107"/>
        <v>-2</v>
      </c>
      <c r="T297" s="176">
        <f t="shared" si="108"/>
        <v>4</v>
      </c>
      <c r="U297" s="251">
        <f t="shared" si="109"/>
        <v>-1.0280916157059883</v>
      </c>
      <c r="V297" s="383">
        <f t="shared" si="110"/>
        <v>39.513880174109964</v>
      </c>
      <c r="W297" s="402">
        <f t="shared" si="111"/>
        <v>30.724453319274701</v>
      </c>
      <c r="X297" s="157">
        <f t="shared" si="112"/>
        <v>46305</v>
      </c>
      <c r="Y297" s="385">
        <f t="shared" si="113"/>
        <v>29.431242294133902</v>
      </c>
      <c r="Z297" s="385">
        <f t="shared" si="114"/>
        <v>31.472783801621901</v>
      </c>
      <c r="AA297" s="386">
        <f t="shared" si="115"/>
        <v>33.743497389100185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6.7293368001971499E-2</v>
      </c>
      <c r="AD297" s="231">
        <f>(INDEX(Models!$BJ297:$BT297,,AH297)*(1-AF297)+INDEX(Models!$BJ297:$BT297,,AH297+1)*AF297-ERP_i)*AE297*Ramure*Pc/MaxiM</f>
        <v>6.2406217406572127E-3</v>
      </c>
      <c r="AE297" s="305">
        <f t="shared" si="117"/>
        <v>0.7</v>
      </c>
      <c r="AF297" s="177">
        <f t="shared" si="118"/>
        <v>0.49689595066799086</v>
      </c>
      <c r="AG297" s="919">
        <f t="shared" si="124"/>
        <v>2</v>
      </c>
      <c r="AH297" s="176">
        <f t="shared" si="119"/>
        <v>8</v>
      </c>
      <c r="AI297" s="225">
        <f t="shared" si="120"/>
        <v>2.4968959506679909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1090">
        <f>IF(t&gt;Tmaj,'2025'!Wh/'2025'!Env_an*'2026'!Env_an,0.001*'[12]mon-tableau (1)'!$B$48)</f>
        <v>21.908168069716016</v>
      </c>
      <c r="C298" s="953"/>
      <c r="D298" s="393">
        <f t="shared" si="102"/>
        <v>23.428373585075601</v>
      </c>
      <c r="E298" s="385">
        <f t="shared" si="125"/>
        <v>24.159758007112224</v>
      </c>
      <c r="F298" s="385">
        <f t="shared" si="103"/>
        <v>24.163726142485896</v>
      </c>
      <c r="G298" s="110">
        <f t="shared" si="126"/>
        <v>0.55771723403578621</v>
      </c>
      <c r="H298" s="412" t="b">
        <f>Wh_hp&gt;='2025'!Maxi_hp</f>
        <v>0</v>
      </c>
      <c r="I298" s="390">
        <f>IF(H298,Wh_hp,'2025'!Maxi_hp)</f>
        <v>43.516621662814977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6.4887368721488592E-2</v>
      </c>
      <c r="M298" s="957"/>
      <c r="N298" s="957"/>
      <c r="O298" s="48">
        <f>IF(t&lt;Tnet,'2025'!Resal+('2025'!Salim-'2025'!Resal)*(1-EXP(('2025'!Tnet-t)/('2025'!Tau_j))),Resal+(Salim-Resal)*(1-EXP((Tnet-t)/(Tau_j))))*Salcycl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4.4577170690202831E-4</v>
      </c>
      <c r="Q298" s="305">
        <f t="shared" si="105"/>
        <v>0.7</v>
      </c>
      <c r="R298" s="177">
        <f t="shared" si="106"/>
        <v>0.97204068526737797</v>
      </c>
      <c r="S298" s="919">
        <f t="shared" si="107"/>
        <v>-2</v>
      </c>
      <c r="T298" s="176">
        <f t="shared" si="108"/>
        <v>4</v>
      </c>
      <c r="U298" s="251">
        <f t="shared" si="109"/>
        <v>-1.027959314732622</v>
      </c>
      <c r="V298" s="383">
        <f t="shared" si="110"/>
        <v>39.270794246795589</v>
      </c>
      <c r="W298" s="402">
        <f t="shared" si="111"/>
        <v>21.908168069716016</v>
      </c>
      <c r="X298" s="157">
        <f t="shared" si="112"/>
        <v>46306</v>
      </c>
      <c r="Y298" s="385">
        <f t="shared" si="113"/>
        <v>21.025632060414718</v>
      </c>
      <c r="Z298" s="385">
        <f t="shared" si="114"/>
        <v>22.484598493411326</v>
      </c>
      <c r="AA298" s="386">
        <f t="shared" si="115"/>
        <v>24.108094938036409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6.7342378101540534E-2</v>
      </c>
      <c r="AD298" s="231">
        <f>(INDEX(Models!$BJ298:$BT298,,AH298)*(1-AF298)+INDEX(Models!$BJ298:$BT298,,AH298+1)*AF298-ERP_i)*AE298*Ramure*Pc/MaxiM</f>
        <v>6.2494886462254179E-3</v>
      </c>
      <c r="AE298" s="305">
        <f t="shared" si="117"/>
        <v>0.7</v>
      </c>
      <c r="AF298" s="177">
        <f t="shared" si="118"/>
        <v>0.49702825164135689</v>
      </c>
      <c r="AG298" s="919">
        <f t="shared" si="124"/>
        <v>2</v>
      </c>
      <c r="AH298" s="176">
        <f t="shared" si="119"/>
        <v>8</v>
      </c>
      <c r="AI298" s="225">
        <f t="shared" si="120"/>
        <v>2.4970282516413569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1090">
        <f>IF(t&gt;Tmaj,'2025'!Wh/'2025'!Env_an*'2026'!Env_an,0.001*'[12]mon-tableau (1)'!$B$49)</f>
        <v>30.631750444075657</v>
      </c>
      <c r="C299" s="953"/>
      <c r="D299" s="393">
        <f t="shared" si="102"/>
        <v>32.758001922012618</v>
      </c>
      <c r="E299" s="385">
        <f t="shared" si="125"/>
        <v>33.784356083621802</v>
      </c>
      <c r="F299" s="385">
        <f t="shared" si="103"/>
        <v>33.794921197907932</v>
      </c>
      <c r="G299" s="110">
        <f t="shared" si="126"/>
        <v>0.78480284519775634</v>
      </c>
      <c r="H299" s="412" t="b">
        <f>Wh_hp&gt;='2025'!Maxi_hp</f>
        <v>0</v>
      </c>
      <c r="I299" s="390">
        <f>IF(H299,Wh_hp,'2025'!Maxi_hp)</f>
        <v>42.807452061099632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6.4907850088016805E-2</v>
      </c>
      <c r="M299" s="957"/>
      <c r="N299" s="957"/>
      <c r="O299" s="48">
        <f>IF(t&lt;Tnet,'2025'!Resal+('2025'!Salim-'2025'!Resal)*(1-EXP(('2025'!Tnet-t)/('2025'!Tau_j))),Resal+(Salim-Resal)*(1-EXP((Tnet-t)/(Tau_j))))*Salcycl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4.5129250305289773E-4</v>
      </c>
      <c r="Q299" s="305">
        <f t="shared" si="105"/>
        <v>0.7</v>
      </c>
      <c r="R299" s="177">
        <f t="shared" si="106"/>
        <v>0.97216772560227938</v>
      </c>
      <c r="S299" s="919">
        <f t="shared" si="107"/>
        <v>-2</v>
      </c>
      <c r="T299" s="176">
        <f t="shared" si="108"/>
        <v>4</v>
      </c>
      <c r="U299" s="251">
        <f t="shared" si="109"/>
        <v>-1.0278322743977206</v>
      </c>
      <c r="V299" s="383">
        <f t="shared" si="110"/>
        <v>39.0257268484688</v>
      </c>
      <c r="W299" s="402">
        <f t="shared" si="111"/>
        <v>30.631750444075657</v>
      </c>
      <c r="X299" s="157">
        <f t="shared" si="112"/>
        <v>46307</v>
      </c>
      <c r="Y299" s="385">
        <f t="shared" si="113"/>
        <v>29.344012690464169</v>
      </c>
      <c r="Z299" s="385">
        <f t="shared" si="114"/>
        <v>31.380878016381821</v>
      </c>
      <c r="AA299" s="386">
        <f t="shared" si="115"/>
        <v>33.648456832591762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6.7390276692082252E-2</v>
      </c>
      <c r="AD299" s="231">
        <f>(INDEX(Models!$BJ299:$BT299,,AH299)*(1-AF299)+INDEX(Models!$BJ299:$BT299,,AH299+1)*AF299-ERP_i)*AE299*Ramure*Pc/MaxiM</f>
        <v>6.2562759134899802E-3</v>
      </c>
      <c r="AE299" s="305">
        <f t="shared" si="117"/>
        <v>0.7</v>
      </c>
      <c r="AF299" s="177">
        <f t="shared" si="118"/>
        <v>0.49715529197625852</v>
      </c>
      <c r="AG299" s="919">
        <f t="shared" si="124"/>
        <v>2</v>
      </c>
      <c r="AH299" s="176">
        <f t="shared" si="119"/>
        <v>8</v>
      </c>
      <c r="AI299" s="225">
        <f t="shared" si="120"/>
        <v>2.4971552919762585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1090">
        <f>IF(t&gt;Tmaj,'2025'!Wh/'2025'!Env_an*'2026'!Env_an,0.001*'[12]mon-tableau (1)'!$B$50)</f>
        <v>22.167052231528981</v>
      </c>
      <c r="C300" s="953"/>
      <c r="D300" s="393">
        <f t="shared" si="102"/>
        <v>23.706260136590714</v>
      </c>
      <c r="E300" s="385">
        <f t="shared" si="125"/>
        <v>24.451684962448194</v>
      </c>
      <c r="F300" s="385">
        <f t="shared" si="103"/>
        <v>24.456005181982828</v>
      </c>
      <c r="G300" s="110">
        <f t="shared" si="126"/>
        <v>0.57146751728745881</v>
      </c>
      <c r="H300" s="412" t="b">
        <f>Wh_hp&gt;='2025'!Maxi_hp</f>
        <v>0</v>
      </c>
      <c r="I300" s="390">
        <f>IF(H300,Wh_hp,'2025'!Maxi_hp)</f>
        <v>41.038729599738197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6.4928331005950635E-2</v>
      </c>
      <c r="M300" s="957"/>
      <c r="N300" s="957"/>
      <c r="O300" s="48">
        <f>IF(t&lt;Tnet,'2025'!Resal+('2025'!Salim-'2025'!Resal)*(1-EXP(('2025'!Tnet-t)/('2025'!Tau_j))),Resal+(Salim-Resal)*(1-EXP((Tnet-t)/(Tau_j))))*Salcycl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4.5524556834469066E-4</v>
      </c>
      <c r="Q300" s="305">
        <f t="shared" si="105"/>
        <v>0.7</v>
      </c>
      <c r="R300" s="177">
        <f t="shared" si="106"/>
        <v>0.97228971193187341</v>
      </c>
      <c r="S300" s="919">
        <f t="shared" si="107"/>
        <v>-2</v>
      </c>
      <c r="T300" s="176">
        <f t="shared" si="108"/>
        <v>4</v>
      </c>
      <c r="U300" s="251">
        <f t="shared" si="109"/>
        <v>-1.0277102880681266</v>
      </c>
      <c r="V300" s="383">
        <f t="shared" si="110"/>
        <v>38.778889241332017</v>
      </c>
      <c r="W300" s="402">
        <f t="shared" si="111"/>
        <v>22.167052231528981</v>
      </c>
      <c r="X300" s="157">
        <f t="shared" si="112"/>
        <v>46308</v>
      </c>
      <c r="Y300" s="385">
        <f t="shared" si="113"/>
        <v>21.274147589769019</v>
      </c>
      <c r="Z300" s="385">
        <f t="shared" si="114"/>
        <v>22.751355104850688</v>
      </c>
      <c r="AA300" s="386">
        <f t="shared" si="115"/>
        <v>24.396589686627323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6.7437072267459111E-2</v>
      </c>
      <c r="AD300" s="231">
        <f>(INDEX(Models!$BJ300:$BT300,,AH300)*(1-AF300)+INDEX(Models!$BJ300:$BT300,,AH300+1)*AF300-ERP_i)*AE300*Ramure*Pc/MaxiM</f>
        <v>6.2609413097552951E-3</v>
      </c>
      <c r="AE300" s="305">
        <f t="shared" si="117"/>
        <v>0.7</v>
      </c>
      <c r="AF300" s="177">
        <f t="shared" si="118"/>
        <v>0.49727727830585255</v>
      </c>
      <c r="AG300" s="919">
        <f t="shared" si="124"/>
        <v>2</v>
      </c>
      <c r="AH300" s="176">
        <f t="shared" si="119"/>
        <v>8</v>
      </c>
      <c r="AI300" s="225">
        <f t="shared" si="120"/>
        <v>2.4972772783058526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1090">
        <f>IF(t&gt;Tmaj,'2025'!Wh/'2025'!Env_an*'2026'!Env_an,0.001*'[12]mon-tableau (1)'!$B$51)</f>
        <v>16.557882350374538</v>
      </c>
      <c r="C301" s="953"/>
      <c r="D301" s="393">
        <f t="shared" si="102"/>
        <v>17.707995619468857</v>
      </c>
      <c r="E301" s="385">
        <f t="shared" si="125"/>
        <v>18.266795146434486</v>
      </c>
      <c r="F301" s="385">
        <f t="shared" si="103"/>
        <v>18.268344536671972</v>
      </c>
      <c r="G301" s="110">
        <f t="shared" si="126"/>
        <v>0.42957429022229354</v>
      </c>
      <c r="H301" s="412" t="b">
        <f>Wh_hp&gt;='2025'!Maxi_hp</f>
        <v>0</v>
      </c>
      <c r="I301" s="390">
        <f>IF(H301,Wh_hp,'2025'!Maxi_hp)</f>
        <v>44.446308487241133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6.494881147529985E-2</v>
      </c>
      <c r="M301" s="957"/>
      <c r="N301" s="957"/>
      <c r="O301" s="48">
        <f>IF(t&lt;Tnet,'2025'!Resal+('2025'!Salim-'2025'!Resal)*(1-EXP(('2025'!Tnet-t)/('2025'!Tau_j))),Resal+(Salim-Resal)*(1-EXP((Tnet-t)/(Tau_j))))*Salcycl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4.5761909779023575E-4</v>
      </c>
      <c r="Q301" s="305">
        <f t="shared" si="105"/>
        <v>0.7</v>
      </c>
      <c r="R301" s="177">
        <f t="shared" si="106"/>
        <v>0.97240684297265423</v>
      </c>
      <c r="S301" s="919">
        <f t="shared" si="107"/>
        <v>-2</v>
      </c>
      <c r="T301" s="176">
        <f t="shared" si="108"/>
        <v>4</v>
      </c>
      <c r="U301" s="251">
        <f t="shared" si="109"/>
        <v>-1.0275931570273458</v>
      </c>
      <c r="V301" s="383">
        <f t="shared" si="110"/>
        <v>38.530492446648658</v>
      </c>
      <c r="W301" s="402">
        <f t="shared" si="111"/>
        <v>16.557882350374538</v>
      </c>
      <c r="X301" s="157">
        <f t="shared" si="112"/>
        <v>46309</v>
      </c>
      <c r="Y301" s="385">
        <f t="shared" si="113"/>
        <v>15.910616385060765</v>
      </c>
      <c r="Z301" s="385">
        <f t="shared" si="114"/>
        <v>17.015770452272381</v>
      </c>
      <c r="AA301" s="386">
        <f t="shared" si="115"/>
        <v>18.247137990656828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6.7482776697088021E-2</v>
      </c>
      <c r="AD301" s="231">
        <f>(INDEX(Models!$BJ301:$BT301,,AH301)*(1-AF301)+INDEX(Models!$BJ301:$BT301,,AH301+1)*AF301-ERP_i)*AE301*Ramure*Pc/MaxiM</f>
        <v>6.2634449475155235E-3</v>
      </c>
      <c r="AE301" s="305">
        <f t="shared" si="117"/>
        <v>0.7</v>
      </c>
      <c r="AF301" s="177">
        <f t="shared" si="118"/>
        <v>0.49739440934663337</v>
      </c>
      <c r="AG301" s="919">
        <f t="shared" si="124"/>
        <v>2</v>
      </c>
      <c r="AH301" s="176">
        <f t="shared" si="119"/>
        <v>8</v>
      </c>
      <c r="AI301" s="225">
        <f t="shared" si="120"/>
        <v>2.4973944093466334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1090">
        <f>IF(t&gt;Tmaj,'2025'!Wh/'2025'!Env_an*'2026'!Env_an,0.001*'[12]mon-tableau (1)'!$B$52)</f>
        <v>36.974528497931921</v>
      </c>
      <c r="C302" s="953"/>
      <c r="D302" s="393">
        <f t="shared" si="102"/>
        <v>39.543651520378567</v>
      </c>
      <c r="E302" s="385">
        <f t="shared" si="125"/>
        <v>40.795910790972876</v>
      </c>
      <c r="F302" s="385">
        <f t="shared" si="103"/>
        <v>40.813707888463412</v>
      </c>
      <c r="G302" s="110">
        <f t="shared" si="126"/>
        <v>0.96585632715283753</v>
      </c>
      <c r="H302" s="412" t="b">
        <f>Wh_hp&gt;='2025'!Maxi_hp</f>
        <v>0</v>
      </c>
      <c r="I302" s="390">
        <f>IF(H302,Wh_hp,'2025'!Maxi_hp)</f>
        <v>40.814177101237298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6.4969291496074111E-2</v>
      </c>
      <c r="M302" s="957"/>
      <c r="N302" s="957"/>
      <c r="O302" s="48">
        <f>IF(t&lt;Tnet,'2025'!Resal+('2025'!Salim-'2025'!Resal)*(1-EXP(('2025'!Tnet-t)/('2025'!Tau_j))),Resal+(Salim-Resal)*(1-EXP((Tnet-t)/(Tau_j))))*Salcycl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4.5840205285036667E-4</v>
      </c>
      <c r="Q302" s="305">
        <f t="shared" si="105"/>
        <v>0.7</v>
      </c>
      <c r="R302" s="177">
        <f t="shared" si="106"/>
        <v>0.97251930981202039</v>
      </c>
      <c r="S302" s="919">
        <f t="shared" si="107"/>
        <v>-2</v>
      </c>
      <c r="T302" s="176">
        <f t="shared" si="108"/>
        <v>4</v>
      </c>
      <c r="U302" s="251">
        <f t="shared" si="109"/>
        <v>-1.0274806901879796</v>
      </c>
      <c r="V302" s="383">
        <f t="shared" si="110"/>
        <v>38.280747244977384</v>
      </c>
      <c r="W302" s="402">
        <f t="shared" si="111"/>
        <v>36.974528497931921</v>
      </c>
      <c r="X302" s="157">
        <f t="shared" si="112"/>
        <v>46310</v>
      </c>
      <c r="Y302" s="385">
        <f t="shared" si="113"/>
        <v>35.373053817613993</v>
      </c>
      <c r="Z302" s="385">
        <f t="shared" si="114"/>
        <v>37.830900628078645</v>
      </c>
      <c r="AA302" s="386">
        <f t="shared" si="115"/>
        <v>40.570522762632457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6.7527405317960199E-2</v>
      </c>
      <c r="AD302" s="231">
        <f>(INDEX(Models!$BJ302:$BT302,,AH302)*(1-AF302)+INDEX(Models!$BJ302:$BT302,,AH302+1)*AF302-ERP_i)*AE302*Ramure*Pc/MaxiM</f>
        <v>6.263749522238171E-3</v>
      </c>
      <c r="AE302" s="305">
        <f t="shared" si="117"/>
        <v>0.7</v>
      </c>
      <c r="AF302" s="177">
        <f t="shared" si="118"/>
        <v>0.49750687618599931</v>
      </c>
      <c r="AG302" s="919">
        <f t="shared" si="124"/>
        <v>2</v>
      </c>
      <c r="AH302" s="176">
        <f t="shared" si="119"/>
        <v>8</v>
      </c>
      <c r="AI302" s="225">
        <f t="shared" si="120"/>
        <v>2.4975068761859993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1090">
        <f>IF(t&gt;Tmaj,'2025'!Wh/'2025'!Env_an*'2026'!Env_an,0.001*'[12]mon-tableau (1)'!$B$53)</f>
        <v>33.380682388782645</v>
      </c>
      <c r="C303" s="953"/>
      <c r="D303" s="393">
        <f t="shared" si="102"/>
        <v>35.700874018160526</v>
      </c>
      <c r="E303" s="385">
        <f t="shared" si="125"/>
        <v>36.835394789106893</v>
      </c>
      <c r="F303" s="385">
        <f t="shared" si="103"/>
        <v>36.849311957797013</v>
      </c>
      <c r="G303" s="110">
        <f t="shared" si="126"/>
        <v>0.87768634801871726</v>
      </c>
      <c r="H303" s="412" t="b">
        <f>Wh_hp&gt;='2025'!Maxi_hp</f>
        <v>0</v>
      </c>
      <c r="I303" s="390">
        <f>IF(H303,Wh_hp,'2025'!Maxi_hp)</f>
        <v>39.359495276629886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6.4989771068283408E-2</v>
      </c>
      <c r="M303" s="957"/>
      <c r="N303" s="957"/>
      <c r="O303" s="48">
        <f>IF(t&lt;Tnet,'2025'!Resal+('2025'!Salim-'2025'!Resal)*(1-EXP(('2025'!Tnet-t)/('2025'!Tau_j))),Resal+(Salim-Resal)*(1-EXP((Tnet-t)/(Tau_j))))*Salcycl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4.5758807267494412E-4</v>
      </c>
      <c r="Q303" s="305">
        <f t="shared" si="105"/>
        <v>0.7</v>
      </c>
      <c r="R303" s="177">
        <f t="shared" si="106"/>
        <v>0.97262729618665333</v>
      </c>
      <c r="S303" s="919">
        <f t="shared" si="107"/>
        <v>-2</v>
      </c>
      <c r="T303" s="176">
        <f t="shared" si="108"/>
        <v>4</v>
      </c>
      <c r="U303" s="251">
        <f t="shared" si="109"/>
        <v>-1.0273727038133467</v>
      </c>
      <c r="V303" s="383">
        <f t="shared" si="110"/>
        <v>38.029546657919205</v>
      </c>
      <c r="W303" s="402">
        <f t="shared" si="111"/>
        <v>33.380682388782645</v>
      </c>
      <c r="X303" s="157">
        <f t="shared" si="112"/>
        <v>46311</v>
      </c>
      <c r="Y303" s="385">
        <f t="shared" si="113"/>
        <v>31.960320544593728</v>
      </c>
      <c r="Z303" s="385">
        <f t="shared" si="114"/>
        <v>34.181787060350736</v>
      </c>
      <c r="AA303" s="386">
        <f t="shared" si="115"/>
        <v>36.658862194863865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6.7570977008123895E-2</v>
      </c>
      <c r="AD303" s="231">
        <f>(INDEX(Models!$BJ303:$BT303,,AH303)*(1-AF303)+INDEX(Models!$BJ303:$BT303,,AH303+1)*AF303-ERP_i)*AE303*Ramure*Pc/MaxiM</f>
        <v>6.2618727919734503E-3</v>
      </c>
      <c r="AE303" s="305">
        <f t="shared" si="117"/>
        <v>0.7</v>
      </c>
      <c r="AF303" s="177">
        <f t="shared" si="118"/>
        <v>0.49761486256063225</v>
      </c>
      <c r="AG303" s="919">
        <f t="shared" si="124"/>
        <v>2</v>
      </c>
      <c r="AH303" s="176">
        <f t="shared" si="119"/>
        <v>8</v>
      </c>
      <c r="AI303" s="225">
        <f t="shared" si="120"/>
        <v>2.4976148625606323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1090">
        <f>IF(t&gt;Tmaj,'2025'!Wh/'2025'!Env_an*'2026'!Env_an,0.001*'[12]mon-tableau (1)'!$B$54)</f>
        <v>22.479661676904779</v>
      </c>
      <c r="C304" s="953"/>
      <c r="D304" s="393">
        <f t="shared" si="102"/>
        <v>24.042682480229832</v>
      </c>
      <c r="E304" s="385">
        <f t="shared" si="125"/>
        <v>24.809369537995458</v>
      </c>
      <c r="F304" s="385">
        <f t="shared" si="103"/>
        <v>24.814132007537694</v>
      </c>
      <c r="G304" s="110">
        <f t="shared" si="126"/>
        <v>0.59491209268607459</v>
      </c>
      <c r="H304" s="412" t="b">
        <f>Wh_hp&gt;='2025'!Maxi_hp</f>
        <v>0</v>
      </c>
      <c r="I304" s="390">
        <f>IF(H304,Wh_hp,'2025'!Maxi_hp)</f>
        <v>39.909622414686694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6.5010250191937513E-2</v>
      </c>
      <c r="M304" s="957"/>
      <c r="N304" s="957"/>
      <c r="O304" s="48">
        <f>IF(t&lt;Tnet,'2025'!Resal+('2025'!Salim-'2025'!Resal)*(1-EXP(('2025'!Tnet-t)/('2025'!Tau_j))),Resal+(Salim-Resal)*(1-EXP((Tnet-t)/(Tau_j))))*Salcycl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4.5531063192497996E-4</v>
      </c>
      <c r="Q304" s="305">
        <f t="shared" si="105"/>
        <v>0.7</v>
      </c>
      <c r="R304" s="177">
        <f t="shared" si="106"/>
        <v>0.97273097875189807</v>
      </c>
      <c r="S304" s="919">
        <f t="shared" si="107"/>
        <v>-2</v>
      </c>
      <c r="T304" s="176">
        <f t="shared" si="108"/>
        <v>4</v>
      </c>
      <c r="U304" s="251">
        <f t="shared" si="109"/>
        <v>-1.0272690212481019</v>
      </c>
      <c r="V304" s="383">
        <f t="shared" si="110"/>
        <v>37.776572391726745</v>
      </c>
      <c r="W304" s="402">
        <f t="shared" si="111"/>
        <v>22.479661676904779</v>
      </c>
      <c r="X304" s="157">
        <f t="shared" si="112"/>
        <v>46312</v>
      </c>
      <c r="Y304" s="385">
        <f t="shared" si="113"/>
        <v>21.57511842673377</v>
      </c>
      <c r="Z304" s="385">
        <f t="shared" si="114"/>
        <v>23.075245938431706</v>
      </c>
      <c r="AA304" s="386">
        <f t="shared" si="115"/>
        <v>24.748584724106362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6.7613514240462358E-2</v>
      </c>
      <c r="AD304" s="231">
        <f>(INDEX(Models!$BJ304:$BT304,,AH304)*(1-AF304)+INDEX(Models!$BJ304:$BT304,,AH304+1)*AF304-ERP_i)*AE304*Ramure*Pc/MaxiM</f>
        <v>6.2665755183136732E-3</v>
      </c>
      <c r="AE304" s="305">
        <f t="shared" si="117"/>
        <v>0.7</v>
      </c>
      <c r="AF304" s="177">
        <f t="shared" si="118"/>
        <v>0.49771854512587721</v>
      </c>
      <c r="AG304" s="919">
        <f t="shared" si="124"/>
        <v>2</v>
      </c>
      <c r="AH304" s="176">
        <f t="shared" si="119"/>
        <v>8</v>
      </c>
      <c r="AI304" s="225">
        <f t="shared" si="120"/>
        <v>2.4977185451258772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1090">
        <f>IF(t&gt;Tmaj,'2025'!Wh/'2025'!Env_an*'2026'!Env_an,0.001*'[12]mon-tableau (1)'!$B$55)</f>
        <v>34.401029936897942</v>
      </c>
      <c r="C305" s="953"/>
      <c r="D305" s="393">
        <f t="shared" si="102"/>
        <v>36.793754617424291</v>
      </c>
      <c r="E305" s="385">
        <f t="shared" si="125"/>
        <v>37.971080452869984</v>
      </c>
      <c r="F305" s="385">
        <f t="shared" si="103"/>
        <v>37.986233158844989</v>
      </c>
      <c r="G305" s="110">
        <f t="shared" si="126"/>
        <v>0.91678132324790396</v>
      </c>
      <c r="H305" s="412" t="b">
        <f>Wh_hp&gt;='2025'!Maxi_hp</f>
        <v>0</v>
      </c>
      <c r="I305" s="390">
        <f>IF(H305,Wh_hp,'2025'!Maxi_hp)</f>
        <v>40.636688636439388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6.5030728867046195E-2</v>
      </c>
      <c r="M305" s="957"/>
      <c r="N305" s="957"/>
      <c r="O305" s="48">
        <f>IF(t&lt;Tnet,'2025'!Resal+('2025'!Salim-'2025'!Resal)*(1-EXP(('2025'!Tnet-t)/('2025'!Tau_j))),Resal+(Salim-Resal)*(1-EXP((Tnet-t)/(Tau_j))))*Salcycl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4.5268495180210346E-4</v>
      </c>
      <c r="Q305" s="305">
        <f t="shared" si="105"/>
        <v>0.7</v>
      </c>
      <c r="R305" s="177">
        <f t="shared" si="106"/>
        <v>0.97283052734233877</v>
      </c>
      <c r="S305" s="919">
        <f t="shared" si="107"/>
        <v>-2</v>
      </c>
      <c r="T305" s="176">
        <f t="shared" si="108"/>
        <v>4</v>
      </c>
      <c r="U305" s="251">
        <f t="shared" si="109"/>
        <v>-1.0271694726576612</v>
      </c>
      <c r="V305" s="383">
        <f t="shared" si="110"/>
        <v>37.521683815207311</v>
      </c>
      <c r="W305" s="402">
        <f t="shared" si="111"/>
        <v>34.401029936897942</v>
      </c>
      <c r="X305" s="157">
        <f t="shared" si="112"/>
        <v>46313</v>
      </c>
      <c r="Y305" s="385">
        <f t="shared" si="113"/>
        <v>32.929829264990154</v>
      </c>
      <c r="Z305" s="385">
        <f t="shared" si="114"/>
        <v>35.220226248812715</v>
      </c>
      <c r="AA305" s="386">
        <f t="shared" si="115"/>
        <v>37.775960484103102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6.7655043115737501E-2</v>
      </c>
      <c r="AD305" s="231">
        <f>(INDEX(Models!$BJ305:$BT305,,AH305)*(1-AF305)+INDEX(Models!$BJ305:$BT305,,AH305+1)*AF305-ERP_i)*AE305*Ramure*Pc/MaxiM</f>
        <v>6.2818664724195034E-3</v>
      </c>
      <c r="AE305" s="305">
        <f t="shared" si="117"/>
        <v>0.7</v>
      </c>
      <c r="AF305" s="177">
        <f t="shared" si="118"/>
        <v>0.49781809371631791</v>
      </c>
      <c r="AG305" s="919">
        <f t="shared" si="124"/>
        <v>2</v>
      </c>
      <c r="AH305" s="176">
        <f t="shared" si="119"/>
        <v>8</v>
      </c>
      <c r="AI305" s="225">
        <f t="shared" si="120"/>
        <v>2.4978180937163179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1090">
        <f>IF(t&gt;Tmaj,'2025'!Wh/'2025'!Env_an*'2026'!Env_an,0.001*'[12]mon-tableau (1)'!$B$56)</f>
        <v>14.64507070072087</v>
      </c>
      <c r="C306" s="953"/>
      <c r="D306" s="393">
        <f t="shared" si="102"/>
        <v>15.664035091371392</v>
      </c>
      <c r="E306" s="385">
        <f t="shared" si="125"/>
        <v>16.166955889433922</v>
      </c>
      <c r="F306" s="385">
        <f t="shared" si="103"/>
        <v>16.16792188595636</v>
      </c>
      <c r="G306" s="110">
        <f t="shared" si="126"/>
        <v>0.39284703000577276</v>
      </c>
      <c r="H306" s="412" t="b">
        <f>Wh_hp&gt;='2025'!Maxi_hp</f>
        <v>0</v>
      </c>
      <c r="I306" s="390">
        <f>IF(H306,Wh_hp,'2025'!Maxi_hp)</f>
        <v>39.555235344496339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6.5051207093619445E-2</v>
      </c>
      <c r="M306" s="957"/>
      <c r="N306" s="957"/>
      <c r="O306" s="48">
        <f>IF(t&lt;Tnet,'2025'!Resal+('2025'!Salim-'2025'!Resal)*(1-EXP(('2025'!Tnet-t)/('2025'!Tau_j))),Resal+(Salim-Resal)*(1-EXP((Tnet-t)/(Tau_j))))*Salcycl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4.4971261716285999E-4</v>
      </c>
      <c r="Q306" s="305">
        <f t="shared" si="105"/>
        <v>0.7</v>
      </c>
      <c r="R306" s="177">
        <f t="shared" si="106"/>
        <v>0.97292610522376877</v>
      </c>
      <c r="S306" s="919">
        <f t="shared" si="107"/>
        <v>-2</v>
      </c>
      <c r="T306" s="176">
        <f t="shared" si="108"/>
        <v>4</v>
      </c>
      <c r="U306" s="251">
        <f t="shared" si="109"/>
        <v>-1.0270738947762312</v>
      </c>
      <c r="V306" s="383">
        <f t="shared" si="110"/>
        <v>37.26478292535451</v>
      </c>
      <c r="W306" s="402">
        <f t="shared" si="111"/>
        <v>14.64507070072087</v>
      </c>
      <c r="X306" s="157">
        <f t="shared" si="112"/>
        <v>46314</v>
      </c>
      <c r="Y306" s="385">
        <f t="shared" si="113"/>
        <v>14.0810699037416</v>
      </c>
      <c r="Z306" s="385">
        <f t="shared" si="114"/>
        <v>15.060792645091508</v>
      </c>
      <c r="AA306" s="386">
        <f t="shared" si="115"/>
        <v>16.154372475398596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6.7695593374022658E-2</v>
      </c>
      <c r="AD306" s="231">
        <f>(INDEX(Models!$BJ306:$BT306,,AH306)*(1-AF306)+INDEX(Models!$BJ306:$BT306,,AH306+1)*AF306-ERP_i)*AE306*Ramure*Pc/MaxiM</f>
        <v>6.3078290049851538E-3</v>
      </c>
      <c r="AE306" s="305">
        <f t="shared" si="117"/>
        <v>0.7</v>
      </c>
      <c r="AF306" s="177">
        <f t="shared" si="118"/>
        <v>0.49791367159774769</v>
      </c>
      <c r="AG306" s="919">
        <f t="shared" si="124"/>
        <v>2</v>
      </c>
      <c r="AH306" s="176">
        <f t="shared" si="119"/>
        <v>8</v>
      </c>
      <c r="AI306" s="225">
        <f t="shared" si="120"/>
        <v>2.4979136715977477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1090">
        <f>IF(t&gt;Tmaj,'2025'!Wh/'2025'!Env_an*'2026'!Env_an,0.001*'[12]mon-tableau (1)'!$B$57)</f>
        <v>8.3994278906202844</v>
      </c>
      <c r="C307" s="953"/>
      <c r="D307" s="393">
        <f t="shared" si="102"/>
        <v>8.9840341282928584</v>
      </c>
      <c r="E307" s="385">
        <f t="shared" si="125"/>
        <v>9.2734531368995068</v>
      </c>
      <c r="F307" s="385">
        <f t="shared" si="103"/>
        <v>9.2734531368995068</v>
      </c>
      <c r="G307" s="110">
        <f t="shared" si="126"/>
        <v>0.22687483711163517</v>
      </c>
      <c r="H307" s="412" t="b">
        <f>Wh_hp&gt;='2025'!Maxi_hp</f>
        <v>0</v>
      </c>
      <c r="I307" s="390">
        <f>IF(H307,Wh_hp,'2025'!Maxi_hp)</f>
        <v>32.753589060137877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6.5071684871666924E-2</v>
      </c>
      <c r="M307" s="957"/>
      <c r="N307" s="957"/>
      <c r="O307" s="48">
        <f>IF(t&lt;Tnet,'2025'!Resal+('2025'!Salim-'2025'!Resal)*(1-EXP(('2025'!Tnet-t)/('2025'!Tau_j))),Resal+(Salim-Resal)*(1-EXP((Tnet-t)/(Tau_j))))*Salcycl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4.4639554031853344E-4</v>
      </c>
      <c r="Q307" s="305">
        <f t="shared" si="105"/>
        <v>0.7</v>
      </c>
      <c r="R307" s="177">
        <f t="shared" si="106"/>
        <v>0.97301786933676215</v>
      </c>
      <c r="S307" s="919">
        <f t="shared" si="107"/>
        <v>-2</v>
      </c>
      <c r="T307" s="176">
        <f t="shared" si="108"/>
        <v>4</v>
      </c>
      <c r="U307" s="251">
        <f t="shared" si="109"/>
        <v>-1.0269821306632378</v>
      </c>
      <c r="V307" s="383">
        <f t="shared" si="110"/>
        <v>37.005771686075256</v>
      </c>
      <c r="W307" s="402">
        <f t="shared" si="111"/>
        <v>8.3994278906202844</v>
      </c>
      <c r="X307" s="157">
        <f t="shared" si="112"/>
        <v>46315</v>
      </c>
      <c r="Y307" s="385">
        <f t="shared" si="113"/>
        <v>8.0827488040647548</v>
      </c>
      <c r="Z307" s="385">
        <f t="shared" si="114"/>
        <v>8.6453139489686706</v>
      </c>
      <c r="AA307" s="386">
        <f t="shared" si="115"/>
        <v>9.2734531368995068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6.7735198383808176E-2</v>
      </c>
      <c r="AD307" s="231">
        <f>(INDEX(Models!$BJ307:$BT307,,AH307)*(1-AF307)+INDEX(Models!$BJ307:$BT307,,AH307+1)*AF307-ERP_i)*AE307*Ramure*Pc/MaxiM</f>
        <v>6.3445472370669536E-3</v>
      </c>
      <c r="AE307" s="305">
        <f t="shared" si="117"/>
        <v>0.7</v>
      </c>
      <c r="AF307" s="177">
        <f t="shared" si="118"/>
        <v>0.4980054357107413</v>
      </c>
      <c r="AG307" s="919">
        <f t="shared" si="124"/>
        <v>2</v>
      </c>
      <c r="AH307" s="176">
        <f t="shared" si="119"/>
        <v>8</v>
      </c>
      <c r="AI307" s="225">
        <f t="shared" si="120"/>
        <v>2.4980054357107413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1090">
        <f>IF(t&gt;Tmaj,'2025'!Wh/'2025'!Env_an*'2026'!Env_an,0.001*'[12]mon-tableau (1)'!$B$58)</f>
        <v>15.351233915190971</v>
      </c>
      <c r="C308" s="953"/>
      <c r="D308" s="393">
        <f t="shared" si="102"/>
        <v>16.420050506084923</v>
      </c>
      <c r="E308" s="385">
        <f t="shared" si="125"/>
        <v>16.950784014836042</v>
      </c>
      <c r="F308" s="385">
        <f t="shared" si="103"/>
        <v>16.952046859580371</v>
      </c>
      <c r="G308" s="110">
        <f t="shared" si="126"/>
        <v>0.41762872847137322</v>
      </c>
      <c r="H308" s="412" t="b">
        <f>Wh_hp&gt;='2025'!Maxi_hp</f>
        <v>0</v>
      </c>
      <c r="I308" s="390">
        <f>IF(H308,Wh_hp,'2025'!Maxi_hp)</f>
        <v>25.301063614108177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6.5092162201198511E-2</v>
      </c>
      <c r="M308" s="957"/>
      <c r="N308" s="957"/>
      <c r="O308" s="48">
        <f>IF(t&lt;Tnet,'2025'!Resal+('2025'!Salim-'2025'!Resal)*(1-EXP(('2025'!Tnet-t)/('2025'!Tau_j))),Resal+(Salim-Resal)*(1-EXP((Tnet-t)/(Tau_j))))*Salcycl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4.4273593885286734E-4</v>
      </c>
      <c r="Q308" s="305">
        <f t="shared" si="105"/>
        <v>0.7</v>
      </c>
      <c r="R308" s="177">
        <f t="shared" si="106"/>
        <v>0.9731059705320475</v>
      </c>
      <c r="S308" s="919">
        <f t="shared" si="107"/>
        <v>-2</v>
      </c>
      <c r="T308" s="176">
        <f t="shared" si="108"/>
        <v>4</v>
      </c>
      <c r="U308" s="251">
        <f t="shared" si="109"/>
        <v>-1.0268940294679525</v>
      </c>
      <c r="V308" s="383">
        <f t="shared" si="110"/>
        <v>36.74455203128614</v>
      </c>
      <c r="W308" s="402">
        <f t="shared" si="111"/>
        <v>15.351233915190971</v>
      </c>
      <c r="X308" s="157">
        <f t="shared" si="112"/>
        <v>46316</v>
      </c>
      <c r="Y308" s="385">
        <f t="shared" si="113"/>
        <v>14.758589459062323</v>
      </c>
      <c r="Z308" s="385">
        <f t="shared" si="114"/>
        <v>15.786143684291661</v>
      </c>
      <c r="AA308" s="386">
        <f t="shared" si="115"/>
        <v>16.933814233966917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6.7773895108237711E-2</v>
      </c>
      <c r="AD308" s="231">
        <f>(INDEX(Models!$BJ308:$BT308,,AH308)*(1-AF308)+INDEX(Models!$BJ308:$BT308,,AH308+1)*AF308-ERP_i)*AE308*Ramure*Pc/MaxiM</f>
        <v>6.392106911774673E-3</v>
      </c>
      <c r="AE308" s="305">
        <f t="shared" si="117"/>
        <v>0.7</v>
      </c>
      <c r="AF308" s="177">
        <f t="shared" si="118"/>
        <v>0.49809353690602665</v>
      </c>
      <c r="AG308" s="919">
        <f t="shared" si="124"/>
        <v>2</v>
      </c>
      <c r="AH308" s="176">
        <f t="shared" si="119"/>
        <v>8</v>
      </c>
      <c r="AI308" s="225">
        <f t="shared" si="120"/>
        <v>2.4980935369060266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1090">
        <f>IF(t&gt;Tmaj,'2025'!Wh/'2025'!Env_an*'2026'!Env_an,0.001*'[12]mon-tableau (1)'!$B$59)</f>
        <v>33.114223768591174</v>
      </c>
      <c r="C309" s="953"/>
      <c r="D309" s="393">
        <f t="shared" si="102"/>
        <v>35.420549205075403</v>
      </c>
      <c r="E309" s="385">
        <f t="shared" si="125"/>
        <v>36.569207011959605</v>
      </c>
      <c r="F309" s="385">
        <f t="shared" si="103"/>
        <v>36.583141259986931</v>
      </c>
      <c r="G309" s="110">
        <f t="shared" si="126"/>
        <v>0.90765834573605808</v>
      </c>
      <c r="H309" s="412" t="b">
        <f>Wh_hp&gt;='2025'!Maxi_hp</f>
        <v>0</v>
      </c>
      <c r="I309" s="390">
        <f>IF(H309,Wh_hp,'2025'!Maxi_hp)</f>
        <v>36.584229180190739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6.5112639082223978E-2</v>
      </c>
      <c r="M309" s="957"/>
      <c r="N309" s="957"/>
      <c r="O309" s="48">
        <f>IF(t&lt;Tnet,'2025'!Resal+('2025'!Salim-'2025'!Resal)*(1-EXP(('2025'!Tnet-t)/('2025'!Tau_j))),Resal+(Salim-Resal)*(1-EXP((Tnet-t)/(Tau_j))))*Salcycl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4.387363090038529E-4</v>
      </c>
      <c r="Q309" s="305">
        <f t="shared" si="105"/>
        <v>0.7</v>
      </c>
      <c r="R309" s="177">
        <f t="shared" si="106"/>
        <v>0.97319055379789332</v>
      </c>
      <c r="S309" s="919">
        <f t="shared" si="107"/>
        <v>-2</v>
      </c>
      <c r="T309" s="176">
        <f t="shared" si="108"/>
        <v>4</v>
      </c>
      <c r="U309" s="251">
        <f t="shared" si="109"/>
        <v>-1.0268094462021067</v>
      </c>
      <c r="V309" s="383">
        <f t="shared" si="110"/>
        <v>36.481025867250949</v>
      </c>
      <c r="W309" s="402">
        <f t="shared" si="111"/>
        <v>33.114223768591174</v>
      </c>
      <c r="X309" s="157">
        <f t="shared" si="112"/>
        <v>46317</v>
      </c>
      <c r="Y309" s="385">
        <f t="shared" si="113"/>
        <v>31.703336751693815</v>
      </c>
      <c r="Z309" s="385">
        <f t="shared" si="114"/>
        <v>33.911397326594241</v>
      </c>
      <c r="AA309" s="386">
        <f t="shared" si="115"/>
        <v>36.378270571968045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6.7811724048110686E-2</v>
      </c>
      <c r="AD309" s="231">
        <f>(INDEX(Models!$BJ309:$BT309,,AH309)*(1-AF309)+INDEX(Models!$BJ309:$BT309,,AH309+1)*AF309-ERP_i)*AE309*Ramure*Pc/MaxiM</f>
        <v>6.4505963513942638E-3</v>
      </c>
      <c r="AE309" s="305">
        <f t="shared" si="117"/>
        <v>0.7</v>
      </c>
      <c r="AF309" s="177">
        <f t="shared" si="118"/>
        <v>0.49817812017187268</v>
      </c>
      <c r="AG309" s="919">
        <f t="shared" si="124"/>
        <v>2</v>
      </c>
      <c r="AH309" s="176">
        <f t="shared" si="119"/>
        <v>8</v>
      </c>
      <c r="AI309" s="225">
        <f t="shared" si="120"/>
        <v>2.4981781201718727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1090">
        <f>IF(t&gt;Tmaj,'2025'!Wh/'2025'!Env_an*'2026'!Env_an,0.001*'[12]mon-tableau (1)'!$B$60)</f>
        <v>18.860485781838804</v>
      </c>
      <c r="C310" s="953"/>
      <c r="D310" s="393">
        <f t="shared" si="102"/>
        <v>20.17451478369961</v>
      </c>
      <c r="E310" s="385">
        <f t="shared" si="125"/>
        <v>20.830900614616898</v>
      </c>
      <c r="F310" s="385">
        <f t="shared" si="103"/>
        <v>20.833755748453672</v>
      </c>
      <c r="G310" s="110">
        <f t="shared" si="126"/>
        <v>0.52063584808639618</v>
      </c>
      <c r="H310" s="412" t="b">
        <f>Wh_hp&gt;='2025'!Maxi_hp</f>
        <v>0</v>
      </c>
      <c r="I310" s="390">
        <f>IF(H310,Wh_hp,'2025'!Maxi_hp)</f>
        <v>40.417600881584974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6.5133115514753315E-2</v>
      </c>
      <c r="M310" s="957"/>
      <c r="N310" s="957"/>
      <c r="O310" s="48">
        <f>IF(t&lt;Tnet,'2025'!Resal+('2025'!Salim-'2025'!Resal)*(1-EXP(('2025'!Tnet-t)/('2025'!Tau_j))),Resal+(Salim-Resal)*(1-EXP((Tnet-t)/(Tau_j))))*Salcycl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4.3448623239247851E-4</v>
      </c>
      <c r="Q310" s="305">
        <f t="shared" si="105"/>
        <v>0.7</v>
      </c>
      <c r="R310" s="177">
        <f t="shared" si="106"/>
        <v>0.97327175847971503</v>
      </c>
      <c r="S310" s="919">
        <f t="shared" si="107"/>
        <v>-2</v>
      </c>
      <c r="T310" s="176">
        <f t="shared" si="108"/>
        <v>4</v>
      </c>
      <c r="U310" s="251">
        <f t="shared" si="109"/>
        <v>-1.026728241520285</v>
      </c>
      <c r="V310" s="383">
        <f t="shared" si="110"/>
        <v>36.215091931434642</v>
      </c>
      <c r="W310" s="402">
        <f t="shared" si="111"/>
        <v>18.860485781838804</v>
      </c>
      <c r="X310" s="157">
        <f t="shared" si="112"/>
        <v>46318</v>
      </c>
      <c r="Y310" s="385">
        <f t="shared" si="113"/>
        <v>18.117882435655019</v>
      </c>
      <c r="Z310" s="385">
        <f t="shared" si="114"/>
        <v>19.380173515966423</v>
      </c>
      <c r="AA310" s="386">
        <f t="shared" si="115"/>
        <v>20.790803083423139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6.784872916147397E-2</v>
      </c>
      <c r="AD310" s="231">
        <f>(INDEX(Models!$BJ310:$BT310,,AH310)*(1-AF310)+INDEX(Models!$BJ310:$BT310,,AH310+1)*AF310-ERP_i)*AE310*Ramure*Pc/MaxiM</f>
        <v>6.536415687406677E-3</v>
      </c>
      <c r="AE310" s="305">
        <f t="shared" si="117"/>
        <v>0.7</v>
      </c>
      <c r="AF310" s="177">
        <f t="shared" si="118"/>
        <v>0.49825932485369417</v>
      </c>
      <c r="AG310" s="919">
        <f t="shared" si="124"/>
        <v>2</v>
      </c>
      <c r="AH310" s="176">
        <f t="shared" si="119"/>
        <v>8</v>
      </c>
      <c r="AI310" s="225">
        <f t="shared" si="120"/>
        <v>2.4982593248536942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1090">
        <f>IF(t&gt;Tmaj,'2025'!Wh/'2025'!Env_an*'2026'!Env_an,0.001*'[12]mon-tableau (1)'!$B$61)</f>
        <v>25.159511735550545</v>
      </c>
      <c r="C311" s="953"/>
      <c r="D311" s="393">
        <f t="shared" si="102"/>
        <v>26.912989670557359</v>
      </c>
      <c r="E311" s="385">
        <f t="shared" si="125"/>
        <v>27.791458822827764</v>
      </c>
      <c r="F311" s="385">
        <f t="shared" si="103"/>
        <v>27.798294859935144</v>
      </c>
      <c r="G311" s="110">
        <f t="shared" si="126"/>
        <v>0.69978364882951383</v>
      </c>
      <c r="H311" s="412" t="b">
        <f>Wh_hp&gt;='2025'!Maxi_hp</f>
        <v>0</v>
      </c>
      <c r="I311" s="390">
        <f>IF(H311,Wh_hp,'2025'!Maxi_hp)</f>
        <v>41.588960428568228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6.5153591498796071E-2</v>
      </c>
      <c r="M311" s="957"/>
      <c r="N311" s="957"/>
      <c r="O311" s="48">
        <f>IF(t&lt;Tnet,'2025'!Resal+('2025'!Salim-'2025'!Resal)*(1-EXP(('2025'!Tnet-t)/('2025'!Tau_j))),Resal+(Salim-Resal)*(1-EXP((Tnet-t)/(Tau_j))))*Salcycl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4.3044627162958451E-4</v>
      </c>
      <c r="Q311" s="305">
        <f t="shared" si="105"/>
        <v>0.7</v>
      </c>
      <c r="R311" s="177">
        <f t="shared" si="106"/>
        <v>0.97334971849210783</v>
      </c>
      <c r="S311" s="919">
        <f t="shared" si="107"/>
        <v>-2</v>
      </c>
      <c r="T311" s="176">
        <f t="shared" si="108"/>
        <v>4</v>
      </c>
      <c r="U311" s="251">
        <f t="shared" si="109"/>
        <v>-1.0266502815078922</v>
      </c>
      <c r="V311" s="383">
        <f t="shared" si="110"/>
        <v>35.946635701649789</v>
      </c>
      <c r="W311" s="402">
        <f t="shared" si="111"/>
        <v>25.159511735550545</v>
      </c>
      <c r="X311" s="157">
        <f t="shared" si="112"/>
        <v>46319</v>
      </c>
      <c r="Y311" s="385">
        <f t="shared" si="113"/>
        <v>24.131007131511705</v>
      </c>
      <c r="Z311" s="385">
        <f t="shared" si="114"/>
        <v>25.812804020074093</v>
      </c>
      <c r="AA311" s="386">
        <f t="shared" si="115"/>
        <v>27.692723376759698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6.7884957759816039E-2</v>
      </c>
      <c r="AD311" s="231">
        <f>(INDEX(Models!$BJ311:$BT311,,AH311)*(1-AF311)+INDEX(Models!$BJ311:$BT311,,AH311+1)*AF311-ERP_i)*AE311*Ramure*Pc/MaxiM</f>
        <v>6.6475431027469313E-3</v>
      </c>
      <c r="AE311" s="305">
        <f t="shared" si="117"/>
        <v>0.7</v>
      </c>
      <c r="AF311" s="177">
        <f t="shared" si="118"/>
        <v>0.49833728486608697</v>
      </c>
      <c r="AG311" s="919">
        <f t="shared" si="124"/>
        <v>2</v>
      </c>
      <c r="AH311" s="176">
        <f t="shared" si="119"/>
        <v>8</v>
      </c>
      <c r="AI311" s="225">
        <f t="shared" si="120"/>
        <v>2.498337284866087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1090">
        <f>IF(t&gt;Tmaj,'2025'!Wh/'2025'!Env_an*'2026'!Env_an,0.001*'[12]mon-tableau (1)'!$B$62)</f>
        <v>22.218813662786321</v>
      </c>
      <c r="C312" s="953"/>
      <c r="D312" s="393">
        <f t="shared" si="102"/>
        <v>23.767861886650337</v>
      </c>
      <c r="E312" s="385">
        <f t="shared" si="125"/>
        <v>24.54616956499023</v>
      </c>
      <c r="F312" s="385">
        <f t="shared" si="103"/>
        <v>24.550999639650385</v>
      </c>
      <c r="G312" s="110">
        <f t="shared" si="126"/>
        <v>0.62265890858378303</v>
      </c>
      <c r="H312" s="412" t="b">
        <f>Wh_hp&gt;='2025'!Maxi_hp</f>
        <v>0</v>
      </c>
      <c r="I312" s="390">
        <f>IF(H312,Wh_hp,'2025'!Maxi_hp)</f>
        <v>39.380465592356508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6.5174067034362348E-2</v>
      </c>
      <c r="M312" s="957"/>
      <c r="N312" s="957"/>
      <c r="O312" s="48">
        <f>IF(t&lt;Tnet,'2025'!Resal+('2025'!Salim-'2025'!Resal)*(1-EXP(('2025'!Tnet-t)/('2025'!Tau_j))),Resal+(Salim-Resal)*(1-EXP((Tnet-t)/(Tau_j))))*Salcycl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4.2662503463602319E-4</v>
      </c>
      <c r="Q312" s="305">
        <f t="shared" si="105"/>
        <v>0.7</v>
      </c>
      <c r="R312" s="177">
        <f t="shared" si="106"/>
        <v>0.97342456252351606</v>
      </c>
      <c r="S312" s="919">
        <f t="shared" si="107"/>
        <v>-2</v>
      </c>
      <c r="T312" s="176">
        <f t="shared" si="108"/>
        <v>4</v>
      </c>
      <c r="U312" s="251">
        <f t="shared" si="109"/>
        <v>-1.0265754374764839</v>
      </c>
      <c r="V312" s="383">
        <f t="shared" si="110"/>
        <v>35.675559279976028</v>
      </c>
      <c r="W312" s="402">
        <f t="shared" si="111"/>
        <v>22.218813662786321</v>
      </c>
      <c r="X312" s="157">
        <f t="shared" si="112"/>
        <v>46320</v>
      </c>
      <c r="Y312" s="385">
        <f t="shared" si="113"/>
        <v>21.325149537221762</v>
      </c>
      <c r="Z312" s="385">
        <f t="shared" si="114"/>
        <v>22.811893407331944</v>
      </c>
      <c r="AA312" s="386">
        <f t="shared" si="115"/>
        <v>24.474191780519448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6.7920460381071038E-2</v>
      </c>
      <c r="AD312" s="231">
        <f>(INDEX(Models!$BJ312:$BT312,,AH312)*(1-AF312)+INDEX(Models!$BJ312:$BT312,,AH312+1)*AF312-ERP_i)*AE312*Ramure*Pc/MaxiM</f>
        <v>6.7841923505584422E-3</v>
      </c>
      <c r="AE312" s="305">
        <f t="shared" si="117"/>
        <v>0.7</v>
      </c>
      <c r="AF312" s="177">
        <f t="shared" si="118"/>
        <v>0.49841212889749542</v>
      </c>
      <c r="AG312" s="919">
        <f t="shared" si="124"/>
        <v>2</v>
      </c>
      <c r="AH312" s="176">
        <f t="shared" si="119"/>
        <v>8</v>
      </c>
      <c r="AI312" s="225">
        <f t="shared" si="120"/>
        <v>2.4984121288974954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1090">
        <f>IF(t&gt;Tmaj,'2025'!Wh/'2025'!Env_an*'2026'!Env_an,0.001*'[12]mon-tableau (1)'!$B$63)</f>
        <v>12.419497702063525</v>
      </c>
      <c r="C313" s="953"/>
      <c r="D313" s="393">
        <f t="shared" si="102"/>
        <v>13.28564954065258</v>
      </c>
      <c r="E313" s="385">
        <f t="shared" si="125"/>
        <v>13.722094219831389</v>
      </c>
      <c r="F313" s="385">
        <f t="shared" si="103"/>
        <v>13.722515628089694</v>
      </c>
      <c r="G313" s="110">
        <f t="shared" si="126"/>
        <v>0.35067814245459089</v>
      </c>
      <c r="H313" s="412" t="b">
        <f>Wh_hp&gt;='2025'!Maxi_hp</f>
        <v>0</v>
      </c>
      <c r="I313" s="390">
        <f>IF(H313,Wh_hp,'2025'!Maxi_hp)</f>
        <v>38.95254653773808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6.5194542121461807E-2</v>
      </c>
      <c r="M313" s="957"/>
      <c r="N313" s="957"/>
      <c r="O313" s="48">
        <f>IF(t&lt;Tnet,'2025'!Resal+('2025'!Salim-'2025'!Resal)*(1-EXP(('2025'!Tnet-t)/('2025'!Tau_j))),Resal+(Salim-Resal)*(1-EXP((Tnet-t)/(Tau_j))))*Salcycl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4.2302766254728459E-4</v>
      </c>
      <c r="Q313" s="305">
        <f t="shared" si="105"/>
        <v>0.7</v>
      </c>
      <c r="R313" s="177">
        <f t="shared" si="106"/>
        <v>0.97349641423374544</v>
      </c>
      <c r="S313" s="919">
        <f t="shared" si="107"/>
        <v>-2</v>
      </c>
      <c r="T313" s="176">
        <f t="shared" si="108"/>
        <v>4</v>
      </c>
      <c r="U313" s="251">
        <f t="shared" si="109"/>
        <v>-1.0265035857662546</v>
      </c>
      <c r="V313" s="383">
        <f t="shared" si="110"/>
        <v>35.401764900422577</v>
      </c>
      <c r="W313" s="402">
        <f t="shared" si="111"/>
        <v>12.419497702063525</v>
      </c>
      <c r="X313" s="157">
        <f t="shared" si="112"/>
        <v>46321</v>
      </c>
      <c r="Y313" s="385">
        <f t="shared" si="113"/>
        <v>11.950130809305467</v>
      </c>
      <c r="Z313" s="385">
        <f t="shared" si="114"/>
        <v>12.783548393507754</v>
      </c>
      <c r="AA313" s="386">
        <f t="shared" si="115"/>
        <v>13.71559568454979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6.7955290639834229E-2</v>
      </c>
      <c r="AD313" s="231">
        <f>(INDEX(Models!$BJ313:$BT313,,AH313)*(1-AF313)+INDEX(Models!$BJ313:$BT313,,AH313+1)*AF313-ERP_i)*AE313*Ramure*Pc/MaxiM</f>
        <v>6.9465357713236952E-3</v>
      </c>
      <c r="AE313" s="305">
        <f t="shared" si="117"/>
        <v>0.7</v>
      </c>
      <c r="AF313" s="177">
        <f t="shared" si="118"/>
        <v>0.49848398060772459</v>
      </c>
      <c r="AG313" s="919">
        <f t="shared" si="124"/>
        <v>2</v>
      </c>
      <c r="AH313" s="176">
        <f t="shared" si="119"/>
        <v>8</v>
      </c>
      <c r="AI313" s="225">
        <f t="shared" si="120"/>
        <v>2.4984839806077246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1090">
        <f>IF(t&gt;Tmaj,'2025'!Wh/'2025'!Env_an*'2026'!Env_an,0.001*'[12]mon-tableau (1)'!$B$64)</f>
        <v>13.606691296985794</v>
      </c>
      <c r="C314" s="953"/>
      <c r="D314" s="393">
        <f t="shared" si="102"/>
        <v>14.555958365768786</v>
      </c>
      <c r="E314" s="385">
        <f t="shared" si="125"/>
        <v>15.035649235928984</v>
      </c>
      <c r="F314" s="385">
        <f t="shared" si="103"/>
        <v>15.036436903681851</v>
      </c>
      <c r="G314" s="110">
        <f t="shared" si="126"/>
        <v>0.3872351226593127</v>
      </c>
      <c r="H314" s="412" t="b">
        <f>Wh_hp&gt;='2025'!Maxi_hp</f>
        <v>0</v>
      </c>
      <c r="I314" s="390">
        <f>IF(H314,Wh_hp,'2025'!Maxi_hp)</f>
        <v>33.191570367929572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6.5215016760104327E-2</v>
      </c>
      <c r="M314" s="957"/>
      <c r="N314" s="957"/>
      <c r="O314" s="48">
        <f>IF(t&lt;Tnet,'2025'!Resal+('2025'!Salim-'2025'!Resal)*(1-EXP(('2025'!Tnet-t)/('2025'!Tau_j))),Resal+(Salim-Resal)*(1-EXP((Tnet-t)/(Tau_j))))*Salcycl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4.1965947233889365E-4</v>
      </c>
      <c r="Q314" s="305">
        <f t="shared" si="105"/>
        <v>0.7</v>
      </c>
      <c r="R314" s="177">
        <f t="shared" si="106"/>
        <v>0.97356539244452289</v>
      </c>
      <c r="S314" s="919">
        <f t="shared" si="107"/>
        <v>-2</v>
      </c>
      <c r="T314" s="176">
        <f t="shared" si="108"/>
        <v>4</v>
      </c>
      <c r="U314" s="251">
        <f t="shared" si="109"/>
        <v>-1.0264346075554771</v>
      </c>
      <c r="V314" s="383">
        <f t="shared" si="110"/>
        <v>35.125154807600332</v>
      </c>
      <c r="W314" s="402">
        <f t="shared" si="111"/>
        <v>13.606691296985794</v>
      </c>
      <c r="X314" s="157">
        <f t="shared" si="112"/>
        <v>46322</v>
      </c>
      <c r="Y314" s="385">
        <f t="shared" si="113"/>
        <v>13.088519158226815</v>
      </c>
      <c r="Z314" s="385">
        <f t="shared" si="114"/>
        <v>14.001636090540281</v>
      </c>
      <c r="AA314" s="386">
        <f t="shared" si="115"/>
        <v>15.023045519860103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6.7989505055386062E-2</v>
      </c>
      <c r="AD314" s="231">
        <f>(INDEX(Models!$BJ314:$BT314,,AH314)*(1-AF314)+INDEX(Models!$BJ314:$BT314,,AH314+1)*AF314-ERP_i)*AE314*Ramure*Pc/MaxiM</f>
        <v>7.1347608786358051E-3</v>
      </c>
      <c r="AE314" s="305">
        <f t="shared" si="117"/>
        <v>0.7</v>
      </c>
      <c r="AF314" s="177">
        <f t="shared" si="118"/>
        <v>0.49855295881850203</v>
      </c>
      <c r="AG314" s="919">
        <f t="shared" si="124"/>
        <v>2</v>
      </c>
      <c r="AH314" s="176">
        <f t="shared" si="119"/>
        <v>8</v>
      </c>
      <c r="AI314" s="225">
        <f t="shared" si="120"/>
        <v>2.498552958818502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1090">
        <f>IF(t&gt;Tmaj,'2025'!Wh/'2025'!Env_an*'2026'!Env_an,0.001*'[12]mon-tableau (1)'!$B$65)</f>
        <v>17.139556630915902</v>
      </c>
      <c r="C315" s="953"/>
      <c r="D315" s="393">
        <f t="shared" si="102"/>
        <v>18.335694674951135</v>
      </c>
      <c r="E315" s="385">
        <f t="shared" si="125"/>
        <v>18.941846948161476</v>
      </c>
      <c r="F315" s="385">
        <f t="shared" si="103"/>
        <v>18.944009793016214</v>
      </c>
      <c r="G315" s="110">
        <f t="shared" si="126"/>
        <v>0.4917222957402374</v>
      </c>
      <c r="H315" s="412" t="b">
        <f>Wh_hp&gt;='2025'!Maxi_hp</f>
        <v>0</v>
      </c>
      <c r="I315" s="390">
        <f>IF(H315,Wh_hp,'2025'!Maxi_hp)</f>
        <v>38.41572407667438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6.5235490950299679E-2</v>
      </c>
      <c r="M315" s="957"/>
      <c r="N315" s="957"/>
      <c r="O315" s="48">
        <f>IF(t&lt;Tnet,'2025'!Resal+('2025'!Salim-'2025'!Resal)*(1-EXP(('2025'!Tnet-t)/('2025'!Tau_j))),Resal+(Salim-Resal)*(1-EXP((Tnet-t)/(Tau_j))))*Salcycl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4.1652597073222935E-4</v>
      </c>
      <c r="Q315" s="305">
        <f t="shared" si="105"/>
        <v>0.7</v>
      </c>
      <c r="R315" s="177">
        <f t="shared" si="106"/>
        <v>0.973631611323305</v>
      </c>
      <c r="S315" s="919">
        <f t="shared" si="107"/>
        <v>-2</v>
      </c>
      <c r="T315" s="176">
        <f t="shared" si="108"/>
        <v>4</v>
      </c>
      <c r="U315" s="251">
        <f t="shared" si="109"/>
        <v>-1.026368388676695</v>
      </c>
      <c r="V315" s="383">
        <f t="shared" si="110"/>
        <v>34.845631257533867</v>
      </c>
      <c r="W315" s="402">
        <f t="shared" si="111"/>
        <v>17.139556630915902</v>
      </c>
      <c r="X315" s="157">
        <f t="shared" si="112"/>
        <v>46323</v>
      </c>
      <c r="Y315" s="385">
        <f t="shared" si="113"/>
        <v>16.470376294418116</v>
      </c>
      <c r="Z315" s="385">
        <f t="shared" si="114"/>
        <v>17.619813477045913</v>
      </c>
      <c r="AA315" s="386">
        <f t="shared" si="115"/>
        <v>18.905849131492083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6.8023162858312461E-2</v>
      </c>
      <c r="AD315" s="231">
        <f>(INDEX(Models!$BJ315:$BT315,,AH315)*(1-AF315)+INDEX(Models!$BJ315:$BT315,,AH315+1)*AF315-ERP_i)*AE315*Ramure*Pc/MaxiM</f>
        <v>7.3490738599752657E-3</v>
      </c>
      <c r="AE315" s="305">
        <f t="shared" si="117"/>
        <v>0.7</v>
      </c>
      <c r="AF315" s="177">
        <f t="shared" si="118"/>
        <v>0.49861917769728414</v>
      </c>
      <c r="AG315" s="919">
        <f t="shared" si="124"/>
        <v>2</v>
      </c>
      <c r="AH315" s="176">
        <f t="shared" si="119"/>
        <v>8</v>
      </c>
      <c r="AI315" s="225">
        <f t="shared" si="120"/>
        <v>2.4986191776972841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1090">
        <f>IF(t&gt;Tmaj,'2025'!Wh/'2025'!Env_an*'2026'!Env_an,0.001*'[12]mon-tableau (1)'!$B$66)</f>
        <v>25.595987129233791</v>
      </c>
      <c r="C316" s="953"/>
      <c r="D316" s="393">
        <f t="shared" si="102"/>
        <v>27.382883615621516</v>
      </c>
      <c r="E316" s="385">
        <f t="shared" si="125"/>
        <v>28.290949230883736</v>
      </c>
      <c r="F316" s="385">
        <f t="shared" si="103"/>
        <v>28.298316066158446</v>
      </c>
      <c r="G316" s="110">
        <f t="shared" si="126"/>
        <v>0.74044471366916176</v>
      </c>
      <c r="H316" s="412" t="b">
        <f>Wh_hp&gt;='2025'!Maxi_hp</f>
        <v>0</v>
      </c>
      <c r="I316" s="390">
        <f>IF(H316,Wh_hp,'2025'!Maxi_hp)</f>
        <v>30.720187323726929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6.5255964692057744E-2</v>
      </c>
      <c r="M316" s="957"/>
      <c r="N316" s="957"/>
      <c r="O316" s="48">
        <f>IF(t&lt;Tnet,'2025'!Resal+('2025'!Salim-'2025'!Resal)*(1-EXP(('2025'!Tnet-t)/('2025'!Tau_j))),Resal+(Salim-Resal)*(1-EXP((Tnet-t)/(Tau_j))))*Salcycl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4.1363287001318903E-4</v>
      </c>
      <c r="Q316" s="305">
        <f t="shared" si="105"/>
        <v>0.7</v>
      </c>
      <c r="R316" s="177">
        <f t="shared" si="106"/>
        <v>0.97369518056054116</v>
      </c>
      <c r="S316" s="919">
        <f t="shared" si="107"/>
        <v>-2</v>
      </c>
      <c r="T316" s="176">
        <f t="shared" si="108"/>
        <v>4</v>
      </c>
      <c r="U316" s="251">
        <f t="shared" si="109"/>
        <v>-1.0263048194394588</v>
      </c>
      <c r="V316" s="383">
        <f t="shared" si="110"/>
        <v>34.563096525101443</v>
      </c>
      <c r="W316" s="402">
        <f t="shared" si="111"/>
        <v>25.595987129233791</v>
      </c>
      <c r="X316" s="157">
        <f t="shared" si="112"/>
        <v>46324</v>
      </c>
      <c r="Y316" s="385">
        <f t="shared" si="113"/>
        <v>24.53372455449923</v>
      </c>
      <c r="Z316" s="385">
        <f t="shared" si="114"/>
        <v>26.246462804565354</v>
      </c>
      <c r="AA316" s="386">
        <f t="shared" si="115"/>
        <v>28.163142827746096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6.8056325776697152E-2</v>
      </c>
      <c r="AD316" s="231">
        <f>(INDEX(Models!$BJ316:$BT316,,AH316)*(1-AF316)+INDEX(Models!$BJ316:$BT316,,AH316+1)*AF316-ERP_i)*AE316*Ramure*Pc/MaxiM</f>
        <v>7.589703375806018E-3</v>
      </c>
      <c r="AE316" s="305">
        <f t="shared" si="117"/>
        <v>0.7</v>
      </c>
      <c r="AF316" s="177">
        <f t="shared" si="118"/>
        <v>0.49868274693452008</v>
      </c>
      <c r="AG316" s="919">
        <f t="shared" si="124"/>
        <v>2</v>
      </c>
      <c r="AH316" s="176">
        <f t="shared" si="119"/>
        <v>8</v>
      </c>
      <c r="AI316" s="225">
        <f t="shared" si="120"/>
        <v>2.4986827469345201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1090">
        <f>IF(t&gt;Tmaj,'2025'!Wh/'2025'!Env_an*'2026'!Env_an,0.001*'[12]mon-tableau (1)'!$B$67)</f>
        <v>20.959096013479392</v>
      </c>
      <c r="C317" s="953"/>
      <c r="D317" s="393">
        <f t="shared" si="102"/>
        <v>22.422774887910396</v>
      </c>
      <c r="E317" s="385">
        <f t="shared" si="125"/>
        <v>23.168659306347152</v>
      </c>
      <c r="F317" s="385">
        <f t="shared" si="103"/>
        <v>23.172897741725109</v>
      </c>
      <c r="G317" s="110">
        <f t="shared" si="126"/>
        <v>0.61136315608132985</v>
      </c>
      <c r="H317" s="412" t="b">
        <f>Wh_hp&gt;='2025'!Maxi_hp</f>
        <v>0</v>
      </c>
      <c r="I317" s="390">
        <f>IF(H317,Wh_hp,'2025'!Maxi_hp)</f>
        <v>35.207799824990232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6.5276437985388291E-2</v>
      </c>
      <c r="M317" s="957"/>
      <c r="N317" s="957"/>
      <c r="O317" s="48">
        <f>IF(t&lt;Tnet,'2025'!Resal+('2025'!Salim-'2025'!Resal)*(1-EXP(('2025'!Tnet-t)/('2025'!Tau_j))),Resal+(Salim-Resal)*(1-EXP((Tnet-t)/(Tau_j))))*Salcycl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4.1101860610520924E-4</v>
      </c>
      <c r="Q317" s="305">
        <f t="shared" si="105"/>
        <v>0.7</v>
      </c>
      <c r="R317" s="177">
        <f t="shared" si="106"/>
        <v>0.97375620554058373</v>
      </c>
      <c r="S317" s="919">
        <f t="shared" si="107"/>
        <v>-2</v>
      </c>
      <c r="T317" s="176">
        <f t="shared" si="108"/>
        <v>4</v>
      </c>
      <c r="U317" s="251">
        <f t="shared" si="109"/>
        <v>-1.0262437944594163</v>
      </c>
      <c r="V317" s="383">
        <f t="shared" si="110"/>
        <v>34.274741407429694</v>
      </c>
      <c r="W317" s="402">
        <f t="shared" si="111"/>
        <v>20.959096013479392</v>
      </c>
      <c r="X317" s="157">
        <f t="shared" si="112"/>
        <v>46325</v>
      </c>
      <c r="Y317" s="385">
        <f t="shared" si="113"/>
        <v>20.11484631363102</v>
      </c>
      <c r="Z317" s="385">
        <f t="shared" si="114"/>
        <v>21.519566993986381</v>
      </c>
      <c r="AA317" s="386">
        <f t="shared" si="115"/>
        <v>23.091870713798617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6.8089057803043335E-2</v>
      </c>
      <c r="AD317" s="231">
        <f>(INDEX(Models!$BJ317:$BT317,,AH317)*(1-AF317)+INDEX(Models!$BJ317:$BT317,,AH317+1)*AF317-ERP_i)*AE317*Ramure*Pc/MaxiM</f>
        <v>7.8575259748881552E-3</v>
      </c>
      <c r="AE317" s="305">
        <f t="shared" si="117"/>
        <v>0.7</v>
      </c>
      <c r="AF317" s="177">
        <f t="shared" si="118"/>
        <v>0.49874377191456309</v>
      </c>
      <c r="AG317" s="919">
        <f t="shared" si="124"/>
        <v>2</v>
      </c>
      <c r="AH317" s="176">
        <f t="shared" si="119"/>
        <v>8</v>
      </c>
      <c r="AI317" s="225">
        <f t="shared" si="120"/>
        <v>2.4987437719145631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1090">
        <f>IF(t&gt;Tmaj,'2025'!Wh/'2025'!Env_an*'2026'!Env_an,0.001*'[12]mon-tableau (1)'!$B$68)</f>
        <v>21.66820421178317</v>
      </c>
      <c r="C318" s="953"/>
      <c r="D318" s="393">
        <f t="shared" si="102"/>
        <v>23.181911414277167</v>
      </c>
      <c r="E318" s="385">
        <f t="shared" si="125"/>
        <v>23.955422412986412</v>
      </c>
      <c r="F318" s="385">
        <f t="shared" si="103"/>
        <v>23.96014811089972</v>
      </c>
      <c r="G318" s="110">
        <f t="shared" si="126"/>
        <v>0.63756413463870187</v>
      </c>
      <c r="H318" s="412" t="b">
        <f>Wh_hp&gt;='2025'!Maxi_hp</f>
        <v>0</v>
      </c>
      <c r="I318" s="390">
        <f>IF(H318,Wh_hp,'2025'!Maxi_hp)</f>
        <v>35.869115091380415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6.5296910830301202E-2</v>
      </c>
      <c r="M318" s="957"/>
      <c r="N318" s="957"/>
      <c r="O318" s="48">
        <f>IF(t&lt;Tnet,'2025'!Resal+('2025'!Salim-'2025'!Resal)*(1-EXP(('2025'!Tnet-t)/('2025'!Tau_j))),Resal+(Salim-Resal)*(1-EXP((Tnet-t)/(Tau_j))))*Salcycl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4.0883173190678243E-4</v>
      </c>
      <c r="Q318" s="305">
        <f t="shared" si="105"/>
        <v>0.7</v>
      </c>
      <c r="R318" s="177">
        <f t="shared" si="106"/>
        <v>0.97381478750644468</v>
      </c>
      <c r="S318" s="919">
        <f t="shared" si="107"/>
        <v>-2</v>
      </c>
      <c r="T318" s="176">
        <f t="shared" si="108"/>
        <v>4</v>
      </c>
      <c r="U318" s="251">
        <f t="shared" si="109"/>
        <v>-1.0261852124935553</v>
      </c>
      <c r="V318" s="383">
        <f t="shared" si="110"/>
        <v>33.978727997792276</v>
      </c>
      <c r="W318" s="402">
        <f t="shared" si="111"/>
        <v>21.66820421178317</v>
      </c>
      <c r="X318" s="157">
        <f t="shared" si="112"/>
        <v>46326</v>
      </c>
      <c r="Y318" s="385">
        <f t="shared" si="113"/>
        <v>20.787815469897669</v>
      </c>
      <c r="Z318" s="385">
        <f t="shared" si="114"/>
        <v>22.240020077780617</v>
      </c>
      <c r="AA318" s="386">
        <f t="shared" si="115"/>
        <v>23.865791824247435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6.8121424943254849E-2</v>
      </c>
      <c r="AD318" s="231">
        <f>(INDEX(Models!$BJ318:$BT318,,AH318)*(1-AF318)+INDEX(Models!$BJ318:$BT318,,AH318+1)*AF318-ERP_i)*AE318*Ramure*Pc/MaxiM</f>
        <v>8.1629940796046092E-3</v>
      </c>
      <c r="AE318" s="305">
        <f t="shared" si="117"/>
        <v>0.7</v>
      </c>
      <c r="AF318" s="177">
        <f t="shared" si="118"/>
        <v>0.49880235388042404</v>
      </c>
      <c r="AG318" s="919">
        <f t="shared" si="124"/>
        <v>2</v>
      </c>
      <c r="AH318" s="176">
        <f t="shared" si="119"/>
        <v>8</v>
      </c>
      <c r="AI318" s="225">
        <f t="shared" si="120"/>
        <v>2.498802353880424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1090">
        <f>IF(t&gt;Tmaj,'2025'!Wh/'2025'!Env_an*'2026'!Env_an,0.001*'[13]mon-tableau (3)'!$B$37)</f>
        <v>23.346841855350359</v>
      </c>
      <c r="C319" s="953"/>
      <c r="D319" s="393">
        <f t="shared" si="102"/>
        <v>24.978363175246265</v>
      </c>
      <c r="E319" s="385">
        <f t="shared" si="125"/>
        <v>25.814366021959959</v>
      </c>
      <c r="F319" s="385">
        <f t="shared" si="103"/>
        <v>25.820268921453103</v>
      </c>
      <c r="G319" s="110">
        <f t="shared" si="126"/>
        <v>0.6931459406869771</v>
      </c>
      <c r="H319" s="412" t="b">
        <f>Wh_hp&gt;='2025'!Maxi_hp</f>
        <v>0</v>
      </c>
      <c r="I319" s="390">
        <f>IF(H319,Wh_hp,'2025'!Maxi_hp)</f>
        <v>32.156200585342432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6.5317383226806247E-2</v>
      </c>
      <c r="M319" s="957"/>
      <c r="N319" s="957"/>
      <c r="O319" s="48">
        <f>IF(t&lt;Tnet,'2025'!Resal+('2025'!Salim-'2025'!Resal)*(1-EXP(('2025'!Tnet-t)/('2025'!Tau_j))),Resal+(Salim-Resal)*(1-EXP((Tnet-t)/(Tau_j))))*Salcycl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4.0692306604667936E-4</v>
      </c>
      <c r="Q319" s="305">
        <f t="shared" si="105"/>
        <v>0.7</v>
      </c>
      <c r="R319" s="177">
        <f t="shared" si="106"/>
        <v>0.97387102371858636</v>
      </c>
      <c r="S319" s="919">
        <f t="shared" si="107"/>
        <v>-2</v>
      </c>
      <c r="T319" s="176">
        <f t="shared" si="108"/>
        <v>4</v>
      </c>
      <c r="U319" s="251">
        <f t="shared" si="109"/>
        <v>-1.0261289762814136</v>
      </c>
      <c r="V319" s="383">
        <f t="shared" si="110"/>
        <v>33.676425990328696</v>
      </c>
      <c r="W319" s="402">
        <f t="shared" si="111"/>
        <v>23.346841855350359</v>
      </c>
      <c r="X319" s="157">
        <f t="shared" si="112"/>
        <v>46327</v>
      </c>
      <c r="Y319" s="385">
        <f t="shared" si="113"/>
        <v>22.381595641984546</v>
      </c>
      <c r="Z319" s="385">
        <f t="shared" si="114"/>
        <v>23.945663736908433</v>
      </c>
      <c r="AA319" s="386">
        <f t="shared" si="115"/>
        <v>25.697004396236178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6.8153494949172416E-2</v>
      </c>
      <c r="AD319" s="231">
        <f>(INDEX(Models!$BJ319:$BT319,,AH319)*(1-AF319)+INDEX(Models!$BJ319:$BT319,,AH319+1)*AF319-ERP_i)*AE319*Ramure*Pc/MaxiM</f>
        <v>8.4973797358940898E-3</v>
      </c>
      <c r="AE319" s="305">
        <f t="shared" si="117"/>
        <v>0.7</v>
      </c>
      <c r="AF319" s="177">
        <f t="shared" si="118"/>
        <v>0.49885859009256528</v>
      </c>
      <c r="AG319" s="919">
        <f t="shared" si="124"/>
        <v>2</v>
      </c>
      <c r="AH319" s="176">
        <f t="shared" si="119"/>
        <v>8</v>
      </c>
      <c r="AI319" s="225">
        <f t="shared" si="120"/>
        <v>2.4988585900925653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1090">
        <f>IF(t&gt;Tmaj,'2025'!Wh/'2025'!Env_an*'2026'!Env_an,0.001*'[13]mon-tableau (3)'!$B$38)</f>
        <v>29.256408200735823</v>
      </c>
      <c r="C320" s="953"/>
      <c r="D320" s="393">
        <f t="shared" si="102"/>
        <v>31.301586742031674</v>
      </c>
      <c r="E320" s="385">
        <f t="shared" si="125"/>
        <v>32.352407482172097</v>
      </c>
      <c r="F320" s="385">
        <f t="shared" si="103"/>
        <v>32.363214304132697</v>
      </c>
      <c r="G320" s="110">
        <f t="shared" si="126"/>
        <v>0.87668628918089264</v>
      </c>
      <c r="H320" s="412" t="b">
        <f>Wh_hp&gt;='2025'!Maxi_hp</f>
        <v>0</v>
      </c>
      <c r="I320" s="390">
        <f>IF(H320,Wh_hp,'2025'!Maxi_hp)</f>
        <v>32.364400646542769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6.5337855174913306E-2</v>
      </c>
      <c r="M320" s="957"/>
      <c r="N320" s="957"/>
      <c r="O320" s="48">
        <f>IF(t&lt;Tnet,'2025'!Resal+('2025'!Salim-'2025'!Resal)*(1-EXP(('2025'!Tnet-t)/('2025'!Tau_j))),Resal+(Salim-Resal)*(1-EXP((Tnet-t)/(Tau_j))))*Salcycl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4.0528229532263389E-4</v>
      </c>
      <c r="Q320" s="305">
        <f t="shared" si="105"/>
        <v>0.7</v>
      </c>
      <c r="R320" s="177">
        <f t="shared" si="106"/>
        <v>0.97392500760794043</v>
      </c>
      <c r="S320" s="919">
        <f t="shared" si="107"/>
        <v>-2</v>
      </c>
      <c r="T320" s="176">
        <f t="shared" si="108"/>
        <v>4</v>
      </c>
      <c r="U320" s="251">
        <f t="shared" si="109"/>
        <v>-1.0260749923920596</v>
      </c>
      <c r="V320" s="383">
        <f t="shared" si="110"/>
        <v>33.369199619105913</v>
      </c>
      <c r="W320" s="402">
        <f t="shared" si="111"/>
        <v>29.256408200735823</v>
      </c>
      <c r="X320" s="157">
        <f t="shared" si="112"/>
        <v>46328</v>
      </c>
      <c r="Y320" s="385">
        <f t="shared" si="113"/>
        <v>27.980378070673378</v>
      </c>
      <c r="Z320" s="385">
        <f t="shared" si="114"/>
        <v>29.936355318968914</v>
      </c>
      <c r="AA320" s="386">
        <f t="shared" si="115"/>
        <v>32.126941664294769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6.8185337036311494E-2</v>
      </c>
      <c r="AD320" s="231">
        <f>(INDEX(Models!$BJ320:$BT320,,AH320)*(1-AF320)+INDEX(Models!$BJ320:$BT320,,AH320+1)*AF320-ERP_i)*AE320*Ramure*Pc/MaxiM</f>
        <v>8.8608027544634042E-3</v>
      </c>
      <c r="AE320" s="305">
        <f t="shared" si="117"/>
        <v>0.7</v>
      </c>
      <c r="AF320" s="177">
        <f t="shared" si="118"/>
        <v>0.49891257398191957</v>
      </c>
      <c r="AG320" s="919">
        <f t="shared" si="124"/>
        <v>2</v>
      </c>
      <c r="AH320" s="176">
        <f t="shared" si="119"/>
        <v>8</v>
      </c>
      <c r="AI320" s="225">
        <f t="shared" si="120"/>
        <v>2.4989125739819196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1090">
        <f>IF(t&gt;Tmaj,'2025'!Wh/'2025'!Env_an*'2026'!Env_an,0.001*'[13]mon-tableau (3)'!$B$39)</f>
        <v>10.17446761538614</v>
      </c>
      <c r="C321" s="953"/>
      <c r="D321" s="393">
        <f t="shared" si="102"/>
        <v>10.885955447702576</v>
      </c>
      <c r="E321" s="385">
        <f t="shared" si="125"/>
        <v>11.252511026716419</v>
      </c>
      <c r="F321" s="385">
        <f t="shared" si="103"/>
        <v>11.252561490829107</v>
      </c>
      <c r="G321" s="110">
        <f t="shared" si="126"/>
        <v>0.30764949099098909</v>
      </c>
      <c r="H321" s="412" t="b">
        <f>Wh_hp&gt;='2025'!Maxi_hp</f>
        <v>0</v>
      </c>
      <c r="I321" s="390">
        <f>IF(H321,Wh_hp,'2025'!Maxi_hp)</f>
        <v>31.18806335046073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6.535832667463215E-2</v>
      </c>
      <c r="M321" s="957"/>
      <c r="N321" s="957"/>
      <c r="O321" s="48">
        <f>IF(t&lt;Tnet,'2025'!Resal+('2025'!Salim-'2025'!Resal)*(1-EXP(('2025'!Tnet-t)/('2025'!Tau_j))),Resal+(Salim-Resal)*(1-EXP((Tnet-t)/(Tau_j))))*Salcycl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4.0389921401015529E-4</v>
      </c>
      <c r="Q321" s="305">
        <f t="shared" si="105"/>
        <v>0.7</v>
      </c>
      <c r="R321" s="177">
        <f t="shared" si="106"/>
        <v>0.9739768289233337</v>
      </c>
      <c r="S321" s="919">
        <f t="shared" si="107"/>
        <v>-2</v>
      </c>
      <c r="T321" s="176">
        <f t="shared" si="108"/>
        <v>4</v>
      </c>
      <c r="U321" s="251">
        <f t="shared" si="109"/>
        <v>-1.0260231710766663</v>
      </c>
      <c r="V321" s="383">
        <f t="shared" si="110"/>
        <v>33.058412461976637</v>
      </c>
      <c r="W321" s="402">
        <f t="shared" si="111"/>
        <v>10.17446761538614</v>
      </c>
      <c r="X321" s="157">
        <f t="shared" si="112"/>
        <v>46329</v>
      </c>
      <c r="Y321" s="385">
        <f t="shared" si="113"/>
        <v>9.7986599223640098</v>
      </c>
      <c r="Z321" s="385">
        <f t="shared" si="114"/>
        <v>10.48386799135683</v>
      </c>
      <c r="AA321" s="386">
        <f t="shared" si="115"/>
        <v>11.251405353240845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6.8217021588590609E-2</v>
      </c>
      <c r="AD321" s="231">
        <f>(INDEX(Models!$BJ321:$BT321,,AH321)*(1-AF321)+INDEX(Models!$BJ321:$BT321,,AH321+1)*AF321-ERP_i)*AE321*Ramure*Pc/MaxiM</f>
        <v>9.2533691433094502E-3</v>
      </c>
      <c r="AE321" s="305">
        <f t="shared" si="117"/>
        <v>0.7</v>
      </c>
      <c r="AF321" s="177">
        <f t="shared" si="118"/>
        <v>0.49896439529731307</v>
      </c>
      <c r="AG321" s="919">
        <f t="shared" si="124"/>
        <v>2</v>
      </c>
      <c r="AH321" s="176">
        <f t="shared" si="119"/>
        <v>8</v>
      </c>
      <c r="AI321" s="225">
        <f t="shared" si="120"/>
        <v>2.4989643952973131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1090">
        <f>IF(t&gt;Tmaj,'2025'!Wh/'2025'!Env_an*'2026'!Env_an,0.001*'[13]mon-tableau (3)'!$B$40)</f>
        <v>11.878105269225129</v>
      </c>
      <c r="C322" s="953"/>
      <c r="D322" s="393">
        <f t="shared" si="102"/>
        <v>12.709004717980401</v>
      </c>
      <c r="E322" s="385">
        <f t="shared" si="125"/>
        <v>13.138233509756812</v>
      </c>
      <c r="F322" s="385">
        <f t="shared" si="103"/>
        <v>13.138707812308851</v>
      </c>
      <c r="G322" s="110">
        <f t="shared" si="126"/>
        <v>0.36260787417965651</v>
      </c>
      <c r="H322" s="412" t="b">
        <f>Wh_hp&gt;='2025'!Maxi_hp</f>
        <v>0</v>
      </c>
      <c r="I322" s="390">
        <f>IF(H322,Wh_hp,'2025'!Maxi_hp)</f>
        <v>29.822160701304174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6.5378797725972548E-2</v>
      </c>
      <c r="M322" s="957"/>
      <c r="N322" s="957"/>
      <c r="O322" s="48">
        <f>IF(t&lt;Tnet,'2025'!Resal+('2025'!Salim-'2025'!Resal)*(1-EXP(('2025'!Tnet-t)/('2025'!Tau_j))),Resal+(Salim-Resal)*(1-EXP((Tnet-t)/(Tau_j))))*Salcycl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4.0276360583527484E-4</v>
      </c>
      <c r="Q322" s="305">
        <f t="shared" si="105"/>
        <v>0.7</v>
      </c>
      <c r="R322" s="177">
        <f t="shared" si="106"/>
        <v>0.97402657387350611</v>
      </c>
      <c r="S322" s="919">
        <f t="shared" si="107"/>
        <v>-2</v>
      </c>
      <c r="T322" s="176">
        <f t="shared" si="108"/>
        <v>4</v>
      </c>
      <c r="U322" s="251">
        <f t="shared" si="109"/>
        <v>-1.0259734261264939</v>
      </c>
      <c r="V322" s="383">
        <f t="shared" si="110"/>
        <v>32.745427455513003</v>
      </c>
      <c r="W322" s="402">
        <f t="shared" si="111"/>
        <v>11.878105269225129</v>
      </c>
      <c r="X322" s="157">
        <f t="shared" si="112"/>
        <v>46330</v>
      </c>
      <c r="Y322" s="385">
        <f t="shared" si="113"/>
        <v>11.431719300790581</v>
      </c>
      <c r="Z322" s="385">
        <f t="shared" si="114"/>
        <v>12.231393074516239</v>
      </c>
      <c r="AA322" s="386">
        <f t="shared" si="115"/>
        <v>13.127314147442339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6.8248619851963968E-2</v>
      </c>
      <c r="AD322" s="231">
        <f>(INDEX(Models!$BJ322:$BT322,,AH322)*(1-AF322)+INDEX(Models!$BJ322:$BT322,,AH322+1)*AF322-ERP_i)*AE322*Ramure*Pc/MaxiM</f>
        <v>9.6751609823325403E-3</v>
      </c>
      <c r="AE322" s="305">
        <f t="shared" si="117"/>
        <v>0.7</v>
      </c>
      <c r="AF322" s="177">
        <f t="shared" si="118"/>
        <v>0.49901414024748503</v>
      </c>
      <c r="AG322" s="919">
        <f t="shared" si="124"/>
        <v>2</v>
      </c>
      <c r="AH322" s="176">
        <f t="shared" si="119"/>
        <v>8</v>
      </c>
      <c r="AI322" s="225">
        <f t="shared" si="120"/>
        <v>2.499014140247485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1090">
        <f>IF(t&gt;Tmaj,'2025'!Wh/'2025'!Env_an*'2026'!Env_an,0.001*'[13]mon-tableau (3)'!$B$41)</f>
        <v>31.207812842420225</v>
      </c>
      <c r="C323" s="953"/>
      <c r="D323" s="393">
        <f t="shared" si="102"/>
        <v>33.391598984328859</v>
      </c>
      <c r="E323" s="385">
        <f t="shared" si="125"/>
        <v>34.522727886807829</v>
      </c>
      <c r="F323" s="385">
        <f t="shared" si="103"/>
        <v>34.535858487587376</v>
      </c>
      <c r="G323" s="110">
        <f t="shared" si="126"/>
        <v>0.962244535636123</v>
      </c>
      <c r="H323" s="412" t="b">
        <f>Wh_hp&gt;='2025'!Maxi_hp</f>
        <v>0</v>
      </c>
      <c r="I323" s="390">
        <f>IF(H323,Wh_hp,'2025'!Maxi_hp)</f>
        <v>34.536242762525234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6.5399268328944493E-2</v>
      </c>
      <c r="M323" s="957"/>
      <c r="N323" s="957"/>
      <c r="O323" s="48">
        <f>IF(t&lt;Tnet,'2025'!Resal+('2025'!Salim-'2025'!Resal)*(1-EXP(('2025'!Tnet-t)/('2025'!Tau_j))),Resal+(Salim-Resal)*(1-EXP((Tnet-t)/(Tau_j))))*Salcycl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4.0186512849190928E-4</v>
      </c>
      <c r="Q323" s="305">
        <f t="shared" si="105"/>
        <v>0.7</v>
      </c>
      <c r="R323" s="177">
        <f t="shared" si="106"/>
        <v>0.97407432526389548</v>
      </c>
      <c r="S323" s="919">
        <f t="shared" si="107"/>
        <v>-2</v>
      </c>
      <c r="T323" s="176">
        <f t="shared" si="108"/>
        <v>4</v>
      </c>
      <c r="U323" s="251">
        <f t="shared" si="109"/>
        <v>-1.0259256747361045</v>
      </c>
      <c r="V323" s="383">
        <f t="shared" si="110"/>
        <v>32.431606903609541</v>
      </c>
      <c r="W323" s="402">
        <f t="shared" si="111"/>
        <v>31.207812842420225</v>
      </c>
      <c r="X323" s="157">
        <f t="shared" si="112"/>
        <v>46331</v>
      </c>
      <c r="Y323" s="385">
        <f t="shared" si="113"/>
        <v>29.785228883827624</v>
      </c>
      <c r="Z323" s="385">
        <f t="shared" si="114"/>
        <v>31.869468827155714</v>
      </c>
      <c r="AA323" s="386">
        <f t="shared" si="115"/>
        <v>34.204992693021026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6.8280203618983334E-2</v>
      </c>
      <c r="AD323" s="231">
        <f>(INDEX(Models!$BJ323:$BT323,,AH323)*(1-AF323)+INDEX(Models!$BJ323:$BT323,,AH323+1)*AF323-ERP_i)*AE323*Ramure*Pc/MaxiM</f>
        <v>1.0126225545908066E-2</v>
      </c>
      <c r="AE323" s="305">
        <f t="shared" si="117"/>
        <v>0.7</v>
      </c>
      <c r="AF323" s="177">
        <f t="shared" si="118"/>
        <v>0.49906189163787484</v>
      </c>
      <c r="AG323" s="919">
        <f t="shared" si="124"/>
        <v>2</v>
      </c>
      <c r="AH323" s="176">
        <f t="shared" si="119"/>
        <v>8</v>
      </c>
      <c r="AI323" s="225">
        <f t="shared" si="120"/>
        <v>2.4990618916378748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1090">
        <f>IF(t&gt;Tmaj,'2025'!Wh/'2025'!Env_an*'2026'!Env_an,0.001*'[13]mon-tableau (3)'!$B$42)</f>
        <v>30.844214001889107</v>
      </c>
      <c r="C324" s="953"/>
      <c r="D324" s="393">
        <f t="shared" si="102"/>
        <v>33.003279944989998</v>
      </c>
      <c r="E324" s="385">
        <f t="shared" si="125"/>
        <v>34.124584665435243</v>
      </c>
      <c r="F324" s="385">
        <f t="shared" si="103"/>
        <v>34.137516939568684</v>
      </c>
      <c r="G324" s="110">
        <f t="shared" si="126"/>
        <v>0.96030960337491311</v>
      </c>
      <c r="H324" s="412" t="b">
        <f>Wh_hp&gt;='2025'!Maxi_hp</f>
        <v>0</v>
      </c>
      <c r="I324" s="390">
        <f>IF(H324,Wh_hp,'2025'!Maxi_hp)</f>
        <v>34.137915953315535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6.5419738483557643E-2</v>
      </c>
      <c r="M324" s="957"/>
      <c r="N324" s="957"/>
      <c r="O324" s="48">
        <f>IF(t&lt;Tnet,'2025'!Resal+('2025'!Salim-'2025'!Resal)*(1-EXP(('2025'!Tnet-t)/('2025'!Tau_j))),Resal+(Salim-Resal)*(1-EXP((Tnet-t)/(Tau_j))))*Salcycl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4.0158642188319467E-4</v>
      </c>
      <c r="Q324" s="305">
        <f t="shared" si="105"/>
        <v>0.7</v>
      </c>
      <c r="R324" s="177">
        <f t="shared" si="106"/>
        <v>0.97412016262836465</v>
      </c>
      <c r="S324" s="919">
        <f t="shared" si="107"/>
        <v>-2</v>
      </c>
      <c r="T324" s="176">
        <f t="shared" si="108"/>
        <v>4</v>
      </c>
      <c r="U324" s="251">
        <f t="shared" si="109"/>
        <v>-1.0258798373716354</v>
      </c>
      <c r="V324" s="383">
        <f t="shared" si="110"/>
        <v>32.118299854667477</v>
      </c>
      <c r="W324" s="402">
        <f t="shared" si="111"/>
        <v>30.844214001889107</v>
      </c>
      <c r="X324" s="157">
        <f t="shared" si="112"/>
        <v>46332</v>
      </c>
      <c r="Y324" s="385">
        <f t="shared" si="113"/>
        <v>29.427845788840106</v>
      </c>
      <c r="Z324" s="385">
        <f t="shared" si="114"/>
        <v>31.487767290409838</v>
      </c>
      <c r="AA324" s="386">
        <f t="shared" si="115"/>
        <v>33.796466251357245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6.8311844906409167E-2</v>
      </c>
      <c r="AD324" s="231">
        <f>(INDEX(Models!$BJ324:$BT324,,AH324)*(1-AF324)+INDEX(Models!$BJ324:$BT324,,AH324+1)*AF324-ERP_i)*AE324*Ramure*Pc/MaxiM</f>
        <v>1.0590660555627178E-2</v>
      </c>
      <c r="AE324" s="305">
        <f t="shared" si="117"/>
        <v>0.7</v>
      </c>
      <c r="AF324" s="177">
        <f t="shared" si="118"/>
        <v>0.49910772900234379</v>
      </c>
      <c r="AG324" s="919">
        <f t="shared" si="124"/>
        <v>2</v>
      </c>
      <c r="AH324" s="176">
        <f t="shared" si="119"/>
        <v>8</v>
      </c>
      <c r="AI324" s="225">
        <f t="shared" si="120"/>
        <v>2.4991077290023438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1090">
        <f>IF(t&gt;Tmaj,'2025'!Wh/'2025'!Env_an*'2026'!Env_an,0.001*'[13]mon-tableau (3)'!$B$43)</f>
        <v>29.484517094688574</v>
      </c>
      <c r="C325" s="953"/>
      <c r="D325" s="393">
        <f t="shared" si="102"/>
        <v>31.549096540499662</v>
      </c>
      <c r="E325" s="385">
        <f t="shared" si="125"/>
        <v>32.624173987345543</v>
      </c>
      <c r="F325" s="385">
        <f t="shared" si="103"/>
        <v>32.635920210718204</v>
      </c>
      <c r="G325" s="110">
        <f t="shared" si="126"/>
        <v>0.92694692696642234</v>
      </c>
      <c r="H325" s="412" t="b">
        <f>Wh_hp&gt;='2025'!Maxi_hp</f>
        <v>0</v>
      </c>
      <c r="I325" s="390">
        <f>IF(H325,Wh_hp,'2025'!Maxi_hp)</f>
        <v>32.636622721865855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6.544020818982188E-2</v>
      </c>
      <c r="M325" s="957"/>
      <c r="N325" s="957"/>
      <c r="O325" s="48">
        <f>IF(t&lt;Tnet,'2025'!Resal+('2025'!Salim-'2025'!Resal)*(1-EXP(('2025'!Tnet-t)/('2025'!Tau_j))),Resal+(Salim-Resal)*(1-EXP((Tnet-t)/(Tau_j))))*Salcycl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4.0183034646711275E-4</v>
      </c>
      <c r="Q325" s="305">
        <f t="shared" si="105"/>
        <v>0.7</v>
      </c>
      <c r="R325" s="177">
        <f t="shared" si="106"/>
        <v>0.97416416235603576</v>
      </c>
      <c r="S325" s="919">
        <f t="shared" si="107"/>
        <v>-2</v>
      </c>
      <c r="T325" s="176">
        <f t="shared" si="108"/>
        <v>4</v>
      </c>
      <c r="U325" s="251">
        <f t="shared" si="109"/>
        <v>-1.0258358376439642</v>
      </c>
      <c r="V325" s="383">
        <f t="shared" si="110"/>
        <v>31.806870488525938</v>
      </c>
      <c r="W325" s="402">
        <f t="shared" si="111"/>
        <v>29.484517094688574</v>
      </c>
      <c r="X325" s="157">
        <f t="shared" si="112"/>
        <v>46333</v>
      </c>
      <c r="Y325" s="385">
        <f t="shared" si="113"/>
        <v>28.134442438945417</v>
      </c>
      <c r="Z325" s="385">
        <f t="shared" si="114"/>
        <v>30.104486289155382</v>
      </c>
      <c r="AA325" s="386">
        <f t="shared" si="115"/>
        <v>32.312864264274907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6.8343615628067539E-2</v>
      </c>
      <c r="AD325" s="231">
        <f>(INDEX(Models!$BJ325:$BT325,,AH325)*(1-AF325)+INDEX(Models!$BJ325:$BT325,,AH325+1)*AF325-ERP_i)*AE325*Ramure*Pc/MaxiM</f>
        <v>1.1051525138685771E-2</v>
      </c>
      <c r="AE325" s="305">
        <f t="shared" si="117"/>
        <v>0.7</v>
      </c>
      <c r="AF325" s="177">
        <f t="shared" si="118"/>
        <v>0.4991517287300149</v>
      </c>
      <c r="AG325" s="919">
        <f t="shared" si="124"/>
        <v>2</v>
      </c>
      <c r="AH325" s="176">
        <f t="shared" si="119"/>
        <v>8</v>
      </c>
      <c r="AI325" s="225">
        <f t="shared" si="120"/>
        <v>2.4991517287300149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1090">
        <f>IF(t&gt;Tmaj,'2025'!Wh/'2025'!Env_an*'2026'!Env_an,0.001*'[13]mon-tableau (3)'!$B$44)</f>
        <v>20.171151393415986</v>
      </c>
      <c r="C326" s="953"/>
      <c r="D326" s="393">
        <f t="shared" si="102"/>
        <v>21.584058483839939</v>
      </c>
      <c r="E326" s="385">
        <f t="shared" si="125"/>
        <v>22.321737360265828</v>
      </c>
      <c r="F326" s="385">
        <f t="shared" si="103"/>
        <v>22.32610795760397</v>
      </c>
      <c r="G326" s="110">
        <f t="shared" si="126"/>
        <v>0.64024838475706825</v>
      </c>
      <c r="H326" s="412" t="b">
        <f>Wh_hp&gt;='2025'!Maxi_hp</f>
        <v>0</v>
      </c>
      <c r="I326" s="390">
        <f>IF(H326,Wh_hp,'2025'!Maxi_hp)</f>
        <v>27.419796880522092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6.5460677447746973E-2</v>
      </c>
      <c r="M326" s="957"/>
      <c r="N326" s="957"/>
      <c r="O326" s="48">
        <f>IF(t&lt;Tnet,'2025'!Resal+('2025'!Salim-'2025'!Resal)*(1-EXP(('2025'!Tnet-t)/('2025'!Tau_j))),Resal+(Salim-Resal)*(1-EXP((Tnet-t)/(Tau_j))))*Salcycl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4.0258787197380164E-4</v>
      </c>
      <c r="Q326" s="305">
        <f t="shared" si="105"/>
        <v>0.7</v>
      </c>
      <c r="R326" s="177">
        <f t="shared" si="106"/>
        <v>0.9742063978134019</v>
      </c>
      <c r="S326" s="919">
        <f t="shared" si="107"/>
        <v>-2</v>
      </c>
      <c r="T326" s="176">
        <f t="shared" si="108"/>
        <v>4</v>
      </c>
      <c r="U326" s="251">
        <f t="shared" si="109"/>
        <v>-1.0257936021865981</v>
      </c>
      <c r="V326" s="383">
        <f t="shared" si="110"/>
        <v>31.498679473625277</v>
      </c>
      <c r="W326" s="402">
        <f t="shared" si="111"/>
        <v>20.171151393415986</v>
      </c>
      <c r="X326" s="157">
        <f t="shared" si="112"/>
        <v>46334</v>
      </c>
      <c r="Y326" s="385">
        <f t="shared" si="113"/>
        <v>19.329218303811764</v>
      </c>
      <c r="Z326" s="385">
        <f t="shared" si="114"/>
        <v>20.68315140664507</v>
      </c>
      <c r="AA326" s="386">
        <f t="shared" si="115"/>
        <v>22.201169402516509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6.8375587265208246E-2</v>
      </c>
      <c r="AD326" s="231">
        <f>(INDEX(Models!$BJ326:$BT326,,AH326)*(1-AF326)+INDEX(Models!$BJ326:$BT326,,AH326+1)*AF326-ERP_i)*AE326*Ramure*Pc/MaxiM</f>
        <v>1.1508437663932274E-2</v>
      </c>
      <c r="AE326" s="305">
        <f t="shared" si="117"/>
        <v>0.7</v>
      </c>
      <c r="AF326" s="177">
        <f t="shared" si="118"/>
        <v>0.49919396418738105</v>
      </c>
      <c r="AG326" s="919">
        <f t="shared" si="124"/>
        <v>2</v>
      </c>
      <c r="AH326" s="176">
        <f t="shared" si="119"/>
        <v>8</v>
      </c>
      <c r="AI326" s="225">
        <f t="shared" si="120"/>
        <v>2.499193964187381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1090">
        <f>IF(t&gt;Tmaj,'2025'!Wh/'2025'!Env_an*'2026'!Env_an,0.001*'[13]mon-tableau (3)'!$B$45)</f>
        <v>10.670104697457882</v>
      </c>
      <c r="C327" s="953"/>
      <c r="D327" s="393">
        <f t="shared" si="102"/>
        <v>11.417752199139857</v>
      </c>
      <c r="E327" s="385">
        <f t="shared" si="125"/>
        <v>11.809126153733835</v>
      </c>
      <c r="F327" s="385">
        <f t="shared" si="103"/>
        <v>11.809412609594027</v>
      </c>
      <c r="G327" s="110">
        <f t="shared" si="126"/>
        <v>0.34191455684292016</v>
      </c>
      <c r="H327" s="412" t="b">
        <f>Wh_hp&gt;='2025'!Maxi_hp</f>
        <v>0</v>
      </c>
      <c r="I327" s="390">
        <f>IF(H327,Wh_hp,'2025'!Maxi_hp)</f>
        <v>26.175340990445164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6.5481146257342804E-2</v>
      </c>
      <c r="M327" s="957"/>
      <c r="N327" s="957"/>
      <c r="O327" s="48">
        <f>IF(t&lt;Tnet,'2025'!Resal+('2025'!Salim-'2025'!Resal)*(1-EXP(('2025'!Tnet-t)/('2025'!Tau_j))),Resal+(Salim-Resal)*(1-EXP((Tnet-t)/(Tau_j))))*Salcycl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4.0384928717723177E-4</v>
      </c>
      <c r="Q327" s="305">
        <f t="shared" si="105"/>
        <v>0.7</v>
      </c>
      <c r="R327" s="177">
        <f t="shared" si="106"/>
        <v>0.97424693946187135</v>
      </c>
      <c r="S327" s="919">
        <f t="shared" si="107"/>
        <v>-2</v>
      </c>
      <c r="T327" s="176">
        <f t="shared" si="108"/>
        <v>4</v>
      </c>
      <c r="U327" s="251">
        <f t="shared" si="109"/>
        <v>-1.0257530605381286</v>
      </c>
      <c r="V327" s="383">
        <f t="shared" si="110"/>
        <v>31.195086876893832</v>
      </c>
      <c r="W327" s="402">
        <f t="shared" si="111"/>
        <v>10.670104697457882</v>
      </c>
      <c r="X327" s="157">
        <f t="shared" si="112"/>
        <v>46335</v>
      </c>
      <c r="Y327" s="385">
        <f t="shared" si="113"/>
        <v>10.273775654480827</v>
      </c>
      <c r="Z327" s="385">
        <f t="shared" si="114"/>
        <v>10.993652630265675</v>
      </c>
      <c r="AA327" s="386">
        <f t="shared" si="115"/>
        <v>11.80092855073992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6.8407830536659664E-2</v>
      </c>
      <c r="AD327" s="231">
        <f>(INDEX(Models!$BJ327:$BT327,,AH327)*(1-AF327)+INDEX(Models!$BJ327:$BT327,,AH327+1)*AF327-ERP_i)*AE327*Ramure*Pc/MaxiM</f>
        <v>1.1960939176847048E-2</v>
      </c>
      <c r="AE327" s="305">
        <f t="shared" si="117"/>
        <v>0.7</v>
      </c>
      <c r="AF327" s="177">
        <f t="shared" si="118"/>
        <v>0.4992345058358505</v>
      </c>
      <c r="AG327" s="919">
        <f t="shared" si="124"/>
        <v>2</v>
      </c>
      <c r="AH327" s="176">
        <f t="shared" si="119"/>
        <v>8</v>
      </c>
      <c r="AI327" s="225">
        <f t="shared" si="120"/>
        <v>2.4992345058358505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1090">
        <f>IF(t&gt;Tmaj,'2025'!Wh/'2025'!Env_an*'2026'!Env_an,0.001*'[13]mon-tableau (3)'!$B$46)</f>
        <v>23.799463638757839</v>
      </c>
      <c r="C328" s="953"/>
      <c r="D328" s="393">
        <f t="shared" si="102"/>
        <v>25.467634841386023</v>
      </c>
      <c r="E328" s="385">
        <f t="shared" si="125"/>
        <v>26.343169120051272</v>
      </c>
      <c r="F328" s="385">
        <f t="shared" si="103"/>
        <v>26.350349382439806</v>
      </c>
      <c r="G328" s="110">
        <f t="shared" si="126"/>
        <v>0.77017013114236965</v>
      </c>
      <c r="H328" s="412" t="b">
        <f>Wh_hp&gt;='2025'!Maxi_hp</f>
        <v>0</v>
      </c>
      <c r="I328" s="390">
        <f>IF(H328,Wh_hp,'2025'!Maxi_hp)</f>
        <v>26.35215048063726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6.5501614618619142E-2</v>
      </c>
      <c r="M328" s="957"/>
      <c r="N328" s="957"/>
      <c r="O328" s="48">
        <f>IF(t&lt;Tnet,'2025'!Resal+('2025'!Salim-'2025'!Resal)*(1-EXP(('2025'!Tnet-t)/('2025'!Tau_j))),Resal+(Salim-Resal)*(1-EXP((Tnet-t)/(Tau_j))))*Salcycl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4.0560398832742265E-4</v>
      </c>
      <c r="Q328" s="305">
        <f t="shared" si="105"/>
        <v>0.7</v>
      </c>
      <c r="R328" s="177">
        <f t="shared" si="106"/>
        <v>0.97428585497090658</v>
      </c>
      <c r="S328" s="919">
        <f t="shared" si="107"/>
        <v>-2</v>
      </c>
      <c r="T328" s="176">
        <f t="shared" si="108"/>
        <v>4</v>
      </c>
      <c r="U328" s="251">
        <f t="shared" si="109"/>
        <v>-1.0257141450290934</v>
      </c>
      <c r="V328" s="383">
        <f t="shared" si="110"/>
        <v>30.897452162606211</v>
      </c>
      <c r="W328" s="402">
        <f t="shared" si="111"/>
        <v>23.799463638757839</v>
      </c>
      <c r="X328" s="157">
        <f t="shared" si="112"/>
        <v>46336</v>
      </c>
      <c r="Y328" s="385">
        <f t="shared" si="113"/>
        <v>22.747831912575677</v>
      </c>
      <c r="Z328" s="385">
        <f t="shared" si="114"/>
        <v>24.342291295979066</v>
      </c>
      <c r="AA328" s="386">
        <f t="shared" si="115"/>
        <v>26.130686313357888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6.8440415071095953E-2</v>
      </c>
      <c r="AD328" s="231">
        <f>(INDEX(Models!$BJ328:$BT328,,AH328)*(1-AF328)+INDEX(Models!$BJ328:$BT328,,AH328+1)*AF328-ERP_i)*AE328*Ramure*Pc/MaxiM</f>
        <v>1.2408490398640365E-2</v>
      </c>
      <c r="AE328" s="305">
        <f t="shared" si="117"/>
        <v>0.7</v>
      </c>
      <c r="AF328" s="177">
        <f t="shared" si="118"/>
        <v>0.49927342134488573</v>
      </c>
      <c r="AG328" s="919">
        <f t="shared" si="124"/>
        <v>2</v>
      </c>
      <c r="AH328" s="176">
        <f t="shared" si="119"/>
        <v>8</v>
      </c>
      <c r="AI328" s="225">
        <f t="shared" si="120"/>
        <v>2.4992734213448857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1090">
        <f>IF(t&gt;Tmaj,'2025'!Wh/'2025'!Env_an*'2026'!Env_an,0.001*'[13]mon-tableau (3)'!$B$47)</f>
        <v>29.666438846473799</v>
      </c>
      <c r="C329" s="953"/>
      <c r="D329" s="393">
        <f t="shared" si="102"/>
        <v>31.746538138475103</v>
      </c>
      <c r="E329" s="385">
        <f t="shared" si="125"/>
        <v>32.841126454432633</v>
      </c>
      <c r="F329" s="385">
        <f t="shared" si="103"/>
        <v>32.853937303485679</v>
      </c>
      <c r="G329" s="110">
        <f t="shared" si="126"/>
        <v>0.96924812408345551</v>
      </c>
      <c r="H329" s="412" t="b">
        <f>Wh_hp&gt;='2025'!Maxi_hp</f>
        <v>0</v>
      </c>
      <c r="I329" s="390">
        <f>IF(H329,Wh_hp,'2025'!Maxi_hp)</f>
        <v>32.854239402413441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6.5522082531585868E-2</v>
      </c>
      <c r="M329" s="957"/>
      <c r="N329" s="957"/>
      <c r="O329" s="48">
        <f>IF(t&lt;Tnet,'2025'!Resal+('2025'!Salim-'2025'!Resal)*(1-EXP(('2025'!Tnet-t)/('2025'!Tau_j))),Resal+(Salim-Resal)*(1-EXP((Tnet-t)/(Tau_j))))*Salcycl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4.0784026484608698E-4</v>
      </c>
      <c r="Q329" s="305">
        <f t="shared" si="105"/>
        <v>0.7</v>
      </c>
      <c r="R329" s="177">
        <f t="shared" si="106"/>
        <v>0.97432320932690364</v>
      </c>
      <c r="S329" s="919">
        <f t="shared" si="107"/>
        <v>-2</v>
      </c>
      <c r="T329" s="176">
        <f t="shared" si="108"/>
        <v>4</v>
      </c>
      <c r="U329" s="251">
        <f t="shared" si="109"/>
        <v>-1.0256767906730964</v>
      </c>
      <c r="V329" s="383">
        <f t="shared" si="110"/>
        <v>30.607134200867186</v>
      </c>
      <c r="W329" s="402">
        <f t="shared" si="111"/>
        <v>29.666438846473799</v>
      </c>
      <c r="X329" s="157">
        <f t="shared" si="112"/>
        <v>46337</v>
      </c>
      <c r="Y329" s="385">
        <f t="shared" si="113"/>
        <v>28.247682491439285</v>
      </c>
      <c r="Z329" s="385">
        <f t="shared" si="114"/>
        <v>30.228303915372159</v>
      </c>
      <c r="AA329" s="386">
        <f t="shared" si="115"/>
        <v>32.450285595861573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6.847340908373345E-2</v>
      </c>
      <c r="AD329" s="231">
        <f>(INDEX(Models!$BJ329:$BT329,,AH329)*(1-AF329)+INDEX(Models!$BJ329:$BT329,,AH329+1)*AF329-ERP_i)*AE329*Ramure*Pc/MaxiM</f>
        <v>1.2850469056449997E-2</v>
      </c>
      <c r="AE329" s="305">
        <f t="shared" si="117"/>
        <v>0.7</v>
      </c>
      <c r="AF329" s="177">
        <f t="shared" si="118"/>
        <v>0.49931077570088256</v>
      </c>
      <c r="AG329" s="919">
        <f t="shared" si="124"/>
        <v>2</v>
      </c>
      <c r="AH329" s="176">
        <f t="shared" si="119"/>
        <v>8</v>
      </c>
      <c r="AI329" s="225">
        <f t="shared" si="120"/>
        <v>2.4993107757008826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1090">
        <f>IF(t&gt;Tmaj,'2025'!Wh/'2025'!Env_an*'2026'!Env_an,0.001*'[13]mon-tableau (3)'!$B$48)</f>
        <v>28.329421680554752</v>
      </c>
      <c r="C330" s="953"/>
      <c r="D330" s="393">
        <f t="shared" si="102"/>
        <v>30.316438357296153</v>
      </c>
      <c r="E330" s="385">
        <f t="shared" si="125"/>
        <v>31.364772316068144</v>
      </c>
      <c r="F330" s="385">
        <f t="shared" si="103"/>
        <v>31.376442508742578</v>
      </c>
      <c r="G330" s="110">
        <f t="shared" si="126"/>
        <v>0.93414241510140206</v>
      </c>
      <c r="H330" s="412" t="b">
        <f>Wh_hp&gt;='2025'!Maxi_hp</f>
        <v>0</v>
      </c>
      <c r="I330" s="390">
        <f>IF(H330,Wh_hp,'2025'!Maxi_hp)</f>
        <v>32.840746587016881</v>
      </c>
      <c r="J330" s="85">
        <f>IF(H330,An,'2025'!An_max)</f>
        <v>2020</v>
      </c>
      <c r="K330" s="197">
        <f t="shared" si="104"/>
        <v>46338</v>
      </c>
      <c r="L330" s="147">
        <f>IF(t&lt;Tvie,1-EXP((T0-t)*PertePVj)+'2025'!Pspv,1-EXP((T0-t)*PertePVj)+Pspv)</f>
        <v>6.5542549996252863E-2</v>
      </c>
      <c r="M330" s="957"/>
      <c r="N330" s="957"/>
      <c r="O330" s="48">
        <f>IF(t&lt;Tnet,'2025'!Resal+('2025'!Salim-'2025'!Resal)*(1-EXP(('2025'!Tnet-t)/('2025'!Tau_j))),Resal+(Salim-Resal)*(1-EXP((Tnet-t)/(Tau_j))))*Salcycl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4.1054508430621528E-4</v>
      </c>
      <c r="Q330" s="305">
        <f t="shared" si="105"/>
        <v>0.7</v>
      </c>
      <c r="R330" s="177">
        <f t="shared" si="106"/>
        <v>0.97435906493796676</v>
      </c>
      <c r="S330" s="919">
        <f t="shared" si="107"/>
        <v>-2</v>
      </c>
      <c r="T330" s="176">
        <f t="shared" si="108"/>
        <v>4</v>
      </c>
      <c r="U330" s="251">
        <f t="shared" si="109"/>
        <v>-1.0256409350620332</v>
      </c>
      <c r="V330" s="383">
        <f t="shared" si="110"/>
        <v>30.325491264355477</v>
      </c>
      <c r="W330" s="402">
        <f t="shared" si="111"/>
        <v>28.329421680554752</v>
      </c>
      <c r="X330" s="157">
        <f t="shared" si="112"/>
        <v>46338</v>
      </c>
      <c r="Y330" s="385">
        <f t="shared" si="113"/>
        <v>26.98258948288456</v>
      </c>
      <c r="Z330" s="385">
        <f t="shared" si="114"/>
        <v>28.875139775252858</v>
      </c>
      <c r="AA330" s="386">
        <f t="shared" si="115"/>
        <v>30.998768671642335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6.85068790597535E-2</v>
      </c>
      <c r="AD330" s="231">
        <f>(INDEX(Models!$BJ330:$BT330,,AH330)*(1-AF330)+INDEX(Models!$BJ330:$BT330,,AH330+1)*AF330-ERP_i)*AE330*Ramure*Pc/MaxiM</f>
        <v>1.328616772817144E-2</v>
      </c>
      <c r="AE330" s="305">
        <f t="shared" si="117"/>
        <v>0.7</v>
      </c>
      <c r="AF330" s="177">
        <f t="shared" si="118"/>
        <v>0.4993466313119459</v>
      </c>
      <c r="AG330" s="919">
        <f t="shared" si="124"/>
        <v>2</v>
      </c>
      <c r="AH330" s="176">
        <f t="shared" si="119"/>
        <v>8</v>
      </c>
      <c r="AI330" s="225">
        <f t="shared" si="120"/>
        <v>2.4993466313119459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1090">
        <f>IF(t&gt;Tmaj,'2025'!Wh/'2025'!Env_an*'2026'!Env_an,0.001*'[13]mon-tableau (3)'!$B$49)</f>
        <v>28.518143534198572</v>
      </c>
      <c r="C331" s="953"/>
      <c r="D331" s="393">
        <f t="shared" si="102"/>
        <v>30.519065547926864</v>
      </c>
      <c r="E331" s="385">
        <f t="shared" si="125"/>
        <v>31.577483915994499</v>
      </c>
      <c r="F331" s="385">
        <f t="shared" si="103"/>
        <v>31.589602864457635</v>
      </c>
      <c r="G331" s="110">
        <f t="shared" si="126"/>
        <v>0.94900603190251498</v>
      </c>
      <c r="H331" s="412" t="b">
        <f>Wh_hp&gt;='2025'!Maxi_hp</f>
        <v>0</v>
      </c>
      <c r="I331" s="390">
        <f>IF(H331,Wh_hp,'2025'!Maxi_hp)</f>
        <v>31.590091500523783</v>
      </c>
      <c r="J331" s="85">
        <f>IF(H331,An,'2025'!An_max)</f>
        <v>2025</v>
      </c>
      <c r="K331" s="197">
        <f t="shared" si="104"/>
        <v>46339</v>
      </c>
      <c r="L331" s="147">
        <f>IF(t&lt;Tvie,1-EXP((T0-t)*PertePVj)+'2025'!Pspv,1-EXP((T0-t)*PertePVj)+Pspv)</f>
        <v>6.5563017012629787E-2</v>
      </c>
      <c r="M331" s="957"/>
      <c r="N331" s="957"/>
      <c r="O331" s="48">
        <f>IF(t&lt;Tnet,'2025'!Resal+('2025'!Salim-'2025'!Resal)*(1-EXP(('2025'!Tnet-t)/('2025'!Tau_j))),Resal+(Salim-Resal)*(1-EXP((Tnet-t)/(Tau_j))))*Salcycl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4.1376232259092281E-4</v>
      </c>
      <c r="Q331" s="305">
        <f t="shared" si="105"/>
        <v>0.7</v>
      </c>
      <c r="R331" s="177">
        <f t="shared" si="106"/>
        <v>0.97439348173471751</v>
      </c>
      <c r="S331" s="919">
        <f t="shared" si="107"/>
        <v>-2</v>
      </c>
      <c r="T331" s="176">
        <f t="shared" si="108"/>
        <v>4</v>
      </c>
      <c r="U331" s="251">
        <f t="shared" si="109"/>
        <v>-1.0256065182652825</v>
      </c>
      <c r="V331" s="383">
        <f t="shared" si="110"/>
        <v>30.049634180147184</v>
      </c>
      <c r="W331" s="402">
        <f t="shared" si="111"/>
        <v>28.518143534198572</v>
      </c>
      <c r="X331" s="157">
        <f t="shared" si="112"/>
        <v>46339</v>
      </c>
      <c r="Y331" s="385">
        <f t="shared" si="113"/>
        <v>27.145583293695143</v>
      </c>
      <c r="Z331" s="385">
        <f t="shared" si="114"/>
        <v>29.050202194386006</v>
      </c>
      <c r="AA331" s="386">
        <f t="shared" si="115"/>
        <v>31.18784481814783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6.8540889446710218E-2</v>
      </c>
      <c r="AD331" s="231">
        <f>(INDEX(Models!$BJ331:$BT331,,AH331)*(1-AF331)+INDEX(Models!$BJ331:$BT331,,AH331+1)*AF331-ERP_i)*AE331*Ramure*Pc/MaxiM</f>
        <v>1.3716729868631424E-2</v>
      </c>
      <c r="AE331" s="305">
        <f t="shared" si="117"/>
        <v>0.7</v>
      </c>
      <c r="AF331" s="177">
        <f t="shared" si="118"/>
        <v>0.49938104810869666</v>
      </c>
      <c r="AG331" s="919">
        <f t="shared" si="124"/>
        <v>2</v>
      </c>
      <c r="AH331" s="176">
        <f t="shared" si="119"/>
        <v>8</v>
      </c>
      <c r="AI331" s="225">
        <f t="shared" si="120"/>
        <v>2.4993810481086967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1090">
        <f>IF(t&gt;Tmaj,'2025'!Wh/'2025'!Env_an*'2026'!Env_an,0.001*'[13]mon-tableau (3)'!$B$50)</f>
        <v>10.660355989108256</v>
      </c>
      <c r="C332" s="953"/>
      <c r="D332" s="393">
        <f t="shared" si="102"/>
        <v>11.408569735003425</v>
      </c>
      <c r="E332" s="385">
        <f t="shared" si="125"/>
        <v>11.80537741568601</v>
      </c>
      <c r="F332" s="385">
        <f t="shared" si="103"/>
        <v>11.805785896586043</v>
      </c>
      <c r="G332" s="110">
        <f t="shared" si="126"/>
        <v>0.35788097336872654</v>
      </c>
      <c r="H332" s="412" t="b">
        <f>Wh_hp&gt;='2025'!Maxi_hp</f>
        <v>0</v>
      </c>
      <c r="I332" s="390">
        <f>IF(H332,Wh_hp,'2025'!Maxi_hp)</f>
        <v>20.754830581758107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6.5583483580726409E-2</v>
      </c>
      <c r="M332" s="957"/>
      <c r="N332" s="957"/>
      <c r="O332" s="48">
        <f>IF(t&lt;Tnet,'2025'!Resal+('2025'!Salim-'2025'!Resal)*(1-EXP(('2025'!Tnet-t)/('2025'!Tau_j))),Resal+(Salim-Resal)*(1-EXP((Tnet-t)/(Tau_j))))*Salcycl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4.1745703089789756E-4</v>
      </c>
      <c r="Q332" s="305">
        <f t="shared" si="105"/>
        <v>0.7</v>
      </c>
      <c r="R332" s="177">
        <f t="shared" si="106"/>
        <v>0.97442651726727925</v>
      </c>
      <c r="S332" s="919">
        <f t="shared" si="107"/>
        <v>-2</v>
      </c>
      <c r="T332" s="176">
        <f t="shared" si="108"/>
        <v>4</v>
      </c>
      <c r="U332" s="251">
        <f t="shared" si="109"/>
        <v>-1.0255734827327208</v>
      </c>
      <c r="V332" s="383">
        <f t="shared" si="110"/>
        <v>29.776029599944046</v>
      </c>
      <c r="W332" s="402">
        <f t="shared" si="111"/>
        <v>10.660355989108256</v>
      </c>
      <c r="X332" s="157">
        <f t="shared" si="112"/>
        <v>46340</v>
      </c>
      <c r="Y332" s="385">
        <f t="shared" si="113"/>
        <v>10.262999953792994</v>
      </c>
      <c r="Z332" s="385">
        <f t="shared" si="114"/>
        <v>10.983324645331907</v>
      </c>
      <c r="AA332" s="386">
        <f t="shared" si="115"/>
        <v>11.791964537263967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6.8575502358124041E-2</v>
      </c>
      <c r="AD332" s="231">
        <f>(INDEX(Models!$BJ332:$BT332,,AH332)*(1-AF332)+INDEX(Models!$BJ332:$BT332,,AH332+1)*AF332-ERP_i)*AE332*Ramure*Pc/MaxiM</f>
        <v>1.4125075676960499E-2</v>
      </c>
      <c r="AE332" s="305">
        <f t="shared" si="117"/>
        <v>0.7</v>
      </c>
      <c r="AF332" s="177">
        <f t="shared" si="118"/>
        <v>0.49941408364125817</v>
      </c>
      <c r="AG332" s="919">
        <f t="shared" si="124"/>
        <v>2</v>
      </c>
      <c r="AH332" s="176">
        <f t="shared" si="119"/>
        <v>8</v>
      </c>
      <c r="AI332" s="225">
        <f t="shared" si="120"/>
        <v>2.4994140836412582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1090">
        <f>IF(t&gt;Tmaj,'2025'!Wh/'2025'!Env_an*'2026'!Env_an,0.001*'[13]mon-tableau (3)'!$B$51)</f>
        <v>12.732136953199131</v>
      </c>
      <c r="C333" s="953"/>
      <c r="D333" s="393">
        <f t="shared" si="102"/>
        <v>13.626060329684448</v>
      </c>
      <c r="E333" s="385">
        <f t="shared" si="125"/>
        <v>14.101374121629231</v>
      </c>
      <c r="F333" s="385">
        <f t="shared" si="103"/>
        <v>14.102490999550774</v>
      </c>
      <c r="G333" s="110">
        <f t="shared" si="126"/>
        <v>0.43137599346520411</v>
      </c>
      <c r="H333" s="412" t="b">
        <f>Wh_hp&gt;='2025'!Maxi_hp</f>
        <v>0</v>
      </c>
      <c r="I333" s="390">
        <f>IF(H333,Wh_hp,'2025'!Maxi_hp)</f>
        <v>29.501536808911666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6.5603949700552833E-2</v>
      </c>
      <c r="M333" s="957"/>
      <c r="N333" s="957"/>
      <c r="O333" s="48">
        <f>IF(t&lt;Tnet,'2025'!Resal+('2025'!Salim-'2025'!Resal)*(1-EXP(('2025'!Tnet-t)/('2025'!Tau_j))),Resal+(Salim-Resal)*(1-EXP((Tnet-t)/(Tau_j))))*Salcycl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4.2150606909663367E-4</v>
      </c>
      <c r="Q333" s="305">
        <f t="shared" si="105"/>
        <v>0.7</v>
      </c>
      <c r="R333" s="177">
        <f t="shared" si="106"/>
        <v>0.97445822679857441</v>
      </c>
      <c r="S333" s="919">
        <f t="shared" si="107"/>
        <v>-2</v>
      </c>
      <c r="T333" s="176">
        <f t="shared" si="108"/>
        <v>4</v>
      </c>
      <c r="U333" s="251">
        <f t="shared" si="109"/>
        <v>-1.0255417732014256</v>
      </c>
      <c r="V333" s="383">
        <f t="shared" si="110"/>
        <v>29.505068611889122</v>
      </c>
      <c r="W333" s="402">
        <f t="shared" si="111"/>
        <v>12.732136953199131</v>
      </c>
      <c r="X333" s="157">
        <f t="shared" si="112"/>
        <v>46341</v>
      </c>
      <c r="Y333" s="385">
        <f t="shared" si="113"/>
        <v>12.239766385411599</v>
      </c>
      <c r="Z333" s="385">
        <f t="shared" si="114"/>
        <v>13.099120422746976</v>
      </c>
      <c r="AA333" s="386">
        <f t="shared" si="115"/>
        <v>14.064066990853449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6.8610777290383007E-2</v>
      </c>
      <c r="AD333" s="231">
        <f>(INDEX(Models!$BJ333:$BT333,,AH333)*(1-AF333)+INDEX(Models!$BJ333:$BT333,,AH333+1)*AF333-ERP_i)*AE333*Ramure*Pc/MaxiM</f>
        <v>1.4501095019012372E-2</v>
      </c>
      <c r="AE333" s="305">
        <f t="shared" si="117"/>
        <v>0.7</v>
      </c>
      <c r="AF333" s="177">
        <f t="shared" si="118"/>
        <v>0.49944579317255355</v>
      </c>
      <c r="AG333" s="919">
        <f t="shared" si="124"/>
        <v>2</v>
      </c>
      <c r="AH333" s="176">
        <f t="shared" si="119"/>
        <v>8</v>
      </c>
      <c r="AI333" s="225">
        <f t="shared" si="120"/>
        <v>2.4994457931725536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1090">
        <f>IF(t&gt;Tmaj,'2025'!Wh/'2025'!Env_an*'2026'!Env_an,0.001*'[13]mon-tableau (3)'!$B$52)</f>
        <v>28.212982184542131</v>
      </c>
      <c r="C334" s="953"/>
      <c r="D334" s="393">
        <f t="shared" si="102"/>
        <v>30.194477091113267</v>
      </c>
      <c r="E334" s="385">
        <f t="shared" si="125"/>
        <v>31.250802642634163</v>
      </c>
      <c r="F334" s="385">
        <f t="shared" si="103"/>
        <v>31.263451756261293</v>
      </c>
      <c r="G334" s="110">
        <f t="shared" si="126"/>
        <v>0.96495013436773391</v>
      </c>
      <c r="H334" s="412" t="b">
        <f>Wh_hp&gt;='2025'!Maxi_hp</f>
        <v>0</v>
      </c>
      <c r="I334" s="390">
        <f>IF(H334,Wh_hp,'2025'!Maxi_hp)</f>
        <v>31.263793869207316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6.5624415372118605E-2</v>
      </c>
      <c r="M334" s="957"/>
      <c r="N334" s="957"/>
      <c r="O334" s="48">
        <f>IF(t&lt;Tnet,'2025'!Resal+('2025'!Salim-'2025'!Resal)*(1-EXP(('2025'!Tnet-t)/('2025'!Tau_j))),Resal+(Salim-Resal)*(1-EXP((Tnet-t)/(Tau_j))))*Salcycl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4.2591083813583525E-4</v>
      </c>
      <c r="Q334" s="305">
        <f t="shared" si="105"/>
        <v>0.7</v>
      </c>
      <c r="R334" s="177">
        <f t="shared" si="106"/>
        <v>0.97448866339406393</v>
      </c>
      <c r="S334" s="919">
        <f t="shared" si="107"/>
        <v>-2</v>
      </c>
      <c r="T334" s="176">
        <f t="shared" si="108"/>
        <v>4</v>
      </c>
      <c r="U334" s="251">
        <f t="shared" si="109"/>
        <v>-1.0255113366059361</v>
      </c>
      <c r="V334" s="383">
        <f t="shared" si="110"/>
        <v>29.237138399999264</v>
      </c>
      <c r="W334" s="402">
        <f t="shared" si="111"/>
        <v>28.212982184542131</v>
      </c>
      <c r="X334" s="157">
        <f t="shared" si="112"/>
        <v>46342</v>
      </c>
      <c r="Y334" s="385">
        <f t="shared" si="113"/>
        <v>26.822851033465209</v>
      </c>
      <c r="Z334" s="385">
        <f t="shared" si="114"/>
        <v>28.706712241574152</v>
      </c>
      <c r="AA334" s="386">
        <f t="shared" si="115"/>
        <v>30.822583036434878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6.8646770854979555E-2</v>
      </c>
      <c r="AD334" s="231">
        <f>(INDEX(Models!$BJ334:$BT334,,AH334)*(1-AF334)+INDEX(Models!$BJ334:$BT334,,AH334+1)*AF334-ERP_i)*AE334*Ramure*Pc/MaxiM</f>
        <v>1.4844578956618617E-2</v>
      </c>
      <c r="AE334" s="305">
        <f t="shared" si="117"/>
        <v>0.7</v>
      </c>
      <c r="AF334" s="177">
        <f t="shared" si="118"/>
        <v>0.49947622976804285</v>
      </c>
      <c r="AG334" s="919">
        <f t="shared" si="124"/>
        <v>2</v>
      </c>
      <c r="AH334" s="176">
        <f t="shared" si="119"/>
        <v>8</v>
      </c>
      <c r="AI334" s="225">
        <f t="shared" si="120"/>
        <v>2.4994762297680428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1090">
        <f>IF(t&gt;Tmaj,'2025'!Wh/'2025'!Env_an*'2026'!Env_an,0.001*'[13]mon-tableau (3)'!$B$53)</f>
        <v>15.076176514945971</v>
      </c>
      <c r="C335" s="953"/>
      <c r="D335" s="393">
        <f t="shared" ref="D335:D379" si="127">Wh/(1-Ppv)</f>
        <v>16.135381721409651</v>
      </c>
      <c r="E335" s="385">
        <f t="shared" si="125"/>
        <v>16.701502371201766</v>
      </c>
      <c r="F335" s="385">
        <f t="shared" ref="F335:F379" si="128">Wh_sa/(1-Pvg*MEDIAN((-Sdif+Wh/Env_an)/Csdif,0,1))</f>
        <v>16.703766989192239</v>
      </c>
      <c r="G335" s="110">
        <f t="shared" si="126"/>
        <v>0.52020576115606798</v>
      </c>
      <c r="H335" s="412" t="b">
        <f>Wh_hp&gt;='2025'!Maxi_hp</f>
        <v>0</v>
      </c>
      <c r="I335" s="390">
        <f>IF(H335,Wh_hp,'2025'!Maxi_hp)</f>
        <v>31.482813740825435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6.5644880595433719E-2</v>
      </c>
      <c r="M335" s="957"/>
      <c r="N335" s="957"/>
      <c r="O335" s="48">
        <f>IF(t&lt;Tnet,'2025'!Resal+('2025'!Salim-'2025'!Resal)*(1-EXP(('2025'!Tnet-t)/('2025'!Tau_j))),Resal+(Salim-Resal)*(1-EXP((Tnet-t)/(Tau_j))))*Salcycl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4.3067246877762024E-4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0.97451787800805811</v>
      </c>
      <c r="S335" s="919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-1.0254821219919419</v>
      </c>
      <c r="V335" s="383">
        <f t="shared" ref="V335:V379" si="135">MaxiM*(1-Ppv)*(1-Pvg)*(1-Psa)</f>
        <v>28.97262602588366</v>
      </c>
      <c r="W335" s="402">
        <f t="shared" ref="W335:W379" si="136">Wh*(A335&gt;Tmaj)</f>
        <v>15.076176514945971</v>
      </c>
      <c r="X335" s="157">
        <f t="shared" ref="X335:X379" si="137">t</f>
        <v>46343</v>
      </c>
      <c r="Y335" s="385">
        <f t="shared" ref="Y335:Y379" si="138">Wh_pvt_s*(1-Ppv)</f>
        <v>14.465943086812139</v>
      </c>
      <c r="Z335" s="385">
        <f t="shared" ref="Z335:Z379" si="139">Wh_sa_s*(1-Psa_s)</f>
        <v>15.482275193216481</v>
      </c>
      <c r="AA335" s="386">
        <f t="shared" ref="AA335:AA379" si="140">Wh_hp*(1-Pvg_s*MEDIAN((-Sdif+Wh/Env_an)/Csdif,0,1))</f>
        <v>16.624075489332181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6.8683536527995429E-2</v>
      </c>
      <c r="AD335" s="231">
        <f>(INDEX(Models!$BJ335:$BT335,,AH335)*(1-AF335)+INDEX(Models!$BJ335:$BT335,,AH335+1)*AF335-ERP_i)*AE335*Ramure*Pc/MaxiM</f>
        <v>1.515528673254544E-2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0.49950544438203703</v>
      </c>
      <c r="AG335" s="91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2.499505444382037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1090">
        <f>IF(t&gt;Tmaj,'2025'!Wh/'2025'!Env_an*'2026'!Env_an,0.001*'[13]mon-tableau (3)'!$B$54)</f>
        <v>13.766610213371342</v>
      </c>
      <c r="C336" s="953"/>
      <c r="D336" s="393">
        <f t="shared" si="127"/>
        <v>14.734132085500407</v>
      </c>
      <c r="E336" s="385">
        <f t="shared" si="125"/>
        <v>15.252589963456138</v>
      </c>
      <c r="F336" s="385">
        <f t="shared" si="128"/>
        <v>15.254294372969724</v>
      </c>
      <c r="G336" s="110">
        <f t="shared" si="126"/>
        <v>0.47931832057355894</v>
      </c>
      <c r="H336" s="412" t="b">
        <f>Wh_hp&gt;='2025'!Maxi_hp</f>
        <v>0</v>
      </c>
      <c r="I336" s="390">
        <f>IF(H336,Wh_hp,'2025'!Maxi_hp)</f>
        <v>29.94043779612808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6.5665345370507833E-2</v>
      </c>
      <c r="M336" s="957"/>
      <c r="N336" s="957"/>
      <c r="O336" s="48">
        <f>IF(t&lt;Tnet,'2025'!Resal+('2025'!Salim-'2025'!Resal)*(1-EXP(('2025'!Tnet-t)/('2025'!Tau_j))),Resal+(Salim-Resal)*(1-EXP((Tnet-t)/(Tau_j))))*Salcycl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4.3579175847417012E-4</v>
      </c>
      <c r="Q336" s="305">
        <f t="shared" si="130"/>
        <v>0.7</v>
      </c>
      <c r="R336" s="177">
        <f t="shared" si="131"/>
        <v>0.97454591956672143</v>
      </c>
      <c r="S336" s="919">
        <f t="shared" si="132"/>
        <v>-2</v>
      </c>
      <c r="T336" s="176">
        <f t="shared" si="133"/>
        <v>4</v>
      </c>
      <c r="U336" s="251">
        <f t="shared" si="134"/>
        <v>-1.0254540804332786</v>
      </c>
      <c r="V336" s="383">
        <f t="shared" si="135"/>
        <v>28.711918436731079</v>
      </c>
      <c r="W336" s="402">
        <f t="shared" si="136"/>
        <v>13.766610213371342</v>
      </c>
      <c r="X336" s="157">
        <f t="shared" si="137"/>
        <v>46344</v>
      </c>
      <c r="Y336" s="385">
        <f t="shared" si="138"/>
        <v>13.220639928029632</v>
      </c>
      <c r="Z336" s="385">
        <f t="shared" si="139"/>
        <v>14.149790829788113</v>
      </c>
      <c r="AA336" s="386">
        <f t="shared" si="140"/>
        <v>15.193935136727594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6.8721124418618815E-2</v>
      </c>
      <c r="AD336" s="231">
        <f>(INDEX(Models!$BJ336:$BT336,,AH336)*(1-AF336)+INDEX(Models!$BJ336:$BT336,,AH336+1)*AF336-ERP_i)*AE336*Ramure*Pc/MaxiM</f>
        <v>1.5432944660575296E-2</v>
      </c>
      <c r="AE336" s="305">
        <f t="shared" si="142"/>
        <v>0.7</v>
      </c>
      <c r="AF336" s="177">
        <f t="shared" si="143"/>
        <v>0.49953348594070057</v>
      </c>
      <c r="AG336" s="919">
        <f t="shared" ref="AG336:AG379" si="149">INDEX(Echel_vg,AH336)</f>
        <v>2</v>
      </c>
      <c r="AH336" s="176">
        <f t="shared" si="144"/>
        <v>8</v>
      </c>
      <c r="AI336" s="225">
        <f t="shared" si="145"/>
        <v>2.4995334859407006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1090">
        <f>IF(t&gt;Tmaj,'2025'!Wh/'2025'!Env_an*'2026'!Env_an,0.001*'[13]mon-tableau (3)'!$B$55)</f>
        <v>5.9379004465637388</v>
      </c>
      <c r="C337" s="953"/>
      <c r="D337" s="393">
        <f t="shared" si="127"/>
        <v>6.3553572322821044</v>
      </c>
      <c r="E337" s="385">
        <f t="shared" si="125"/>
        <v>6.5796359606592976</v>
      </c>
      <c r="F337" s="385">
        <f t="shared" si="128"/>
        <v>6.5796359606592976</v>
      </c>
      <c r="G337" s="110">
        <f t="shared" si="126"/>
        <v>0.20858184114339437</v>
      </c>
      <c r="H337" s="412" t="b">
        <f>Wh_hp&gt;='2025'!Maxi_hp</f>
        <v>0</v>
      </c>
      <c r="I337" s="390">
        <f>IF(H337,Wh_hp,'2025'!Maxi_hp)</f>
        <v>31.549585507891482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6.5685809697350939E-2</v>
      </c>
      <c r="M337" s="957"/>
      <c r="N337" s="957"/>
      <c r="O337" s="48">
        <f>IF(t&lt;Tnet,'2025'!Resal+('2025'!Salim-'2025'!Resal)*(1-EXP(('2025'!Tnet-t)/('2025'!Tau_j))),Resal+(Salim-Resal)*(1-EXP((Tnet-t)/(Tau_j))))*Salcycl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4.4126910331709164E-4</v>
      </c>
      <c r="Q337" s="305">
        <f t="shared" si="130"/>
        <v>0.7</v>
      </c>
      <c r="R337" s="177">
        <f t="shared" si="131"/>
        <v>0.97457283504789194</v>
      </c>
      <c r="S337" s="919">
        <f t="shared" si="132"/>
        <v>-2</v>
      </c>
      <c r="T337" s="176">
        <f t="shared" si="133"/>
        <v>4</v>
      </c>
      <c r="U337" s="251">
        <f t="shared" si="134"/>
        <v>-1.0254271649521081</v>
      </c>
      <c r="V337" s="383">
        <f t="shared" si="135"/>
        <v>28.455402455085981</v>
      </c>
      <c r="W337" s="402">
        <f t="shared" si="136"/>
        <v>5.9379004465637388</v>
      </c>
      <c r="X337" s="157">
        <f t="shared" si="137"/>
        <v>46345</v>
      </c>
      <c r="Y337" s="385">
        <f t="shared" si="138"/>
        <v>5.7247513479204146</v>
      </c>
      <c r="Z337" s="385">
        <f t="shared" si="139"/>
        <v>6.1272229484880416</v>
      </c>
      <c r="AA337" s="386">
        <f t="shared" si="140"/>
        <v>6.5796359606592976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6.8759581058329994E-2</v>
      </c>
      <c r="AD337" s="231">
        <f>(INDEX(Models!$BJ337:$BT337,,AH337)*(1-AF337)+INDEX(Models!$BJ337:$BT337,,AH337+1)*AF337-ERP_i)*AE337*Ramure*Pc/MaxiM</f>
        <v>1.5677245393318058E-2</v>
      </c>
      <c r="AE337" s="305">
        <f t="shared" si="142"/>
        <v>0.7</v>
      </c>
      <c r="AF337" s="177">
        <f t="shared" si="143"/>
        <v>0.49956040142187108</v>
      </c>
      <c r="AG337" s="919">
        <f t="shared" si="149"/>
        <v>2</v>
      </c>
      <c r="AH337" s="176">
        <f t="shared" si="144"/>
        <v>8</v>
      </c>
      <c r="AI337" s="225">
        <f t="shared" si="145"/>
        <v>2.4995604014218711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1090">
        <f>IF(t&gt;Tmaj,'2025'!Wh/'2025'!Env_an*'2026'!Env_an,0.001*'[13]mon-tableau (3)'!$B$56)</f>
        <v>17.587882186027382</v>
      </c>
      <c r="C338" s="953"/>
      <c r="D338" s="393">
        <f t="shared" si="127"/>
        <v>18.82478891659084</v>
      </c>
      <c r="E338" s="385">
        <f t="shared" si="125"/>
        <v>19.491039777492634</v>
      </c>
      <c r="F338" s="385">
        <f t="shared" si="128"/>
        <v>19.495064049758529</v>
      </c>
      <c r="G338" s="110">
        <f t="shared" si="126"/>
        <v>0.62345702579488482</v>
      </c>
      <c r="H338" s="412" t="b">
        <f>Wh_hp&gt;='2025'!Maxi_hp</f>
        <v>0</v>
      </c>
      <c r="I338" s="390">
        <f>IF(H338,Wh_hp,'2025'!Maxi_hp)</f>
        <v>31.724603682982458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6.5706273575972696E-2</v>
      </c>
      <c r="M338" s="957"/>
      <c r="N338" s="957"/>
      <c r="O338" s="48">
        <f>IF(t&lt;Tnet,'2025'!Resal+('2025'!Salim-'2025'!Resal)*(1-EXP(('2025'!Tnet-t)/('2025'!Tau_j))),Resal+(Salim-Resal)*(1-EXP((Tnet-t)/(Tau_j))))*Salcycl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4.4652225912713525E-4</v>
      </c>
      <c r="Q338" s="305">
        <f t="shared" si="130"/>
        <v>0.7</v>
      </c>
      <c r="R338" s="177">
        <f t="shared" si="131"/>
        <v>0.97459866955783103</v>
      </c>
      <c r="S338" s="919">
        <f t="shared" si="132"/>
        <v>-2</v>
      </c>
      <c r="T338" s="176">
        <f t="shared" si="133"/>
        <v>4</v>
      </c>
      <c r="U338" s="251">
        <f t="shared" si="134"/>
        <v>-1.025401330442169</v>
      </c>
      <c r="V338" s="383">
        <f t="shared" si="135"/>
        <v>28.203481214668393</v>
      </c>
      <c r="W338" s="402">
        <f t="shared" si="136"/>
        <v>17.587882186027382</v>
      </c>
      <c r="X338" s="157">
        <f t="shared" si="137"/>
        <v>46346</v>
      </c>
      <c r="Y338" s="385">
        <f t="shared" si="138"/>
        <v>16.836491746162331</v>
      </c>
      <c r="Z338" s="385">
        <f t="shared" si="139"/>
        <v>18.020555281478067</v>
      </c>
      <c r="AA338" s="386">
        <f t="shared" si="140"/>
        <v>19.351949040685959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6.8798949212233854E-2</v>
      </c>
      <c r="AD338" s="231">
        <f>(INDEX(Models!$BJ338:$BT338,,AH338)*(1-AF338)+INDEX(Models!$BJ338:$BT338,,AH338+1)*AF338-ERP_i)*AE338*Ramure*Pc/MaxiM</f>
        <v>1.5879650516612744E-2</v>
      </c>
      <c r="AE338" s="305">
        <f t="shared" si="142"/>
        <v>0.7</v>
      </c>
      <c r="AF338" s="177">
        <f t="shared" si="143"/>
        <v>0.49958623593180995</v>
      </c>
      <c r="AG338" s="919">
        <f t="shared" si="149"/>
        <v>2</v>
      </c>
      <c r="AH338" s="176">
        <f t="shared" si="144"/>
        <v>8</v>
      </c>
      <c r="AI338" s="225">
        <f t="shared" si="145"/>
        <v>2.49958623593181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1090">
        <f>IF(t&gt;Tmaj,'2025'!Wh/'2025'!Env_an*'2026'!Env_an,0.001*'[13]mon-tableau (3)'!$B$57)</f>
        <v>3.5106600172153972</v>
      </c>
      <c r="C339" s="953"/>
      <c r="D339" s="393">
        <f t="shared" si="127"/>
        <v>3.7576372526882236</v>
      </c>
      <c r="E339" s="385">
        <f t="shared" si="125"/>
        <v>3.8910147962363766</v>
      </c>
      <c r="F339" s="385">
        <f t="shared" si="128"/>
        <v>3.8910147962363766</v>
      </c>
      <c r="G339" s="110">
        <f t="shared" si="126"/>
        <v>0.12551891856624531</v>
      </c>
      <c r="H339" s="412" t="b">
        <f>Wh_hp&gt;='2025'!Maxi_hp</f>
        <v>0</v>
      </c>
      <c r="I339" s="390">
        <f>IF(H339,Wh_hp,'2025'!Maxi_hp)</f>
        <v>30.885830486283265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6.5726737006382985E-2</v>
      </c>
      <c r="M339" s="957"/>
      <c r="N339" s="957"/>
      <c r="O339" s="48">
        <f>IF(t&lt;Tnet,'2025'!Resal+('2025'!Salim-'2025'!Resal)*(1-EXP(('2025'!Tnet-t)/('2025'!Tau_j))),Resal+(Salim-Resal)*(1-EXP((Tnet-t)/(Tau_j))))*Salcycl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4.5113843672407332E-4</v>
      </c>
      <c r="Q339" s="305">
        <f t="shared" si="130"/>
        <v>0.7</v>
      </c>
      <c r="R339" s="177">
        <f t="shared" si="131"/>
        <v>0.97462346640501618</v>
      </c>
      <c r="S339" s="919">
        <f t="shared" si="132"/>
        <v>-2</v>
      </c>
      <c r="T339" s="176">
        <f t="shared" si="133"/>
        <v>4</v>
      </c>
      <c r="U339" s="251">
        <f t="shared" si="134"/>
        <v>-1.0253765335949838</v>
      </c>
      <c r="V339" s="383">
        <f t="shared" si="135"/>
        <v>27.95655239565636</v>
      </c>
      <c r="W339" s="402">
        <f t="shared" si="136"/>
        <v>3.5106600172153972</v>
      </c>
      <c r="X339" s="157">
        <f t="shared" si="137"/>
        <v>46347</v>
      </c>
      <c r="Y339" s="385">
        <f t="shared" si="138"/>
        <v>3.3850216902568073</v>
      </c>
      <c r="Z339" s="385">
        <f t="shared" si="139"/>
        <v>3.6231601869997365</v>
      </c>
      <c r="AA339" s="386">
        <f t="shared" si="140"/>
        <v>3.8910147962363766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6.8839267713842925E-2</v>
      </c>
      <c r="AD339" s="231">
        <f>(INDEX(Models!$BJ339:$BT339,,AH339)*(1-AF339)+INDEX(Models!$BJ339:$BT339,,AH339+1)*AF339-ERP_i)*AE339*Ramure*Pc/MaxiM</f>
        <v>1.6056208058948192E-2</v>
      </c>
      <c r="AE339" s="305">
        <f t="shared" si="142"/>
        <v>0.7</v>
      </c>
      <c r="AF339" s="177">
        <f t="shared" si="143"/>
        <v>0.49961103277899532</v>
      </c>
      <c r="AG339" s="919">
        <f t="shared" si="149"/>
        <v>2</v>
      </c>
      <c r="AH339" s="176">
        <f t="shared" si="144"/>
        <v>8</v>
      </c>
      <c r="AI339" s="225">
        <f t="shared" si="145"/>
        <v>2.4996110327789953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1090">
        <f>IF(t&gt;Tmaj,'2025'!Wh/'2025'!Env_an*'2026'!Env_an,0.001*'[13]mon-tableau (3)'!$B$58)</f>
        <v>7.7773599089383483</v>
      </c>
      <c r="C340" s="953"/>
      <c r="D340" s="393">
        <f t="shared" si="127"/>
        <v>8.3246846130334085</v>
      </c>
      <c r="E340" s="385">
        <f t="shared" si="125"/>
        <v>8.621029032130858</v>
      </c>
      <c r="F340" s="385">
        <f t="shared" si="128"/>
        <v>8.621029032130858</v>
      </c>
      <c r="G340" s="110">
        <f t="shared" si="126"/>
        <v>0.28049142395199128</v>
      </c>
      <c r="H340" s="412" t="b">
        <f>Wh_hp&gt;='2025'!Maxi_hp</f>
        <v>0</v>
      </c>
      <c r="I340" s="390">
        <f>IF(H340,Wh_hp,'2025'!Maxi_hp)</f>
        <v>31.571381737013635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6.5747199988591687E-2</v>
      </c>
      <c r="M340" s="957"/>
      <c r="N340" s="957"/>
      <c r="O340" s="48">
        <f>IF(t&lt;Tnet,'2025'!Resal+('2025'!Salim-'2025'!Resal)*(1-EXP(('2025'!Tnet-t)/('2025'!Tau_j))),Resal+(Salim-Resal)*(1-EXP((Tnet-t)/(Tau_j))))*Salcycl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4.5510856201483595E-4</v>
      </c>
      <c r="Q340" s="305">
        <f t="shared" si="130"/>
        <v>0.7</v>
      </c>
      <c r="R340" s="177">
        <f t="shared" si="131"/>
        <v>0.97464726717108485</v>
      </c>
      <c r="S340" s="919">
        <f t="shared" si="132"/>
        <v>-2</v>
      </c>
      <c r="T340" s="176">
        <f t="shared" si="133"/>
        <v>4</v>
      </c>
      <c r="U340" s="251">
        <f t="shared" si="134"/>
        <v>-1.0253527328289151</v>
      </c>
      <c r="V340" s="383">
        <f t="shared" si="135"/>
        <v>27.715001964496714</v>
      </c>
      <c r="W340" s="402">
        <f t="shared" si="136"/>
        <v>7.7773599089383483</v>
      </c>
      <c r="X340" s="157">
        <f t="shared" si="137"/>
        <v>46348</v>
      </c>
      <c r="Y340" s="385">
        <f t="shared" si="138"/>
        <v>7.4994412017913055</v>
      </c>
      <c r="Z340" s="385">
        <f t="shared" si="139"/>
        <v>8.0272076269931745</v>
      </c>
      <c r="AA340" s="386">
        <f t="shared" si="140"/>
        <v>8.621029032130858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6.8880571324431414E-2</v>
      </c>
      <c r="AD340" s="231">
        <f>(INDEX(Models!$BJ340:$BT340,,AH340)*(1-AF340)+INDEX(Models!$BJ340:$BT340,,AH340+1)*AF340-ERP_i)*AE340*Ramure*Pc/MaxiM</f>
        <v>1.6206573187339118E-2</v>
      </c>
      <c r="AE340" s="305">
        <f t="shared" si="142"/>
        <v>0.7</v>
      </c>
      <c r="AF340" s="177">
        <f t="shared" si="143"/>
        <v>0.49963483354506399</v>
      </c>
      <c r="AG340" s="919">
        <f t="shared" si="149"/>
        <v>2</v>
      </c>
      <c r="AH340" s="176">
        <f t="shared" si="144"/>
        <v>8</v>
      </c>
      <c r="AI340" s="225">
        <f t="shared" si="145"/>
        <v>2.499634833545064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1090">
        <f>IF(t&gt;Tmaj,'2025'!Wh/'2025'!Env_an*'2026'!Env_an,0.001*'[13]mon-tableau (3)'!$B$59)</f>
        <v>12.068102039238083</v>
      </c>
      <c r="C341" s="953"/>
      <c r="D341" s="393">
        <f t="shared" si="127"/>
        <v>12.917666789210379</v>
      </c>
      <c r="E341" s="385">
        <f t="shared" si="125"/>
        <v>13.378851910511122</v>
      </c>
      <c r="F341" s="385">
        <f t="shared" si="128"/>
        <v>13.380071393368933</v>
      </c>
      <c r="G341" s="110">
        <f t="shared" si="126"/>
        <v>0.43901068137420812</v>
      </c>
      <c r="H341" s="412" t="b">
        <f>Wh_hp&gt;='2025'!Maxi_hp</f>
        <v>0</v>
      </c>
      <c r="I341" s="390">
        <f>IF(H341,Wh_hp,'2025'!Maxi_hp)</f>
        <v>31.553325364511156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6.5767662522608572E-2</v>
      </c>
      <c r="M341" s="957"/>
      <c r="N341" s="957"/>
      <c r="O341" s="48">
        <f>IF(t&lt;Tnet,'2025'!Resal+('2025'!Salim-'2025'!Resal)*(1-EXP(('2025'!Tnet-t)/('2025'!Tau_j))),Resal+(Salim-Resal)*(1-EXP((Tnet-t)/(Tau_j))))*Salcycl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4.5841989601261898E-4</v>
      </c>
      <c r="Q341" s="305">
        <f t="shared" si="130"/>
        <v>0.7</v>
      </c>
      <c r="R341" s="177">
        <f t="shared" si="131"/>
        <v>0.9746701117790344</v>
      </c>
      <c r="S341" s="919">
        <f t="shared" si="132"/>
        <v>-2</v>
      </c>
      <c r="T341" s="176">
        <f t="shared" si="133"/>
        <v>4</v>
      </c>
      <c r="U341" s="251">
        <f t="shared" si="134"/>
        <v>-1.0253298882209656</v>
      </c>
      <c r="V341" s="383">
        <f t="shared" si="135"/>
        <v>27.479215874852851</v>
      </c>
      <c r="W341" s="402">
        <f t="shared" si="136"/>
        <v>12.068102039238083</v>
      </c>
      <c r="X341" s="157">
        <f t="shared" si="137"/>
        <v>46349</v>
      </c>
      <c r="Y341" s="385">
        <f t="shared" si="138"/>
        <v>11.600765343341644</v>
      </c>
      <c r="Z341" s="385">
        <f t="shared" si="139"/>
        <v>12.417430737482242</v>
      </c>
      <c r="AA341" s="386">
        <f t="shared" si="140"/>
        <v>13.336629815464757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6.8922890617886007E-2</v>
      </c>
      <c r="AD341" s="231">
        <f>(INDEX(Models!$BJ341:$BT341,,AH341)*(1-AF341)+INDEX(Models!$BJ341:$BT341,,AH341+1)*AF341-ERP_i)*AE341*Ramure*Pc/MaxiM</f>
        <v>1.6330269423554252E-2</v>
      </c>
      <c r="AE341" s="305">
        <f t="shared" si="142"/>
        <v>0.7</v>
      </c>
      <c r="AF341" s="177">
        <f t="shared" si="143"/>
        <v>0.49965767815301376</v>
      </c>
      <c r="AG341" s="919">
        <f t="shared" si="149"/>
        <v>2</v>
      </c>
      <c r="AH341" s="176">
        <f t="shared" si="144"/>
        <v>8</v>
      </c>
      <c r="AI341" s="225">
        <f t="shared" si="145"/>
        <v>2.4996576781530138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1090">
        <f>IF(t&gt;Tmaj,'2025'!Wh/'2025'!Env_an*'2026'!Env_an,0.001*'[13]mon-tableau (3)'!$B$60)</f>
        <v>14.255893917880034</v>
      </c>
      <c r="C342" s="953"/>
      <c r="D342" s="393">
        <f t="shared" si="127"/>
        <v>15.259808072879565</v>
      </c>
      <c r="E342" s="385">
        <f t="shared" si="125"/>
        <v>15.806199502054268</v>
      </c>
      <c r="F342" s="385">
        <f t="shared" si="128"/>
        <v>15.808523137754786</v>
      </c>
      <c r="G342" s="110">
        <f t="shared" si="126"/>
        <v>0.52299579977319743</v>
      </c>
      <c r="H342" s="412" t="b">
        <f>Wh_hp&gt;='2025'!Maxi_hp</f>
        <v>0</v>
      </c>
      <c r="I342" s="390">
        <f>IF(H342,Wh_hp,'2025'!Maxi_hp)</f>
        <v>29.21125181785667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6.578812460844341E-2</v>
      </c>
      <c r="M342" s="957"/>
      <c r="N342" s="957"/>
      <c r="O342" s="48">
        <f>IF(t&lt;Tnet,'2025'!Resal+('2025'!Salim-'2025'!Resal)*(1-EXP(('2025'!Tnet-t)/('2025'!Tau_j))),Resal+(Salim-Resal)*(1-EXP((Tnet-t)/(Tau_j))))*Salcycl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4.6106076376192676E-4</v>
      </c>
      <c r="Q342" s="305">
        <f t="shared" si="130"/>
        <v>0.7</v>
      </c>
      <c r="R342" s="177">
        <f t="shared" si="131"/>
        <v>0.9746920385587825</v>
      </c>
      <c r="S342" s="919">
        <f t="shared" si="132"/>
        <v>-2</v>
      </c>
      <c r="T342" s="176">
        <f t="shared" si="133"/>
        <v>4</v>
      </c>
      <c r="U342" s="251">
        <f t="shared" si="134"/>
        <v>-1.0253079614412175</v>
      </c>
      <c r="V342" s="383">
        <f t="shared" si="135"/>
        <v>27.249579925966916</v>
      </c>
      <c r="W342" s="402">
        <f t="shared" si="136"/>
        <v>14.255893917880034</v>
      </c>
      <c r="X342" s="157">
        <f t="shared" si="137"/>
        <v>46350</v>
      </c>
      <c r="Y342" s="385">
        <f t="shared" si="138"/>
        <v>13.677974188999322</v>
      </c>
      <c r="Z342" s="385">
        <f t="shared" si="139"/>
        <v>14.641190664876174</v>
      </c>
      <c r="AA342" s="386">
        <f t="shared" si="140"/>
        <v>15.725735715408568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6.8966251891777811E-2</v>
      </c>
      <c r="AD342" s="231">
        <f>(INDEX(Models!$BJ342:$BT342,,AH342)*(1-AF342)+INDEX(Models!$BJ342:$BT342,,AH342+1)*AF342-ERP_i)*AE342*Ramure*Pc/MaxiM</f>
        <v>1.6426857346145678E-2</v>
      </c>
      <c r="AE342" s="305">
        <f t="shared" si="142"/>
        <v>0.7</v>
      </c>
      <c r="AF342" s="177">
        <f t="shared" si="143"/>
        <v>0.49967960493276165</v>
      </c>
      <c r="AG342" s="919">
        <f t="shared" si="149"/>
        <v>2</v>
      </c>
      <c r="AH342" s="176">
        <f t="shared" si="144"/>
        <v>8</v>
      </c>
      <c r="AI342" s="225">
        <f t="shared" si="145"/>
        <v>2.4996796049327616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1090">
        <f>IF(t&gt;Tmaj,'2025'!Wh/'2025'!Env_an*'2026'!Env_an,0.001*'[13]mon-tableau (3)'!$B$61)</f>
        <v>4.385021022910407</v>
      </c>
      <c r="C343" s="953"/>
      <c r="D343" s="393">
        <f t="shared" si="127"/>
        <v>4.6939213509680249</v>
      </c>
      <c r="E343" s="385">
        <f t="shared" si="125"/>
        <v>4.8624818236666671</v>
      </c>
      <c r="F343" s="385">
        <f t="shared" si="128"/>
        <v>4.8624818236666671</v>
      </c>
      <c r="G343" s="110">
        <f t="shared" si="126"/>
        <v>0.16217393847588013</v>
      </c>
      <c r="H343" s="412" t="b">
        <f>Wh_hp&gt;='2025'!Maxi_hp</f>
        <v>0</v>
      </c>
      <c r="I343" s="390">
        <f>IF(H343,Wh_hp,'2025'!Maxi_hp)</f>
        <v>27.276647569608237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6.5808586246106082E-2</v>
      </c>
      <c r="M343" s="957"/>
      <c r="N343" s="957"/>
      <c r="O343" s="48">
        <f>IF(t&lt;Tnet,'2025'!Resal+('2025'!Salim-'2025'!Resal)*(1-EXP(('2025'!Tnet-t)/('2025'!Tau_j))),Resal+(Salim-Resal)*(1-EXP((Tnet-t)/(Tau_j))))*Salcycl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4.6302113774760898E-4</v>
      </c>
      <c r="Q343" s="305">
        <f t="shared" si="130"/>
        <v>0.7</v>
      </c>
      <c r="R343" s="177">
        <f t="shared" si="131"/>
        <v>0.97471308431017967</v>
      </c>
      <c r="S343" s="919">
        <f t="shared" si="132"/>
        <v>-2</v>
      </c>
      <c r="T343" s="176">
        <f t="shared" si="133"/>
        <v>4</v>
      </c>
      <c r="U343" s="251">
        <f t="shared" si="134"/>
        <v>-1.0252869156898203</v>
      </c>
      <c r="V343" s="383">
        <f t="shared" si="135"/>
        <v>27.026479757961891</v>
      </c>
      <c r="W343" s="402">
        <f t="shared" si="136"/>
        <v>4.385021022910407</v>
      </c>
      <c r="X343" s="157">
        <f t="shared" si="137"/>
        <v>46351</v>
      </c>
      <c r="Y343" s="385">
        <f t="shared" si="138"/>
        <v>4.2290085434983871</v>
      </c>
      <c r="Z343" s="385">
        <f t="shared" si="139"/>
        <v>4.5269186606038421</v>
      </c>
      <c r="AA343" s="386">
        <f t="shared" si="140"/>
        <v>4.8624818236666671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6.9010677105171295E-2</v>
      </c>
      <c r="AD343" s="231">
        <f>(INDEX(Models!$BJ343:$BT343,,AH343)*(1-AF343)+INDEX(Models!$BJ343:$BT343,,AH343+1)*AF343-ERP_i)*AE343*Ramure*Pc/MaxiM</f>
        <v>1.6495955918211225E-2</v>
      </c>
      <c r="AE343" s="305">
        <f t="shared" si="142"/>
        <v>0.7</v>
      </c>
      <c r="AF343" s="177">
        <f t="shared" si="143"/>
        <v>0.49970065068415881</v>
      </c>
      <c r="AG343" s="919">
        <f t="shared" si="149"/>
        <v>2</v>
      </c>
      <c r="AH343" s="176">
        <f t="shared" si="144"/>
        <v>8</v>
      </c>
      <c r="AI343" s="225">
        <f t="shared" si="145"/>
        <v>2.4997006506841588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1090">
        <f>IF(t&gt;Tmaj,'2025'!Wh/'2025'!Env_an*'2026'!Env_an,0.001*'[13]mon-tableau (3)'!$B$62)</f>
        <v>13.603066331895741</v>
      </c>
      <c r="C344" s="953"/>
      <c r="D344" s="393">
        <f t="shared" si="127"/>
        <v>14.561645590193047</v>
      </c>
      <c r="E344" s="385">
        <f t="shared" si="125"/>
        <v>15.086087257931458</v>
      </c>
      <c r="F344" s="385">
        <f t="shared" si="128"/>
        <v>15.088162645571993</v>
      </c>
      <c r="G344" s="110">
        <f t="shared" si="126"/>
        <v>0.50721627881838049</v>
      </c>
      <c r="H344" s="412" t="b">
        <f>Wh_hp&gt;='2025'!Maxi_hp</f>
        <v>0</v>
      </c>
      <c r="I344" s="390">
        <f>IF(H344,Wh_hp,'2025'!Maxi_hp)</f>
        <v>27.777098112719983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6.5829047435606358E-2</v>
      </c>
      <c r="M344" s="957"/>
      <c r="N344" s="957"/>
      <c r="O344" s="48">
        <f>IF(t&lt;Tnet,'2025'!Resal+('2025'!Salim-'2025'!Resal)*(1-EXP(('2025'!Tnet-t)/('2025'!Tau_j))),Resal+(Salim-Resal)*(1-EXP((Tnet-t)/(Tau_j))))*Salcycl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4.6429036987525061E-4</v>
      </c>
      <c r="Q344" s="305">
        <f t="shared" si="130"/>
        <v>0.7</v>
      </c>
      <c r="R344" s="177">
        <f t="shared" si="131"/>
        <v>0.97473328436357809</v>
      </c>
      <c r="S344" s="919">
        <f t="shared" si="132"/>
        <v>-2</v>
      </c>
      <c r="T344" s="176">
        <f t="shared" si="133"/>
        <v>4</v>
      </c>
      <c r="U344" s="251">
        <f t="shared" si="134"/>
        <v>-1.0252667156364219</v>
      </c>
      <c r="V344" s="383">
        <f t="shared" si="135"/>
        <v>26.810300905560457</v>
      </c>
      <c r="W344" s="402">
        <f t="shared" si="136"/>
        <v>13.603066331895741</v>
      </c>
      <c r="X344" s="157">
        <f t="shared" si="137"/>
        <v>46352</v>
      </c>
      <c r="Y344" s="385">
        <f t="shared" si="138"/>
        <v>13.057295072205628</v>
      </c>
      <c r="Z344" s="385">
        <f t="shared" si="139"/>
        <v>13.977414986370572</v>
      </c>
      <c r="AA344" s="386">
        <f t="shared" si="140"/>
        <v>15.014241185979852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6.9056183843473784E-2</v>
      </c>
      <c r="AD344" s="231">
        <f>(INDEX(Models!$BJ344:$BT344,,AH344)*(1-AF344)+INDEX(Models!$BJ344:$BT344,,AH344+1)*AF344-ERP_i)*AE344*Ramure*Pc/MaxiM</f>
        <v>1.6537162092240175E-2</v>
      </c>
      <c r="AE344" s="305">
        <f t="shared" si="142"/>
        <v>0.7</v>
      </c>
      <c r="AF344" s="177">
        <f t="shared" si="143"/>
        <v>0.49972085073755723</v>
      </c>
      <c r="AG344" s="919">
        <f t="shared" si="149"/>
        <v>2</v>
      </c>
      <c r="AH344" s="176">
        <f t="shared" si="144"/>
        <v>8</v>
      </c>
      <c r="AI344" s="225">
        <f t="shared" si="145"/>
        <v>2.4997208507375572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1090">
        <f>IF(t&gt;Tmaj,'2025'!Wh/'2025'!Env_an*'2026'!Env_an,0.001*'[13]mon-tableau (3)'!$B$63)</f>
        <v>14.490054943663639</v>
      </c>
      <c r="C345" s="953"/>
      <c r="D345" s="393">
        <f t="shared" si="127"/>
        <v>15.511478151004878</v>
      </c>
      <c r="E345" s="385">
        <f t="shared" si="125"/>
        <v>16.071762529097843</v>
      </c>
      <c r="F345" s="385">
        <f t="shared" si="128"/>
        <v>16.07437617197446</v>
      </c>
      <c r="G345" s="110">
        <f t="shared" si="126"/>
        <v>0.54463803217436879</v>
      </c>
      <c r="H345" s="412" t="b">
        <f>Wh_hp&gt;='2025'!Maxi_hp</f>
        <v>0</v>
      </c>
      <c r="I345" s="390">
        <f>IF(H345,Wh_hp,'2025'!Maxi_hp)</f>
        <v>27.662208875171967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6.5849508176954008E-2</v>
      </c>
      <c r="M345" s="957"/>
      <c r="N345" s="957"/>
      <c r="O345" s="48">
        <f>IF(t&lt;Tnet,'2025'!Resal+('2025'!Salim-'2025'!Resal)*(1-EXP(('2025'!Tnet-t)/('2025'!Tau_j))),Resal+(Salim-Resal)*(1-EXP((Tnet-t)/(Tau_j))))*Salcycl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4.6493669375119386E-4</v>
      </c>
      <c r="Q345" s="305">
        <f t="shared" si="130"/>
        <v>0.7</v>
      </c>
      <c r="R345" s="177">
        <f t="shared" si="131"/>
        <v>0.97475267263803866</v>
      </c>
      <c r="S345" s="919">
        <f t="shared" si="132"/>
        <v>-2</v>
      </c>
      <c r="T345" s="176">
        <f t="shared" si="133"/>
        <v>4</v>
      </c>
      <c r="U345" s="251">
        <f t="shared" si="134"/>
        <v>-1.0252473273619613</v>
      </c>
      <c r="V345" s="383">
        <f t="shared" si="135"/>
        <v>26.596881698465943</v>
      </c>
      <c r="W345" s="402">
        <f t="shared" si="136"/>
        <v>14.490054943663639</v>
      </c>
      <c r="X345" s="157">
        <f t="shared" si="137"/>
        <v>46353</v>
      </c>
      <c r="Y345" s="385">
        <f t="shared" si="138"/>
        <v>13.897328930681232</v>
      </c>
      <c r="Z345" s="385">
        <f t="shared" si="139"/>
        <v>14.876970094572053</v>
      </c>
      <c r="AA345" s="386">
        <f t="shared" si="140"/>
        <v>15.981324103040617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6.9102785310414305E-2</v>
      </c>
      <c r="AD345" s="231">
        <f>(INDEX(Models!$BJ345:$BT345,,AH345)*(1-AF345)+INDEX(Models!$BJ345:$BT345,,AH345+1)*AF345-ERP_i)*AE345*Ramure*Pc/MaxiM</f>
        <v>1.6552881674782808E-2</v>
      </c>
      <c r="AE345" s="305">
        <f t="shared" si="142"/>
        <v>0.7</v>
      </c>
      <c r="AF345" s="177">
        <f t="shared" si="143"/>
        <v>0.49974023901201781</v>
      </c>
      <c r="AG345" s="919">
        <f t="shared" si="149"/>
        <v>2</v>
      </c>
      <c r="AH345" s="176">
        <f t="shared" si="144"/>
        <v>8</v>
      </c>
      <c r="AI345" s="225">
        <f t="shared" si="145"/>
        <v>2.4997402390120178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1090">
        <f>IF(t&gt;Tmaj,'2025'!Wh/'2025'!Env_an*'2026'!Env_an,0.001*'[13]mon-tableau (3)'!$B$64)</f>
        <v>9.3546765497585511</v>
      </c>
      <c r="C346" s="953"/>
      <c r="D346" s="393">
        <f t="shared" si="127"/>
        <v>10.014319456615944</v>
      </c>
      <c r="E346" s="385">
        <f t="shared" si="125"/>
        <v>10.377102723437481</v>
      </c>
      <c r="F346" s="385">
        <f t="shared" si="128"/>
        <v>10.377479211641013</v>
      </c>
      <c r="G346" s="110">
        <f t="shared" si="126"/>
        <v>0.35442139842319015</v>
      </c>
      <c r="H346" s="412" t="b">
        <f>Wh_hp&gt;='2025'!Maxi_hp</f>
        <v>0</v>
      </c>
      <c r="I346" s="390">
        <f>IF(H346,Wh_hp,'2025'!Maxi_hp)</f>
        <v>20.343286490073936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6.5869968470159024E-2</v>
      </c>
      <c r="M346" s="957"/>
      <c r="N346" s="957"/>
      <c r="O346" s="48">
        <f>IF(t&lt;Tnet,'2025'!Resal+('2025'!Salim-'2025'!Resal)*(1-EXP(('2025'!Tnet-t)/('2025'!Tau_j))),Resal+(Salim-Resal)*(1-EXP((Tnet-t)/(Tau_j))))*Salcycl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4.6534539419645048E-4</v>
      </c>
      <c r="Q346" s="305">
        <f t="shared" si="130"/>
        <v>0.7</v>
      </c>
      <c r="R346" s="177">
        <f t="shared" si="131"/>
        <v>0.97477128169727356</v>
      </c>
      <c r="S346" s="919">
        <f t="shared" si="132"/>
        <v>-2</v>
      </c>
      <c r="T346" s="176">
        <f t="shared" si="133"/>
        <v>4</v>
      </c>
      <c r="U346" s="251">
        <f t="shared" si="134"/>
        <v>-1.0252287183027264</v>
      </c>
      <c r="V346" s="383">
        <f t="shared" si="135"/>
        <v>26.382895253158559</v>
      </c>
      <c r="W346" s="402">
        <f t="shared" si="136"/>
        <v>9.3546765497585511</v>
      </c>
      <c r="X346" s="157">
        <f t="shared" si="137"/>
        <v>46354</v>
      </c>
      <c r="Y346" s="385">
        <f t="shared" si="138"/>
        <v>9.0119415750431635</v>
      </c>
      <c r="Z346" s="385">
        <f t="shared" si="139"/>
        <v>9.6474166024660946</v>
      </c>
      <c r="AA346" s="386">
        <f t="shared" si="140"/>
        <v>10.364099140002452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6.9150490347025653E-2</v>
      </c>
      <c r="AD346" s="231">
        <f>(INDEX(Models!$BJ346:$BT346,,AH346)*(1-AF346)+INDEX(Models!$BJ346:$BT346,,AH346+1)*AF346-ERP_i)*AE346*Ramure*Pc/MaxiM</f>
        <v>1.6537980878576115E-2</v>
      </c>
      <c r="AE346" s="305">
        <f t="shared" si="142"/>
        <v>0.7</v>
      </c>
      <c r="AF346" s="177">
        <f t="shared" si="143"/>
        <v>0.4997588480712527</v>
      </c>
      <c r="AG346" s="919">
        <f t="shared" si="149"/>
        <v>2</v>
      </c>
      <c r="AH346" s="176">
        <f t="shared" si="144"/>
        <v>8</v>
      </c>
      <c r="AI346" s="225">
        <f t="shared" si="145"/>
        <v>2.4997588480712527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1090">
        <f>IF(t&gt;Tmaj,'2025'!Wh/'2025'!Env_an*'2026'!Env_an,0.001*'[13]mon-tableau (3)'!$B$65)</f>
        <v>13.16271479744564</v>
      </c>
      <c r="C347" s="953"/>
      <c r="D347" s="393">
        <f t="shared" si="127"/>
        <v>14.091189295603986</v>
      </c>
      <c r="E347" s="385">
        <f t="shared" si="125"/>
        <v>14.603160901299995</v>
      </c>
      <c r="F347" s="385">
        <f t="shared" si="128"/>
        <v>14.605132572705237</v>
      </c>
      <c r="G347" s="110">
        <f t="shared" si="126"/>
        <v>0.50280352175809928</v>
      </c>
      <c r="H347" s="412" t="b">
        <f>Wh_hp&gt;='2025'!Maxi_hp</f>
        <v>0</v>
      </c>
      <c r="I347" s="390">
        <f>IF(H347,Wh_hp,'2025'!Maxi_hp)</f>
        <v>29.549892661364552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6.5890428315231064E-2</v>
      </c>
      <c r="M347" s="957"/>
      <c r="N347" s="957"/>
      <c r="O347" s="48">
        <f>IF(t&lt;Tnet,'2025'!Resal+('2025'!Salim-'2025'!Resal)*(1-EXP(('2025'!Tnet-t)/('2025'!Tau_j))),Resal+(Salim-Resal)*(1-EXP((Tnet-t)/(Tau_j))))*Salcycl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4.6558139099789949E-4</v>
      </c>
      <c r="Q347" s="305">
        <f t="shared" si="130"/>
        <v>0.7</v>
      </c>
      <c r="R347" s="177">
        <f t="shared" si="131"/>
        <v>0.97478914280340256</v>
      </c>
      <c r="S347" s="919">
        <f t="shared" si="132"/>
        <v>-2</v>
      </c>
      <c r="T347" s="176">
        <f t="shared" si="133"/>
        <v>4</v>
      </c>
      <c r="U347" s="251">
        <f t="shared" si="134"/>
        <v>-1.0252108571965974</v>
      </c>
      <c r="V347" s="383">
        <f t="shared" si="135"/>
        <v>26.16998941453727</v>
      </c>
      <c r="W347" s="402">
        <f t="shared" si="136"/>
        <v>13.16271479744564</v>
      </c>
      <c r="X347" s="157">
        <f t="shared" si="137"/>
        <v>46355</v>
      </c>
      <c r="Y347" s="385">
        <f t="shared" si="138"/>
        <v>12.637928507783553</v>
      </c>
      <c r="Z347" s="385">
        <f t="shared" si="139"/>
        <v>13.529385514152974</v>
      </c>
      <c r="AA347" s="386">
        <f t="shared" si="140"/>
        <v>14.535212064941623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6.9199303477289087E-2</v>
      </c>
      <c r="AD347" s="231">
        <f>(INDEX(Models!$BJ347:$BT347,,AH347)*(1-AF347)+INDEX(Models!$BJ347:$BT347,,AH347+1)*AF347-ERP_i)*AE347*Ramure*Pc/MaxiM</f>
        <v>1.6510706184266394E-2</v>
      </c>
      <c r="AE347" s="305">
        <f t="shared" si="142"/>
        <v>0.7</v>
      </c>
      <c r="AF347" s="177">
        <f t="shared" si="143"/>
        <v>0.49977670917738193</v>
      </c>
      <c r="AG347" s="919">
        <f t="shared" si="149"/>
        <v>2</v>
      </c>
      <c r="AH347" s="176">
        <f t="shared" si="144"/>
        <v>8</v>
      </c>
      <c r="AI347" s="225">
        <f t="shared" si="145"/>
        <v>2.4997767091773819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1090">
        <f>IF(t&gt;Tmaj,'2025'!Wh/'2025'!Env_an*'2026'!Env_an,0.001*'[13]mon-tableau (3)'!$B$66)</f>
        <v>4.281477818157164</v>
      </c>
      <c r="C348" s="953"/>
      <c r="D348" s="393">
        <f t="shared" si="127"/>
        <v>4.5835860431674913</v>
      </c>
      <c r="E348" s="385">
        <f t="shared" si="125"/>
        <v>4.7506097079479455</v>
      </c>
      <c r="F348" s="385">
        <f t="shared" si="128"/>
        <v>4.7506097079479455</v>
      </c>
      <c r="G348" s="110">
        <f t="shared" si="126"/>
        <v>0.1648503466059705</v>
      </c>
      <c r="H348" s="412" t="b">
        <f>Wh_hp&gt;='2025'!Maxi_hp</f>
        <v>0</v>
      </c>
      <c r="I348" s="390">
        <f>IF(H348,Wh_hp,'2025'!Maxi_hp)</f>
        <v>27.333508248606524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6.59108877121799E-2</v>
      </c>
      <c r="M348" s="957"/>
      <c r="N348" s="957"/>
      <c r="O348" s="48">
        <f>IF(t&lt;Tnet,'2025'!Resal+('2025'!Salim-'2025'!Resal)*(1-EXP(('2025'!Tnet-t)/('2025'!Tau_j))),Resal+(Salim-Resal)*(1-EXP((Tnet-t)/(Tau_j))))*Salcycl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4.656148494374506E-4</v>
      </c>
      <c r="Q348" s="305">
        <f t="shared" si="130"/>
        <v>0.7</v>
      </c>
      <c r="R348" s="177">
        <f t="shared" si="131"/>
        <v>0.97480628596861174</v>
      </c>
      <c r="S348" s="919">
        <f t="shared" si="132"/>
        <v>-2</v>
      </c>
      <c r="T348" s="176">
        <f t="shared" si="133"/>
        <v>4</v>
      </c>
      <c r="U348" s="251">
        <f t="shared" si="134"/>
        <v>-1.0251937140313883</v>
      </c>
      <c r="V348" s="383">
        <f t="shared" si="135"/>
        <v>25.959813774225331</v>
      </c>
      <c r="W348" s="402">
        <f t="shared" si="136"/>
        <v>4.281477818157164</v>
      </c>
      <c r="X348" s="157">
        <f t="shared" si="137"/>
        <v>46356</v>
      </c>
      <c r="Y348" s="385">
        <f t="shared" si="138"/>
        <v>4.1301998673282316</v>
      </c>
      <c r="Z348" s="385">
        <f t="shared" si="139"/>
        <v>4.4216336674905987</v>
      </c>
      <c r="AA348" s="386">
        <f t="shared" si="140"/>
        <v>4.7506097079479455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6.9249224979892041E-2</v>
      </c>
      <c r="AD348" s="231">
        <f>(INDEX(Models!$BJ348:$BT348,,AH348)*(1-AF348)+INDEX(Models!$BJ348:$BT348,,AH348+1)*AF348-ERP_i)*AE348*Ramure*Pc/MaxiM</f>
        <v>1.6469923361491765E-2</v>
      </c>
      <c r="AE348" s="305">
        <f t="shared" si="142"/>
        <v>0.7</v>
      </c>
      <c r="AF348" s="177">
        <f t="shared" si="143"/>
        <v>0.49979385234259066</v>
      </c>
      <c r="AG348" s="919">
        <f t="shared" si="149"/>
        <v>2</v>
      </c>
      <c r="AH348" s="176">
        <f t="shared" si="144"/>
        <v>8</v>
      </c>
      <c r="AI348" s="225">
        <f t="shared" si="145"/>
        <v>2.4997938523425907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1090">
        <f>IF(t&gt;Tmaj,'2025'!Wh/'2025'!Env_an*'2026'!Env_an,0.001*'[14]mon-tableau (2)'!$B$38)</f>
        <v>3.4628635187416172</v>
      </c>
      <c r="C349" s="953"/>
      <c r="D349" s="393">
        <f t="shared" si="127"/>
        <v>3.7072901508502967</v>
      </c>
      <c r="E349" s="385">
        <f t="shared" si="125"/>
        <v>3.8427796286090561</v>
      </c>
      <c r="F349" s="385">
        <f t="shared" si="128"/>
        <v>3.8427796286090561</v>
      </c>
      <c r="G349" s="110">
        <f t="shared" si="126"/>
        <v>0.13439658084940886</v>
      </c>
      <c r="H349" s="412" t="b">
        <f>Wh_hp&gt;='2025'!Maxi_hp</f>
        <v>0</v>
      </c>
      <c r="I349" s="390">
        <f>IF(H349,Wh_hp,'2025'!Maxi_hp)</f>
        <v>28.263329653266126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6.5931346661015522E-2</v>
      </c>
      <c r="M349" s="957"/>
      <c r="N349" s="957"/>
      <c r="O349" s="48">
        <f>IF(t&lt;Tnet,'2025'!Resal+('2025'!Salim-'2025'!Resal)*(1-EXP(('2025'!Tnet-t)/('2025'!Tau_j))),Resal+(Salim-Resal)*(1-EXP((Tnet-t)/(Tau_j))))*Salcycl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4.6541434657732553E-4</v>
      </c>
      <c r="Q349" s="305">
        <f t="shared" si="130"/>
        <v>0.7</v>
      </c>
      <c r="R349" s="177">
        <f t="shared" si="131"/>
        <v>0.9748227400047873</v>
      </c>
      <c r="S349" s="919">
        <f t="shared" si="132"/>
        <v>-2</v>
      </c>
      <c r="T349" s="176">
        <f t="shared" si="133"/>
        <v>4</v>
      </c>
      <c r="U349" s="251">
        <f t="shared" si="134"/>
        <v>-1.0251772599952127</v>
      </c>
      <c r="V349" s="383">
        <f t="shared" si="135"/>
        <v>25.754017181866274</v>
      </c>
      <c r="W349" s="402">
        <f t="shared" si="136"/>
        <v>3.4628635187416172</v>
      </c>
      <c r="X349" s="157">
        <f t="shared" si="137"/>
        <v>46357</v>
      </c>
      <c r="Y349" s="385">
        <f t="shared" si="138"/>
        <v>3.3406722863823446</v>
      </c>
      <c r="Z349" s="385">
        <f t="shared" si="139"/>
        <v>3.5764740358650871</v>
      </c>
      <c r="AA349" s="386">
        <f t="shared" si="140"/>
        <v>3.8427796286090561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6.9300250985342496E-2</v>
      </c>
      <c r="AD349" s="231">
        <f>(INDEX(Models!$BJ349:$BT349,,AH349)*(1-AF349)+INDEX(Models!$BJ349:$BT349,,AH349+1)*AF349-ERP_i)*AE349*Ramure*Pc/MaxiM</f>
        <v>1.6414445369271974E-2</v>
      </c>
      <c r="AE349" s="305">
        <f t="shared" si="142"/>
        <v>0.7</v>
      </c>
      <c r="AF349" s="177">
        <f t="shared" si="143"/>
        <v>0.49981030637876644</v>
      </c>
      <c r="AG349" s="919">
        <f t="shared" si="149"/>
        <v>2</v>
      </c>
      <c r="AH349" s="176">
        <f t="shared" si="144"/>
        <v>8</v>
      </c>
      <c r="AI349" s="225">
        <f t="shared" si="145"/>
        <v>2.4998103063787664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1090">
        <f>IF(t&gt;Tmaj,'2025'!Wh/'2025'!Env_an*'2026'!Env_an,0.001*'[14]mon-tableau (2)'!$B$39)</f>
        <v>6.5401726881051161</v>
      </c>
      <c r="C350" s="953"/>
      <c r="D350" s="393">
        <f t="shared" si="127"/>
        <v>7.0019649138529383</v>
      </c>
      <c r="E350" s="385">
        <f t="shared" si="125"/>
        <v>7.2586184466206083</v>
      </c>
      <c r="F350" s="385">
        <f t="shared" si="128"/>
        <v>7.2586184466206083</v>
      </c>
      <c r="G350" s="110">
        <f t="shared" si="126"/>
        <v>0.25581390324381614</v>
      </c>
      <c r="H350" s="412" t="b">
        <f>Wh_hp&gt;='2025'!Maxi_hp</f>
        <v>0</v>
      </c>
      <c r="I350" s="390">
        <f>IF(H350,Wh_hp,'2025'!Maxi_hp)</f>
        <v>11.458603807529059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6.5951805161747701E-2</v>
      </c>
      <c r="M350" s="957"/>
      <c r="N350" s="957"/>
      <c r="O350" s="48">
        <f>IF(t&lt;Tnet,'2025'!Resal+('2025'!Salim-'2025'!Resal)*(1-EXP(('2025'!Tnet-t)/('2025'!Tau_j))),Resal+(Salim-Resal)*(1-EXP((Tnet-t)/(Tau_j))))*Salcycl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4.6494700953346387E-4</v>
      </c>
      <c r="Q350" s="305">
        <f t="shared" si="130"/>
        <v>0.7</v>
      </c>
      <c r="R350" s="177">
        <f t="shared" si="131"/>
        <v>0.974838532571209</v>
      </c>
      <c r="S350" s="919">
        <f t="shared" si="132"/>
        <v>-2</v>
      </c>
      <c r="T350" s="176">
        <f t="shared" si="133"/>
        <v>4</v>
      </c>
      <c r="U350" s="251">
        <f t="shared" si="134"/>
        <v>-1.025161467428791</v>
      </c>
      <c r="V350" s="383">
        <f t="shared" si="135"/>
        <v>25.554247722577497</v>
      </c>
      <c r="W350" s="402">
        <f t="shared" si="136"/>
        <v>6.5401726881051161</v>
      </c>
      <c r="X350" s="157">
        <f t="shared" si="137"/>
        <v>46358</v>
      </c>
      <c r="Y350" s="385">
        <f t="shared" si="138"/>
        <v>6.30969733698441</v>
      </c>
      <c r="Z350" s="385">
        <f t="shared" si="139"/>
        <v>6.7552160283089577</v>
      </c>
      <c r="AA350" s="386">
        <f t="shared" si="140"/>
        <v>7.2586184466206083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6.9352373597487998E-2</v>
      </c>
      <c r="AD350" s="231">
        <f>(INDEX(Models!$BJ350:$BT350,,AH350)*(1-AF350)+INDEX(Models!$BJ350:$BT350,,AH350+1)*AF350-ERP_i)*AE350*Ramure*Pc/MaxiM</f>
        <v>1.6343041724621324E-2</v>
      </c>
      <c r="AE350" s="305">
        <f t="shared" si="142"/>
        <v>0.7</v>
      </c>
      <c r="AF350" s="177">
        <f t="shared" si="143"/>
        <v>0.49982609894518815</v>
      </c>
      <c r="AG350" s="919">
        <f t="shared" si="149"/>
        <v>2</v>
      </c>
      <c r="AH350" s="176">
        <f t="shared" si="144"/>
        <v>8</v>
      </c>
      <c r="AI350" s="225">
        <f t="shared" si="145"/>
        <v>2.4998260989451881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1090">
        <f>IF(t&gt;Tmaj,'2025'!Wh/'2025'!Env_an*'2026'!Env_an,0.001*'[14]mon-tableau (2)'!$B$40)</f>
        <v>7.3611314842768953</v>
      </c>
      <c r="C351" s="953"/>
      <c r="D351" s="393">
        <f t="shared" si="127"/>
        <v>7.8810630502362553</v>
      </c>
      <c r="E351" s="385">
        <f t="shared" si="125"/>
        <v>8.1707923040425978</v>
      </c>
      <c r="F351" s="385">
        <f t="shared" si="128"/>
        <v>8.1707923040425978</v>
      </c>
      <c r="G351" s="110">
        <f t="shared" si="126"/>
        <v>0.29010607608765893</v>
      </c>
      <c r="H351" s="412" t="b">
        <f>Wh_hp&gt;='2025'!Maxi_hp</f>
        <v>0</v>
      </c>
      <c r="I351" s="390">
        <f>IF(H351,Wh_hp,'2025'!Maxi_hp)</f>
        <v>16.674095051480148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6.5972263214386206E-2</v>
      </c>
      <c r="M351" s="957"/>
      <c r="N351" s="957"/>
      <c r="O351" s="48">
        <f>IF(t&lt;Tnet,'2025'!Resal+('2025'!Salim-'2025'!Resal)*(1-EXP(('2025'!Tnet-t)/('2025'!Tau_j))),Resal+(Salim-Resal)*(1-EXP((Tnet-t)/(Tau_j))))*Salcycl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4.641787103724471E-4</v>
      </c>
      <c r="Q351" s="305">
        <f t="shared" si="130"/>
        <v>0.7</v>
      </c>
      <c r="R351" s="177">
        <f t="shared" si="131"/>
        <v>0.97485369022037172</v>
      </c>
      <c r="S351" s="919">
        <f t="shared" si="132"/>
        <v>-2</v>
      </c>
      <c r="T351" s="176">
        <f t="shared" si="133"/>
        <v>4</v>
      </c>
      <c r="U351" s="251">
        <f t="shared" si="134"/>
        <v>-1.0251463097796283</v>
      </c>
      <c r="V351" s="383">
        <f t="shared" si="135"/>
        <v>25.362152709736499</v>
      </c>
      <c r="W351" s="402">
        <f t="shared" si="136"/>
        <v>7.3611314842768953</v>
      </c>
      <c r="X351" s="157">
        <f t="shared" si="137"/>
        <v>46359</v>
      </c>
      <c r="Y351" s="385">
        <f t="shared" si="138"/>
        <v>7.1020608333617101</v>
      </c>
      <c r="Z351" s="385">
        <f t="shared" si="139"/>
        <v>7.6036937166372791</v>
      </c>
      <c r="AA351" s="386">
        <f t="shared" si="140"/>
        <v>8.1707923040425978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6.9405581038296665E-2</v>
      </c>
      <c r="AD351" s="231">
        <f>(INDEX(Models!$BJ351:$BT351,,AH351)*(1-AF351)+INDEX(Models!$BJ351:$BT351,,AH351+1)*AF351-ERP_i)*AE351*Ramure*Pc/MaxiM</f>
        <v>1.6254450224409425E-2</v>
      </c>
      <c r="AE351" s="305">
        <f t="shared" si="142"/>
        <v>0.7</v>
      </c>
      <c r="AF351" s="177">
        <f t="shared" si="143"/>
        <v>0.49984125659435108</v>
      </c>
      <c r="AG351" s="919">
        <f t="shared" si="149"/>
        <v>2</v>
      </c>
      <c r="AH351" s="176">
        <f t="shared" si="144"/>
        <v>8</v>
      </c>
      <c r="AI351" s="225">
        <f t="shared" si="145"/>
        <v>2.4998412565943511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1090">
        <f>IF(t&gt;Tmaj,'2025'!Wh/'2025'!Env_an*'2026'!Env_an,0.001*'[14]mon-tableau (2)'!$B$41)</f>
        <v>20.402008075833155</v>
      </c>
      <c r="C352" s="953"/>
      <c r="D352" s="393">
        <f t="shared" si="127"/>
        <v>21.843521491311829</v>
      </c>
      <c r="E352" s="385">
        <f t="shared" si="125"/>
        <v>22.648922669371608</v>
      </c>
      <c r="F352" s="385">
        <f t="shared" si="128"/>
        <v>22.656574070454962</v>
      </c>
      <c r="G352" s="110">
        <f t="shared" si="126"/>
        <v>0.81016493067163142</v>
      </c>
      <c r="H352" s="412" t="b">
        <f>Wh_hp&gt;='2025'!Maxi_hp</f>
        <v>0</v>
      </c>
      <c r="I352" s="390">
        <f>IF(H352,Wh_hp,'2025'!Maxi_hp)</f>
        <v>22.658034231771587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6.5992720818940809E-2</v>
      </c>
      <c r="M352" s="957"/>
      <c r="N352" s="957"/>
      <c r="O352" s="48">
        <f>IF(t&lt;Tnet,'2025'!Resal+('2025'!Salim-'2025'!Resal)*(1-EXP(('2025'!Tnet-t)/('2025'!Tau_j))),Resal+(Salim-Resal)*(1-EXP((Tnet-t)/(Tau_j))))*Salcycl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4.6328424414366801E-4</v>
      </c>
      <c r="Q352" s="305">
        <f t="shared" si="130"/>
        <v>0.7</v>
      </c>
      <c r="R352" s="177">
        <f t="shared" si="131"/>
        <v>0.97486823844200665</v>
      </c>
      <c r="S352" s="919">
        <f t="shared" si="132"/>
        <v>-2</v>
      </c>
      <c r="T352" s="176">
        <f t="shared" si="133"/>
        <v>4</v>
      </c>
      <c r="U352" s="251">
        <f t="shared" si="134"/>
        <v>-1.0251317615579933</v>
      </c>
      <c r="V352" s="383">
        <f t="shared" si="135"/>
        <v>25.179373379229045</v>
      </c>
      <c r="W352" s="402">
        <f t="shared" si="136"/>
        <v>20.402008075833155</v>
      </c>
      <c r="X352" s="157">
        <f t="shared" si="137"/>
        <v>46360</v>
      </c>
      <c r="Y352" s="385">
        <f t="shared" si="138"/>
        <v>19.459692158273871</v>
      </c>
      <c r="Z352" s="385">
        <f t="shared" si="139"/>
        <v>20.834625802205949</v>
      </c>
      <c r="AA352" s="386">
        <f t="shared" si="140"/>
        <v>22.389819479764508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6.9459857814580153E-2</v>
      </c>
      <c r="AD352" s="231">
        <f>(INDEX(Models!$BJ352:$BT352,,AH352)*(1-AF352)+INDEX(Models!$BJ352:$BT352,,AH352+1)*AF352-ERP_i)*AE352*Ramure*Pc/MaxiM</f>
        <v>1.6151708369950446E-2</v>
      </c>
      <c r="AE352" s="305">
        <f t="shared" si="142"/>
        <v>0.7</v>
      </c>
      <c r="AF352" s="177">
        <f t="shared" si="143"/>
        <v>0.49985580481598602</v>
      </c>
      <c r="AG352" s="919">
        <f t="shared" si="149"/>
        <v>2</v>
      </c>
      <c r="AH352" s="176">
        <f t="shared" si="144"/>
        <v>8</v>
      </c>
      <c r="AI352" s="225">
        <f t="shared" si="145"/>
        <v>2.499855804815986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1090">
        <f>IF(t&gt;Tmaj,'2025'!Wh/'2025'!Env_an*'2026'!Env_an,0.001*'[14]mon-tableau (2)'!$B$42)</f>
        <v>25.905273470489163</v>
      </c>
      <c r="C353" s="953"/>
      <c r="D353" s="393">
        <f t="shared" si="127"/>
        <v>27.736230169002795</v>
      </c>
      <c r="E353" s="385">
        <f t="shared" si="125"/>
        <v>28.76193129662898</v>
      </c>
      <c r="F353" s="385">
        <f t="shared" si="128"/>
        <v>28.775249573433712</v>
      </c>
      <c r="G353" s="110">
        <f t="shared" si="126"/>
        <v>1.0358984992438316</v>
      </c>
      <c r="H353" s="412" t="b">
        <f>Wh_hp&gt;='2025'!Maxi_hp</f>
        <v>1</v>
      </c>
      <c r="I353" s="390">
        <f>IF(H353,Wh_hp,'2025'!Maxi_hp)</f>
        <v>28.775249573433712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6.6013177975421278E-2</v>
      </c>
      <c r="M353" s="957"/>
      <c r="N353" s="957"/>
      <c r="O353" s="48">
        <f>IF(t&lt;Tnet,'2025'!Resal+('2025'!Salim-'2025'!Resal)*(1-EXP(('2025'!Tnet-t)/('2025'!Tau_j))),Resal+(Salim-Resal)*(1-EXP((Tnet-t)/(Tau_j))))*Salcycl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4.6283792502793995E-4</v>
      </c>
      <c r="Q353" s="305">
        <f t="shared" si="130"/>
        <v>0.7</v>
      </c>
      <c r="R353" s="177">
        <f t="shared" si="131"/>
        <v>0.97488220170537554</v>
      </c>
      <c r="S353" s="919">
        <f t="shared" si="132"/>
        <v>-2</v>
      </c>
      <c r="T353" s="176">
        <f t="shared" si="133"/>
        <v>4</v>
      </c>
      <c r="U353" s="251">
        <f t="shared" si="134"/>
        <v>-1.0251177982946245</v>
      </c>
      <c r="V353" s="383">
        <f t="shared" si="135"/>
        <v>25.007540303803005</v>
      </c>
      <c r="W353" s="402">
        <f t="shared" si="136"/>
        <v>25.905273470489163</v>
      </c>
      <c r="X353" s="157">
        <f t="shared" si="137"/>
        <v>46361</v>
      </c>
      <c r="Y353" s="385">
        <f t="shared" si="138"/>
        <v>24.606261685203719</v>
      </c>
      <c r="Z353" s="385">
        <f t="shared" si="139"/>
        <v>26.345405636307984</v>
      </c>
      <c r="AA353" s="386">
        <f t="shared" si="140"/>
        <v>28.313633074842883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6.9515184905172167E-2</v>
      </c>
      <c r="AD353" s="231">
        <f>(INDEX(Models!$BJ353:$BT353,,AH353)*(1-AF353)+INDEX(Models!$BJ353:$BT353,,AH353+1)*AF353-ERP_i)*AE353*Ramure*Pc/MaxiM</f>
        <v>1.6042137094686073E-2</v>
      </c>
      <c r="AE353" s="305">
        <f t="shared" si="142"/>
        <v>0.7</v>
      </c>
      <c r="AF353" s="177">
        <f t="shared" si="143"/>
        <v>0.49986976807935468</v>
      </c>
      <c r="AG353" s="919">
        <f t="shared" si="149"/>
        <v>2</v>
      </c>
      <c r="AH353" s="176">
        <f t="shared" si="144"/>
        <v>8</v>
      </c>
      <c r="AI353" s="225">
        <f t="shared" si="145"/>
        <v>2.4998697680793547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1090">
        <f>IF(t&gt;Tmaj,'2025'!Wh/'2025'!Env_an*'2026'!Env_an,0.001*'[14]mon-tableau (2)'!$B$43)</f>
        <v>11.303624284268794</v>
      </c>
      <c r="C354" s="953"/>
      <c r="D354" s="393">
        <f t="shared" si="127"/>
        <v>12.102817300537733</v>
      </c>
      <c r="E354" s="385">
        <f t="shared" si="125"/>
        <v>12.551712836273692</v>
      </c>
      <c r="F354" s="385">
        <f t="shared" si="128"/>
        <v>12.552998474743671</v>
      </c>
      <c r="G354" s="110">
        <f t="shared" si="126"/>
        <v>0.45474140026649323</v>
      </c>
      <c r="H354" s="412" t="b">
        <f>Wh_hp&gt;='2025'!Maxi_hp</f>
        <v>0</v>
      </c>
      <c r="I354" s="390">
        <f>IF(H354,Wh_hp,'2025'!Maxi_hp)</f>
        <v>23.022498392650729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6.6033634683837605E-2</v>
      </c>
      <c r="M354" s="957"/>
      <c r="N354" s="957"/>
      <c r="O354" s="48">
        <f>IF(t&lt;Tnet,'2025'!Resal+('2025'!Salim-'2025'!Resal)*(1-EXP(('2025'!Tnet-t)/('2025'!Tau_j))),Resal+(Salim-Resal)*(1-EXP((Tnet-t)/(Tau_j))))*Salcycl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4.628102537786162E-4</v>
      </c>
      <c r="Q354" s="305">
        <f t="shared" si="130"/>
        <v>0.7</v>
      </c>
      <c r="R354" s="177">
        <f t="shared" si="131"/>
        <v>0.97489560349989857</v>
      </c>
      <c r="S354" s="919">
        <f t="shared" si="132"/>
        <v>-2</v>
      </c>
      <c r="T354" s="176">
        <f t="shared" si="133"/>
        <v>4</v>
      </c>
      <c r="U354" s="251">
        <f t="shared" si="134"/>
        <v>-1.0251043965001014</v>
      </c>
      <c r="V354" s="383">
        <f t="shared" si="135"/>
        <v>24.848298634498224</v>
      </c>
      <c r="W354" s="402">
        <f t="shared" si="136"/>
        <v>11.303624284268794</v>
      </c>
      <c r="X354" s="157">
        <f t="shared" si="137"/>
        <v>46362</v>
      </c>
      <c r="Y354" s="385">
        <f t="shared" si="138"/>
        <v>10.869974876226765</v>
      </c>
      <c r="Z354" s="385">
        <f t="shared" si="139"/>
        <v>11.638507851990052</v>
      </c>
      <c r="AA354" s="386">
        <f t="shared" si="140"/>
        <v>12.508761664036284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6.9571539966924278E-2</v>
      </c>
      <c r="AD354" s="231">
        <f>(INDEX(Models!$BJ354:$BT354,,AH354)*(1-AF354)+INDEX(Models!$BJ354:$BT354,,AH354+1)*AF354-ERP_i)*AE354*Ramure*Pc/MaxiM</f>
        <v>1.5924577607088198E-2</v>
      </c>
      <c r="AE354" s="305">
        <f t="shared" si="142"/>
        <v>0.7</v>
      </c>
      <c r="AF354" s="177">
        <f t="shared" si="143"/>
        <v>0.49988316987387771</v>
      </c>
      <c r="AG354" s="919">
        <f t="shared" si="149"/>
        <v>2</v>
      </c>
      <c r="AH354" s="176">
        <f t="shared" si="144"/>
        <v>8</v>
      </c>
      <c r="AI354" s="225">
        <f t="shared" si="145"/>
        <v>2.4998831698738777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1090">
        <f>IF(t&gt;Tmaj,'2025'!Wh/'2025'!Env_an*'2026'!Env_an,0.001*'[14]mon-tableau (2)'!$B$44)</f>
        <v>20.306283049816297</v>
      </c>
      <c r="C355" s="953"/>
      <c r="D355" s="393">
        <f t="shared" si="127"/>
        <v>21.742461584681621</v>
      </c>
      <c r="E355" s="385">
        <f t="shared" si="125"/>
        <v>22.551286282816374</v>
      </c>
      <c r="F355" s="385">
        <f t="shared" si="128"/>
        <v>22.559078128464325</v>
      </c>
      <c r="G355" s="110">
        <f t="shared" si="126"/>
        <v>0.82191030051380176</v>
      </c>
      <c r="H355" s="412" t="b">
        <f>Wh_hp&gt;='2025'!Maxi_hp</f>
        <v>0</v>
      </c>
      <c r="I355" s="390">
        <f>IF(H355,Wh_hp,'2025'!Maxi_hp)</f>
        <v>23.615013833101326</v>
      </c>
      <c r="J355" s="85">
        <f>IF(H355,An,'2025'!An_max)</f>
        <v>2018</v>
      </c>
      <c r="K355" s="197">
        <f t="shared" si="129"/>
        <v>46363</v>
      </c>
      <c r="L355" s="147">
        <f>IF(t&lt;Tvie,1-EXP((T0-t)*PertePVj)+'2025'!Pspv,1-EXP((T0-t)*PertePVj)+Pspv)</f>
        <v>6.6054090944199562E-2</v>
      </c>
      <c r="M355" s="957"/>
      <c r="N355" s="957"/>
      <c r="O355" s="48">
        <f>IF(t&lt;Tnet,'2025'!Resal+('2025'!Salim-'2025'!Resal)*(1-EXP(('2025'!Tnet-t)/('2025'!Tau_j))),Resal+(Salim-Resal)*(1-EXP((Tnet-t)/(Tau_j))))*Salcycl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4.6317017478196678E-4</v>
      </c>
      <c r="Q355" s="305">
        <f t="shared" si="130"/>
        <v>0.7</v>
      </c>
      <c r="R355" s="177">
        <f t="shared" si="131"/>
        <v>0.9749084663741836</v>
      </c>
      <c r="S355" s="919">
        <f t="shared" si="132"/>
        <v>-2</v>
      </c>
      <c r="T355" s="176">
        <f t="shared" si="133"/>
        <v>4</v>
      </c>
      <c r="U355" s="251">
        <f t="shared" si="134"/>
        <v>-1.0250915336258164</v>
      </c>
      <c r="V355" s="383">
        <f t="shared" si="135"/>
        <v>24.703292661443275</v>
      </c>
      <c r="W355" s="402">
        <f t="shared" si="136"/>
        <v>20.306283049816297</v>
      </c>
      <c r="X355" s="157">
        <f t="shared" si="137"/>
        <v>46363</v>
      </c>
      <c r="Y355" s="385">
        <f t="shared" si="138"/>
        <v>19.371022347282359</v>
      </c>
      <c r="Z355" s="385">
        <f t="shared" si="139"/>
        <v>20.74105380135564</v>
      </c>
      <c r="AA355" s="386">
        <f t="shared" si="140"/>
        <v>22.293312579152154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6.9628897557742264E-2</v>
      </c>
      <c r="AD355" s="231">
        <f>(INDEX(Models!$BJ355:$BT355,,AH355)*(1-AF355)+INDEX(Models!$BJ355:$BT355,,AH355+1)*AF355-ERP_i)*AE355*Ramure*Pc/MaxiM</f>
        <v>1.579788428667148E-2</v>
      </c>
      <c r="AE355" s="305">
        <f t="shared" si="142"/>
        <v>0.7</v>
      </c>
      <c r="AF355" s="177">
        <f t="shared" si="143"/>
        <v>0.49989603274816297</v>
      </c>
      <c r="AG355" s="919">
        <f t="shared" si="149"/>
        <v>2</v>
      </c>
      <c r="AH355" s="176">
        <f t="shared" si="144"/>
        <v>8</v>
      </c>
      <c r="AI355" s="225">
        <f t="shared" si="145"/>
        <v>2.499896032748163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1090">
        <f>IF(t&gt;Tmaj,'2025'!Wh/'2025'!Env_an*'2026'!Env_an,0.001*'[14]mon-tableau (2)'!$B$45)</f>
        <v>4.6571441019560558</v>
      </c>
      <c r="C356" s="953"/>
      <c r="D356" s="393">
        <f t="shared" si="127"/>
        <v>4.9866336609437019</v>
      </c>
      <c r="E356" s="385">
        <f t="shared" si="125"/>
        <v>5.1726886663916405</v>
      </c>
      <c r="F356" s="385">
        <f t="shared" si="128"/>
        <v>5.1726886663916405</v>
      </c>
      <c r="G356" s="110">
        <f t="shared" si="126"/>
        <v>0.18942590990399658</v>
      </c>
      <c r="H356" s="412" t="b">
        <f>Wh_hp&gt;='2025'!Maxi_hp</f>
        <v>0</v>
      </c>
      <c r="I356" s="390">
        <f>IF(H356,Wh_hp,'2025'!Maxi_hp)</f>
        <v>18.625313050324355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6.6074546756516916E-2</v>
      </c>
      <c r="M356" s="957"/>
      <c r="N356" s="957"/>
      <c r="O356" s="48">
        <f>IF(t&lt;Tnet,'2025'!Resal+('2025'!Salim-'2025'!Resal)*(1-EXP(('2025'!Tnet-t)/('2025'!Tau_j))),Resal+(Salim-Resal)*(1-EXP((Tnet-t)/(Tau_j))))*Salcycl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4.6388493541870302E-4</v>
      </c>
      <c r="Q356" s="305">
        <f t="shared" si="130"/>
        <v>0.7</v>
      </c>
      <c r="R356" s="177">
        <f t="shared" si="131"/>
        <v>0.97492081197351776</v>
      </c>
      <c r="S356" s="919">
        <f t="shared" si="132"/>
        <v>-2</v>
      </c>
      <c r="T356" s="176">
        <f t="shared" si="133"/>
        <v>4</v>
      </c>
      <c r="U356" s="251">
        <f t="shared" si="134"/>
        <v>-1.0250791880264822</v>
      </c>
      <c r="V356" s="383">
        <f t="shared" si="135"/>
        <v>24.574165832563715</v>
      </c>
      <c r="W356" s="402">
        <f t="shared" si="136"/>
        <v>4.6571441019560558</v>
      </c>
      <c r="X356" s="157">
        <f t="shared" si="137"/>
        <v>46364</v>
      </c>
      <c r="Y356" s="385">
        <f t="shared" si="138"/>
        <v>4.4942531801071581</v>
      </c>
      <c r="Z356" s="385">
        <f t="shared" si="139"/>
        <v>4.8122183248125525</v>
      </c>
      <c r="AA356" s="386">
        <f t="shared" si="140"/>
        <v>5.1726886663916405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6.9687229374766235E-2</v>
      </c>
      <c r="AD356" s="231">
        <f>(INDEX(Models!$BJ356:$BT356,,AH356)*(1-AF356)+INDEX(Models!$BJ356:$BT356,,AH356+1)*AF356-ERP_i)*AE356*Ramure*Pc/MaxiM</f>
        <v>1.5660938438612805E-2</v>
      </c>
      <c r="AE356" s="305">
        <f t="shared" si="142"/>
        <v>0.7</v>
      </c>
      <c r="AF356" s="177">
        <f t="shared" si="143"/>
        <v>0.49990837834749691</v>
      </c>
      <c r="AG356" s="919">
        <f t="shared" si="149"/>
        <v>2</v>
      </c>
      <c r="AH356" s="176">
        <f t="shared" si="144"/>
        <v>8</v>
      </c>
      <c r="AI356" s="225">
        <f t="shared" si="145"/>
        <v>2.4999083783474969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1090">
        <f>IF(t&gt;Tmaj,'2025'!Wh/'2025'!Env_an*'2026'!Env_an,0.001*'[14]mon-tableau (2)'!$B$46)</f>
        <v>5.6705506776526837</v>
      </c>
      <c r="C357" s="953"/>
      <c r="D357" s="393">
        <f t="shared" si="127"/>
        <v>6.0718710045774511</v>
      </c>
      <c r="E357" s="385">
        <f t="shared" si="125"/>
        <v>6.2990905956657395</v>
      </c>
      <c r="F357" s="385">
        <f t="shared" si="128"/>
        <v>6.2990905956657395</v>
      </c>
      <c r="G357" s="110">
        <f t="shared" si="126"/>
        <v>0.23169750648816909</v>
      </c>
      <c r="H357" s="412" t="b">
        <f>Wh_hp&gt;='2025'!Maxi_hp</f>
        <v>0</v>
      </c>
      <c r="I357" s="390">
        <f>IF(H357,Wh_hp,'2025'!Maxi_hp)</f>
        <v>9.4747658981708156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6.609500212079944E-2</v>
      </c>
      <c r="M357" s="957"/>
      <c r="N357" s="957"/>
      <c r="O357" s="48">
        <f>IF(t&lt;Tnet,'2025'!Resal+('2025'!Salim-'2025'!Resal)*(1-EXP(('2025'!Tnet-t)/('2025'!Tau_j))),Resal+(Salim-Resal)*(1-EXP((Tnet-t)/(Tau_j))))*Salcycl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4.6491999489926594E-4</v>
      </c>
      <c r="Q357" s="305">
        <f t="shared" si="130"/>
        <v>0.7</v>
      </c>
      <c r="R357" s="177">
        <f t="shared" si="131"/>
        <v>0.97493266107587773</v>
      </c>
      <c r="S357" s="919">
        <f t="shared" si="132"/>
        <v>-2</v>
      </c>
      <c r="T357" s="176">
        <f t="shared" si="133"/>
        <v>4</v>
      </c>
      <c r="U357" s="251">
        <f t="shared" si="134"/>
        <v>-1.0250673389241223</v>
      </c>
      <c r="V357" s="383">
        <f t="shared" si="135"/>
        <v>24.462560737786653</v>
      </c>
      <c r="W357" s="402">
        <f t="shared" si="136"/>
        <v>5.6705506776526837</v>
      </c>
      <c r="X357" s="157">
        <f t="shared" si="137"/>
        <v>46365</v>
      </c>
      <c r="Y357" s="385">
        <f t="shared" si="138"/>
        <v>5.4724507873032122</v>
      </c>
      <c r="Z357" s="385">
        <f t="shared" si="139"/>
        <v>5.8597510450533719</v>
      </c>
      <c r="AA357" s="386">
        <f t="shared" si="140"/>
        <v>6.2990905956657395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6.9746504505692863E-2</v>
      </c>
      <c r="AD357" s="231">
        <f>(INDEX(Models!$BJ357:$BT357,,AH357)*(1-AF357)+INDEX(Models!$BJ357:$BT357,,AH357+1)*AF357-ERP_i)*AE357*Ramure*Pc/MaxiM</f>
        <v>1.5512663858482661E-2</v>
      </c>
      <c r="AE357" s="305">
        <f t="shared" si="142"/>
        <v>0.7</v>
      </c>
      <c r="AF357" s="177">
        <f t="shared" si="143"/>
        <v>0.49992022744985709</v>
      </c>
      <c r="AG357" s="919">
        <f t="shared" si="149"/>
        <v>2</v>
      </c>
      <c r="AH357" s="176">
        <f t="shared" si="144"/>
        <v>8</v>
      </c>
      <c r="AI357" s="225">
        <f t="shared" si="145"/>
        <v>2.4999202274498571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1090">
        <f>IF(t&gt;Tmaj,'2025'!Wh/'2025'!Env_an*'2026'!Env_an,0.001*'[14]mon-tableau (2)'!$B$47)</f>
        <v>14.128321750807311</v>
      </c>
      <c r="C358" s="953"/>
      <c r="D358" s="393">
        <f t="shared" si="127"/>
        <v>15.128552942939038</v>
      </c>
      <c r="E358" s="385">
        <f t="shared" si="125"/>
        <v>15.696373252591977</v>
      </c>
      <c r="F358" s="385">
        <f t="shared" si="128"/>
        <v>15.699298379123908</v>
      </c>
      <c r="G358" s="110">
        <f t="shared" si="126"/>
        <v>0.57957723596211941</v>
      </c>
      <c r="H358" s="412" t="b">
        <f>Wh_hp&gt;='2025'!Maxi_hp</f>
        <v>0</v>
      </c>
      <c r="I358" s="390">
        <f>IF(H358,Wh_hp,'2025'!Maxi_hp)</f>
        <v>22.134135091685113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6.6115457037056902E-2</v>
      </c>
      <c r="M358" s="957"/>
      <c r="N358" s="957"/>
      <c r="O358" s="48">
        <f>IF(t&lt;Tnet,'2025'!Resal+('2025'!Salim-'2025'!Resal)*(1-EXP(('2025'!Tnet-t)/('2025'!Tau_j))),Resal+(Salim-Resal)*(1-EXP((Tnet-t)/(Tau_j))))*Salcycl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4.6623898978974686E-4</v>
      </c>
      <c r="Q358" s="305">
        <f t="shared" si="130"/>
        <v>0.7</v>
      </c>
      <c r="R358" s="177">
        <f t="shared" si="131"/>
        <v>0.97494403362652227</v>
      </c>
      <c r="S358" s="919">
        <f t="shared" si="132"/>
        <v>-2</v>
      </c>
      <c r="T358" s="176">
        <f t="shared" si="133"/>
        <v>4</v>
      </c>
      <c r="U358" s="251">
        <f t="shared" si="134"/>
        <v>-1.0250559663734777</v>
      </c>
      <c r="V358" s="383">
        <f t="shared" si="135"/>
        <v>24.370119082994339</v>
      </c>
      <c r="W358" s="402">
        <f t="shared" si="136"/>
        <v>14.128321750807311</v>
      </c>
      <c r="X358" s="157">
        <f t="shared" si="137"/>
        <v>46366</v>
      </c>
      <c r="Y358" s="385">
        <f t="shared" si="138"/>
        <v>13.554203243067871</v>
      </c>
      <c r="Z358" s="385">
        <f t="shared" si="139"/>
        <v>14.513789038701015</v>
      </c>
      <c r="AA358" s="386">
        <f t="shared" si="140"/>
        <v>15.602981528519132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6.9806689691152363E-2</v>
      </c>
      <c r="AD358" s="231">
        <f>(INDEX(Models!$BJ358:$BT358,,AH358)*(1-AF358)+INDEX(Models!$BJ358:$BT358,,AH358+1)*AF358-ERP_i)*AE358*Ramure*Pc/MaxiM</f>
        <v>1.535204396647601E-2</v>
      </c>
      <c r="AE358" s="305">
        <f t="shared" si="142"/>
        <v>0.7</v>
      </c>
      <c r="AF358" s="177">
        <f t="shared" si="143"/>
        <v>0.49993160000050141</v>
      </c>
      <c r="AG358" s="919">
        <f t="shared" si="149"/>
        <v>2</v>
      </c>
      <c r="AH358" s="176">
        <f t="shared" si="144"/>
        <v>8</v>
      </c>
      <c r="AI358" s="225">
        <f t="shared" si="145"/>
        <v>2.4999316000005014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1090">
        <f>IF(t&gt;Tmaj,'2025'!Wh/'2025'!Env_an*'2026'!Env_an,0.001*'[14]mon-tableau (2)'!$B$48)</f>
        <v>17.224117547411961</v>
      </c>
      <c r="C359" s="953"/>
      <c r="D359" s="393">
        <f t="shared" si="127"/>
        <v>18.44392322139251</v>
      </c>
      <c r="E359" s="385">
        <f t="shared" si="125"/>
        <v>19.138240354631435</v>
      </c>
      <c r="F359" s="385">
        <f t="shared" si="128"/>
        <v>19.143472845527278</v>
      </c>
      <c r="G359" s="110">
        <f t="shared" si="126"/>
        <v>0.70880854568537999</v>
      </c>
      <c r="H359" s="412" t="b">
        <f>Wh_hp&gt;='2025'!Maxi_hp</f>
        <v>0</v>
      </c>
      <c r="I359" s="390">
        <f>IF(H359,Wh_hp,'2025'!Maxi_hp)</f>
        <v>23.016717284204159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6.6135911505299294E-2</v>
      </c>
      <c r="M359" s="957"/>
      <c r="N359" s="957"/>
      <c r="O359" s="48">
        <f>IF(t&lt;Tnet,'2025'!Resal+('2025'!Salim-'2025'!Resal)*(1-EXP(('2025'!Tnet-t)/('2025'!Tau_j))),Resal+(Salim-Resal)*(1-EXP((Tnet-t)/(Tau_j))))*Salcycl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4.6786364744125117E-4</v>
      </c>
      <c r="Q359" s="305">
        <f t="shared" si="130"/>
        <v>0.7</v>
      </c>
      <c r="R359" s="177">
        <f t="shared" si="131"/>
        <v>0.97495494877121369</v>
      </c>
      <c r="S359" s="919">
        <f t="shared" si="132"/>
        <v>-2</v>
      </c>
      <c r="T359" s="176">
        <f t="shared" si="133"/>
        <v>4</v>
      </c>
      <c r="U359" s="251">
        <f t="shared" si="134"/>
        <v>-1.0250450512287863</v>
      </c>
      <c r="V359" s="383">
        <f t="shared" si="135"/>
        <v>24.295370125901123</v>
      </c>
      <c r="W359" s="402">
        <f t="shared" si="136"/>
        <v>17.224117547411961</v>
      </c>
      <c r="X359" s="157">
        <f t="shared" si="137"/>
        <v>46367</v>
      </c>
      <c r="Y359" s="385">
        <f t="shared" si="138"/>
        <v>16.480882051153824</v>
      </c>
      <c r="Z359" s="385">
        <f t="shared" si="139"/>
        <v>17.648052060465698</v>
      </c>
      <c r="AA359" s="386">
        <f t="shared" si="140"/>
        <v>18.973701914754656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6.9867749595986059E-2</v>
      </c>
      <c r="AD359" s="231">
        <f>(INDEX(Models!$BJ359:$BT359,,AH359)*(1-AF359)+INDEX(Models!$BJ359:$BT359,,AH359+1)*AF359-ERP_i)*AE359*Ramure*Pc/MaxiM</f>
        <v>1.5180083153879521E-2</v>
      </c>
      <c r="AE359" s="305">
        <f t="shared" si="142"/>
        <v>0.7</v>
      </c>
      <c r="AF359" s="177">
        <f t="shared" si="143"/>
        <v>0.49994251514519261</v>
      </c>
      <c r="AG359" s="919">
        <f t="shared" si="149"/>
        <v>2</v>
      </c>
      <c r="AH359" s="176">
        <f t="shared" si="144"/>
        <v>8</v>
      </c>
      <c r="AI359" s="225">
        <f t="shared" si="145"/>
        <v>2.4999425151451926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1090">
        <f>IF(t&gt;Tmaj,'2025'!Wh/'2025'!Env_an*'2026'!Env_an,0.001*'[14]mon-tableau (2)'!$B$49)</f>
        <v>5.0861204328043206</v>
      </c>
      <c r="C360" s="953"/>
      <c r="D360" s="393">
        <f t="shared" si="127"/>
        <v>5.4464369033972391</v>
      </c>
      <c r="E360" s="385">
        <f t="shared" si="125"/>
        <v>5.6520773935843671</v>
      </c>
      <c r="F360" s="385">
        <f t="shared" si="128"/>
        <v>5.6520773935843671</v>
      </c>
      <c r="G360" s="110">
        <f t="shared" si="126"/>
        <v>0.20976436456172703</v>
      </c>
      <c r="H360" s="412" t="b">
        <f>Wh_hp&gt;='2025'!Maxi_hp</f>
        <v>0</v>
      </c>
      <c r="I360" s="390">
        <f>IF(H360,Wh_hp,'2025'!Maxi_hp)</f>
        <v>26.632515874966092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6.6156365525536387E-2</v>
      </c>
      <c r="M360" s="957"/>
      <c r="N360" s="957"/>
      <c r="O360" s="48">
        <f>IF(t&lt;Tnet,'2025'!Resal+('2025'!Salim-'2025'!Resal)*(1-EXP(('2025'!Tnet-t)/('2025'!Tau_j))),Resal+(Salim-Resal)*(1-EXP((Tnet-t)/(Tau_j))))*Salcycl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4.6984274171757803E-4</v>
      </c>
      <c r="Q360" s="305">
        <f t="shared" si="130"/>
        <v>0.7</v>
      </c>
      <c r="R360" s="177">
        <f t="shared" si="131"/>
        <v>0.97496542488812832</v>
      </c>
      <c r="S360" s="919">
        <f t="shared" si="132"/>
        <v>-2</v>
      </c>
      <c r="T360" s="176">
        <f t="shared" si="133"/>
        <v>4</v>
      </c>
      <c r="U360" s="251">
        <f t="shared" si="134"/>
        <v>-1.0250345751118717</v>
      </c>
      <c r="V360" s="383">
        <f t="shared" si="135"/>
        <v>24.235435635872673</v>
      </c>
      <c r="W360" s="402">
        <f t="shared" si="136"/>
        <v>5.0861204328043206</v>
      </c>
      <c r="X360" s="157">
        <f t="shared" si="137"/>
        <v>46368</v>
      </c>
      <c r="Y360" s="385">
        <f t="shared" si="138"/>
        <v>4.909056874550437</v>
      </c>
      <c r="Z360" s="385">
        <f t="shared" si="139"/>
        <v>5.2568296161413492</v>
      </c>
      <c r="AA360" s="386">
        <f t="shared" si="140"/>
        <v>5.6520773935843671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6.9929647087221505E-2</v>
      </c>
      <c r="AD360" s="231">
        <f>(INDEX(Models!$BJ360:$BT360,,AH360)*(1-AF360)+INDEX(Models!$BJ360:$BT360,,AH360+1)*AF360-ERP_i)*AE360*Ramure*Pc/MaxiM</f>
        <v>1.4998675250975178E-2</v>
      </c>
      <c r="AE360" s="305">
        <f t="shared" si="142"/>
        <v>0.7</v>
      </c>
      <c r="AF360" s="177">
        <f t="shared" si="143"/>
        <v>0.49995299126210746</v>
      </c>
      <c r="AG360" s="919">
        <f t="shared" si="149"/>
        <v>2</v>
      </c>
      <c r="AH360" s="176">
        <f t="shared" si="144"/>
        <v>8</v>
      </c>
      <c r="AI360" s="225">
        <f t="shared" si="145"/>
        <v>2.4999529912621075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1090">
        <f>IF(t&gt;Tmaj,'2025'!Wh/'2025'!Env_an*'2026'!Env_an,0.001*'[14]mon-tableau (2)'!$B$50)</f>
        <v>5.5760853660998437</v>
      </c>
      <c r="C361" s="953"/>
      <c r="D361" s="393">
        <f t="shared" si="127"/>
        <v>5.9712432504753803</v>
      </c>
      <c r="E361" s="385">
        <f t="shared" ref="E361:E379" si="150">Wh_pvt/(1-Psa)</f>
        <v>6.1973704493709212</v>
      </c>
      <c r="F361" s="385">
        <f t="shared" si="128"/>
        <v>6.1973704493709212</v>
      </c>
      <c r="G361" s="110">
        <f t="shared" ref="G361:G379" si="151">+Wh_hp/MaxiM</f>
        <v>0.23040463146788837</v>
      </c>
      <c r="H361" s="412" t="b">
        <f>Wh_hp&gt;='2025'!Maxi_hp</f>
        <v>0</v>
      </c>
      <c r="I361" s="390">
        <f>IF(H361,Wh_hp,'2025'!Maxi_hp)</f>
        <v>27.848923412804474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6.6176819097777839E-2</v>
      </c>
      <c r="M361" s="957"/>
      <c r="N361" s="957"/>
      <c r="O361" s="48">
        <f>IF(t&lt;Tnet,'2025'!Resal+('2025'!Salim-'2025'!Resal)*(1-EXP(('2025'!Tnet-t)/('2025'!Tau_j))),Resal+(Salim-Resal)*(1-EXP((Tnet-t)/(Tau_j))))*Salcycl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4.7161894447243855E-4</v>
      </c>
      <c r="Q361" s="305">
        <f t="shared" si="130"/>
        <v>0.7</v>
      </c>
      <c r="R361" s="177">
        <f t="shared" si="131"/>
        <v>0.97497547961850417</v>
      </c>
      <c r="S361" s="919">
        <f t="shared" si="132"/>
        <v>-2</v>
      </c>
      <c r="T361" s="176">
        <f t="shared" si="133"/>
        <v>4</v>
      </c>
      <c r="U361" s="251">
        <f t="shared" si="134"/>
        <v>-1.0250245203814958</v>
      </c>
      <c r="V361" s="383">
        <f t="shared" si="135"/>
        <v>24.189859132158858</v>
      </c>
      <c r="W361" s="402">
        <f t="shared" si="136"/>
        <v>5.5760853660998437</v>
      </c>
      <c r="X361" s="157">
        <f t="shared" si="137"/>
        <v>46369</v>
      </c>
      <c r="Y361" s="385">
        <f t="shared" si="138"/>
        <v>5.3821851231928797</v>
      </c>
      <c r="Z361" s="385">
        <f t="shared" si="139"/>
        <v>5.7636019679794526</v>
      </c>
      <c r="AA361" s="386">
        <f t="shared" si="140"/>
        <v>6.1973704493709212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6.9992343516515107E-2</v>
      </c>
      <c r="AD361" s="231">
        <f>(INDEX(Models!$BJ361:$BT361,,AH361)*(1-AF361)+INDEX(Models!$BJ361:$BT361,,AH361+1)*AF361-ERP_i)*AE361*Ramure*Pc/MaxiM</f>
        <v>1.4825774018405428E-2</v>
      </c>
      <c r="AE361" s="305">
        <f t="shared" si="142"/>
        <v>0.7</v>
      </c>
      <c r="AF361" s="177">
        <f t="shared" si="143"/>
        <v>0.49996304599248331</v>
      </c>
      <c r="AG361" s="919">
        <f t="shared" si="149"/>
        <v>2</v>
      </c>
      <c r="AH361" s="176">
        <f t="shared" si="144"/>
        <v>8</v>
      </c>
      <c r="AI361" s="225">
        <f t="shared" si="145"/>
        <v>2.4999630459924833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1090">
        <f>IF(t&gt;Tmaj,'2025'!Wh/'2025'!Env_an*'2026'!Env_an,0.001*'[14]mon-tableau (2)'!$B$51)</f>
        <v>17.130972490085927</v>
      </c>
      <c r="C362" s="953"/>
      <c r="D362" s="393">
        <f t="shared" si="127"/>
        <v>18.345387072117465</v>
      </c>
      <c r="E362" s="385">
        <f t="shared" si="150"/>
        <v>19.042185049746315</v>
      </c>
      <c r="F362" s="385">
        <f t="shared" si="128"/>
        <v>19.047452823057014</v>
      </c>
      <c r="G362" s="110">
        <f t="shared" si="151"/>
        <v>0.70897764562545584</v>
      </c>
      <c r="H362" s="412" t="b">
        <f>Wh_hp&gt;='2025'!Maxi_hp</f>
        <v>0</v>
      </c>
      <c r="I362" s="390">
        <f>IF(H362,Wh_hp,'2025'!Maxi_hp)</f>
        <v>27.918333223458241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6.6197272222033643E-2</v>
      </c>
      <c r="M362" s="957"/>
      <c r="N362" s="957"/>
      <c r="O362" s="48">
        <f>IF(t&lt;Tnet,'2025'!Resal+('2025'!Salim-'2025'!Resal)*(1-EXP(('2025'!Tnet-t)/('2025'!Tau_j))),Resal+(Salim-Resal)*(1-EXP((Tnet-t)/(Tau_j))))*Salcycl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4.7319544571239471E-4</v>
      </c>
      <c r="Q362" s="305">
        <f t="shared" si="130"/>
        <v>0.7</v>
      </c>
      <c r="R362" s="177">
        <f t="shared" si="131"/>
        <v>0.97498512989607367</v>
      </c>
      <c r="S362" s="919">
        <f t="shared" si="132"/>
        <v>-2</v>
      </c>
      <c r="T362" s="176">
        <f t="shared" si="133"/>
        <v>4</v>
      </c>
      <c r="U362" s="251">
        <f t="shared" si="134"/>
        <v>-1.0250148701039263</v>
      </c>
      <c r="V362" s="383">
        <f t="shared" si="135"/>
        <v>24.158170735377919</v>
      </c>
      <c r="W362" s="402">
        <f t="shared" si="136"/>
        <v>17.130972490085927</v>
      </c>
      <c r="X362" s="157">
        <f t="shared" si="137"/>
        <v>46370</v>
      </c>
      <c r="Y362" s="385">
        <f t="shared" si="138"/>
        <v>16.398774220292605</v>
      </c>
      <c r="Z362" s="385">
        <f t="shared" si="139"/>
        <v>17.561283269448534</v>
      </c>
      <c r="AA362" s="386">
        <f t="shared" si="140"/>
        <v>18.884233323521311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7.0055799004822325E-2</v>
      </c>
      <c r="AD362" s="231">
        <f>(INDEX(Models!$BJ362:$BT362,,AH362)*(1-AF362)+INDEX(Models!$BJ362:$BT362,,AH362+1)*AF362-ERP_i)*AE362*Ramure*Pc/MaxiM</f>
        <v>1.4661740222358348E-2</v>
      </c>
      <c r="AE362" s="305">
        <f t="shared" si="142"/>
        <v>0.7</v>
      </c>
      <c r="AF362" s="177">
        <f t="shared" si="143"/>
        <v>0.49997269627005281</v>
      </c>
      <c r="AG362" s="919">
        <f t="shared" si="149"/>
        <v>2</v>
      </c>
      <c r="AH362" s="176">
        <f t="shared" si="144"/>
        <v>8</v>
      </c>
      <c r="AI362" s="225">
        <f t="shared" si="145"/>
        <v>2.4999726962700528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1090">
        <f>IF(t&gt;Tmaj,'2025'!Wh/'2025'!Env_an*'2026'!Env_an,0.001*'[14]mon-tableau (2)'!$B$52)</f>
        <v>7.1744680824269356</v>
      </c>
      <c r="C363" s="953"/>
      <c r="D363" s="393">
        <f t="shared" si="127"/>
        <v>7.683234383138891</v>
      </c>
      <c r="E363" s="385">
        <f t="shared" si="150"/>
        <v>7.9759297748642108</v>
      </c>
      <c r="F363" s="385">
        <f t="shared" si="128"/>
        <v>7.9759297748642108</v>
      </c>
      <c r="G363" s="110">
        <f t="shared" si="151"/>
        <v>0.29706266446111546</v>
      </c>
      <c r="H363" s="412" t="b">
        <f>Wh_hp&gt;='2025'!Maxi_hp</f>
        <v>0</v>
      </c>
      <c r="I363" s="390">
        <f>IF(H363,Wh_hp,'2025'!Maxi_hp)</f>
        <v>27.64680505166011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6.6217724898313568E-2</v>
      </c>
      <c r="M363" s="957"/>
      <c r="N363" s="957"/>
      <c r="O363" s="48">
        <f>IF(t&lt;Tnet,'2025'!Resal+('2025'!Salim-'2025'!Resal)*(1-EXP(('2025'!Tnet-t)/('2025'!Tau_j))),Resal+(Salim-Resal)*(1-EXP((Tnet-t)/(Tau_j))))*Salcycl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4.7457614686731268E-4</v>
      </c>
      <c r="Q363" s="305">
        <f t="shared" si="130"/>
        <v>0.7</v>
      </c>
      <c r="R363" s="177">
        <f t="shared" si="131"/>
        <v>0.97499439197533011</v>
      </c>
      <c r="S363" s="919">
        <f t="shared" si="132"/>
        <v>-2</v>
      </c>
      <c r="T363" s="176">
        <f t="shared" si="133"/>
        <v>4</v>
      </c>
      <c r="U363" s="251">
        <f t="shared" si="134"/>
        <v>-1.0250056080246699</v>
      </c>
      <c r="V363" s="383">
        <f t="shared" si="135"/>
        <v>24.139900798429768</v>
      </c>
      <c r="W363" s="402">
        <f t="shared" si="136"/>
        <v>7.1744680824269356</v>
      </c>
      <c r="X363" s="157">
        <f t="shared" si="137"/>
        <v>46371</v>
      </c>
      <c r="Y363" s="385">
        <f t="shared" si="138"/>
        <v>6.9255435909390064</v>
      </c>
      <c r="Z363" s="385">
        <f t="shared" si="139"/>
        <v>7.4166577965777227</v>
      </c>
      <c r="AA363" s="386">
        <f t="shared" si="140"/>
        <v>7.9759297748642108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7.0119972727068047E-2</v>
      </c>
      <c r="AD363" s="231">
        <f>(INDEX(Models!$BJ363:$BT363,,AH363)*(1-AF363)+INDEX(Models!$BJ363:$BT363,,AH363+1)*AF363-ERP_i)*AE363*Ramure*Pc/MaxiM</f>
        <v>1.4506909930171737E-2</v>
      </c>
      <c r="AE363" s="305">
        <f t="shared" si="142"/>
        <v>0.7</v>
      </c>
      <c r="AF363" s="177">
        <f t="shared" si="143"/>
        <v>0.49998195834930925</v>
      </c>
      <c r="AG363" s="919">
        <f t="shared" si="149"/>
        <v>2</v>
      </c>
      <c r="AH363" s="176">
        <f t="shared" si="144"/>
        <v>8</v>
      </c>
      <c r="AI363" s="225">
        <f t="shared" si="145"/>
        <v>2.4999819583493093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1090">
        <f>IF(t&gt;Tmaj,'2025'!Wh/'2025'!Env_an*'2026'!Env_an,0.001*'[14]mon-tableau (2)'!$B$53)</f>
        <v>4.8733701351314531</v>
      </c>
      <c r="C364" s="953"/>
      <c r="D364" s="393">
        <f t="shared" si="127"/>
        <v>5.2190719472071736</v>
      </c>
      <c r="E364" s="385">
        <f t="shared" si="150"/>
        <v>5.4184863325057009</v>
      </c>
      <c r="F364" s="385">
        <f t="shared" si="128"/>
        <v>5.4184863325057009</v>
      </c>
      <c r="G364" s="110">
        <f t="shared" si="151"/>
        <v>0.20182872762249709</v>
      </c>
      <c r="H364" s="412" t="b">
        <f>Wh_hp&gt;='2025'!Maxi_hp</f>
        <v>0</v>
      </c>
      <c r="I364" s="390">
        <f>IF(H364,Wh_hp,'2025'!Maxi_hp)</f>
        <v>27.611155388131891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6.6238177126627273E-2</v>
      </c>
      <c r="M364" s="957"/>
      <c r="N364" s="957"/>
      <c r="O364" s="48">
        <f>IF(t&lt;Tnet,'2025'!Resal+('2025'!Salim-'2025'!Resal)*(1-EXP(('2025'!Tnet-t)/('2025'!Tau_j))),Resal+(Salim-Resal)*(1-EXP((Tnet-t)/(Tau_j))))*Salcycl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4.757656302696647E-4</v>
      </c>
      <c r="Q364" s="305">
        <f t="shared" si="130"/>
        <v>0.7</v>
      </c>
      <c r="R364" s="177">
        <f t="shared" si="131"/>
        <v>0.97500328145867532</v>
      </c>
      <c r="S364" s="919">
        <f t="shared" si="132"/>
        <v>-2</v>
      </c>
      <c r="T364" s="176">
        <f t="shared" si="133"/>
        <v>4</v>
      </c>
      <c r="U364" s="251">
        <f t="shared" si="134"/>
        <v>-1.0249967185413247</v>
      </c>
      <c r="V364" s="383">
        <f t="shared" si="135"/>
        <v>24.13457990097648</v>
      </c>
      <c r="W364" s="402">
        <f t="shared" si="136"/>
        <v>4.8733701351314531</v>
      </c>
      <c r="X364" s="157">
        <f t="shared" si="137"/>
        <v>46372</v>
      </c>
      <c r="Y364" s="385">
        <f t="shared" si="138"/>
        <v>4.7044702508614513</v>
      </c>
      <c r="Z364" s="385">
        <f t="shared" si="139"/>
        <v>5.0381908272763294</v>
      </c>
      <c r="AA364" s="386">
        <f t="shared" si="140"/>
        <v>5.4184863325057009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7.0184823194618953E-2</v>
      </c>
      <c r="AD364" s="231">
        <f>(INDEX(Models!$BJ364:$BT364,,AH364)*(1-AF364)+INDEX(Models!$BJ364:$BT364,,AH364+1)*AF364-ERP_i)*AE364*Ramure*Pc/MaxiM</f>
        <v>1.4361594223618787E-2</v>
      </c>
      <c r="AE364" s="305">
        <f t="shared" si="142"/>
        <v>0.7</v>
      </c>
      <c r="AF364" s="177">
        <f t="shared" si="143"/>
        <v>0.49999084783265424</v>
      </c>
      <c r="AG364" s="919">
        <f t="shared" si="149"/>
        <v>2</v>
      </c>
      <c r="AH364" s="176">
        <f t="shared" si="144"/>
        <v>8</v>
      </c>
      <c r="AI364" s="225">
        <f t="shared" si="145"/>
        <v>2.4999908478326542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1090">
        <f>IF(t&gt;Tmaj,'2025'!Wh/'2025'!Env_an*'2026'!Env_an,0.001*'[14]mon-tableau (2)'!$B$54)</f>
        <v>2.7256818258069049</v>
      </c>
      <c r="C365" s="953"/>
      <c r="D365" s="393">
        <f t="shared" si="127"/>
        <v>2.9190972042036512</v>
      </c>
      <c r="E365" s="385">
        <f t="shared" si="150"/>
        <v>3.0309643369791126</v>
      </c>
      <c r="F365" s="385">
        <f t="shared" si="128"/>
        <v>3.0309643369791126</v>
      </c>
      <c r="G365" s="110">
        <f t="shared" si="151"/>
        <v>0.11284946459189871</v>
      </c>
      <c r="H365" s="412" t="b">
        <f>Wh_hp&gt;='2025'!Maxi_hp</f>
        <v>0</v>
      </c>
      <c r="I365" s="390">
        <f>IF(H365,Wh_hp,'2025'!Maxi_hp)</f>
        <v>27.969819213232515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6.6258628906984751E-2</v>
      </c>
      <c r="M365" s="957"/>
      <c r="N365" s="957"/>
      <c r="O365" s="48">
        <f>IF(t&lt;Tnet,'2025'!Resal+('2025'!Salim-'2025'!Resal)*(1-EXP(('2025'!Tnet-t)/('2025'!Tau_j))),Resal+(Salim-Resal)*(1-EXP((Tnet-t)/(Tau_j))))*Salcycl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4.7676912404165969E-4</v>
      </c>
      <c r="Q365" s="305">
        <f t="shared" si="130"/>
        <v>0.7</v>
      </c>
      <c r="R365" s="177">
        <f t="shared" si="131"/>
        <v>0.97501181332248787</v>
      </c>
      <c r="S365" s="919">
        <f t="shared" si="132"/>
        <v>-2</v>
      </c>
      <c r="T365" s="176">
        <f t="shared" si="133"/>
        <v>4</v>
      </c>
      <c r="U365" s="251">
        <f t="shared" si="134"/>
        <v>-1.0249881866775121</v>
      </c>
      <c r="V365" s="383">
        <f t="shared" si="135"/>
        <v>24.141738861789669</v>
      </c>
      <c r="W365" s="402">
        <f t="shared" si="136"/>
        <v>2.7256818258069049</v>
      </c>
      <c r="X365" s="157">
        <f t="shared" si="137"/>
        <v>46373</v>
      </c>
      <c r="Y365" s="385">
        <f t="shared" si="138"/>
        <v>2.6313188126520703</v>
      </c>
      <c r="Z365" s="385">
        <f t="shared" si="139"/>
        <v>2.8180381571525652</v>
      </c>
      <c r="AA365" s="386">
        <f t="shared" si="140"/>
        <v>3.0309643369791126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7.0250308533410785E-2</v>
      </c>
      <c r="AD365" s="231">
        <f>(INDEX(Models!$BJ365:$BT365,,AH365)*(1-AF365)+INDEX(Models!$BJ365:$BT365,,AH365+1)*AF365-ERP_i)*AE365*Ramure*Pc/MaxiM</f>
        <v>1.4226079143646455E-2</v>
      </c>
      <c r="AE365" s="305">
        <f t="shared" si="142"/>
        <v>0.7</v>
      </c>
      <c r="AF365" s="177">
        <f t="shared" si="143"/>
        <v>0.49999937969646702</v>
      </c>
      <c r="AG365" s="919">
        <f t="shared" si="149"/>
        <v>2</v>
      </c>
      <c r="AH365" s="176">
        <f t="shared" si="144"/>
        <v>8</v>
      </c>
      <c r="AI365" s="225">
        <f t="shared" si="145"/>
        <v>2.499999379696467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1090">
        <f>IF(t&gt;Tmaj,'2025'!Wh/'2025'!Env_an*'2026'!Env_an,0.001*'[14]mon-tableau (2)'!$B$55)</f>
        <v>21.487110774792534</v>
      </c>
      <c r="C366" s="953"/>
      <c r="D366" s="393">
        <f t="shared" si="127"/>
        <v>23.012348036821958</v>
      </c>
      <c r="E366" s="385">
        <f t="shared" si="150"/>
        <v>23.896862098204178</v>
      </c>
      <c r="F366" s="385">
        <f t="shared" si="128"/>
        <v>23.906470218321356</v>
      </c>
      <c r="G366" s="110">
        <f t="shared" si="151"/>
        <v>0.88926637827941635</v>
      </c>
      <c r="H366" s="412" t="b">
        <f>Wh_hp&gt;='2025'!Maxi_hp</f>
        <v>0</v>
      </c>
      <c r="I366" s="390">
        <f>IF(H366,Wh_hp,'2025'!Maxi_hp)</f>
        <v>28.032685021410803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6.6279080239395771E-2</v>
      </c>
      <c r="M366" s="957"/>
      <c r="N366" s="957"/>
      <c r="O366" s="48">
        <f>IF(t&lt;Tnet,'2025'!Resal+('2025'!Salim-'2025'!Resal)*(1-EXP(('2025'!Tnet-t)/('2025'!Tau_j))),Resal+(Salim-Resal)*(1-EXP((Tnet-t)/(Tau_j))))*Salcycl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4.7737520741491032E-4</v>
      </c>
      <c r="Q366" s="305">
        <f t="shared" si="130"/>
        <v>0.7</v>
      </c>
      <c r="R366" s="177">
        <f t="shared" si="131"/>
        <v>0.9750200019421571</v>
      </c>
      <c r="S366" s="919">
        <f t="shared" si="132"/>
        <v>-2</v>
      </c>
      <c r="T366" s="176">
        <f t="shared" si="133"/>
        <v>4</v>
      </c>
      <c r="U366" s="251">
        <f t="shared" si="134"/>
        <v>-1.0249799980578429</v>
      </c>
      <c r="V366" s="383">
        <f t="shared" si="135"/>
        <v>24.160913987148717</v>
      </c>
      <c r="W366" s="402">
        <f t="shared" si="136"/>
        <v>21.487110774792534</v>
      </c>
      <c r="X366" s="157">
        <f t="shared" si="137"/>
        <v>46374</v>
      </c>
      <c r="Y366" s="385">
        <f t="shared" si="138"/>
        <v>20.505833735781561</v>
      </c>
      <c r="Z366" s="385">
        <f t="shared" si="139"/>
        <v>21.961416202433412</v>
      </c>
      <c r="AA366" s="386">
        <f t="shared" si="140"/>
        <v>23.622462405026038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7.0316386755650509E-2</v>
      </c>
      <c r="AD366" s="231">
        <f>(INDEX(Models!$BJ366:$BT366,,AH366)*(1-AF366)+INDEX(Models!$BJ366:$BT366,,AH366+1)*AF366-ERP_i)*AE366*Ramure*Pc/MaxiM</f>
        <v>1.411080285485993E-2</v>
      </c>
      <c r="AE366" s="305">
        <f t="shared" si="142"/>
        <v>0.7</v>
      </c>
      <c r="AF366" s="177">
        <f t="shared" si="143"/>
        <v>0.50000756831613602</v>
      </c>
      <c r="AG366" s="919">
        <f t="shared" si="149"/>
        <v>2</v>
      </c>
      <c r="AH366" s="176">
        <f t="shared" si="144"/>
        <v>8</v>
      </c>
      <c r="AI366" s="225">
        <f t="shared" si="145"/>
        <v>2.500007568316136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1090">
        <f>IF(t&gt;Tmaj,'2025'!Wh/'2025'!Env_an*'2026'!Env_an,0.001*'[14]mon-tableau (2)'!$B$56)</f>
        <v>18.187414081296875</v>
      </c>
      <c r="C367" s="953"/>
      <c r="D367" s="393">
        <f t="shared" si="127"/>
        <v>19.478852895070919</v>
      </c>
      <c r="E367" s="385">
        <f t="shared" si="150"/>
        <v>20.229776762891294</v>
      </c>
      <c r="F367" s="385">
        <f t="shared" si="128"/>
        <v>20.236011878185682</v>
      </c>
      <c r="G367" s="110">
        <f t="shared" si="151"/>
        <v>0.75167840907943639</v>
      </c>
      <c r="H367" s="412" t="b">
        <f>Wh_hp&gt;='2025'!Maxi_hp</f>
        <v>0</v>
      </c>
      <c r="I367" s="390">
        <f>IF(H367,Wh_hp,'2025'!Maxi_hp)</f>
        <v>27.478360183893841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6.6299531123870103E-2</v>
      </c>
      <c r="M367" s="957"/>
      <c r="N367" s="957"/>
      <c r="O367" s="48">
        <f>IF(t&lt;Tnet,'2025'!Resal+('2025'!Salim-'2025'!Resal)*(1-EXP(('2025'!Tnet-t)/('2025'!Tau_j))),Resal+(Salim-Resal)*(1-EXP((Tnet-t)/(Tau_j))))*Salcycl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4.7738184286771993E-4</v>
      </c>
      <c r="Q367" s="305">
        <f t="shared" si="130"/>
        <v>0.7</v>
      </c>
      <c r="R367" s="177">
        <f t="shared" si="131"/>
        <v>0.97502786111612316</v>
      </c>
      <c r="S367" s="919">
        <f t="shared" si="132"/>
        <v>-2</v>
      </c>
      <c r="T367" s="176">
        <f t="shared" si="133"/>
        <v>4</v>
      </c>
      <c r="U367" s="251">
        <f t="shared" si="134"/>
        <v>-1.0249721388838768</v>
      </c>
      <c r="V367" s="383">
        <f t="shared" si="135"/>
        <v>24.19164162944476</v>
      </c>
      <c r="W367" s="402">
        <f t="shared" si="136"/>
        <v>18.187414081296875</v>
      </c>
      <c r="X367" s="157">
        <f t="shared" si="137"/>
        <v>46375</v>
      </c>
      <c r="Y367" s="385">
        <f t="shared" si="138"/>
        <v>17.405684205163265</v>
      </c>
      <c r="Z367" s="385">
        <f t="shared" si="139"/>
        <v>18.641614506324515</v>
      </c>
      <c r="AA367" s="386">
        <f t="shared" si="140"/>
        <v>20.053005514782789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7.0383016023100139E-2</v>
      </c>
      <c r="AD367" s="231">
        <f>(INDEX(Models!$BJ367:$BT367,,AH367)*(1-AF367)+INDEX(Models!$BJ367:$BT367,,AH367+1)*AF367-ERP_i)*AE367*Ramure*Pc/MaxiM</f>
        <v>1.4011595759336739E-2</v>
      </c>
      <c r="AE367" s="305">
        <f t="shared" si="142"/>
        <v>0.7</v>
      </c>
      <c r="AF367" s="177">
        <f t="shared" si="143"/>
        <v>0.5000154274901023</v>
      </c>
      <c r="AG367" s="919">
        <f t="shared" si="149"/>
        <v>2</v>
      </c>
      <c r="AH367" s="176">
        <f t="shared" si="144"/>
        <v>8</v>
      </c>
      <c r="AI367" s="225">
        <f t="shared" si="145"/>
        <v>2.5000154274901023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1090">
        <f>IF(t&gt;Tmaj,'2025'!Wh/'2025'!Env_an*'2026'!Env_an,0.001*'[14]mon-tableau (2)'!$B$57)</f>
        <v>4.4308261887367228</v>
      </c>
      <c r="C368" s="953"/>
      <c r="D368" s="393">
        <f t="shared" si="127"/>
        <v>4.7455510466441853</v>
      </c>
      <c r="E368" s="385">
        <f t="shared" si="150"/>
        <v>4.9290385654628226</v>
      </c>
      <c r="F368" s="385">
        <f t="shared" si="128"/>
        <v>4.9290385654628226</v>
      </c>
      <c r="G368" s="110">
        <f t="shared" si="151"/>
        <v>0.18275206272001912</v>
      </c>
      <c r="H368" s="412" t="b">
        <f>Wh_hp&gt;='2025'!Maxi_hp</f>
        <v>0</v>
      </c>
      <c r="I368" s="390">
        <f>IF(H368,Wh_hp,'2025'!Maxi_hp)</f>
        <v>28.081044157306998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6.6319981560417518E-2</v>
      </c>
      <c r="M368" s="957"/>
      <c r="N368" s="957"/>
      <c r="O368" s="48">
        <f>IF(t&lt;Tnet,'2025'!Resal+('2025'!Salim-'2025'!Resal)*(1-EXP(('2025'!Tnet-t)/('2025'!Tau_j))),Resal+(Salim-Resal)*(1-EXP((Tnet-t)/(Tau_j))))*Salcycl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4.7680003545169783E-4</v>
      </c>
      <c r="Q368" s="305">
        <f t="shared" si="130"/>
        <v>0.7</v>
      </c>
      <c r="R368" s="177">
        <f t="shared" si="131"/>
        <v>0.9750354040889615</v>
      </c>
      <c r="S368" s="919">
        <f t="shared" si="132"/>
        <v>-2</v>
      </c>
      <c r="T368" s="176">
        <f t="shared" si="133"/>
        <v>4</v>
      </c>
      <c r="U368" s="251">
        <f t="shared" si="134"/>
        <v>-1.0249645959110385</v>
      </c>
      <c r="V368" s="383">
        <f t="shared" si="135"/>
        <v>24.23345326305704</v>
      </c>
      <c r="W368" s="402">
        <f t="shared" si="136"/>
        <v>4.4308261887367228</v>
      </c>
      <c r="X368" s="157">
        <f t="shared" si="137"/>
        <v>46376</v>
      </c>
      <c r="Y368" s="385">
        <f t="shared" si="138"/>
        <v>4.2779230033415123</v>
      </c>
      <c r="Z368" s="385">
        <f t="shared" si="139"/>
        <v>4.5817870350176424</v>
      </c>
      <c r="AA368" s="386">
        <f t="shared" si="140"/>
        <v>4.9290385654628226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7.0450154900050785E-2</v>
      </c>
      <c r="AD368" s="231">
        <f>(INDEX(Models!$BJ368:$BT368,,AH368)*(1-AF368)+INDEX(Models!$BJ368:$BT368,,AH368+1)*AF368-ERP_i)*AE368*Ramure*Pc/MaxiM</f>
        <v>1.3928608184331072E-2</v>
      </c>
      <c r="AE368" s="305">
        <f t="shared" si="142"/>
        <v>0.7</v>
      </c>
      <c r="AF368" s="177">
        <f t="shared" si="143"/>
        <v>0.50002297046294064</v>
      </c>
      <c r="AG368" s="919">
        <f t="shared" si="149"/>
        <v>2</v>
      </c>
      <c r="AH368" s="176">
        <f t="shared" si="144"/>
        <v>8</v>
      </c>
      <c r="AI368" s="225">
        <f t="shared" si="145"/>
        <v>2.5000229704629406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1090">
        <f>IF(t&gt;Tmaj,'2025'!Wh/'2025'!Env_an*'2026'!Env_an,0.001*'[14]mon-tableau (2)'!$B$58)</f>
        <v>22.391527255679218</v>
      </c>
      <c r="C369" s="953"/>
      <c r="D369" s="393">
        <f t="shared" si="127"/>
        <v>23.982539259817496</v>
      </c>
      <c r="E369" s="385">
        <f t="shared" si="150"/>
        <v>24.912577446486523</v>
      </c>
      <c r="F369" s="385">
        <f t="shared" si="128"/>
        <v>24.923110959139994</v>
      </c>
      <c r="G369" s="110">
        <f t="shared" si="151"/>
        <v>0.92194886100889495</v>
      </c>
      <c r="H369" s="412" t="b">
        <f>Wh_hp&gt;='2025'!Maxi_hp</f>
        <v>0</v>
      </c>
      <c r="I369" s="390">
        <f>IF(H369,Wh_hp,'2025'!Maxi_hp)</f>
        <v>24.923788835957687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6.6340431549048007E-2</v>
      </c>
      <c r="M369" s="957"/>
      <c r="N369" s="957"/>
      <c r="O369" s="48">
        <f>IF(t&lt;Tnet,'2025'!Resal+('2025'!Salim-'2025'!Resal)*(1-EXP(('2025'!Tnet-t)/('2025'!Tau_j))),Resal+(Salim-Resal)*(1-EXP((Tnet-t)/(Tau_j))))*Salcycl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4.7564200076672183E-4</v>
      </c>
      <c r="Q369" s="305">
        <f t="shared" si="130"/>
        <v>0.7</v>
      </c>
      <c r="R369" s="177">
        <f t="shared" si="131"/>
        <v>0.97504264357354842</v>
      </c>
      <c r="S369" s="919">
        <f t="shared" si="132"/>
        <v>-2</v>
      </c>
      <c r="T369" s="176">
        <f t="shared" si="133"/>
        <v>4</v>
      </c>
      <c r="U369" s="251">
        <f t="shared" si="134"/>
        <v>-1.0249573564264516</v>
      </c>
      <c r="V369" s="383">
        <f t="shared" si="135"/>
        <v>24.285880609208405</v>
      </c>
      <c r="W369" s="402">
        <f t="shared" si="136"/>
        <v>22.391527255679218</v>
      </c>
      <c r="X369" s="157">
        <f t="shared" si="137"/>
        <v>46377</v>
      </c>
      <c r="Y369" s="385">
        <f t="shared" si="138"/>
        <v>21.36236577603723</v>
      </c>
      <c r="Z369" s="385">
        <f t="shared" si="139"/>
        <v>22.88025153694921</v>
      </c>
      <c r="AA369" s="386">
        <f t="shared" si="140"/>
        <v>24.616125640882316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7.051776259421498E-2</v>
      </c>
      <c r="AD369" s="231">
        <f>(INDEX(Models!$BJ369:$BT369,,AH369)*(1-AF369)+INDEX(Models!$BJ369:$BT369,,AH369+1)*AF369-ERP_i)*AE369*Ramure*Pc/MaxiM</f>
        <v>1.3861958093722178E-2</v>
      </c>
      <c r="AE369" s="305">
        <f t="shared" si="142"/>
        <v>0.7</v>
      </c>
      <c r="AF369" s="177">
        <f t="shared" si="143"/>
        <v>0.50003020994752756</v>
      </c>
      <c r="AG369" s="919">
        <f t="shared" si="149"/>
        <v>2</v>
      </c>
      <c r="AH369" s="176">
        <f t="shared" si="144"/>
        <v>8</v>
      </c>
      <c r="AI369" s="225">
        <f t="shared" si="145"/>
        <v>2.5000302099475276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1090">
        <f>IF(t&gt;Tmaj,'2025'!Wh/'2025'!Env_an*'2026'!Env_an,0.001*'[14]mon-tableau (2)'!$B$59)</f>
        <v>17.314466007312504</v>
      </c>
      <c r="C370" s="953"/>
      <c r="D370" s="393">
        <f t="shared" si="127"/>
        <v>18.545137683950582</v>
      </c>
      <c r="E370" s="385">
        <f t="shared" si="150"/>
        <v>19.26644373789393</v>
      </c>
      <c r="F370" s="385">
        <f t="shared" si="128"/>
        <v>19.271807752977118</v>
      </c>
      <c r="G370" s="110">
        <f t="shared" si="151"/>
        <v>0.71097234496335671</v>
      </c>
      <c r="H370" s="412" t="b">
        <f>Wh_hp&gt;='2025'!Maxi_hp</f>
        <v>0</v>
      </c>
      <c r="I370" s="390">
        <f>IF(H370,Wh_hp,'2025'!Maxi_hp)</f>
        <v>27.058641236912877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6.6360881089771118E-2</v>
      </c>
      <c r="M370" s="957"/>
      <c r="N370" s="957"/>
      <c r="O370" s="48">
        <f>IF(t&lt;Tnet,'2025'!Resal+('2025'!Salim-'2025'!Resal)*(1-EXP(('2025'!Tnet-t)/('2025'!Tau_j))),Resal+(Salim-Resal)*(1-EXP((Tnet-t)/(Tau_j))))*Salcycl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4.7392103448023028E-4</v>
      </c>
      <c r="Q370" s="305">
        <f t="shared" si="130"/>
        <v>0.7</v>
      </c>
      <c r="R370" s="177">
        <f t="shared" si="131"/>
        <v>0.97504959177234585</v>
      </c>
      <c r="S370" s="919">
        <f t="shared" si="132"/>
        <v>-2</v>
      </c>
      <c r="T370" s="176">
        <f t="shared" si="133"/>
        <v>4</v>
      </c>
      <c r="U370" s="251">
        <f t="shared" si="134"/>
        <v>-1.0249504082276542</v>
      </c>
      <c r="V370" s="383">
        <f t="shared" si="135"/>
        <v>24.348455627278401</v>
      </c>
      <c r="W370" s="402">
        <f t="shared" si="136"/>
        <v>17.314466007312504</v>
      </c>
      <c r="X370" s="157">
        <f t="shared" si="137"/>
        <v>46378</v>
      </c>
      <c r="Y370" s="385">
        <f t="shared" si="138"/>
        <v>16.587219193682127</v>
      </c>
      <c r="Z370" s="385">
        <f t="shared" si="139"/>
        <v>17.76619987072009</v>
      </c>
      <c r="AA370" s="386">
        <f t="shared" si="140"/>
        <v>19.115481402285322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7.058579918389711E-2</v>
      </c>
      <c r="AD370" s="231">
        <f>(INDEX(Models!$BJ370:$BT370,,AH370)*(1-AF370)+INDEX(Models!$BJ370:$BT370,,AH370+1)*AF370-ERP_i)*AE370*Ramure*Pc/MaxiM</f>
        <v>1.381173331681455E-2</v>
      </c>
      <c r="AE370" s="305">
        <f t="shared" si="142"/>
        <v>0.7</v>
      </c>
      <c r="AF370" s="177">
        <f t="shared" si="143"/>
        <v>0.50003715814632477</v>
      </c>
      <c r="AG370" s="919">
        <f t="shared" si="149"/>
        <v>2</v>
      </c>
      <c r="AH370" s="176">
        <f t="shared" si="144"/>
        <v>8</v>
      </c>
      <c r="AI370" s="225">
        <f t="shared" si="145"/>
        <v>2.5000371581463248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1090">
        <f>IF(t&gt;Tmaj,'2025'!Wh/'2025'!Env_an*'2026'!Env_an,0.001*'[14]mon-tableau (2)'!$B$60)</f>
        <v>17.859770298470952</v>
      </c>
      <c r="C371" s="953"/>
      <c r="D371" s="393">
        <f t="shared" si="127"/>
        <v>19.129619914267526</v>
      </c>
      <c r="E371" s="385">
        <f t="shared" si="150"/>
        <v>19.875858487145297</v>
      </c>
      <c r="F371" s="385">
        <f t="shared" si="128"/>
        <v>19.881636643485812</v>
      </c>
      <c r="G371" s="110">
        <f t="shared" si="151"/>
        <v>0.73120461881681587</v>
      </c>
      <c r="H371" s="412" t="b">
        <f>Wh_hp&gt;='2025'!Maxi_hp</f>
        <v>0</v>
      </c>
      <c r="I371" s="390">
        <f>IF(H371,Wh_hp,'2025'!Maxi_hp)</f>
        <v>22.375250435644084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6.6381330182596954E-2</v>
      </c>
      <c r="M371" s="957"/>
      <c r="N371" s="957"/>
      <c r="O371" s="48">
        <f>IF(t&lt;Tnet,'2025'!Resal+('2025'!Salim-'2025'!Resal)*(1-EXP(('2025'!Tnet-t)/('2025'!Tau_j))),Resal+(Salim-Resal)*(1-EXP((Tnet-t)/(Tau_j))))*Salcycl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4.7164847864602334E-4</v>
      </c>
      <c r="Q371" s="305">
        <f t="shared" si="130"/>
        <v>0.7</v>
      </c>
      <c r="R371" s="177">
        <f t="shared" si="131"/>
        <v>0.97504959177234585</v>
      </c>
      <c r="S371" s="919">
        <f t="shared" si="132"/>
        <v>-2</v>
      </c>
      <c r="T371" s="176">
        <f t="shared" si="133"/>
        <v>4</v>
      </c>
      <c r="U371" s="251">
        <f t="shared" si="134"/>
        <v>-1.0249504082276542</v>
      </c>
      <c r="V371" s="383">
        <f t="shared" si="135"/>
        <v>24.420710579996246</v>
      </c>
      <c r="W371" s="402">
        <f t="shared" si="136"/>
        <v>17.859770298470952</v>
      </c>
      <c r="X371" s="157">
        <f t="shared" si="137"/>
        <v>46379</v>
      </c>
      <c r="Y371" s="385">
        <f t="shared" si="138"/>
        <v>17.103938166523481</v>
      </c>
      <c r="Z371" s="385">
        <f t="shared" si="139"/>
        <v>18.320047273549772</v>
      </c>
      <c r="AA371" s="386">
        <f t="shared" si="140"/>
        <v>19.712842929651686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7.0654225829948569E-2</v>
      </c>
      <c r="AD371" s="231">
        <f>(INDEX(Models!$BJ371:$BT371,,AH371)*(1-AF371)+INDEX(Models!$BJ371:$BT371,,AH371+1)*AF371-ERP_i)*AE371*Ramure*Pc/MaxiM</f>
        <v>1.3777975818453695E-2</v>
      </c>
      <c r="AE371" s="305">
        <f t="shared" si="142"/>
        <v>0.7</v>
      </c>
      <c r="AF371" s="177">
        <f t="shared" si="143"/>
        <v>0.50003715814632477</v>
      </c>
      <c r="AG371" s="919">
        <f t="shared" si="149"/>
        <v>2</v>
      </c>
      <c r="AH371" s="176">
        <f t="shared" si="144"/>
        <v>8</v>
      </c>
      <c r="AI371" s="225">
        <f t="shared" si="145"/>
        <v>2.5000371581463248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1090">
        <f>IF(t&gt;Tmaj,'2025'!Wh/'2025'!Env_an*'2026'!Env_an,0.001*'[14]mon-tableau (2)'!$B$61)</f>
        <v>23.408253525632798</v>
      </c>
      <c r="C372" s="953"/>
      <c r="D372" s="393">
        <f t="shared" si="127"/>
        <v>25.073155662438392</v>
      </c>
      <c r="E372" s="385">
        <f t="shared" si="150"/>
        <v>26.054135119382266</v>
      </c>
      <c r="F372" s="385">
        <f t="shared" si="128"/>
        <v>26.065576317399508</v>
      </c>
      <c r="G372" s="110">
        <f t="shared" si="151"/>
        <v>0.95532541617084399</v>
      </c>
      <c r="H372" s="412" t="b">
        <f>Wh_hp&gt;='2025'!Maxi_hp</f>
        <v>0</v>
      </c>
      <c r="I372" s="390">
        <f>IF(H372,Wh_hp,'2025'!Maxi_hp)</f>
        <v>26.065976294178245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6.6401778827535063E-2</v>
      </c>
      <c r="M372" s="957"/>
      <c r="N372" s="957"/>
      <c r="O372" s="48">
        <f>IF(t&lt;Tnet,'2025'!Resal+('2025'!Salim-'2025'!Resal)*(1-EXP(('2025'!Tnet-t)/('2025'!Tau_j))),Resal+(Salim-Resal)*(1-EXP((Tnet-t)/(Tau_j))))*Salcycl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4.6884172838256288E-4</v>
      </c>
      <c r="Q372" s="305">
        <f t="shared" si="130"/>
        <v>0.7</v>
      </c>
      <c r="R372" s="177">
        <f t="shared" si="131"/>
        <v>0.97504959177234585</v>
      </c>
      <c r="S372" s="919">
        <f t="shared" si="132"/>
        <v>-2</v>
      </c>
      <c r="T372" s="176">
        <f t="shared" si="133"/>
        <v>4</v>
      </c>
      <c r="U372" s="251">
        <f t="shared" si="134"/>
        <v>-1.0249504082276542</v>
      </c>
      <c r="V372" s="383">
        <f t="shared" si="135"/>
        <v>24.502177845787532</v>
      </c>
      <c r="W372" s="402">
        <f t="shared" si="136"/>
        <v>23.408253525632798</v>
      </c>
      <c r="X372" s="157">
        <f t="shared" si="137"/>
        <v>46380</v>
      </c>
      <c r="Y372" s="385">
        <f t="shared" si="138"/>
        <v>22.322412955980248</v>
      </c>
      <c r="Z372" s="385">
        <f t="shared" si="139"/>
        <v>23.910085141278987</v>
      </c>
      <c r="AA372" s="386">
        <f t="shared" si="140"/>
        <v>25.729771929345166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7.0723004971171274E-2</v>
      </c>
      <c r="AD372" s="231">
        <f>(INDEX(Models!$BJ372:$BT372,,AH372)*(1-AF372)+INDEX(Models!$BJ372:$BT372,,AH372+1)*AF372-ERP_i)*AE372*Ramure*Pc/MaxiM</f>
        <v>1.376071889120108E-2</v>
      </c>
      <c r="AE372" s="305">
        <f t="shared" si="142"/>
        <v>0.7</v>
      </c>
      <c r="AF372" s="177">
        <f t="shared" si="143"/>
        <v>0.50003715814632477</v>
      </c>
      <c r="AG372" s="919">
        <f t="shared" si="149"/>
        <v>2</v>
      </c>
      <c r="AH372" s="176">
        <f t="shared" si="144"/>
        <v>8</v>
      </c>
      <c r="AI372" s="225">
        <f t="shared" si="145"/>
        <v>2.5000371581463248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1090">
        <f>IF(t&gt;Tmaj,'2025'!Wh/'2025'!Env_an*'2026'!Env_an,0.001*'[14]mon-tableau (2)'!$B$62)</f>
        <v>13.711397289813936</v>
      </c>
      <c r="C373" s="953"/>
      <c r="D373" s="393">
        <f t="shared" si="127"/>
        <v>14.686936307528358</v>
      </c>
      <c r="E373" s="385">
        <f t="shared" si="150"/>
        <v>15.263250364442261</v>
      </c>
      <c r="F373" s="385">
        <f t="shared" si="128"/>
        <v>15.265863509959029</v>
      </c>
      <c r="G373" s="110">
        <f t="shared" si="151"/>
        <v>0.5572815976666029</v>
      </c>
      <c r="H373" s="412" t="b">
        <f>Wh_hp&gt;='2025'!Maxi_hp</f>
        <v>0</v>
      </c>
      <c r="I373" s="390">
        <f>IF(H373,Wh_hp,'2025'!Maxi_hp)</f>
        <v>18.791308820692279</v>
      </c>
      <c r="J373" s="85">
        <f>IF(H373,An,'2025'!An_max)</f>
        <v>2019</v>
      </c>
      <c r="K373" s="197">
        <f t="shared" si="129"/>
        <v>46381</v>
      </c>
      <c r="L373" s="147">
        <f>IF(t&lt;Tvie,1-EXP((T0-t)*PertePVj)+'2025'!Pspv,1-EXP((T0-t)*PertePVj)+Pspv)</f>
        <v>6.6422227024595437E-2</v>
      </c>
      <c r="M373" s="957"/>
      <c r="N373" s="957"/>
      <c r="O373" s="48">
        <f>IF(t&lt;Tnet,'2025'!Resal+('2025'!Salim-'2025'!Resal)*(1-EXP(('2025'!Tnet-t)/('2025'!Tau_j))),Resal+(Salim-Resal)*(1-EXP((Tnet-t)/(Tau_j))))*Salcycl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4.6543034006911108E-4</v>
      </c>
      <c r="Q373" s="305">
        <f t="shared" si="130"/>
        <v>0.7</v>
      </c>
      <c r="R373" s="177">
        <f t="shared" si="131"/>
        <v>0.97504959177234585</v>
      </c>
      <c r="S373" s="919">
        <f t="shared" si="132"/>
        <v>-2</v>
      </c>
      <c r="T373" s="176">
        <f t="shared" si="133"/>
        <v>4</v>
      </c>
      <c r="U373" s="251">
        <f t="shared" si="134"/>
        <v>-1.0249504082276542</v>
      </c>
      <c r="V373" s="383">
        <f t="shared" si="135"/>
        <v>24.596832220481467</v>
      </c>
      <c r="W373" s="402">
        <f t="shared" si="136"/>
        <v>13.711397289813936</v>
      </c>
      <c r="X373" s="157">
        <f t="shared" si="137"/>
        <v>46381</v>
      </c>
      <c r="Y373" s="385">
        <f t="shared" si="138"/>
        <v>13.175945625000658</v>
      </c>
      <c r="Z373" s="385">
        <f t="shared" si="139"/>
        <v>14.113388307229743</v>
      </c>
      <c r="AA373" s="386">
        <f t="shared" si="140"/>
        <v>15.188622820419905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7.0792100502001659E-2</v>
      </c>
      <c r="AD373" s="231">
        <f>(INDEX(Models!$BJ373:$BT373,,AH373)*(1-AF373)+INDEX(Models!$BJ373:$BT373,,AH373+1)*AF373-ERP_i)*AE373*Ramure*Pc/MaxiM</f>
        <v>1.3757427655167879E-2</v>
      </c>
      <c r="AE373" s="305">
        <f t="shared" si="142"/>
        <v>0.7</v>
      </c>
      <c r="AF373" s="177">
        <f t="shared" si="143"/>
        <v>0.50003715814632477</v>
      </c>
      <c r="AG373" s="919">
        <f t="shared" si="149"/>
        <v>2</v>
      </c>
      <c r="AH373" s="176">
        <f t="shared" si="144"/>
        <v>8</v>
      </c>
      <c r="AI373" s="225">
        <f t="shared" si="145"/>
        <v>2.5000371581463248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1090">
        <f>IF(t&gt;Tmaj,'2025'!Wh/'2025'!Env_an*'2026'!Env_an,0.001*'[14]mon-tableau (2)'!$B$63)</f>
        <v>22.6359838231573</v>
      </c>
      <c r="C374" s="953"/>
      <c r="D374" s="393">
        <f t="shared" si="127"/>
        <v>24.247020736163499</v>
      </c>
      <c r="E374" s="385">
        <f t="shared" si="150"/>
        <v>25.201267728531217</v>
      </c>
      <c r="F374" s="385">
        <f t="shared" si="128"/>
        <v>25.211505843851352</v>
      </c>
      <c r="G374" s="110">
        <f t="shared" si="151"/>
        <v>0.91608853331730344</v>
      </c>
      <c r="H374" s="412" t="b">
        <f>Wh_hp&gt;='2025'!Maxi_hp</f>
        <v>0</v>
      </c>
      <c r="I374" s="390">
        <f>IF(H374,Wh_hp,'2025'!Maxi_hp)</f>
        <v>26.329619230701343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6.6442674773787735E-2</v>
      </c>
      <c r="M374" s="957"/>
      <c r="N374" s="957"/>
      <c r="O374" s="48">
        <f>IF(t&lt;Tnet,'2025'!Resal+('2025'!Salim-'2025'!Resal)*(1-EXP(('2025'!Tnet-t)/('2025'!Tau_j))),Resal+(Salim-Resal)*(1-EXP((Tnet-t)/(Tau_j))))*Salcycl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4.6136053006372248E-4</v>
      </c>
      <c r="Q374" s="305">
        <f t="shared" si="130"/>
        <v>0.7</v>
      </c>
      <c r="R374" s="177">
        <f t="shared" si="131"/>
        <v>0.97504959177234585</v>
      </c>
      <c r="S374" s="919">
        <f t="shared" si="132"/>
        <v>-2</v>
      </c>
      <c r="T374" s="176">
        <f t="shared" si="133"/>
        <v>4</v>
      </c>
      <c r="U374" s="251">
        <f t="shared" si="134"/>
        <v>-1.0249504082276542</v>
      </c>
      <c r="V374" s="383">
        <f t="shared" si="135"/>
        <v>24.708018238771253</v>
      </c>
      <c r="W374" s="402">
        <f t="shared" si="136"/>
        <v>22.6359838231573</v>
      </c>
      <c r="X374" s="157">
        <f t="shared" si="137"/>
        <v>46382</v>
      </c>
      <c r="Y374" s="385">
        <f t="shared" si="138"/>
        <v>21.603586788356296</v>
      </c>
      <c r="Z374" s="385">
        <f t="shared" si="139"/>
        <v>23.1411464562409</v>
      </c>
      <c r="AA374" s="386">
        <f t="shared" si="140"/>
        <v>24.906024135908552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7.0861477931482328E-2</v>
      </c>
      <c r="AD374" s="231">
        <f>(INDEX(Models!$BJ374:$BT374,,AH374)*(1-AF374)+INDEX(Models!$BJ374:$BT374,,AH374+1)*AF374-ERP_i)*AE374*Ramure*Pc/MaxiM</f>
        <v>1.3765932331713285E-2</v>
      </c>
      <c r="AE374" s="305">
        <f t="shared" si="142"/>
        <v>0.7</v>
      </c>
      <c r="AF374" s="177">
        <f t="shared" si="143"/>
        <v>0.50003715814632477</v>
      </c>
      <c r="AG374" s="919">
        <f t="shared" si="149"/>
        <v>2</v>
      </c>
      <c r="AH374" s="176">
        <f t="shared" si="144"/>
        <v>8</v>
      </c>
      <c r="AI374" s="225">
        <f t="shared" si="145"/>
        <v>2.5000371581463248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1090">
        <f>IF(t&gt;Tmaj,'2025'!Wh/'2025'!Env_an*'2026'!Env_an,0.001*'[14]mon-tableau (2)'!$B$64)</f>
        <v>6.1475212650344186</v>
      </c>
      <c r="C375" s="953"/>
      <c r="D375" s="393">
        <f t="shared" si="127"/>
        <v>6.5851938047691254</v>
      </c>
      <c r="E375" s="385">
        <f t="shared" si="150"/>
        <v>6.8451155054807362</v>
      </c>
      <c r="F375" s="385">
        <f t="shared" si="128"/>
        <v>6.8451155054807362</v>
      </c>
      <c r="G375" s="110">
        <f t="shared" si="151"/>
        <v>0.24742827470014822</v>
      </c>
      <c r="H375" s="412" t="b">
        <f>Wh_hp&gt;='2025'!Maxi_hp</f>
        <v>0</v>
      </c>
      <c r="I375" s="390">
        <f>IF(H375,Wh_hp,'2025'!Maxi_hp)</f>
        <v>27.615988001355355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6.646312207512195E-2</v>
      </c>
      <c r="M375" s="957"/>
      <c r="N375" s="957"/>
      <c r="O375" s="48">
        <f>IF(t&lt;Tnet,'2025'!Resal+('2025'!Salim-'2025'!Resal)*(1-EXP(('2025'!Tnet-t)/('2025'!Tau_j))),Resal+(Salim-Resal)*(1-EXP((Tnet-t)/(Tau_j))))*Salcycl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4.5687475750030566E-4</v>
      </c>
      <c r="Q375" s="305">
        <f t="shared" si="130"/>
        <v>0.7</v>
      </c>
      <c r="R375" s="177">
        <f t="shared" si="131"/>
        <v>0.97504959177234585</v>
      </c>
      <c r="S375" s="919">
        <f t="shared" si="132"/>
        <v>-2</v>
      </c>
      <c r="T375" s="176">
        <f t="shared" si="133"/>
        <v>4</v>
      </c>
      <c r="U375" s="251">
        <f t="shared" si="134"/>
        <v>-1.0249504082276542</v>
      </c>
      <c r="V375" s="383">
        <f t="shared" si="135"/>
        <v>24.83431865333031</v>
      </c>
      <c r="W375" s="402">
        <f t="shared" si="136"/>
        <v>6.1475212650344186</v>
      </c>
      <c r="X375" s="157">
        <f t="shared" si="137"/>
        <v>46383</v>
      </c>
      <c r="Y375" s="385">
        <f t="shared" si="138"/>
        <v>5.9369061008597575</v>
      </c>
      <c r="Z375" s="385">
        <f t="shared" si="139"/>
        <v>6.3595839020914413</v>
      </c>
      <c r="AA375" s="386">
        <f t="shared" si="140"/>
        <v>6.8451155054807362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7.0931104522712604E-2</v>
      </c>
      <c r="AD375" s="231">
        <f>(INDEX(Models!$BJ375:$BT375,,AH375)*(1-AF375)+INDEX(Models!$BJ375:$BT375,,AH375+1)*AF375-ERP_i)*AE375*Ramure*Pc/MaxiM</f>
        <v>1.3790885416831631E-2</v>
      </c>
      <c r="AE375" s="305">
        <f t="shared" si="142"/>
        <v>0.7</v>
      </c>
      <c r="AF375" s="177">
        <f t="shared" si="143"/>
        <v>0.50003715814632477</v>
      </c>
      <c r="AG375" s="919">
        <f t="shared" si="149"/>
        <v>2</v>
      </c>
      <c r="AH375" s="176">
        <f t="shared" si="144"/>
        <v>8</v>
      </c>
      <c r="AI375" s="225">
        <f t="shared" si="145"/>
        <v>2.5000371581463248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1090">
        <f>IF(t&gt;Tmaj,'2025'!Wh/'2025'!Env_an*'2026'!Env_an,0.001*'[14]mon-tableau (2)'!$B$65)</f>
        <v>23.965222658228114</v>
      </c>
      <c r="C376" s="953"/>
      <c r="D376" s="393">
        <f t="shared" si="127"/>
        <v>25.671988044948865</v>
      </c>
      <c r="E376" s="385">
        <f t="shared" si="150"/>
        <v>26.68824147303248</v>
      </c>
      <c r="F376" s="385">
        <f t="shared" si="128"/>
        <v>26.699618567294674</v>
      </c>
      <c r="G376" s="110">
        <f t="shared" si="151"/>
        <v>0.95956966599774574</v>
      </c>
      <c r="H376" s="412" t="b">
        <f>Wh_hp&gt;='2025'!Maxi_hp</f>
        <v>0</v>
      </c>
      <c r="I376" s="390">
        <f>IF(H376,Wh_hp,'2025'!Maxi_hp)</f>
        <v>26.6999762014207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6.6483568928607739E-2</v>
      </c>
      <c r="M376" s="957"/>
      <c r="N376" s="957"/>
      <c r="O376" s="48">
        <f>IF(t&lt;Tnet,'2025'!Resal+('2025'!Salim-'2025'!Resal)*(1-EXP(('2025'!Tnet-t)/('2025'!Tau_j))),Resal+(Salim-Resal)*(1-EXP((Tnet-t)/(Tau_j))))*Salcycl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4.522172927003436E-4</v>
      </c>
      <c r="Q376" s="305">
        <f t="shared" si="130"/>
        <v>0.7</v>
      </c>
      <c r="R376" s="177">
        <f t="shared" si="131"/>
        <v>0.97504959177234585</v>
      </c>
      <c r="S376" s="919">
        <f t="shared" si="132"/>
        <v>-2</v>
      </c>
      <c r="T376" s="176">
        <f t="shared" si="133"/>
        <v>4</v>
      </c>
      <c r="U376" s="251">
        <f t="shared" si="134"/>
        <v>-1.0249504082276542</v>
      </c>
      <c r="V376" s="383">
        <f t="shared" si="135"/>
        <v>24.974316801771597</v>
      </c>
      <c r="W376" s="402">
        <f t="shared" si="136"/>
        <v>23.965222658228114</v>
      </c>
      <c r="X376" s="157">
        <f t="shared" si="137"/>
        <v>46384</v>
      </c>
      <c r="Y376" s="385">
        <f t="shared" si="138"/>
        <v>22.853274890453434</v>
      </c>
      <c r="Z376" s="385">
        <f t="shared" si="139"/>
        <v>24.480849109666813</v>
      </c>
      <c r="AA376" s="386">
        <f t="shared" si="140"/>
        <v>26.351855897135774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7.1000949412155914E-2</v>
      </c>
      <c r="AD376" s="231">
        <f>(INDEX(Models!$BJ376:$BT376,,AH376)*(1-AF376)+INDEX(Models!$BJ376:$BT376,,AH376+1)*AF376-ERP_i)*AE376*Ramure*Pc/MaxiM</f>
        <v>1.3822887424260513E-2</v>
      </c>
      <c r="AE376" s="305">
        <f t="shared" si="142"/>
        <v>0.7</v>
      </c>
      <c r="AF376" s="177">
        <f t="shared" si="143"/>
        <v>0.50003715814632477</v>
      </c>
      <c r="AG376" s="919">
        <f t="shared" si="149"/>
        <v>2</v>
      </c>
      <c r="AH376" s="176">
        <f t="shared" si="144"/>
        <v>8</v>
      </c>
      <c r="AI376" s="225">
        <f t="shared" si="145"/>
        <v>2.5000371581463248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1090">
        <f>IF(t&gt;Tmaj,'2025'!Wh/'2025'!Env_an*'2026'!Env_an,0.001*'[14]mon-tableau (2)'!$B$66)</f>
        <v>10.43494623282967</v>
      </c>
      <c r="C377" s="953"/>
      <c r="D377" s="393">
        <f t="shared" si="127"/>
        <v>11.178351491855736</v>
      </c>
      <c r="E377" s="385">
        <f t="shared" si="150"/>
        <v>11.622149807346711</v>
      </c>
      <c r="F377" s="385">
        <f t="shared" si="128"/>
        <v>11.623006342295072</v>
      </c>
      <c r="G377" s="110">
        <f t="shared" si="151"/>
        <v>0.41513954602189279</v>
      </c>
      <c r="H377" s="412" t="b">
        <f>Wh_hp&gt;='2025'!Maxi_hp</f>
        <v>0</v>
      </c>
      <c r="I377" s="390">
        <f>IF(H377,Wh_hp,'2025'!Maxi_hp)</f>
        <v>27.222037432287717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6.6504015334254984E-2</v>
      </c>
      <c r="M377" s="957"/>
      <c r="N377" s="957"/>
      <c r="O377" s="48">
        <f>IF(t&lt;Tnet,'2025'!Resal+('2025'!Salim-'2025'!Resal)*(1-EXP(('2025'!Tnet-t)/('2025'!Tau_j))),Resal+(Salim-Resal)*(1-EXP((Tnet-t)/(Tau_j))))*Salcycl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4.4741966438278035E-4</v>
      </c>
      <c r="Q377" s="305">
        <f t="shared" si="130"/>
        <v>0.7</v>
      </c>
      <c r="R377" s="177">
        <f t="shared" si="131"/>
        <v>0.97504959177234585</v>
      </c>
      <c r="S377" s="919">
        <f t="shared" si="132"/>
        <v>-2</v>
      </c>
      <c r="T377" s="176">
        <f t="shared" si="133"/>
        <v>4</v>
      </c>
      <c r="U377" s="251">
        <f t="shared" si="134"/>
        <v>-1.0249504082276542</v>
      </c>
      <c r="V377" s="383">
        <f t="shared" si="135"/>
        <v>25.126601954434054</v>
      </c>
      <c r="W377" s="402">
        <f t="shared" si="136"/>
        <v>10.43494623282967</v>
      </c>
      <c r="X377" s="157">
        <f t="shared" si="137"/>
        <v>46385</v>
      </c>
      <c r="Y377" s="385">
        <f t="shared" si="138"/>
        <v>10.055894913947622</v>
      </c>
      <c r="Z377" s="385">
        <f t="shared" si="139"/>
        <v>10.772295841795522</v>
      </c>
      <c r="AA377" s="386">
        <f t="shared" si="140"/>
        <v>11.596468247702665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7.1070983708373198E-2</v>
      </c>
      <c r="AD377" s="231">
        <f>(INDEX(Models!$BJ377:$BT377,,AH377)*(1-AF377)+INDEX(Models!$BJ377:$BT377,,AH377+1)*AF377-ERP_i)*AE377*Ramure*Pc/MaxiM</f>
        <v>1.3862441221589942E-2</v>
      </c>
      <c r="AE377" s="305">
        <f t="shared" si="142"/>
        <v>0.7</v>
      </c>
      <c r="AF377" s="177">
        <f t="shared" si="143"/>
        <v>0.50003715814632477</v>
      </c>
      <c r="AG377" s="919">
        <f t="shared" si="149"/>
        <v>2</v>
      </c>
      <c r="AH377" s="176">
        <f t="shared" si="144"/>
        <v>8</v>
      </c>
      <c r="AI377" s="225">
        <f t="shared" si="145"/>
        <v>2.5000371581463248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1090">
        <f>IF(t&gt;Tmaj,'2025'!Wh/'2025'!Env_an*'2026'!Env_an,0.001*'[14]mon-tableau (2)'!$B$67)</f>
        <v>14.9867064235592</v>
      </c>
      <c r="C378" s="953"/>
      <c r="D378" s="393">
        <f t="shared" si="127"/>
        <v>16.054739307152175</v>
      </c>
      <c r="E378" s="385">
        <f t="shared" si="150"/>
        <v>16.693992923077815</v>
      </c>
      <c r="F378" s="385">
        <f t="shared" si="128"/>
        <v>16.697081381037886</v>
      </c>
      <c r="G378" s="110">
        <f t="shared" si="151"/>
        <v>0.59244704431696649</v>
      </c>
      <c r="H378" s="412" t="b">
        <f>Wh_hp&gt;='2025'!Maxi_hp</f>
        <v>0</v>
      </c>
      <c r="I378" s="390">
        <f>IF(H378,Wh_hp,'2025'!Maxi_hp)</f>
        <v>27.784365944966957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6.6524461292073456E-2</v>
      </c>
      <c r="M378" s="957"/>
      <c r="N378" s="957"/>
      <c r="O378" s="48">
        <f>IF(t&lt;Tnet,'2025'!Resal+('2025'!Salim-'2025'!Resal)*(1-EXP(('2025'!Tnet-t)/('2025'!Tau_j))),Resal+(Salim-Resal)*(1-EXP((Tnet-t)/(Tau_j))))*Salcycl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4.4251225794265811E-4</v>
      </c>
      <c r="Q378" s="305">
        <f t="shared" si="130"/>
        <v>0.7</v>
      </c>
      <c r="R378" s="177">
        <f t="shared" si="131"/>
        <v>0.97504959177234585</v>
      </c>
      <c r="S378" s="919">
        <f t="shared" si="132"/>
        <v>-2</v>
      </c>
      <c r="T378" s="176">
        <f t="shared" si="133"/>
        <v>4</v>
      </c>
      <c r="U378" s="251">
        <f t="shared" si="134"/>
        <v>-1.0249504082276542</v>
      </c>
      <c r="V378" s="383">
        <f t="shared" si="135"/>
        <v>25.289764109629598</v>
      </c>
      <c r="W378" s="402">
        <f t="shared" si="136"/>
        <v>14.9867064235592</v>
      </c>
      <c r="X378" s="157">
        <f t="shared" si="137"/>
        <v>46386</v>
      </c>
      <c r="Y378" s="385">
        <f t="shared" si="138"/>
        <v>14.393310324955401</v>
      </c>
      <c r="Z378" s="385">
        <f t="shared" si="139"/>
        <v>15.419054627695925</v>
      </c>
      <c r="AA378" s="386">
        <f t="shared" si="140"/>
        <v>16.599998089221987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7.1141180569943813E-2</v>
      </c>
      <c r="AD378" s="231">
        <f>(INDEX(Models!$BJ378:$BT378,,AH378)*(1-AF378)+INDEX(Models!$BJ378:$BT378,,AH378+1)*AF378-ERP_i)*AE378*Ramure*Pc/MaxiM</f>
        <v>1.3910031227669631E-2</v>
      </c>
      <c r="AE378" s="305">
        <f t="shared" si="142"/>
        <v>0.7</v>
      </c>
      <c r="AF378" s="177">
        <f t="shared" si="143"/>
        <v>0.50003715814632477</v>
      </c>
      <c r="AG378" s="919">
        <f t="shared" si="149"/>
        <v>2</v>
      </c>
      <c r="AH378" s="176">
        <f t="shared" si="144"/>
        <v>8</v>
      </c>
      <c r="AI378" s="225">
        <f t="shared" si="145"/>
        <v>2.5000371581463248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1090">
        <f>IF(t&gt;Tmaj,'2025'!Wh/'2025'!Env_an*'2026'!Env_an,0.001*'[14]mon-tableau (2)'!$B$68)</f>
        <v>11.333218704952248</v>
      </c>
      <c r="C379" s="953"/>
      <c r="D379" s="393">
        <f t="shared" si="127"/>
        <v>12.14115042870004</v>
      </c>
      <c r="E379" s="385">
        <f t="shared" si="150"/>
        <v>12.625979189152849</v>
      </c>
      <c r="F379" s="385">
        <f t="shared" si="128"/>
        <v>12.62712434590016</v>
      </c>
      <c r="G379" s="110">
        <f t="shared" si="151"/>
        <v>0.44494196459295832</v>
      </c>
      <c r="H379" s="412" t="b">
        <f>Wh_hp&gt;='2025'!Maxi_hp</f>
        <v>0</v>
      </c>
      <c r="I379" s="390">
        <f>IF(H379,Wh_hp,'2025'!Maxi_hp)</f>
        <v>28.039920073924794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6.6544906802072923E-2</v>
      </c>
      <c r="M379" s="957"/>
      <c r="N379" s="957"/>
      <c r="O379" s="48">
        <f>IF(t&lt;Tnet,'2025'!Resal+('2025'!Salim-'2025'!Resal)*(1-EXP(('2025'!Tnet-t)/('2025'!Tau_j))),Resal+(Salim-Resal)*(1-EXP((Tnet-t)/(Tau_j))))*Salcycl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4.3752414241243764E-4</v>
      </c>
      <c r="Q379" s="306">
        <f t="shared" si="130"/>
        <v>0.7</v>
      </c>
      <c r="R379" s="177">
        <f t="shared" si="131"/>
        <v>0.97504959177234585</v>
      </c>
      <c r="S379" s="919">
        <f t="shared" si="132"/>
        <v>-2</v>
      </c>
      <c r="T379" s="176">
        <f t="shared" si="133"/>
        <v>4</v>
      </c>
      <c r="U379" s="307">
        <f t="shared" si="134"/>
        <v>-1.0249504082276542</v>
      </c>
      <c r="V379" s="383">
        <f t="shared" si="135"/>
        <v>25.462393986962049</v>
      </c>
      <c r="W379" s="402">
        <f t="shared" si="136"/>
        <v>11.333218704952248</v>
      </c>
      <c r="X379" s="157">
        <f t="shared" si="137"/>
        <v>46387</v>
      </c>
      <c r="Y379" s="385">
        <f t="shared" si="138"/>
        <v>10.915801872606954</v>
      </c>
      <c r="Z379" s="385">
        <f t="shared" si="139"/>
        <v>11.69397644530544</v>
      </c>
      <c r="AA379" s="386">
        <f t="shared" si="140"/>
        <v>12.590570014022942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7.121151526252649E-2</v>
      </c>
      <c r="AD379" s="231">
        <f>(INDEX(Models!$BJ379:$BT379,,AH379)*(1-AF379)+INDEX(Models!$BJ379:$BT379,,AH379+1)*AF379-ERP_i)*AE379*Ramure*Pc/MaxiM</f>
        <v>1.3966125374183387E-2</v>
      </c>
      <c r="AE379" s="306">
        <f t="shared" si="142"/>
        <v>0.7</v>
      </c>
      <c r="AF379" s="177">
        <f t="shared" si="143"/>
        <v>0.50003715814632477</v>
      </c>
      <c r="AG379" s="919">
        <f t="shared" si="149"/>
        <v>2</v>
      </c>
      <c r="AH379" s="176">
        <f t="shared" si="144"/>
        <v>8</v>
      </c>
      <c r="AI379" s="222">
        <f t="shared" si="145"/>
        <v>2.5000371581463248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961"/>
      <c r="D380" s="401"/>
      <c r="E380" s="387"/>
      <c r="F380" s="387"/>
      <c r="G380" s="122"/>
      <c r="H380" s="412" t="b">
        <f>Wh_hp&gt;='2025'!Maxi_hp</f>
        <v>0</v>
      </c>
      <c r="I380" s="390">
        <f>IF(H380,Wh_hp,'2025'!Maxi_hp)</f>
        <v>18.090408885249197</v>
      </c>
      <c r="J380" s="85">
        <f>IF(H380,An,'2025'!An_max)</f>
        <v>2024</v>
      </c>
      <c r="K380" s="234"/>
      <c r="L380" s="214"/>
      <c r="M380" s="962"/>
      <c r="N380" s="962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5.9073077206924229E-2</v>
      </c>
      <c r="M381" s="959"/>
      <c r="N381" s="959"/>
      <c r="O381" s="47">
        <f t="shared" si="152"/>
        <v>8.0885102312609237E-3</v>
      </c>
      <c r="P381" s="168">
        <f t="shared" si="152"/>
        <v>3.7246212524887434E-5</v>
      </c>
      <c r="Q381" s="310">
        <f t="shared" si="152"/>
        <v>0.7</v>
      </c>
      <c r="R381" s="311">
        <f t="shared" si="152"/>
        <v>0.47505086480851677</v>
      </c>
      <c r="S381" s="919">
        <f t="shared" si="152"/>
        <v>-2</v>
      </c>
      <c r="T381" s="176">
        <f t="shared" si="152"/>
        <v>4</v>
      </c>
      <c r="U381" s="252">
        <f>MIN(U15:U380)</f>
        <v>-1.5249491351914832</v>
      </c>
      <c r="V381" s="57">
        <f>MIN(V15:V380)</f>
        <v>24.13457990097648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5.1153422845989734E-2</v>
      </c>
      <c r="AD381" s="168">
        <f t="shared" si="153"/>
        <v>1.5837052427002329E-3</v>
      </c>
      <c r="AE381" s="310">
        <f t="shared" si="153"/>
        <v>0.7</v>
      </c>
      <c r="AF381" s="311">
        <f t="shared" si="153"/>
        <v>3.8431182495912708E-5</v>
      </c>
      <c r="AG381" s="919">
        <f t="shared" si="153"/>
        <v>2</v>
      </c>
      <c r="AH381" s="176">
        <f t="shared" si="153"/>
        <v>8</v>
      </c>
      <c r="AI381" s="226">
        <f>MIN(AI15:AI380)</f>
        <v>2.0000384311824959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29.454800047248835</v>
      </c>
      <c r="C382" s="375"/>
      <c r="D382" s="375">
        <f>AVERAGE(D15:D380)</f>
        <v>31.427073203342552</v>
      </c>
      <c r="E382" s="375">
        <f>AVERAGE(E15:E380)</f>
        <v>32.334166072442073</v>
      </c>
      <c r="F382" s="376">
        <f>AVERAGE(F15:F380)</f>
        <v>32.35331697882804</v>
      </c>
      <c r="G382" s="126">
        <f>AVERAGE(G15:G380)</f>
        <v>0.67021454194813934</v>
      </c>
      <c r="H382" s="94"/>
      <c r="I382" s="376">
        <f>AVERAGE(I15:I380)</f>
        <v>44.058562201285575</v>
      </c>
      <c r="J382" s="59">
        <f>AVERAGE(J15:J380)</f>
        <v>2020.9071038251366</v>
      </c>
      <c r="K382" s="200" t="s">
        <v>8</v>
      </c>
      <c r="L382" s="147">
        <f t="shared" ref="L382:V382" si="154">AVERAGE(L15:L380)</f>
        <v>6.2813942533852432E-2</v>
      </c>
      <c r="M382" s="957"/>
      <c r="N382" s="957"/>
      <c r="O382" s="48">
        <f t="shared" si="154"/>
        <v>3.1107637686772039E-2</v>
      </c>
      <c r="P382" s="169">
        <f t="shared" si="154"/>
        <v>6.051118642368883E-4</v>
      </c>
      <c r="Q382" s="312">
        <f t="shared" si="154"/>
        <v>0.69999999999999529</v>
      </c>
      <c r="R382" s="177">
        <f t="shared" si="154"/>
        <v>0.75493446180766077</v>
      </c>
      <c r="S382" s="919">
        <f t="shared" si="154"/>
        <v>-2</v>
      </c>
      <c r="T382" s="176">
        <f t="shared" si="154"/>
        <v>4</v>
      </c>
      <c r="U382" s="251">
        <f>AVERAGE(U15:U380)</f>
        <v>-1.2450655381923406</v>
      </c>
      <c r="V382" s="59">
        <f t="shared" si="154"/>
        <v>42.437926496361705</v>
      </c>
      <c r="X382" s="112" t="s">
        <v>8</v>
      </c>
      <c r="Y382" s="375">
        <f>AVERAGE(Y15:Y380)</f>
        <v>28.210668555214649</v>
      </c>
      <c r="Z382" s="375">
        <f>AVERAGE(Z15:Z380)</f>
        <v>30.099493137687343</v>
      </c>
      <c r="AA382" s="375">
        <f>AVERAGE(AA15:AA380)</f>
        <v>32.206607475750857</v>
      </c>
      <c r="AB382" s="200" t="s">
        <v>8</v>
      </c>
      <c r="AC382" s="48">
        <f t="shared" ref="AC382:AH382" si="155">AVERAGE(AC15:AC380)</f>
        <v>6.7236864535297064E-2</v>
      </c>
      <c r="AD382" s="169">
        <f t="shared" si="155"/>
        <v>7.1468626317225401E-3</v>
      </c>
      <c r="AE382" s="312">
        <f t="shared" si="155"/>
        <v>0.69999999999999529</v>
      </c>
      <c r="AF382" s="177">
        <f t="shared" si="155"/>
        <v>0.27992202818163986</v>
      </c>
      <c r="AG382" s="919">
        <f t="shared" si="155"/>
        <v>2</v>
      </c>
      <c r="AH382" s="176">
        <f t="shared" si="155"/>
        <v>8</v>
      </c>
      <c r="AI382" s="225">
        <f>AVERAGE(AI15:AI380)</f>
        <v>2.279922028181641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55.747306089754844</v>
      </c>
      <c r="C383" s="377"/>
      <c r="D383" s="377">
        <f>MAX(D15:D380)</f>
        <v>59.439590123441889</v>
      </c>
      <c r="E383" s="377">
        <f>MAX(E15:E380)</f>
        <v>60.184972060839918</v>
      </c>
      <c r="F383" s="378">
        <f>MAX(F15:F380)</f>
        <v>60.258802059722221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2026</v>
      </c>
      <c r="K383" s="200" t="s">
        <v>9</v>
      </c>
      <c r="L383" s="148">
        <f t="shared" ref="L383:T383" si="156">MAX(L15:L380)</f>
        <v>6.6544906802072923E-2</v>
      </c>
      <c r="M383" s="960"/>
      <c r="N383" s="960"/>
      <c r="O383" s="49">
        <f t="shared" si="156"/>
        <v>5.1031344623591136E-2</v>
      </c>
      <c r="P383" s="170">
        <f t="shared" si="156"/>
        <v>2.3794130665794767E-3</v>
      </c>
      <c r="Q383" s="313">
        <f t="shared" si="156"/>
        <v>0.7</v>
      </c>
      <c r="R383" s="314">
        <f t="shared" si="156"/>
        <v>0.97504959177234585</v>
      </c>
      <c r="S383" s="920">
        <f t="shared" si="156"/>
        <v>-2</v>
      </c>
      <c r="T383" s="233">
        <f t="shared" si="156"/>
        <v>4</v>
      </c>
      <c r="U383" s="253">
        <f>MAX(U15:U380)</f>
        <v>-1.0249504082276542</v>
      </c>
      <c r="V383" s="60">
        <f>MAX(V15:V380)</f>
        <v>55.409959027119719</v>
      </c>
      <c r="X383" s="112" t="s">
        <v>9</v>
      </c>
      <c r="Y383" s="377">
        <f>MAX(Y15:Y380)</f>
        <v>53.049613908075059</v>
      </c>
      <c r="Z383" s="377">
        <f>MAX(Z15:Z380)</f>
        <v>56.56322301612208</v>
      </c>
      <c r="AA383" s="377">
        <f>MAX(AA15:AA380)</f>
        <v>59.850275573911297</v>
      </c>
      <c r="AB383" s="200" t="s">
        <v>9</v>
      </c>
      <c r="AC383" s="49">
        <f t="shared" ref="AC383:AH383" si="157">MAX(AC15:AC380)</f>
        <v>8.0216649699416165E-2</v>
      </c>
      <c r="AD383" s="170">
        <f t="shared" si="157"/>
        <v>1.6552881674782808E-2</v>
      </c>
      <c r="AE383" s="313">
        <f t="shared" si="157"/>
        <v>0.7</v>
      </c>
      <c r="AF383" s="314">
        <f t="shared" si="157"/>
        <v>0.50003715814632477</v>
      </c>
      <c r="AG383" s="920">
        <f t="shared" si="157"/>
        <v>2</v>
      </c>
      <c r="AH383" s="233">
        <f t="shared" si="157"/>
        <v>8</v>
      </c>
      <c r="AI383" s="227">
        <f>MAX(AI15:AI380)</f>
        <v>2.5000371581463248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8" priority="4" stopIfTrue="1" operator="lessThan">
      <formula>0.01</formula>
    </cfRule>
    <cfRule type="cellIs" dxfId="17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3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'2026'!An+1</f>
        <v>2027</v>
      </c>
      <c r="K1" s="1213"/>
      <c r="L1" s="113" t="str">
        <f>"Calcul pertes et enveloppes en "&amp;TEXT(An,0)</f>
        <v>Calcul pertes et enveloppes en 2027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87.686427914803602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318.89186298867412</v>
      </c>
      <c r="AK4" s="946">
        <f>AM12-AK12</f>
        <v>45.210663444758282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406.64093583722052</v>
      </c>
      <c r="AA5" s="237">
        <f>Wh_Pvg_s-Wh_Pvg</f>
        <v>45.210663444758282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2760.8519051548074</v>
      </c>
      <c r="AK5" s="515">
        <f>SUMIF(AK15:AK380,"VRAI",Wh)</f>
        <v>0</v>
      </c>
      <c r="AL5" s="515">
        <f>SUMIF(AJ15:AJ380,"VRAI",Wh_s)</f>
        <v>2664.6349594331318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7898.9369128819544</v>
      </c>
      <c r="AK6" s="515">
        <f>SUMIF(AK15:AK380,"FAUX",Wh)</f>
        <v>10659.788818036763</v>
      </c>
      <c r="AL6" s="515">
        <f>SUMIF(AJ15:AJ380,"FAUX",Wh_s)</f>
        <v>7539.7580372880611</v>
      </c>
      <c r="AM6" s="515">
        <f>SUMIF(AK15:AK380,"FAUX",Wh_s)</f>
        <v>10204.392996721199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2962.1566273980561</v>
      </c>
      <c r="AK7" s="515">
        <f>SUMIF(AK15:AK380,"VRAI",Wh_sa)</f>
        <v>0</v>
      </c>
      <c r="AL7" s="515">
        <f>SUMIF(AJ15:AJ380,"VRAI",Wh_pvt_s)</f>
        <v>2858.9296666301634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AND(YEAR(Tnet)=An,Resal_2027&lt;&gt;"I")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8502.6923348252221</v>
      </c>
      <c r="AK8" s="515">
        <f>SUMIF(AK15:AK380,"FAUX",Wh_sa)</f>
        <v>11795.803552239815</v>
      </c>
      <c r="AL8" s="515">
        <f>SUMIF(AJ15:AJ380,"FAUX",Wh_pvt_s)</f>
        <v>8116.0768913138172</v>
      </c>
      <c r="AM8" s="515">
        <f>SUMIF(AK15:AK380,"FAUX",Wh_sa_s)</f>
        <v>11743.309103805919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11464.848962223286</v>
      </c>
      <c r="E9" s="184">
        <f>SUM(E$15:E$380)</f>
        <v>11795.803552239815</v>
      </c>
      <c r="F9" s="184">
        <f>SUM(F$15:F$380)</f>
        <v>11807.449845976644</v>
      </c>
      <c r="H9" s="1214">
        <f>+SUM(Wh)</f>
        <v>10659.788818036763</v>
      </c>
      <c r="I9" s="1215"/>
      <c r="J9" s="1216"/>
      <c r="K9" s="191"/>
      <c r="L9" s="232"/>
      <c r="M9" s="232"/>
      <c r="N9" s="232"/>
      <c r="O9" s="223">
        <f>Tnet_2027</f>
        <v>46507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10204.392996721199</v>
      </c>
      <c r="Y9" s="1209"/>
      <c r="Z9" s="515">
        <f>SUM(Z$15:Z$380)</f>
        <v>10975.006557943989</v>
      </c>
      <c r="AA9" s="515">
        <f>SUM(AA$15:AA$380)</f>
        <v>11743.309103805919</v>
      </c>
      <c r="AB9" s="515">
        <f>F9</f>
        <v>11807.449845976644</v>
      </c>
      <c r="AC9" s="325">
        <f>IF(An_Tnet,Tnet,'2026'!Tnet_s)</f>
        <v>46507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3103.9095709134631</v>
      </c>
      <c r="AK9" s="515">
        <f>SUMIF(AK15:AK380,"VRAI",Wh_hp)</f>
        <v>0</v>
      </c>
      <c r="AL9" s="515">
        <f>SUMIF(AJ15:AJ380,"VRAI",Wh_sa_s)</f>
        <v>3094.7630627028202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8.0000000000000002E-3</v>
      </c>
      <c r="P10" s="420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IF(OR(Inflex,GainD),'2026'!Resal_s+('2026'!Salim-'2026'!Resal_s)*(1-EXP(('2026'!Tnet_s-Tnet)/('2026'!Tau_j))),IF(Acti_net,'2026'!Resal+('2026'!Salim-'2026'!Resal)*(1-EXP(('2026'!Tnet-Tnet)/'2026'!Tau_j)),'2026'!Resal_s))</f>
        <v>5.0593665714399813E-2</v>
      </c>
      <c r="AD10" s="427"/>
      <c r="AE10" s="427"/>
      <c r="AF10" s="260"/>
      <c r="AG10" s="261"/>
      <c r="AH10" s="262"/>
      <c r="AI10" s="472"/>
      <c r="AJ10" s="515">
        <f>SUMIF(AJ15:AJ380,"FAUX",Wh_sa)</f>
        <v>8691.8939813263496</v>
      </c>
      <c r="AK10" s="515">
        <f>SUMIF(AK15:AK380,"FAUX",Wh_hp)</f>
        <v>11807.449845976644</v>
      </c>
      <c r="AL10" s="515">
        <f>SUMIF(AJ15:AJ380,"FAUX",Wh_sa_s)</f>
        <v>8648.5460411031108</v>
      </c>
      <c r="AM10" s="515">
        <f>SUMIF(AK15:AK380,"FAUX",Wh_hp)</f>
        <v>11807.449845976644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805.06014418652376</v>
      </c>
      <c r="E11" s="51">
        <f>(E$9-D$9)*Prod_an/D$9</f>
        <v>307.71500344754594</v>
      </c>
      <c r="F11" s="186">
        <f>(F$9-E$9)*Prod_an/E$9</f>
        <v>10.52467779728709</v>
      </c>
      <c r="G11" s="185" t="s">
        <v>6</v>
      </c>
      <c r="K11" s="194"/>
      <c r="L11" s="211">
        <f>Tvie_2027</f>
        <v>43243</v>
      </c>
      <c r="M11" s="956"/>
      <c r="N11" s="956"/>
      <c r="O11" s="202">
        <f>IF(An_Tnet,Salim_2027,'2026'!Salim)</f>
        <v>0.13999999999999999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-0.52495040822765415</v>
      </c>
      <c r="V11" s="427"/>
      <c r="W11" s="518"/>
      <c r="X11" s="525" t="s">
        <v>44</v>
      </c>
      <c r="Y11" s="50">
        <f>Z$9-Prod_an_s</f>
        <v>770.61356122278994</v>
      </c>
      <c r="Z11" s="51">
        <f>(AA$9-Z$9)*Prod_an_s/Z$9</f>
        <v>714.35593928476646</v>
      </c>
      <c r="AA11" s="186">
        <f>(AB$9-AA$9)*Prod_an_s/AA$9</f>
        <v>55.735341242045372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132.1195781971802</v>
      </c>
      <c r="AK11" s="946">
        <f>IF($AK7=0,0,($AK9-$AK7)*$AK5/$AK7)</f>
        <v>0</v>
      </c>
      <c r="AL11" s="945">
        <f>IF($AL7=0,0,($AL9-$AL7)*$AL5/$AL7)</f>
        <v>219.80600611198381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Pspv_2027</f>
        <v>0</v>
      </c>
      <c r="M12" s="212"/>
      <c r="N12" s="212"/>
      <c r="O12" s="205">
        <f>IF(An_Tnet,Tau_2027*365,'2026'!Tau_j)</f>
        <v>936.83333333333337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-1.0249504082276542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'2026'!Df_s</f>
        <v>0.7</v>
      </c>
      <c r="AF12" s="203"/>
      <c r="AG12" s="203"/>
      <c r="AH12" s="203"/>
      <c r="AI12" s="297">
        <f>'2026'!Hdf_s</f>
        <v>2.5000371581463248</v>
      </c>
      <c r="AJ12" s="945">
        <f>IF($AJ8=0,0,($AJ10-$AJ8)*$AJ6/$AJ8)</f>
        <v>175.76689955070788</v>
      </c>
      <c r="AK12" s="946">
        <f>IF($AK8=0,0,($AK10-$AK8)*$AK6/$AK8)</f>
        <v>10.52467779728709</v>
      </c>
      <c r="AL12" s="945">
        <f>IF($AL8=0,0,($AL10-$AL8)*$AL6/$AL8)</f>
        <v>494.658762539382</v>
      </c>
      <c r="AM12" s="946">
        <f>IF($AM8=0,0,($AM10-$AM8)*$AM6/$AM8)</f>
        <v>55.735341242045372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307.88647774788808</v>
      </c>
      <c r="AK13" s="73">
        <f>+AK11+AK12</f>
        <v>10.52467779728709</v>
      </c>
      <c r="AL13" s="73">
        <f>+AL11+AL12</f>
        <v>714.46476865136583</v>
      </c>
      <c r="AM13" s="73">
        <f>+AM11+AM12</f>
        <v>55.735341242045372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8" t="s">
        <v>337</v>
      </c>
      <c r="C14" s="414"/>
      <c r="D14" s="53" t="s">
        <v>31</v>
      </c>
      <c r="E14" s="162" t="s">
        <v>30</v>
      </c>
      <c r="F14" s="162" t="str">
        <f>"Hors pertes "&amp; TEXT(An,0)</f>
        <v>Hors pertes 2027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2027</v>
      </c>
      <c r="W14" s="950" t="s">
        <v>119</v>
      </c>
      <c r="X14" s="258" t="s">
        <v>2</v>
      </c>
      <c r="Y14" s="107" t="str">
        <f>"Wh / Jour "&amp; TEXT(An,0)</f>
        <v>Wh / Jour 2027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1089">
        <f>IF(t&gt;Tmaj,'2026'!Wh/'2026'!Env_an*'2027'!Env_an,0.001*'[3]mon-tableau (2)'!$B$38)</f>
        <v>8.585225345324087</v>
      </c>
      <c r="C15" s="953"/>
      <c r="D15" s="393">
        <f t="shared" ref="D15:D78" si="0">Wh/(1-Ppv)</f>
        <v>9.1974573286630932</v>
      </c>
      <c r="E15" s="400">
        <f t="shared" ref="E15:E79" si="1">Wh_pvt/(1-Psa)</f>
        <v>9.5657994224056662</v>
      </c>
      <c r="F15" s="400">
        <f t="shared" ref="F15:F78" si="2">Wh_sa/(1-Pvg*MEDIAN((-Sdif+Wh/Env_an)/Csdif,0,1))</f>
        <v>9.5660050791482867</v>
      </c>
      <c r="G15" s="123">
        <f>+Wh_hp/MaxiM</f>
        <v>0.33465932579083663</v>
      </c>
      <c r="H15" s="412" t="b">
        <f>Wh_hp&gt;='2026'!Maxi_hp</f>
        <v>0</v>
      </c>
      <c r="I15" s="396">
        <f>IF(H15,Wh_hp,'2026'!Maxi_hp)</f>
        <v>28.078120973122783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6.6565351864263378E-2</v>
      </c>
      <c r="M15" s="957"/>
      <c r="N15" s="957"/>
      <c r="O15" s="48">
        <f>IF(t&lt;Tnet,'2026'!Resal+('2026'!Salim-'2026'!Resal)*(1-EXP(('2026'!Tnet-t)/('2026'!Tau_j))),Resal+(Salim-Resal)*(1-EXP((Tnet-t)/(Tau_j))))*Salcycl</f>
        <v>3.8506148569226441E-2</v>
      </c>
      <c r="P15" s="302">
        <f>(INDEX(Models!$BJ15:$BT15,,T15)*(1-R15)+INDEX(Models!$BJ15:$BT15,,T15+1)*R15-ERP_i)*Q15*Ramure*Pc/MaxiM</f>
        <v>4.3248347334019104E-4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0.97505078727057515</v>
      </c>
      <c r="S15" s="918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-1.0249492127294249</v>
      </c>
      <c r="V15" s="382">
        <f t="shared" ref="V15:V78" si="9">MaxiM*(1-Ppv)*(1-Pvg)*(1-Psa)</f>
        <v>25.643083013917213</v>
      </c>
      <c r="W15" s="402">
        <f t="shared" ref="W15:W78" si="10">Wh*(A15&gt;Tmaj)</f>
        <v>8.585225345324087</v>
      </c>
      <c r="X15" s="156">
        <f t="shared" ref="X15:X78" si="11">t</f>
        <v>46388</v>
      </c>
      <c r="Y15" s="385">
        <f t="shared" ref="Y15:Y78" si="12">Wh_pvt_s*(1-Ppv)</f>
        <v>8.2869626722248793</v>
      </c>
      <c r="Z15" s="385">
        <f>Wh_sa_s*(1-Psa_s)</f>
        <v>8.8779248646658555</v>
      </c>
      <c r="AA15" s="386">
        <f t="shared" ref="AA15:AA78" si="13">Wh_hp*(1-Pvg_s*MEDIAN((-Sdif+Wh/Env_an)/Csdif,0,1))</f>
        <v>9.5593328997125209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7.1281965195202787E-2</v>
      </c>
      <c r="AD15" s="231">
        <f>(INDEX(Models!$BJ15:$BT15,,AH15)*(1-AF15)+INDEX(Models!$BJ15:$BT15,,AH15+1)*AF15-ERP_i)*AE15*Ramure*Pc/MaxiM</f>
        <v>1.4031182738614738E-2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0.50003835364455407</v>
      </c>
      <c r="AG15" s="91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2.5000383536445541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1090">
        <f>IF(t&gt;Tmaj,'2026'!Wh/'2026'!Env_an*'2027'!Env_an,0.001*'[3]mon-tableau (2)'!$B$39)</f>
        <v>2.8967107575307627</v>
      </c>
      <c r="C16" s="953"/>
      <c r="D16" s="393">
        <f t="shared" si="0"/>
        <v>3.1033497739832923</v>
      </c>
      <c r="E16" s="385">
        <f t="shared" si="1"/>
        <v>3.227992135774012</v>
      </c>
      <c r="F16" s="385">
        <f t="shared" si="2"/>
        <v>3.227992135774012</v>
      </c>
      <c r="G16" s="110">
        <f t="shared" ref="G16:G79" si="21">+Wh_hp/MaxiM</f>
        <v>0.11209543939458638</v>
      </c>
      <c r="H16" s="412" t="b">
        <f>Wh_hp&gt;='2026'!Maxi_hp</f>
        <v>0</v>
      </c>
      <c r="I16" s="390">
        <f>IF(H16,Wh_hp,'2026'!Maxi_hp)</f>
        <v>25.967841110496515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6.6585796478654369E-2</v>
      </c>
      <c r="M16" s="957"/>
      <c r="N16" s="957"/>
      <c r="O16" s="48">
        <f>IF(t&lt;Tnet,'2026'!Resal+('2026'!Salim-'2026'!Resal)*(1-EXP(('2026'!Tnet-t)/('2026'!Tau_j))),Resal+(Salim-Resal)*(1-EXP((Tnet-t)/(Tau_j))))*Salcycl</f>
        <v>3.8612969470829532E-2</v>
      </c>
      <c r="P16" s="169">
        <f>(INDEX(Models!$BJ16:$BT16,,T16)*(1-R16)+INDEX(Models!$BJ16:$BT16,,T16+1)*R16-ERP_i)*Q16*Ramure*Pc/MaxiM</f>
        <v>4.2794188753134392E-4</v>
      </c>
      <c r="Q16" s="305">
        <f t="shared" si="4"/>
        <v>0.7</v>
      </c>
      <c r="R16" s="177">
        <f t="shared" si="5"/>
        <v>0.97508000188456956</v>
      </c>
      <c r="S16" s="919">
        <f t="shared" si="6"/>
        <v>-2</v>
      </c>
      <c r="T16" s="176">
        <f t="shared" si="7"/>
        <v>4</v>
      </c>
      <c r="U16" s="251">
        <f t="shared" si="8"/>
        <v>-1.0249199981154304</v>
      </c>
      <c r="V16" s="383">
        <f t="shared" si="9"/>
        <v>25.830409776701309</v>
      </c>
      <c r="W16" s="402">
        <f t="shared" si="10"/>
        <v>2.8967107575307627</v>
      </c>
      <c r="X16" s="157">
        <f t="shared" si="11"/>
        <v>46389</v>
      </c>
      <c r="Y16" s="385">
        <f t="shared" si="12"/>
        <v>2.7980647637200118</v>
      </c>
      <c r="Z16" s="385">
        <f t="shared" ref="Z16:Z78" si="22">Wh_sa_s*(1-Psa_s)</f>
        <v>2.9976667948314808</v>
      </c>
      <c r="AA16" s="386">
        <f t="shared" si="13"/>
        <v>3.227992135774012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7.1352509936429442E-2</v>
      </c>
      <c r="AD16" s="231">
        <f>(INDEX(Models!$BJ16:$BT16,,AH16)*(1-AF16)+INDEX(Models!$BJ16:$BT16,,AH16+1)*AF16-ERP_i)*AE16*Ramure*Pc/MaxiM</f>
        <v>1.4089639009810268E-2</v>
      </c>
      <c r="AE16" s="305">
        <f t="shared" si="15"/>
        <v>0.7</v>
      </c>
      <c r="AF16" s="177">
        <f t="shared" ref="AF16:AF78" si="23">(Hp_vg_s-AG16)/(INDEX(Echel_vg,AH16+1)-AG16)</f>
        <v>0.50006756825854826</v>
      </c>
      <c r="AG16" s="919">
        <f t="shared" ref="AG16:AG79" si="24">INDEX(Echel_vg,AH16)</f>
        <v>2</v>
      </c>
      <c r="AH16" s="176">
        <f t="shared" si="16"/>
        <v>8</v>
      </c>
      <c r="AI16" s="225">
        <f t="shared" si="17"/>
        <v>2.5000675682585483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1090">
        <f>IF(t&gt;Tmaj,'2026'!Wh/'2026'!Env_an*'2027'!Env_an,0.001*'[3]mon-tableau (2)'!$B$40)</f>
        <v>15.923347071170392</v>
      </c>
      <c r="C17" s="953"/>
      <c r="D17" s="393">
        <f t="shared" si="0"/>
        <v>17.059624527785804</v>
      </c>
      <c r="E17" s="385">
        <f t="shared" si="1"/>
        <v>17.746775287455947</v>
      </c>
      <c r="F17" s="385">
        <f t="shared" si="2"/>
        <v>17.750127849345844</v>
      </c>
      <c r="G17" s="110">
        <f t="shared" si="21"/>
        <v>0.61175206081550526</v>
      </c>
      <c r="H17" s="412" t="b">
        <f>Wh_hp&gt;='2026'!Maxi_hp</f>
        <v>0</v>
      </c>
      <c r="I17" s="390">
        <f>IF(H17,Wh_hp,'2026'!Maxi_hp)</f>
        <v>30.270872638205173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6.6606240645255888E-2</v>
      </c>
      <c r="M17" s="957"/>
      <c r="N17" s="957"/>
      <c r="O17" s="48">
        <f>IF(t&lt;Tnet,'2026'!Resal+('2026'!Salim-'2026'!Resal)*(1-EXP(('2026'!Tnet-t)/('2026'!Tau_j))),Resal+(Salim-Resal)*(1-EXP((Tnet-t)/(Tau_j))))*Salcycl</f>
        <v>3.8719753225018E-2</v>
      </c>
      <c r="P17" s="169">
        <f>(INDEX(Models!$BJ17:$BT17,,T17)*(1-R17)+INDEX(Models!$BJ17:$BT17,,T17+1)*R17-ERP_i)*Q17*Ramure*Pc/MaxiM</f>
        <v>4.2390027108680367E-4</v>
      </c>
      <c r="Q17" s="305">
        <f t="shared" si="4"/>
        <v>0.7</v>
      </c>
      <c r="R17" s="177">
        <f t="shared" si="5"/>
        <v>0.97511043848005907</v>
      </c>
      <c r="S17" s="919">
        <f t="shared" si="6"/>
        <v>-2</v>
      </c>
      <c r="T17" s="176">
        <f t="shared" si="7"/>
        <v>4</v>
      </c>
      <c r="U17" s="251">
        <f t="shared" si="8"/>
        <v>-1.0248895615199409</v>
      </c>
      <c r="V17" s="383">
        <f t="shared" si="9"/>
        <v>26.022967474491516</v>
      </c>
      <c r="W17" s="402">
        <f t="shared" si="10"/>
        <v>15.923347071170392</v>
      </c>
      <c r="X17" s="157">
        <f t="shared" si="11"/>
        <v>46390</v>
      </c>
      <c r="Y17" s="385">
        <f t="shared" si="12"/>
        <v>15.287588147084495</v>
      </c>
      <c r="Z17" s="385">
        <f t="shared" si="22"/>
        <v>16.378498349563444</v>
      </c>
      <c r="AA17" s="386">
        <f t="shared" si="13"/>
        <v>17.638279500659589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7.1423131210106724E-2</v>
      </c>
      <c r="AD17" s="231">
        <f>(INDEX(Models!$BJ17:$BT17,,AH17)*(1-AF17)+INDEX(Models!$BJ17:$BT17,,AH17+1)*AF17-ERP_i)*AE17*Ramure*Pc/MaxiM</f>
        <v>1.4142183466192301E-2</v>
      </c>
      <c r="AE17" s="305">
        <f t="shared" si="15"/>
        <v>0.7</v>
      </c>
      <c r="AF17" s="177">
        <f>(Hp_vg_s-AG17)/(INDEX(Echel_vg,AH17+1)-AG17)</f>
        <v>0.50009800485403799</v>
      </c>
      <c r="AG17" s="919">
        <f>INDEX(Echel_vg,AH17)</f>
        <v>2</v>
      </c>
      <c r="AH17" s="176">
        <f t="shared" si="16"/>
        <v>8</v>
      </c>
      <c r="AI17" s="225">
        <f t="shared" si="17"/>
        <v>2.500098004854038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1090">
        <f>IF(t&gt;Tmaj,'2026'!Wh/'2026'!Env_an*'2027'!Env_an,0.001*'[3]mon-tableau (2)'!$B$41)</f>
        <v>24.399189159892614</v>
      </c>
      <c r="C18" s="953"/>
      <c r="D18" s="393">
        <f t="shared" si="0"/>
        <v>26.140868558331405</v>
      </c>
      <c r="E18" s="385">
        <f t="shared" si="1"/>
        <v>27.196825890664872</v>
      </c>
      <c r="F18" s="385">
        <f t="shared" si="2"/>
        <v>27.207128712464094</v>
      </c>
      <c r="G18" s="110">
        <f t="shared" si="21"/>
        <v>0.9305406831826083</v>
      </c>
      <c r="H18" s="412" t="b">
        <f>Wh_hp&gt;='2026'!Maxi_hp</f>
        <v>0</v>
      </c>
      <c r="I18" s="390">
        <f>IF(H18,Wh_hp,'2026'!Maxi_hp)</f>
        <v>27.207710662550358</v>
      </c>
      <c r="J18" s="85">
        <f>IF(H18,An,'2026'!An_max)</f>
        <v>2026</v>
      </c>
      <c r="K18" s="197">
        <f t="shared" si="3"/>
        <v>46391</v>
      </c>
      <c r="L18" s="147">
        <f>IF(t&lt;Tvie,1-EXP((T0-t)*PertePVj)+'2026'!Pspv,1-EXP((T0-t)*PertePVj)+Pspv)</f>
        <v>6.6626684364077704E-2</v>
      </c>
      <c r="M18" s="957"/>
      <c r="N18" s="957"/>
      <c r="O18" s="48">
        <f>IF(t&lt;Tnet,'2026'!Resal+('2026'!Salim-'2026'!Resal)*(1-EXP(('2026'!Tnet-t)/('2026'!Tau_j))),Resal+(Salim-Resal)*(1-EXP((Tnet-t)/(Tau_j))))*Salcycl</f>
        <v>3.8826491612608156E-2</v>
      </c>
      <c r="P18" s="169">
        <f>(INDEX(Models!$BJ18:$BT18,,T18)*(1-R18)+INDEX(Models!$BJ18:$BT18,,T18+1)*R18-ERP_i)*Q18*Ramure*Pc/MaxiM</f>
        <v>4.2036996071891542E-4</v>
      </c>
      <c r="Q18" s="305">
        <f t="shared" si="4"/>
        <v>0.7</v>
      </c>
      <c r="R18" s="177">
        <f t="shared" si="5"/>
        <v>0.97514214801135424</v>
      </c>
      <c r="S18" s="919">
        <f t="shared" si="6"/>
        <v>-2</v>
      </c>
      <c r="T18" s="176">
        <f t="shared" si="7"/>
        <v>4</v>
      </c>
      <c r="U18" s="251">
        <f t="shared" si="8"/>
        <v>-1.0248578519886458</v>
      </c>
      <c r="V18" s="383">
        <f t="shared" si="9"/>
        <v>26.219349715545533</v>
      </c>
      <c r="W18" s="402">
        <f t="shared" si="10"/>
        <v>24.399189159892614</v>
      </c>
      <c r="X18" s="157">
        <f t="shared" si="11"/>
        <v>46391</v>
      </c>
      <c r="Y18" s="385">
        <f t="shared" si="12"/>
        <v>23.277470385361926</v>
      </c>
      <c r="Z18" s="385">
        <f>Wh_sa_s*(1-Psa_s)</f>
        <v>24.93907849669198</v>
      </c>
      <c r="AA18" s="386">
        <f t="shared" si="13"/>
        <v>26.859356289099029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7.1493812872440235E-2</v>
      </c>
      <c r="AD18" s="231">
        <f>(INDEX(Models!$BJ18:$BT18,,AH18)*(1-AF18)+INDEX(Models!$BJ18:$BT18,,AH18+1)*AF18-ERP_i)*AE18*Ramure*Pc/MaxiM</f>
        <v>1.4189615505155901E-2</v>
      </c>
      <c r="AE18" s="305">
        <f t="shared" si="15"/>
        <v>0.7</v>
      </c>
      <c r="AF18" s="177">
        <f t="shared" si="23"/>
        <v>0.50012971438533294</v>
      </c>
      <c r="AG18" s="919">
        <f t="shared" si="24"/>
        <v>2</v>
      </c>
      <c r="AH18" s="176">
        <f t="shared" si="16"/>
        <v>8</v>
      </c>
      <c r="AI18" s="225">
        <f t="shared" si="17"/>
        <v>2.5001297143853329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1090">
        <f>IF(t&gt;Tmaj,'2026'!Wh/'2026'!Env_an*'2027'!Env_an,0.001*'[3]mon-tableau (2)'!$B$42)</f>
        <v>10.237607323639452</v>
      </c>
      <c r="C19" s="953"/>
      <c r="D19" s="393">
        <f t="shared" si="0"/>
        <v>10.968635364779079</v>
      </c>
      <c r="E19" s="385">
        <f t="shared" si="1"/>
        <v>11.4129788978644</v>
      </c>
      <c r="F19" s="385">
        <f t="shared" si="2"/>
        <v>11.413574493257688</v>
      </c>
      <c r="G19" s="110">
        <f t="shared" si="21"/>
        <v>0.38738020106736526</v>
      </c>
      <c r="H19" s="412" t="b">
        <f>Wh_hp&gt;='2026'!Maxi_hp</f>
        <v>0</v>
      </c>
      <c r="I19" s="390">
        <f>IF(H19,Wh_hp,'2026'!Maxi_hp)</f>
        <v>29.868700088933423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6.6647127635129588E-2</v>
      </c>
      <c r="M19" s="957"/>
      <c r="N19" s="957"/>
      <c r="O19" s="48">
        <f>IF(t&lt;Tnet,'2026'!Resal+('2026'!Salim-'2026'!Resal)*(1-EXP(('2026'!Tnet-t)/('2026'!Tau_j))),Resal+(Salim-Resal)*(1-EXP((Tnet-t)/(Tau_j))))*Salcycl</f>
        <v>3.8933177486945837E-2</v>
      </c>
      <c r="P19" s="169">
        <f>(INDEX(Models!$BJ19:$BT19,,T19)*(1-R19)+INDEX(Models!$BJ19:$BT19,,T19+1)*R19-ERP_i)*Q19*Ramure*Pc/MaxiM</f>
        <v>4.173609712504127E-4</v>
      </c>
      <c r="Q19" s="305">
        <f t="shared" si="4"/>
        <v>0.7</v>
      </c>
      <c r="R19" s="177">
        <f t="shared" si="5"/>
        <v>0.97517518354391575</v>
      </c>
      <c r="S19" s="919">
        <f t="shared" si="6"/>
        <v>-2</v>
      </c>
      <c r="T19" s="176">
        <f t="shared" si="7"/>
        <v>4</v>
      </c>
      <c r="U19" s="251">
        <f t="shared" si="8"/>
        <v>-1.0248248164560843</v>
      </c>
      <c r="V19" s="383">
        <f t="shared" si="9"/>
        <v>26.418150830680172</v>
      </c>
      <c r="W19" s="402">
        <f t="shared" si="10"/>
        <v>10.237607323639452</v>
      </c>
      <c r="X19" s="157">
        <f t="shared" si="11"/>
        <v>46392</v>
      </c>
      <c r="Y19" s="385">
        <f t="shared" si="12"/>
        <v>9.8729226650698774</v>
      </c>
      <c r="Z19" s="385">
        <f t="shared" si="22"/>
        <v>10.577909981735516</v>
      </c>
      <c r="AA19" s="386">
        <f t="shared" si="13"/>
        <v>11.393263664932231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7.1564540870437635E-2</v>
      </c>
      <c r="AD19" s="231">
        <f>(INDEX(Models!$BJ19:$BT19,,AH19)*(1-AF19)+INDEX(Models!$BJ19:$BT19,,AH19+1)*AF19-ERP_i)*AE19*Ramure*Pc/MaxiM</f>
        <v>1.4232727674465659E-2</v>
      </c>
      <c r="AE19" s="305">
        <f t="shared" si="15"/>
        <v>0.7</v>
      </c>
      <c r="AF19" s="177">
        <f t="shared" si="23"/>
        <v>0.50016274991789489</v>
      </c>
      <c r="AG19" s="919">
        <f t="shared" si="24"/>
        <v>2</v>
      </c>
      <c r="AH19" s="176">
        <f t="shared" si="16"/>
        <v>8</v>
      </c>
      <c r="AI19" s="225">
        <f t="shared" si="17"/>
        <v>2.5001627499178949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1090">
        <f>IF(t&gt;Tmaj,'2026'!Wh/'2026'!Env_an*'2027'!Env_an,0.001*'[3]mon-tableau (2)'!$B$43)</f>
        <v>6.0525073294405232</v>
      </c>
      <c r="C20" s="953"/>
      <c r="D20" s="393">
        <f t="shared" si="0"/>
        <v>6.4848355611229653</v>
      </c>
      <c r="E20" s="385">
        <f t="shared" si="1"/>
        <v>6.7482873829661427</v>
      </c>
      <c r="F20" s="385">
        <f t="shared" si="2"/>
        <v>6.7482873829661427</v>
      </c>
      <c r="G20" s="110">
        <f t="shared" si="21"/>
        <v>0.22728995453340664</v>
      </c>
      <c r="H20" s="412" t="b">
        <f>Wh_hp&gt;='2026'!Maxi_hp</f>
        <v>0</v>
      </c>
      <c r="I20" s="390">
        <f>IF(H20,Wh_hp,'2026'!Maxi_hp)</f>
        <v>28.521480989437787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6.6667570458421421E-2</v>
      </c>
      <c r="M20" s="957"/>
      <c r="N20" s="957"/>
      <c r="O20" s="48">
        <f>IF(t&lt;Tnet,'2026'!Resal+('2026'!Salim-'2026'!Resal)*(1-EXP(('2026'!Tnet-t)/('2026'!Tau_j))),Resal+(Salim-Resal)*(1-EXP((Tnet-t)/(Tau_j))))*Salcycl</f>
        <v>3.9039804752265851E-2</v>
      </c>
      <c r="P20" s="169">
        <f>(INDEX(Models!$BJ20:$BT20,,T20)*(1-R20)+INDEX(Models!$BJ20:$BT20,,T20+1)*R20-ERP_i)*Q20*Ramure*Pc/MaxiM</f>
        <v>4.1488227395743415E-4</v>
      </c>
      <c r="Q20" s="305">
        <f t="shared" si="4"/>
        <v>0.7</v>
      </c>
      <c r="R20" s="177">
        <f t="shared" si="5"/>
        <v>0.9752096003406665</v>
      </c>
      <c r="S20" s="919">
        <f t="shared" si="6"/>
        <v>-2</v>
      </c>
      <c r="T20" s="176">
        <f t="shared" si="7"/>
        <v>4</v>
      </c>
      <c r="U20" s="251">
        <f t="shared" si="8"/>
        <v>-1.0247903996593335</v>
      </c>
      <c r="V20" s="383">
        <f t="shared" si="9"/>
        <v>26.617965865919182</v>
      </c>
      <c r="W20" s="402">
        <f t="shared" si="10"/>
        <v>6.0525073294405232</v>
      </c>
      <c r="X20" s="157">
        <f t="shared" si="11"/>
        <v>46393</v>
      </c>
      <c r="Y20" s="385">
        <f t="shared" si="12"/>
        <v>5.8472079901602694</v>
      </c>
      <c r="Z20" s="385">
        <f t="shared" si="22"/>
        <v>6.264871770321129</v>
      </c>
      <c r="AA20" s="386">
        <f t="shared" si="13"/>
        <v>6.7482873829661427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7.1635303183032698E-2</v>
      </c>
      <c r="AD20" s="231">
        <f>(INDEX(Models!$BJ20:$BT20,,AH20)*(1-AF20)+INDEX(Models!$BJ20:$BT20,,AH20+1)*AF20-ERP_i)*AE20*Ramure*Pc/MaxiM</f>
        <v>1.4272302764211301E-2</v>
      </c>
      <c r="AE20" s="305">
        <f t="shared" si="15"/>
        <v>0.7</v>
      </c>
      <c r="AF20" s="177">
        <f t="shared" si="23"/>
        <v>0.50019716671464565</v>
      </c>
      <c r="AG20" s="919">
        <f t="shared" si="24"/>
        <v>2</v>
      </c>
      <c r="AH20" s="176">
        <f t="shared" si="16"/>
        <v>8</v>
      </c>
      <c r="AI20" s="225">
        <f t="shared" si="17"/>
        <v>2.5001971667146456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1090">
        <f>IF(t&gt;Tmaj,'2026'!Wh/'2026'!Env_an*'2027'!Env_an,0.001*'[3]mon-tableau (2)'!$B$44)</f>
        <v>16.543440379890878</v>
      </c>
      <c r="C21" s="953"/>
      <c r="D21" s="393">
        <f t="shared" si="0"/>
        <v>17.725520091223025</v>
      </c>
      <c r="E21" s="385">
        <f t="shared" si="1"/>
        <v>18.447679757910905</v>
      </c>
      <c r="F21" s="385">
        <f t="shared" si="2"/>
        <v>18.451129015733621</v>
      </c>
      <c r="G21" s="110">
        <f t="shared" si="21"/>
        <v>0.61675280371610808</v>
      </c>
      <c r="H21" s="412" t="b">
        <f>Wh_hp&gt;='2026'!Maxi_hp</f>
        <v>0</v>
      </c>
      <c r="I21" s="390">
        <f>IF(H21,Wh_hp,'2026'!Maxi_hp)</f>
        <v>18.45326809451425</v>
      </c>
      <c r="J21" s="85">
        <f>IF(H21,An,'2026'!An_max)</f>
        <v>2026</v>
      </c>
      <c r="K21" s="197">
        <f t="shared" si="3"/>
        <v>46394</v>
      </c>
      <c r="L21" s="147">
        <f>IF(t&lt;Tvie,1-EXP((T0-t)*PertePVj)+'2026'!Pspv,1-EXP((T0-t)*PertePVj)+Pspv)</f>
        <v>6.6688012833962862E-2</v>
      </c>
      <c r="M21" s="957"/>
      <c r="N21" s="957"/>
      <c r="O21" s="48">
        <f>IF(t&lt;Tnet,'2026'!Resal+('2026'!Salim-'2026'!Resal)*(1-EXP(('2026'!Tnet-t)/('2026'!Tau_j))),Resal+(Salim-Resal)*(1-EXP((Tnet-t)/(Tau_j))))*Salcycl</f>
        <v>3.9146368332754568E-2</v>
      </c>
      <c r="P21" s="169">
        <f>(INDEX(Models!$BJ21:$BT21,,T21)*(1-R21)+INDEX(Models!$BJ21:$BT21,,T21+1)*R21-ERP_i)*Q21*Ramure*Pc/MaxiM</f>
        <v>4.1294207542776372E-4</v>
      </c>
      <c r="Q21" s="305">
        <f t="shared" si="4"/>
        <v>0.7</v>
      </c>
      <c r="R21" s="177">
        <f t="shared" si="5"/>
        <v>0.97524545595172962</v>
      </c>
      <c r="S21" s="919">
        <f t="shared" si="6"/>
        <v>-2</v>
      </c>
      <c r="T21" s="176">
        <f t="shared" si="7"/>
        <v>4</v>
      </c>
      <c r="U21" s="251">
        <f t="shared" si="8"/>
        <v>-1.0247545440482704</v>
      </c>
      <c r="V21" s="383">
        <f t="shared" si="9"/>
        <v>26.817390586110836</v>
      </c>
      <c r="W21" s="402">
        <f t="shared" si="10"/>
        <v>16.543440379890878</v>
      </c>
      <c r="X21" s="157">
        <f t="shared" si="11"/>
        <v>46394</v>
      </c>
      <c r="Y21" s="385">
        <f t="shared" si="12"/>
        <v>15.882280975960191</v>
      </c>
      <c r="Z21" s="385">
        <f t="shared" si="22"/>
        <v>17.017118813812811</v>
      </c>
      <c r="AA21" s="386">
        <f t="shared" si="13"/>
        <v>18.331606645093743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7.1706089745971174E-2</v>
      </c>
      <c r="AD21" s="231">
        <f>(INDEX(Models!$BJ21:$BT21,,AH21)*(1-AF21)+INDEX(Models!$BJ21:$BT21,,AH21+1)*AF21-ERP_i)*AE21*Ramure*Pc/MaxiM</f>
        <v>1.4309111794152941E-2</v>
      </c>
      <c r="AE21" s="305">
        <f t="shared" si="15"/>
        <v>0.7</v>
      </c>
      <c r="AF21" s="177">
        <f t="shared" si="23"/>
        <v>0.50023302232570854</v>
      </c>
      <c r="AG21" s="919">
        <f t="shared" si="24"/>
        <v>2</v>
      </c>
      <c r="AH21" s="176">
        <f t="shared" si="16"/>
        <v>8</v>
      </c>
      <c r="AI21" s="225">
        <f t="shared" si="17"/>
        <v>2.5002330223257085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1090">
        <f>IF(t&gt;Tmaj,'2026'!Wh/'2026'!Env_an*'2027'!Env_an,0.001*'[3]mon-tableau (2)'!$B$45)</f>
        <v>6.7661685185362028</v>
      </c>
      <c r="C22" s="953"/>
      <c r="D22" s="393">
        <f t="shared" si="0"/>
        <v>7.2497908644495874</v>
      </c>
      <c r="E22" s="385">
        <f t="shared" si="1"/>
        <v>7.5459926902685739</v>
      </c>
      <c r="F22" s="385">
        <f t="shared" si="2"/>
        <v>7.5459926902685739</v>
      </c>
      <c r="G22" s="110">
        <f t="shared" si="21"/>
        <v>0.25035641453649971</v>
      </c>
      <c r="H22" s="412" t="b">
        <f>Wh_hp&gt;='2026'!Maxi_hp</f>
        <v>0</v>
      </c>
      <c r="I22" s="390">
        <f>IF(H22,Wh_hp,'2026'!Maxi_hp)</f>
        <v>20.926751067686602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6.6708454761763902E-2</v>
      </c>
      <c r="M22" s="957"/>
      <c r="N22" s="957"/>
      <c r="O22" s="48">
        <f>IF(t&lt;Tnet,'2026'!Resal+('2026'!Salim-'2026'!Resal)*(1-EXP(('2026'!Tnet-t)/('2026'!Tau_j))),Resal+(Salim-Resal)*(1-EXP((Tnet-t)/(Tau_j))))*Salcycl</f>
        <v>3.9252864132902278E-2</v>
      </c>
      <c r="P22" s="169">
        <f>(INDEX(Models!$BJ22:$BT22,,T22)*(1-R22)+INDEX(Models!$BJ22:$BT22,,T22+1)*R22-ERP_i)*Q22*Ramure*Pc/MaxiM</f>
        <v>4.1154809503810301E-4</v>
      </c>
      <c r="Q22" s="305">
        <f t="shared" si="4"/>
        <v>0.7</v>
      </c>
      <c r="R22" s="177">
        <f t="shared" si="5"/>
        <v>0.9752828103077269</v>
      </c>
      <c r="S22" s="919">
        <f t="shared" si="6"/>
        <v>-2</v>
      </c>
      <c r="T22" s="176">
        <f t="shared" si="7"/>
        <v>4</v>
      </c>
      <c r="U22" s="251">
        <f t="shared" si="8"/>
        <v>-1.0247171896922731</v>
      </c>
      <c r="V22" s="383">
        <f t="shared" si="9"/>
        <v>27.015021473658514</v>
      </c>
      <c r="W22" s="402">
        <f t="shared" si="10"/>
        <v>6.7661685185362028</v>
      </c>
      <c r="X22" s="157">
        <f t="shared" si="11"/>
        <v>46395</v>
      </c>
      <c r="Y22" s="385">
        <f t="shared" si="12"/>
        <v>6.5371144337699869</v>
      </c>
      <c r="Z22" s="385">
        <f t="shared" si="22"/>
        <v>7.0043647851768487</v>
      </c>
      <c r="AA22" s="386">
        <f t="shared" si="13"/>
        <v>7.5459926902685739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7.1776892361718914E-2</v>
      </c>
      <c r="AD22" s="231">
        <f>(INDEX(Models!$BJ22:$BT22,,AH22)*(1-AF22)+INDEX(Models!$BJ22:$BT22,,AH22+1)*AF22-ERP_i)*AE22*Ramure*Pc/MaxiM</f>
        <v>1.4343912842221338E-2</v>
      </c>
      <c r="AE22" s="305">
        <f t="shared" si="15"/>
        <v>0.7</v>
      </c>
      <c r="AF22" s="177">
        <f t="shared" si="23"/>
        <v>0.50027037668170582</v>
      </c>
      <c r="AG22" s="919">
        <f t="shared" si="24"/>
        <v>2</v>
      </c>
      <c r="AH22" s="176">
        <f t="shared" si="16"/>
        <v>8</v>
      </c>
      <c r="AI22" s="225">
        <f t="shared" si="17"/>
        <v>2.5002703766817058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1090">
        <f>IF(t&gt;Tmaj,'2026'!Wh/'2026'!Env_an*'2027'!Env_an,0.001*'[3]mon-tableau (2)'!$B$46)</f>
        <v>6.8466988340227113</v>
      </c>
      <c r="C23" s="953"/>
      <c r="D23" s="393">
        <f t="shared" si="0"/>
        <v>7.3362378910607147</v>
      </c>
      <c r="E23" s="385">
        <f t="shared" si="1"/>
        <v>7.6368176020210941</v>
      </c>
      <c r="F23" s="385">
        <f t="shared" si="2"/>
        <v>7.6368176020210941</v>
      </c>
      <c r="G23" s="110">
        <f t="shared" si="21"/>
        <v>0.25149798596250245</v>
      </c>
      <c r="H23" s="412" t="b">
        <f>Wh_hp&gt;='2026'!Maxi_hp</f>
        <v>0</v>
      </c>
      <c r="I23" s="390">
        <f>IF(H23,Wh_hp,'2026'!Maxi_hp)</f>
        <v>27.858667670277544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6.6728896241834201E-2</v>
      </c>
      <c r="M23" s="957"/>
      <c r="N23" s="957"/>
      <c r="O23" s="48">
        <f>IF(t&lt;Tnet,'2026'!Resal+('2026'!Salim-'2026'!Resal)*(1-EXP(('2026'!Tnet-t)/('2026'!Tau_j))),Resal+(Salim-Resal)*(1-EXP((Tnet-t)/(Tau_j))))*Salcycl</f>
        <v>3.9359288989805258E-2</v>
      </c>
      <c r="P23" s="169">
        <f>(INDEX(Models!$BJ23:$BT23,,T23)*(1-R23)+INDEX(Models!$BJ23:$BT23,,T23+1)*R23-ERP_i)*Q23*Ramure*Pc/MaxiM</f>
        <v>4.1066201982917108E-4</v>
      </c>
      <c r="Q23" s="305">
        <f t="shared" si="4"/>
        <v>0.7</v>
      </c>
      <c r="R23" s="177">
        <f t="shared" si="5"/>
        <v>0.97532172581676191</v>
      </c>
      <c r="S23" s="919">
        <f t="shared" si="6"/>
        <v>-2</v>
      </c>
      <c r="T23" s="176">
        <f t="shared" si="7"/>
        <v>4</v>
      </c>
      <c r="U23" s="251">
        <f t="shared" si="8"/>
        <v>-1.0246782741832381</v>
      </c>
      <c r="V23" s="383">
        <f t="shared" si="9"/>
        <v>27.212492889985889</v>
      </c>
      <c r="W23" s="402">
        <f t="shared" si="10"/>
        <v>6.8466988340227113</v>
      </c>
      <c r="X23" s="157">
        <f t="shared" si="11"/>
        <v>46396</v>
      </c>
      <c r="Y23" s="385">
        <f t="shared" si="12"/>
        <v>6.6151467098006664</v>
      </c>
      <c r="Z23" s="385">
        <f t="shared" si="22"/>
        <v>7.0881297868993256</v>
      </c>
      <c r="AA23" s="386">
        <f t="shared" si="13"/>
        <v>7.6368176020210941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7.1847704595767364E-2</v>
      </c>
      <c r="AD23" s="231">
        <f>(INDEX(Models!$BJ23:$BT23,,AH23)*(1-AF23)+INDEX(Models!$BJ23:$BT23,,AH23+1)*AF23-ERP_i)*AE23*Ramure*Pc/MaxiM</f>
        <v>1.4375846652731429E-2</v>
      </c>
      <c r="AE23" s="305">
        <f t="shared" si="15"/>
        <v>0.7</v>
      </c>
      <c r="AF23" s="177">
        <f t="shared" si="23"/>
        <v>0.50030929219074105</v>
      </c>
      <c r="AG23" s="919">
        <f t="shared" si="24"/>
        <v>2</v>
      </c>
      <c r="AH23" s="176">
        <f t="shared" si="16"/>
        <v>8</v>
      </c>
      <c r="AI23" s="225">
        <f t="shared" si="17"/>
        <v>2.5003092921907411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1090">
        <f>IF(t&gt;Tmaj,'2026'!Wh/'2026'!Env_an*'2027'!Env_an,0.001*'[3]mon-tableau (2)'!$B$47)</f>
        <v>23.537771196651654</v>
      </c>
      <c r="C24" s="953"/>
      <c r="D24" s="393">
        <f t="shared" si="0"/>
        <v>25.221274558651899</v>
      </c>
      <c r="E24" s="385">
        <f t="shared" si="1"/>
        <v>26.257545409289477</v>
      </c>
      <c r="F24" s="385">
        <f t="shared" si="2"/>
        <v>26.266133586804248</v>
      </c>
      <c r="G24" s="110">
        <f t="shared" si="21"/>
        <v>0.85857665320816967</v>
      </c>
      <c r="H24" s="412" t="b">
        <f>Wh_hp&gt;='2026'!Maxi_hp</f>
        <v>0</v>
      </c>
      <c r="I24" s="390">
        <f>IF(H24,Wh_hp,'2026'!Maxi_hp)</f>
        <v>26.267248224801129</v>
      </c>
      <c r="J24" s="85">
        <f>IF(H24,An,'2026'!An_max)</f>
        <v>2026</v>
      </c>
      <c r="K24" s="197">
        <f t="shared" si="3"/>
        <v>46397</v>
      </c>
      <c r="L24" s="147">
        <f>IF(t&lt;Tvie,1-EXP((T0-t)*PertePVj)+'2026'!Pspv,1-EXP((T0-t)*PertePVj)+Pspv)</f>
        <v>6.6749337274183751E-2</v>
      </c>
      <c r="M24" s="957"/>
      <c r="N24" s="957"/>
      <c r="O24" s="48">
        <f>IF(t&lt;Tnet,'2026'!Resal+('2026'!Salim-'2026'!Resal)*(1-EXP(('2026'!Tnet-t)/('2026'!Tau_j))),Resal+(Salim-Resal)*(1-EXP((Tnet-t)/(Tau_j))))*Salcycl</f>
        <v>3.9465640618142631E-2</v>
      </c>
      <c r="P24" s="169">
        <f>(INDEX(Models!$BJ24:$BT24,,T24)*(1-R24)+INDEX(Models!$BJ24:$BT24,,T24+1)*R24-ERP_i)*Q24*Ramure*Pc/MaxiM</f>
        <v>4.0969897587215192E-4</v>
      </c>
      <c r="Q24" s="305">
        <f t="shared" si="4"/>
        <v>0.7</v>
      </c>
      <c r="R24" s="177">
        <f t="shared" si="5"/>
        <v>0.97536226746523158</v>
      </c>
      <c r="S24" s="919">
        <f t="shared" si="6"/>
        <v>-2</v>
      </c>
      <c r="T24" s="176">
        <f t="shared" si="7"/>
        <v>4</v>
      </c>
      <c r="U24" s="251">
        <f t="shared" si="8"/>
        <v>-1.0246377325347684</v>
      </c>
      <c r="V24" s="383">
        <f t="shared" si="9"/>
        <v>27.412605691237669</v>
      </c>
      <c r="W24" s="402">
        <f t="shared" si="10"/>
        <v>23.537771196651654</v>
      </c>
      <c r="X24" s="157">
        <f t="shared" si="11"/>
        <v>46397</v>
      </c>
      <c r="Y24" s="385">
        <f t="shared" si="12"/>
        <v>22.488582050524403</v>
      </c>
      <c r="Z24" s="385">
        <f t="shared" si="22"/>
        <v>24.09704375118287</v>
      </c>
      <c r="AA24" s="386">
        <f t="shared" si="13"/>
        <v>25.96436230394848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7.1918521660808893E-2</v>
      </c>
      <c r="AD24" s="231">
        <f>(INDEX(Models!$BJ24:$BT24,,AH24)*(1-AF24)+INDEX(Models!$BJ24:$BT24,,AH24+1)*AF24-ERP_i)*AE24*Ramure*Pc/MaxiM</f>
        <v>1.4395997907707365E-2</v>
      </c>
      <c r="AE24" s="305">
        <f t="shared" si="15"/>
        <v>0.7</v>
      </c>
      <c r="AF24" s="177">
        <f t="shared" si="23"/>
        <v>0.5003498338392105</v>
      </c>
      <c r="AG24" s="919">
        <f t="shared" si="24"/>
        <v>2</v>
      </c>
      <c r="AH24" s="176">
        <f t="shared" si="16"/>
        <v>8</v>
      </c>
      <c r="AI24" s="225">
        <f t="shared" si="17"/>
        <v>2.5003498338392105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1090">
        <f>IF(t&gt;Tmaj,'2026'!Wh/'2026'!Env_an*'2027'!Env_an,0.001*'[3]mon-tableau (2)'!$B$48)</f>
        <v>4.7518024744013498</v>
      </c>
      <c r="C25" s="953"/>
      <c r="D25" s="393">
        <f t="shared" si="0"/>
        <v>5.0917794576979558</v>
      </c>
      <c r="E25" s="385">
        <f t="shared" si="1"/>
        <v>5.3015728618656599</v>
      </c>
      <c r="F25" s="385">
        <f t="shared" si="2"/>
        <v>5.3015728618656599</v>
      </c>
      <c r="G25" s="110">
        <f t="shared" si="21"/>
        <v>0.17199865526171412</v>
      </c>
      <c r="H25" s="412" t="b">
        <f>Wh_hp&gt;='2026'!Maxi_hp</f>
        <v>0</v>
      </c>
      <c r="I25" s="390">
        <f>IF(H25,Wh_hp,'2026'!Maxi_hp)</f>
        <v>30.384642936610089</v>
      </c>
      <c r="J25" s="85">
        <f>IF(H25,An,'2026'!An_max)</f>
        <v>2022</v>
      </c>
      <c r="K25" s="197">
        <f t="shared" si="3"/>
        <v>46398</v>
      </c>
      <c r="L25" s="147">
        <f>IF(t&lt;Tvie,1-EXP((T0-t)*PertePVj)+'2026'!Pspv,1-EXP((T0-t)*PertePVj)+Pspv)</f>
        <v>6.6769777858822099E-2</v>
      </c>
      <c r="M25" s="957"/>
      <c r="N25" s="957"/>
      <c r="O25" s="48">
        <f>IF(t&lt;Tnet,'2026'!Resal+('2026'!Salim-'2026'!Resal)*(1-EXP(('2026'!Tnet-t)/('2026'!Tau_j))),Resal+(Salim-Resal)*(1-EXP((Tnet-t)/(Tau_j))))*Salcycl</f>
        <v>3.9571917548611474E-2</v>
      </c>
      <c r="P25" s="169">
        <f>(INDEX(Models!$BJ25:$BT25,,T25)*(1-R25)+INDEX(Models!$BJ25:$BT25,,T25+1)*R25-ERP_i)*Q25*Ramure*Pc/MaxiM</f>
        <v>4.084724519436843E-4</v>
      </c>
      <c r="Q25" s="305">
        <f t="shared" si="4"/>
        <v>0.7</v>
      </c>
      <c r="R25" s="177">
        <f t="shared" si="5"/>
        <v>0.9754045029225975</v>
      </c>
      <c r="S25" s="919">
        <f t="shared" si="6"/>
        <v>-2</v>
      </c>
      <c r="T25" s="176">
        <f t="shared" si="7"/>
        <v>4</v>
      </c>
      <c r="U25" s="251">
        <f t="shared" si="8"/>
        <v>-1.0245954970774025</v>
      </c>
      <c r="V25" s="383">
        <f t="shared" si="9"/>
        <v>27.61568970853908</v>
      </c>
      <c r="W25" s="402">
        <f t="shared" si="10"/>
        <v>4.7518024744013498</v>
      </c>
      <c r="X25" s="157">
        <f t="shared" si="11"/>
        <v>46398</v>
      </c>
      <c r="Y25" s="385">
        <f t="shared" si="12"/>
        <v>4.5914144220188327</v>
      </c>
      <c r="Z25" s="385">
        <f t="shared" si="22"/>
        <v>4.9199161290387883</v>
      </c>
      <c r="AA25" s="386">
        <f t="shared" si="13"/>
        <v>5.3015728618656599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7.1989340290338641E-2</v>
      </c>
      <c r="AD25" s="231">
        <f>(INDEX(Models!$BJ25:$BT25,,AH25)*(1-AF25)+INDEX(Models!$BJ25:$BT25,,AH25+1)*AF25-ERP_i)*AE25*Ramure*Pc/MaxiM</f>
        <v>1.4400654223849155E-2</v>
      </c>
      <c r="AE25" s="305">
        <f t="shared" si="15"/>
        <v>0.7</v>
      </c>
      <c r="AF25" s="177">
        <f t="shared" si="23"/>
        <v>0.50039206929657665</v>
      </c>
      <c r="AG25" s="919">
        <f t="shared" si="24"/>
        <v>2</v>
      </c>
      <c r="AH25" s="176">
        <f t="shared" si="16"/>
        <v>8</v>
      </c>
      <c r="AI25" s="225">
        <f t="shared" si="17"/>
        <v>2.5003920692965766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1090">
        <f>IF(t&gt;Tmaj,'2026'!Wh/'2026'!Env_an*'2027'!Env_an,0.001*'[3]mon-tableau (2)'!$B$49)</f>
        <v>22.853794947914313</v>
      </c>
      <c r="C26" s="953"/>
      <c r="D26" s="393">
        <f t="shared" si="0"/>
        <v>24.489450698675231</v>
      </c>
      <c r="E26" s="385">
        <f t="shared" si="1"/>
        <v>25.501294081439262</v>
      </c>
      <c r="F26" s="385">
        <f t="shared" si="2"/>
        <v>25.509027387872681</v>
      </c>
      <c r="G26" s="110">
        <f t="shared" si="21"/>
        <v>0.82134154124518199</v>
      </c>
      <c r="H26" s="412" t="b">
        <f>Wh_hp&gt;='2026'!Maxi_hp</f>
        <v>0</v>
      </c>
      <c r="I26" s="390">
        <f>IF(H26,Wh_hp,'2026'!Maxi_hp)</f>
        <v>30.267889314428743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6.6790217995759238E-2</v>
      </c>
      <c r="M26" s="957"/>
      <c r="N26" s="957"/>
      <c r="O26" s="48">
        <f>IF(t&lt;Tnet,'2026'!Resal+('2026'!Salim-'2026'!Resal)*(1-EXP(('2026'!Tnet-t)/('2026'!Tau_j))),Resal+(Salim-Resal)*(1-EXP((Tnet-t)/(Tau_j))))*Salcycl</f>
        <v>3.9678119060651322E-2</v>
      </c>
      <c r="P26" s="169">
        <f>(INDEX(Models!$BJ26:$BT26,,T26)*(1-R26)+INDEX(Models!$BJ26:$BT26,,T26+1)*R26-ERP_i)*Q26*Ramure*Pc/MaxiM</f>
        <v>4.0698271868775461E-4</v>
      </c>
      <c r="Q26" s="305">
        <f t="shared" si="4"/>
        <v>0.7</v>
      </c>
      <c r="R26" s="177">
        <f t="shared" si="5"/>
        <v>0.97544850265026861</v>
      </c>
      <c r="S26" s="919">
        <f t="shared" si="6"/>
        <v>-2</v>
      </c>
      <c r="T26" s="176">
        <f t="shared" si="7"/>
        <v>4</v>
      </c>
      <c r="U26" s="251">
        <f t="shared" si="8"/>
        <v>-1.0245514973497314</v>
      </c>
      <c r="V26" s="383">
        <f t="shared" si="9"/>
        <v>27.822069539268394</v>
      </c>
      <c r="W26" s="402">
        <f t="shared" si="10"/>
        <v>22.853794947914313</v>
      </c>
      <c r="X26" s="157">
        <f t="shared" si="11"/>
        <v>46399</v>
      </c>
      <c r="Y26" s="385">
        <f t="shared" si="12"/>
        <v>21.853080687629106</v>
      </c>
      <c r="Z26" s="385">
        <f t="shared" si="22"/>
        <v>23.417114896390789</v>
      </c>
      <c r="AA26" s="386">
        <f t="shared" si="13"/>
        <v>25.235595942452832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7.2060158603303934E-2</v>
      </c>
      <c r="AD26" s="231">
        <f>(INDEX(Models!$BJ26:$BT26,,AH26)*(1-AF26)+INDEX(Models!$BJ26:$BT26,,AH26+1)*AF26-ERP_i)*AE26*Ramure*Pc/MaxiM</f>
        <v>1.4389947429320784E-2</v>
      </c>
      <c r="AE26" s="305">
        <f t="shared" si="15"/>
        <v>0.7</v>
      </c>
      <c r="AF26" s="177">
        <f t="shared" si="23"/>
        <v>0.50043606902424775</v>
      </c>
      <c r="AG26" s="919">
        <f t="shared" si="24"/>
        <v>2</v>
      </c>
      <c r="AH26" s="176">
        <f t="shared" si="16"/>
        <v>8</v>
      </c>
      <c r="AI26" s="225">
        <f t="shared" si="17"/>
        <v>2.5004360690242478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1090">
        <f>IF(t&gt;Tmaj,'2026'!Wh/'2026'!Env_an*'2027'!Env_an,0.001*'[3]mon-tableau (2)'!$B$50)</f>
        <v>12.631846655458098</v>
      </c>
      <c r="C27" s="953"/>
      <c r="D27" s="393">
        <f t="shared" si="0"/>
        <v>13.536209730087398</v>
      </c>
      <c r="E27" s="385">
        <f t="shared" si="1"/>
        <v>14.097050231843717</v>
      </c>
      <c r="F27" s="385">
        <f t="shared" si="2"/>
        <v>14.098279527509789</v>
      </c>
      <c r="G27" s="110">
        <f t="shared" si="21"/>
        <v>0.45047793882186432</v>
      </c>
      <c r="H27" s="412" t="b">
        <f>Wh_hp&gt;='2026'!Maxi_hp</f>
        <v>0</v>
      </c>
      <c r="I27" s="390">
        <f>IF(H27,Wh_hp,'2026'!Maxi_hp)</f>
        <v>17.075177344016367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6.6810657685004826E-2</v>
      </c>
      <c r="M27" s="957"/>
      <c r="N27" s="957"/>
      <c r="O27" s="48">
        <f>IF(t&lt;Tnet,'2026'!Resal+('2026'!Salim-'2026'!Resal)*(1-EXP(('2026'!Tnet-t)/('2026'!Tau_j))),Resal+(Salim-Resal)*(1-EXP((Tnet-t)/(Tau_j))))*Salcycl</f>
        <v>3.9784245110330928E-2</v>
      </c>
      <c r="P27" s="169">
        <f>(INDEX(Models!$BJ27:$BT27,,T27)*(1-R27)+INDEX(Models!$BJ27:$BT27,,T27+1)*R27-ERP_i)*Q27*Ramure*Pc/MaxiM</f>
        <v>4.052303669615522E-4</v>
      </c>
      <c r="Q27" s="305">
        <f t="shared" si="4"/>
        <v>0.7</v>
      </c>
      <c r="R27" s="177">
        <f t="shared" si="5"/>
        <v>0.97549434001473778</v>
      </c>
      <c r="S27" s="919">
        <f t="shared" si="6"/>
        <v>-2</v>
      </c>
      <c r="T27" s="176">
        <f t="shared" si="7"/>
        <v>4</v>
      </c>
      <c r="U27" s="251">
        <f t="shared" si="8"/>
        <v>-1.0245056599852622</v>
      </c>
      <c r="V27" s="383">
        <f t="shared" si="9"/>
        <v>28.032069585365832</v>
      </c>
      <c r="W27" s="402">
        <f t="shared" si="10"/>
        <v>12.631846655458098</v>
      </c>
      <c r="X27" s="157">
        <f t="shared" si="11"/>
        <v>46400</v>
      </c>
      <c r="Y27" s="385">
        <f t="shared" si="12"/>
        <v>12.169652811968625</v>
      </c>
      <c r="Z27" s="385">
        <f t="shared" si="22"/>
        <v>13.04092563013948</v>
      </c>
      <c r="AA27" s="386">
        <f t="shared" si="13"/>
        <v>14.054705235636806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7.2130975961474317E-2</v>
      </c>
      <c r="AD27" s="231">
        <f>(INDEX(Models!$BJ27:$BT27,,AH27)*(1-AF27)+INDEX(Models!$BJ27:$BT27,,AH27+1)*AF27-ERP_i)*AE27*Ramure*Pc/MaxiM</f>
        <v>1.4364018985119574E-2</v>
      </c>
      <c r="AE27" s="305">
        <f t="shared" si="15"/>
        <v>0.7</v>
      </c>
      <c r="AF27" s="177">
        <f t="shared" si="23"/>
        <v>0.5004819063887167</v>
      </c>
      <c r="AG27" s="919">
        <f t="shared" si="24"/>
        <v>2</v>
      </c>
      <c r="AH27" s="176">
        <f t="shared" si="16"/>
        <v>8</v>
      </c>
      <c r="AI27" s="225">
        <f t="shared" si="17"/>
        <v>2.5004819063887167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1090">
        <f>IF(t&gt;Tmaj,'2026'!Wh/'2026'!Env_an*'2027'!Env_an,0.001*'[3]mon-tableau (2)'!$B$51)</f>
        <v>18.074333728048636</v>
      </c>
      <c r="C28" s="953"/>
      <c r="D28" s="393">
        <f t="shared" si="0"/>
        <v>19.368769864190774</v>
      </c>
      <c r="E28" s="385">
        <f t="shared" si="1"/>
        <v>20.173496620882922</v>
      </c>
      <c r="F28" s="385">
        <f t="shared" si="2"/>
        <v>20.177447050201753</v>
      </c>
      <c r="G28" s="110">
        <f t="shared" si="21"/>
        <v>0.63975694982348585</v>
      </c>
      <c r="H28" s="412" t="b">
        <f>Wh_hp&gt;='2026'!Maxi_hp</f>
        <v>0</v>
      </c>
      <c r="I28" s="390">
        <f>IF(H28,Wh_hp,'2026'!Maxi_hp)</f>
        <v>31.541619457007879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6.6831096926568856E-2</v>
      </c>
      <c r="M28" s="957"/>
      <c r="N28" s="957"/>
      <c r="O28" s="48">
        <f>IF(t&lt;Tnet,'2026'!Resal+('2026'!Salim-'2026'!Resal)*(1-EXP(('2026'!Tnet-t)/('2026'!Tau_j))),Resal+(Salim-Resal)*(1-EXP((Tnet-t)/(Tau_j))))*Salcycl</f>
        <v>3.9890296254300399E-2</v>
      </c>
      <c r="P28" s="169">
        <f>(INDEX(Models!$BJ28:$BT28,,T28)*(1-R28)+INDEX(Models!$BJ28:$BT28,,T28+1)*R28-ERP_i)*Q28*Ramure*Pc/MaxiM</f>
        <v>4.0321632178414238E-4</v>
      </c>
      <c r="Q28" s="305">
        <f t="shared" si="4"/>
        <v>0.7</v>
      </c>
      <c r="R28" s="177">
        <f t="shared" si="5"/>
        <v>0.97554209140512738</v>
      </c>
      <c r="S28" s="919">
        <f t="shared" si="6"/>
        <v>-2</v>
      </c>
      <c r="T28" s="176">
        <f t="shared" si="7"/>
        <v>4</v>
      </c>
      <c r="U28" s="251">
        <f t="shared" si="8"/>
        <v>-1.0244579085948726</v>
      </c>
      <c r="V28" s="383">
        <f t="shared" si="9"/>
        <v>28.246014060552518</v>
      </c>
      <c r="W28" s="402">
        <f t="shared" si="10"/>
        <v>18.074333728048636</v>
      </c>
      <c r="X28" s="157">
        <f t="shared" si="11"/>
        <v>46401</v>
      </c>
      <c r="Y28" s="385">
        <f t="shared" si="12"/>
        <v>17.347987079059806</v>
      </c>
      <c r="Z28" s="385">
        <f t="shared" si="22"/>
        <v>18.590404182912096</v>
      </c>
      <c r="AA28" s="386">
        <f t="shared" si="13"/>
        <v>20.037120183106992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7.2201792821235899E-2</v>
      </c>
      <c r="AD28" s="231">
        <f>(INDEX(Models!$BJ28:$BT28,,AH28)*(1-AF28)+INDEX(Models!$BJ28:$BT28,,AH28+1)*AF28-ERP_i)*AE28*Ramure*Pc/MaxiM</f>
        <v>1.4323021279662359E-2</v>
      </c>
      <c r="AE28" s="305">
        <f t="shared" si="15"/>
        <v>0.7</v>
      </c>
      <c r="AF28" s="177">
        <f t="shared" si="23"/>
        <v>0.50052965777910607</v>
      </c>
      <c r="AG28" s="919">
        <f t="shared" si="24"/>
        <v>2</v>
      </c>
      <c r="AH28" s="176">
        <f t="shared" si="16"/>
        <v>8</v>
      </c>
      <c r="AI28" s="225">
        <f t="shared" si="17"/>
        <v>2.5005296577791061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1090">
        <f>IF(t&gt;Tmaj,'2026'!Wh/'2026'!Env_an*'2027'!Env_an,0.001*'[3]mon-tableau (2)'!$B$52)</f>
        <v>6.4260661412888336</v>
      </c>
      <c r="C29" s="953"/>
      <c r="D29" s="393">
        <f t="shared" si="0"/>
        <v>6.8864348892758906</v>
      </c>
      <c r="E29" s="385">
        <f t="shared" si="1"/>
        <v>7.1733418315884894</v>
      </c>
      <c r="F29" s="385">
        <f t="shared" si="2"/>
        <v>7.1733418315884894</v>
      </c>
      <c r="G29" s="110">
        <f t="shared" si="21"/>
        <v>0.22566886023477878</v>
      </c>
      <c r="H29" s="412" t="b">
        <f>Wh_hp&gt;='2026'!Maxi_hp</f>
        <v>0</v>
      </c>
      <c r="I29" s="390">
        <f>IF(H29,Wh_hp,'2026'!Maxi_hp)</f>
        <v>31.364833627737337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6.6851535720461097E-2</v>
      </c>
      <c r="M29" s="957"/>
      <c r="N29" s="957"/>
      <c r="O29" s="48">
        <f>IF(t&lt;Tnet,'2026'!Resal+('2026'!Salim-'2026'!Resal)*(1-EXP(('2026'!Tnet-t)/('2026'!Tau_j))),Resal+(Salim-Resal)*(1-EXP((Tnet-t)/(Tau_j))))*Salcycl</f>
        <v>3.9996273570733307E-2</v>
      </c>
      <c r="P29" s="169">
        <f>(INDEX(Models!$BJ29:$BT29,,T29)*(1-R29)+INDEX(Models!$BJ29:$BT29,,T29+1)*R29-ERP_i)*Q29*Ramure*Pc/MaxiM</f>
        <v>4.0094185373478017E-4</v>
      </c>
      <c r="Q29" s="305">
        <f t="shared" si="4"/>
        <v>0.7</v>
      </c>
      <c r="R29" s="177">
        <f t="shared" si="5"/>
        <v>0.97559183635529956</v>
      </c>
      <c r="S29" s="919">
        <f t="shared" si="6"/>
        <v>-2</v>
      </c>
      <c r="T29" s="176">
        <f t="shared" si="7"/>
        <v>4</v>
      </c>
      <c r="U29" s="251">
        <f t="shared" si="8"/>
        <v>-1.0244081636447004</v>
      </c>
      <c r="V29" s="383">
        <f t="shared" si="9"/>
        <v>28.464226990534392</v>
      </c>
      <c r="W29" s="402">
        <f t="shared" si="10"/>
        <v>6.4260661412888336</v>
      </c>
      <c r="X29" s="157">
        <f t="shared" si="11"/>
        <v>46402</v>
      </c>
      <c r="Y29" s="385">
        <f t="shared" si="12"/>
        <v>6.2100150253193451</v>
      </c>
      <c r="Z29" s="385">
        <f t="shared" si="22"/>
        <v>6.6549056908258919</v>
      </c>
      <c r="AA29" s="386">
        <f t="shared" si="13"/>
        <v>7.1733418315884894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7.2272610581530478E-2</v>
      </c>
      <c r="AD29" s="231">
        <f>(INDEX(Models!$BJ29:$BT29,,AH29)*(1-AF29)+INDEX(Models!$BJ29:$BT29,,AH29+1)*AF29-ERP_i)*AE29*Ramure*Pc/MaxiM</f>
        <v>1.4267118749591549E-2</v>
      </c>
      <c r="AE29" s="305">
        <f t="shared" si="15"/>
        <v>0.7</v>
      </c>
      <c r="AF29" s="177">
        <f t="shared" si="23"/>
        <v>0.50057940272927848</v>
      </c>
      <c r="AG29" s="919">
        <f t="shared" si="24"/>
        <v>2</v>
      </c>
      <c r="AH29" s="176">
        <f t="shared" si="16"/>
        <v>8</v>
      </c>
      <c r="AI29" s="225">
        <f t="shared" si="17"/>
        <v>2.5005794027292785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1090">
        <f>IF(t&gt;Tmaj,'2026'!Wh/'2026'!Env_an*'2027'!Env_an,0.001*'[3]mon-tableau (2)'!$B$53)</f>
        <v>3.245831181842679</v>
      </c>
      <c r="C30" s="953"/>
      <c r="D30" s="393">
        <f t="shared" si="0"/>
        <v>3.4784414267230042</v>
      </c>
      <c r="E30" s="385">
        <f t="shared" si="1"/>
        <v>3.6237621849904054</v>
      </c>
      <c r="F30" s="385">
        <f t="shared" si="2"/>
        <v>3.6237621849904054</v>
      </c>
      <c r="G30" s="110">
        <f t="shared" si="21"/>
        <v>0.11310120861432137</v>
      </c>
      <c r="H30" s="412" t="b">
        <f>Wh_hp&gt;='2026'!Maxi_hp</f>
        <v>0</v>
      </c>
      <c r="I30" s="390">
        <f>IF(H30,Wh_hp,'2026'!Maxi_hp)</f>
        <v>32.204114318448951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6.6871974066691209E-2</v>
      </c>
      <c r="M30" s="957"/>
      <c r="N30" s="957"/>
      <c r="O30" s="48">
        <f>IF(t&lt;Tnet,'2026'!Resal+('2026'!Salim-'2026'!Resal)*(1-EXP(('2026'!Tnet-t)/('2026'!Tau_j))),Resal+(Salim-Resal)*(1-EXP((Tnet-t)/(Tau_j))))*Salcycl</f>
        <v>4.0102178578196666E-2</v>
      </c>
      <c r="P30" s="169">
        <f>(INDEX(Models!$BJ30:$BT30,,T30)*(1-R30)+INDEX(Models!$BJ30:$BT30,,T30+1)*R30-ERP_i)*Q30*Ramure*Pc/MaxiM</f>
        <v>3.9832873190925221E-4</v>
      </c>
      <c r="Q30" s="305">
        <f t="shared" si="4"/>
        <v>0.7</v>
      </c>
      <c r="R30" s="177">
        <f t="shared" si="5"/>
        <v>0.97564365767069283</v>
      </c>
      <c r="S30" s="919">
        <f t="shared" si="6"/>
        <v>-2</v>
      </c>
      <c r="T30" s="176">
        <f t="shared" si="7"/>
        <v>4</v>
      </c>
      <c r="U30" s="251">
        <f t="shared" si="8"/>
        <v>-1.0243563423293072</v>
      </c>
      <c r="V30" s="383">
        <f t="shared" si="9"/>
        <v>28.687034504538321</v>
      </c>
      <c r="W30" s="402">
        <f t="shared" si="10"/>
        <v>3.245831181842679</v>
      </c>
      <c r="X30" s="157">
        <f t="shared" si="11"/>
        <v>46403</v>
      </c>
      <c r="Y30" s="385">
        <f t="shared" si="12"/>
        <v>3.1368095115028698</v>
      </c>
      <c r="Z30" s="385">
        <f t="shared" si="22"/>
        <v>3.3616067938431629</v>
      </c>
      <c r="AA30" s="386">
        <f t="shared" si="13"/>
        <v>3.6237621849904054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7.234343142965842E-2</v>
      </c>
      <c r="AD30" s="231">
        <f>(INDEX(Models!$BJ30:$BT30,,AH30)*(1-AF30)+INDEX(Models!$BJ30:$BT30,,AH30+1)*AF30-ERP_i)*AE30*Ramure*Pc/MaxiM</f>
        <v>1.4179922107975671E-2</v>
      </c>
      <c r="AE30" s="305">
        <f t="shared" si="15"/>
        <v>0.7</v>
      </c>
      <c r="AF30" s="177">
        <f t="shared" si="23"/>
        <v>0.50063122404467197</v>
      </c>
      <c r="AG30" s="919">
        <f t="shared" si="24"/>
        <v>2</v>
      </c>
      <c r="AH30" s="176">
        <f t="shared" si="16"/>
        <v>8</v>
      </c>
      <c r="AI30" s="225">
        <f t="shared" si="17"/>
        <v>2.500631224044672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1090">
        <f>IF(t&gt;Tmaj,'2026'!Wh/'2026'!Env_an*'2027'!Env_an,0.001*'[3]mon-tableau (2)'!$B$54)</f>
        <v>5.8799811600339922</v>
      </c>
      <c r="C31" s="953"/>
      <c r="D31" s="393">
        <f t="shared" si="0"/>
        <v>6.301503958850172</v>
      </c>
      <c r="E31" s="385">
        <f t="shared" si="1"/>
        <v>6.5654892364268518</v>
      </c>
      <c r="F31" s="385">
        <f t="shared" si="2"/>
        <v>6.5654892364268518</v>
      </c>
      <c r="G31" s="110">
        <f t="shared" si="21"/>
        <v>0.20327529178168144</v>
      </c>
      <c r="H31" s="412" t="b">
        <f>Wh_hp&gt;='2026'!Maxi_hp</f>
        <v>0</v>
      </c>
      <c r="I31" s="390">
        <f>IF(H31,Wh_hp,'2026'!Maxi_hp)</f>
        <v>21.487958895001182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6.6892411965269072E-2</v>
      </c>
      <c r="M31" s="957"/>
      <c r="N31" s="957"/>
      <c r="O31" s="48">
        <f>IF(t&lt;Tnet,'2026'!Resal+('2026'!Salim-'2026'!Resal)*(1-EXP(('2026'!Tnet-t)/('2026'!Tau_j))),Resal+(Salim-Resal)*(1-EXP((Tnet-t)/(Tau_j))))*Salcycl</f>
        <v>4.0208013153388199E-2</v>
      </c>
      <c r="P31" s="169">
        <f>(INDEX(Models!$BJ31:$BT31,,T31)*(1-R31)+INDEX(Models!$BJ31:$BT31,,T31+1)*R31-ERP_i)*Q31*Ramure*Pc/MaxiM</f>
        <v>3.9510161667089113E-4</v>
      </c>
      <c r="Q31" s="305">
        <f t="shared" si="4"/>
        <v>0.7</v>
      </c>
      <c r="R31" s="177">
        <f t="shared" si="5"/>
        <v>0.9756976415600469</v>
      </c>
      <c r="S31" s="919">
        <f t="shared" si="6"/>
        <v>-2</v>
      </c>
      <c r="T31" s="176">
        <f t="shared" si="7"/>
        <v>4</v>
      </c>
      <c r="U31" s="251">
        <f t="shared" si="8"/>
        <v>-1.0243023584399531</v>
      </c>
      <c r="V31" s="383">
        <f t="shared" si="9"/>
        <v>28.914768334384188</v>
      </c>
      <c r="W31" s="402">
        <f t="shared" si="10"/>
        <v>5.8799811600339922</v>
      </c>
      <c r="X31" s="157">
        <f t="shared" si="11"/>
        <v>46404</v>
      </c>
      <c r="Y31" s="385">
        <f t="shared" si="12"/>
        <v>5.682675789051296</v>
      </c>
      <c r="Z31" s="385">
        <f t="shared" si="22"/>
        <v>6.090054203738597</v>
      </c>
      <c r="AA31" s="386">
        <f t="shared" si="13"/>
        <v>6.5654892364268518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7.2414258186645375E-2</v>
      </c>
      <c r="AD31" s="231">
        <f>(INDEX(Models!$BJ31:$BT31,,AH31)*(1-AF31)+INDEX(Models!$BJ31:$BT31,,AH31+1)*AF31-ERP_i)*AE31*Ramure*Pc/MaxiM</f>
        <v>1.4067995228589036E-2</v>
      </c>
      <c r="AE31" s="305">
        <f t="shared" si="15"/>
        <v>0.7</v>
      </c>
      <c r="AF31" s="177">
        <f t="shared" si="23"/>
        <v>0.50068520793402582</v>
      </c>
      <c r="AG31" s="919">
        <f t="shared" si="24"/>
        <v>2</v>
      </c>
      <c r="AH31" s="176">
        <f t="shared" si="16"/>
        <v>8</v>
      </c>
      <c r="AI31" s="225">
        <f t="shared" si="17"/>
        <v>2.5006852079340258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1090">
        <f>IF(t&gt;Tmaj,'2026'!Wh/'2026'!Env_an*'2027'!Env_an,0.001*'[3]mon-tableau (2)'!$B$55)</f>
        <v>20.499045081065095</v>
      </c>
      <c r="C32" s="953"/>
      <c r="D32" s="393">
        <f t="shared" si="0"/>
        <v>21.969057304282519</v>
      </c>
      <c r="E32" s="385">
        <f t="shared" si="1"/>
        <v>22.891916997267735</v>
      </c>
      <c r="F32" s="385">
        <f t="shared" si="2"/>
        <v>22.897078396770805</v>
      </c>
      <c r="G32" s="110">
        <f t="shared" si="21"/>
        <v>0.70316381506992198</v>
      </c>
      <c r="H32" s="412" t="b">
        <f>Wh_hp&gt;='2026'!Maxi_hp</f>
        <v>0</v>
      </c>
      <c r="I32" s="390">
        <f>IF(H32,Wh_hp,'2026'!Maxi_hp)</f>
        <v>30.961638796552403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6.6912849416204456E-2</v>
      </c>
      <c r="M32" s="957"/>
      <c r="N32" s="957"/>
      <c r="O32" s="48">
        <f>IF(t&lt;Tnet,'2026'!Resal+('2026'!Salim-'2026'!Resal)*(1-EXP(('2026'!Tnet-t)/('2026'!Tau_j))),Resal+(Salim-Resal)*(1-EXP((Tnet-t)/(Tau_j))))*Salcycl</f>
        <v>4.0313779448674598E-2</v>
      </c>
      <c r="P32" s="169">
        <f>(INDEX(Models!$BJ32:$BT32,,T32)*(1-R32)+INDEX(Models!$BJ32:$BT32,,T32+1)*R32-ERP_i)*Q32*Ramure*Pc/MaxiM</f>
        <v>3.91271521927011E-4</v>
      </c>
      <c r="Q32" s="305">
        <f t="shared" si="4"/>
        <v>0.7</v>
      </c>
      <c r="R32" s="177">
        <f t="shared" si="5"/>
        <v>0.97575387777218858</v>
      </c>
      <c r="S32" s="919">
        <f t="shared" si="6"/>
        <v>-2</v>
      </c>
      <c r="T32" s="176">
        <f t="shared" si="7"/>
        <v>4</v>
      </c>
      <c r="U32" s="251">
        <f t="shared" si="8"/>
        <v>-1.0242461222278114</v>
      </c>
      <c r="V32" s="383">
        <f t="shared" si="9"/>
        <v>29.147751951668727</v>
      </c>
      <c r="W32" s="402">
        <f t="shared" si="10"/>
        <v>20.499045081065095</v>
      </c>
      <c r="X32" s="157">
        <f t="shared" si="11"/>
        <v>46405</v>
      </c>
      <c r="Y32" s="385">
        <f t="shared" si="12"/>
        <v>19.657275652336207</v>
      </c>
      <c r="Z32" s="385">
        <f t="shared" si="22"/>
        <v>21.066923534460237</v>
      </c>
      <c r="AA32" s="386">
        <f t="shared" si="13"/>
        <v>22.713299162821688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7.2485094153839386E-2</v>
      </c>
      <c r="AD32" s="231">
        <f>(INDEX(Models!$BJ32:$BT32,,AH32)*(1-AF32)+INDEX(Models!$BJ32:$BT32,,AH32+1)*AF32-ERP_i)*AE32*Ramure*Pc/MaxiM</f>
        <v>1.3931799025261751E-2</v>
      </c>
      <c r="AE32" s="305">
        <f t="shared" si="15"/>
        <v>0.7</v>
      </c>
      <c r="AF32" s="177">
        <f t="shared" si="23"/>
        <v>0.5007414441461675</v>
      </c>
      <c r="AG32" s="919">
        <f t="shared" si="24"/>
        <v>2</v>
      </c>
      <c r="AH32" s="176">
        <f t="shared" si="16"/>
        <v>8</v>
      </c>
      <c r="AI32" s="225">
        <f t="shared" si="17"/>
        <v>2.5007414441461675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1090">
        <f>IF(t&gt;Tmaj,'2026'!Wh/'2026'!Env_an*'2027'!Env_an,0.001*'[3]mon-tableau (2)'!$B$56)</f>
        <v>9.2198101797493699</v>
      </c>
      <c r="C33" s="953"/>
      <c r="D33" s="393">
        <f t="shared" si="0"/>
        <v>9.881190750412518</v>
      </c>
      <c r="E33" s="385">
        <f t="shared" si="1"/>
        <v>10.297406567256695</v>
      </c>
      <c r="F33" s="385">
        <f t="shared" si="2"/>
        <v>10.297484788269566</v>
      </c>
      <c r="G33" s="110">
        <f t="shared" si="21"/>
        <v>0.31362610440186028</v>
      </c>
      <c r="H33" s="412" t="b">
        <f>Wh_hp&gt;='2026'!Maxi_hp</f>
        <v>0</v>
      </c>
      <c r="I33" s="390">
        <f>IF(H33,Wh_hp,'2026'!Maxi_hp)</f>
        <v>32.578902251016416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6.6933286419507354E-2</v>
      </c>
      <c r="M33" s="957"/>
      <c r="N33" s="957"/>
      <c r="O33" s="48">
        <f>IF(t&lt;Tnet,'2026'!Resal+('2026'!Salim-'2026'!Resal)*(1-EXP(('2026'!Tnet-t)/('2026'!Tau_j))),Resal+(Salim-Resal)*(1-EXP((Tnet-t)/(Tau_j))))*Salcycl</f>
        <v>4.0419479810348151E-2</v>
      </c>
      <c r="P33" s="169">
        <f>(INDEX(Models!$BJ33:$BT33,,T33)*(1-R33)+INDEX(Models!$BJ33:$BT33,,T33+1)*R33-ERP_i)*Q33*Ramure*Pc/MaxiM</f>
        <v>3.8684999096807857E-4</v>
      </c>
      <c r="Q33" s="305">
        <f t="shared" si="4"/>
        <v>0.7</v>
      </c>
      <c r="R33" s="177">
        <f t="shared" si="5"/>
        <v>0.97581245973804953</v>
      </c>
      <c r="S33" s="919">
        <f t="shared" si="6"/>
        <v>-2</v>
      </c>
      <c r="T33" s="176">
        <f t="shared" si="7"/>
        <v>4</v>
      </c>
      <c r="U33" s="251">
        <f t="shared" si="8"/>
        <v>-1.0241875402619505</v>
      </c>
      <c r="V33" s="383">
        <f t="shared" si="9"/>
        <v>29.386308649718746</v>
      </c>
      <c r="W33" s="402">
        <f t="shared" si="10"/>
        <v>9.2198101797493699</v>
      </c>
      <c r="X33" s="157">
        <f t="shared" si="11"/>
        <v>46406</v>
      </c>
      <c r="Y33" s="385">
        <f t="shared" si="12"/>
        <v>8.9086956026897255</v>
      </c>
      <c r="Z33" s="385">
        <f t="shared" si="22"/>
        <v>9.5477584539523939</v>
      </c>
      <c r="AA33" s="386">
        <f t="shared" si="13"/>
        <v>10.294700129352215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7.2555942962354292E-2</v>
      </c>
      <c r="AD33" s="231">
        <f>(INDEX(Models!$BJ33:$BT33,,AH33)*(1-AF33)+INDEX(Models!$BJ33:$BT33,,AH33+1)*AF33-ERP_i)*AE33*Ramure*Pc/MaxiM</f>
        <v>1.377181447163874E-2</v>
      </c>
      <c r="AE33" s="305">
        <f t="shared" si="15"/>
        <v>0.7</v>
      </c>
      <c r="AF33" s="177">
        <f t="shared" si="23"/>
        <v>0.50080002611202845</v>
      </c>
      <c r="AG33" s="919">
        <f t="shared" si="24"/>
        <v>2</v>
      </c>
      <c r="AH33" s="176">
        <f t="shared" si="16"/>
        <v>8</v>
      </c>
      <c r="AI33" s="225">
        <f t="shared" si="17"/>
        <v>2.5008000261120285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1090">
        <f>IF(t&gt;Tmaj,'2026'!Wh/'2026'!Env_an*'2027'!Env_an,0.001*'[3]mon-tableau (2)'!$B$57)</f>
        <v>17.727488683411327</v>
      </c>
      <c r="C34" s="953"/>
      <c r="D34" s="393">
        <f t="shared" si="0"/>
        <v>18.999581392617138</v>
      </c>
      <c r="E34" s="385">
        <f t="shared" si="1"/>
        <v>19.802062277274544</v>
      </c>
      <c r="F34" s="385">
        <f t="shared" si="2"/>
        <v>19.805284838972309</v>
      </c>
      <c r="G34" s="110">
        <f t="shared" si="21"/>
        <v>0.5981487609948225</v>
      </c>
      <c r="H34" s="412" t="b">
        <f>Wh_hp&gt;='2026'!Maxi_hp</f>
        <v>0</v>
      </c>
      <c r="I34" s="390">
        <f>IF(H34,Wh_hp,'2026'!Maxi_hp)</f>
        <v>19.807509656695551</v>
      </c>
      <c r="J34" s="85">
        <f>IF(H34,An,'2026'!An_max)</f>
        <v>2026</v>
      </c>
      <c r="K34" s="197">
        <f t="shared" si="3"/>
        <v>46407</v>
      </c>
      <c r="L34" s="147">
        <f>IF(t&lt;Tvie,1-EXP((T0-t)*PertePVj)+'2026'!Pspv,1-EXP((T0-t)*PertePVj)+Pspv)</f>
        <v>6.6953722975187313E-2</v>
      </c>
      <c r="M34" s="957"/>
      <c r="N34" s="957"/>
      <c r="O34" s="48">
        <f>IF(t&lt;Tnet,'2026'!Resal+('2026'!Salim-'2026'!Resal)*(1-EXP(('2026'!Tnet-t)/('2026'!Tau_j))),Resal+(Salim-Resal)*(1-EXP((Tnet-t)/(Tau_j))))*Salcycl</f>
        <v>4.0525116698494491E-2</v>
      </c>
      <c r="P34" s="169">
        <f>(INDEX(Models!$BJ34:$BT34,,T34)*(1-R34)+INDEX(Models!$BJ34:$BT34,,T34+1)*R34-ERP_i)*Q34*Ramure*Pc/MaxiM</f>
        <v>3.8185124911753883E-4</v>
      </c>
      <c r="Q34" s="305">
        <f t="shared" si="4"/>
        <v>0.7</v>
      </c>
      <c r="R34" s="177">
        <f t="shared" si="5"/>
        <v>0.97587348471809232</v>
      </c>
      <c r="S34" s="919">
        <f t="shared" si="6"/>
        <v>-2</v>
      </c>
      <c r="T34" s="176">
        <f t="shared" si="7"/>
        <v>4</v>
      </c>
      <c r="U34" s="251">
        <f t="shared" si="8"/>
        <v>-1.0241265152819077</v>
      </c>
      <c r="V34" s="383">
        <f t="shared" si="9"/>
        <v>29.630761479672248</v>
      </c>
      <c r="W34" s="402">
        <f t="shared" si="10"/>
        <v>17.727488683411327</v>
      </c>
      <c r="X34" s="157">
        <f t="shared" si="11"/>
        <v>46407</v>
      </c>
      <c r="Y34" s="385">
        <f t="shared" si="12"/>
        <v>17.037929196875648</v>
      </c>
      <c r="Z34" s="385">
        <f t="shared" si="22"/>
        <v>18.26054035733809</v>
      </c>
      <c r="AA34" s="386">
        <f t="shared" si="13"/>
        <v>19.690606244895857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7.2626808426909981E-2</v>
      </c>
      <c r="AD34" s="231">
        <f>(INDEX(Models!$BJ34:$BT34,,AH34)*(1-AF34)+INDEX(Models!$BJ34:$BT34,,AH34+1)*AF34-ERP_i)*AE34*Ramure*Pc/MaxiM</f>
        <v>1.3588619397272954E-2</v>
      </c>
      <c r="AE34" s="305">
        <f t="shared" si="15"/>
        <v>0.7</v>
      </c>
      <c r="AF34" s="177">
        <f t="shared" si="23"/>
        <v>0.50086105109207102</v>
      </c>
      <c r="AG34" s="919">
        <f t="shared" si="24"/>
        <v>2</v>
      </c>
      <c r="AH34" s="176">
        <f t="shared" si="16"/>
        <v>8</v>
      </c>
      <c r="AI34" s="225">
        <f t="shared" si="17"/>
        <v>2.500861051092071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1090">
        <f>IF(t&gt;Tmaj,'2026'!Wh/'2026'!Env_an*'2027'!Env_an,0.001*'[3]mon-tableau (2)'!$B$58)</f>
        <v>4.935513551344795</v>
      </c>
      <c r="C35" s="953"/>
      <c r="D35" s="393">
        <f t="shared" si="0"/>
        <v>5.2897929884722164</v>
      </c>
      <c r="E35" s="385">
        <f t="shared" si="1"/>
        <v>5.5138234543479463</v>
      </c>
      <c r="F35" s="385">
        <f t="shared" si="2"/>
        <v>5.5138234543479463</v>
      </c>
      <c r="G35" s="110">
        <f t="shared" si="21"/>
        <v>0.16510775485352153</v>
      </c>
      <c r="H35" s="412" t="b">
        <f>Wh_hp&gt;='2026'!Maxi_hp</f>
        <v>0</v>
      </c>
      <c r="I35" s="390">
        <f>IF(H35,Wh_hp,'2026'!Maxi_hp)</f>
        <v>18.089681774090039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6.6974159083254325E-2</v>
      </c>
      <c r="M35" s="957"/>
      <c r="N35" s="957"/>
      <c r="O35" s="48">
        <f>IF(t&lt;Tnet,'2026'!Resal+('2026'!Salim-'2026'!Resal)*(1-EXP(('2026'!Tnet-t)/('2026'!Tau_j))),Resal+(Salim-Resal)*(1-EXP((Tnet-t)/(Tau_j))))*Salcycl</f>
        <v>4.0630692609330804E-2</v>
      </c>
      <c r="P35" s="169">
        <f>(INDEX(Models!$BJ35:$BT35,,T35)*(1-R35)+INDEX(Models!$BJ35:$BT35,,T35+1)*R35-ERP_i)*Q35*Ramure*Pc/MaxiM</f>
        <v>3.7629091556406384E-4</v>
      </c>
      <c r="Q35" s="305">
        <f t="shared" si="4"/>
        <v>0.7</v>
      </c>
      <c r="R35" s="177">
        <f t="shared" si="5"/>
        <v>0.97593705395532848</v>
      </c>
      <c r="S35" s="919">
        <f t="shared" si="6"/>
        <v>-2</v>
      </c>
      <c r="T35" s="176">
        <f t="shared" si="7"/>
        <v>4</v>
      </c>
      <c r="U35" s="251">
        <f t="shared" si="8"/>
        <v>-1.0240629460446715</v>
      </c>
      <c r="V35" s="383">
        <f t="shared" si="9"/>
        <v>29.881433290694112</v>
      </c>
      <c r="W35" s="402">
        <f t="shared" si="10"/>
        <v>4.935513551344795</v>
      </c>
      <c r="X35" s="157">
        <f t="shared" si="11"/>
        <v>46408</v>
      </c>
      <c r="Y35" s="385">
        <f t="shared" si="12"/>
        <v>4.7705435854547504</v>
      </c>
      <c r="Z35" s="385">
        <f t="shared" si="22"/>
        <v>5.1129812018576537</v>
      </c>
      <c r="AA35" s="386">
        <f t="shared" si="13"/>
        <v>5.5138234543479463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7.2697694405541233E-2</v>
      </c>
      <c r="AD35" s="231">
        <f>(INDEX(Models!$BJ35:$BT35,,AH35)*(1-AF35)+INDEX(Models!$BJ35:$BT35,,AH35+1)*AF35-ERP_i)*AE35*Ramure*Pc/MaxiM</f>
        <v>1.3382842612890996E-2</v>
      </c>
      <c r="AE35" s="305">
        <f t="shared" si="15"/>
        <v>0.7</v>
      </c>
      <c r="AF35" s="177">
        <f t="shared" si="23"/>
        <v>0.5009246203293074</v>
      </c>
      <c r="AG35" s="919">
        <f t="shared" si="24"/>
        <v>2</v>
      </c>
      <c r="AH35" s="176">
        <f t="shared" si="16"/>
        <v>8</v>
      </c>
      <c r="AI35" s="225">
        <f t="shared" si="17"/>
        <v>2.5009246203293074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1090">
        <f>IF(t&gt;Tmaj,'2026'!Wh/'2026'!Env_an*'2027'!Env_an,0.001*'[3]mon-tableau (2)'!$B$59)</f>
        <v>29.26192335653645</v>
      </c>
      <c r="C36" s="953"/>
      <c r="D36" s="393">
        <f t="shared" si="0"/>
        <v>31.363080204769727</v>
      </c>
      <c r="E36" s="385">
        <f t="shared" si="1"/>
        <v>32.694948492527729</v>
      </c>
      <c r="F36" s="385">
        <f t="shared" si="2"/>
        <v>32.706552770447409</v>
      </c>
      <c r="G36" s="110">
        <f t="shared" si="21"/>
        <v>0.97089538310647494</v>
      </c>
      <c r="H36" s="412" t="b">
        <f>Wh_hp&gt;='2026'!Maxi_hp</f>
        <v>0</v>
      </c>
      <c r="I36" s="390">
        <f>IF(H36,Wh_hp,'2026'!Maxi_hp)</f>
        <v>32.706810677953882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6.6994594743718161E-2</v>
      </c>
      <c r="M36" s="957"/>
      <c r="N36" s="957"/>
      <c r="O36" s="48">
        <f>IF(t&lt;Tnet,'2026'!Resal+('2026'!Salim-'2026'!Resal)*(1-EXP(('2026'!Tnet-t)/('2026'!Tau_j))),Resal+(Salim-Resal)*(1-EXP((Tnet-t)/(Tau_j))))*Salcycl</f>
        <v>4.0736210000832135E-2</v>
      </c>
      <c r="P36" s="169">
        <f>(INDEX(Models!$BJ36:$BT36,,T36)*(1-R36)+INDEX(Models!$BJ36:$BT36,,T36+1)*R36-ERP_i)*Q36*Ramure*Pc/MaxiM</f>
        <v>3.701833777853411E-4</v>
      </c>
      <c r="Q36" s="305">
        <f t="shared" si="4"/>
        <v>0.7</v>
      </c>
      <c r="R36" s="177">
        <f t="shared" si="5"/>
        <v>0.97600327283411059</v>
      </c>
      <c r="S36" s="919">
        <f t="shared" si="6"/>
        <v>-2</v>
      </c>
      <c r="T36" s="176">
        <f t="shared" si="7"/>
        <v>4</v>
      </c>
      <c r="U36" s="251">
        <f t="shared" si="8"/>
        <v>-1.0239967271658894</v>
      </c>
      <c r="V36" s="383">
        <f t="shared" si="9"/>
        <v>30.138646812443412</v>
      </c>
      <c r="W36" s="402">
        <f t="shared" si="10"/>
        <v>29.26192335653645</v>
      </c>
      <c r="X36" s="157">
        <f t="shared" si="11"/>
        <v>46409</v>
      </c>
      <c r="Y36" s="385">
        <f t="shared" si="12"/>
        <v>27.93807592128919</v>
      </c>
      <c r="Z36" s="385">
        <f t="shared" si="22"/>
        <v>29.944173703490005</v>
      </c>
      <c r="AA36" s="386">
        <f t="shared" si="13"/>
        <v>32.294175816514105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7.2768604666553924E-2</v>
      </c>
      <c r="AD36" s="231">
        <f>(INDEX(Models!$BJ36:$BT36,,AH36)*(1-AF36)+INDEX(Models!$BJ36:$BT36,,AH36+1)*AF36-ERP_i)*AE36*Ramure*Pc/MaxiM</f>
        <v>1.3155070464910325E-2</v>
      </c>
      <c r="AE36" s="305">
        <f t="shared" si="15"/>
        <v>0.7</v>
      </c>
      <c r="AF36" s="177">
        <f t="shared" si="23"/>
        <v>0.50099083920808951</v>
      </c>
      <c r="AG36" s="919">
        <f t="shared" si="24"/>
        <v>2</v>
      </c>
      <c r="AH36" s="176">
        <f t="shared" si="16"/>
        <v>8</v>
      </c>
      <c r="AI36" s="225">
        <f t="shared" si="17"/>
        <v>2.5009908392080895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1090">
        <f>IF(t&gt;Tmaj,'2026'!Wh/'2026'!Env_an*'2027'!Env_an,0.001*'[3]mon-tableau (2)'!$B$60)</f>
        <v>29.31889502916896</v>
      </c>
      <c r="C37" s="953"/>
      <c r="D37" s="393">
        <f t="shared" si="0"/>
        <v>31.424831021452317</v>
      </c>
      <c r="E37" s="385">
        <f t="shared" si="1"/>
        <v>32.76292357436148</v>
      </c>
      <c r="F37" s="385">
        <f t="shared" si="2"/>
        <v>32.774230287939275</v>
      </c>
      <c r="G37" s="110">
        <f t="shared" si="21"/>
        <v>0.96428596294172808</v>
      </c>
      <c r="H37" s="412" t="b">
        <f>Wh_hp&gt;='2026'!Maxi_hp</f>
        <v>0</v>
      </c>
      <c r="I37" s="390">
        <f>IF(H37,Wh_hp,'2026'!Maxi_hp)</f>
        <v>32.774541693857003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6.7015029956588479E-2</v>
      </c>
      <c r="M37" s="957"/>
      <c r="N37" s="957"/>
      <c r="O37" s="48">
        <f>IF(t&lt;Tnet,'2026'!Resal+('2026'!Salim-'2026'!Resal)*(1-EXP(('2026'!Tnet-t)/('2026'!Tau_j))),Resal+(Salim-Resal)*(1-EXP((Tnet-t)/(Tau_j))))*Salcycl</f>
        <v>4.0841671222414534E-2</v>
      </c>
      <c r="P37" s="169">
        <f>(INDEX(Models!$BJ37:$BT37,,T37)*(1-R37)+INDEX(Models!$BJ37:$BT37,,T37+1)*R37-ERP_i)*Q37*Ramure*Pc/MaxiM</f>
        <v>3.6352573694215597E-4</v>
      </c>
      <c r="Q37" s="305">
        <f t="shared" si="4"/>
        <v>0.7</v>
      </c>
      <c r="R37" s="177">
        <f t="shared" si="5"/>
        <v>0.97607225104488782</v>
      </c>
      <c r="S37" s="919">
        <f t="shared" si="6"/>
        <v>-2</v>
      </c>
      <c r="T37" s="176">
        <f t="shared" si="7"/>
        <v>4</v>
      </c>
      <c r="U37" s="251">
        <f t="shared" si="8"/>
        <v>-1.0239277489551122</v>
      </c>
      <c r="V37" s="383">
        <f t="shared" si="9"/>
        <v>30.40420835732936</v>
      </c>
      <c r="W37" s="402">
        <f t="shared" si="10"/>
        <v>29.31889502916896</v>
      </c>
      <c r="X37" s="157">
        <f t="shared" si="11"/>
        <v>46410</v>
      </c>
      <c r="Y37" s="385">
        <f t="shared" si="12"/>
        <v>28.003371906891193</v>
      </c>
      <c r="Z37" s="385">
        <f t="shared" si="22"/>
        <v>30.01481567874368</v>
      </c>
      <c r="AA37" s="386">
        <f t="shared" si="13"/>
        <v>32.372838427797397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7.2839542764003312E-2</v>
      </c>
      <c r="AD37" s="231">
        <f>(INDEX(Models!$BJ37:$BT37,,AH37)*(1-AF37)+INDEX(Models!$BJ37:$BT37,,AH37+1)*AF37-ERP_i)*AE37*Ramure*Pc/MaxiM</f>
        <v>1.290527709547922E-2</v>
      </c>
      <c r="AE37" s="305">
        <f t="shared" si="15"/>
        <v>0.7</v>
      </c>
      <c r="AF37" s="177">
        <f t="shared" si="23"/>
        <v>0.50105981741886652</v>
      </c>
      <c r="AG37" s="919">
        <f t="shared" si="24"/>
        <v>2</v>
      </c>
      <c r="AH37" s="176">
        <f t="shared" si="16"/>
        <v>8</v>
      </c>
      <c r="AI37" s="225">
        <f t="shared" si="17"/>
        <v>2.5010598174188665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1090">
        <f>IF(t&gt;Tmaj,'2026'!Wh/'2026'!Env_an*'2027'!Env_an,0.001*'[3]mon-tableau (2)'!$B$61)</f>
        <v>29.593415136372656</v>
      </c>
      <c r="C38" s="953"/>
      <c r="D38" s="393">
        <f t="shared" si="0"/>
        <v>31.719764275445481</v>
      </c>
      <c r="E38" s="385">
        <f t="shared" si="1"/>
        <v>33.07404999523952</v>
      </c>
      <c r="F38" s="385">
        <f t="shared" si="2"/>
        <v>33.085253663952415</v>
      </c>
      <c r="G38" s="110">
        <f t="shared" si="21"/>
        <v>0.96459765027632882</v>
      </c>
      <c r="H38" s="412" t="b">
        <f>Wh_hp&gt;='2026'!Maxi_hp</f>
        <v>0</v>
      </c>
      <c r="I38" s="390">
        <f>IF(H38,Wh_hp,'2026'!Maxi_hp)</f>
        <v>33.085559372945198</v>
      </c>
      <c r="J38" s="85">
        <f>IF(H38,An,'2026'!An_max)</f>
        <v>2026</v>
      </c>
      <c r="K38" s="197">
        <f t="shared" si="3"/>
        <v>46411</v>
      </c>
      <c r="L38" s="147">
        <f>IF(t&lt;Tvie,1-EXP((T0-t)*PertePVj)+'2026'!Pspv,1-EXP((T0-t)*PertePVj)+Pspv)</f>
        <v>6.7035464721875271E-2</v>
      </c>
      <c r="M38" s="957"/>
      <c r="N38" s="957"/>
      <c r="O38" s="48">
        <f>IF(t&lt;Tnet,'2026'!Resal+('2026'!Salim-'2026'!Resal)*(1-EXP(('2026'!Tnet-t)/('2026'!Tau_j))),Resal+(Salim-Resal)*(1-EXP((Tnet-t)/(Tau_j))))*Salcycl</f>
        <v>4.0947078449387525E-2</v>
      </c>
      <c r="P38" s="169">
        <f>(INDEX(Models!$BJ38:$BT38,,T38)*(1-R38)+INDEX(Models!$BJ38:$BT38,,T38+1)*R38-ERP_i)*Q38*Ramure*Pc/MaxiM</f>
        <v>3.566593879782544E-4</v>
      </c>
      <c r="Q38" s="305">
        <f t="shared" si="4"/>
        <v>0.7</v>
      </c>
      <c r="R38" s="177">
        <f t="shared" si="5"/>
        <v>0.9761441027551172</v>
      </c>
      <c r="S38" s="919">
        <f t="shared" si="6"/>
        <v>-2</v>
      </c>
      <c r="T38" s="176">
        <f t="shared" si="7"/>
        <v>4</v>
      </c>
      <c r="U38" s="251">
        <f t="shared" si="8"/>
        <v>-1.0238558972448828</v>
      </c>
      <c r="V38" s="383">
        <f t="shared" si="9"/>
        <v>30.67898973658496</v>
      </c>
      <c r="W38" s="402">
        <f t="shared" si="10"/>
        <v>29.593415136372656</v>
      </c>
      <c r="X38" s="157">
        <f t="shared" si="11"/>
        <v>46411</v>
      </c>
      <c r="Y38" s="385">
        <f t="shared" si="12"/>
        <v>28.273910154032649</v>
      </c>
      <c r="Z38" s="385">
        <f t="shared" si="22"/>
        <v>30.30545008402056</v>
      </c>
      <c r="AA38" s="386">
        <f t="shared" si="13"/>
        <v>32.688807794462598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7.2910511922853721E-2</v>
      </c>
      <c r="AD38" s="231">
        <f>(INDEX(Models!$BJ38:$BT38,,AH38)*(1-AF38)+INDEX(Models!$BJ38:$BT38,,AH38+1)*AF38-ERP_i)*AE38*Ramure*Pc/MaxiM</f>
        <v>1.2620521438300893E-2</v>
      </c>
      <c r="AE38" s="305">
        <f t="shared" si="15"/>
        <v>0.7</v>
      </c>
      <c r="AF38" s="177">
        <f t="shared" si="23"/>
        <v>0.50113166912909612</v>
      </c>
      <c r="AG38" s="919">
        <f t="shared" si="24"/>
        <v>2</v>
      </c>
      <c r="AH38" s="176">
        <f t="shared" si="16"/>
        <v>8</v>
      </c>
      <c r="AI38" s="225">
        <f t="shared" si="17"/>
        <v>2.5011316691290961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1090">
        <f>IF(t&gt;Tmaj,'2026'!Wh/'2026'!Env_an*'2027'!Env_an,0.001*'[3]mon-tableau (2)'!$B$62)</f>
        <v>29.147218360734513</v>
      </c>
      <c r="C39" s="953"/>
      <c r="D39" s="393">
        <f t="shared" si="0"/>
        <v>31.242191606902431</v>
      </c>
      <c r="E39" s="385">
        <f t="shared" si="1"/>
        <v>32.579666190647814</v>
      </c>
      <c r="F39" s="385">
        <f t="shared" si="2"/>
        <v>32.590120011160977</v>
      </c>
      <c r="G39" s="110">
        <f t="shared" si="21"/>
        <v>0.94136185343822221</v>
      </c>
      <c r="H39" s="412" t="b">
        <f>Wh_hp&gt;='2026'!Maxi_hp</f>
        <v>0</v>
      </c>
      <c r="I39" s="390">
        <f>IF(H39,Wh_hp,'2026'!Maxi_hp)</f>
        <v>32.5906095515667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6.7055899039588196E-2</v>
      </c>
      <c r="M39" s="957"/>
      <c r="N39" s="957"/>
      <c r="O39" s="48">
        <f>IF(t&lt;Tnet,'2026'!Resal+('2026'!Salim-'2026'!Resal)*(1-EXP(('2026'!Tnet-t)/('2026'!Tau_j))),Resal+(Salim-Resal)*(1-EXP((Tnet-t)/(Tau_j))))*Salcycl</f>
        <v>4.1052433622825658E-2</v>
      </c>
      <c r="P39" s="169">
        <f>(INDEX(Models!$BJ39:$BT39,,T39)*(1-R39)+INDEX(Models!$BJ39:$BT39,,T39+1)*R39-ERP_i)*Q39*Ramure*Pc/MaxiM</f>
        <v>3.5007839018412799E-4</v>
      </c>
      <c r="Q39" s="305">
        <f t="shared" si="4"/>
        <v>0.7</v>
      </c>
      <c r="R39" s="177">
        <f t="shared" si="5"/>
        <v>0.97621894678652543</v>
      </c>
      <c r="S39" s="919">
        <f t="shared" si="6"/>
        <v>-2</v>
      </c>
      <c r="T39" s="176">
        <f t="shared" si="7"/>
        <v>4</v>
      </c>
      <c r="U39" s="251">
        <f t="shared" si="8"/>
        <v>-1.0237810532134746</v>
      </c>
      <c r="V39" s="383">
        <f t="shared" si="9"/>
        <v>30.961912915499539</v>
      </c>
      <c r="W39" s="402">
        <f t="shared" si="10"/>
        <v>29.147218360734513</v>
      </c>
      <c r="X39" s="157">
        <f t="shared" si="11"/>
        <v>46412</v>
      </c>
      <c r="Y39" s="385">
        <f t="shared" si="12"/>
        <v>27.867883667871105</v>
      </c>
      <c r="Z39" s="385">
        <f t="shared" si="22"/>
        <v>29.870903990049069</v>
      </c>
      <c r="AA39" s="386">
        <f t="shared" si="13"/>
        <v>32.22255485870911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7.2981514934854302E-2</v>
      </c>
      <c r="AD39" s="231">
        <f>(INDEX(Models!$BJ39:$BT39,,AH39)*(1-AF39)+INDEX(Models!$BJ39:$BT39,,AH39+1)*AF39-ERP_i)*AE39*Ramure*Pc/MaxiM</f>
        <v>1.2309051671215073E-2</v>
      </c>
      <c r="AE39" s="305">
        <f t="shared" si="15"/>
        <v>0.7</v>
      </c>
      <c r="AF39" s="177">
        <f t="shared" si="23"/>
        <v>0.50120651316050457</v>
      </c>
      <c r="AG39" s="919">
        <f t="shared" si="24"/>
        <v>2</v>
      </c>
      <c r="AH39" s="176">
        <f t="shared" si="16"/>
        <v>8</v>
      </c>
      <c r="AI39" s="225">
        <f t="shared" si="17"/>
        <v>2.5012065131605046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1090">
        <f>IF(t&gt;Tmaj,'2026'!Wh/'2026'!Env_an*'2027'!Env_an,0.001*'[3]mon-tableau (2)'!$B$63)</f>
        <v>29.897004702766345</v>
      </c>
      <c r="C40" s="953"/>
      <c r="D40" s="393">
        <f t="shared" si="0"/>
        <v>32.046571179840946</v>
      </c>
      <c r="E40" s="385">
        <f t="shared" si="1"/>
        <v>33.422151341361541</v>
      </c>
      <c r="F40" s="385">
        <f t="shared" si="2"/>
        <v>33.432933448143416</v>
      </c>
      <c r="G40" s="110">
        <f t="shared" si="21"/>
        <v>0.95662515153339589</v>
      </c>
      <c r="H40" s="412" t="b">
        <f>Wh_hp&gt;='2026'!Maxi_hp</f>
        <v>0</v>
      </c>
      <c r="I40" s="390">
        <f>IF(H40,Wh_hp,'2026'!Maxi_hp)</f>
        <v>33.433298226507091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6.7076332909737135E-2</v>
      </c>
      <c r="M40" s="957"/>
      <c r="N40" s="957"/>
      <c r="O40" s="48">
        <f>IF(t&lt;Tnet,'2026'!Resal+('2026'!Salim-'2026'!Resal)*(1-EXP(('2026'!Tnet-t)/('2026'!Tau_j))),Resal+(Salim-Resal)*(1-EXP((Tnet-t)/(Tau_j))))*Salcycl</f>
        <v>4.1157738395441033E-2</v>
      </c>
      <c r="P40" s="169">
        <f>(INDEX(Models!$BJ40:$BT40,,T40)*(1-R40)+INDEX(Models!$BJ40:$BT40,,T40+1)*R40-ERP_i)*Q40*Ramure*Pc/MaxiM</f>
        <v>3.4379233848284071E-4</v>
      </c>
      <c r="Q40" s="305">
        <f t="shared" si="4"/>
        <v>0.7</v>
      </c>
      <c r="R40" s="177">
        <f t="shared" si="5"/>
        <v>0.97629690679891823</v>
      </c>
      <c r="S40" s="919">
        <f t="shared" si="6"/>
        <v>-2</v>
      </c>
      <c r="T40" s="176">
        <f t="shared" si="7"/>
        <v>4</v>
      </c>
      <c r="U40" s="251">
        <f t="shared" si="8"/>
        <v>-1.0237030932010818</v>
      </c>
      <c r="V40" s="383">
        <f t="shared" si="9"/>
        <v>31.251914984241562</v>
      </c>
      <c r="W40" s="402">
        <f t="shared" si="10"/>
        <v>29.897004702766345</v>
      </c>
      <c r="X40" s="157">
        <f t="shared" si="11"/>
        <v>46413</v>
      </c>
      <c r="Y40" s="385">
        <f t="shared" si="12"/>
        <v>28.587136075081329</v>
      </c>
      <c r="Z40" s="385">
        <f t="shared" si="22"/>
        <v>30.642524231637321</v>
      </c>
      <c r="AA40" s="386">
        <f t="shared" si="13"/>
        <v>33.057455809442075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7.3052554066032727E-2</v>
      </c>
      <c r="AD40" s="231">
        <f>(INDEX(Models!$BJ40:$BT40,,AH40)*(1-AF40)+INDEX(Models!$BJ40:$BT40,,AH40+1)*AF40-ERP_i)*AE40*Ramure*Pc/MaxiM</f>
        <v>1.1972273885671193E-2</v>
      </c>
      <c r="AE40" s="305">
        <f t="shared" si="15"/>
        <v>0.7</v>
      </c>
      <c r="AF40" s="177">
        <f t="shared" si="23"/>
        <v>0.50128447317289693</v>
      </c>
      <c r="AG40" s="919">
        <f t="shared" si="24"/>
        <v>2</v>
      </c>
      <c r="AH40" s="176">
        <f t="shared" si="16"/>
        <v>8</v>
      </c>
      <c r="AI40" s="225">
        <f t="shared" si="17"/>
        <v>2.5012844731728969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1090">
        <f>IF(t&gt;Tmaj,'2026'!Wh/'2026'!Env_an*'2027'!Env_an,0.001*'[3]mon-tableau (2)'!$B$64)</f>
        <v>29.621506749319352</v>
      </c>
      <c r="C41" s="953"/>
      <c r="D41" s="393">
        <f t="shared" si="0"/>
        <v>31.751960632469562</v>
      </c>
      <c r="E41" s="385">
        <f t="shared" si="1"/>
        <v>33.118530354559368</v>
      </c>
      <c r="F41" s="385">
        <f t="shared" si="2"/>
        <v>33.128745300529971</v>
      </c>
      <c r="G41" s="110">
        <f t="shared" si="21"/>
        <v>0.93890883502112676</v>
      </c>
      <c r="H41" s="412" t="b">
        <f>Wh_hp&gt;='2026'!Maxi_hp</f>
        <v>0</v>
      </c>
      <c r="I41" s="390">
        <f>IF(H41,Wh_hp,'2026'!Maxi_hp)</f>
        <v>33.129245497186162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6.7096766332331859E-2</v>
      </c>
      <c r="M41" s="957"/>
      <c r="N41" s="957"/>
      <c r="O41" s="48">
        <f>IF(t&lt;Tnet,'2026'!Resal+('2026'!Salim-'2026'!Resal)*(1-EXP(('2026'!Tnet-t)/('2026'!Tau_j))),Resal+(Salim-Resal)*(1-EXP((Tnet-t)/(Tau_j))))*Salcycl</f>
        <v>4.1262994083965256E-2</v>
      </c>
      <c r="P41" s="169">
        <f>(INDEX(Models!$BJ41:$BT41,,T41)*(1-R41)+INDEX(Models!$BJ41:$BT41,,T41+1)*R41-ERP_i)*Q41*Ramure*Pc/MaxiM</f>
        <v>3.3780915796701545E-4</v>
      </c>
      <c r="Q41" s="305">
        <f t="shared" si="4"/>
        <v>0.7</v>
      </c>
      <c r="R41" s="177">
        <f t="shared" si="5"/>
        <v>0.97637811148073994</v>
      </c>
      <c r="S41" s="919">
        <f t="shared" si="6"/>
        <v>-2</v>
      </c>
      <c r="T41" s="176">
        <f t="shared" si="7"/>
        <v>4</v>
      </c>
      <c r="U41" s="251">
        <f t="shared" si="8"/>
        <v>-1.0236218885192601</v>
      </c>
      <c r="V41" s="383">
        <f t="shared" si="9"/>
        <v>31.547933601211728</v>
      </c>
      <c r="W41" s="402">
        <f t="shared" si="10"/>
        <v>29.621506749319352</v>
      </c>
      <c r="X41" s="157">
        <f t="shared" si="11"/>
        <v>46414</v>
      </c>
      <c r="Y41" s="385">
        <f t="shared" si="12"/>
        <v>28.342353475133564</v>
      </c>
      <c r="Z41" s="385">
        <f t="shared" si="22"/>
        <v>30.380807410975354</v>
      </c>
      <c r="AA41" s="386">
        <f t="shared" si="13"/>
        <v>32.777626473512321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7.3123630976570056E-2</v>
      </c>
      <c r="AD41" s="231">
        <f>(INDEX(Models!$BJ41:$BT41,,AH41)*(1-AF41)+INDEX(Models!$BJ41:$BT41,,AH41+1)*AF41-ERP_i)*AE41*Ramure*Pc/MaxiM</f>
        <v>1.1611530363699465E-2</v>
      </c>
      <c r="AE41" s="305">
        <f t="shared" si="15"/>
        <v>0.7</v>
      </c>
      <c r="AF41" s="177">
        <f t="shared" si="23"/>
        <v>0.50136567785471886</v>
      </c>
      <c r="AG41" s="919">
        <f t="shared" si="24"/>
        <v>2</v>
      </c>
      <c r="AH41" s="176">
        <f t="shared" si="16"/>
        <v>8</v>
      </c>
      <c r="AI41" s="225">
        <f t="shared" si="17"/>
        <v>2.5013656778547189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1090">
        <f>IF(t&gt;Tmaj,'2026'!Wh/'2026'!Env_an*'2027'!Env_an,0.001*'[3]mon-tableau (2)'!$B$65)</f>
        <v>4.0127976599235442</v>
      </c>
      <c r="C42" s="953"/>
      <c r="D42" s="393">
        <f t="shared" si="0"/>
        <v>4.3015024576980592</v>
      </c>
      <c r="E42" s="385">
        <f t="shared" si="1"/>
        <v>4.4871268249240464</v>
      </c>
      <c r="F42" s="385">
        <f t="shared" si="2"/>
        <v>4.4871268249240464</v>
      </c>
      <c r="G42" s="110">
        <f t="shared" si="21"/>
        <v>0.12595298381440054</v>
      </c>
      <c r="H42" s="412" t="b">
        <f>Wh_hp&gt;='2026'!Maxi_hp</f>
        <v>0</v>
      </c>
      <c r="I42" s="390">
        <f>IF(H42,Wh_hp,'2026'!Maxi_hp)</f>
        <v>17.427879917759782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6.7117199307382247E-2</v>
      </c>
      <c r="M42" s="957"/>
      <c r="N42" s="957"/>
      <c r="O42" s="48">
        <f>IF(t&lt;Tnet,'2026'!Resal+('2026'!Salim-'2026'!Resal)*(1-EXP(('2026'!Tnet-t)/('2026'!Tau_j))),Resal+(Salim-Resal)*(1-EXP((Tnet-t)/(Tau_j))))*Salcycl</f>
        <v>4.1368201628472899E-2</v>
      </c>
      <c r="P42" s="169">
        <f>(INDEX(Models!$BJ42:$BT42,,T42)*(1-R42)+INDEX(Models!$BJ42:$BT42,,T42+1)*R42-ERP_i)*Q42*Ramure*Pc/MaxiM</f>
        <v>3.3213526529337348E-4</v>
      </c>
      <c r="Q42" s="305">
        <f t="shared" si="4"/>
        <v>0.7</v>
      </c>
      <c r="R42" s="177">
        <f t="shared" si="5"/>
        <v>0.97646269474658598</v>
      </c>
      <c r="S42" s="919">
        <f t="shared" si="6"/>
        <v>-2</v>
      </c>
      <c r="T42" s="176">
        <f t="shared" si="7"/>
        <v>4</v>
      </c>
      <c r="U42" s="251">
        <f t="shared" si="8"/>
        <v>-1.023537305253414</v>
      </c>
      <c r="V42" s="383">
        <f t="shared" si="9"/>
        <v>31.84890700342071</v>
      </c>
      <c r="W42" s="402">
        <f t="shared" si="10"/>
        <v>4.0127976599235442</v>
      </c>
      <c r="X42" s="157">
        <f t="shared" si="11"/>
        <v>46415</v>
      </c>
      <c r="Y42" s="385">
        <f t="shared" si="12"/>
        <v>3.8795729060425086</v>
      </c>
      <c r="Z42" s="385">
        <f t="shared" si="22"/>
        <v>4.1586927137708232</v>
      </c>
      <c r="AA42" s="386">
        <f t="shared" si="13"/>
        <v>4.4871268249240464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7.3194746653674689E-2</v>
      </c>
      <c r="AD42" s="231">
        <f>(INDEX(Models!$BJ42:$BT42,,AH42)*(1-AF42)+INDEX(Models!$BJ42:$BT42,,AH42+1)*AF42-ERP_i)*AE42*Ramure*Pc/MaxiM</f>
        <v>1.1228091084260915E-2</v>
      </c>
      <c r="AE42" s="305">
        <f t="shared" si="15"/>
        <v>0.7</v>
      </c>
      <c r="AF42" s="177">
        <f t="shared" si="23"/>
        <v>0.5014502611205649</v>
      </c>
      <c r="AG42" s="919">
        <f t="shared" si="24"/>
        <v>2</v>
      </c>
      <c r="AH42" s="176">
        <f t="shared" si="16"/>
        <v>8</v>
      </c>
      <c r="AI42" s="225">
        <f t="shared" si="17"/>
        <v>2.5014502611205649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1090">
        <f>IF(t&gt;Tmaj,'2026'!Wh/'2026'!Env_an*'2027'!Env_an,0.001*'[3]mon-tableau (2)'!$B$66)</f>
        <v>5.965297335877124</v>
      </c>
      <c r="C43" s="953"/>
      <c r="D43" s="393">
        <f t="shared" si="0"/>
        <v>6.3946167617529621</v>
      </c>
      <c r="E43" s="385">
        <f t="shared" si="1"/>
        <v>6.6712979121305365</v>
      </c>
      <c r="F43" s="385">
        <f t="shared" si="2"/>
        <v>6.6712979121305365</v>
      </c>
      <c r="G43" s="110">
        <f t="shared" si="21"/>
        <v>0.18546339295361422</v>
      </c>
      <c r="H43" s="412" t="b">
        <f>Wh_hp&gt;='2026'!Maxi_hp</f>
        <v>0</v>
      </c>
      <c r="I43" s="390">
        <f>IF(H43,Wh_hp,'2026'!Maxi_hp)</f>
        <v>22.511927090396647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6.7137631834897959E-2</v>
      </c>
      <c r="M43" s="957"/>
      <c r="N43" s="957"/>
      <c r="O43" s="48">
        <f>IF(t&lt;Tnet,'2026'!Resal+('2026'!Salim-'2026'!Resal)*(1-EXP(('2026'!Tnet-t)/('2026'!Tau_j))),Resal+(Salim-Resal)*(1-EXP((Tnet-t)/(Tau_j))))*Salcycl</f>
        <v>4.1473361558997349E-2</v>
      </c>
      <c r="P43" s="169">
        <f>(INDEX(Models!$BJ43:$BT43,,T43)*(1-R43)+INDEX(Models!$BJ43:$BT43,,T43+1)*R43-ERP_i)*Q43*Ramure*Pc/MaxiM</f>
        <v>3.2677573100888419E-4</v>
      </c>
      <c r="Q43" s="305">
        <f t="shared" si="4"/>
        <v>0.7</v>
      </c>
      <c r="R43" s="177">
        <f t="shared" si="5"/>
        <v>0.97655079594187111</v>
      </c>
      <c r="S43" s="919">
        <f t="shared" si="6"/>
        <v>-2</v>
      </c>
      <c r="T43" s="176">
        <f t="shared" si="7"/>
        <v>4</v>
      </c>
      <c r="U43" s="251">
        <f t="shared" si="8"/>
        <v>-1.0234492040581289</v>
      </c>
      <c r="V43" s="383">
        <f t="shared" si="9"/>
        <v>32.153773995556016</v>
      </c>
      <c r="W43" s="402">
        <f t="shared" si="10"/>
        <v>5.965297335877124</v>
      </c>
      <c r="X43" s="157">
        <f t="shared" si="11"/>
        <v>46416</v>
      </c>
      <c r="Y43" s="385">
        <f t="shared" si="12"/>
        <v>5.7674395556574973</v>
      </c>
      <c r="Z43" s="385">
        <f t="shared" si="22"/>
        <v>6.182519257371041</v>
      </c>
      <c r="AA43" s="386">
        <f t="shared" si="13"/>
        <v>6.6712979121305365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7.3265901357926363E-2</v>
      </c>
      <c r="AD43" s="231">
        <f>(INDEX(Models!$BJ43:$BT43,,AH43)*(1-AF43)+INDEX(Models!$BJ43:$BT43,,AH43+1)*AF43-ERP_i)*AE43*Ramure*Pc/MaxiM</f>
        <v>1.0823146865692258E-2</v>
      </c>
      <c r="AE43" s="305">
        <f t="shared" si="15"/>
        <v>0.7</v>
      </c>
      <c r="AF43" s="177">
        <f t="shared" si="23"/>
        <v>0.50153836231585025</v>
      </c>
      <c r="AG43" s="919">
        <f t="shared" si="24"/>
        <v>2</v>
      </c>
      <c r="AH43" s="176">
        <f t="shared" si="16"/>
        <v>8</v>
      </c>
      <c r="AI43" s="225">
        <f t="shared" si="17"/>
        <v>2.5015383623158503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1090">
        <f>IF(t&gt;Tmaj,'2026'!Wh/'2026'!Env_an*'2027'!Env_an,0.001*'[3]mon-tableau (2)'!$B$67)</f>
        <v>4.8912145068026369</v>
      </c>
      <c r="C44" s="953"/>
      <c r="D44" s="393">
        <f t="shared" si="0"/>
        <v>5.2433475786152588</v>
      </c>
      <c r="E44" s="385">
        <f t="shared" si="1"/>
        <v>5.4708157488206686</v>
      </c>
      <c r="F44" s="385">
        <f t="shared" si="2"/>
        <v>5.4708157488206686</v>
      </c>
      <c r="G44" s="110">
        <f t="shared" si="21"/>
        <v>0.15062904539310257</v>
      </c>
      <c r="H44" s="412" t="b">
        <f>Wh_hp&gt;='2026'!Maxi_hp</f>
        <v>0</v>
      </c>
      <c r="I44" s="390">
        <f>IF(H44,Wh_hp,'2026'!Maxi_hp)</f>
        <v>10.423685229998675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6.7158063914888988E-2</v>
      </c>
      <c r="M44" s="957"/>
      <c r="N44" s="957"/>
      <c r="O44" s="48">
        <f>IF(t&lt;Tnet,'2026'!Resal+('2026'!Salim-'2026'!Resal)*(1-EXP(('2026'!Tnet-t)/('2026'!Tau_j))),Resal+(Salim-Resal)*(1-EXP((Tnet-t)/(Tau_j))))*Salcycl</f>
        <v>4.1578473969708117E-2</v>
      </c>
      <c r="P44" s="169">
        <f>(INDEX(Models!$BJ44:$BT44,,T44)*(1-R44)+INDEX(Models!$BJ44:$BT44,,T44+1)*R44-ERP_i)*Q44*Ramure*Pc/MaxiM</f>
        <v>3.2183223599886583E-4</v>
      </c>
      <c r="Q44" s="305">
        <f t="shared" si="4"/>
        <v>0.7</v>
      </c>
      <c r="R44" s="177">
        <f t="shared" si="5"/>
        <v>0.97664256005486472</v>
      </c>
      <c r="S44" s="919">
        <f t="shared" si="6"/>
        <v>-2</v>
      </c>
      <c r="T44" s="176">
        <f t="shared" si="7"/>
        <v>4</v>
      </c>
      <c r="U44" s="251">
        <f t="shared" si="8"/>
        <v>-1.0233574399451353</v>
      </c>
      <c r="V44" s="383">
        <f t="shared" si="9"/>
        <v>32.461470784339603</v>
      </c>
      <c r="W44" s="402">
        <f t="shared" si="10"/>
        <v>4.8912145068026369</v>
      </c>
      <c r="X44" s="157">
        <f t="shared" si="11"/>
        <v>46417</v>
      </c>
      <c r="Y44" s="385">
        <f t="shared" si="12"/>
        <v>4.7291373605336222</v>
      </c>
      <c r="Z44" s="385">
        <f t="shared" si="22"/>
        <v>5.0696020168009932</v>
      </c>
      <c r="AA44" s="386">
        <f t="shared" si="13"/>
        <v>5.4708157488206686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7.3337094583410908E-2</v>
      </c>
      <c r="AD44" s="231">
        <f>(INDEX(Models!$BJ44:$BT44,,AH44)*(1-AF44)+INDEX(Models!$BJ44:$BT44,,AH44+1)*AF44-ERP_i)*AE44*Ramure*Pc/MaxiM</f>
        <v>1.0405548030743403E-2</v>
      </c>
      <c r="AE44" s="305">
        <f t="shared" si="15"/>
        <v>0.7</v>
      </c>
      <c r="AF44" s="177">
        <f t="shared" si="23"/>
        <v>0.50163012642884341</v>
      </c>
      <c r="AG44" s="919">
        <f t="shared" si="24"/>
        <v>2</v>
      </c>
      <c r="AH44" s="176">
        <f t="shared" si="16"/>
        <v>8</v>
      </c>
      <c r="AI44" s="225">
        <f t="shared" si="17"/>
        <v>2.5016301264288434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1090">
        <f>IF(t&gt;Tmaj,'2026'!Wh/'2026'!Env_an*'2027'!Env_an,0.001*'[3]mon-tableau (2)'!$B$68)</f>
        <v>6.7111455871728252</v>
      </c>
      <c r="C45" s="953"/>
      <c r="D45" s="393">
        <f t="shared" si="0"/>
        <v>7.1944584844351542</v>
      </c>
      <c r="E45" s="385">
        <f t="shared" si="1"/>
        <v>7.507393197838141</v>
      </c>
      <c r="F45" s="385">
        <f t="shared" si="2"/>
        <v>7.507393197838141</v>
      </c>
      <c r="G45" s="110">
        <f t="shared" si="21"/>
        <v>0.20472457168543251</v>
      </c>
      <c r="H45" s="412" t="b">
        <f>Wh_hp&gt;='2026'!Maxi_hp</f>
        <v>0</v>
      </c>
      <c r="I45" s="390">
        <f>IF(H45,Wh_hp,'2026'!Maxi_hp)</f>
        <v>26.210661022055326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6.7178495547364991E-2</v>
      </c>
      <c r="M45" s="957"/>
      <c r="N45" s="957"/>
      <c r="O45" s="48">
        <f>IF(t&lt;Tnet,'2026'!Resal+('2026'!Salim-'2026'!Resal)*(1-EXP(('2026'!Tnet-t)/('2026'!Tau_j))),Resal+(Salim-Resal)*(1-EXP((Tnet-t)/(Tau_j))))*Salcycl</f>
        <v>4.1683538500834207E-2</v>
      </c>
      <c r="P45" s="169">
        <f>(INDEX(Models!$BJ45:$BT45,,T45)*(1-R45)+INDEX(Models!$BJ45:$BT45,,T45+1)*R45-ERP_i)*Q45*Ramure*Pc/MaxiM</f>
        <v>3.1737469526254099E-4</v>
      </c>
      <c r="Q45" s="305">
        <f t="shared" si="4"/>
        <v>0.7</v>
      </c>
      <c r="R45" s="177">
        <f t="shared" si="5"/>
        <v>0.97673813793629471</v>
      </c>
      <c r="S45" s="919">
        <f t="shared" si="6"/>
        <v>-2</v>
      </c>
      <c r="T45" s="176">
        <f t="shared" si="7"/>
        <v>4</v>
      </c>
      <c r="U45" s="251">
        <f t="shared" si="8"/>
        <v>-1.0232618620637053</v>
      </c>
      <c r="V45" s="383">
        <f t="shared" si="9"/>
        <v>32.770935038007572</v>
      </c>
      <c r="W45" s="402">
        <f t="shared" si="10"/>
        <v>6.7111455871728252</v>
      </c>
      <c r="X45" s="157">
        <f t="shared" si="11"/>
        <v>46418</v>
      </c>
      <c r="Y45" s="385">
        <f t="shared" si="12"/>
        <v>6.4889750728540649</v>
      </c>
      <c r="Z45" s="385">
        <f t="shared" si="22"/>
        <v>6.9562880378295882</v>
      </c>
      <c r="AA45" s="386">
        <f t="shared" si="13"/>
        <v>7.507393197838141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7.3408325031816837E-2</v>
      </c>
      <c r="AD45" s="231">
        <f>(INDEX(Models!$BJ45:$BT45,,AH45)*(1-AF45)+INDEX(Models!$BJ45:$BT45,,AH45+1)*AF45-ERP_i)*AE45*Ramure*Pc/MaxiM</f>
        <v>9.9905658773337559E-3</v>
      </c>
      <c r="AE45" s="305">
        <f t="shared" si="15"/>
        <v>0.7</v>
      </c>
      <c r="AF45" s="177">
        <f t="shared" si="23"/>
        <v>0.50172570431027363</v>
      </c>
      <c r="AG45" s="919">
        <f t="shared" si="24"/>
        <v>2</v>
      </c>
      <c r="AH45" s="176">
        <f t="shared" si="16"/>
        <v>8</v>
      </c>
      <c r="AI45" s="225">
        <f t="shared" si="17"/>
        <v>2.5017257043102736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1090">
        <f>IF(t&gt;Tmaj,'2026'!Wh/'2026'!Env_an*'2027'!Env_an,0.001*'[4]mon-tableau'!$B$35)</f>
        <v>13.883844584709788</v>
      </c>
      <c r="C46" s="953"/>
      <c r="D46" s="393">
        <f t="shared" si="0"/>
        <v>14.884035817061998</v>
      </c>
      <c r="E46" s="385">
        <f t="shared" si="1"/>
        <v>15.533143424967612</v>
      </c>
      <c r="F46" s="385">
        <f t="shared" si="2"/>
        <v>15.533975851385255</v>
      </c>
      <c r="G46" s="110">
        <f t="shared" si="21"/>
        <v>0.41958200090058179</v>
      </c>
      <c r="H46" s="412" t="b">
        <f>Wh_hp&gt;='2026'!Maxi_hp</f>
        <v>0</v>
      </c>
      <c r="I46" s="390">
        <f>IF(H46,Wh_hp,'2026'!Maxi_hp)</f>
        <v>29.47119267155292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6.719892673233574E-2</v>
      </c>
      <c r="M46" s="957"/>
      <c r="N46" s="957"/>
      <c r="O46" s="48">
        <f>IF(t&lt;Tnet,'2026'!Resal+('2026'!Salim-'2026'!Resal)*(1-EXP(('2026'!Tnet-t)/('2026'!Tau_j))),Resal+(Salim-Resal)*(1-EXP((Tnet-t)/(Tau_j))))*Salcycl</f>
        <v>4.1788554328433876E-2</v>
      </c>
      <c r="P46" s="169">
        <f>(INDEX(Models!$BJ46:$BT46,,T46)*(1-R46)+INDEX(Models!$BJ46:$BT46,,T46+1)*R46-ERP_i)*Q46*Ramure*Pc/MaxiM</f>
        <v>3.134004382186638E-4</v>
      </c>
      <c r="Q46" s="305">
        <f t="shared" si="4"/>
        <v>0.7</v>
      </c>
      <c r="R46" s="177">
        <f t="shared" si="5"/>
        <v>0.97683768652673519</v>
      </c>
      <c r="S46" s="919">
        <f t="shared" si="6"/>
        <v>-2</v>
      </c>
      <c r="T46" s="176">
        <f t="shared" si="7"/>
        <v>4</v>
      </c>
      <c r="U46" s="251">
        <f t="shared" si="8"/>
        <v>-1.0231623134732648</v>
      </c>
      <c r="V46" s="383">
        <f t="shared" si="9"/>
        <v>33.081107289379013</v>
      </c>
      <c r="W46" s="402">
        <f t="shared" si="10"/>
        <v>13.883844584709788</v>
      </c>
      <c r="X46" s="157">
        <f t="shared" si="11"/>
        <v>46419</v>
      </c>
      <c r="Y46" s="385">
        <f t="shared" si="12"/>
        <v>13.403393944516656</v>
      </c>
      <c r="Z46" s="385">
        <f t="shared" si="22"/>
        <v>14.368973544984971</v>
      </c>
      <c r="AA46" s="386">
        <f t="shared" si="13"/>
        <v>15.508534295858718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7.3479590600515121E-2</v>
      </c>
      <c r="AD46" s="231">
        <f>(INDEX(Models!$BJ46:$BT46,,AH46)*(1-AF46)+INDEX(Models!$BJ46:$BT46,,AH46+1)*AF46-ERP_i)*AE46*Ramure*Pc/MaxiM</f>
        <v>9.5784978491695802E-3</v>
      </c>
      <c r="AE46" s="305">
        <f t="shared" si="15"/>
        <v>0.7</v>
      </c>
      <c r="AF46" s="177">
        <f t="shared" si="23"/>
        <v>0.50182525290071389</v>
      </c>
      <c r="AG46" s="919">
        <f t="shared" si="24"/>
        <v>2</v>
      </c>
      <c r="AH46" s="176">
        <f t="shared" si="16"/>
        <v>8</v>
      </c>
      <c r="AI46" s="225">
        <f t="shared" si="17"/>
        <v>2.5018252529007139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1090">
        <f>IF(t&gt;Tmaj,'2026'!Wh/'2026'!Env_an*'2027'!Env_an,0.001*'[4]mon-tableau'!$B$36)</f>
        <v>5.2245664802462102</v>
      </c>
      <c r="C47" s="953"/>
      <c r="D47" s="393">
        <f t="shared" si="0"/>
        <v>5.6010665766760068</v>
      </c>
      <c r="E47" s="385">
        <f t="shared" si="1"/>
        <v>5.8459750503129975</v>
      </c>
      <c r="F47" s="385">
        <f t="shared" si="2"/>
        <v>5.8459750503129975</v>
      </c>
      <c r="G47" s="110">
        <f t="shared" si="21"/>
        <v>0.1564181520549931</v>
      </c>
      <c r="H47" s="412" t="b">
        <f>Wh_hp&gt;='2026'!Maxi_hp</f>
        <v>0</v>
      </c>
      <c r="I47" s="390">
        <f>IF(H47,Wh_hp,'2026'!Maxi_hp)</f>
        <v>31.55257955620117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6.7219357469811225E-2</v>
      </c>
      <c r="M47" s="957"/>
      <c r="N47" s="957"/>
      <c r="O47" s="48">
        <f>IF(t&lt;Tnet,'2026'!Resal+('2026'!Salim-'2026'!Resal)*(1-EXP(('2026'!Tnet-t)/('2026'!Tau_j))),Resal+(Salim-Resal)*(1-EXP((Tnet-t)/(Tau_j))))*Salcycl</f>
        <v>4.1893520162026424E-2</v>
      </c>
      <c r="P47" s="169">
        <f>(INDEX(Models!$BJ47:$BT47,,T47)*(1-R47)+INDEX(Models!$BJ47:$BT47,,T47+1)*R47-ERP_i)*Q47*Ramure*Pc/MaxiM</f>
        <v>3.0990627182051416E-4</v>
      </c>
      <c r="Q47" s="305">
        <f t="shared" si="4"/>
        <v>0.7</v>
      </c>
      <c r="R47" s="177">
        <f t="shared" si="5"/>
        <v>0.97694136909197993</v>
      </c>
      <c r="S47" s="919">
        <f t="shared" si="6"/>
        <v>-2</v>
      </c>
      <c r="T47" s="176">
        <f t="shared" si="7"/>
        <v>4</v>
      </c>
      <c r="U47" s="251">
        <f t="shared" si="8"/>
        <v>-1.0230586309080201</v>
      </c>
      <c r="V47" s="383">
        <f t="shared" si="9"/>
        <v>33.390928646760699</v>
      </c>
      <c r="W47" s="402">
        <f t="shared" si="10"/>
        <v>5.2245664802462102</v>
      </c>
      <c r="X47" s="157">
        <f t="shared" si="11"/>
        <v>46420</v>
      </c>
      <c r="Y47" s="385">
        <f t="shared" si="12"/>
        <v>5.051938459928567</v>
      </c>
      <c r="Z47" s="385">
        <f t="shared" si="22"/>
        <v>5.4159983918888672</v>
      </c>
      <c r="AA47" s="386">
        <f t="shared" si="13"/>
        <v>5.8459750503129975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7.3550888384497901E-2</v>
      </c>
      <c r="AD47" s="231">
        <f>(INDEX(Models!$BJ47:$BT47,,AH47)*(1-AF47)+INDEX(Models!$BJ47:$BT47,,AH47+1)*AF47-ERP_i)*AE47*Ramure*Pc/MaxiM</f>
        <v>9.1695743404012799E-3</v>
      </c>
      <c r="AE47" s="305">
        <f t="shared" si="15"/>
        <v>0.7</v>
      </c>
      <c r="AF47" s="177">
        <f t="shared" si="23"/>
        <v>0.50192893546595885</v>
      </c>
      <c r="AG47" s="919">
        <f t="shared" si="24"/>
        <v>2</v>
      </c>
      <c r="AH47" s="176">
        <f t="shared" si="16"/>
        <v>8</v>
      </c>
      <c r="AI47" s="225">
        <f t="shared" si="17"/>
        <v>2.5019289354659588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1090">
        <f>IF(t&gt;Tmaj,'2026'!Wh/'2026'!Env_an*'2027'!Env_an,0.001*'[4]mon-tableau'!$B$37)</f>
        <v>11.427026354391533</v>
      </c>
      <c r="C48" s="953"/>
      <c r="D48" s="393">
        <f t="shared" si="0"/>
        <v>12.250765206791337</v>
      </c>
      <c r="E48" s="385">
        <f t="shared" si="1"/>
        <v>12.787834221545044</v>
      </c>
      <c r="F48" s="385">
        <f t="shared" si="2"/>
        <v>12.78805336348946</v>
      </c>
      <c r="G48" s="110">
        <f t="shared" si="21"/>
        <v>0.33898928058434247</v>
      </c>
      <c r="H48" s="412" t="b">
        <f>Wh_hp&gt;='2026'!Maxi_hp</f>
        <v>0</v>
      </c>
      <c r="I48" s="390">
        <f>IF(H48,Wh_hp,'2026'!Maxi_hp)</f>
        <v>28.70079034414249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6.7239787759800995E-2</v>
      </c>
      <c r="M48" s="957"/>
      <c r="N48" s="957"/>
      <c r="O48" s="48">
        <f>IF(t&lt;Tnet,'2026'!Resal+('2026'!Salim-'2026'!Resal)*(1-EXP(('2026'!Tnet-t)/('2026'!Tau_j))),Resal+(Salim-Resal)*(1-EXP((Tnet-t)/(Tau_j))))*Salcycl</f>
        <v>4.1998434250019333E-2</v>
      </c>
      <c r="P48" s="169">
        <f>(INDEX(Models!$BJ48:$BT48,,T48)*(1-R48)+INDEX(Models!$BJ48:$BT48,,T48+1)*R48-ERP_i)*Q48*Ramure*Pc/MaxiM</f>
        <v>3.0688866150209004E-4</v>
      </c>
      <c r="Q48" s="305">
        <f t="shared" si="4"/>
        <v>0.7</v>
      </c>
      <c r="R48" s="177">
        <f t="shared" si="5"/>
        <v>0.97704935546661309</v>
      </c>
      <c r="S48" s="919">
        <f t="shared" si="6"/>
        <v>-2</v>
      </c>
      <c r="T48" s="176">
        <f t="shared" si="7"/>
        <v>4</v>
      </c>
      <c r="U48" s="251">
        <f t="shared" si="8"/>
        <v>-1.0229506445333869</v>
      </c>
      <c r="V48" s="383">
        <f t="shared" si="9"/>
        <v>33.699340793014272</v>
      </c>
      <c r="W48" s="402">
        <f t="shared" si="10"/>
        <v>11.427026354391533</v>
      </c>
      <c r="X48" s="157">
        <f t="shared" si="11"/>
        <v>46421</v>
      </c>
      <c r="Y48" s="385">
        <f t="shared" si="12"/>
        <v>11.044600213191941</v>
      </c>
      <c r="Z48" s="385">
        <f t="shared" si="22"/>
        <v>11.840771152391094</v>
      </c>
      <c r="AA48" s="386">
        <f t="shared" si="13"/>
        <v>12.781795224561808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7.3622214691909604E-2</v>
      </c>
      <c r="AD48" s="231">
        <f>(INDEX(Models!$BJ48:$BT48,,AH48)*(1-AF48)+INDEX(Models!$BJ48:$BT48,,AH48+1)*AF48-ERP_i)*AE48*Ramure*Pc/MaxiM</f>
        <v>8.7639629378785302E-3</v>
      </c>
      <c r="AE48" s="305">
        <f t="shared" si="15"/>
        <v>0.7</v>
      </c>
      <c r="AF48" s="177">
        <f t="shared" si="23"/>
        <v>0.50203692184059179</v>
      </c>
      <c r="AG48" s="919">
        <f t="shared" si="24"/>
        <v>2</v>
      </c>
      <c r="AH48" s="176">
        <f t="shared" si="16"/>
        <v>8</v>
      </c>
      <c r="AI48" s="225">
        <f t="shared" si="17"/>
        <v>2.5020369218405918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1090">
        <f>IF(t&gt;Tmaj,'2026'!Wh/'2026'!Env_an*'2027'!Env_an,0.001*'[4]mon-tableau'!$B$38)</f>
        <v>10.958759089240875</v>
      </c>
      <c r="C49" s="953"/>
      <c r="D49" s="393">
        <f t="shared" si="0"/>
        <v>11.74899934156392</v>
      </c>
      <c r="E49" s="385">
        <f t="shared" si="1"/>
        <v>12.265413663904548</v>
      </c>
      <c r="F49" s="385">
        <f t="shared" si="2"/>
        <v>12.265532405210573</v>
      </c>
      <c r="G49" s="110">
        <f t="shared" si="21"/>
        <v>0.32217138010781715</v>
      </c>
      <c r="H49" s="412" t="b">
        <f>Wh_hp&gt;='2026'!Maxi_hp</f>
        <v>0</v>
      </c>
      <c r="I49" s="390">
        <f>IF(H49,Wh_hp,'2026'!Maxi_hp)</f>
        <v>29.923583051666235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6.7260217602315042E-2</v>
      </c>
      <c r="M49" s="957"/>
      <c r="N49" s="957"/>
      <c r="O49" s="48">
        <f>IF(t&lt;Tnet,'2026'!Resal+('2026'!Salim-'2026'!Resal)*(1-EXP(('2026'!Tnet-t)/('2026'!Tau_j))),Resal+(Salim-Resal)*(1-EXP((Tnet-t)/(Tau_j))))*Salcycl</f>
        <v>4.2103294392782251E-2</v>
      </c>
      <c r="P49" s="169">
        <f>(INDEX(Models!$BJ49:$BT49,,T49)*(1-R49)+INDEX(Models!$BJ49:$BT49,,T49+1)*R49-ERP_i)*Q49*Ramure*Pc/MaxiM</f>
        <v>3.0434389991243992E-4</v>
      </c>
      <c r="Q49" s="305">
        <f t="shared" si="4"/>
        <v>0.7</v>
      </c>
      <c r="R49" s="177">
        <f t="shared" si="5"/>
        <v>0.97716182230597903</v>
      </c>
      <c r="S49" s="919">
        <f t="shared" si="6"/>
        <v>-2</v>
      </c>
      <c r="T49" s="176">
        <f t="shared" si="7"/>
        <v>4</v>
      </c>
      <c r="U49" s="251">
        <f t="shared" si="8"/>
        <v>-1.022838177694021</v>
      </c>
      <c r="V49" s="383">
        <f t="shared" si="9"/>
        <v>34.005285986009348</v>
      </c>
      <c r="W49" s="402">
        <f t="shared" si="10"/>
        <v>10.958759089240875</v>
      </c>
      <c r="X49" s="157">
        <f t="shared" si="11"/>
        <v>46422</v>
      </c>
      <c r="Y49" s="385">
        <f t="shared" si="12"/>
        <v>10.59463639646216</v>
      </c>
      <c r="Z49" s="385">
        <f t="shared" si="22"/>
        <v>11.358619624036802</v>
      </c>
      <c r="AA49" s="386">
        <f t="shared" si="13"/>
        <v>12.262270017512169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7.3693565072766573E-2</v>
      </c>
      <c r="AD49" s="231">
        <f>(INDEX(Models!$BJ49:$BT49,,AH49)*(1-AF49)+INDEX(Models!$BJ49:$BT49,,AH49+1)*AF49-ERP_i)*AE49*Ramure*Pc/MaxiM</f>
        <v>8.3617725659480991E-3</v>
      </c>
      <c r="AE49" s="305">
        <f t="shared" si="15"/>
        <v>0.7</v>
      </c>
      <c r="AF49" s="177">
        <f t="shared" si="23"/>
        <v>0.50214938867995773</v>
      </c>
      <c r="AG49" s="919">
        <f t="shared" si="24"/>
        <v>2</v>
      </c>
      <c r="AH49" s="176">
        <f t="shared" si="16"/>
        <v>8</v>
      </c>
      <c r="AI49" s="225">
        <f t="shared" si="17"/>
        <v>2.5021493886799577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1090">
        <f>IF(t&gt;Tmaj,'2026'!Wh/'2026'!Env_an*'2027'!Env_an,0.001*'[4]mon-tableau'!$B$39)</f>
        <v>10.353296284305339</v>
      </c>
      <c r="C50" s="953"/>
      <c r="D50" s="393">
        <f t="shared" si="0"/>
        <v>11.100119506447154</v>
      </c>
      <c r="E50" s="385">
        <f t="shared" si="1"/>
        <v>11.589281014844078</v>
      </c>
      <c r="F50" s="385">
        <f t="shared" si="2"/>
        <v>11.589289910474735</v>
      </c>
      <c r="G50" s="110">
        <f t="shared" si="21"/>
        <v>0.30168657843195357</v>
      </c>
      <c r="H50" s="412" t="b">
        <f>Wh_hp&gt;='2026'!Maxi_hp</f>
        <v>0</v>
      </c>
      <c r="I50" s="390">
        <f>IF(H50,Wh_hp,'2026'!Maxi_hp)</f>
        <v>37.591562892350396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6.7280646997363136E-2</v>
      </c>
      <c r="M50" s="957"/>
      <c r="N50" s="957"/>
      <c r="O50" s="48">
        <f>IF(t&lt;Tnet,'2026'!Resal+('2026'!Salim-'2026'!Resal)*(1-EXP(('2026'!Tnet-t)/('2026'!Tau_j))),Resal+(Salim-Resal)*(1-EXP((Tnet-t)/(Tau_j))))*Salcycl</f>
        <v>4.2208097963142288E-2</v>
      </c>
      <c r="P50" s="169">
        <f>(INDEX(Models!$BJ50:$BT50,,T50)*(1-R50)+INDEX(Models!$BJ50:$BT50,,T50+1)*R50-ERP_i)*Q50*Ramure*Pc/MaxiM</f>
        <v>3.0226826405382119E-4</v>
      </c>
      <c r="Q50" s="305">
        <f t="shared" si="4"/>
        <v>0.7</v>
      </c>
      <c r="R50" s="177">
        <f t="shared" si="5"/>
        <v>0.97727895334675985</v>
      </c>
      <c r="S50" s="919">
        <f t="shared" si="6"/>
        <v>-2</v>
      </c>
      <c r="T50" s="176">
        <f t="shared" si="7"/>
        <v>4</v>
      </c>
      <c r="U50" s="251">
        <f t="shared" si="8"/>
        <v>-1.0227210466532402</v>
      </c>
      <c r="V50" s="383">
        <f t="shared" si="9"/>
        <v>34.307707057188786</v>
      </c>
      <c r="W50" s="402">
        <f t="shared" si="10"/>
        <v>10.353296284305339</v>
      </c>
      <c r="X50" s="157">
        <f t="shared" si="11"/>
        <v>46423</v>
      </c>
      <c r="Y50" s="385">
        <f t="shared" si="12"/>
        <v>10.011986414364682</v>
      </c>
      <c r="Z50" s="385">
        <f t="shared" si="22"/>
        <v>10.734189638216263</v>
      </c>
      <c r="AA50" s="386">
        <f t="shared" si="13"/>
        <v>11.58905556096942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7.3764934360332712E-2</v>
      </c>
      <c r="AD50" s="231">
        <f>(INDEX(Models!$BJ50:$BT50,,AH50)*(1-AF50)+INDEX(Models!$BJ50:$BT50,,AH50+1)*AF50-ERP_i)*AE50*Ramure*Pc/MaxiM</f>
        <v>7.9630574704745681E-3</v>
      </c>
      <c r="AE50" s="305">
        <f t="shared" si="15"/>
        <v>0.7</v>
      </c>
      <c r="AF50" s="177">
        <f t="shared" si="23"/>
        <v>0.50226651972073855</v>
      </c>
      <c r="AG50" s="919">
        <f t="shared" si="24"/>
        <v>2</v>
      </c>
      <c r="AH50" s="176">
        <f t="shared" si="16"/>
        <v>8</v>
      </c>
      <c r="AI50" s="225">
        <f t="shared" si="17"/>
        <v>2.5022665197207385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1090">
        <f>IF(t&gt;Tmaj,'2026'!Wh/'2026'!Env_an*'2027'!Env_an,0.001*'[4]mon-tableau'!$B$40)</f>
        <v>22.846233394429149</v>
      </c>
      <c r="C51" s="953"/>
      <c r="D51" s="393">
        <f t="shared" si="0"/>
        <v>24.494756888001763</v>
      </c>
      <c r="E51" s="385">
        <f t="shared" si="1"/>
        <v>25.576992112400941</v>
      </c>
      <c r="F51" s="385">
        <f t="shared" si="2"/>
        <v>25.580948438410768</v>
      </c>
      <c r="G51" s="110">
        <f t="shared" si="21"/>
        <v>0.66002320579906693</v>
      </c>
      <c r="H51" s="412" t="b">
        <f>Wh_hp&gt;='2026'!Maxi_hp</f>
        <v>0</v>
      </c>
      <c r="I51" s="390">
        <f>IF(H51,Wh_hp,'2026'!Maxi_hp)</f>
        <v>39.747861870771352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6.7301075944954936E-2</v>
      </c>
      <c r="M51" s="957"/>
      <c r="N51" s="957"/>
      <c r="O51" s="48">
        <f>IF(t&lt;Tnet,'2026'!Resal+('2026'!Salim-'2026'!Resal)*(1-EXP(('2026'!Tnet-t)/('2026'!Tau_j))),Resal+(Salim-Resal)*(1-EXP((Tnet-t)/(Tau_j))))*Salcycl</f>
        <v>4.2312841933999659E-2</v>
      </c>
      <c r="P51" s="169">
        <f>(INDEX(Models!$BJ51:$BT51,,T51)*(1-R51)+INDEX(Models!$BJ51:$BT51,,T51+1)*R51-ERP_i)*Q51*Ramure*Pc/MaxiM</f>
        <v>3.0062613837109683E-4</v>
      </c>
      <c r="Q51" s="305">
        <f t="shared" si="4"/>
        <v>0.7</v>
      </c>
      <c r="R51" s="177">
        <f t="shared" si="5"/>
        <v>0.97740093967635389</v>
      </c>
      <c r="S51" s="919">
        <f t="shared" si="6"/>
        <v>-2</v>
      </c>
      <c r="T51" s="176">
        <f t="shared" si="7"/>
        <v>4</v>
      </c>
      <c r="U51" s="251">
        <f t="shared" si="8"/>
        <v>-1.0225990603236461</v>
      </c>
      <c r="V51" s="383">
        <f t="shared" si="9"/>
        <v>34.609234766990724</v>
      </c>
      <c r="W51" s="402">
        <f t="shared" si="10"/>
        <v>22.846233394429149</v>
      </c>
      <c r="X51" s="157">
        <f t="shared" si="11"/>
        <v>46424</v>
      </c>
      <c r="Y51" s="385">
        <f t="shared" si="12"/>
        <v>22.011614644847448</v>
      </c>
      <c r="Z51" s="385">
        <f t="shared" si="22"/>
        <v>23.599914267241495</v>
      </c>
      <c r="AA51" s="386">
        <f t="shared" si="13"/>
        <v>25.481364356435549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7.3836316724495879E-2</v>
      </c>
      <c r="AD51" s="231">
        <f>(INDEX(Models!$BJ51:$BT51,,AH51)*(1-AF51)+INDEX(Models!$BJ51:$BT51,,AH51+1)*AF51-ERP_i)*AE51*Ramure*Pc/MaxiM</f>
        <v>7.5670149358453617E-3</v>
      </c>
      <c r="AE51" s="305">
        <f t="shared" si="15"/>
        <v>0.7</v>
      </c>
      <c r="AF51" s="177">
        <f t="shared" si="23"/>
        <v>0.50238850605033303</v>
      </c>
      <c r="AG51" s="919">
        <f t="shared" si="24"/>
        <v>2</v>
      </c>
      <c r="AH51" s="176">
        <f t="shared" si="16"/>
        <v>8</v>
      </c>
      <c r="AI51" s="225">
        <f t="shared" si="17"/>
        <v>2.502388506050333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1090">
        <f>IF(t&gt;Tmaj,'2026'!Wh/'2026'!Env_an*'2027'!Env_an,0.001*'[4]mon-tableau'!$B$41)</f>
        <v>8.9971423877902694</v>
      </c>
      <c r="C52" s="953"/>
      <c r="D52" s="393">
        <f t="shared" si="0"/>
        <v>9.6465635593296231</v>
      </c>
      <c r="E52" s="385">
        <f t="shared" si="1"/>
        <v>10.073872267036176</v>
      </c>
      <c r="F52" s="385">
        <f t="shared" si="2"/>
        <v>10.073872267036176</v>
      </c>
      <c r="G52" s="110">
        <f t="shared" si="21"/>
        <v>0.25762549486599318</v>
      </c>
      <c r="H52" s="412" t="b">
        <f>Wh_hp&gt;='2026'!Maxi_hp</f>
        <v>0</v>
      </c>
      <c r="I52" s="390">
        <f>IF(H52,Wh_hp,'2026'!Maxi_hp)</f>
        <v>25.290736794333089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6.7321504445100433E-2</v>
      </c>
      <c r="M52" s="957"/>
      <c r="N52" s="957"/>
      <c r="O52" s="48">
        <f>IF(t&lt;Tnet,'2026'!Resal+('2026'!Salim-'2026'!Resal)*(1-EXP(('2026'!Tnet-t)/('2026'!Tau_j))),Resal+(Salim-Resal)*(1-EXP((Tnet-t)/(Tau_j))))*Salcycl</f>
        <v>4.2417522912693399E-2</v>
      </c>
      <c r="P52" s="169">
        <f>(INDEX(Models!$BJ52:$BT52,,T52)*(1-R52)+INDEX(Models!$BJ52:$BT52,,T52+1)*R52-ERP_i)*Q52*Ramure*Pc/MaxiM</f>
        <v>2.9944634954447418E-4</v>
      </c>
      <c r="Q52" s="305">
        <f t="shared" si="4"/>
        <v>0.7</v>
      </c>
      <c r="R52" s="177">
        <f t="shared" si="5"/>
        <v>0.97752798001125552</v>
      </c>
      <c r="S52" s="919">
        <f t="shared" si="6"/>
        <v>-2</v>
      </c>
      <c r="T52" s="176">
        <f t="shared" si="7"/>
        <v>4</v>
      </c>
      <c r="U52" s="251">
        <f t="shared" si="8"/>
        <v>-1.0224720199887445</v>
      </c>
      <c r="V52" s="383">
        <f t="shared" si="9"/>
        <v>34.912880928281105</v>
      </c>
      <c r="W52" s="402">
        <f t="shared" si="10"/>
        <v>8.9971423877902694</v>
      </c>
      <c r="X52" s="157">
        <f t="shared" si="11"/>
        <v>46425</v>
      </c>
      <c r="Y52" s="385">
        <f t="shared" si="12"/>
        <v>8.7012705799184094</v>
      </c>
      <c r="Z52" s="385">
        <f t="shared" si="22"/>
        <v>9.3293354798982104</v>
      </c>
      <c r="AA52" s="386">
        <f t="shared" si="13"/>
        <v>10.073872267036176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7.3907705736377616E-2</v>
      </c>
      <c r="AD52" s="231">
        <f>(INDEX(Models!$BJ52:$BT52,,AH52)*(1-AF52)+INDEX(Models!$BJ52:$BT52,,AH52+1)*AF52-ERP_i)*AE52*Ramure*Pc/MaxiM</f>
        <v>7.1852412094670515E-3</v>
      </c>
      <c r="AE52" s="305">
        <f t="shared" si="15"/>
        <v>0.7</v>
      </c>
      <c r="AF52" s="177">
        <f t="shared" si="23"/>
        <v>0.50251554638523421</v>
      </c>
      <c r="AG52" s="919">
        <f t="shared" si="24"/>
        <v>2</v>
      </c>
      <c r="AH52" s="176">
        <f t="shared" si="16"/>
        <v>8</v>
      </c>
      <c r="AI52" s="225">
        <f t="shared" si="17"/>
        <v>2.5025155463852342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1090">
        <f>IF(t&gt;Tmaj,'2026'!Wh/'2026'!Env_an*'2027'!Env_an,0.001*'[4]mon-tableau'!$B$42)</f>
        <v>34.749233789077465</v>
      </c>
      <c r="C53" s="953"/>
      <c r="D53" s="393">
        <f t="shared" si="0"/>
        <v>37.258278247827249</v>
      </c>
      <c r="E53" s="385">
        <f t="shared" si="1"/>
        <v>38.912939603802648</v>
      </c>
      <c r="F53" s="385">
        <f t="shared" si="2"/>
        <v>38.924334948227227</v>
      </c>
      <c r="G53" s="110">
        <f t="shared" si="21"/>
        <v>0.98667910151952176</v>
      </c>
      <c r="H53" s="412" t="b">
        <f>Wh_hp&gt;='2026'!Maxi_hp</f>
        <v>0</v>
      </c>
      <c r="I53" s="390">
        <f>IF(H53,Wh_hp,'2026'!Maxi_hp)</f>
        <v>38.924448008863976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6.7341932497809398E-2</v>
      </c>
      <c r="M53" s="957"/>
      <c r="N53" s="957"/>
      <c r="O53" s="48">
        <f>IF(t&lt;Tnet,'2026'!Resal+('2026'!Salim-'2026'!Resal)*(1-EXP(('2026'!Tnet-t)/('2026'!Tau_j))),Resal+(Salim-Resal)*(1-EXP((Tnet-t)/(Tau_j))))*Salcycl</f>
        <v>4.2522137181681879E-2</v>
      </c>
      <c r="P53" s="169">
        <f>(INDEX(Models!$BJ53:$BT53,,T53)*(1-R53)+INDEX(Models!$BJ53:$BT53,,T53+1)*R53-ERP_i)*Q53*Ramure*Pc/MaxiM</f>
        <v>2.9843305278404809E-4</v>
      </c>
      <c r="Q53" s="305">
        <f t="shared" si="4"/>
        <v>0.7</v>
      </c>
      <c r="R53" s="177">
        <f t="shared" si="5"/>
        <v>0.97766028098462177</v>
      </c>
      <c r="S53" s="919">
        <f t="shared" si="6"/>
        <v>-2</v>
      </c>
      <c r="T53" s="176">
        <f t="shared" si="7"/>
        <v>4</v>
      </c>
      <c r="U53" s="251">
        <f t="shared" si="8"/>
        <v>-1.0223397190153782</v>
      </c>
      <c r="V53" s="383">
        <f t="shared" si="9"/>
        <v>35.218174191706126</v>
      </c>
      <c r="W53" s="402">
        <f t="shared" si="10"/>
        <v>34.749233789077465</v>
      </c>
      <c r="X53" s="157">
        <f t="shared" si="11"/>
        <v>46426</v>
      </c>
      <c r="Y53" s="385">
        <f t="shared" si="12"/>
        <v>33.392212907010418</v>
      </c>
      <c r="Z53" s="385">
        <f t="shared" si="22"/>
        <v>35.803274608925193</v>
      </c>
      <c r="AA53" s="386">
        <f t="shared" si="13"/>
        <v>38.663570545852238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7.3979094443306581E-2</v>
      </c>
      <c r="AD53" s="231">
        <f>(INDEX(Models!$BJ53:$BT53,,AH53)*(1-AF53)+INDEX(Models!$BJ53:$BT53,,AH53+1)*AF53-ERP_i)*AE53*Ramure*Pc/MaxiM</f>
        <v>6.8291675756944068E-3</v>
      </c>
      <c r="AE53" s="305">
        <f t="shared" si="15"/>
        <v>0.7</v>
      </c>
      <c r="AF53" s="177">
        <f t="shared" si="23"/>
        <v>0.50264784735860069</v>
      </c>
      <c r="AG53" s="919">
        <f t="shared" si="24"/>
        <v>2</v>
      </c>
      <c r="AH53" s="176">
        <f t="shared" si="16"/>
        <v>8</v>
      </c>
      <c r="AI53" s="225">
        <f t="shared" si="17"/>
        <v>2.5026478473586007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1090">
        <f>IF(t&gt;Tmaj,'2026'!Wh/'2026'!Env_an*'2027'!Env_an,0.001*'[4]mon-tableau'!$B$43)</f>
        <v>34.82549620464745</v>
      </c>
      <c r="C54" s="953"/>
      <c r="D54" s="393">
        <f t="shared" si="0"/>
        <v>37.340864999290588</v>
      </c>
      <c r="E54" s="385">
        <f t="shared" si="1"/>
        <v>39.003452726622704</v>
      </c>
      <c r="F54" s="385">
        <f t="shared" si="2"/>
        <v>39.014736556477445</v>
      </c>
      <c r="G54" s="110">
        <f t="shared" si="21"/>
        <v>0.98031144861648589</v>
      </c>
      <c r="H54" s="412" t="b">
        <f>Wh_hp&gt;='2026'!Maxi_hp</f>
        <v>0</v>
      </c>
      <c r="I54" s="390">
        <f>IF(H54,Wh_hp,'2026'!Maxi_hp)</f>
        <v>39.014903551868542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6.736236010309149E-2</v>
      </c>
      <c r="M54" s="957"/>
      <c r="N54" s="957"/>
      <c r="O54" s="48">
        <f>IF(t&lt;Tnet,'2026'!Resal+('2026'!Salim-'2026'!Resal)*(1-EXP(('2026'!Tnet-t)/('2026'!Tau_j))),Resal+(Salim-Resal)*(1-EXP((Tnet-t)/(Tau_j))))*Salcycl</f>
        <v>4.262668074504284E-2</v>
      </c>
      <c r="P54" s="169">
        <f>(INDEX(Models!$BJ54:$BT54,,T54)*(1-R54)+INDEX(Models!$BJ54:$BT54,,T54+1)*R54-ERP_i)*Q54*Ramure*Pc/MaxiM</f>
        <v>2.9758625861927847E-4</v>
      </c>
      <c r="Q54" s="305">
        <f t="shared" si="4"/>
        <v>0.7</v>
      </c>
      <c r="R54" s="177">
        <f t="shared" si="5"/>
        <v>0.9777980574432128</v>
      </c>
      <c r="S54" s="919">
        <f t="shared" si="6"/>
        <v>-2</v>
      </c>
      <c r="T54" s="176">
        <f t="shared" si="7"/>
        <v>4</v>
      </c>
      <c r="U54" s="251">
        <f t="shared" si="8"/>
        <v>-1.0222019425567872</v>
      </c>
      <c r="V54" s="383">
        <f t="shared" si="9"/>
        <v>35.524633318786201</v>
      </c>
      <c r="W54" s="402">
        <f t="shared" si="10"/>
        <v>34.82549620464745</v>
      </c>
      <c r="X54" s="157">
        <f t="shared" si="11"/>
        <v>46427</v>
      </c>
      <c r="Y54" s="385">
        <f t="shared" si="12"/>
        <v>33.47938119826695</v>
      </c>
      <c r="Z54" s="385">
        <f t="shared" si="22"/>
        <v>35.897523074414707</v>
      </c>
      <c r="AA54" s="386">
        <f t="shared" si="13"/>
        <v>38.768336850741726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7.4050475453194334E-2</v>
      </c>
      <c r="AD54" s="231">
        <f>(INDEX(Models!$BJ54:$BT54,,AH54)*(1-AF54)+INDEX(Models!$BJ54:$BT54,,AH54+1)*AF54-ERP_i)*AE54*Ramure*Pc/MaxiM</f>
        <v>6.4982517016578508E-3</v>
      </c>
      <c r="AE54" s="305">
        <f t="shared" si="15"/>
        <v>0.7</v>
      </c>
      <c r="AF54" s="177">
        <f t="shared" si="23"/>
        <v>0.50278562381719194</v>
      </c>
      <c r="AG54" s="919">
        <f t="shared" si="24"/>
        <v>2</v>
      </c>
      <c r="AH54" s="176">
        <f t="shared" si="16"/>
        <v>8</v>
      </c>
      <c r="AI54" s="225">
        <f t="shared" si="17"/>
        <v>2.5027856238171919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1090">
        <f>IF(t&gt;Tmaj,'2026'!Wh/'2026'!Env_an*'2027'!Env_an,0.001*'[4]mon-tableau'!$B$44)</f>
        <v>32.356926457951026</v>
      </c>
      <c r="C55" s="953"/>
      <c r="D55" s="393">
        <f t="shared" si="0"/>
        <v>34.694755807605766</v>
      </c>
      <c r="E55" s="385">
        <f t="shared" si="1"/>
        <v>36.243481426501788</v>
      </c>
      <c r="F55" s="385">
        <f t="shared" si="2"/>
        <v>36.25275390438587</v>
      </c>
      <c r="G55" s="110">
        <f t="shared" si="21"/>
        <v>0.90298605285976064</v>
      </c>
      <c r="H55" s="412" t="b">
        <f>Wh_hp&gt;='2026'!Maxi_hp</f>
        <v>0</v>
      </c>
      <c r="I55" s="390">
        <f>IF(H55,Wh_hp,'2026'!Maxi_hp)</f>
        <v>36.253516662282564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6.73827872609567E-2</v>
      </c>
      <c r="M55" s="957"/>
      <c r="N55" s="957"/>
      <c r="O55" s="48">
        <f>IF(t&lt;Tnet,'2026'!Resal+('2026'!Salim-'2026'!Resal)*(1-EXP(('2026'!Tnet-t)/('2026'!Tau_j))),Resal+(Salim-Resal)*(1-EXP((Tnet-t)/(Tau_j))))*Salcycl</f>
        <v>4.2731149380246053E-2</v>
      </c>
      <c r="P55" s="169">
        <f>(INDEX(Models!$BJ55:$BT55,,T55)*(1-R55)+INDEX(Models!$BJ55:$BT55,,T55+1)*R55-ERP_i)*Q55*Ramure*Pc/MaxiM</f>
        <v>2.9690589312738371E-4</v>
      </c>
      <c r="Q55" s="305">
        <f t="shared" si="4"/>
        <v>0.7</v>
      </c>
      <c r="R55" s="177">
        <f t="shared" si="5"/>
        <v>0.97794153275387541</v>
      </c>
      <c r="S55" s="919">
        <f t="shared" si="6"/>
        <v>-2</v>
      </c>
      <c r="T55" s="176">
        <f t="shared" si="7"/>
        <v>4</v>
      </c>
      <c r="U55" s="251">
        <f t="shared" si="8"/>
        <v>-1.0220584672461246</v>
      </c>
      <c r="V55" s="383">
        <f t="shared" si="9"/>
        <v>35.831777338084038</v>
      </c>
      <c r="W55" s="402">
        <f t="shared" si="10"/>
        <v>32.356926457951026</v>
      </c>
      <c r="X55" s="157">
        <f t="shared" si="11"/>
        <v>46428</v>
      </c>
      <c r="Y55" s="385">
        <f t="shared" si="12"/>
        <v>31.136908277476298</v>
      </c>
      <c r="Z55" s="385">
        <f t="shared" si="22"/>
        <v>33.386589752111675</v>
      </c>
      <c r="AA55" s="386">
        <f t="shared" si="13"/>
        <v>36.059377174589059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7.4121841027273511E-2</v>
      </c>
      <c r="AD55" s="231">
        <f>(INDEX(Models!$BJ55:$BT55,,AH55)*(1-AF55)+INDEX(Models!$BJ55:$BT55,,AH55+1)*AF55-ERP_i)*AE55*Ramure*Pc/MaxiM</f>
        <v>6.1919468979211708E-3</v>
      </c>
      <c r="AE55" s="305">
        <f t="shared" si="15"/>
        <v>0.7</v>
      </c>
      <c r="AF55" s="177">
        <f t="shared" si="23"/>
        <v>0.50292909912785433</v>
      </c>
      <c r="AG55" s="919">
        <f t="shared" si="24"/>
        <v>2</v>
      </c>
      <c r="AH55" s="176">
        <f t="shared" si="16"/>
        <v>8</v>
      </c>
      <c r="AI55" s="225">
        <f t="shared" si="17"/>
        <v>2.5029290991278543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1090">
        <f>IF(t&gt;Tmaj,'2026'!Wh/'2026'!Env_an*'2027'!Env_an,0.001*'[4]mon-tableau'!$B$45)</f>
        <v>16.287927092773675</v>
      </c>
      <c r="C56" s="953"/>
      <c r="D56" s="393">
        <f t="shared" si="0"/>
        <v>17.465133203101587</v>
      </c>
      <c r="E56" s="385">
        <f t="shared" si="1"/>
        <v>18.246742236211272</v>
      </c>
      <c r="F56" s="385">
        <f t="shared" si="2"/>
        <v>18.247906620507976</v>
      </c>
      <c r="G56" s="110">
        <f t="shared" si="21"/>
        <v>0.4505958104445475</v>
      </c>
      <c r="H56" s="412" t="b">
        <f>Wh_hp&gt;='2026'!Maxi_hp</f>
        <v>0</v>
      </c>
      <c r="I56" s="390">
        <f>IF(H56,Wh_hp,'2026'!Maxi_hp)</f>
        <v>32.069160070810902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6.7403213971414577E-2</v>
      </c>
      <c r="M56" s="957"/>
      <c r="N56" s="957"/>
      <c r="O56" s="48">
        <f>IF(t&lt;Tnet,'2026'!Resal+('2026'!Salim-'2026'!Resal)*(1-EXP(('2026'!Tnet-t)/('2026'!Tau_j))),Resal+(Salim-Resal)*(1-EXP((Tnet-t)/(Tau_j))))*Salcycl</f>
        <v>4.2835538694603548E-2</v>
      </c>
      <c r="P56" s="169">
        <f>(INDEX(Models!$BJ56:$BT56,,T56)*(1-R56)+INDEX(Models!$BJ56:$BT56,,T56+1)*R56-ERP_i)*Q56*Ramure*Pc/MaxiM</f>
        <v>2.9639182894048246E-4</v>
      </c>
      <c r="Q56" s="305">
        <f t="shared" si="4"/>
        <v>0.7</v>
      </c>
      <c r="R56" s="177">
        <f t="shared" si="5"/>
        <v>0.97809093911973655</v>
      </c>
      <c r="S56" s="919">
        <f t="shared" si="6"/>
        <v>-2</v>
      </c>
      <c r="T56" s="176">
        <f t="shared" si="7"/>
        <v>4</v>
      </c>
      <c r="U56" s="251">
        <f t="shared" si="8"/>
        <v>-1.0219090608802635</v>
      </c>
      <c r="V56" s="383">
        <f t="shared" si="9"/>
        <v>36.139125541442993</v>
      </c>
      <c r="W56" s="402">
        <f t="shared" si="10"/>
        <v>16.287927092773675</v>
      </c>
      <c r="X56" s="157">
        <f t="shared" si="11"/>
        <v>46429</v>
      </c>
      <c r="Y56" s="385">
        <f t="shared" si="12"/>
        <v>15.735278801288372</v>
      </c>
      <c r="Z56" s="385">
        <f t="shared" si="22"/>
        <v>16.872542385971791</v>
      </c>
      <c r="AA56" s="386">
        <f t="shared" si="13"/>
        <v>18.224690161526301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7.419318318009023E-2</v>
      </c>
      <c r="AD56" s="231">
        <f>(INDEX(Models!$BJ56:$BT56,,AH56)*(1-AF56)+INDEX(Models!$BJ56:$BT56,,AH56+1)*AF56-ERP_i)*AE56*Ramure*Pc/MaxiM</f>
        <v>5.9097058922735913E-3</v>
      </c>
      <c r="AE56" s="305">
        <f t="shared" si="15"/>
        <v>0.7</v>
      </c>
      <c r="AF56" s="177">
        <f t="shared" si="23"/>
        <v>0.50307850549371569</v>
      </c>
      <c r="AG56" s="919">
        <f t="shared" si="24"/>
        <v>2</v>
      </c>
      <c r="AH56" s="176">
        <f t="shared" si="16"/>
        <v>8</v>
      </c>
      <c r="AI56" s="225">
        <f t="shared" si="17"/>
        <v>2.5030785054937157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1090">
        <f>IF(t&gt;Tmaj,'2026'!Wh/'2026'!Env_an*'2027'!Env_an,0.001*'[4]mon-tableau'!$B$46)</f>
        <v>27.08980185986697</v>
      </c>
      <c r="C57" s="953"/>
      <c r="D57" s="393">
        <f t="shared" si="0"/>
        <v>29.048347168780996</v>
      </c>
      <c r="E57" s="385">
        <f t="shared" si="1"/>
        <v>30.351641944667115</v>
      </c>
      <c r="F57" s="385">
        <f t="shared" si="2"/>
        <v>30.357333117740055</v>
      </c>
      <c r="G57" s="110">
        <f t="shared" si="21"/>
        <v>0.74320126675118336</v>
      </c>
      <c r="H57" s="412" t="b">
        <f>Wh_hp&gt;='2026'!Maxi_hp</f>
        <v>0</v>
      </c>
      <c r="I57" s="390">
        <f>IF(H57,Wh_hp,'2026'!Maxi_hp)</f>
        <v>40.986650074876621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6.7423640234475224E-2</v>
      </c>
      <c r="M57" s="957"/>
      <c r="N57" s="957"/>
      <c r="O57" s="48">
        <f>IF(t&lt;Tnet,'2026'!Resal+('2026'!Salim-'2026'!Resal)*(1-EXP(('2026'!Tnet-t)/('2026'!Tau_j))),Resal+(Salim-Resal)*(1-EXP((Tnet-t)/(Tau_j))))*Salcycl</f>
        <v>4.2939844185764409E-2</v>
      </c>
      <c r="P57" s="169">
        <f>(INDEX(Models!$BJ57:$BT57,,T57)*(1-R57)+INDEX(Models!$BJ57:$BT57,,T57+1)*R57-ERP_i)*Q57*Ramure*Pc/MaxiM</f>
        <v>2.9604391505023351E-4</v>
      </c>
      <c r="Q57" s="305">
        <f t="shared" si="4"/>
        <v>0.7</v>
      </c>
      <c r="R57" s="177">
        <f t="shared" si="5"/>
        <v>0.97824651790625938</v>
      </c>
      <c r="S57" s="919">
        <f t="shared" si="6"/>
        <v>-2</v>
      </c>
      <c r="T57" s="176">
        <f t="shared" si="7"/>
        <v>4</v>
      </c>
      <c r="U57" s="251">
        <f t="shared" si="8"/>
        <v>-1.0217534820937406</v>
      </c>
      <c r="V57" s="383">
        <f t="shared" si="9"/>
        <v>36.446197482608149</v>
      </c>
      <c r="W57" s="402">
        <f t="shared" si="10"/>
        <v>27.08980185986697</v>
      </c>
      <c r="X57" s="157">
        <f t="shared" si="11"/>
        <v>46430</v>
      </c>
      <c r="Y57" s="385">
        <f t="shared" si="12"/>
        <v>26.114277281238351</v>
      </c>
      <c r="Z57" s="385">
        <f t="shared" si="22"/>
        <v>28.002293868787532</v>
      </c>
      <c r="AA57" s="386">
        <f t="shared" si="13"/>
        <v>30.24869812253036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7.4264493785589539E-2</v>
      </c>
      <c r="AD57" s="231">
        <f>(INDEX(Models!$BJ57:$BT57,,AH57)*(1-AF57)+INDEX(Models!$BJ57:$BT57,,AH57+1)*AF57-ERP_i)*AE57*Ramure*Pc/MaxiM</f>
        <v>5.6509842313980842E-3</v>
      </c>
      <c r="AE57" s="305">
        <f t="shared" si="15"/>
        <v>0.7</v>
      </c>
      <c r="AF57" s="177">
        <f t="shared" si="23"/>
        <v>0.5032340842802383</v>
      </c>
      <c r="AG57" s="919">
        <f t="shared" si="24"/>
        <v>2</v>
      </c>
      <c r="AH57" s="176">
        <f t="shared" si="16"/>
        <v>8</v>
      </c>
      <c r="AI57" s="225">
        <f t="shared" si="17"/>
        <v>2.5032340842802383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1090">
        <f>IF(t&gt;Tmaj,'2026'!Wh/'2026'!Env_an*'2027'!Env_an,0.001*'[4]mon-tableau'!$B$47)</f>
        <v>33.104071114869498</v>
      </c>
      <c r="C58" s="953"/>
      <c r="D58" s="393">
        <f t="shared" si="0"/>
        <v>35.498215077198438</v>
      </c>
      <c r="E58" s="385">
        <f t="shared" si="1"/>
        <v>37.094931586535907</v>
      </c>
      <c r="F58" s="385">
        <f t="shared" si="2"/>
        <v>37.104355702797498</v>
      </c>
      <c r="G58" s="110">
        <f t="shared" si="21"/>
        <v>0.90069173324507712</v>
      </c>
      <c r="H58" s="412" t="b">
        <f>Wh_hp&gt;='2026'!Maxi_hp</f>
        <v>0</v>
      </c>
      <c r="I58" s="390">
        <f>IF(H58,Wh_hp,'2026'!Maxi_hp)</f>
        <v>42.930559585857665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6.7444066050148188E-2</v>
      </c>
      <c r="M58" s="957"/>
      <c r="N58" s="957"/>
      <c r="O58" s="48">
        <f>IF(t&lt;Tnet,'2026'!Resal+('2026'!Salim-'2026'!Resal)*(1-EXP(('2026'!Tnet-t)/('2026'!Tau_j))),Resal+(Salim-Resal)*(1-EXP((Tnet-t)/(Tau_j))))*Salcycl</f>
        <v>4.3044061305588723E-2</v>
      </c>
      <c r="P58" s="169">
        <f>(INDEX(Models!$BJ58:$BT58,,T58)*(1-R58)+INDEX(Models!$BJ58:$BT58,,T58+1)*R58-ERP_i)*Q58*Ramure*Pc/MaxiM</f>
        <v>2.9596120470605952E-4</v>
      </c>
      <c r="Q58" s="305">
        <f t="shared" si="4"/>
        <v>0.7</v>
      </c>
      <c r="R58" s="177">
        <f t="shared" si="5"/>
        <v>0.9784085199772985</v>
      </c>
      <c r="S58" s="919">
        <f t="shared" si="6"/>
        <v>-2</v>
      </c>
      <c r="T58" s="176">
        <f t="shared" si="7"/>
        <v>4</v>
      </c>
      <c r="U58" s="251">
        <f t="shared" si="8"/>
        <v>-1.0215914800227015</v>
      </c>
      <c r="V58" s="383">
        <f t="shared" si="9"/>
        <v>36.752509327334081</v>
      </c>
      <c r="W58" s="402">
        <f t="shared" si="10"/>
        <v>33.104071114869498</v>
      </c>
      <c r="X58" s="157">
        <f t="shared" si="11"/>
        <v>46431</v>
      </c>
      <c r="Y58" s="385">
        <f t="shared" si="12"/>
        <v>31.880703717022371</v>
      </c>
      <c r="Z58" s="385">
        <f t="shared" si="22"/>
        <v>34.186371622762906</v>
      </c>
      <c r="AA58" s="386">
        <f t="shared" si="13"/>
        <v>36.931719211603337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7.433576468809186E-2</v>
      </c>
      <c r="AD58" s="231">
        <f>(INDEX(Models!$BJ58:$BT58,,AH58)*(1-AF58)+INDEX(Models!$BJ58:$BT58,,AH58+1)*AF58-ERP_i)*AE58*Ramure*Pc/MaxiM</f>
        <v>5.4215910003472447E-3</v>
      </c>
      <c r="AE58" s="305">
        <f t="shared" si="15"/>
        <v>0.7</v>
      </c>
      <c r="AF58" s="177">
        <f t="shared" si="23"/>
        <v>0.50339608635127764</v>
      </c>
      <c r="AG58" s="919">
        <f t="shared" si="24"/>
        <v>2</v>
      </c>
      <c r="AH58" s="176">
        <f t="shared" si="16"/>
        <v>8</v>
      </c>
      <c r="AI58" s="225">
        <f t="shared" si="17"/>
        <v>2.5033960863512776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1090">
        <f>IF(t&gt;Tmaj,'2026'!Wh/'2026'!Env_an*'2027'!Env_an,0.001*'[4]mon-tableau'!$B$48)</f>
        <v>18.364110034762941</v>
      </c>
      <c r="C59" s="953"/>
      <c r="D59" s="393">
        <f t="shared" si="0"/>
        <v>19.692665711674479</v>
      </c>
      <c r="E59" s="385">
        <f t="shared" si="1"/>
        <v>20.580684922998806</v>
      </c>
      <c r="F59" s="385">
        <f t="shared" si="2"/>
        <v>20.582387246115143</v>
      </c>
      <c r="G59" s="110">
        <f t="shared" si="21"/>
        <v>0.49545031354913993</v>
      </c>
      <c r="H59" s="412" t="b">
        <f>Wh_hp&gt;='2026'!Maxi_hp</f>
        <v>0</v>
      </c>
      <c r="I59" s="390">
        <f>IF(H59,Wh_hp,'2026'!Maxi_hp)</f>
        <v>42.898613753230741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6.7464491418443462E-2</v>
      </c>
      <c r="M59" s="957"/>
      <c r="N59" s="957"/>
      <c r="O59" s="48">
        <f>IF(t&lt;Tnet,'2026'!Resal+('2026'!Salim-'2026'!Resal)*(1-EXP(('2026'!Tnet-t)/('2026'!Tau_j))),Resal+(Salim-Resal)*(1-EXP((Tnet-t)/(Tau_j))))*Salcycl</f>
        <v>4.3148185526710521E-2</v>
      </c>
      <c r="P59" s="169">
        <f>(INDEX(Models!$BJ59:$BT59,,T59)*(1-R59)+INDEX(Models!$BJ59:$BT59,,T59+1)*R59-ERP_i)*Q59*Ramure*Pc/MaxiM</f>
        <v>2.9605543589164514E-4</v>
      </c>
      <c r="Q59" s="305">
        <f t="shared" si="4"/>
        <v>0.7</v>
      </c>
      <c r="R59" s="177">
        <f t="shared" si="5"/>
        <v>0.97857720604128029</v>
      </c>
      <c r="S59" s="919">
        <f t="shared" si="6"/>
        <v>-2</v>
      </c>
      <c r="T59" s="176">
        <f t="shared" si="7"/>
        <v>4</v>
      </c>
      <c r="U59" s="251">
        <f t="shared" si="8"/>
        <v>-1.0214227939587197</v>
      </c>
      <c r="V59" s="383">
        <f t="shared" si="9"/>
        <v>37.057584319502389</v>
      </c>
      <c r="W59" s="402">
        <f t="shared" si="10"/>
        <v>18.364110034762941</v>
      </c>
      <c r="X59" s="157">
        <f t="shared" si="11"/>
        <v>46432</v>
      </c>
      <c r="Y59" s="385">
        <f t="shared" si="12"/>
        <v>17.739775491999442</v>
      </c>
      <c r="Z59" s="385">
        <f t="shared" si="22"/>
        <v>19.023163545785753</v>
      </c>
      <c r="AA59" s="386">
        <f t="shared" si="13"/>
        <v>20.552406182192765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7.440698781692992E-2</v>
      </c>
      <c r="AD59" s="231">
        <f>(INDEX(Models!$BJ59:$BT59,,AH59)*(1-AF59)+INDEX(Models!$BJ59:$BT59,,AH59+1)*AF59-ERP_i)*AE59*Ramure*Pc/MaxiM</f>
        <v>5.2140847191936039E-3</v>
      </c>
      <c r="AE59" s="305">
        <f t="shared" si="15"/>
        <v>0.7</v>
      </c>
      <c r="AF59" s="177">
        <f t="shared" si="23"/>
        <v>0.50356477241525921</v>
      </c>
      <c r="AG59" s="919">
        <f t="shared" si="24"/>
        <v>2</v>
      </c>
      <c r="AH59" s="176">
        <f t="shared" si="16"/>
        <v>8</v>
      </c>
      <c r="AI59" s="225">
        <f t="shared" si="17"/>
        <v>2.5035647724152592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1090">
        <f>IF(t&gt;Tmaj,'2026'!Wh/'2026'!Env_an*'2027'!Env_an,0.001*'[4]mon-tableau'!$B$49)</f>
        <v>18.096672188420534</v>
      </c>
      <c r="C60" s="953"/>
      <c r="D60" s="393">
        <f t="shared" si="0"/>
        <v>19.406305061984892</v>
      </c>
      <c r="E60" s="385">
        <f t="shared" si="1"/>
        <v>20.283616344585845</v>
      </c>
      <c r="F60" s="385">
        <f t="shared" si="2"/>
        <v>20.285199601229962</v>
      </c>
      <c r="G60" s="110">
        <f t="shared" si="21"/>
        <v>0.48426834166505994</v>
      </c>
      <c r="H60" s="412" t="b">
        <f>Wh_hp&gt;='2026'!Maxi_hp</f>
        <v>0</v>
      </c>
      <c r="I60" s="390">
        <f>IF(H60,Wh_hp,'2026'!Maxi_hp)</f>
        <v>43.307632323541206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6.7484916339370704E-2</v>
      </c>
      <c r="M60" s="957"/>
      <c r="N60" s="957"/>
      <c r="O60" s="48">
        <f>IF(t&lt;Tnet,'2026'!Resal+('2026'!Salim-'2026'!Resal)*(1-EXP(('2026'!Tnet-t)/('2026'!Tau_j))),Resal+(Salim-Resal)*(1-EXP((Tnet-t)/(Tau_j))))*Salcycl</f>
        <v>4.325221241108361E-2</v>
      </c>
      <c r="P60" s="169">
        <f>(INDEX(Models!$BJ60:$BT60,,T60)*(1-R60)+INDEX(Models!$BJ60:$BT60,,T60+1)*R60-ERP_i)*Q60*Ramure*Pc/MaxiM</f>
        <v>2.9632631049304579E-4</v>
      </c>
      <c r="Q60" s="305">
        <f t="shared" si="4"/>
        <v>0.7</v>
      </c>
      <c r="R60" s="177">
        <f t="shared" si="5"/>
        <v>0.97875284700761078</v>
      </c>
      <c r="S60" s="919">
        <f t="shared" si="6"/>
        <v>-2</v>
      </c>
      <c r="T60" s="176">
        <f t="shared" si="7"/>
        <v>4</v>
      </c>
      <c r="U60" s="251">
        <f t="shared" si="8"/>
        <v>-1.0212471529923892</v>
      </c>
      <c r="V60" s="383">
        <f t="shared" si="9"/>
        <v>37.360942778556748</v>
      </c>
      <c r="W60" s="402">
        <f t="shared" si="10"/>
        <v>18.096672188420534</v>
      </c>
      <c r="X60" s="157">
        <f t="shared" si="11"/>
        <v>46433</v>
      </c>
      <c r="Y60" s="385">
        <f t="shared" si="12"/>
        <v>17.484221358286025</v>
      </c>
      <c r="Z60" s="385">
        <f t="shared" si="22"/>
        <v>18.749531953575421</v>
      </c>
      <c r="AA60" s="386">
        <f t="shared" si="13"/>
        <v>20.258335403983786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7.4478155303503435E-2</v>
      </c>
      <c r="AD60" s="231">
        <f>(INDEX(Models!$BJ60:$BT60,,AH60)*(1-AF60)+INDEX(Models!$BJ60:$BT60,,AH60+1)*AF60-ERP_i)*AE60*Ramure*Pc/MaxiM</f>
        <v>5.0279709760816761E-3</v>
      </c>
      <c r="AE60" s="305">
        <f t="shared" si="15"/>
        <v>0.7</v>
      </c>
      <c r="AF60" s="177">
        <f t="shared" si="23"/>
        <v>0.50374041338158948</v>
      </c>
      <c r="AG60" s="919">
        <f t="shared" si="24"/>
        <v>2</v>
      </c>
      <c r="AH60" s="176">
        <f t="shared" si="16"/>
        <v>8</v>
      </c>
      <c r="AI60" s="225">
        <f t="shared" si="17"/>
        <v>2.5037404133815895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1090">
        <f>IF(t&gt;Tmaj,'2026'!Wh/'2026'!Env_an*'2027'!Env_an,0.001*'[4]mon-tableau'!$B$50)</f>
        <v>7.8706349555768584</v>
      </c>
      <c r="C61" s="953"/>
      <c r="D61" s="393">
        <f t="shared" si="0"/>
        <v>8.4404075433937606</v>
      </c>
      <c r="E61" s="385">
        <f t="shared" si="1"/>
        <v>8.8229359700513186</v>
      </c>
      <c r="F61" s="385">
        <f t="shared" si="2"/>
        <v>8.8229359700513186</v>
      </c>
      <c r="G61" s="110">
        <f t="shared" si="21"/>
        <v>0.20891819779670062</v>
      </c>
      <c r="H61" s="412" t="b">
        <f>Wh_hp&gt;='2026'!Maxi_hp</f>
        <v>0</v>
      </c>
      <c r="I61" s="390">
        <f>IF(H61,Wh_hp,'2026'!Maxi_hp)</f>
        <v>43.625435149292962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6.7505340812939685E-2</v>
      </c>
      <c r="M61" s="957"/>
      <c r="N61" s="957"/>
      <c r="O61" s="48">
        <f>IF(t&lt;Tnet,'2026'!Resal+('2026'!Salim-'2026'!Resal)*(1-EXP(('2026'!Tnet-t)/('2026'!Tau_j))),Resal+(Salim-Resal)*(1-EXP((Tnet-t)/(Tau_j))))*Salcycl</f>
        <v>4.335613767979473E-2</v>
      </c>
      <c r="P61" s="169">
        <f>(INDEX(Models!$BJ61:$BT61,,T61)*(1-R61)+INDEX(Models!$BJ61:$BT61,,T61+1)*R61-ERP_i)*Q61*Ramure*Pc/MaxiM</f>
        <v>2.9677363346918624E-4</v>
      </c>
      <c r="Q61" s="305">
        <f t="shared" si="4"/>
        <v>0.7</v>
      </c>
      <c r="R61" s="177">
        <f t="shared" si="5"/>
        <v>0.97893572435339871</v>
      </c>
      <c r="S61" s="919">
        <f t="shared" si="6"/>
        <v>-2</v>
      </c>
      <c r="T61" s="176">
        <f t="shared" si="7"/>
        <v>4</v>
      </c>
      <c r="U61" s="251">
        <f t="shared" si="8"/>
        <v>-1.0210642756466013</v>
      </c>
      <c r="V61" s="383">
        <f t="shared" si="9"/>
        <v>37.662105271940284</v>
      </c>
      <c r="W61" s="402">
        <f t="shared" si="10"/>
        <v>7.8706349555768584</v>
      </c>
      <c r="X61" s="157">
        <f t="shared" si="11"/>
        <v>46434</v>
      </c>
      <c r="Y61" s="385">
        <f t="shared" si="12"/>
        <v>7.6139985149693707</v>
      </c>
      <c r="Z61" s="385">
        <f t="shared" si="22"/>
        <v>8.1651926259901373</v>
      </c>
      <c r="AA61" s="386">
        <f t="shared" si="13"/>
        <v>8.8229359700513186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7.4549259599506659E-2</v>
      </c>
      <c r="AD61" s="231">
        <f>(INDEX(Models!$BJ61:$BT61,,AH61)*(1-AF61)+INDEX(Models!$BJ61:$BT61,,AH61+1)*AF61-ERP_i)*AE61*Ramure*Pc/MaxiM</f>
        <v>4.8627687184037288E-3</v>
      </c>
      <c r="AE61" s="305">
        <f t="shared" si="15"/>
        <v>0.7</v>
      </c>
      <c r="AF61" s="177">
        <f t="shared" si="23"/>
        <v>0.50392329072737763</v>
      </c>
      <c r="AG61" s="919">
        <f t="shared" si="24"/>
        <v>2</v>
      </c>
      <c r="AH61" s="176">
        <f t="shared" si="16"/>
        <v>8</v>
      </c>
      <c r="AI61" s="225">
        <f t="shared" si="17"/>
        <v>2.5039232907273776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1090">
        <f>IF(t&gt;Tmaj,'2026'!Wh/'2026'!Env_an*'2027'!Env_an,0.001*'[4]mon-tableau'!$B$51)</f>
        <v>9.1974605522118278</v>
      </c>
      <c r="C62" s="953"/>
      <c r="D62" s="393">
        <f t="shared" si="0"/>
        <v>9.8635010013176245</v>
      </c>
      <c r="E62" s="385">
        <f t="shared" si="1"/>
        <v>10.311644636752785</v>
      </c>
      <c r="F62" s="385">
        <f t="shared" si="2"/>
        <v>10.311644636752785</v>
      </c>
      <c r="G62" s="110">
        <f t="shared" si="21"/>
        <v>0.24221764255187853</v>
      </c>
      <c r="H62" s="412" t="b">
        <f>Wh_hp&gt;='2026'!Maxi_hp</f>
        <v>0</v>
      </c>
      <c r="I62" s="390">
        <f>IF(H62,Wh_hp,'2026'!Maxi_hp)</f>
        <v>44.343925318135149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6.7525764839160396E-2</v>
      </c>
      <c r="M62" s="957"/>
      <c r="N62" s="957"/>
      <c r="O62" s="48">
        <f>IF(t&lt;Tnet,'2026'!Resal+('2026'!Salim-'2026'!Resal)*(1-EXP(('2026'!Tnet-t)/('2026'!Tau_j))),Resal+(Salim-Resal)*(1-EXP((Tnet-t)/(Tau_j))))*Salcycl</f>
        <v>4.345995728342756E-2</v>
      </c>
      <c r="P62" s="169">
        <f>(INDEX(Models!$BJ62:$BT62,,T62)*(1-R62)+INDEX(Models!$BJ62:$BT62,,T62+1)*R62-ERP_i)*Q62*Ramure*Pc/MaxiM</f>
        <v>2.9739733846037179E-4</v>
      </c>
      <c r="Q62" s="305">
        <f t="shared" si="4"/>
        <v>0.7</v>
      </c>
      <c r="R62" s="177">
        <f t="shared" si="5"/>
        <v>0.97912613050055519</v>
      </c>
      <c r="S62" s="919">
        <f t="shared" si="6"/>
        <v>-2</v>
      </c>
      <c r="T62" s="176">
        <f t="shared" si="7"/>
        <v>4</v>
      </c>
      <c r="U62" s="251">
        <f t="shared" si="8"/>
        <v>-1.0208738694994448</v>
      </c>
      <c r="V62" s="383">
        <f t="shared" si="9"/>
        <v>37.960592610233441</v>
      </c>
      <c r="W62" s="402">
        <f t="shared" si="10"/>
        <v>9.1974605522118278</v>
      </c>
      <c r="X62" s="157">
        <f t="shared" si="11"/>
        <v>46435</v>
      </c>
      <c r="Y62" s="385">
        <f t="shared" si="12"/>
        <v>8.8978432322653411</v>
      </c>
      <c r="Z62" s="385">
        <f t="shared" si="22"/>
        <v>9.5421866865099805</v>
      </c>
      <c r="AA62" s="386">
        <f t="shared" si="13"/>
        <v>10.311644636752785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7.4620293595097392E-2</v>
      </c>
      <c r="AD62" s="231">
        <f>(INDEX(Models!$BJ62:$BT62,,AH62)*(1-AF62)+INDEX(Models!$BJ62:$BT62,,AH62+1)*AF62-ERP_i)*AE62*Ramure*Pc/MaxiM</f>
        <v>4.7180122066757604E-3</v>
      </c>
      <c r="AE62" s="305">
        <f t="shared" si="15"/>
        <v>0.7</v>
      </c>
      <c r="AF62" s="177">
        <f t="shared" si="23"/>
        <v>0.50411369687453389</v>
      </c>
      <c r="AG62" s="919">
        <f t="shared" si="24"/>
        <v>2</v>
      </c>
      <c r="AH62" s="176">
        <f t="shared" si="16"/>
        <v>8</v>
      </c>
      <c r="AI62" s="225">
        <f t="shared" si="17"/>
        <v>2.5041136968745339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1090">
        <f>IF(t&gt;Tmaj,'2026'!Wh/'2026'!Env_an*'2027'!Env_an,0.001*'[4]mon-tableau'!$B$52)</f>
        <v>30.143152041421899</v>
      </c>
      <c r="C63" s="953"/>
      <c r="D63" s="393">
        <f t="shared" si="0"/>
        <v>32.32669722297819</v>
      </c>
      <c r="E63" s="385">
        <f t="shared" si="1"/>
        <v>33.799110430636908</v>
      </c>
      <c r="F63" s="385">
        <f t="shared" si="2"/>
        <v>33.806137314577846</v>
      </c>
      <c r="G63" s="110">
        <f t="shared" si="21"/>
        <v>0.78786299634345591</v>
      </c>
      <c r="H63" s="412" t="b">
        <f>Wh_hp&gt;='2026'!Maxi_hp</f>
        <v>0</v>
      </c>
      <c r="I63" s="390">
        <f>IF(H63,Wh_hp,'2026'!Maxi_hp)</f>
        <v>43.682090944826165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6.7546188418042385E-2</v>
      </c>
      <c r="M63" s="957"/>
      <c r="N63" s="957"/>
      <c r="O63" s="48">
        <f>IF(t&lt;Tnet,'2026'!Resal+('2026'!Salim-'2026'!Resal)*(1-EXP(('2026'!Tnet-t)/('2026'!Tau_j))),Resal+(Salim-Resal)*(1-EXP((Tnet-t)/(Tau_j))))*Salcycl</f>
        <v>4.3563667472267718E-2</v>
      </c>
      <c r="P63" s="169">
        <f>(INDEX(Models!$BJ63:$BT63,,T63)*(1-R63)+INDEX(Models!$BJ63:$BT63,,T63+1)*R63-ERP_i)*Q63*Ramure*Pc/MaxiM</f>
        <v>2.9819751267032795E-4</v>
      </c>
      <c r="Q63" s="305">
        <f t="shared" si="4"/>
        <v>0.7</v>
      </c>
      <c r="R63" s="177">
        <f t="shared" si="5"/>
        <v>0.97932436920330335</v>
      </c>
      <c r="S63" s="919">
        <f t="shared" si="6"/>
        <v>-2</v>
      </c>
      <c r="T63" s="176">
        <f t="shared" si="7"/>
        <v>4</v>
      </c>
      <c r="U63" s="251">
        <f t="shared" si="8"/>
        <v>-1.0206756307966967</v>
      </c>
      <c r="V63" s="383">
        <f t="shared" si="9"/>
        <v>38.255925845613113</v>
      </c>
      <c r="W63" s="402">
        <f t="shared" si="10"/>
        <v>30.143152041421899</v>
      </c>
      <c r="X63" s="157">
        <f t="shared" si="11"/>
        <v>46436</v>
      </c>
      <c r="Y63" s="385">
        <f t="shared" si="12"/>
        <v>29.074806135812594</v>
      </c>
      <c r="Z63" s="385">
        <f t="shared" si="22"/>
        <v>31.180961217248534</v>
      </c>
      <c r="AA63" s="386">
        <f t="shared" si="13"/>
        <v>33.697899476302894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7.4691250735801101E-2</v>
      </c>
      <c r="AD63" s="231">
        <f>(INDEX(Models!$BJ63:$BT63,,AH63)*(1-AF63)+INDEX(Models!$BJ63:$BT63,,AH63+1)*AF63-ERP_i)*AE63*Ramure*Pc/MaxiM</f>
        <v>4.5932527734466348E-3</v>
      </c>
      <c r="AE63" s="305">
        <f t="shared" si="15"/>
        <v>0.7</v>
      </c>
      <c r="AF63" s="177">
        <f t="shared" si="23"/>
        <v>0.50431193557728227</v>
      </c>
      <c r="AG63" s="919">
        <f t="shared" si="24"/>
        <v>2</v>
      </c>
      <c r="AH63" s="176">
        <f t="shared" si="16"/>
        <v>8</v>
      </c>
      <c r="AI63" s="225">
        <f t="shared" si="17"/>
        <v>2.5043119355772823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1090">
        <f>IF(t&gt;Tmaj,'2026'!Wh/'2026'!Env_an*'2027'!Env_an,0.001*'[4]mon-tableau'!$B$53)</f>
        <v>18.379275509146414</v>
      </c>
      <c r="C64" s="953"/>
      <c r="D64" s="393">
        <f t="shared" si="0"/>
        <v>19.711086858108576</v>
      </c>
      <c r="E64" s="385">
        <f t="shared" si="1"/>
        <v>20.611118007311049</v>
      </c>
      <c r="F64" s="385">
        <f t="shared" si="2"/>
        <v>20.612675507895307</v>
      </c>
      <c r="G64" s="110">
        <f t="shared" si="21"/>
        <v>0.476687337575254</v>
      </c>
      <c r="H64" s="412" t="b">
        <f>Wh_hp&gt;='2026'!Maxi_hp</f>
        <v>0</v>
      </c>
      <c r="I64" s="390">
        <f>IF(H64,Wh_hp,'2026'!Maxi_hp)</f>
        <v>40.826390842051637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6.7566611549595645E-2</v>
      </c>
      <c r="M64" s="957"/>
      <c r="N64" s="957"/>
      <c r="O64" s="48">
        <f>IF(t&lt;Tnet,'2026'!Resal+('2026'!Salim-'2026'!Resal)*(1-EXP(('2026'!Tnet-t)/('2026'!Tau_j))),Resal+(Salim-Resal)*(1-EXP((Tnet-t)/(Tau_j))))*Salcycl</f>
        <v>4.3667264865652491E-2</v>
      </c>
      <c r="P64" s="169">
        <f>(INDEX(Models!$BJ64:$BT64,,T64)*(1-R64)+INDEX(Models!$BJ64:$BT64,,T64+1)*R64-ERP_i)*Q64*Ramure*Pc/MaxiM</f>
        <v>2.9917442123975399E-4</v>
      </c>
      <c r="Q64" s="305">
        <f t="shared" si="4"/>
        <v>0.7</v>
      </c>
      <c r="R64" s="177">
        <f t="shared" si="5"/>
        <v>0.97953075594611239</v>
      </c>
      <c r="S64" s="919">
        <f t="shared" si="6"/>
        <v>-2</v>
      </c>
      <c r="T64" s="176">
        <f t="shared" si="7"/>
        <v>4</v>
      </c>
      <c r="U64" s="251">
        <f t="shared" si="8"/>
        <v>-1.0204692440538876</v>
      </c>
      <c r="V64" s="383">
        <f t="shared" si="9"/>
        <v>38.54762626394951</v>
      </c>
      <c r="W64" s="402">
        <f t="shared" si="10"/>
        <v>18.379275509146414</v>
      </c>
      <c r="X64" s="157">
        <f t="shared" si="11"/>
        <v>46437</v>
      </c>
      <c r="Y64" s="385">
        <f t="shared" si="12"/>
        <v>17.762865435003363</v>
      </c>
      <c r="Z64" s="385">
        <f t="shared" si="22"/>
        <v>19.050010065086983</v>
      </c>
      <c r="AA64" s="386">
        <f t="shared" si="13"/>
        <v>20.589310687164993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7.4762125136980967E-2</v>
      </c>
      <c r="AD64" s="231">
        <f>(INDEX(Models!$BJ64:$BT64,,AH64)*(1-AF64)+INDEX(Models!$BJ64:$BT64,,AH64+1)*AF64-ERP_i)*AE64*Ramure*Pc/MaxiM</f>
        <v>4.48806041552404E-3</v>
      </c>
      <c r="AE64" s="305">
        <f t="shared" si="15"/>
        <v>0.7</v>
      </c>
      <c r="AF64" s="177">
        <f t="shared" si="23"/>
        <v>0.50451832232009108</v>
      </c>
      <c r="AG64" s="919">
        <f t="shared" si="24"/>
        <v>2</v>
      </c>
      <c r="AH64" s="176">
        <f t="shared" si="16"/>
        <v>8</v>
      </c>
      <c r="AI64" s="225">
        <f t="shared" si="17"/>
        <v>2.5045183223200911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1090">
        <f>IF(t&gt;Tmaj,'2026'!Wh/'2026'!Env_an*'2027'!Env_an,0.001*'[4]mon-tableau'!$B$54)</f>
        <v>21.663289953818932</v>
      </c>
      <c r="C65" s="953"/>
      <c r="D65" s="393">
        <f t="shared" si="0"/>
        <v>23.233578627918437</v>
      </c>
      <c r="E65" s="385">
        <f t="shared" si="1"/>
        <v>24.29707995583642</v>
      </c>
      <c r="F65" s="385">
        <f t="shared" si="2"/>
        <v>24.299767726204074</v>
      </c>
      <c r="G65" s="110">
        <f t="shared" si="21"/>
        <v>0.55770583895526538</v>
      </c>
      <c r="H65" s="412" t="b">
        <f>Wh_hp&gt;='2026'!Maxi_hp</f>
        <v>0</v>
      </c>
      <c r="I65" s="390">
        <f>IF(H65,Wh_hp,'2026'!Maxi_hp)</f>
        <v>43.218540620250515</v>
      </c>
      <c r="J65" s="85">
        <f>IF(H65,An,'2026'!An_max)</f>
        <v>2019</v>
      </c>
      <c r="K65" s="197">
        <f t="shared" si="3"/>
        <v>46438</v>
      </c>
      <c r="L65" s="147">
        <f>IF(t&lt;Tvie,1-EXP((T0-t)*PertePVj)+'2026'!Pspv,1-EXP((T0-t)*PertePVj)+Pspv)</f>
        <v>6.7587034233829946E-2</v>
      </c>
      <c r="M65" s="957"/>
      <c r="N65" s="957"/>
      <c r="O65" s="48">
        <f>IF(t&lt;Tnet,'2026'!Resal+('2026'!Salim-'2026'!Resal)*(1-EXP(('2026'!Tnet-t)/('2026'!Tau_j))),Resal+(Salim-Resal)*(1-EXP((Tnet-t)/(Tau_j))))*Salcycl</f>
        <v>4.3770746519789842E-2</v>
      </c>
      <c r="P65" s="169">
        <f>(INDEX(Models!$BJ65:$BT65,,T65)*(1-R65)+INDEX(Models!$BJ65:$BT65,,T65+1)*R65-ERP_i)*Q65*Ramure*Pc/MaxiM</f>
        <v>3.0032086081404236E-4</v>
      </c>
      <c r="Q65" s="305">
        <f t="shared" si="4"/>
        <v>0.7</v>
      </c>
      <c r="R65" s="177">
        <f t="shared" si="5"/>
        <v>0.97974561835202256</v>
      </c>
      <c r="S65" s="919">
        <f t="shared" si="6"/>
        <v>-2</v>
      </c>
      <c r="T65" s="176">
        <f t="shared" si="7"/>
        <v>4</v>
      </c>
      <c r="U65" s="251">
        <f t="shared" si="8"/>
        <v>-1.0202543816479774</v>
      </c>
      <c r="V65" s="383">
        <f t="shared" si="9"/>
        <v>38.836207550490464</v>
      </c>
      <c r="W65" s="402">
        <f t="shared" si="10"/>
        <v>21.663289953818932</v>
      </c>
      <c r="X65" s="157">
        <f t="shared" si="11"/>
        <v>46438</v>
      </c>
      <c r="Y65" s="385">
        <f t="shared" si="12"/>
        <v>20.927913732772659</v>
      </c>
      <c r="Z65" s="385">
        <f t="shared" si="22"/>
        <v>22.444897809390767</v>
      </c>
      <c r="AA65" s="386">
        <f t="shared" si="13"/>
        <v>24.260372091819775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7.4832911694753368E-2</v>
      </c>
      <c r="AD65" s="231">
        <f>(INDEX(Models!$BJ65:$BT65,,AH65)*(1-AF65)+INDEX(Models!$BJ65:$BT65,,AH65+1)*AF65-ERP_i)*AE65*Ramure*Pc/MaxiM</f>
        <v>4.4019128170335034E-3</v>
      </c>
      <c r="AE65" s="305">
        <f t="shared" si="15"/>
        <v>0.7</v>
      </c>
      <c r="AF65" s="177">
        <f t="shared" si="23"/>
        <v>0.50473318472600148</v>
      </c>
      <c r="AG65" s="919">
        <f t="shared" si="24"/>
        <v>2</v>
      </c>
      <c r="AH65" s="176">
        <f t="shared" si="16"/>
        <v>8</v>
      </c>
      <c r="AI65" s="225">
        <f t="shared" si="17"/>
        <v>2.5047331847260015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1090">
        <f>IF(t&gt;Tmaj,'2026'!Wh/'2026'!Env_an*'2027'!Env_an,0.001*'[4]mon-tableau'!$B$55)</f>
        <v>21.32974383905982</v>
      </c>
      <c r="C66" s="953"/>
      <c r="D66" s="393">
        <f t="shared" si="0"/>
        <v>22.876356087451704</v>
      </c>
      <c r="E66" s="385">
        <f t="shared" si="1"/>
        <v>23.926092083223256</v>
      </c>
      <c r="F66" s="385">
        <f t="shared" si="2"/>
        <v>23.928617737316529</v>
      </c>
      <c r="G66" s="110">
        <f t="shared" si="21"/>
        <v>0.54509616030977615</v>
      </c>
      <c r="H66" s="412" t="b">
        <f>Wh_hp&gt;='2026'!Maxi_hp</f>
        <v>0</v>
      </c>
      <c r="I66" s="390">
        <f>IF(H66,Wh_hp,'2026'!Maxi_hp)</f>
        <v>42.441850727741603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6.7607456470755056E-2</v>
      </c>
      <c r="M66" s="957"/>
      <c r="N66" s="957"/>
      <c r="O66" s="48">
        <f>IF(t&lt;Tnet,'2026'!Resal+('2026'!Salim-'2026'!Resal)*(1-EXP(('2026'!Tnet-t)/('2026'!Tau_j))),Resal+(Salim-Resal)*(1-EXP((Tnet-t)/(Tau_j))))*Salcycl</f>
        <v>4.3874109993399898E-2</v>
      </c>
      <c r="P66" s="169">
        <f>(INDEX(Models!$BJ66:$BT66,,T66)*(1-R66)+INDEX(Models!$BJ66:$BT66,,T66+1)*R66-ERP_i)*Q66*Ramure*Pc/MaxiM</f>
        <v>3.0132050382642036E-4</v>
      </c>
      <c r="Q66" s="305">
        <f t="shared" si="4"/>
        <v>0.7</v>
      </c>
      <c r="R66" s="177">
        <f t="shared" si="5"/>
        <v>0.97996929660130938</v>
      </c>
      <c r="S66" s="919">
        <f t="shared" si="6"/>
        <v>-2</v>
      </c>
      <c r="T66" s="176">
        <f t="shared" si="7"/>
        <v>4</v>
      </c>
      <c r="U66" s="251">
        <f t="shared" si="8"/>
        <v>-1.0200307033986906</v>
      </c>
      <c r="V66" s="383">
        <f t="shared" si="9"/>
        <v>39.122579108224485</v>
      </c>
      <c r="W66" s="402">
        <f t="shared" si="10"/>
        <v>21.32974383905982</v>
      </c>
      <c r="X66" s="157">
        <f t="shared" si="11"/>
        <v>46439</v>
      </c>
      <c r="Y66" s="385">
        <f t="shared" si="12"/>
        <v>20.608353009518776</v>
      </c>
      <c r="Z66" s="385">
        <f t="shared" si="22"/>
        <v>22.102657461752198</v>
      </c>
      <c r="AA66" s="386">
        <f t="shared" si="13"/>
        <v>23.892275020960046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7.490360619228871E-2</v>
      </c>
      <c r="AD66" s="231">
        <f>(INDEX(Models!$BJ66:$BT66,,AH66)*(1-AF66)+INDEX(Models!$BJ66:$BT66,,AH66+1)*AF66-ERP_i)*AE66*Ramure*Pc/MaxiM</f>
        <v>4.3358295311047481E-3</v>
      </c>
      <c r="AE66" s="305">
        <f t="shared" si="15"/>
        <v>0.7</v>
      </c>
      <c r="AF66" s="177">
        <f t="shared" si="23"/>
        <v>0.50495686297528808</v>
      </c>
      <c r="AG66" s="919">
        <f t="shared" si="24"/>
        <v>2</v>
      </c>
      <c r="AH66" s="176">
        <f t="shared" si="16"/>
        <v>8</v>
      </c>
      <c r="AI66" s="225">
        <f t="shared" si="17"/>
        <v>2.5049568629752881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1090">
        <f>IF(t&gt;Tmaj,'2026'!Wh/'2026'!Env_an*'2027'!Env_an,0.001*'[4]mon-tableau'!$B$56)</f>
        <v>34.926583675852534</v>
      </c>
      <c r="C67" s="953"/>
      <c r="D67" s="393">
        <f t="shared" si="0"/>
        <v>37.459918482640319</v>
      </c>
      <c r="E67" s="385">
        <f t="shared" si="1"/>
        <v>39.183086944934587</v>
      </c>
      <c r="F67" s="385">
        <f t="shared" si="2"/>
        <v>39.193004623620105</v>
      </c>
      <c r="G67" s="110">
        <f t="shared" si="21"/>
        <v>0.88626413976931606</v>
      </c>
      <c r="H67" s="412" t="b">
        <f>Wh_hp&gt;='2026'!Maxi_hp</f>
        <v>0</v>
      </c>
      <c r="I67" s="390">
        <f>IF(H67,Wh_hp,'2026'!Maxi_hp)</f>
        <v>42.464770609772728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6.7627878260380636E-2</v>
      </c>
      <c r="M67" s="957"/>
      <c r="N67" s="957"/>
      <c r="O67" s="48">
        <f>IF(t&lt;Tnet,'2026'!Resal+('2026'!Salim-'2026'!Resal)*(1-EXP(('2026'!Tnet-t)/('2026'!Tau_j))),Resal+(Salim-Resal)*(1-EXP((Tnet-t)/(Tau_j))))*Salcycl</f>
        <v>4.3977353410564607E-2</v>
      </c>
      <c r="P67" s="169">
        <f>(INDEX(Models!$BJ67:$BT67,,T67)*(1-R67)+INDEX(Models!$BJ67:$BT67,,T67+1)*R67-ERP_i)*Q67*Ramure*Pc/MaxiM</f>
        <v>3.0211616344871448E-4</v>
      </c>
      <c r="Q67" s="305">
        <f t="shared" si="4"/>
        <v>0.7</v>
      </c>
      <c r="R67" s="177">
        <f t="shared" si="5"/>
        <v>0.98020214386037852</v>
      </c>
      <c r="S67" s="919">
        <f t="shared" si="6"/>
        <v>-2</v>
      </c>
      <c r="T67" s="176">
        <f t="shared" si="7"/>
        <v>4</v>
      </c>
      <c r="U67" s="251">
        <f t="shared" si="8"/>
        <v>-1.0197978561396215</v>
      </c>
      <c r="V67" s="383">
        <f t="shared" si="9"/>
        <v>39.406840311352099</v>
      </c>
      <c r="W67" s="402">
        <f t="shared" si="10"/>
        <v>34.926583675852534</v>
      </c>
      <c r="X67" s="157">
        <f t="shared" si="11"/>
        <v>46440</v>
      </c>
      <c r="Y67" s="385">
        <f t="shared" si="12"/>
        <v>33.681589854380135</v>
      </c>
      <c r="Z67" s="385">
        <f t="shared" si="22"/>
        <v>36.124621349185176</v>
      </c>
      <c r="AA67" s="386">
        <f t="shared" si="13"/>
        <v>39.052555680164524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7.4974205400505853E-2</v>
      </c>
      <c r="AD67" s="231">
        <f>(INDEX(Models!$BJ67:$BT67,,AH67)*(1-AF67)+INDEX(Models!$BJ67:$BT67,,AH67+1)*AF67-ERP_i)*AE67*Ramure*Pc/MaxiM</f>
        <v>4.2784100294734331E-3</v>
      </c>
      <c r="AE67" s="305">
        <f t="shared" si="15"/>
        <v>0.7</v>
      </c>
      <c r="AF67" s="177">
        <f t="shared" si="23"/>
        <v>0.50518971023435766</v>
      </c>
      <c r="AG67" s="919">
        <f t="shared" si="24"/>
        <v>2</v>
      </c>
      <c r="AH67" s="176">
        <f t="shared" si="16"/>
        <v>8</v>
      </c>
      <c r="AI67" s="225">
        <f t="shared" si="17"/>
        <v>2.5051897102343577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1090">
        <f>IF(t&gt;Tmaj,'2026'!Wh/'2026'!Env_an*'2027'!Env_an,0.001*'[4]mon-tableau'!$B$57)</f>
        <v>36.430576044283043</v>
      </c>
      <c r="C68" s="953"/>
      <c r="D68" s="393">
        <f t="shared" si="0"/>
        <v>39.073855958818605</v>
      </c>
      <c r="E68" s="385">
        <f t="shared" si="1"/>
        <v>40.875675156946556</v>
      </c>
      <c r="F68" s="385">
        <f t="shared" si="2"/>
        <v>40.886600300539264</v>
      </c>
      <c r="G68" s="110">
        <f t="shared" si="21"/>
        <v>0.91786644514431859</v>
      </c>
      <c r="H68" s="412" t="b">
        <f>Wh_hp&gt;='2026'!Maxi_hp</f>
        <v>0</v>
      </c>
      <c r="I68" s="390">
        <f>IF(H68,Wh_hp,'2026'!Maxi_hp)</f>
        <v>43.491209699160983</v>
      </c>
      <c r="J68" s="85">
        <f>IF(H68,An,'2026'!An_max)</f>
        <v>2019</v>
      </c>
      <c r="K68" s="197">
        <f t="shared" si="3"/>
        <v>46441</v>
      </c>
      <c r="L68" s="147">
        <f>IF(t&lt;Tvie,1-EXP((T0-t)*PertePVj)+'2026'!Pspv,1-EXP((T0-t)*PertePVj)+Pspv)</f>
        <v>6.7648299602716788E-2</v>
      </c>
      <c r="M68" s="957"/>
      <c r="N68" s="957"/>
      <c r="O68" s="48">
        <f>IF(t&lt;Tnet,'2026'!Resal+('2026'!Salim-'2026'!Resal)*(1-EXP(('2026'!Tnet-t)/('2026'!Tau_j))),Resal+(Salim-Resal)*(1-EXP((Tnet-t)/(Tau_j))))*Salcycl</f>
        <v>4.4080475520212783E-2</v>
      </c>
      <c r="P68" s="169">
        <f>(INDEX(Models!$BJ68:$BT68,,T68)*(1-R68)+INDEX(Models!$BJ68:$BT68,,T68+1)*R68-ERP_i)*Q68*Ramure*Pc/MaxiM</f>
        <v>3.0270993202525165E-4</v>
      </c>
      <c r="Q68" s="305">
        <f t="shared" si="4"/>
        <v>0.7</v>
      </c>
      <c r="R68" s="177">
        <f t="shared" si="5"/>
        <v>0.98044452672075644</v>
      </c>
      <c r="S68" s="919">
        <f t="shared" si="6"/>
        <v>-2</v>
      </c>
      <c r="T68" s="176">
        <f t="shared" si="7"/>
        <v>4</v>
      </c>
      <c r="U68" s="251">
        <f t="shared" si="8"/>
        <v>-1.0195554732792436</v>
      </c>
      <c r="V68" s="383">
        <f t="shared" si="9"/>
        <v>39.689088169001039</v>
      </c>
      <c r="W68" s="402">
        <f t="shared" si="10"/>
        <v>36.430576044283043</v>
      </c>
      <c r="X68" s="157">
        <f t="shared" si="11"/>
        <v>46441</v>
      </c>
      <c r="Y68" s="385">
        <f t="shared" si="12"/>
        <v>35.128296616954763</v>
      </c>
      <c r="Z68" s="385">
        <f t="shared" si="22"/>
        <v>37.677087521786348</v>
      </c>
      <c r="AA68" s="386">
        <f t="shared" si="13"/>
        <v>40.733955266746804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7.5044707172247857E-2</v>
      </c>
      <c r="AD68" s="231">
        <f>(INDEX(Models!$BJ68:$BT68,,AH68)*(1-AF68)+INDEX(Models!$BJ68:$BT68,,AH68+1)*AF68-ERP_i)*AE68*Ramure*Pc/MaxiM</f>
        <v>4.2294334542343362E-3</v>
      </c>
      <c r="AE68" s="305">
        <f t="shared" si="15"/>
        <v>0.7</v>
      </c>
      <c r="AF68" s="177">
        <f t="shared" si="23"/>
        <v>0.50543209309473536</v>
      </c>
      <c r="AG68" s="919">
        <f t="shared" si="24"/>
        <v>2</v>
      </c>
      <c r="AH68" s="176">
        <f t="shared" si="16"/>
        <v>8</v>
      </c>
      <c r="AI68" s="225">
        <f t="shared" si="17"/>
        <v>2.5054320930947354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1090">
        <f>IF(t&gt;Tmaj,'2026'!Wh/'2026'!Env_an*'2027'!Env_an,0.001*'[4]mon-tableau'!$B$58)</f>
        <v>20.722519347831923</v>
      </c>
      <c r="C69" s="953"/>
      <c r="D69" s="393">
        <f t="shared" si="0"/>
        <v>22.226562385524282</v>
      </c>
      <c r="E69" s="385">
        <f t="shared" si="1"/>
        <v>23.254005158578515</v>
      </c>
      <c r="F69" s="385">
        <f t="shared" si="2"/>
        <v>23.256205068717303</v>
      </c>
      <c r="G69" s="110">
        <f t="shared" si="21"/>
        <v>0.51835123711854669</v>
      </c>
      <c r="H69" s="412" t="b">
        <f>Wh_hp&gt;='2026'!Maxi_hp</f>
        <v>0</v>
      </c>
      <c r="I69" s="390">
        <f>IF(H69,Wh_hp,'2026'!Maxi_hp)</f>
        <v>44.144707241290959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6.7668720497773061E-2</v>
      </c>
      <c r="M69" s="957"/>
      <c r="N69" s="957"/>
      <c r="O69" s="48">
        <f>IF(t&lt;Tnet,'2026'!Resal+('2026'!Salim-'2026'!Resal)*(1-EXP(('2026'!Tnet-t)/('2026'!Tau_j))),Resal+(Salim-Resal)*(1-EXP((Tnet-t)/(Tau_j))))*Salcycl</f>
        <v>4.4183475751711658E-2</v>
      </c>
      <c r="P69" s="169">
        <f>(INDEX(Models!$BJ69:$BT69,,T69)*(1-R69)+INDEX(Models!$BJ69:$BT69,,T69+1)*R69-ERP_i)*Q69*Ramure*Pc/MaxiM</f>
        <v>3.0310527357475971E-4</v>
      </c>
      <c r="Q69" s="305">
        <f t="shared" si="4"/>
        <v>0.7</v>
      </c>
      <c r="R69" s="177">
        <f t="shared" si="5"/>
        <v>0.98069682564797467</v>
      </c>
      <c r="S69" s="919">
        <f t="shared" si="6"/>
        <v>-2</v>
      </c>
      <c r="T69" s="176">
        <f t="shared" si="7"/>
        <v>4</v>
      </c>
      <c r="U69" s="251">
        <f t="shared" si="8"/>
        <v>-1.0193031743520253</v>
      </c>
      <c r="V69" s="383">
        <f t="shared" si="9"/>
        <v>39.9694195515522</v>
      </c>
      <c r="W69" s="402">
        <f t="shared" si="10"/>
        <v>20.722519347831923</v>
      </c>
      <c r="X69" s="157">
        <f t="shared" si="11"/>
        <v>46442</v>
      </c>
      <c r="Y69" s="385">
        <f t="shared" si="12"/>
        <v>20.027589992587952</v>
      </c>
      <c r="Z69" s="385">
        <f t="shared" si="22"/>
        <v>21.481194971041528</v>
      </c>
      <c r="AA69" s="386">
        <f t="shared" si="13"/>
        <v>23.225803789843059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7.5115110529111975E-2</v>
      </c>
      <c r="AD69" s="231">
        <f>(INDEX(Models!$BJ69:$BT69,,AH69)*(1-AF69)+INDEX(Models!$BJ69:$BT69,,AH69+1)*AF69-ERP_i)*AE69*Ramure*Pc/MaxiM</f>
        <v>4.1887110694799118E-3</v>
      </c>
      <c r="AE69" s="305">
        <f t="shared" si="15"/>
        <v>0.7</v>
      </c>
      <c r="AF69" s="177">
        <f t="shared" si="23"/>
        <v>0.50568439202195359</v>
      </c>
      <c r="AG69" s="919">
        <f t="shared" si="24"/>
        <v>2</v>
      </c>
      <c r="AH69" s="176">
        <f t="shared" si="16"/>
        <v>8</v>
      </c>
      <c r="AI69" s="225">
        <f t="shared" si="17"/>
        <v>2.5056843920219536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1090">
        <f>IF(t&gt;Tmaj,'2026'!Wh/'2026'!Env_an*'2027'!Env_an,0.001*'[4]mon-tableau'!$B$59)</f>
        <v>30.138038390902405</v>
      </c>
      <c r="C70" s="953"/>
      <c r="D70" s="393">
        <f t="shared" si="0"/>
        <v>32.326169000615003</v>
      </c>
      <c r="E70" s="385">
        <f t="shared" si="1"/>
        <v>33.82411577454355</v>
      </c>
      <c r="F70" s="385">
        <f t="shared" si="2"/>
        <v>33.830694706612285</v>
      </c>
      <c r="G70" s="110">
        <f t="shared" si="21"/>
        <v>0.74872811150988916</v>
      </c>
      <c r="H70" s="412" t="b">
        <f>Wh_hp&gt;='2026'!Maxi_hp</f>
        <v>0</v>
      </c>
      <c r="I70" s="390">
        <f>IF(H70,Wh_hp,'2026'!Maxi_hp)</f>
        <v>44.223095559004854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6.7689140945559223E-2</v>
      </c>
      <c r="M70" s="957"/>
      <c r="N70" s="957"/>
      <c r="O70" s="48">
        <f>IF(t&lt;Tnet,'2026'!Resal+('2026'!Salim-'2026'!Resal)*(1-EXP(('2026'!Tnet-t)/('2026'!Tau_j))),Resal+(Salim-Resal)*(1-EXP((Tnet-t)/(Tau_j))))*Salcycl</f>
        <v>4.4286354266086188E-2</v>
      </c>
      <c r="P70" s="169">
        <f>(INDEX(Models!$BJ70:$BT70,,T70)*(1-R70)+INDEX(Models!$BJ70:$BT70,,T70+1)*R70-ERP_i)*Q70*Ramure*Pc/MaxiM</f>
        <v>3.0330555321725344E-4</v>
      </c>
      <c r="Q70" s="305">
        <f t="shared" si="4"/>
        <v>0.7</v>
      </c>
      <c r="R70" s="177">
        <f t="shared" si="5"/>
        <v>0.98095943544011077</v>
      </c>
      <c r="S70" s="919">
        <f t="shared" si="6"/>
        <v>-2</v>
      </c>
      <c r="T70" s="176">
        <f t="shared" si="7"/>
        <v>4</v>
      </c>
      <c r="U70" s="251">
        <f t="shared" si="8"/>
        <v>-1.0190405645598892</v>
      </c>
      <c r="V70" s="383">
        <f t="shared" si="9"/>
        <v>40.247931244824983</v>
      </c>
      <c r="W70" s="402">
        <f t="shared" si="10"/>
        <v>30.138038390902405</v>
      </c>
      <c r="X70" s="157">
        <f t="shared" si="11"/>
        <v>46443</v>
      </c>
      <c r="Y70" s="385">
        <f t="shared" si="12"/>
        <v>29.09159445899391</v>
      </c>
      <c r="Z70" s="385">
        <f t="shared" si="22"/>
        <v>31.203749453802246</v>
      </c>
      <c r="AA70" s="386">
        <f t="shared" si="13"/>
        <v>33.74054646724349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7.518541574020017E-2</v>
      </c>
      <c r="AD70" s="231">
        <f>(INDEX(Models!$BJ70:$BT70,,AH70)*(1-AF70)+INDEX(Models!$BJ70:$BT70,,AH70+1)*AF70-ERP_i)*AE70*Ramure*Pc/MaxiM</f>
        <v>4.1560638303656293E-3</v>
      </c>
      <c r="AE70" s="305">
        <f t="shared" si="15"/>
        <v>0.7</v>
      </c>
      <c r="AF70" s="177">
        <f t="shared" si="23"/>
        <v>0.50594700181408969</v>
      </c>
      <c r="AG70" s="919">
        <f t="shared" si="24"/>
        <v>2</v>
      </c>
      <c r="AH70" s="176">
        <f t="shared" si="16"/>
        <v>8</v>
      </c>
      <c r="AI70" s="225">
        <f t="shared" si="17"/>
        <v>2.5059470018140897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1090">
        <f>IF(t&gt;Tmaj,'2026'!Wh/'2026'!Env_an*'2027'!Env_an,0.001*'[4]mon-tableau'!$B$60)</f>
        <v>40.67694336265756</v>
      </c>
      <c r="C71" s="953"/>
      <c r="D71" s="393">
        <f t="shared" si="0"/>
        <v>43.631192232257995</v>
      </c>
      <c r="E71" s="385">
        <f t="shared" si="1"/>
        <v>45.657906141782547</v>
      </c>
      <c r="F71" s="385">
        <f t="shared" si="2"/>
        <v>45.671759028125592</v>
      </c>
      <c r="G71" s="110">
        <f t="shared" si="21"/>
        <v>1.0037563100773264</v>
      </c>
      <c r="H71" s="412" t="b">
        <f>Wh_hp&gt;='2026'!Maxi_hp</f>
        <v>1</v>
      </c>
      <c r="I71" s="390">
        <f>IF(H71,Wh_hp,'2026'!Maxi_hp)</f>
        <v>45.671759028125592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6.7709560946085268E-2</v>
      </c>
      <c r="M71" s="957"/>
      <c r="N71" s="957"/>
      <c r="O71" s="48">
        <f>IF(t&lt;Tnet,'2026'!Resal+('2026'!Salim-'2026'!Resal)*(1-EXP(('2026'!Tnet-t)/('2026'!Tau_j))),Resal+(Salim-Resal)*(1-EXP((Tnet-t)/(Tau_j))))*Salcycl</f>
        <v>4.4389112002441528E-2</v>
      </c>
      <c r="P71" s="169">
        <f>(INDEX(Models!$BJ71:$BT71,,T71)*(1-R71)+INDEX(Models!$BJ71:$BT71,,T71+1)*R71-ERP_i)*Q71*Ramure*Pc/MaxiM</f>
        <v>3.0331405310038396E-4</v>
      </c>
      <c r="Q71" s="305">
        <f t="shared" si="4"/>
        <v>0.7</v>
      </c>
      <c r="R71" s="177">
        <f t="shared" si="5"/>
        <v>0.98123276569567608</v>
      </c>
      <c r="S71" s="919">
        <f t="shared" si="6"/>
        <v>-2</v>
      </c>
      <c r="T71" s="176">
        <f t="shared" si="7"/>
        <v>4</v>
      </c>
      <c r="U71" s="251">
        <f t="shared" si="8"/>
        <v>-1.0187672343043239</v>
      </c>
      <c r="V71" s="383">
        <f t="shared" si="9"/>
        <v>40.524719948733321</v>
      </c>
      <c r="W71" s="402">
        <f t="shared" si="10"/>
        <v>40.67694336265756</v>
      </c>
      <c r="X71" s="157">
        <f t="shared" si="11"/>
        <v>46444</v>
      </c>
      <c r="Y71" s="385">
        <f t="shared" si="12"/>
        <v>39.212338302152453</v>
      </c>
      <c r="Z71" s="385">
        <f t="shared" si="22"/>
        <v>42.060217137853527</v>
      </c>
      <c r="AA71" s="386">
        <f t="shared" si="13"/>
        <v>45.483074293051907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7.5255624392154608E-2</v>
      </c>
      <c r="AD71" s="231">
        <f>(INDEX(Models!$BJ71:$BT71,,AH71)*(1-AF71)+INDEX(Models!$BJ71:$BT71,,AH71+1)*AF71-ERP_i)*AE71*Ramure*Pc/MaxiM</f>
        <v>4.1313218296999262E-3</v>
      </c>
      <c r="AE71" s="305">
        <f t="shared" si="15"/>
        <v>0.7</v>
      </c>
      <c r="AF71" s="177">
        <f t="shared" si="23"/>
        <v>0.50622033206965478</v>
      </c>
      <c r="AG71" s="919">
        <f t="shared" si="24"/>
        <v>2</v>
      </c>
      <c r="AH71" s="176">
        <f t="shared" si="16"/>
        <v>8</v>
      </c>
      <c r="AI71" s="225">
        <f t="shared" si="17"/>
        <v>2.5062203320696548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1090">
        <f>IF(t&gt;Tmaj,'2026'!Wh/'2026'!Env_an*'2027'!Env_an,0.001*'[4]mon-tableau'!$B$61)</f>
        <v>28.071836806559922</v>
      </c>
      <c r="C72" s="953"/>
      <c r="D72" s="393">
        <f t="shared" si="0"/>
        <v>30.11127272074706</v>
      </c>
      <c r="E72" s="385">
        <f t="shared" si="1"/>
        <v>31.513357151455377</v>
      </c>
      <c r="F72" s="385">
        <f t="shared" si="2"/>
        <v>31.518640664093382</v>
      </c>
      <c r="G72" s="110">
        <f t="shared" si="21"/>
        <v>0.68794395468812763</v>
      </c>
      <c r="H72" s="412" t="b">
        <f>Wh_hp&gt;='2026'!Maxi_hp</f>
        <v>0</v>
      </c>
      <c r="I72" s="390">
        <f>IF(H72,Wh_hp,'2026'!Maxi_hp)</f>
        <v>44.962572405256154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6.7729980499360964E-2</v>
      </c>
      <c r="M72" s="957"/>
      <c r="N72" s="957"/>
      <c r="O72" s="48">
        <f>IF(t&lt;Tnet,'2026'!Resal+('2026'!Salim-'2026'!Resal)*(1-EXP(('2026'!Tnet-t)/('2026'!Tau_j))),Resal+(Salim-Resal)*(1-EXP((Tnet-t)/(Tau_j))))*Salcycl</f>
        <v>4.4491750719220471E-2</v>
      </c>
      <c r="P72" s="169">
        <f>(INDEX(Models!$BJ72:$BT72,,T72)*(1-R72)+INDEX(Models!$BJ72:$BT72,,T72+1)*R72-ERP_i)*Q72*Ramure*Pc/MaxiM</f>
        <v>3.0239911389771826E-4</v>
      </c>
      <c r="Q72" s="305">
        <f t="shared" si="4"/>
        <v>0.7</v>
      </c>
      <c r="R72" s="177">
        <f t="shared" si="5"/>
        <v>0.98151724129048623</v>
      </c>
      <c r="S72" s="919">
        <f t="shared" si="6"/>
        <v>-2</v>
      </c>
      <c r="T72" s="176">
        <f t="shared" si="7"/>
        <v>4</v>
      </c>
      <c r="U72" s="251">
        <f t="shared" si="8"/>
        <v>-1.0184827587095138</v>
      </c>
      <c r="V72" s="383">
        <f t="shared" si="9"/>
        <v>40.799912264129681</v>
      </c>
      <c r="W72" s="402">
        <f t="shared" si="10"/>
        <v>28.071836806559922</v>
      </c>
      <c r="X72" s="157">
        <f t="shared" si="11"/>
        <v>46445</v>
      </c>
      <c r="Y72" s="385">
        <f t="shared" si="12"/>
        <v>27.108591160687435</v>
      </c>
      <c r="Z72" s="385">
        <f t="shared" si="22"/>
        <v>29.078046696393688</v>
      </c>
      <c r="AA72" s="386">
        <f t="shared" si="13"/>
        <v>31.446800172740009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7.5325739449945667E-2</v>
      </c>
      <c r="AD72" s="231">
        <f>(INDEX(Models!$BJ72:$BT72,,AH72)*(1-AF72)+INDEX(Models!$BJ72:$BT72,,AH72+1)*AF72-ERP_i)*AE72*Ramure*Pc/MaxiM</f>
        <v>4.1117533761498466E-3</v>
      </c>
      <c r="AE72" s="305">
        <f t="shared" si="15"/>
        <v>0.7</v>
      </c>
      <c r="AF72" s="177">
        <f t="shared" si="23"/>
        <v>0.50650480766446515</v>
      </c>
      <c r="AG72" s="919">
        <f t="shared" si="24"/>
        <v>2</v>
      </c>
      <c r="AH72" s="176">
        <f t="shared" si="16"/>
        <v>8</v>
      </c>
      <c r="AI72" s="225">
        <f t="shared" si="17"/>
        <v>2.5065048076644652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1090">
        <f>IF(t&gt;Tmaj,'2026'!Wh/'2026'!Env_an*'2027'!Env_an,0.001*'[4]mon-tableau'!$B$62)</f>
        <v>32.523289875677101</v>
      </c>
      <c r="C73" s="953"/>
      <c r="D73" s="393">
        <f t="shared" si="0"/>
        <v>34.886890658800596</v>
      </c>
      <c r="E73" s="385">
        <f t="shared" si="1"/>
        <v>36.515262232561028</v>
      </c>
      <c r="F73" s="385">
        <f t="shared" si="2"/>
        <v>36.522973232228168</v>
      </c>
      <c r="G73" s="110">
        <f t="shared" si="21"/>
        <v>0.79175860616918281</v>
      </c>
      <c r="H73" s="412" t="b">
        <f>Wh_hp&gt;='2026'!Maxi_hp</f>
        <v>0</v>
      </c>
      <c r="I73" s="390">
        <f>IF(H73,Wh_hp,'2026'!Maxi_hp)</f>
        <v>37.080698817786207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6.7750399605395972E-2</v>
      </c>
      <c r="M73" s="957"/>
      <c r="N73" s="957"/>
      <c r="O73" s="48">
        <f>IF(t&lt;Tnet,'2026'!Resal+('2026'!Salim-'2026'!Resal)*(1-EXP(('2026'!Tnet-t)/('2026'!Tau_j))),Resal+(Salim-Resal)*(1-EXP((Tnet-t)/(Tau_j))))*Salcycl</f>
        <v>4.4594273029987877E-2</v>
      </c>
      <c r="P73" s="169">
        <f>(INDEX(Models!$BJ73:$BT73,,T73)*(1-R73)+INDEX(Models!$BJ73:$BT73,,T73+1)*R73-ERP_i)*Q73*Ramure*Pc/MaxiM</f>
        <v>3.0048869051667321E-4</v>
      </c>
      <c r="Q73" s="305">
        <f t="shared" si="4"/>
        <v>0.7</v>
      </c>
      <c r="R73" s="177">
        <f t="shared" si="5"/>
        <v>0.98181330286307378</v>
      </c>
      <c r="S73" s="919">
        <f t="shared" si="6"/>
        <v>-2</v>
      </c>
      <c r="T73" s="176">
        <f t="shared" si="7"/>
        <v>4</v>
      </c>
      <c r="U73" s="251">
        <f t="shared" si="8"/>
        <v>-1.0181866971369262</v>
      </c>
      <c r="V73" s="383">
        <f t="shared" si="9"/>
        <v>41.073608401302543</v>
      </c>
      <c r="W73" s="402">
        <f t="shared" si="10"/>
        <v>32.523289875677101</v>
      </c>
      <c r="X73" s="157">
        <f t="shared" si="11"/>
        <v>46446</v>
      </c>
      <c r="Y73" s="385">
        <f t="shared" si="12"/>
        <v>31.390910495101451</v>
      </c>
      <c r="Z73" s="385">
        <f t="shared" si="22"/>
        <v>33.672216627193251</v>
      </c>
      <c r="AA73" s="386">
        <f t="shared" si="13"/>
        <v>36.417977945352398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7.5395765307984586E-2</v>
      </c>
      <c r="AD73" s="231">
        <f>(INDEX(Models!$BJ73:$BT73,,AH73)*(1-AF73)+INDEX(Models!$BJ73:$BT73,,AH73+1)*AF73-ERP_i)*AE73*Ramure*Pc/MaxiM</f>
        <v>4.0915442388325049E-3</v>
      </c>
      <c r="AE73" s="305">
        <f t="shared" si="15"/>
        <v>0.7</v>
      </c>
      <c r="AF73" s="177">
        <f t="shared" si="23"/>
        <v>0.5068008692370527</v>
      </c>
      <c r="AG73" s="919">
        <f t="shared" si="24"/>
        <v>2</v>
      </c>
      <c r="AH73" s="176">
        <f t="shared" si="16"/>
        <v>8</v>
      </c>
      <c r="AI73" s="225">
        <f t="shared" si="17"/>
        <v>2.5068008692370527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1090">
        <f>IF(t&gt;Tmaj,'2026'!Wh/'2026'!Env_an*'2027'!Env_an,0.001*'[5]mon-tableau'!$B$38)</f>
        <v>41.568647812088741</v>
      </c>
      <c r="C74" s="953"/>
      <c r="D74" s="393">
        <f t="shared" si="0"/>
        <v>44.590588480279493</v>
      </c>
      <c r="E74" s="385">
        <f t="shared" si="1"/>
        <v>46.676890638114266</v>
      </c>
      <c r="F74" s="385">
        <f t="shared" si="2"/>
        <v>46.690785858346956</v>
      </c>
      <c r="G74" s="110">
        <f t="shared" si="21"/>
        <v>1.0053873048316819</v>
      </c>
      <c r="H74" s="412" t="b">
        <f>Wh_hp&gt;='2026'!Maxi_hp</f>
        <v>1</v>
      </c>
      <c r="I74" s="390">
        <f>IF(H74,Wh_hp,'2026'!Maxi_hp)</f>
        <v>46.690785858346956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6.7770818264200061E-2</v>
      </c>
      <c r="M74" s="957"/>
      <c r="N74" s="957"/>
      <c r="O74" s="48">
        <f>IF(t&lt;Tnet,'2026'!Resal+('2026'!Salim-'2026'!Resal)*(1-EXP(('2026'!Tnet-t)/('2026'!Tau_j))),Resal+(Salim-Resal)*(1-EXP((Tnet-t)/(Tau_j))))*Salcycl</f>
        <v>4.4696682433495095E-2</v>
      </c>
      <c r="P74" s="169">
        <f>(INDEX(Models!$BJ74:$BT74,,T74)*(1-R74)+INDEX(Models!$BJ74:$BT74,,T74+1)*R74-ERP_i)*Q74*Ramure*Pc/MaxiM</f>
        <v>2.9760090727208588E-4</v>
      </c>
      <c r="Q74" s="305">
        <f t="shared" si="4"/>
        <v>0.7</v>
      </c>
      <c r="R74" s="177">
        <f t="shared" si="5"/>
        <v>0.98212140730813258</v>
      </c>
      <c r="S74" s="919">
        <f t="shared" si="6"/>
        <v>-2</v>
      </c>
      <c r="T74" s="176">
        <f t="shared" si="7"/>
        <v>4</v>
      </c>
      <c r="U74" s="251">
        <f t="shared" si="8"/>
        <v>-1.0178785926918674</v>
      </c>
      <c r="V74" s="383">
        <f t="shared" si="9"/>
        <v>41.345904819285536</v>
      </c>
      <c r="W74" s="402">
        <f t="shared" si="10"/>
        <v>41.568647812088741</v>
      </c>
      <c r="X74" s="157">
        <f t="shared" si="11"/>
        <v>46447</v>
      </c>
      <c r="Y74" s="385">
        <f t="shared" si="12"/>
        <v>40.077941783136311</v>
      </c>
      <c r="Z74" s="385">
        <f t="shared" si="22"/>
        <v>42.991511710147975</v>
      </c>
      <c r="AA74" s="386">
        <f t="shared" si="13"/>
        <v>46.500721578751985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7.5465707831241624E-2</v>
      </c>
      <c r="AD74" s="231">
        <f>(INDEX(Models!$BJ74:$BT74,,AH74)*(1-AF74)+INDEX(Models!$BJ74:$BT74,,AH74+1)*AF74-ERP_i)*AE74*Ramure*Pc/MaxiM</f>
        <v>4.0707020903781614E-3</v>
      </c>
      <c r="AE74" s="305">
        <f t="shared" si="15"/>
        <v>0.7</v>
      </c>
      <c r="AF74" s="177">
        <f t="shared" si="23"/>
        <v>0.5071089736821115</v>
      </c>
      <c r="AG74" s="919">
        <f t="shared" si="24"/>
        <v>2</v>
      </c>
      <c r="AH74" s="176">
        <f t="shared" si="16"/>
        <v>8</v>
      </c>
      <c r="AI74" s="225">
        <f t="shared" si="17"/>
        <v>2.5071089736821115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1090">
        <f>IF(t&gt;Tmaj,'2026'!Wh/'2026'!Env_an*'2027'!Env_an,0.001*'[5]mon-tableau'!$B$39)</f>
        <v>10.483035861306311</v>
      </c>
      <c r="C75" s="953"/>
      <c r="D75" s="393">
        <f t="shared" si="0"/>
        <v>11.245373645357265</v>
      </c>
      <c r="E75" s="385">
        <f t="shared" si="1"/>
        <v>11.772782324555033</v>
      </c>
      <c r="F75" s="385">
        <f t="shared" si="2"/>
        <v>11.772782324555033</v>
      </c>
      <c r="G75" s="110">
        <f t="shared" si="21"/>
        <v>0.25181974075138497</v>
      </c>
      <c r="H75" s="412" t="b">
        <f>Wh_hp&gt;='2026'!Maxi_hp</f>
        <v>0</v>
      </c>
      <c r="I75" s="390">
        <f>IF(H75,Wh_hp,'2026'!Maxi_hp)</f>
        <v>32.956677810715547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6.7791236475783223E-2</v>
      </c>
      <c r="M75" s="957"/>
      <c r="N75" s="957"/>
      <c r="O75" s="48">
        <f>IF(t&lt;Tnet,'2026'!Resal+('2026'!Salim-'2026'!Resal)*(1-EXP(('2026'!Tnet-t)/('2026'!Tau_j))),Resal+(Salim-Resal)*(1-EXP((Tnet-t)/(Tau_j))))*Salcycl</f>
        <v>4.4798983337840777E-2</v>
      </c>
      <c r="P75" s="169">
        <f>(INDEX(Models!$BJ75:$BT75,,T75)*(1-R75)+INDEX(Models!$BJ75:$BT75,,T75+1)*R75-ERP_i)*Q75*Ramure*Pc/MaxiM</f>
        <v>2.9375324280319547E-4</v>
      </c>
      <c r="Q75" s="305">
        <f t="shared" si="4"/>
        <v>0.7</v>
      </c>
      <c r="R75" s="177">
        <f t="shared" si="5"/>
        <v>0.98244202827739424</v>
      </c>
      <c r="S75" s="919">
        <f t="shared" si="6"/>
        <v>-2</v>
      </c>
      <c r="T75" s="176">
        <f t="shared" si="7"/>
        <v>4</v>
      </c>
      <c r="U75" s="251">
        <f t="shared" si="8"/>
        <v>-1.0175579717226058</v>
      </c>
      <c r="V75" s="383">
        <f t="shared" si="9"/>
        <v>41.616897882021945</v>
      </c>
      <c r="W75" s="402">
        <f t="shared" si="10"/>
        <v>10.483035861306311</v>
      </c>
      <c r="X75" s="157">
        <f t="shared" si="11"/>
        <v>46448</v>
      </c>
      <c r="Y75" s="385">
        <f t="shared" si="12"/>
        <v>10.145711276644803</v>
      </c>
      <c r="Z75" s="385">
        <f t="shared" si="22"/>
        <v>10.883518449546564</v>
      </c>
      <c r="AA75" s="386">
        <f t="shared" si="13"/>
        <v>11.772782324555033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7.553557438615767E-2</v>
      </c>
      <c r="AD75" s="231">
        <f>(INDEX(Models!$BJ75:$BT75,,AH75)*(1-AF75)+INDEX(Models!$BJ75:$BT75,,AH75+1)*AF75-ERP_i)*AE75*Ramure*Pc/MaxiM</f>
        <v>4.0492358544112917E-3</v>
      </c>
      <c r="AE75" s="305">
        <f t="shared" si="15"/>
        <v>0.7</v>
      </c>
      <c r="AF75" s="177">
        <f t="shared" si="23"/>
        <v>0.50742959465137316</v>
      </c>
      <c r="AG75" s="919">
        <f t="shared" si="24"/>
        <v>2</v>
      </c>
      <c r="AH75" s="176">
        <f t="shared" si="16"/>
        <v>8</v>
      </c>
      <c r="AI75" s="225">
        <f t="shared" si="17"/>
        <v>2.5074295946513732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1090">
        <f>IF(t&gt;Tmaj,'2026'!Wh/'2026'!Env_an*'2027'!Env_an,0.001*'[5]mon-tableau'!$B$40)</f>
        <v>39.302939196418968</v>
      </c>
      <c r="C76" s="953"/>
      <c r="D76" s="393">
        <f t="shared" si="0"/>
        <v>42.162015192737016</v>
      </c>
      <c r="E76" s="385">
        <f t="shared" si="1"/>
        <v>44.144139179599406</v>
      </c>
      <c r="F76" s="385">
        <f t="shared" si="2"/>
        <v>44.155774187234478</v>
      </c>
      <c r="G76" s="110">
        <f t="shared" si="21"/>
        <v>0.93829194684416084</v>
      </c>
      <c r="H76" s="412" t="b">
        <f>Wh_hp&gt;='2026'!Maxi_hp</f>
        <v>0</v>
      </c>
      <c r="I76" s="390">
        <f>IF(H76,Wh_hp,'2026'!Maxi_hp)</f>
        <v>44.156346480539938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6.7811654240155117E-2</v>
      </c>
      <c r="M76" s="957"/>
      <c r="N76" s="957"/>
      <c r="O76" s="48">
        <f>IF(t&lt;Tnet,'2026'!Resal+('2026'!Salim-'2026'!Resal)*(1-EXP(('2026'!Tnet-t)/('2026'!Tau_j))),Resal+(Salim-Resal)*(1-EXP((Tnet-t)/(Tau_j))))*Salcycl</f>
        <v>4.4901181078606266E-2</v>
      </c>
      <c r="P76" s="169">
        <f>(INDEX(Models!$BJ76:$BT76,,T76)*(1-R76)+INDEX(Models!$BJ76:$BT76,,T76+1)*R76-ERP_i)*Q76*Ramure*Pc/MaxiM</f>
        <v>2.8896256467404751E-4</v>
      </c>
      <c r="Q76" s="305">
        <f t="shared" si="4"/>
        <v>0.7</v>
      </c>
      <c r="R76" s="177">
        <f t="shared" si="5"/>
        <v>0.98277565668725209</v>
      </c>
      <c r="S76" s="919">
        <f t="shared" si="6"/>
        <v>-2</v>
      </c>
      <c r="T76" s="176">
        <f t="shared" si="7"/>
        <v>4</v>
      </c>
      <c r="U76" s="251">
        <f t="shared" si="8"/>
        <v>-1.0172243433127479</v>
      </c>
      <c r="V76" s="383">
        <f t="shared" si="9"/>
        <v>41.886683858480318</v>
      </c>
      <c r="W76" s="402">
        <f t="shared" si="10"/>
        <v>39.302939196418968</v>
      </c>
      <c r="X76" s="157">
        <f t="shared" si="11"/>
        <v>46449</v>
      </c>
      <c r="Y76" s="385">
        <f t="shared" si="12"/>
        <v>37.909739273285027</v>
      </c>
      <c r="Z76" s="385">
        <f t="shared" si="22"/>
        <v>40.667467519543017</v>
      </c>
      <c r="AA76" s="386">
        <f t="shared" si="13"/>
        <v>43.993621738600041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7.5605373861244468E-2</v>
      </c>
      <c r="AD76" s="231">
        <f>(INDEX(Models!$BJ76:$BT76,,AH76)*(1-AF76)+INDEX(Models!$BJ76:$BT76,,AH76+1)*AF76-ERP_i)*AE76*Ramure*Pc/MaxiM</f>
        <v>4.0271557093216597E-3</v>
      </c>
      <c r="AE76" s="305">
        <f t="shared" si="15"/>
        <v>0.7</v>
      </c>
      <c r="AF76" s="177">
        <f t="shared" si="23"/>
        <v>0.50776322306123101</v>
      </c>
      <c r="AG76" s="919">
        <f t="shared" si="24"/>
        <v>2</v>
      </c>
      <c r="AH76" s="176">
        <f t="shared" si="16"/>
        <v>8</v>
      </c>
      <c r="AI76" s="225">
        <f t="shared" si="17"/>
        <v>2.507763223061231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1090">
        <f>IF(t&gt;Tmaj,'2026'!Wh/'2026'!Env_an*'2027'!Env_an,0.001*'[5]mon-tableau'!$B$41)</f>
        <v>4.2020658775112265</v>
      </c>
      <c r="C77" s="953"/>
      <c r="D77" s="393">
        <f t="shared" si="0"/>
        <v>4.5078421487117719</v>
      </c>
      <c r="E77" s="385">
        <f t="shared" si="1"/>
        <v>4.7202697804304261</v>
      </c>
      <c r="F77" s="385">
        <f t="shared" si="2"/>
        <v>4.7202697804304261</v>
      </c>
      <c r="G77" s="110">
        <f t="shared" si="21"/>
        <v>9.9652233318729799E-2</v>
      </c>
      <c r="H77" s="412" t="b">
        <f>Wh_hp&gt;='2026'!Maxi_hp</f>
        <v>0</v>
      </c>
      <c r="I77" s="390">
        <f>IF(H77,Wh_hp,'2026'!Maxi_hp)</f>
        <v>33.323703114447028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6.7832071557325624E-2</v>
      </c>
      <c r="M77" s="957"/>
      <c r="N77" s="957"/>
      <c r="O77" s="48">
        <f>IF(t&lt;Tnet,'2026'!Resal+('2026'!Salim-'2026'!Resal)*(1-EXP(('2026'!Tnet-t)/('2026'!Tau_j))),Resal+(Salim-Resal)*(1-EXP((Tnet-t)/(Tau_j))))*Salcycl</f>
        <v>4.5003281930907614E-2</v>
      </c>
      <c r="P77" s="169">
        <f>(INDEX(Models!$BJ77:$BT77,,T77)*(1-R77)+INDEX(Models!$BJ77:$BT77,,T77+1)*R77-ERP_i)*Q77*Ramure*Pc/MaxiM</f>
        <v>2.8324515683829425E-4</v>
      </c>
      <c r="Q77" s="305">
        <f t="shared" si="4"/>
        <v>0.7</v>
      </c>
      <c r="R77" s="177">
        <f t="shared" si="5"/>
        <v>0.9831228012323503</v>
      </c>
      <c r="S77" s="919">
        <f t="shared" si="6"/>
        <v>-2</v>
      </c>
      <c r="T77" s="176">
        <f t="shared" si="7"/>
        <v>4</v>
      </c>
      <c r="U77" s="251">
        <f t="shared" si="8"/>
        <v>-1.0168771987676497</v>
      </c>
      <c r="V77" s="383">
        <f t="shared" si="9"/>
        <v>42.15535891971971</v>
      </c>
      <c r="W77" s="402">
        <f t="shared" si="10"/>
        <v>4.2020658775112265</v>
      </c>
      <c r="X77" s="157">
        <f t="shared" si="11"/>
        <v>46450</v>
      </c>
      <c r="Y77" s="385">
        <f t="shared" si="12"/>
        <v>4.0671072250360805</v>
      </c>
      <c r="Z77" s="385">
        <f t="shared" si="22"/>
        <v>4.3630628140476686</v>
      </c>
      <c r="AA77" s="386">
        <f t="shared" si="13"/>
        <v>4.7202697804304261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7.5675116677374449E-2</v>
      </c>
      <c r="AD77" s="231">
        <f>(INDEX(Models!$BJ77:$BT77,,AH77)*(1-AF77)+INDEX(Models!$BJ77:$BT77,,AH77+1)*AF77-ERP_i)*AE77*Ramure*Pc/MaxiM</f>
        <v>4.0044730822964497E-3</v>
      </c>
      <c r="AE77" s="305">
        <f t="shared" si="15"/>
        <v>0.7</v>
      </c>
      <c r="AF77" s="177">
        <f t="shared" si="23"/>
        <v>0.50811036760632922</v>
      </c>
      <c r="AG77" s="919">
        <f t="shared" si="24"/>
        <v>2</v>
      </c>
      <c r="AH77" s="176">
        <f t="shared" si="16"/>
        <v>8</v>
      </c>
      <c r="AI77" s="225">
        <f t="shared" si="17"/>
        <v>2.5081103676063292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1090">
        <f>IF(t&gt;Tmaj,'2026'!Wh/'2026'!Env_an*'2027'!Env_an,0.001*'[5]mon-tableau'!$B$42)</f>
        <v>14.93928112347418</v>
      </c>
      <c r="C78" s="953"/>
      <c r="D78" s="393">
        <f t="shared" si="0"/>
        <v>16.026734972739458</v>
      </c>
      <c r="E78" s="385">
        <f t="shared" si="1"/>
        <v>16.78377192499795</v>
      </c>
      <c r="F78" s="385">
        <f t="shared" si="2"/>
        <v>16.784117813545613</v>
      </c>
      <c r="G78" s="110">
        <f t="shared" si="21"/>
        <v>0.3520601966201472</v>
      </c>
      <c r="H78" s="412" t="b">
        <f>Wh_hp&gt;='2026'!Maxi_hp</f>
        <v>0</v>
      </c>
      <c r="I78" s="390">
        <f>IF(H78,Wh_hp,'2026'!Maxi_hp)</f>
        <v>47.032781812856342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6.7852488427304403E-2</v>
      </c>
      <c r="M78" s="957"/>
      <c r="N78" s="957"/>
      <c r="O78" s="48">
        <f>IF(t&lt;Tnet,'2026'!Resal+('2026'!Salim-'2026'!Resal)*(1-EXP(('2026'!Tnet-t)/('2026'!Tau_j))),Resal+(Salim-Resal)*(1-EXP((Tnet-t)/(Tau_j))))*Salcycl</f>
        <v>4.5105293115366638E-2</v>
      </c>
      <c r="P78" s="169">
        <f>(INDEX(Models!$BJ78:$BT78,,T78)*(1-R78)+INDEX(Models!$BJ78:$BT78,,T78+1)*R78-ERP_i)*Q78*Ramure*Pc/MaxiM</f>
        <v>2.7661674030910588E-4</v>
      </c>
      <c r="Q78" s="305">
        <f t="shared" si="4"/>
        <v>0.7</v>
      </c>
      <c r="R78" s="177">
        <f t="shared" si="5"/>
        <v>0.98348398890424593</v>
      </c>
      <c r="S78" s="919">
        <f t="shared" si="6"/>
        <v>-2</v>
      </c>
      <c r="T78" s="176">
        <f t="shared" si="7"/>
        <v>4</v>
      </c>
      <c r="U78" s="251">
        <f t="shared" si="8"/>
        <v>-1.0165160110957541</v>
      </c>
      <c r="V78" s="383">
        <f t="shared" si="9"/>
        <v>42.423019139300088</v>
      </c>
      <c r="W78" s="402">
        <f t="shared" si="10"/>
        <v>14.93928112347418</v>
      </c>
      <c r="X78" s="157">
        <f t="shared" si="11"/>
        <v>46451</v>
      </c>
      <c r="Y78" s="385">
        <f t="shared" si="12"/>
        <v>14.455936374843811</v>
      </c>
      <c r="Z78" s="385">
        <f t="shared" si="22"/>
        <v>15.508206797070264</v>
      </c>
      <c r="AA78" s="386">
        <f t="shared" si="13"/>
        <v>16.779139619877569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7.5744814787862075E-2</v>
      </c>
      <c r="AD78" s="231">
        <f>(INDEX(Models!$BJ78:$BT78,,AH78)*(1-AF78)+INDEX(Models!$BJ78:$BT78,,AH78+1)*AF78-ERP_i)*AE78*Ramure*Pc/MaxiM</f>
        <v>3.9812006334910633E-3</v>
      </c>
      <c r="AE78" s="305">
        <f t="shared" si="15"/>
        <v>0.7</v>
      </c>
      <c r="AF78" s="177">
        <f t="shared" si="23"/>
        <v>0.50847155527822485</v>
      </c>
      <c r="AG78" s="919">
        <f t="shared" si="24"/>
        <v>2</v>
      </c>
      <c r="AH78" s="176">
        <f t="shared" si="16"/>
        <v>8</v>
      </c>
      <c r="AI78" s="225">
        <f t="shared" si="17"/>
        <v>2.5084715552782249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1090">
        <f>IF(t&gt;Tmaj,'2026'!Wh/'2026'!Env_an*'2027'!Env_an,0.001*'[5]mon-tableau'!$B$43)</f>
        <v>21.150743993749149</v>
      </c>
      <c r="C79" s="953"/>
      <c r="D79" s="393">
        <f t="shared" ref="D79:D142" si="25">Wh/(1-Ppv)</f>
        <v>22.690837015469253</v>
      </c>
      <c r="E79" s="385">
        <f t="shared" si="1"/>
        <v>23.765195503432466</v>
      </c>
      <c r="F79" s="385">
        <f t="shared" ref="F79:F142" si="26">Wh_sa/(1-Pvg*MEDIAN((-Sdif+Wh/Env_an)/Csdif,0,1))</f>
        <v>23.766981188069408</v>
      </c>
      <c r="G79" s="110">
        <f t="shared" si="21"/>
        <v>0.4953518408414328</v>
      </c>
      <c r="H79" s="412" t="b">
        <f>Wh_hp&gt;='2026'!Maxi_hp</f>
        <v>0</v>
      </c>
      <c r="I79" s="390">
        <f>IF(H79,Wh_hp,'2026'!Maxi_hp)</f>
        <v>24.181479709212134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6.7872904850101445E-2</v>
      </c>
      <c r="M79" s="957"/>
      <c r="N79" s="957"/>
      <c r="O79" s="48">
        <f>IF(t&lt;Tnet,'2026'!Resal+('2026'!Salim-'2026'!Resal)*(1-EXP(('2026'!Tnet-t)/('2026'!Tau_j))),Resal+(Salim-Resal)*(1-EXP((Tnet-t)/(Tau_j))))*Salcycl</f>
        <v>4.5207222798063697E-2</v>
      </c>
      <c r="P79" s="169">
        <f>(INDEX(Models!$BJ79:$BT79,,T79)*(1-R79)+INDEX(Models!$BJ79:$BT79,,T79+1)*R79-ERP_i)*Q79*Ramure*Pc/MaxiM</f>
        <v>2.6909007157996416E-4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0.98385976551414411</v>
      </c>
      <c r="S79" s="919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-1.0161402344858559</v>
      </c>
      <c r="V79" s="383">
        <f t="shared" ref="V79:V142" si="33">MaxiM*(1-Ppv)*(1-Pvg)*(1-Psa)</f>
        <v>42.690143864717456</v>
      </c>
      <c r="W79" s="402">
        <f t="shared" ref="W79:W142" si="34">Wh*(A79&gt;Tmaj)</f>
        <v>21.150743993749149</v>
      </c>
      <c r="X79" s="157">
        <f t="shared" ref="X79:X142" si="35">t</f>
        <v>46452</v>
      </c>
      <c r="Y79" s="385">
        <f t="shared" ref="Y79:Y142" si="36">Wh_pvt_s*(1-Ppv)</f>
        <v>20.451642114942679</v>
      </c>
      <c r="Z79" s="385">
        <f t="shared" ref="Z79:Z142" si="37">Wh_sa_s*(1-Psa_s)</f>
        <v>21.940829980544425</v>
      </c>
      <c r="AA79" s="386">
        <f t="shared" ref="AA79:AA142" si="38">Wh_hp*(1-Pvg_s*MEDIAN((-Sdif+Wh/Env_an)/Csdif,0,1))</f>
        <v>23.740720391460698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7.5814481668537562E-2</v>
      </c>
      <c r="AD79" s="231">
        <f>(INDEX(Models!$BJ79:$BT79,,AH79)*(1-AF79)+INDEX(Models!$BJ79:$BT79,,AH79+1)*AF79-ERP_i)*AE79*Ramure*Pc/MaxiM</f>
        <v>3.9573167025111107E-3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0.50884733188812303</v>
      </c>
      <c r="AG79" s="91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2.508847331888123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1090">
        <f>IF(t&gt;Tmaj,'2026'!Wh/'2026'!Env_an*'2027'!Env_an,0.001*'[5]mon-tableau'!$B$44)</f>
        <v>32.091427817937785</v>
      </c>
      <c r="C80" s="953"/>
      <c r="D80" s="393">
        <f t="shared" si="25"/>
        <v>34.428921640564418</v>
      </c>
      <c r="E80" s="385">
        <f t="shared" ref="E80:E143" si="47">Wh_pvt/(1-Psa)</f>
        <v>36.062898391884822</v>
      </c>
      <c r="F80" s="385">
        <f t="shared" si="26"/>
        <v>36.06890378881279</v>
      </c>
      <c r="G80" s="110">
        <f t="shared" ref="G80:G143" si="48">+Wh_hp/MaxiM</f>
        <v>0.74698971805867409</v>
      </c>
      <c r="H80" s="412" t="b">
        <f>Wh_hp&gt;='2026'!Maxi_hp</f>
        <v>0</v>
      </c>
      <c r="I80" s="390">
        <f>IF(H80,Wh_hp,'2026'!Maxi_hp)</f>
        <v>43.018931785268983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6.78933208257263E-2</v>
      </c>
      <c r="M80" s="957"/>
      <c r="N80" s="957"/>
      <c r="O80" s="48">
        <f>IF(t&lt;Tnet,'2026'!Resal+('2026'!Salim-'2026'!Resal)*(1-EXP(('2026'!Tnet-t)/('2026'!Tau_j))),Resal+(Salim-Resal)*(1-EXP((Tnet-t)/(Tau_j))))*Salcycl</f>
        <v>4.5309080084591738E-2</v>
      </c>
      <c r="P80" s="169">
        <f>(INDEX(Models!$BJ80:$BT80,,T80)*(1-R80)+INDEX(Models!$BJ80:$BT80,,T80+1)*R80-ERP_i)*Q80*Ramure*Pc/MaxiM</f>
        <v>2.6069992063711443E-4</v>
      </c>
      <c r="Q80" s="305">
        <f t="shared" si="28"/>
        <v>0.7</v>
      </c>
      <c r="R80" s="177">
        <f t="shared" si="29"/>
        <v>0.98425069621857975</v>
      </c>
      <c r="S80" s="919">
        <f t="shared" si="30"/>
        <v>-2</v>
      </c>
      <c r="T80" s="176">
        <f t="shared" si="31"/>
        <v>4</v>
      </c>
      <c r="U80" s="251">
        <f t="shared" si="32"/>
        <v>-1.0157493037814203</v>
      </c>
      <c r="V80" s="383">
        <f t="shared" si="33"/>
        <v>42.956955713843683</v>
      </c>
      <c r="W80" s="402">
        <f t="shared" si="34"/>
        <v>32.091427817937785</v>
      </c>
      <c r="X80" s="157">
        <f t="shared" si="35"/>
        <v>46453</v>
      </c>
      <c r="Y80" s="385">
        <f t="shared" si="36"/>
        <v>30.990848722762184</v>
      </c>
      <c r="Z80" s="385">
        <f t="shared" si="37"/>
        <v>33.248177934113805</v>
      </c>
      <c r="AA80" s="386">
        <f t="shared" si="38"/>
        <v>35.978364939015592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7.5884132298105589E-2</v>
      </c>
      <c r="AD80" s="231">
        <f>(INDEX(Models!$BJ80:$BT80,,AH80)*(1-AF80)+INDEX(Models!$BJ80:$BT80,,AH80+1)*AF80-ERP_i)*AE80*Ramure*Pc/MaxiM</f>
        <v>3.9303764996433833E-3</v>
      </c>
      <c r="AE80" s="305">
        <f t="shared" si="40"/>
        <v>0.7</v>
      </c>
      <c r="AF80" s="177">
        <f t="shared" si="41"/>
        <v>0.50923826259255867</v>
      </c>
      <c r="AG80" s="919">
        <f t="shared" ref="AG80:AG143" si="49">INDEX(Echel_vg,AH80)</f>
        <v>2</v>
      </c>
      <c r="AH80" s="176">
        <f t="shared" si="42"/>
        <v>8</v>
      </c>
      <c r="AI80" s="225">
        <f t="shared" si="43"/>
        <v>2.5092382625925587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1090">
        <f>IF(t&gt;Tmaj,'2026'!Wh/'2026'!Env_an*'2027'!Env_an,0.001*'[5]mon-tableau'!$B$45)</f>
        <v>30.784445638142589</v>
      </c>
      <c r="C81" s="953"/>
      <c r="D81" s="393">
        <f t="shared" si="25"/>
        <v>33.02746412947949</v>
      </c>
      <c r="E81" s="385">
        <f t="shared" si="47"/>
        <v>34.598617630144901</v>
      </c>
      <c r="F81" s="385">
        <f t="shared" si="26"/>
        <v>34.603747548462621</v>
      </c>
      <c r="G81" s="110">
        <f t="shared" si="48"/>
        <v>0.71214744036164201</v>
      </c>
      <c r="H81" s="412" t="b">
        <f>Wh_hp&gt;='2026'!Maxi_hp</f>
        <v>0</v>
      </c>
      <c r="I81" s="390">
        <f>IF(H81,Wh_hp,'2026'!Maxi_hp)</f>
        <v>34.605566753102543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6.7913736354188958E-2</v>
      </c>
      <c r="M81" s="957"/>
      <c r="N81" s="957"/>
      <c r="O81" s="48">
        <f>IF(t&lt;Tnet,'2026'!Resal+('2026'!Salim-'2026'!Resal)*(1-EXP(('2026'!Tnet-t)/('2026'!Tau_j))),Resal+(Salim-Resal)*(1-EXP((Tnet-t)/(Tau_j))))*Salcycl</f>
        <v>4.541087500838497E-2</v>
      </c>
      <c r="P81" s="169">
        <f>(INDEX(Models!$BJ81:$BT81,,T81)*(1-R81)+INDEX(Models!$BJ81:$BT81,,T81+1)*R81-ERP_i)*Q81*Ramure*Pc/MaxiM</f>
        <v>2.5174164853349707E-4</v>
      </c>
      <c r="Q81" s="305">
        <f t="shared" si="28"/>
        <v>0.7</v>
      </c>
      <c r="R81" s="177">
        <f t="shared" si="29"/>
        <v>0.98465736604678988</v>
      </c>
      <c r="S81" s="919">
        <f t="shared" si="30"/>
        <v>-2</v>
      </c>
      <c r="T81" s="176">
        <f t="shared" si="31"/>
        <v>4</v>
      </c>
      <c r="U81" s="251">
        <f t="shared" si="32"/>
        <v>-1.0153426339532101</v>
      </c>
      <c r="V81" s="383">
        <f t="shared" si="33"/>
        <v>43.223154940315844</v>
      </c>
      <c r="W81" s="402">
        <f t="shared" si="34"/>
        <v>30.784445638142589</v>
      </c>
      <c r="X81" s="157">
        <f t="shared" si="35"/>
        <v>46454</v>
      </c>
      <c r="Y81" s="385">
        <f t="shared" si="36"/>
        <v>29.735456209119462</v>
      </c>
      <c r="Z81" s="385">
        <f t="shared" si="37"/>
        <v>31.902043157261691</v>
      </c>
      <c r="AA81" s="386">
        <f t="shared" si="38"/>
        <v>34.524293887911774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7.5953783129167285E-2</v>
      </c>
      <c r="AD81" s="231">
        <f>(INDEX(Models!$BJ81:$BT81,,AH81)*(1-AF81)+INDEX(Models!$BJ81:$BT81,,AH81+1)*AF81-ERP_i)*AE81*Ramure*Pc/MaxiM</f>
        <v>3.8990475579302915E-3</v>
      </c>
      <c r="AE81" s="305">
        <f t="shared" si="40"/>
        <v>0.7</v>
      </c>
      <c r="AF81" s="177">
        <f t="shared" si="41"/>
        <v>0.5096449324207688</v>
      </c>
      <c r="AG81" s="919">
        <f t="shared" si="49"/>
        <v>2</v>
      </c>
      <c r="AH81" s="176">
        <f t="shared" si="42"/>
        <v>8</v>
      </c>
      <c r="AI81" s="225">
        <f t="shared" si="43"/>
        <v>2.5096449324207688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1090">
        <f>IF(t&gt;Tmaj,'2026'!Wh/'2026'!Env_an*'2027'!Env_an,0.001*'[5]mon-tableau'!$B$46)</f>
        <v>32.493090101204594</v>
      </c>
      <c r="C82" s="953"/>
      <c r="D82" s="393">
        <f t="shared" si="25"/>
        <v>34.861367521670338</v>
      </c>
      <c r="E82" s="385">
        <f t="shared" si="47"/>
        <v>36.523654684024869</v>
      </c>
      <c r="F82" s="385">
        <f t="shared" si="26"/>
        <v>36.52930708534187</v>
      </c>
      <c r="G82" s="110">
        <f t="shared" si="48"/>
        <v>0.74710052657999859</v>
      </c>
      <c r="H82" s="412" t="b">
        <f>Wh_hp&gt;='2026'!Maxi_hp</f>
        <v>0</v>
      </c>
      <c r="I82" s="390">
        <f>IF(H82,Wh_hp,'2026'!Maxi_hp)</f>
        <v>44.616353864796501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6.793415143549919E-2</v>
      </c>
      <c r="M82" s="957"/>
      <c r="N82" s="957"/>
      <c r="O82" s="48">
        <f>IF(t&lt;Tnet,'2026'!Resal+('2026'!Salim-'2026'!Resal)*(1-EXP(('2026'!Tnet-t)/('2026'!Tau_j))),Resal+(Salim-Resal)*(1-EXP((Tnet-t)/(Tau_j))))*Salcycl</f>
        <v>4.5512618513546474E-2</v>
      </c>
      <c r="P82" s="169">
        <f>(INDEX(Models!$BJ82:$BT82,,T82)*(1-R82)+INDEX(Models!$BJ82:$BT82,,T82+1)*R82-ERP_i)*Q82*Ramure*Pc/MaxiM</f>
        <v>2.4222608554310502E-4</v>
      </c>
      <c r="Q82" s="305">
        <f t="shared" si="28"/>
        <v>0.7</v>
      </c>
      <c r="R82" s="177">
        <f t="shared" si="29"/>
        <v>0.98508038042837676</v>
      </c>
      <c r="S82" s="919">
        <f t="shared" si="30"/>
        <v>-2</v>
      </c>
      <c r="T82" s="176">
        <f t="shared" si="31"/>
        <v>4</v>
      </c>
      <c r="U82" s="251">
        <f t="shared" si="32"/>
        <v>-1.0149196195716232</v>
      </c>
      <c r="V82" s="383">
        <f t="shared" si="33"/>
        <v>43.488453941977681</v>
      </c>
      <c r="W82" s="402">
        <f t="shared" si="34"/>
        <v>32.493090101204594</v>
      </c>
      <c r="X82" s="157">
        <f t="shared" si="35"/>
        <v>46455</v>
      </c>
      <c r="Y82" s="385">
        <f t="shared" si="36"/>
        <v>31.38165289841788</v>
      </c>
      <c r="Z82" s="385">
        <f t="shared" si="37"/>
        <v>33.668922583902834</v>
      </c>
      <c r="AA82" s="386">
        <f t="shared" si="38"/>
        <v>36.439152767044114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7.6023452050364412E-2</v>
      </c>
      <c r="AD82" s="231">
        <f>(INDEX(Models!$BJ82:$BT82,,AH82)*(1-AF82)+INDEX(Models!$BJ82:$BT82,,AH82+1)*AF82-ERP_i)*AE82*Ramure*Pc/MaxiM</f>
        <v>3.86344252493016E-3</v>
      </c>
      <c r="AE82" s="305">
        <f t="shared" si="40"/>
        <v>0.7</v>
      </c>
      <c r="AF82" s="177">
        <f t="shared" si="41"/>
        <v>0.51006794680235545</v>
      </c>
      <c r="AG82" s="919">
        <f t="shared" si="49"/>
        <v>2</v>
      </c>
      <c r="AH82" s="176">
        <f t="shared" si="42"/>
        <v>8</v>
      </c>
      <c r="AI82" s="225">
        <f t="shared" si="43"/>
        <v>2.5100679468023555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1090">
        <f>IF(t&gt;Tmaj,'2026'!Wh/'2026'!Env_an*'2027'!Env_an,0.001*'[5]mon-tableau'!$B$47)</f>
        <v>23.516156442865917</v>
      </c>
      <c r="C83" s="953"/>
      <c r="D83" s="393">
        <f t="shared" si="25"/>
        <v>25.230697546256803</v>
      </c>
      <c r="E83" s="385">
        <f t="shared" si="47"/>
        <v>26.436584432576893</v>
      </c>
      <c r="F83" s="385">
        <f t="shared" si="26"/>
        <v>26.438666828554666</v>
      </c>
      <c r="G83" s="110">
        <f t="shared" si="48"/>
        <v>0.53739817680715563</v>
      </c>
      <c r="H83" s="412" t="b">
        <f>Wh_hp&gt;='2026'!Maxi_hp</f>
        <v>0</v>
      </c>
      <c r="I83" s="390">
        <f>IF(H83,Wh_hp,'2026'!Maxi_hp)</f>
        <v>45.293809105395539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6.7954566069666655E-2</v>
      </c>
      <c r="M83" s="957"/>
      <c r="N83" s="957"/>
      <c r="O83" s="48">
        <f>IF(t&lt;Tnet,'2026'!Resal+('2026'!Salim-'2026'!Resal)*(1-EXP(('2026'!Tnet-t)/('2026'!Tau_j))),Resal+(Salim-Resal)*(1-EXP((Tnet-t)/(Tau_j))))*Salcycl</f>
        <v>4.5614322432443982E-2</v>
      </c>
      <c r="P83" s="169">
        <f>(INDEX(Models!$BJ83:$BT83,,T83)*(1-R83)+INDEX(Models!$BJ83:$BT83,,T83+1)*R83-ERP_i)*Q83*Ramure*Pc/MaxiM</f>
        <v>2.3216332051137495E-4</v>
      </c>
      <c r="Q83" s="305">
        <f t="shared" si="28"/>
        <v>0.7</v>
      </c>
      <c r="R83" s="177">
        <f t="shared" si="29"/>
        <v>0.98552036571971335</v>
      </c>
      <c r="S83" s="919">
        <f t="shared" si="30"/>
        <v>-2</v>
      </c>
      <c r="T83" s="176">
        <f t="shared" si="31"/>
        <v>4</v>
      </c>
      <c r="U83" s="251">
        <f t="shared" si="32"/>
        <v>-1.0144796342802866</v>
      </c>
      <c r="V83" s="383">
        <f t="shared" si="33"/>
        <v>43.752565218835855</v>
      </c>
      <c r="W83" s="402">
        <f t="shared" si="34"/>
        <v>23.516156442865917</v>
      </c>
      <c r="X83" s="157">
        <f t="shared" si="35"/>
        <v>46456</v>
      </c>
      <c r="Y83" s="385">
        <f t="shared" si="36"/>
        <v>22.737414612137844</v>
      </c>
      <c r="Z83" s="385">
        <f t="shared" si="37"/>
        <v>24.39517837264291</v>
      </c>
      <c r="AA83" s="386">
        <f t="shared" si="38"/>
        <v>26.404370302980148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7.6093158340173314E-2</v>
      </c>
      <c r="AD83" s="231">
        <f>(INDEX(Models!$BJ83:$BT83,,AH83)*(1-AF83)+INDEX(Models!$BJ83:$BT83,,AH83+1)*AF83-ERP_i)*AE83*Ramure*Pc/MaxiM</f>
        <v>3.8236701109540792E-3</v>
      </c>
      <c r="AE83" s="305">
        <f t="shared" si="40"/>
        <v>0.7</v>
      </c>
      <c r="AF83" s="177">
        <f t="shared" si="41"/>
        <v>0.5105079320936925</v>
      </c>
      <c r="AG83" s="919">
        <f t="shared" si="49"/>
        <v>2</v>
      </c>
      <c r="AH83" s="176">
        <f t="shared" si="42"/>
        <v>8</v>
      </c>
      <c r="AI83" s="225">
        <f t="shared" si="43"/>
        <v>2.5105079320936925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1090">
        <f>IF(t&gt;Tmaj,'2026'!Wh/'2026'!Env_an*'2027'!Env_an,0.001*'[5]mon-tableau'!$B$48)</f>
        <v>15.678818506949394</v>
      </c>
      <c r="C84" s="953"/>
      <c r="D84" s="393">
        <f t="shared" si="25"/>
        <v>16.822315039640998</v>
      </c>
      <c r="E84" s="385">
        <f t="shared" si="47"/>
        <v>17.628206100168612</v>
      </c>
      <c r="F84" s="385">
        <f t="shared" si="26"/>
        <v>17.628519758387082</v>
      </c>
      <c r="G84" s="110">
        <f t="shared" si="48"/>
        <v>0.35614113051652441</v>
      </c>
      <c r="H84" s="412" t="b">
        <f>Wh_hp&gt;='2026'!Maxi_hp</f>
        <v>0</v>
      </c>
      <c r="I84" s="390">
        <f>IF(H84,Wh_hp,'2026'!Maxi_hp)</f>
        <v>36.273412618426136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6.7974980256701234E-2</v>
      </c>
      <c r="M84" s="957"/>
      <c r="N84" s="957"/>
      <c r="O84" s="48">
        <f>IF(t&lt;Tnet,'2026'!Resal+('2026'!Salim-'2026'!Resal)*(1-EXP(('2026'!Tnet-t)/('2026'!Tau_j))),Resal+(Salim-Resal)*(1-EXP((Tnet-t)/(Tau_j))))*Salcycl</f>
        <v>4.5715999458385344E-2</v>
      </c>
      <c r="P84" s="169">
        <f>(INDEX(Models!$BJ84:$BT84,,T84)*(1-R84)+INDEX(Models!$BJ84:$BT84,,T84+1)*R84-ERP_i)*Q84*Ramure*Pc/MaxiM</f>
        <v>2.2156265365620148E-4</v>
      </c>
      <c r="Q84" s="305">
        <f t="shared" si="28"/>
        <v>0.7</v>
      </c>
      <c r="R84" s="177">
        <f t="shared" si="29"/>
        <v>0.98597796972737828</v>
      </c>
      <c r="S84" s="919">
        <f t="shared" si="30"/>
        <v>-2</v>
      </c>
      <c r="T84" s="176">
        <f t="shared" si="31"/>
        <v>4</v>
      </c>
      <c r="U84" s="251">
        <f t="shared" si="32"/>
        <v>-1.0140220302726217</v>
      </c>
      <c r="V84" s="383">
        <f t="shared" si="33"/>
        <v>44.015201374199599</v>
      </c>
      <c r="W84" s="402">
        <f t="shared" si="34"/>
        <v>15.678818506949394</v>
      </c>
      <c r="X84" s="157">
        <f t="shared" si="35"/>
        <v>46457</v>
      </c>
      <c r="Y84" s="385">
        <f t="shared" si="36"/>
        <v>15.174240389411104</v>
      </c>
      <c r="Z84" s="385">
        <f t="shared" si="37"/>
        <v>16.280936743082755</v>
      </c>
      <c r="AA84" s="386">
        <f t="shared" si="38"/>
        <v>17.623168783321674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7.616292261294054E-2</v>
      </c>
      <c r="AD84" s="231">
        <f>(INDEX(Models!$BJ84:$BT84,,AH84)*(1-AF84)+INDEX(Models!$BJ84:$BT84,,AH84+1)*AF84-ERP_i)*AE84*Ramure*Pc/MaxiM</f>
        <v>3.7798347542983301E-3</v>
      </c>
      <c r="AE84" s="305">
        <f t="shared" si="40"/>
        <v>0.7</v>
      </c>
      <c r="AF84" s="177">
        <f t="shared" si="41"/>
        <v>0.5109655361013572</v>
      </c>
      <c r="AG84" s="919">
        <f t="shared" si="49"/>
        <v>2</v>
      </c>
      <c r="AH84" s="176">
        <f t="shared" si="42"/>
        <v>8</v>
      </c>
      <c r="AI84" s="225">
        <f t="shared" si="43"/>
        <v>2.5109655361013572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1090">
        <f>IF(t&gt;Tmaj,'2026'!Wh/'2026'!Env_an*'2027'!Env_an,0.001*'[5]mon-tableau'!$B$49)</f>
        <v>12.946598398420514</v>
      </c>
      <c r="C85" s="953"/>
      <c r="D85" s="393">
        <f t="shared" si="25"/>
        <v>13.891131347449008</v>
      </c>
      <c r="E85" s="385">
        <f t="shared" si="47"/>
        <v>14.558151844205199</v>
      </c>
      <c r="F85" s="385">
        <f t="shared" si="26"/>
        <v>14.558151844205199</v>
      </c>
      <c r="G85" s="110">
        <f t="shared" si="48"/>
        <v>0.29234465744453941</v>
      </c>
      <c r="H85" s="412" t="b">
        <f>Wh_hp&gt;='2026'!Maxi_hp</f>
        <v>0</v>
      </c>
      <c r="I85" s="390">
        <f>IF(H85,Wh_hp,'2026'!Maxi_hp)</f>
        <v>43.935491435363161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6.7995393996612807E-2</v>
      </c>
      <c r="M85" s="957"/>
      <c r="N85" s="957"/>
      <c r="O85" s="48">
        <f>IF(t&lt;Tnet,'2026'!Resal+('2026'!Salim-'2026'!Resal)*(1-EXP(('2026'!Tnet-t)/('2026'!Tau_j))),Resal+(Salim-Resal)*(1-EXP((Tnet-t)/(Tau_j))))*Salcycl</f>
        <v>4.5817663113721062E-2</v>
      </c>
      <c r="P85" s="169">
        <f>(INDEX(Models!$BJ85:$BT85,,T85)*(1-R85)+INDEX(Models!$BJ85:$BT85,,T85+1)*R85-ERP_i)*Q85*Ramure*Pc/MaxiM</f>
        <v>2.1043254977876535E-4</v>
      </c>
      <c r="Q85" s="305">
        <f t="shared" si="28"/>
        <v>0.7</v>
      </c>
      <c r="R85" s="177">
        <f t="shared" si="29"/>
        <v>0.98645386222673359</v>
      </c>
      <c r="S85" s="919">
        <f t="shared" si="30"/>
        <v>-2</v>
      </c>
      <c r="T85" s="176">
        <f t="shared" si="31"/>
        <v>4</v>
      </c>
      <c r="U85" s="251">
        <f t="shared" si="32"/>
        <v>-1.0135461377732664</v>
      </c>
      <c r="V85" s="383">
        <f t="shared" si="33"/>
        <v>44.276075115770325</v>
      </c>
      <c r="W85" s="402">
        <f t="shared" si="34"/>
        <v>12.946598398420514</v>
      </c>
      <c r="X85" s="157">
        <f t="shared" si="35"/>
        <v>46458</v>
      </c>
      <c r="Y85" s="385">
        <f t="shared" si="36"/>
        <v>12.533918225141205</v>
      </c>
      <c r="Z85" s="385">
        <f t="shared" si="37"/>
        <v>13.448343650241203</v>
      </c>
      <c r="AA85" s="386">
        <f t="shared" si="38"/>
        <v>14.558151844205199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7.623276675780441E-2</v>
      </c>
      <c r="AD85" s="231">
        <f>(INDEX(Models!$BJ85:$BT85,,AH85)*(1-AF85)+INDEX(Models!$BJ85:$BT85,,AH85+1)*AF85-ERP_i)*AE85*Ramure*Pc/MaxiM</f>
        <v>3.7320362909353242E-3</v>
      </c>
      <c r="AE85" s="305">
        <f t="shared" si="40"/>
        <v>0.7</v>
      </c>
      <c r="AF85" s="177">
        <f t="shared" si="41"/>
        <v>0.51144142860071229</v>
      </c>
      <c r="AG85" s="919">
        <f t="shared" si="49"/>
        <v>2</v>
      </c>
      <c r="AH85" s="176">
        <f t="shared" si="42"/>
        <v>8</v>
      </c>
      <c r="AI85" s="225">
        <f t="shared" si="43"/>
        <v>2.5114414286007123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1090">
        <f>IF(t&gt;Tmaj,'2026'!Wh/'2026'!Env_an*'2027'!Env_an,0.001*'[5]mon-tableau'!$B$50)</f>
        <v>12.186451601853292</v>
      </c>
      <c r="C86" s="953"/>
      <c r="D86" s="393">
        <f t="shared" si="25"/>
        <v>13.075813621269837</v>
      </c>
      <c r="E86" s="385">
        <f t="shared" si="47"/>
        <v>13.705144649808775</v>
      </c>
      <c r="F86" s="385">
        <f t="shared" si="26"/>
        <v>13.705144649808775</v>
      </c>
      <c r="G86" s="110">
        <f t="shared" si="48"/>
        <v>0.27358384939749308</v>
      </c>
      <c r="H86" s="412" t="b">
        <f>Wh_hp&gt;='2026'!Maxi_hp</f>
        <v>0</v>
      </c>
      <c r="I86" s="390">
        <f>IF(H86,Wh_hp,'2026'!Maxi_hp)</f>
        <v>42.800557177693996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6.8015807289411034E-2</v>
      </c>
      <c r="M86" s="957"/>
      <c r="N86" s="957"/>
      <c r="O86" s="48">
        <f>IF(t&lt;Tnet,'2026'!Resal+('2026'!Salim-'2026'!Resal)*(1-EXP(('2026'!Tnet-t)/('2026'!Tau_j))),Resal+(Salim-Resal)*(1-EXP((Tnet-t)/(Tau_j))))*Salcycl</f>
        <v>4.5919327713751457E-2</v>
      </c>
      <c r="P86" s="169">
        <f>(INDEX(Models!$BJ86:$BT86,,T86)*(1-R86)+INDEX(Models!$BJ86:$BT86,,T86+1)*R86-ERP_i)*Q86*Ramure*Pc/MaxiM</f>
        <v>1.9920111340660115E-4</v>
      </c>
      <c r="Q86" s="305">
        <f t="shared" si="28"/>
        <v>0.7</v>
      </c>
      <c r="R86" s="177">
        <f t="shared" si="29"/>
        <v>0.98694873547357931</v>
      </c>
      <c r="S86" s="919">
        <f t="shared" si="30"/>
        <v>-2</v>
      </c>
      <c r="T86" s="176">
        <f t="shared" si="31"/>
        <v>4</v>
      </c>
      <c r="U86" s="251">
        <f t="shared" si="32"/>
        <v>-1.0130512645264207</v>
      </c>
      <c r="V86" s="383">
        <f t="shared" si="33"/>
        <v>44.534880527334863</v>
      </c>
      <c r="W86" s="402">
        <f t="shared" si="34"/>
        <v>12.186451601853292</v>
      </c>
      <c r="X86" s="157">
        <f t="shared" si="35"/>
        <v>46459</v>
      </c>
      <c r="Y86" s="385">
        <f t="shared" si="36"/>
        <v>11.798365273659702</v>
      </c>
      <c r="Z86" s="385">
        <f t="shared" si="37"/>
        <v>12.659404919031147</v>
      </c>
      <c r="AA86" s="386">
        <f t="shared" si="38"/>
        <v>13.705144649808775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7.6302713871189948E-2</v>
      </c>
      <c r="AD86" s="231">
        <f>(INDEX(Models!$BJ86:$BT86,,AH86)*(1-AF86)+INDEX(Models!$BJ86:$BT86,,AH86+1)*AF86-ERP_i)*AE86*Ramure*Pc/MaxiM</f>
        <v>3.6806193798013449E-3</v>
      </c>
      <c r="AE86" s="305">
        <f t="shared" si="40"/>
        <v>0.7</v>
      </c>
      <c r="AF86" s="177">
        <f t="shared" si="41"/>
        <v>0.51193630184755845</v>
      </c>
      <c r="AG86" s="919">
        <f t="shared" si="49"/>
        <v>2</v>
      </c>
      <c r="AH86" s="176">
        <f t="shared" si="42"/>
        <v>8</v>
      </c>
      <c r="AI86" s="225">
        <f t="shared" si="43"/>
        <v>2.5119363018475585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1090">
        <f>IF(t&gt;Tmaj,'2026'!Wh/'2026'!Env_an*'2027'!Env_an,0.001*'[5]mon-tableau'!$B$51)</f>
        <v>12.874266118159722</v>
      </c>
      <c r="C87" s="953"/>
      <c r="D87" s="393">
        <f t="shared" si="25"/>
        <v>13.814127111276891</v>
      </c>
      <c r="E87" s="385">
        <f t="shared" si="47"/>
        <v>14.480535978102271</v>
      </c>
      <c r="F87" s="385">
        <f t="shared" si="26"/>
        <v>14.480535978102271</v>
      </c>
      <c r="G87" s="110">
        <f t="shared" si="48"/>
        <v>0.2873736346802015</v>
      </c>
      <c r="H87" s="412" t="b">
        <f>Wh_hp&gt;='2026'!Maxi_hp</f>
        <v>0</v>
      </c>
      <c r="I87" s="390">
        <f>IF(H87,Wh_hp,'2026'!Maxi_hp)</f>
        <v>36.891466840324576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6.8036220135105796E-2</v>
      </c>
      <c r="M87" s="957"/>
      <c r="N87" s="957"/>
      <c r="O87" s="48">
        <f>IF(t&lt;Tnet,'2026'!Resal+('2026'!Salim-'2026'!Resal)*(1-EXP(('2026'!Tnet-t)/('2026'!Tau_j))),Resal+(Salim-Resal)*(1-EXP((Tnet-t)/(Tau_j))))*Salcycl</f>
        <v>4.6021008326841951E-2</v>
      </c>
      <c r="P87" s="169">
        <f>(INDEX(Models!$BJ87:$BT87,,T87)*(1-R87)+INDEX(Models!$BJ87:$BT87,,T87+1)*R87-ERP_i)*Q87*Ramure*Pc/MaxiM</f>
        <v>1.8854316388436916E-4</v>
      </c>
      <c r="Q87" s="305">
        <f t="shared" si="28"/>
        <v>0.7</v>
      </c>
      <c r="R87" s="177">
        <f t="shared" si="29"/>
        <v>0.98746330470661703</v>
      </c>
      <c r="S87" s="919">
        <f t="shared" si="30"/>
        <v>-2</v>
      </c>
      <c r="T87" s="176">
        <f t="shared" si="31"/>
        <v>4</v>
      </c>
      <c r="U87" s="251">
        <f t="shared" si="32"/>
        <v>-1.012536695293383</v>
      </c>
      <c r="V87" s="383">
        <f t="shared" si="33"/>
        <v>44.791300279224664</v>
      </c>
      <c r="W87" s="402">
        <f t="shared" si="34"/>
        <v>12.874266118159722</v>
      </c>
      <c r="X87" s="157">
        <f t="shared" si="35"/>
        <v>46460</v>
      </c>
      <c r="Y87" s="385">
        <f t="shared" si="36"/>
        <v>12.464658679792182</v>
      </c>
      <c r="Z87" s="385">
        <f t="shared" si="37"/>
        <v>13.374617071061678</v>
      </c>
      <c r="AA87" s="386">
        <f t="shared" si="38"/>
        <v>14.480535978102271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7.6372788183599286E-2</v>
      </c>
      <c r="AD87" s="231">
        <f>(INDEX(Models!$BJ87:$BT87,,AH87)*(1-AF87)+INDEX(Models!$BJ87:$BT87,,AH87+1)*AF87-ERP_i)*AE87*Ramure*Pc/MaxiM</f>
        <v>3.6280170872784231E-3</v>
      </c>
      <c r="AE87" s="305">
        <f t="shared" si="40"/>
        <v>0.7</v>
      </c>
      <c r="AF87" s="177">
        <f t="shared" si="41"/>
        <v>0.51245087108059595</v>
      </c>
      <c r="AG87" s="919">
        <f t="shared" si="49"/>
        <v>2</v>
      </c>
      <c r="AH87" s="176">
        <f t="shared" si="42"/>
        <v>8</v>
      </c>
      <c r="AI87" s="225">
        <f t="shared" si="43"/>
        <v>2.5124508710805959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1090">
        <f>IF(t&gt;Tmaj,'2026'!Wh/'2026'!Env_an*'2027'!Env_an,0.001*'[5]mon-tableau'!$B$52)</f>
        <v>14.615695338132991</v>
      </c>
      <c r="C88" s="953"/>
      <c r="D88" s="393">
        <f t="shared" si="25"/>
        <v>15.683029514839717</v>
      </c>
      <c r="E88" s="385">
        <f t="shared" si="47"/>
        <v>16.44134927593737</v>
      </c>
      <c r="F88" s="385">
        <f t="shared" si="26"/>
        <v>16.441451832038446</v>
      </c>
      <c r="G88" s="110">
        <f t="shared" si="48"/>
        <v>0.32441254291697996</v>
      </c>
      <c r="H88" s="412" t="b">
        <f>Wh_hp&gt;='2026'!Maxi_hp</f>
        <v>0</v>
      </c>
      <c r="I88" s="390">
        <f>IF(H88,Wh_hp,'2026'!Maxi_hp)</f>
        <v>34.951737117929945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6.8056632533706862E-2</v>
      </c>
      <c r="M88" s="957"/>
      <c r="N88" s="957"/>
      <c r="O88" s="48">
        <f>IF(t&lt;Tnet,'2026'!Resal+('2026'!Salim-'2026'!Resal)*(1-EXP(('2026'!Tnet-t)/('2026'!Tau_j))),Resal+(Salim-Resal)*(1-EXP((Tnet-t)/(Tau_j))))*Salcycl</f>
        <v>4.612272073116809E-2</v>
      </c>
      <c r="P88" s="169">
        <f>(INDEX(Models!$BJ88:$BT88,,T88)*(1-R88)+INDEX(Models!$BJ88:$BT88,,T88+1)*R88-ERP_i)*Q88*Ramure*Pc/MaxiM</f>
        <v>1.7844872325258212E-4</v>
      </c>
      <c r="Q88" s="305">
        <f t="shared" si="28"/>
        <v>0.7</v>
      </c>
      <c r="R88" s="177">
        <f t="shared" si="29"/>
        <v>0.98799830863824867</v>
      </c>
      <c r="S88" s="919">
        <f t="shared" si="30"/>
        <v>-2</v>
      </c>
      <c r="T88" s="176">
        <f t="shared" si="31"/>
        <v>4</v>
      </c>
      <c r="U88" s="251">
        <f t="shared" si="32"/>
        <v>-1.0120016913617513</v>
      </c>
      <c r="V88" s="383">
        <f t="shared" si="33"/>
        <v>45.045047292336719</v>
      </c>
      <c r="W88" s="402">
        <f t="shared" si="34"/>
        <v>14.615695338132991</v>
      </c>
      <c r="X88" s="157">
        <f t="shared" si="35"/>
        <v>46461</v>
      </c>
      <c r="Y88" s="385">
        <f t="shared" si="36"/>
        <v>14.149435710407388</v>
      </c>
      <c r="Z88" s="385">
        <f t="shared" si="37"/>
        <v>15.182720543283603</v>
      </c>
      <c r="AA88" s="386">
        <f t="shared" si="38"/>
        <v>16.43939766529785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7.6443014981442084E-2</v>
      </c>
      <c r="AD88" s="231">
        <f>(INDEX(Models!$BJ88:$BT88,,AH88)*(1-AF88)+INDEX(Models!$BJ88:$BT88,,AH88+1)*AF88-ERP_i)*AE88*Ramure*Pc/MaxiM</f>
        <v>3.574272309052183E-3</v>
      </c>
      <c r="AE88" s="305">
        <f t="shared" si="40"/>
        <v>0.7</v>
      </c>
      <c r="AF88" s="177">
        <f t="shared" si="41"/>
        <v>0.51298587501222759</v>
      </c>
      <c r="AG88" s="919">
        <f t="shared" si="49"/>
        <v>2</v>
      </c>
      <c r="AH88" s="176">
        <f t="shared" si="42"/>
        <v>8</v>
      </c>
      <c r="AI88" s="225">
        <f t="shared" si="43"/>
        <v>2.5129858750122276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1090">
        <f>IF(t&gt;Tmaj,'2026'!Wh/'2026'!Env_an*'2027'!Env_an,0.001*'[5]mon-tableau'!$B$53)</f>
        <v>10.032146404646367</v>
      </c>
      <c r="C89" s="953"/>
      <c r="D89" s="393">
        <f t="shared" si="25"/>
        <v>10.764995480881577</v>
      </c>
      <c r="E89" s="385">
        <f t="shared" si="47"/>
        <v>11.28671817486754</v>
      </c>
      <c r="F89" s="385">
        <f t="shared" si="26"/>
        <v>11.28671817486754</v>
      </c>
      <c r="G89" s="110">
        <f t="shared" si="48"/>
        <v>0.22144314122360756</v>
      </c>
      <c r="H89" s="412" t="b">
        <f>Wh_hp&gt;='2026'!Maxi_hp</f>
        <v>0</v>
      </c>
      <c r="I89" s="390">
        <f>IF(H89,Wh_hp,'2026'!Maxi_hp)</f>
        <v>52.275659986289419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6.8077044485223892E-2</v>
      </c>
      <c r="M89" s="957"/>
      <c r="N89" s="957"/>
      <c r="O89" s="48">
        <f>IF(t&lt;Tnet,'2026'!Resal+('2026'!Salim-'2026'!Resal)*(1-EXP(('2026'!Tnet-t)/('2026'!Tau_j))),Resal+(Salim-Resal)*(1-EXP((Tnet-t)/(Tau_j))))*Salcycl</f>
        <v>4.6224481368525451E-2</v>
      </c>
      <c r="P89" s="169">
        <f>(INDEX(Models!$BJ89:$BT89,,T89)*(1-R89)+INDEX(Models!$BJ89:$BT89,,T89+1)*R89-ERP_i)*Q89*Ramure*Pc/MaxiM</f>
        <v>1.6890797201480286E-4</v>
      </c>
      <c r="Q89" s="305">
        <f t="shared" si="28"/>
        <v>0.7</v>
      </c>
      <c r="R89" s="177">
        <f t="shared" si="29"/>
        <v>0.98855450993102045</v>
      </c>
      <c r="S89" s="919">
        <f t="shared" si="30"/>
        <v>-2</v>
      </c>
      <c r="T89" s="176">
        <f t="shared" si="31"/>
        <v>4</v>
      </c>
      <c r="U89" s="251">
        <f t="shared" si="32"/>
        <v>-1.0114454900689795</v>
      </c>
      <c r="V89" s="383">
        <f t="shared" si="33"/>
        <v>45.295834586331637</v>
      </c>
      <c r="W89" s="402">
        <f t="shared" si="34"/>
        <v>10.032146404646367</v>
      </c>
      <c r="X89" s="157">
        <f t="shared" si="35"/>
        <v>46462</v>
      </c>
      <c r="Y89" s="385">
        <f t="shared" si="36"/>
        <v>9.713556688177432</v>
      </c>
      <c r="Z89" s="385">
        <f t="shared" si="37"/>
        <v>10.423132760810525</v>
      </c>
      <c r="AA89" s="386">
        <f t="shared" si="38"/>
        <v>11.28671817486754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7.6513420524664547E-2</v>
      </c>
      <c r="AD89" s="231">
        <f>(INDEX(Models!$BJ89:$BT89,,AH89)*(1-AF89)+INDEX(Models!$BJ89:$BT89,,AH89+1)*AF89-ERP_i)*AE89*Ramure*Pc/MaxiM</f>
        <v>3.5194246313737156E-3</v>
      </c>
      <c r="AE89" s="305">
        <f t="shared" si="40"/>
        <v>0.7</v>
      </c>
      <c r="AF89" s="177">
        <f t="shared" si="41"/>
        <v>0.51354207630499937</v>
      </c>
      <c r="AG89" s="919">
        <f t="shared" si="49"/>
        <v>2</v>
      </c>
      <c r="AH89" s="176">
        <f t="shared" si="42"/>
        <v>8</v>
      </c>
      <c r="AI89" s="225">
        <f t="shared" si="43"/>
        <v>2.5135420763049994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1090">
        <f>IF(t&gt;Tmaj,'2026'!Wh/'2026'!Env_an*'2027'!Env_an,0.001*'[5]mon-tableau'!$B$54)</f>
        <v>10.863455325972105</v>
      </c>
      <c r="C90" s="953"/>
      <c r="D90" s="393">
        <f t="shared" si="25"/>
        <v>11.65728690815941</v>
      </c>
      <c r="E90" s="385">
        <f t="shared" si="47"/>
        <v>12.223559271203742</v>
      </c>
      <c r="F90" s="385">
        <f t="shared" si="26"/>
        <v>12.223559271203742</v>
      </c>
      <c r="G90" s="110">
        <f t="shared" si="48"/>
        <v>0.23849172506215952</v>
      </c>
      <c r="H90" s="412" t="b">
        <f>Wh_hp&gt;='2026'!Maxi_hp</f>
        <v>0</v>
      </c>
      <c r="I90" s="390">
        <f>IF(H90,Wh_hp,'2026'!Maxi_hp)</f>
        <v>27.107916637934526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6.8097455989666877E-2</v>
      </c>
      <c r="M90" s="957"/>
      <c r="N90" s="957"/>
      <c r="O90" s="48">
        <f>IF(t&lt;Tnet,'2026'!Resal+('2026'!Salim-'2026'!Resal)*(1-EXP(('2026'!Tnet-t)/('2026'!Tau_j))),Resal+(Salim-Resal)*(1-EXP((Tnet-t)/(Tau_j))))*Salcycl</f>
        <v>4.6326307295646366E-2</v>
      </c>
      <c r="P90" s="169">
        <f>(INDEX(Models!$BJ90:$BT90,,T90)*(1-R90)+INDEX(Models!$BJ90:$BT90,,T90+1)*R90-ERP_i)*Q90*Ramure*Pc/MaxiM</f>
        <v>1.599112842962336E-4</v>
      </c>
      <c r="Q90" s="305">
        <f t="shared" si="28"/>
        <v>0.7</v>
      </c>
      <c r="R90" s="177">
        <f t="shared" si="29"/>
        <v>0.98913269565678474</v>
      </c>
      <c r="S90" s="919">
        <f t="shared" si="30"/>
        <v>-2</v>
      </c>
      <c r="T90" s="176">
        <f t="shared" si="31"/>
        <v>4</v>
      </c>
      <c r="U90" s="251">
        <f t="shared" si="32"/>
        <v>-1.0108673043432153</v>
      </c>
      <c r="V90" s="383">
        <f t="shared" si="33"/>
        <v>45.543375285025419</v>
      </c>
      <c r="W90" s="402">
        <f t="shared" si="34"/>
        <v>10.863455325972105</v>
      </c>
      <c r="X90" s="157">
        <f t="shared" si="35"/>
        <v>46463</v>
      </c>
      <c r="Y90" s="385">
        <f t="shared" si="36"/>
        <v>10.518784562081306</v>
      </c>
      <c r="Z90" s="385">
        <f t="shared" si="37"/>
        <v>11.287429817301446</v>
      </c>
      <c r="AA90" s="386">
        <f t="shared" si="38"/>
        <v>12.223559271203742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7.6584031960938756E-2</v>
      </c>
      <c r="AD90" s="231">
        <f>(INDEX(Models!$BJ90:$BT90,,AH90)*(1-AF90)+INDEX(Models!$BJ90:$BT90,,AH90+1)*AF90-ERP_i)*AE90*Ramure*Pc/MaxiM</f>
        <v>3.4635102006056457E-3</v>
      </c>
      <c r="AE90" s="305">
        <f t="shared" si="40"/>
        <v>0.7</v>
      </c>
      <c r="AF90" s="177">
        <f t="shared" si="41"/>
        <v>0.51412026203076389</v>
      </c>
      <c r="AG90" s="919">
        <f t="shared" si="49"/>
        <v>2</v>
      </c>
      <c r="AH90" s="176">
        <f t="shared" si="42"/>
        <v>8</v>
      </c>
      <c r="AI90" s="225">
        <f t="shared" si="43"/>
        <v>2.5141202620307639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1090">
        <f>IF(t&gt;Tmaj,'2026'!Wh/'2026'!Env_an*'2027'!Env_an,0.001*'[5]mon-tableau'!$B$55)</f>
        <v>13.323811512386442</v>
      </c>
      <c r="C91" s="953"/>
      <c r="D91" s="393">
        <f t="shared" si="25"/>
        <v>14.297743288806126</v>
      </c>
      <c r="E91" s="385">
        <f t="shared" si="47"/>
        <v>14.993882506497597</v>
      </c>
      <c r="F91" s="385">
        <f t="shared" si="26"/>
        <v>14.993882506497597</v>
      </c>
      <c r="G91" s="110">
        <f t="shared" si="48"/>
        <v>0.29094900977784877</v>
      </c>
      <c r="H91" s="412" t="b">
        <f>Wh_hp&gt;='2026'!Maxi_hp</f>
        <v>0</v>
      </c>
      <c r="I91" s="390">
        <f>IF(H91,Wh_hp,'2026'!Maxi_hp)</f>
        <v>38.270489516966428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6.8117867047045588E-2</v>
      </c>
      <c r="M91" s="957"/>
      <c r="N91" s="957"/>
      <c r="O91" s="48">
        <f>IF(t&lt;Tnet,'2026'!Resal+('2026'!Salim-'2026'!Resal)*(1-EXP(('2026'!Tnet-t)/('2026'!Tau_j))),Resal+(Salim-Resal)*(1-EXP((Tnet-t)/(Tau_j))))*Salcycl</f>
        <v>4.6428216133466392E-2</v>
      </c>
      <c r="P91" s="169">
        <f>(INDEX(Models!$BJ91:$BT91,,T91)*(1-R91)+INDEX(Models!$BJ91:$BT91,,T91+1)*R91-ERP_i)*Q91*Ramure*Pc/MaxiM</f>
        <v>1.5144926262536149E-4</v>
      </c>
      <c r="Q91" s="305">
        <f t="shared" si="28"/>
        <v>0.7</v>
      </c>
      <c r="R91" s="177">
        <f t="shared" si="29"/>
        <v>0.98973367773541021</v>
      </c>
      <c r="S91" s="919">
        <f t="shared" si="30"/>
        <v>-2</v>
      </c>
      <c r="T91" s="176">
        <f t="shared" si="31"/>
        <v>4</v>
      </c>
      <c r="U91" s="251">
        <f t="shared" si="32"/>
        <v>-1.0102663222645898</v>
      </c>
      <c r="V91" s="383">
        <f t="shared" si="33"/>
        <v>45.787382610888606</v>
      </c>
      <c r="W91" s="402">
        <f t="shared" si="34"/>
        <v>13.323811512386442</v>
      </c>
      <c r="X91" s="157">
        <f t="shared" si="35"/>
        <v>46464</v>
      </c>
      <c r="Y91" s="385">
        <f t="shared" si="36"/>
        <v>12.901468546698542</v>
      </c>
      <c r="Z91" s="385">
        <f t="shared" si="37"/>
        <v>13.844528283653514</v>
      </c>
      <c r="AA91" s="386">
        <f t="shared" si="38"/>
        <v>14.993882506497597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7.665487723716724E-2</v>
      </c>
      <c r="AD91" s="231">
        <f>(INDEX(Models!$BJ91:$BT91,,AH91)*(1-AF91)+INDEX(Models!$BJ91:$BT91,,AH91+1)*AF91-ERP_i)*AE91*Ramure*Pc/MaxiM</f>
        <v>3.406561596263047E-3</v>
      </c>
      <c r="AE91" s="305">
        <f t="shared" si="40"/>
        <v>0.7</v>
      </c>
      <c r="AF91" s="177">
        <f t="shared" si="41"/>
        <v>0.51472124410938891</v>
      </c>
      <c r="AG91" s="919">
        <f t="shared" si="49"/>
        <v>2</v>
      </c>
      <c r="AH91" s="176">
        <f t="shared" si="42"/>
        <v>8</v>
      </c>
      <c r="AI91" s="225">
        <f t="shared" si="43"/>
        <v>2.5147212441093889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1090">
        <f>IF(t&gt;Tmaj,'2026'!Wh/'2026'!Env_an*'2027'!Env_an,0.001*'[5]mon-tableau'!$B$56)</f>
        <v>30.528943725938287</v>
      </c>
      <c r="C92" s="953"/>
      <c r="D92" s="393">
        <f t="shared" si="25"/>
        <v>32.761238061362597</v>
      </c>
      <c r="E92" s="385">
        <f t="shared" si="47"/>
        <v>34.360017438654921</v>
      </c>
      <c r="F92" s="385">
        <f t="shared" si="26"/>
        <v>34.362576695875305</v>
      </c>
      <c r="G92" s="110">
        <f t="shared" si="48"/>
        <v>0.66322936626715878</v>
      </c>
      <c r="H92" s="412" t="b">
        <f>Wh_hp&gt;='2026'!Maxi_hp</f>
        <v>0</v>
      </c>
      <c r="I92" s="390">
        <f>IF(H92,Wh_hp,'2026'!Maxi_hp)</f>
        <v>46.831517578729603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6.8138277657369684E-2</v>
      </c>
      <c r="M92" s="957"/>
      <c r="N92" s="957"/>
      <c r="O92" s="48">
        <f>IF(t&lt;Tnet,'2026'!Resal+('2026'!Salim-'2026'!Resal)*(1-EXP(('2026'!Tnet-t)/('2026'!Tau_j))),Resal+(Salim-Resal)*(1-EXP((Tnet-t)/(Tau_j))))*Salcycl</f>
        <v>4.6530226014777978E-2</v>
      </c>
      <c r="P92" s="169">
        <f>(INDEX(Models!$BJ92:$BT92,,T92)*(1-R92)+INDEX(Models!$BJ92:$BT92,,T92+1)*R92-ERP_i)*Q92*Ramure*Pc/MaxiM</f>
        <v>1.4351277226916343E-4</v>
      </c>
      <c r="Q92" s="305">
        <f t="shared" si="28"/>
        <v>0.7</v>
      </c>
      <c r="R92" s="177">
        <f t="shared" si="29"/>
        <v>0.99035829334961667</v>
      </c>
      <c r="S92" s="919">
        <f t="shared" si="30"/>
        <v>-2</v>
      </c>
      <c r="T92" s="176">
        <f t="shared" si="31"/>
        <v>4</v>
      </c>
      <c r="U92" s="251">
        <f t="shared" si="32"/>
        <v>-1.0096417066503833</v>
      </c>
      <c r="V92" s="383">
        <f t="shared" si="33"/>
        <v>46.027569893642315</v>
      </c>
      <c r="W92" s="402">
        <f t="shared" si="34"/>
        <v>30.528943725938287</v>
      </c>
      <c r="X92" s="157">
        <f t="shared" si="35"/>
        <v>46465</v>
      </c>
      <c r="Y92" s="385">
        <f t="shared" si="36"/>
        <v>29.512936983652082</v>
      </c>
      <c r="Z92" s="385">
        <f t="shared" si="37"/>
        <v>31.670940308030655</v>
      </c>
      <c r="AA92" s="386">
        <f t="shared" si="38"/>
        <v>34.302861115766163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7.6725985009041486E-2</v>
      </c>
      <c r="AD92" s="231">
        <f>(INDEX(Models!$BJ92:$BT92,,AH92)*(1-AF92)+INDEX(Models!$BJ92:$BT92,,AH92+1)*AF92-ERP_i)*AE92*Ramure*Pc/MaxiM</f>
        <v>3.3486077057336789E-3</v>
      </c>
      <c r="AE92" s="305">
        <f t="shared" si="40"/>
        <v>0.7</v>
      </c>
      <c r="AF92" s="177">
        <f t="shared" si="41"/>
        <v>0.51534585972359581</v>
      </c>
      <c r="AG92" s="919">
        <f t="shared" si="49"/>
        <v>2</v>
      </c>
      <c r="AH92" s="176">
        <f t="shared" si="42"/>
        <v>8</v>
      </c>
      <c r="AI92" s="225">
        <f t="shared" si="43"/>
        <v>2.5153458597235958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1090">
        <f>IF(t&gt;Tmaj,'2026'!Wh/'2026'!Env_an*'2027'!Env_an,0.001*'[5]mon-tableau'!$B$57)</f>
        <v>31.475405776735329</v>
      </c>
      <c r="C93" s="953"/>
      <c r="D93" s="393">
        <f t="shared" si="25"/>
        <v>33.777645791558633</v>
      </c>
      <c r="E93" s="385">
        <f t="shared" si="47"/>
        <v>35.429821839990389</v>
      </c>
      <c r="F93" s="385">
        <f t="shared" si="26"/>
        <v>35.432441613323817</v>
      </c>
      <c r="G93" s="110">
        <f t="shared" si="48"/>
        <v>0.68027433799148074</v>
      </c>
      <c r="H93" s="412" t="b">
        <f>Wh_hp&gt;='2026'!Maxi_hp</f>
        <v>0</v>
      </c>
      <c r="I93" s="390">
        <f>IF(H93,Wh_hp,'2026'!Maxi_hp)</f>
        <v>53.139538604347429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6.8158687820649044E-2</v>
      </c>
      <c r="M93" s="957"/>
      <c r="N93" s="957"/>
      <c r="O93" s="48">
        <f>IF(t&lt;Tnet,'2026'!Resal+('2026'!Salim-'2026'!Resal)*(1-EXP(('2026'!Tnet-t)/('2026'!Tau_j))),Resal+(Salim-Resal)*(1-EXP((Tnet-t)/(Tau_j))))*Salcycl</f>
        <v>4.6632355530698853E-2</v>
      </c>
      <c r="P93" s="169">
        <f>(INDEX(Models!$BJ93:$BT93,,T93)*(1-R93)+INDEX(Models!$BJ93:$BT93,,T93+1)*R93-ERP_i)*Q93*Ramure*Pc/MaxiM</f>
        <v>1.3608660181867416E-4</v>
      </c>
      <c r="Q93" s="305">
        <f t="shared" si="28"/>
        <v>0.7</v>
      </c>
      <c r="R93" s="177">
        <f t="shared" si="29"/>
        <v>0.99100740533223819</v>
      </c>
      <c r="S93" s="919">
        <f t="shared" si="30"/>
        <v>-2</v>
      </c>
      <c r="T93" s="176">
        <f t="shared" si="31"/>
        <v>4</v>
      </c>
      <c r="U93" s="251">
        <f t="shared" si="32"/>
        <v>-1.0089925946677618</v>
      </c>
      <c r="V93" s="383">
        <f t="shared" si="33"/>
        <v>46.26581908914995</v>
      </c>
      <c r="W93" s="402">
        <f t="shared" si="34"/>
        <v>31.475405776735329</v>
      </c>
      <c r="X93" s="157">
        <f t="shared" si="35"/>
        <v>46466</v>
      </c>
      <c r="Y93" s="385">
        <f t="shared" si="36"/>
        <v>30.427284101764265</v>
      </c>
      <c r="Z93" s="385">
        <f t="shared" si="37"/>
        <v>32.652860207069189</v>
      </c>
      <c r="AA93" s="386">
        <f t="shared" si="38"/>
        <v>35.369115793861504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7.6797384549368158E-2</v>
      </c>
      <c r="AD93" s="231">
        <f>(INDEX(Models!$BJ93:$BT93,,AH93)*(1-AF93)+INDEX(Models!$BJ93:$BT93,,AH93+1)*AF93-ERP_i)*AE93*Ramure*Pc/MaxiM</f>
        <v>3.2895195427930326E-3</v>
      </c>
      <c r="AE93" s="305">
        <f t="shared" si="40"/>
        <v>0.7</v>
      </c>
      <c r="AF93" s="177">
        <f t="shared" si="41"/>
        <v>0.51599497170621733</v>
      </c>
      <c r="AG93" s="919">
        <f t="shared" si="49"/>
        <v>2</v>
      </c>
      <c r="AH93" s="176">
        <f t="shared" si="42"/>
        <v>8</v>
      </c>
      <c r="AI93" s="225">
        <f t="shared" si="43"/>
        <v>2.5159949717062173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1090">
        <f>IF(t&gt;Tmaj,'2026'!Wh/'2026'!Env_an*'2027'!Env_an,0.001*'[5]mon-tableau'!$B$58)</f>
        <v>45.386849476203899</v>
      </c>
      <c r="C94" s="953"/>
      <c r="D94" s="393">
        <f t="shared" si="25"/>
        <v>48.707696249602961</v>
      </c>
      <c r="E94" s="385">
        <f t="shared" si="47"/>
        <v>51.095631352361906</v>
      </c>
      <c r="F94" s="385">
        <f t="shared" si="26"/>
        <v>51.102007520698002</v>
      </c>
      <c r="G94" s="110">
        <f t="shared" si="48"/>
        <v>0.97597816383154012</v>
      </c>
      <c r="H94" s="412" t="b">
        <f>Wh_hp&gt;='2026'!Maxi_hp</f>
        <v>0</v>
      </c>
      <c r="I94" s="390">
        <f>IF(H94,Wh_hp,'2026'!Maxi_hp)</f>
        <v>53.219933275475654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6.817909753689344E-2</v>
      </c>
      <c r="M94" s="957"/>
      <c r="N94" s="957"/>
      <c r="O94" s="48">
        <f>IF(t&lt;Tnet,'2026'!Resal+('2026'!Salim-'2026'!Resal)*(1-EXP(('2026'!Tnet-t)/('2026'!Tau_j))),Resal+(Salim-Resal)*(1-EXP((Tnet-t)/(Tau_j))))*Salcycl</f>
        <v>4.673462367636573E-2</v>
      </c>
      <c r="P94" s="169">
        <f>(INDEX(Models!$BJ94:$BT94,,T94)*(1-R94)+INDEX(Models!$BJ94:$BT94,,T94+1)*R94-ERP_i)*Q94*Ramure*Pc/MaxiM</f>
        <v>1.2920651285964696E-4</v>
      </c>
      <c r="Q94" s="305">
        <f t="shared" si="28"/>
        <v>0.7</v>
      </c>
      <c r="R94" s="177">
        <f t="shared" si="29"/>
        <v>0.99168190252193855</v>
      </c>
      <c r="S94" s="919">
        <f t="shared" si="30"/>
        <v>-2</v>
      </c>
      <c r="T94" s="176">
        <f t="shared" si="31"/>
        <v>4</v>
      </c>
      <c r="U94" s="251">
        <f t="shared" si="32"/>
        <v>-1.0083180974780614</v>
      </c>
      <c r="V94" s="383">
        <f t="shared" si="33"/>
        <v>46.50375379846858</v>
      </c>
      <c r="W94" s="402">
        <f t="shared" si="34"/>
        <v>45.386849476203899</v>
      </c>
      <c r="X94" s="157">
        <f t="shared" si="35"/>
        <v>46467</v>
      </c>
      <c r="Y94" s="385">
        <f t="shared" si="36"/>
        <v>43.820492607039945</v>
      </c>
      <c r="Z94" s="385">
        <f t="shared" si="37"/>
        <v>47.026732810144196</v>
      </c>
      <c r="AA94" s="386">
        <f t="shared" si="38"/>
        <v>50.942648651743518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7.6869105655842276E-2</v>
      </c>
      <c r="AD94" s="231">
        <f>(INDEX(Models!$BJ94:$BT94,,AH94)*(1-AF94)+INDEX(Models!$BJ94:$BT94,,AH94+1)*AF94-ERP_i)*AE94*Ramure*Pc/MaxiM</f>
        <v>3.2292440640747139E-3</v>
      </c>
      <c r="AE94" s="305">
        <f t="shared" si="40"/>
        <v>0.7</v>
      </c>
      <c r="AF94" s="177">
        <f t="shared" si="41"/>
        <v>0.51666946889591747</v>
      </c>
      <c r="AG94" s="919">
        <f t="shared" si="49"/>
        <v>2</v>
      </c>
      <c r="AH94" s="176">
        <f t="shared" si="42"/>
        <v>8</v>
      </c>
      <c r="AI94" s="225">
        <f t="shared" si="43"/>
        <v>2.5166694688959175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1090">
        <f>IF(t&gt;Tmaj,'2026'!Wh/'2026'!Env_an*'2027'!Env_an,0.001*'[5]mon-tableau'!$B$59)</f>
        <v>40.051020875379507</v>
      </c>
      <c r="C95" s="953"/>
      <c r="D95" s="393">
        <f t="shared" si="25"/>
        <v>42.982399309640385</v>
      </c>
      <c r="E95" s="385">
        <f t="shared" si="47"/>
        <v>45.094492290591084</v>
      </c>
      <c r="F95" s="385">
        <f t="shared" si="26"/>
        <v>45.098899805658682</v>
      </c>
      <c r="G95" s="110">
        <f t="shared" si="48"/>
        <v>0.85685518249744297</v>
      </c>
      <c r="H95" s="412" t="b">
        <f>Wh_hp&gt;='2026'!Maxi_hp</f>
        <v>0</v>
      </c>
      <c r="I95" s="390">
        <f>IF(H95,Wh_hp,'2026'!Maxi_hp)</f>
        <v>52.117627843898426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6.8199506806112753E-2</v>
      </c>
      <c r="M95" s="957"/>
      <c r="N95" s="957"/>
      <c r="O95" s="48">
        <f>IF(t&lt;Tnet,'2026'!Resal+('2026'!Salim-'2026'!Resal)*(1-EXP(('2026'!Tnet-t)/('2026'!Tau_j))),Resal+(Salim-Resal)*(1-EXP((Tnet-t)/(Tau_j))))*Salcycl</f>
        <v>4.68370497962428E-2</v>
      </c>
      <c r="P95" s="169">
        <f>(INDEX(Models!$BJ95:$BT95,,T95)*(1-R95)+INDEX(Models!$BJ95:$BT95,,T95+1)*R95-ERP_i)*Q95*Ramure*Pc/MaxiM</f>
        <v>1.2284764783409351E-4</v>
      </c>
      <c r="Q95" s="305">
        <f t="shared" si="28"/>
        <v>0.7</v>
      </c>
      <c r="R95" s="177">
        <f t="shared" si="29"/>
        <v>0.99238270008311313</v>
      </c>
      <c r="S95" s="919">
        <f t="shared" si="30"/>
        <v>-2</v>
      </c>
      <c r="T95" s="176">
        <f t="shared" si="31"/>
        <v>4</v>
      </c>
      <c r="U95" s="251">
        <f t="shared" si="32"/>
        <v>-1.0076172999168869</v>
      </c>
      <c r="V95" s="383">
        <f t="shared" si="33"/>
        <v>46.740704388949673</v>
      </c>
      <c r="W95" s="402">
        <f t="shared" si="34"/>
        <v>40.051020875379507</v>
      </c>
      <c r="X95" s="157">
        <f t="shared" si="35"/>
        <v>46468</v>
      </c>
      <c r="Y95" s="385">
        <f t="shared" si="36"/>
        <v>38.692037935310893</v>
      </c>
      <c r="Z95" s="385">
        <f t="shared" si="37"/>
        <v>41.52395090786878</v>
      </c>
      <c r="AA95" s="386">
        <f t="shared" si="38"/>
        <v>44.985162313969219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7.6941178558905227E-2</v>
      </c>
      <c r="AD95" s="231">
        <f>(INDEX(Models!$BJ95:$BT95,,AH95)*(1-AF95)+INDEX(Models!$BJ95:$BT95,,AH95+1)*AF95-ERP_i)*AE95*Ramure*Pc/MaxiM</f>
        <v>3.170127182847472E-3</v>
      </c>
      <c r="AE95" s="305">
        <f t="shared" si="40"/>
        <v>0.7</v>
      </c>
      <c r="AF95" s="177">
        <f t="shared" si="41"/>
        <v>0.51737026645709205</v>
      </c>
      <c r="AG95" s="919">
        <f t="shared" si="49"/>
        <v>2</v>
      </c>
      <c r="AH95" s="176">
        <f t="shared" si="42"/>
        <v>8</v>
      </c>
      <c r="AI95" s="225">
        <f t="shared" si="43"/>
        <v>2.5173702664570921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1090">
        <f>IF(t&gt;Tmaj,'2026'!Wh/'2026'!Env_an*'2027'!Env_an,0.001*'[5]mon-tableau'!$B$60)</f>
        <v>47.161174493271702</v>
      </c>
      <c r="C96" s="953"/>
      <c r="D96" s="393">
        <f t="shared" si="25"/>
        <v>50.614061498291584</v>
      </c>
      <c r="E96" s="385">
        <f t="shared" si="47"/>
        <v>53.106880047761386</v>
      </c>
      <c r="F96" s="385">
        <f t="shared" si="26"/>
        <v>53.113094499750893</v>
      </c>
      <c r="G96" s="110">
        <f t="shared" si="48"/>
        <v>1.0039418816445129</v>
      </c>
      <c r="H96" s="412" t="b">
        <f>Wh_hp&gt;='2026'!Maxi_hp</f>
        <v>1</v>
      </c>
      <c r="I96" s="390">
        <f>IF(H96,Wh_hp,'2026'!Maxi_hp)</f>
        <v>53.113094499750893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6.8219915628316641E-2</v>
      </c>
      <c r="M96" s="957"/>
      <c r="N96" s="957"/>
      <c r="O96" s="48">
        <f>IF(t&lt;Tnet,'2026'!Resal+('2026'!Salim-'2026'!Resal)*(1-EXP(('2026'!Tnet-t)/('2026'!Tau_j))),Resal+(Salim-Resal)*(1-EXP((Tnet-t)/(Tau_j))))*Salcycl</f>
        <v>4.6939653529408987E-2</v>
      </c>
      <c r="P96" s="169">
        <f>(INDEX(Models!$BJ96:$BT96,,T96)*(1-R96)+INDEX(Models!$BJ96:$BT96,,T96+1)*R96-ERP_i)*Q96*Ramure*Pc/MaxiM</f>
        <v>1.1700414084389127E-4</v>
      </c>
      <c r="Q96" s="305">
        <f t="shared" si="28"/>
        <v>0.7</v>
      </c>
      <c r="R96" s="177">
        <f t="shared" si="29"/>
        <v>0.99311073978540776</v>
      </c>
      <c r="S96" s="919">
        <f t="shared" si="30"/>
        <v>-2</v>
      </c>
      <c r="T96" s="176">
        <f t="shared" si="31"/>
        <v>4</v>
      </c>
      <c r="U96" s="251">
        <f t="shared" si="32"/>
        <v>-1.0068892602145922</v>
      </c>
      <c r="V96" s="383">
        <f t="shared" si="33"/>
        <v>46.976000658543164</v>
      </c>
      <c r="W96" s="402">
        <f t="shared" si="34"/>
        <v>47.161174493271702</v>
      </c>
      <c r="X96" s="157">
        <f t="shared" si="35"/>
        <v>46469</v>
      </c>
      <c r="Y96" s="385">
        <f t="shared" si="36"/>
        <v>45.536180158262297</v>
      </c>
      <c r="Z96" s="385">
        <f t="shared" si="37"/>
        <v>48.870093836538899</v>
      </c>
      <c r="AA96" s="386">
        <f t="shared" si="38"/>
        <v>52.947796010621033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7.701363383027636E-2</v>
      </c>
      <c r="AD96" s="231">
        <f>(INDEX(Models!$BJ96:$BT96,,AH96)*(1-AF96)+INDEX(Models!$BJ96:$BT96,,AH96+1)*AF96-ERP_i)*AE96*Ramure*Pc/MaxiM</f>
        <v>3.1121984265224177E-3</v>
      </c>
      <c r="AE96" s="305">
        <f t="shared" si="40"/>
        <v>0.7</v>
      </c>
      <c r="AF96" s="177">
        <f t="shared" si="41"/>
        <v>0.5180983061593869</v>
      </c>
      <c r="AG96" s="919">
        <f t="shared" si="49"/>
        <v>2</v>
      </c>
      <c r="AH96" s="176">
        <f t="shared" si="42"/>
        <v>8</v>
      </c>
      <c r="AI96" s="225">
        <f t="shared" si="43"/>
        <v>2.5180983061593869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1090">
        <f>IF(t&gt;Tmaj,'2026'!Wh/'2026'!Env_an*'2027'!Env_an,0.001*'[5]mon-tableau'!$B$61)</f>
        <v>44.389297514364181</v>
      </c>
      <c r="C97" s="953"/>
      <c r="D97" s="393">
        <f t="shared" si="25"/>
        <v>47.640286071503731</v>
      </c>
      <c r="E97" s="385">
        <f t="shared" si="47"/>
        <v>49.992034072476464</v>
      </c>
      <c r="F97" s="385">
        <f t="shared" si="26"/>
        <v>49.997140875433963</v>
      </c>
      <c r="G97" s="110">
        <f t="shared" si="48"/>
        <v>0.94026351277915499</v>
      </c>
      <c r="H97" s="412" t="b">
        <f>Wh_hp&gt;='2026'!Maxi_hp</f>
        <v>0</v>
      </c>
      <c r="I97" s="390">
        <f>IF(H97,Wh_hp,'2026'!Maxi_hp)</f>
        <v>52.635831121779191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6.8240324003514874E-2</v>
      </c>
      <c r="M97" s="957"/>
      <c r="N97" s="957"/>
      <c r="O97" s="48">
        <f>IF(t&lt;Tnet,'2026'!Resal+('2026'!Salim-'2026'!Resal)*(1-EXP(('2026'!Tnet-t)/('2026'!Tau_j))),Resal+(Salim-Resal)*(1-EXP((Tnet-t)/(Tau_j))))*Salcycl</f>
        <v>4.7042454755156768E-2</v>
      </c>
      <c r="P97" s="169">
        <f>(INDEX(Models!$BJ97:$BT97,,T97)*(1-R97)+INDEX(Models!$BJ97:$BT97,,T97+1)*R97-ERP_i)*Q97*Ramure*Pc/MaxiM</f>
        <v>1.1167016066760919E-4</v>
      </c>
      <c r="Q97" s="305">
        <f t="shared" si="28"/>
        <v>0.7</v>
      </c>
      <c r="R97" s="177">
        <f t="shared" si="29"/>
        <v>0.99386699023796754</v>
      </c>
      <c r="S97" s="919">
        <f t="shared" si="30"/>
        <v>-2</v>
      </c>
      <c r="T97" s="176">
        <f t="shared" si="31"/>
        <v>4</v>
      </c>
      <c r="U97" s="251">
        <f t="shared" si="32"/>
        <v>-1.0061330097620325</v>
      </c>
      <c r="V97" s="383">
        <f t="shared" si="33"/>
        <v>47.208972713568926</v>
      </c>
      <c r="W97" s="402">
        <f t="shared" si="34"/>
        <v>44.389297514364181</v>
      </c>
      <c r="X97" s="157">
        <f t="shared" si="35"/>
        <v>46470</v>
      </c>
      <c r="Y97" s="385">
        <f t="shared" si="36"/>
        <v>42.874061301302284</v>
      </c>
      <c r="Z97" s="385">
        <f t="shared" si="37"/>
        <v>46.014076811652039</v>
      </c>
      <c r="AA97" s="386">
        <f t="shared" si="38"/>
        <v>49.857410175449473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7.7086502292691178E-2</v>
      </c>
      <c r="AD97" s="231">
        <f>(INDEX(Models!$BJ97:$BT97,,AH97)*(1-AF97)+INDEX(Models!$BJ97:$BT97,,AH97+1)*AF97-ERP_i)*AE97*Ramure*Pc/MaxiM</f>
        <v>3.0554830188901068E-3</v>
      </c>
      <c r="AE97" s="305">
        <f t="shared" si="40"/>
        <v>0.7</v>
      </c>
      <c r="AF97" s="177">
        <f t="shared" si="41"/>
        <v>0.51885455661194646</v>
      </c>
      <c r="AG97" s="919">
        <f t="shared" si="49"/>
        <v>2</v>
      </c>
      <c r="AH97" s="176">
        <f t="shared" si="42"/>
        <v>8</v>
      </c>
      <c r="AI97" s="225">
        <f t="shared" si="43"/>
        <v>2.5188545566119465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1090">
        <f>IF(t&gt;Tmaj,'2026'!Wh/'2026'!Env_an*'2027'!Env_an,0.001*'[5]mon-tableau'!$B$62)</f>
        <v>40.409942104054807</v>
      </c>
      <c r="C98" s="953"/>
      <c r="D98" s="393">
        <f t="shared" si="25"/>
        <v>43.370440088710907</v>
      </c>
      <c r="E98" s="385">
        <f t="shared" si="47"/>
        <v>45.51632897185511</v>
      </c>
      <c r="F98" s="385">
        <f t="shared" si="26"/>
        <v>45.520162911797229</v>
      </c>
      <c r="G98" s="110">
        <f t="shared" si="48"/>
        <v>0.85181116638899557</v>
      </c>
      <c r="H98" s="412" t="b">
        <f>Wh_hp&gt;='2026'!Maxi_hp</f>
        <v>0</v>
      </c>
      <c r="I98" s="390">
        <f>IF(H98,Wh_hp,'2026'!Maxi_hp)</f>
        <v>47.578792902284313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6.8260731931717333E-2</v>
      </c>
      <c r="M98" s="957"/>
      <c r="N98" s="957"/>
      <c r="O98" s="48">
        <f>IF(t&lt;Tnet,'2026'!Resal+('2026'!Salim-'2026'!Resal)*(1-EXP(('2026'!Tnet-t)/('2026'!Tau_j))),Resal+(Salim-Resal)*(1-EXP((Tnet-t)/(Tau_j))))*Salcycl</f>
        <v>4.7145473539201899E-2</v>
      </c>
      <c r="P98" s="169">
        <f>(INDEX(Models!$BJ98:$BT98,,T98)*(1-R98)+INDEX(Models!$BJ98:$BT98,,T98+1)*R98-ERP_i)*Q98*Ramure*Pc/MaxiM</f>
        <v>1.0684000279850039E-4</v>
      </c>
      <c r="Q98" s="305">
        <f t="shared" si="28"/>
        <v>0.7</v>
      </c>
      <c r="R98" s="177">
        <f t="shared" si="29"/>
        <v>0.99465244707321476</v>
      </c>
      <c r="S98" s="919">
        <f t="shared" si="30"/>
        <v>-2</v>
      </c>
      <c r="T98" s="176">
        <f t="shared" si="31"/>
        <v>4</v>
      </c>
      <c r="U98" s="251">
        <f t="shared" si="32"/>
        <v>-1.0053475529267852</v>
      </c>
      <c r="V98" s="383">
        <f t="shared" si="33"/>
        <v>47.438950972165919</v>
      </c>
      <c r="W98" s="402">
        <f t="shared" si="34"/>
        <v>40.409942104054807</v>
      </c>
      <c r="X98" s="157">
        <f t="shared" si="35"/>
        <v>46471</v>
      </c>
      <c r="Y98" s="385">
        <f t="shared" si="36"/>
        <v>39.047783456551876</v>
      </c>
      <c r="Z98" s="385">
        <f t="shared" si="37"/>
        <v>41.908487486533893</v>
      </c>
      <c r="AA98" s="386">
        <f t="shared" si="38"/>
        <v>45.412508216051414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7.7159814931318793E-2</v>
      </c>
      <c r="AD98" s="231">
        <f>(INDEX(Models!$BJ98:$BT98,,AH98)*(1-AF98)+INDEX(Models!$BJ98:$BT98,,AH98+1)*AF98-ERP_i)*AE98*Ramure*Pc/MaxiM</f>
        <v>3.0000021305487024E-3</v>
      </c>
      <c r="AE98" s="305">
        <f t="shared" si="40"/>
        <v>0.7</v>
      </c>
      <c r="AF98" s="177">
        <f t="shared" si="41"/>
        <v>0.5196400134471939</v>
      </c>
      <c r="AG98" s="919">
        <f t="shared" si="49"/>
        <v>2</v>
      </c>
      <c r="AH98" s="176">
        <f t="shared" si="42"/>
        <v>8</v>
      </c>
      <c r="AI98" s="225">
        <f t="shared" si="43"/>
        <v>2.5196400134471939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1090">
        <f>IF(t&gt;Tmaj,'2026'!Wh/'2026'!Env_an*'2027'!Env_an,0.001*'[5]mon-tableau'!$B$63)</f>
        <v>43.892699465157946</v>
      </c>
      <c r="C99" s="953"/>
      <c r="D99" s="393">
        <f t="shared" si="25"/>
        <v>47.109381726480912</v>
      </c>
      <c r="E99" s="385">
        <f t="shared" si="47"/>
        <v>49.445624701685738</v>
      </c>
      <c r="F99" s="385">
        <f t="shared" si="26"/>
        <v>49.450120600793888</v>
      </c>
      <c r="G99" s="110">
        <f t="shared" si="48"/>
        <v>0.92084224458109853</v>
      </c>
      <c r="H99" s="412" t="b">
        <f>Wh_hp&gt;='2026'!Maxi_hp</f>
        <v>0</v>
      </c>
      <c r="I99" s="390">
        <f>IF(H99,Wh_hp,'2026'!Maxi_hp)</f>
        <v>56.081839676566283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6.82811394129339E-2</v>
      </c>
      <c r="M99" s="957"/>
      <c r="N99" s="957"/>
      <c r="O99" s="48">
        <f>IF(t&lt;Tnet,'2026'!Resal+('2026'!Salim-'2026'!Resal)*(1-EXP(('2026'!Tnet-t)/('2026'!Tau_j))),Resal+(Salim-Resal)*(1-EXP((Tnet-t)/(Tau_j))))*Salcycl</f>
        <v>4.7248730080766382E-2</v>
      </c>
      <c r="P99" s="169">
        <f>(INDEX(Models!$BJ99:$BT99,,T99)*(1-R99)+INDEX(Models!$BJ99:$BT99,,T99+1)*R99-ERP_i)*Q99*Ramure*Pc/MaxiM</f>
        <v>1.0250817806388528E-4</v>
      </c>
      <c r="Q99" s="305">
        <f t="shared" si="28"/>
        <v>0.7</v>
      </c>
      <c r="R99" s="177">
        <f t="shared" si="29"/>
        <v>0.99546813307461846</v>
      </c>
      <c r="S99" s="919">
        <f t="shared" si="30"/>
        <v>-2</v>
      </c>
      <c r="T99" s="176">
        <f t="shared" si="31"/>
        <v>4</v>
      </c>
      <c r="U99" s="251">
        <f t="shared" si="32"/>
        <v>-1.0045318669253815</v>
      </c>
      <c r="V99" s="383">
        <f t="shared" si="33"/>
        <v>47.6652661699842</v>
      </c>
      <c r="W99" s="402">
        <f t="shared" si="34"/>
        <v>43.892699465157946</v>
      </c>
      <c r="X99" s="157">
        <f t="shared" si="35"/>
        <v>46472</v>
      </c>
      <c r="Y99" s="385">
        <f t="shared" si="36"/>
        <v>42.40409960513707</v>
      </c>
      <c r="Z99" s="385">
        <f t="shared" si="37"/>
        <v>45.511689629657923</v>
      </c>
      <c r="AA99" s="386">
        <f t="shared" si="38"/>
        <v>49.320922140332435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7.7233602807265808E-2</v>
      </c>
      <c r="AD99" s="231">
        <f>(INDEX(Models!$BJ99:$BT99,,AH99)*(1-AF99)+INDEX(Models!$BJ99:$BT99,,AH99+1)*AF99-ERP_i)*AE99*Ramure*Pc/MaxiM</f>
        <v>2.9457731305720081E-3</v>
      </c>
      <c r="AE99" s="305">
        <f t="shared" si="40"/>
        <v>0.7</v>
      </c>
      <c r="AF99" s="177">
        <f t="shared" si="41"/>
        <v>0.52045569944859738</v>
      </c>
      <c r="AG99" s="919">
        <f t="shared" si="49"/>
        <v>2</v>
      </c>
      <c r="AH99" s="176">
        <f t="shared" si="42"/>
        <v>8</v>
      </c>
      <c r="AI99" s="225">
        <f t="shared" si="43"/>
        <v>2.5204556994485974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1090">
        <f>IF(t&gt;Tmaj,'2026'!Wh/'2026'!Env_an*'2027'!Env_an,0.001*'[5]mon-tableau'!$B$64)</f>
        <v>44.613841001397162</v>
      </c>
      <c r="C100" s="953"/>
      <c r="D100" s="393">
        <f t="shared" si="25"/>
        <v>47.884421006895685</v>
      </c>
      <c r="E100" s="385">
        <f t="shared" si="47"/>
        <v>50.264560787049511</v>
      </c>
      <c r="F100" s="385">
        <f t="shared" si="26"/>
        <v>50.269041426158708</v>
      </c>
      <c r="G100" s="110">
        <f t="shared" si="48"/>
        <v>0.93163453963969478</v>
      </c>
      <c r="H100" s="412" t="b">
        <f>Wh_hp&gt;='2026'!Maxi_hp</f>
        <v>0</v>
      </c>
      <c r="I100" s="390">
        <f>IF(H100,Wh_hp,'2026'!Maxi_hp)</f>
        <v>55.275486537639232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6.8301546447174122E-2</v>
      </c>
      <c r="M100" s="957"/>
      <c r="N100" s="957"/>
      <c r="O100" s="48">
        <f>IF(t&lt;Tnet,'2026'!Resal+('2026'!Salim-'2026'!Resal)*(1-EXP(('2026'!Tnet-t)/('2026'!Tau_j))),Resal+(Salim-Resal)*(1-EXP((Tnet-t)/(Tau_j))))*Salcycl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9.877916520225808E-5</v>
      </c>
      <c r="Q100" s="305">
        <f t="shared" si="28"/>
        <v>0.7</v>
      </c>
      <c r="R100" s="177">
        <f t="shared" si="29"/>
        <v>0.99631509824258302</v>
      </c>
      <c r="S100" s="919">
        <f t="shared" si="30"/>
        <v>-2</v>
      </c>
      <c r="T100" s="176">
        <f t="shared" si="31"/>
        <v>4</v>
      </c>
      <c r="U100" s="251">
        <f t="shared" si="32"/>
        <v>-1.003684901757417</v>
      </c>
      <c r="V100" s="383">
        <f t="shared" si="33"/>
        <v>47.887244106983154</v>
      </c>
      <c r="W100" s="402">
        <f t="shared" si="34"/>
        <v>44.613841001397162</v>
      </c>
      <c r="X100" s="157">
        <f t="shared" si="35"/>
        <v>46473</v>
      </c>
      <c r="Y100" s="385">
        <f t="shared" si="36"/>
        <v>43.102025909004958</v>
      </c>
      <c r="Z100" s="385">
        <f t="shared" si="37"/>
        <v>46.261776806267008</v>
      </c>
      <c r="AA100" s="386">
        <f t="shared" si="38"/>
        <v>50.137826751226235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7.7307896973504736E-2</v>
      </c>
      <c r="AD100" s="231">
        <f>(INDEX(Models!$BJ100:$BT100,,AH100)*(1-AF100)+INDEX(Models!$BJ100:$BT100,,AH100+1)*AF100-ERP_i)*AE100*Ramure*Pc/MaxiM</f>
        <v>2.8927293040688692E-3</v>
      </c>
      <c r="AE100" s="305">
        <f t="shared" si="40"/>
        <v>0.7</v>
      </c>
      <c r="AF100" s="177">
        <f t="shared" si="41"/>
        <v>0.52130266461656216</v>
      </c>
      <c r="AG100" s="919">
        <f t="shared" si="49"/>
        <v>2</v>
      </c>
      <c r="AH100" s="176">
        <f t="shared" si="42"/>
        <v>8</v>
      </c>
      <c r="AI100" s="225">
        <f t="shared" si="43"/>
        <v>2.5213026646165622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1090">
        <f>IF(t&gt;Tmaj,'2026'!Wh/'2026'!Env_an*'2027'!Env_an,0.001*'[5]mon-tableau'!$B$65)</f>
        <v>34.226528932792924</v>
      </c>
      <c r="C101" s="953"/>
      <c r="D101" s="393">
        <f t="shared" si="25"/>
        <v>36.736433840281762</v>
      </c>
      <c r="E101" s="385">
        <f t="shared" si="47"/>
        <v>38.566654443310917</v>
      </c>
      <c r="F101" s="385">
        <f t="shared" si="26"/>
        <v>38.568814091629726</v>
      </c>
      <c r="G101" s="110">
        <f t="shared" si="48"/>
        <v>0.71147966725397027</v>
      </c>
      <c r="H101" s="412" t="b">
        <f>Wh_hp&gt;='2026'!Maxi_hp</f>
        <v>0</v>
      </c>
      <c r="I101" s="390">
        <f>IF(H101,Wh_hp,'2026'!Maxi_hp)</f>
        <v>54.062253279945516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6.8321953034447991E-2</v>
      </c>
      <c r="M101" s="957"/>
      <c r="N101" s="957"/>
      <c r="O101" s="48">
        <f>IF(t&lt;Tnet,'2026'!Resal+('2026'!Salim-'2026'!Resal)*(1-EXP(('2026'!Tnet-t)/('2026'!Tau_j))),Resal+(Salim-Resal)*(1-EXP((Tnet-t)/(Tau_j))))*Salcycl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9.5250426750534851E-5</v>
      </c>
      <c r="Q101" s="305">
        <f t="shared" si="28"/>
        <v>0.7</v>
      </c>
      <c r="R101" s="177">
        <f t="shared" si="29"/>
        <v>0.99719441979224732</v>
      </c>
      <c r="S101" s="919">
        <f t="shared" si="30"/>
        <v>-2</v>
      </c>
      <c r="T101" s="176">
        <f t="shared" si="31"/>
        <v>4</v>
      </c>
      <c r="U101" s="251">
        <f t="shared" si="32"/>
        <v>-1.0028055802077527</v>
      </c>
      <c r="V101" s="383">
        <f t="shared" si="33"/>
        <v>48.104235222383672</v>
      </c>
      <c r="W101" s="402">
        <f t="shared" si="34"/>
        <v>34.226528932792924</v>
      </c>
      <c r="X101" s="157">
        <f t="shared" si="35"/>
        <v>46474</v>
      </c>
      <c r="Y101" s="385">
        <f t="shared" si="36"/>
        <v>33.097705137134206</v>
      </c>
      <c r="Z101" s="385">
        <f t="shared" si="37"/>
        <v>35.52483097023962</v>
      </c>
      <c r="AA101" s="386">
        <f t="shared" si="38"/>
        <v>38.504407042350358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7.7382728393494124E-2</v>
      </c>
      <c r="AD101" s="231">
        <f>(INDEX(Models!$BJ101:$BT101,,AH101)*(1-AF101)+INDEX(Models!$BJ101:$BT101,,AH101+1)*AF101-ERP_i)*AE101*Ramure*Pc/MaxiM</f>
        <v>2.8406471906437815E-3</v>
      </c>
      <c r="AE101" s="305">
        <f t="shared" si="40"/>
        <v>0.7</v>
      </c>
      <c r="AF101" s="177">
        <f t="shared" si="41"/>
        <v>0.52218198616622624</v>
      </c>
      <c r="AG101" s="919">
        <f t="shared" si="49"/>
        <v>2</v>
      </c>
      <c r="AH101" s="176">
        <f t="shared" si="42"/>
        <v>8</v>
      </c>
      <c r="AI101" s="225">
        <f t="shared" si="43"/>
        <v>2.5221819861662262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1090">
        <f>IF(t&gt;Tmaj,'2026'!Wh/'2026'!Env_an*'2027'!Env_an,0.001*'[5]mon-tableau'!$B$66)</f>
        <v>26.973183427940157</v>
      </c>
      <c r="C102" s="953"/>
      <c r="D102" s="393">
        <f t="shared" si="25"/>
        <v>28.951819043793932</v>
      </c>
      <c r="E102" s="385">
        <f t="shared" si="47"/>
        <v>30.39752947180607</v>
      </c>
      <c r="F102" s="385">
        <f t="shared" si="26"/>
        <v>30.398560425035061</v>
      </c>
      <c r="G102" s="110">
        <f t="shared" si="48"/>
        <v>0.55823863950844943</v>
      </c>
      <c r="H102" s="412" t="b">
        <f>Wh_hp&gt;='2026'!Maxi_hp</f>
        <v>0</v>
      </c>
      <c r="I102" s="390">
        <f>IF(H102,Wh_hp,'2026'!Maxi_hp)</f>
        <v>54.934926813744624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6.8342359174765277E-2</v>
      </c>
      <c r="M102" s="957"/>
      <c r="N102" s="957"/>
      <c r="O102" s="48">
        <f>IF(t&lt;Tnet,'2026'!Resal+('2026'!Salim-'2026'!Resal)*(1-EXP(('2026'!Tnet-t)/('2026'!Tau_j))),Resal+(Salim-Resal)*(1-EXP((Tnet-t)/(Tau_j))))*Salcycl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9.1919637465695788E-5</v>
      </c>
      <c r="Q102" s="305">
        <f t="shared" si="28"/>
        <v>0.7</v>
      </c>
      <c r="R102" s="177">
        <f t="shared" si="29"/>
        <v>0.99810720207663373</v>
      </c>
      <c r="S102" s="919">
        <f t="shared" si="30"/>
        <v>-2</v>
      </c>
      <c r="T102" s="176">
        <f t="shared" si="31"/>
        <v>4</v>
      </c>
      <c r="U102" s="251">
        <f t="shared" si="32"/>
        <v>-1.0018927979233663</v>
      </c>
      <c r="V102" s="383">
        <f t="shared" si="33"/>
        <v>48.315571305711906</v>
      </c>
      <c r="W102" s="402">
        <f t="shared" si="34"/>
        <v>26.973183427940157</v>
      </c>
      <c r="X102" s="157">
        <f t="shared" si="35"/>
        <v>46475</v>
      </c>
      <c r="Y102" s="385">
        <f t="shared" si="36"/>
        <v>26.100464621763535</v>
      </c>
      <c r="Z102" s="385">
        <f t="shared" si="37"/>
        <v>28.015081375433702</v>
      </c>
      <c r="AA102" s="386">
        <f t="shared" si="38"/>
        <v>30.367273531475902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7.7458127862685411E-2</v>
      </c>
      <c r="AD102" s="231">
        <f>(INDEX(Models!$BJ102:$BT102,,AH102)*(1-AF102)+INDEX(Models!$BJ102:$BT102,,AH102+1)*AF102-ERP_i)*AE102*Ramure*Pc/MaxiM</f>
        <v>2.7895348038244885E-3</v>
      </c>
      <c r="AE102" s="305">
        <f t="shared" si="40"/>
        <v>0.7</v>
      </c>
      <c r="AF102" s="177">
        <f t="shared" si="41"/>
        <v>0.52309476845061242</v>
      </c>
      <c r="AG102" s="919">
        <f t="shared" si="49"/>
        <v>2</v>
      </c>
      <c r="AH102" s="176">
        <f t="shared" si="42"/>
        <v>8</v>
      </c>
      <c r="AI102" s="225">
        <f t="shared" si="43"/>
        <v>2.5230947684506124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1090">
        <f>IF(t&gt;Tmaj,'2026'!Wh/'2026'!Env_an*'2027'!Env_an,0.001*'[5]mon-tableau'!$B$67)</f>
        <v>7.0408590713636077</v>
      </c>
      <c r="C103" s="953"/>
      <c r="D103" s="393">
        <f t="shared" si="25"/>
        <v>7.5575114495794509</v>
      </c>
      <c r="E103" s="385">
        <f t="shared" si="47"/>
        <v>7.9357660865815633</v>
      </c>
      <c r="F103" s="385">
        <f t="shared" si="26"/>
        <v>7.9357660865815633</v>
      </c>
      <c r="G103" s="110">
        <f t="shared" si="48"/>
        <v>0.14509788012607502</v>
      </c>
      <c r="H103" s="412" t="b">
        <f>Wh_hp&gt;='2026'!Maxi_hp</f>
        <v>0</v>
      </c>
      <c r="I103" s="390">
        <f>IF(H103,Wh_hp,'2026'!Maxi_hp)</f>
        <v>56.1503147173473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6.8362764868135639E-2</v>
      </c>
      <c r="M103" s="957"/>
      <c r="N103" s="957"/>
      <c r="O103" s="48">
        <f>IF(t&lt;Tnet,'2026'!Resal+('2026'!Salim-'2026'!Resal)*(1-EXP(('2026'!Tnet-t)/('2026'!Tau_j))),Resal+(Salim-Resal)*(1-EXP((Tnet-t)/(Tau_j))))*Salcycl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8.8784514581561236E-5</v>
      </c>
      <c r="Q103" s="305">
        <f t="shared" si="28"/>
        <v>0.7</v>
      </c>
      <c r="R103" s="177">
        <f t="shared" si="29"/>
        <v>0.99905457642825191</v>
      </c>
      <c r="S103" s="919">
        <f t="shared" si="30"/>
        <v>-2</v>
      </c>
      <c r="T103" s="176">
        <f t="shared" si="31"/>
        <v>4</v>
      </c>
      <c r="U103" s="251">
        <f t="shared" si="32"/>
        <v>-1.0009454235717481</v>
      </c>
      <c r="V103" s="383">
        <f t="shared" si="33"/>
        <v>48.520584490907005</v>
      </c>
      <c r="W103" s="402">
        <f t="shared" si="34"/>
        <v>7.0408590713636077</v>
      </c>
      <c r="X103" s="157">
        <f t="shared" si="35"/>
        <v>46476</v>
      </c>
      <c r="Y103" s="385">
        <f t="shared" si="36"/>
        <v>6.8200255977194173</v>
      </c>
      <c r="Z103" s="385">
        <f t="shared" si="37"/>
        <v>7.32047339944942</v>
      </c>
      <c r="AA103" s="386">
        <f t="shared" si="38"/>
        <v>7.9357660865815633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7.7534125933037601E-2</v>
      </c>
      <c r="AD103" s="231">
        <f>(INDEX(Models!$BJ103:$BT103,,AH103)*(1-AF103)+INDEX(Models!$BJ103:$BT103,,AH103+1)*AF103-ERP_i)*AE103*Ramure*Pc/MaxiM</f>
        <v>2.7393966942289723E-3</v>
      </c>
      <c r="AE103" s="305">
        <f t="shared" si="40"/>
        <v>0.7</v>
      </c>
      <c r="AF103" s="177">
        <f t="shared" si="41"/>
        <v>0.52404214280223105</v>
      </c>
      <c r="AG103" s="919">
        <f t="shared" si="49"/>
        <v>2</v>
      </c>
      <c r="AH103" s="176">
        <f t="shared" si="42"/>
        <v>8</v>
      </c>
      <c r="AI103" s="225">
        <f t="shared" si="43"/>
        <v>2.524042142802231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1090">
        <f>IF(t&gt;Tmaj,'2026'!Wh/'2026'!Env_an*'2027'!Env_an,0.001*'[5]mon-tableau'!$B$68)</f>
        <v>20.958019890568902</v>
      </c>
      <c r="C104" s="953"/>
      <c r="D104" s="393">
        <f t="shared" si="25"/>
        <v>22.496394674564101</v>
      </c>
      <c r="E104" s="385">
        <f t="shared" si="47"/>
        <v>23.624941325574429</v>
      </c>
      <c r="F104" s="385">
        <f t="shared" si="26"/>
        <v>23.625318526130069</v>
      </c>
      <c r="G104" s="110">
        <f t="shared" si="48"/>
        <v>0.43015505913256574</v>
      </c>
      <c r="H104" s="412" t="b">
        <f>Wh_hp&gt;='2026'!Maxi_hp</f>
        <v>0</v>
      </c>
      <c r="I104" s="390">
        <f>IF(H104,Wh_hp,'2026'!Maxi_hp)</f>
        <v>49.506417533337903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6.8383170114568959E-2</v>
      </c>
      <c r="M104" s="957"/>
      <c r="N104" s="957"/>
      <c r="O104" s="48">
        <f>IF(t&lt;Tnet,'2026'!Resal+('2026'!Salim-'2026'!Resal)*(1-EXP(('2026'!Tnet-t)/('2026'!Tau_j))),Resal+(Salim-Resal)*(1-EXP((Tnet-t)/(Tau_j))))*Salcycl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8.5848228356802077E-5</v>
      </c>
      <c r="Q104" s="305">
        <f t="shared" si="28"/>
        <v>0.7</v>
      </c>
      <c r="R104" s="177">
        <f t="shared" si="29"/>
        <v>3.7700911916238589E-5</v>
      </c>
      <c r="S104" s="919">
        <f t="shared" si="30"/>
        <v>-1</v>
      </c>
      <c r="T104" s="176">
        <f t="shared" si="31"/>
        <v>5</v>
      </c>
      <c r="U104" s="251">
        <f t="shared" si="32"/>
        <v>-0.99996229908808376</v>
      </c>
      <c r="V104" s="383">
        <f t="shared" si="33"/>
        <v>48.718606995295474</v>
      </c>
      <c r="W104" s="402">
        <f t="shared" si="34"/>
        <v>20.958019890568902</v>
      </c>
      <c r="X104" s="157">
        <f t="shared" si="35"/>
        <v>46477</v>
      </c>
      <c r="Y104" s="385">
        <f t="shared" si="36"/>
        <v>20.29139411993183</v>
      </c>
      <c r="Z104" s="385">
        <f t="shared" si="37"/>
        <v>21.780836787187752</v>
      </c>
      <c r="AA104" s="386">
        <f t="shared" si="38"/>
        <v>23.613498156297926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7.7610752840590311E-2</v>
      </c>
      <c r="AD104" s="231">
        <f>(INDEX(Models!$BJ104:$BT104,,AH104)*(1-AF104)+INDEX(Models!$BJ104:$BT104,,AH104+1)*AF104-ERP_i)*AE104*Ramure*Pc/MaxiM</f>
        <v>2.6902341299193267E-3</v>
      </c>
      <c r="AE104" s="305">
        <f t="shared" si="40"/>
        <v>0.7</v>
      </c>
      <c r="AF104" s="177">
        <f t="shared" si="41"/>
        <v>0.52502526728589505</v>
      </c>
      <c r="AG104" s="919">
        <f t="shared" si="49"/>
        <v>2</v>
      </c>
      <c r="AH104" s="176">
        <f t="shared" si="42"/>
        <v>8</v>
      </c>
      <c r="AI104" s="225">
        <f t="shared" si="43"/>
        <v>2.525025267285895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1090">
        <f>IF(t&gt;Tmaj,'2026'!Wh/'2026'!Env_an*'2027'!Env_an,0.001*'[6]mon-tableau'!$B$37)</f>
        <v>31.218123847780028</v>
      </c>
      <c r="C105" s="953"/>
      <c r="D105" s="393">
        <f t="shared" si="25"/>
        <v>33.510351700738497</v>
      </c>
      <c r="E105" s="385">
        <f t="shared" si="47"/>
        <v>35.195305756529294</v>
      </c>
      <c r="F105" s="385">
        <f t="shared" si="26"/>
        <v>35.196721638932885</v>
      </c>
      <c r="G105" s="110">
        <f t="shared" si="48"/>
        <v>0.63826296227428236</v>
      </c>
      <c r="H105" s="412" t="b">
        <f>Wh_hp&gt;='2026'!Maxi_hp</f>
        <v>0</v>
      </c>
      <c r="I105" s="390">
        <f>IF(H105,Wh_hp,'2026'!Maxi_hp)</f>
        <v>49.445909039564896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6.8403574914075005E-2</v>
      </c>
      <c r="M105" s="957"/>
      <c r="N105" s="957"/>
      <c r="O105" s="48">
        <f>IF(t&lt;Tnet,'2026'!Resal+('2026'!Salim-'2026'!Resal)*(1-EXP(('2026'!Tnet-t)/('2026'!Tau_j))),Resal+(Salim-Resal)*(1-EXP((Tnet-t)/(Tau_j))))*Salcycl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8.3240238228054277E-5</v>
      </c>
      <c r="Q105" s="305">
        <f t="shared" si="28"/>
        <v>0.7</v>
      </c>
      <c r="R105" s="177">
        <f t="shared" si="29"/>
        <v>1.0577599812015004E-3</v>
      </c>
      <c r="S105" s="919">
        <f t="shared" si="30"/>
        <v>-1</v>
      </c>
      <c r="T105" s="176">
        <f t="shared" si="31"/>
        <v>5</v>
      </c>
      <c r="U105" s="251">
        <f t="shared" si="32"/>
        <v>-0.9989422400187985</v>
      </c>
      <c r="V105" s="383">
        <f t="shared" si="33"/>
        <v>48.908965218838624</v>
      </c>
      <c r="W105" s="402">
        <f t="shared" si="34"/>
        <v>31.218123847780028</v>
      </c>
      <c r="X105" s="157">
        <f t="shared" si="35"/>
        <v>46478</v>
      </c>
      <c r="Y105" s="385">
        <f t="shared" si="36"/>
        <v>30.203202526542125</v>
      </c>
      <c r="Z105" s="385">
        <f t="shared" si="37"/>
        <v>32.420908575037046</v>
      </c>
      <c r="AA105" s="386">
        <f t="shared" si="38"/>
        <v>35.151781529605543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7.7688038436074719E-2</v>
      </c>
      <c r="AD105" s="231">
        <f>(INDEX(Models!$BJ105:$BT105,,AH105)*(1-AF105)+INDEX(Models!$BJ105:$BT105,,AH105+1)*AF105-ERP_i)*AE105*Ramure*Pc/MaxiM</f>
        <v>2.6420452693678717E-3</v>
      </c>
      <c r="AE105" s="305">
        <f t="shared" si="40"/>
        <v>0.7</v>
      </c>
      <c r="AF105" s="177">
        <f t="shared" si="41"/>
        <v>0.52604532635518053</v>
      </c>
      <c r="AG105" s="919">
        <f t="shared" si="49"/>
        <v>2</v>
      </c>
      <c r="AH105" s="176">
        <f t="shared" si="42"/>
        <v>8</v>
      </c>
      <c r="AI105" s="225">
        <f t="shared" si="43"/>
        <v>2.5260453263551805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1090">
        <f>IF(t&gt;Tmaj,'2026'!Wh/'2026'!Env_an*'2027'!Env_an,0.001*'[6]mon-tableau'!$B$38)</f>
        <v>19.148780810944498</v>
      </c>
      <c r="C106" s="953"/>
      <c r="D106" s="393">
        <f t="shared" si="25"/>
        <v>20.555253017215474</v>
      </c>
      <c r="E106" s="385">
        <f t="shared" si="47"/>
        <v>21.591196113809023</v>
      </c>
      <c r="F106" s="385">
        <f t="shared" si="26"/>
        <v>21.591420644207055</v>
      </c>
      <c r="G106" s="110">
        <f t="shared" si="48"/>
        <v>0.39003957301902609</v>
      </c>
      <c r="H106" s="412" t="b">
        <f>Wh_hp&gt;='2026'!Maxi_hp</f>
        <v>0</v>
      </c>
      <c r="I106" s="390">
        <f>IF(H106,Wh_hp,'2026'!Maxi_hp)</f>
        <v>44.480418756560418</v>
      </c>
      <c r="J106" s="85">
        <f>IF(H106,An,'2026'!An_max)</f>
        <v>2020</v>
      </c>
      <c r="K106" s="197">
        <f t="shared" si="27"/>
        <v>46479</v>
      </c>
      <c r="L106" s="147">
        <f>IF(t&lt;Tvie,1-EXP((T0-t)*PertePVj)+'2026'!Pspv,1-EXP((T0-t)*PertePVj)+Pspv)</f>
        <v>6.8423979266663548E-2</v>
      </c>
      <c r="M106" s="957"/>
      <c r="N106" s="957"/>
      <c r="O106" s="48">
        <f>IF(t&lt;Tnet,'2026'!Resal+('2026'!Salim-'2026'!Resal)*(1-EXP(('2026'!Tnet-t)/('2026'!Tau_j))),Resal+(Salim-Resal)*(1-EXP((Tnet-t)/(Tau_j))))*Salcycl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8.0821343335122191E-5</v>
      </c>
      <c r="Q106" s="305">
        <f t="shared" si="28"/>
        <v>0.7</v>
      </c>
      <c r="R106" s="177">
        <f t="shared" si="29"/>
        <v>2.1159640306408489E-3</v>
      </c>
      <c r="S106" s="919">
        <f t="shared" si="30"/>
        <v>-1</v>
      </c>
      <c r="T106" s="176">
        <f t="shared" si="31"/>
        <v>5</v>
      </c>
      <c r="U106" s="251">
        <f t="shared" si="32"/>
        <v>-0.99788403596935915</v>
      </c>
      <c r="V106" s="383">
        <f t="shared" si="33"/>
        <v>49.090999017804322</v>
      </c>
      <c r="W106" s="402">
        <f t="shared" si="34"/>
        <v>19.148780810944498</v>
      </c>
      <c r="X106" s="157">
        <f t="shared" si="35"/>
        <v>46479</v>
      </c>
      <c r="Y106" s="385">
        <f t="shared" si="36"/>
        <v>18.543667069177232</v>
      </c>
      <c r="Z106" s="385">
        <f t="shared" si="37"/>
        <v>19.905693852638738</v>
      </c>
      <c r="AA106" s="386">
        <f t="shared" si="38"/>
        <v>21.584211939926821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7.7766012118475142E-2</v>
      </c>
      <c r="AD106" s="231">
        <f>(INDEX(Models!$BJ106:$BT106,,AH106)*(1-AF106)+INDEX(Models!$BJ106:$BT106,,AH106+1)*AF106-ERP_i)*AE106*Ramure*Pc/MaxiM</f>
        <v>2.5948253276016999E-3</v>
      </c>
      <c r="AE106" s="305">
        <f t="shared" si="40"/>
        <v>0.7</v>
      </c>
      <c r="AF106" s="177">
        <f t="shared" si="41"/>
        <v>0.52710353040461966</v>
      </c>
      <c r="AG106" s="919">
        <f t="shared" si="49"/>
        <v>2</v>
      </c>
      <c r="AH106" s="176">
        <f t="shared" si="42"/>
        <v>8</v>
      </c>
      <c r="AI106" s="225">
        <f t="shared" si="43"/>
        <v>2.5271035304046197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1090">
        <f>IF(t&gt;Tmaj,'2026'!Wh/'2026'!Env_an*'2027'!Env_an,0.001*'[6]mon-tableau'!$B$39)</f>
        <v>24.454141559128558</v>
      </c>
      <c r="C107" s="953"/>
      <c r="D107" s="393">
        <f t="shared" si="25"/>
        <v>26.250865882173894</v>
      </c>
      <c r="E107" s="385">
        <f t="shared" si="47"/>
        <v>27.576923478276939</v>
      </c>
      <c r="F107" s="385">
        <f t="shared" si="26"/>
        <v>27.577531509750195</v>
      </c>
      <c r="G107" s="110">
        <f t="shared" si="48"/>
        <v>0.49635478350365209</v>
      </c>
      <c r="H107" s="412" t="b">
        <f>Wh_hp&gt;='2026'!Maxi_hp</f>
        <v>0</v>
      </c>
      <c r="I107" s="390">
        <f>IF(H107,Wh_hp,'2026'!Maxi_hp)</f>
        <v>52.947397962650761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6.844438317234447E-2</v>
      </c>
      <c r="M107" s="957"/>
      <c r="N107" s="957"/>
      <c r="O107" s="48">
        <f>IF(t&lt;Tnet,'2026'!Resal+('2026'!Salim-'2026'!Resal)*(1-EXP(('2026'!Tnet-t)/('2026'!Tau_j))),Resal+(Salim-Resal)*(1-EXP((Tnet-t)/(Tau_j))))*Salcycl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7.8589613208690561E-5</v>
      </c>
      <c r="Q107" s="305">
        <f t="shared" si="28"/>
        <v>0.7</v>
      </c>
      <c r="R107" s="177">
        <f t="shared" si="29"/>
        <v>3.2135488354544384E-3</v>
      </c>
      <c r="S107" s="919">
        <f t="shared" si="30"/>
        <v>-1</v>
      </c>
      <c r="T107" s="176">
        <f t="shared" si="31"/>
        <v>5</v>
      </c>
      <c r="U107" s="251">
        <f t="shared" si="32"/>
        <v>-0.99678645116454556</v>
      </c>
      <c r="V107" s="383">
        <f t="shared" si="33"/>
        <v>49.264678545552179</v>
      </c>
      <c r="W107" s="402">
        <f t="shared" si="34"/>
        <v>24.454141559128558</v>
      </c>
      <c r="X107" s="157">
        <f t="shared" si="35"/>
        <v>46480</v>
      </c>
      <c r="Y107" s="385">
        <f t="shared" si="36"/>
        <v>23.673235542031001</v>
      </c>
      <c r="Z107" s="385">
        <f t="shared" si="37"/>
        <v>25.412584191857995</v>
      </c>
      <c r="AA107" s="386">
        <f t="shared" si="38"/>
        <v>27.55781403439472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7.7844702771391036E-2</v>
      </c>
      <c r="AD107" s="231">
        <f>(INDEX(Models!$BJ107:$BT107,,AH107)*(1-AF107)+INDEX(Models!$BJ107:$BT107,,AH107+1)*AF107-ERP_i)*AE107*Ramure*Pc/MaxiM</f>
        <v>2.5485338009585204E-3</v>
      </c>
      <c r="AE107" s="305">
        <f t="shared" si="40"/>
        <v>0.7</v>
      </c>
      <c r="AF107" s="177">
        <f t="shared" si="41"/>
        <v>0.52820111520943325</v>
      </c>
      <c r="AG107" s="919">
        <f t="shared" si="49"/>
        <v>2</v>
      </c>
      <c r="AH107" s="176">
        <f t="shared" si="42"/>
        <v>8</v>
      </c>
      <c r="AI107" s="225">
        <f t="shared" si="43"/>
        <v>2.5282011152094332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1090">
        <f>IF(t&gt;Tmaj,'2026'!Wh/'2026'!Env_an*'2027'!Env_an,0.001*'[6]mon-tableau'!$B$40)</f>
        <v>42.884202911924653</v>
      </c>
      <c r="C108" s="953"/>
      <c r="D108" s="393">
        <f t="shared" si="25"/>
        <v>46.036051344570282</v>
      </c>
      <c r="E108" s="385">
        <f t="shared" si="47"/>
        <v>48.36695516276599</v>
      </c>
      <c r="F108" s="385">
        <f t="shared" si="26"/>
        <v>48.36997161470196</v>
      </c>
      <c r="G108" s="110">
        <f t="shared" si="48"/>
        <v>0.86754915335124472</v>
      </c>
      <c r="H108" s="412" t="b">
        <f>Wh_hp&gt;='2026'!Maxi_hp</f>
        <v>0</v>
      </c>
      <c r="I108" s="390">
        <f>IF(H108,Wh_hp,'2026'!Maxi_hp)</f>
        <v>55.741875297523443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6.8464786631127428E-2</v>
      </c>
      <c r="M108" s="957"/>
      <c r="N108" s="957"/>
      <c r="O108" s="48">
        <f>IF(t&lt;Tnet,'2026'!Resal+('2026'!Salim-'2026'!Resal)*(1-EXP(('2026'!Tnet-t)/('2026'!Tau_j))),Resal+(Salim-Resal)*(1-EXP((Tnet-t)/(Tau_j))))*Salcycl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7.6914013821994346E-5</v>
      </c>
      <c r="Q108" s="305">
        <f t="shared" si="28"/>
        <v>0.7</v>
      </c>
      <c r="R108" s="177">
        <f t="shared" si="29"/>
        <v>4.3517748703071346E-3</v>
      </c>
      <c r="S108" s="919">
        <f t="shared" si="30"/>
        <v>-1</v>
      </c>
      <c r="T108" s="176">
        <f t="shared" si="31"/>
        <v>5</v>
      </c>
      <c r="U108" s="251">
        <f t="shared" si="32"/>
        <v>-0.99564822512969287</v>
      </c>
      <c r="V108" s="383">
        <f t="shared" si="33"/>
        <v>49.43071946895035</v>
      </c>
      <c r="W108" s="402">
        <f t="shared" si="34"/>
        <v>42.884202911924653</v>
      </c>
      <c r="X108" s="157">
        <f t="shared" si="35"/>
        <v>46481</v>
      </c>
      <c r="Y108" s="385">
        <f t="shared" si="36"/>
        <v>41.462825153536102</v>
      </c>
      <c r="Z108" s="385">
        <f t="shared" si="37"/>
        <v>44.510206977132817</v>
      </c>
      <c r="AA108" s="386">
        <f t="shared" si="38"/>
        <v>48.271740802839837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7.7924138701990373E-2</v>
      </c>
      <c r="AD108" s="231">
        <f>(INDEX(Models!$BJ108:$BT108,,AH108)*(1-AF108)+INDEX(Models!$BJ108:$BT108,,AH108+1)*AF108-ERP_i)*AE108*Ramure*Pc/MaxiM</f>
        <v>2.5047062514787404E-3</v>
      </c>
      <c r="AE108" s="305">
        <f t="shared" si="40"/>
        <v>0.7</v>
      </c>
      <c r="AF108" s="177">
        <f t="shared" si="41"/>
        <v>0.52933934124428594</v>
      </c>
      <c r="AG108" s="919">
        <f t="shared" si="49"/>
        <v>2</v>
      </c>
      <c r="AH108" s="176">
        <f t="shared" si="42"/>
        <v>8</v>
      </c>
      <c r="AI108" s="225">
        <f t="shared" si="43"/>
        <v>2.5293393412442859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1090">
        <f>IF(t&gt;Tmaj,'2026'!Wh/'2026'!Env_an*'2027'!Env_an,0.001*'[6]mon-tableau'!$B$41)</f>
        <v>49.419161030822437</v>
      </c>
      <c r="C109" s="953"/>
      <c r="D109" s="393">
        <f t="shared" si="25"/>
        <v>53.052469463028601</v>
      </c>
      <c r="E109" s="385">
        <f t="shared" si="47"/>
        <v>55.744880982211292</v>
      </c>
      <c r="F109" s="385">
        <f t="shared" si="26"/>
        <v>55.749082959088923</v>
      </c>
      <c r="G109" s="110">
        <f t="shared" si="48"/>
        <v>0.99656257768793743</v>
      </c>
      <c r="H109" s="412" t="b">
        <f>Wh_hp&gt;='2026'!Maxi_hp</f>
        <v>0</v>
      </c>
      <c r="I109" s="390">
        <f>IF(H109,Wh_hp,'2026'!Maxi_hp)</f>
        <v>58.256884739736201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6.8485189643022304E-2</v>
      </c>
      <c r="M109" s="957"/>
      <c r="N109" s="957"/>
      <c r="O109" s="48">
        <f>IF(t&lt;Tnet,'2026'!Resal+('2026'!Salim-'2026'!Resal)*(1-EXP(('2026'!Tnet-t)/('2026'!Tau_j))),Resal+(Salim-Resal)*(1-EXP((Tnet-t)/(Tau_j))))*Salcycl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7.5744935604316825E-5</v>
      </c>
      <c r="Q109" s="305">
        <f t="shared" si="28"/>
        <v>0.7</v>
      </c>
      <c r="R109" s="177">
        <f t="shared" si="29"/>
        <v>5.5319264983257899E-3</v>
      </c>
      <c r="S109" s="919">
        <f t="shared" si="30"/>
        <v>-1</v>
      </c>
      <c r="T109" s="176">
        <f t="shared" si="31"/>
        <v>5</v>
      </c>
      <c r="U109" s="251">
        <f t="shared" si="32"/>
        <v>-0.99446807350167421</v>
      </c>
      <c r="V109" s="383">
        <f t="shared" si="33"/>
        <v>49.589603057794754</v>
      </c>
      <c r="W109" s="402">
        <f t="shared" si="34"/>
        <v>49.419161030822437</v>
      </c>
      <c r="X109" s="157">
        <f t="shared" si="35"/>
        <v>46482</v>
      </c>
      <c r="Y109" s="385">
        <f t="shared" si="36"/>
        <v>47.76288371890184</v>
      </c>
      <c r="Z109" s="385">
        <f t="shared" si="37"/>
        <v>51.274422250568421</v>
      </c>
      <c r="AA109" s="386">
        <f t="shared" si="38"/>
        <v>55.612433872235599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7.8004347582293507E-2</v>
      </c>
      <c r="AD109" s="231">
        <f>(INDEX(Models!$BJ109:$BT109,,AH109)*(1-AF109)+INDEX(Models!$BJ109:$BT109,,AH109+1)*AF109-ERP_i)*AE109*Ramure*Pc/MaxiM</f>
        <v>2.4632397049079669E-3</v>
      </c>
      <c r="AE109" s="305">
        <f t="shared" si="40"/>
        <v>0.7</v>
      </c>
      <c r="AF109" s="177">
        <f t="shared" si="41"/>
        <v>0.53051949287230471</v>
      </c>
      <c r="AG109" s="919">
        <f t="shared" si="49"/>
        <v>2</v>
      </c>
      <c r="AH109" s="176">
        <f t="shared" si="42"/>
        <v>8</v>
      </c>
      <c r="AI109" s="225">
        <f t="shared" si="43"/>
        <v>2.5305194928723047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1090">
        <f>IF(t&gt;Tmaj,'2026'!Wh/'2026'!Env_an*'2027'!Env_an,0.001*'[6]mon-tableau'!$B$42)</f>
        <v>11.606179702881192</v>
      </c>
      <c r="C110" s="953"/>
      <c r="D110" s="393">
        <f t="shared" si="25"/>
        <v>12.45974168582803</v>
      </c>
      <c r="E110" s="385">
        <f t="shared" si="47"/>
        <v>13.093548051595549</v>
      </c>
      <c r="F110" s="385">
        <f t="shared" si="26"/>
        <v>13.093548051595549</v>
      </c>
      <c r="G110" s="110">
        <f t="shared" si="48"/>
        <v>0.23331094635324129</v>
      </c>
      <c r="H110" s="412" t="b">
        <f>Wh_hp&gt;='2026'!Maxi_hp</f>
        <v>0</v>
      </c>
      <c r="I110" s="390">
        <f>IF(H110,Wh_hp,'2026'!Maxi_hp)</f>
        <v>57.685469912803519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6.8505592208038868E-2</v>
      </c>
      <c r="M110" s="957"/>
      <c r="N110" s="957"/>
      <c r="O110" s="48">
        <f>IF(t&lt;Tnet,'2026'!Resal+('2026'!Salim-'2026'!Resal)*(1-EXP(('2026'!Tnet-t)/('2026'!Tau_j))),Resal+(Salim-Resal)*(1-EXP((Tnet-t)/(Tau_j))))*Salcycl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7.5080711375680347E-5</v>
      </c>
      <c r="Q110" s="305">
        <f t="shared" si="28"/>
        <v>0.7</v>
      </c>
      <c r="R110" s="177">
        <f t="shared" si="29"/>
        <v>6.7553110213660617E-3</v>
      </c>
      <c r="S110" s="919">
        <f t="shared" si="30"/>
        <v>-1</v>
      </c>
      <c r="T110" s="176">
        <f t="shared" si="31"/>
        <v>5</v>
      </c>
      <c r="U110" s="251">
        <f t="shared" si="32"/>
        <v>-0.99324468897863394</v>
      </c>
      <c r="V110" s="383">
        <f t="shared" si="33"/>
        <v>49.741808020794217</v>
      </c>
      <c r="W110" s="402">
        <f t="shared" si="34"/>
        <v>11.606179702881192</v>
      </c>
      <c r="X110" s="157">
        <f t="shared" si="35"/>
        <v>46483</v>
      </c>
      <c r="Y110" s="385">
        <f t="shared" si="36"/>
        <v>11.24419352379401</v>
      </c>
      <c r="Z110" s="385">
        <f t="shared" si="37"/>
        <v>12.071133685544654</v>
      </c>
      <c r="AA110" s="386">
        <f t="shared" si="38"/>
        <v>13.093548051595549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7.8085356392479627E-2</v>
      </c>
      <c r="AD110" s="231">
        <f>(INDEX(Models!$BJ110:$BT110,,AH110)*(1-AF110)+INDEX(Models!$BJ110:$BT110,,AH110+1)*AF110-ERP_i)*AE110*Ramure*Pc/MaxiM</f>
        <v>2.4240703651232788E-3</v>
      </c>
      <c r="AE110" s="305">
        <f t="shared" si="40"/>
        <v>0.7</v>
      </c>
      <c r="AF110" s="177">
        <f t="shared" si="41"/>
        <v>0.53174287739534476</v>
      </c>
      <c r="AG110" s="919">
        <f t="shared" si="49"/>
        <v>2</v>
      </c>
      <c r="AH110" s="176">
        <f t="shared" si="42"/>
        <v>8</v>
      </c>
      <c r="AI110" s="225">
        <f t="shared" si="43"/>
        <v>2.5317428773953448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1090">
        <f>IF(t&gt;Tmaj,'2026'!Wh/'2026'!Env_an*'2027'!Env_an,0.001*'[6]mon-tableau'!$B$43)</f>
        <v>38.229227425536571</v>
      </c>
      <c r="C111" s="953"/>
      <c r="D111" s="393">
        <f t="shared" si="25"/>
        <v>41.04164710198453</v>
      </c>
      <c r="E111" s="385">
        <f t="shared" si="47"/>
        <v>43.13424791265038</v>
      </c>
      <c r="F111" s="385">
        <f t="shared" si="26"/>
        <v>43.136400775477156</v>
      </c>
      <c r="G111" s="110">
        <f t="shared" si="48"/>
        <v>0.76628477013644114</v>
      </c>
      <c r="H111" s="412" t="b">
        <f>Wh_hp&gt;='2026'!Maxi_hp</f>
        <v>0</v>
      </c>
      <c r="I111" s="390">
        <f>IF(H111,Wh_hp,'2026'!Maxi_hp)</f>
        <v>56.268394657199678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6.852599432618689E-2</v>
      </c>
      <c r="M111" s="957"/>
      <c r="N111" s="957"/>
      <c r="O111" s="48">
        <f>IF(t&lt;Tnet,'2026'!Resal+('2026'!Salim-'2026'!Resal)*(1-EXP(('2026'!Tnet-t)/('2026'!Tau_j))),Resal+(Salim-Resal)*(1-EXP((Tnet-t)/(Tau_j))))*Salcycl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7.4920628179779347E-5</v>
      </c>
      <c r="Q111" s="305">
        <f t="shared" si="28"/>
        <v>0.7</v>
      </c>
      <c r="R111" s="177">
        <f t="shared" si="29"/>
        <v>8.0232575823150354E-3</v>
      </c>
      <c r="S111" s="919">
        <f t="shared" si="30"/>
        <v>-1</v>
      </c>
      <c r="T111" s="176">
        <f t="shared" si="31"/>
        <v>5</v>
      </c>
      <c r="U111" s="251">
        <f t="shared" si="32"/>
        <v>-0.99197674241768496</v>
      </c>
      <c r="V111" s="383">
        <f t="shared" si="33"/>
        <v>49.887812813506642</v>
      </c>
      <c r="W111" s="402">
        <f t="shared" si="34"/>
        <v>38.229227425536571</v>
      </c>
      <c r="X111" s="157">
        <f t="shared" si="35"/>
        <v>46484</v>
      </c>
      <c r="Y111" s="385">
        <f t="shared" si="36"/>
        <v>36.980744161716984</v>
      </c>
      <c r="Z111" s="385">
        <f t="shared" si="37"/>
        <v>39.70131633997206</v>
      </c>
      <c r="AA111" s="386">
        <f t="shared" si="38"/>
        <v>43.067805754057616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7.8167191365870345E-2</v>
      </c>
      <c r="AD111" s="231">
        <f>(INDEX(Models!$BJ111:$BT111,,AH111)*(1-AF111)+INDEX(Models!$BJ111:$BT111,,AH111+1)*AF111-ERP_i)*AE111*Ramure*Pc/MaxiM</f>
        <v>2.387138665240679E-3</v>
      </c>
      <c r="AE111" s="305">
        <f t="shared" si="40"/>
        <v>0.7</v>
      </c>
      <c r="AF111" s="177">
        <f t="shared" si="41"/>
        <v>0.53301082395629384</v>
      </c>
      <c r="AG111" s="919">
        <f t="shared" si="49"/>
        <v>2</v>
      </c>
      <c r="AH111" s="176">
        <f t="shared" si="42"/>
        <v>8</v>
      </c>
      <c r="AI111" s="225">
        <f t="shared" si="43"/>
        <v>2.5330108239562938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1090">
        <f>IF(t&gt;Tmaj,'2026'!Wh/'2026'!Env_an*'2027'!Env_an,0.001*'[6]mon-tableau'!$B$44)</f>
        <v>31.017642765806972</v>
      </c>
      <c r="C112" s="953"/>
      <c r="D112" s="393">
        <f t="shared" si="25"/>
        <v>33.300255248916216</v>
      </c>
      <c r="E112" s="385">
        <f t="shared" si="47"/>
        <v>35.002122550586229</v>
      </c>
      <c r="F112" s="385">
        <f t="shared" si="26"/>
        <v>35.003326920102658</v>
      </c>
      <c r="G112" s="110">
        <f t="shared" si="48"/>
        <v>0.61997913409966088</v>
      </c>
      <c r="H112" s="412" t="b">
        <f>Wh_hp&gt;='2026'!Maxi_hp</f>
        <v>0</v>
      </c>
      <c r="I112" s="390">
        <f>IF(H112,Wh_hp,'2026'!Maxi_hp)</f>
        <v>56.211155978326396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6.8546395997476139E-2</v>
      </c>
      <c r="M112" s="957"/>
      <c r="N112" s="957"/>
      <c r="O112" s="48">
        <f>IF(t&lt;Tnet,'2026'!Resal+('2026'!Salim-'2026'!Resal)*(1-EXP(('2026'!Tnet-t)/('2026'!Tau_j))),Resal+(Salim-Resal)*(1-EXP((Tnet-t)/(Tau_j))))*Salcycl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7.5264889763820893E-5</v>
      </c>
      <c r="Q112" s="305">
        <f t="shared" si="28"/>
        <v>0.7</v>
      </c>
      <c r="R112" s="177">
        <f t="shared" si="29"/>
        <v>9.337115910058591E-3</v>
      </c>
      <c r="S112" s="919">
        <f t="shared" si="30"/>
        <v>-1</v>
      </c>
      <c r="T112" s="176">
        <f t="shared" si="31"/>
        <v>5</v>
      </c>
      <c r="U112" s="251">
        <f t="shared" si="32"/>
        <v>-0.99066288408994141</v>
      </c>
      <c r="V112" s="383">
        <f t="shared" si="33"/>
        <v>50.028095640214332</v>
      </c>
      <c r="W112" s="402">
        <f t="shared" si="34"/>
        <v>31.017642765806972</v>
      </c>
      <c r="X112" s="157">
        <f t="shared" si="35"/>
        <v>46485</v>
      </c>
      <c r="Y112" s="385">
        <f t="shared" si="36"/>
        <v>30.02039946996717</v>
      </c>
      <c r="Z112" s="385">
        <f t="shared" si="37"/>
        <v>32.229624042429307</v>
      </c>
      <c r="AA112" s="386">
        <f t="shared" si="38"/>
        <v>34.96568459381659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7.8249877935212264E-2</v>
      </c>
      <c r="AD112" s="231">
        <f>(INDEX(Models!$BJ112:$BT112,,AH112)*(1-AF112)+INDEX(Models!$BJ112:$BT112,,AH112+1)*AF112-ERP_i)*AE112*Ramure*Pc/MaxiM</f>
        <v>2.3523889468503312E-3</v>
      </c>
      <c r="AE112" s="305">
        <f t="shared" si="40"/>
        <v>0.7</v>
      </c>
      <c r="AF112" s="177">
        <f t="shared" si="41"/>
        <v>0.53432468228403751</v>
      </c>
      <c r="AG112" s="919">
        <f t="shared" si="49"/>
        <v>2</v>
      </c>
      <c r="AH112" s="176">
        <f t="shared" si="42"/>
        <v>8</v>
      </c>
      <c r="AI112" s="225">
        <f t="shared" si="43"/>
        <v>2.5343246822840375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1090">
        <f>IF(t&gt;Tmaj,'2026'!Wh/'2026'!Env_an*'2027'!Env_an,0.001*'[6]mon-tableau'!$B$45)</f>
        <v>33.852254098546268</v>
      </c>
      <c r="C113" s="953"/>
      <c r="D113" s="393">
        <f t="shared" si="25"/>
        <v>36.344263869463603</v>
      </c>
      <c r="E113" s="385">
        <f t="shared" si="47"/>
        <v>38.206064401321498</v>
      </c>
      <c r="F113" s="385">
        <f t="shared" si="26"/>
        <v>38.207621691532154</v>
      </c>
      <c r="G113" s="110">
        <f t="shared" si="48"/>
        <v>0.67481941756483821</v>
      </c>
      <c r="H113" s="412" t="b">
        <f>Wh_hp&gt;='2026'!Maxi_hp</f>
        <v>0</v>
      </c>
      <c r="I113" s="390">
        <f>IF(H113,Wh_hp,'2026'!Maxi_hp)</f>
        <v>45.992596170964376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6.8566797221916498E-2</v>
      </c>
      <c r="M113" s="957"/>
      <c r="N113" s="957"/>
      <c r="O113" s="48">
        <f>IF(t&lt;Tnet,'2026'!Resal+('2026'!Salim-'2026'!Resal)*(1-EXP(('2026'!Tnet-t)/('2026'!Tau_j))),Resal+(Salim-Resal)*(1-EXP((Tnet-t)/(Tau_j))))*Salcycl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7.6114581025489193E-5</v>
      </c>
      <c r="Q113" s="305">
        <f t="shared" si="28"/>
        <v>0.7</v>
      </c>
      <c r="R113" s="177">
        <f t="shared" si="29"/>
        <v>1.0698254897624659E-2</v>
      </c>
      <c r="S113" s="919">
        <f t="shared" si="30"/>
        <v>-1</v>
      </c>
      <c r="T113" s="176">
        <f t="shared" si="31"/>
        <v>5</v>
      </c>
      <c r="U113" s="251">
        <f t="shared" si="32"/>
        <v>-0.98930174510237534</v>
      </c>
      <c r="V113" s="383">
        <f t="shared" si="33"/>
        <v>50.163134447413206</v>
      </c>
      <c r="W113" s="402">
        <f t="shared" si="34"/>
        <v>33.852254098546268</v>
      </c>
      <c r="X113" s="157">
        <f t="shared" si="35"/>
        <v>46486</v>
      </c>
      <c r="Y113" s="385">
        <f t="shared" si="36"/>
        <v>32.759384123156849</v>
      </c>
      <c r="Z113" s="385">
        <f t="shared" si="37"/>
        <v>35.170943042881696</v>
      </c>
      <c r="AA113" s="386">
        <f t="shared" si="38"/>
        <v>38.160159644747502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7.8333440679859687E-2</v>
      </c>
      <c r="AD113" s="231">
        <f>(INDEX(Models!$BJ113:$BT113,,AH113)*(1-AF113)+INDEX(Models!$BJ113:$BT113,,AH113+1)*AF113-ERP_i)*AE113*Ramure*Pc/MaxiM</f>
        <v>2.3197691611429512E-3</v>
      </c>
      <c r="AE113" s="305">
        <f t="shared" si="40"/>
        <v>0.7</v>
      </c>
      <c r="AF113" s="177">
        <f t="shared" si="41"/>
        <v>0.53568582127160358</v>
      </c>
      <c r="AG113" s="919">
        <f t="shared" si="49"/>
        <v>2</v>
      </c>
      <c r="AH113" s="176">
        <f t="shared" si="42"/>
        <v>8</v>
      </c>
      <c r="AI113" s="225">
        <f t="shared" si="43"/>
        <v>2.5356858212716036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1090">
        <f>IF(t&gt;Tmaj,'2026'!Wh/'2026'!Env_an*'2027'!Env_an,0.001*'[6]mon-tableau'!$B$46)</f>
        <v>51.750394673884912</v>
      </c>
      <c r="C114" s="953"/>
      <c r="D114" s="393">
        <f t="shared" si="25"/>
        <v>55.561180351757834</v>
      </c>
      <c r="E114" s="385">
        <f t="shared" si="47"/>
        <v>58.414107166948199</v>
      </c>
      <c r="F114" s="385">
        <f t="shared" si="26"/>
        <v>58.418678511810612</v>
      </c>
      <c r="G114" s="110">
        <f t="shared" si="48"/>
        <v>1.0289705588508635</v>
      </c>
      <c r="H114" s="412" t="b">
        <f>Wh_hp&gt;='2026'!Maxi_hp</f>
        <v>1</v>
      </c>
      <c r="I114" s="390">
        <f>IF(H114,Wh_hp,'2026'!Maxi_hp)</f>
        <v>58.418678511810612</v>
      </c>
      <c r="J114" s="85">
        <f>IF(H114,An,'2026'!An_max)</f>
        <v>2027</v>
      </c>
      <c r="K114" s="197">
        <f t="shared" si="27"/>
        <v>46487</v>
      </c>
      <c r="L114" s="147">
        <f>IF(t&lt;Tvie,1-EXP((T0-t)*PertePVj)+'2026'!Pspv,1-EXP((T0-t)*PertePVj)+Pspv)</f>
        <v>6.8587197999517624E-2</v>
      </c>
      <c r="M114" s="957"/>
      <c r="N114" s="957"/>
      <c r="O114" s="48">
        <f>IF(t&lt;Tnet,'2026'!Resal+('2026'!Salim-'2026'!Resal)*(1-EXP(('2026'!Tnet-t)/('2026'!Tau_j))),Resal+(Salim-Resal)*(1-EXP((Tnet-t)/(Tau_j))))*Salcycl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7.8251425380769163E-5</v>
      </c>
      <c r="Q114" s="305">
        <f t="shared" si="28"/>
        <v>0.7</v>
      </c>
      <c r="R114" s="177">
        <f t="shared" si="29"/>
        <v>1.2108061003967219E-2</v>
      </c>
      <c r="S114" s="919">
        <f t="shared" si="30"/>
        <v>-1</v>
      </c>
      <c r="T114" s="176">
        <f t="shared" si="31"/>
        <v>5</v>
      </c>
      <c r="U114" s="251">
        <f t="shared" si="32"/>
        <v>-0.98789193899603278</v>
      </c>
      <c r="V114" s="383">
        <f t="shared" si="33"/>
        <v>50.29336770497968</v>
      </c>
      <c r="W114" s="402">
        <f t="shared" si="34"/>
        <v>51.750394673884912</v>
      </c>
      <c r="X114" s="157">
        <f t="shared" si="35"/>
        <v>46487</v>
      </c>
      <c r="Y114" s="385">
        <f t="shared" si="36"/>
        <v>50.030091010089301</v>
      </c>
      <c r="Z114" s="385">
        <f t="shared" si="37"/>
        <v>53.714197295372145</v>
      </c>
      <c r="AA114" s="386">
        <f t="shared" si="38"/>
        <v>58.284766475134433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7.8417903273442724E-2</v>
      </c>
      <c r="AD114" s="231">
        <f>(INDEX(Models!$BJ114:$BT114,,AH114)*(1-AF114)+INDEX(Models!$BJ114:$BT114,,AH114+1)*AF114-ERP_i)*AE114*Ramure*Pc/MaxiM</f>
        <v>2.2922811690974276E-3</v>
      </c>
      <c r="AE114" s="305">
        <f t="shared" si="40"/>
        <v>0.7</v>
      </c>
      <c r="AF114" s="177">
        <f t="shared" si="41"/>
        <v>0.53709562737794592</v>
      </c>
      <c r="AG114" s="919">
        <f t="shared" si="49"/>
        <v>2</v>
      </c>
      <c r="AH114" s="176">
        <f t="shared" si="42"/>
        <v>8</v>
      </c>
      <c r="AI114" s="225">
        <f t="shared" si="43"/>
        <v>2.5370956273779459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1090">
        <f>IF(t&gt;Tmaj,'2026'!Wh/'2026'!Env_an*'2027'!Env_an,0.001*'[6]mon-tableau'!$B$47)</f>
        <v>42.70296157878694</v>
      </c>
      <c r="C115" s="953"/>
      <c r="D115" s="393">
        <f t="shared" si="25"/>
        <v>45.848518306820182</v>
      </c>
      <c r="E115" s="385">
        <f t="shared" si="47"/>
        <v>48.208285995569028</v>
      </c>
      <c r="F115" s="385">
        <f t="shared" si="26"/>
        <v>48.211358855165045</v>
      </c>
      <c r="G115" s="110">
        <f t="shared" si="48"/>
        <v>0.84694191799128948</v>
      </c>
      <c r="H115" s="412" t="b">
        <f>Wh_hp&gt;='2026'!Maxi_hp</f>
        <v>0</v>
      </c>
      <c r="I115" s="390">
        <f>IF(H115,Wh_hp,'2026'!Maxi_hp)</f>
        <v>56.926003902955259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6.8607598330289399E-2</v>
      </c>
      <c r="M115" s="957"/>
      <c r="N115" s="957"/>
      <c r="O115" s="48">
        <f>IF(t&lt;Tnet,'2026'!Resal+('2026'!Salim-'2026'!Resal)*(1-EXP(('2026'!Tnet-t)/('2026'!Tau_j))),Resal+(Salim-Resal)*(1-EXP((Tnet-t)/(Tau_j))))*Salcycl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8.1571449750479354E-5</v>
      </c>
      <c r="Q115" s="305">
        <f t="shared" si="28"/>
        <v>0.7</v>
      </c>
      <c r="R115" s="177">
        <f t="shared" si="29"/>
        <v>1.3567936469864317E-2</v>
      </c>
      <c r="S115" s="919">
        <f t="shared" si="30"/>
        <v>-1</v>
      </c>
      <c r="T115" s="176">
        <f t="shared" si="31"/>
        <v>5</v>
      </c>
      <c r="U115" s="251">
        <f t="shared" si="32"/>
        <v>-0.98643206353013568</v>
      </c>
      <c r="V115" s="383">
        <f t="shared" si="33"/>
        <v>50.419277934098936</v>
      </c>
      <c r="W115" s="402">
        <f t="shared" si="34"/>
        <v>42.70296157878694</v>
      </c>
      <c r="X115" s="157">
        <f t="shared" si="35"/>
        <v>46488</v>
      </c>
      <c r="Y115" s="385">
        <f t="shared" si="36"/>
        <v>41.30521298822012</v>
      </c>
      <c r="Z115" s="385">
        <f t="shared" si="37"/>
        <v>44.347809703162824</v>
      </c>
      <c r="AA115" s="386">
        <f t="shared" si="38"/>
        <v>48.12584694706328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7.8503288431602244E-2</v>
      </c>
      <c r="AD115" s="231">
        <f>(INDEX(Models!$BJ115:$BT115,,AH115)*(1-AF115)+INDEX(Models!$BJ115:$BT115,,AH115+1)*AF115-ERP_i)*AE115*Ramure*Pc/MaxiM</f>
        <v>2.2699801591428508E-3</v>
      </c>
      <c r="AE115" s="305">
        <f t="shared" si="40"/>
        <v>0.7</v>
      </c>
      <c r="AF115" s="177">
        <f t="shared" si="41"/>
        <v>0.53855550284384313</v>
      </c>
      <c r="AG115" s="919">
        <f t="shared" si="49"/>
        <v>2</v>
      </c>
      <c r="AH115" s="176">
        <f t="shared" si="42"/>
        <v>8</v>
      </c>
      <c r="AI115" s="225">
        <f t="shared" si="43"/>
        <v>2.5385555028438431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1090">
        <f>IF(t&gt;Tmaj,'2026'!Wh/'2026'!Env_an*'2027'!Env_an,0.001*'[6]mon-tableau'!$B$48)</f>
        <v>2.4128568861587176</v>
      </c>
      <c r="C116" s="953"/>
      <c r="D116" s="393">
        <f t="shared" si="25"/>
        <v>2.5906478630798935</v>
      </c>
      <c r="E116" s="385">
        <f t="shared" si="47"/>
        <v>2.7243012946582916</v>
      </c>
      <c r="F116" s="385">
        <f t="shared" si="26"/>
        <v>2.7243012946582916</v>
      </c>
      <c r="G116" s="110">
        <f t="shared" si="48"/>
        <v>4.7736152080869856E-2</v>
      </c>
      <c r="H116" s="412" t="b">
        <f>Wh_hp&gt;='2026'!Maxi_hp</f>
        <v>0</v>
      </c>
      <c r="I116" s="390">
        <f>IF(H116,Wh_hp,'2026'!Maxi_hp)</f>
        <v>56.893751444283453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6.8627998214241592E-2</v>
      </c>
      <c r="M116" s="957"/>
      <c r="N116" s="957"/>
      <c r="O116" s="48">
        <f>IF(t&lt;Tnet,'2026'!Resal+('2026'!Salim-'2026'!Resal)*(1-EXP(('2026'!Tnet-t)/('2026'!Tau_j))),Resal+(Salim-Resal)*(1-EXP((Tnet-t)/(Tau_j))))*Salcycl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8.6082003792298974E-5</v>
      </c>
      <c r="Q116" s="305">
        <f t="shared" si="28"/>
        <v>0.7</v>
      </c>
      <c r="R116" s="177">
        <f t="shared" si="29"/>
        <v>1.507929733849267E-2</v>
      </c>
      <c r="S116" s="919">
        <f t="shared" si="30"/>
        <v>-1</v>
      </c>
      <c r="T116" s="176">
        <f t="shared" si="31"/>
        <v>5</v>
      </c>
      <c r="U116" s="251">
        <f t="shared" si="32"/>
        <v>-0.98492070266150733</v>
      </c>
      <c r="V116" s="383">
        <f t="shared" si="33"/>
        <v>50.541341885198911</v>
      </c>
      <c r="W116" s="402">
        <f t="shared" si="34"/>
        <v>2.4128568861587176</v>
      </c>
      <c r="X116" s="157">
        <f t="shared" si="35"/>
        <v>46489</v>
      </c>
      <c r="Y116" s="385">
        <f t="shared" si="36"/>
        <v>2.3379295303813432</v>
      </c>
      <c r="Z116" s="385">
        <f t="shared" si="37"/>
        <v>2.5101994969772909</v>
      </c>
      <c r="AA116" s="386">
        <f t="shared" si="38"/>
        <v>2.7243012946582916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7.8589617859376945E-2</v>
      </c>
      <c r="AD116" s="231">
        <f>(INDEX(Models!$BJ116:$BT116,,AH116)*(1-AF116)+INDEX(Models!$BJ116:$BT116,,AH116+1)*AF116-ERP_i)*AE116*Ramure*Pc/MaxiM</f>
        <v>2.2528383169607711E-3</v>
      </c>
      <c r="AE116" s="305">
        <f t="shared" si="40"/>
        <v>0.7</v>
      </c>
      <c r="AF116" s="177">
        <f t="shared" si="41"/>
        <v>0.5400668637124717</v>
      </c>
      <c r="AG116" s="919">
        <f t="shared" si="49"/>
        <v>2</v>
      </c>
      <c r="AH116" s="176">
        <f t="shared" si="42"/>
        <v>8</v>
      </c>
      <c r="AI116" s="225">
        <f t="shared" si="43"/>
        <v>2.5400668637124717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1090">
        <f>IF(t&gt;Tmaj,'2026'!Wh/'2026'!Env_an*'2027'!Env_an,0.001*'[6]mon-tableau'!$B$49)</f>
        <v>0</v>
      </c>
      <c r="C117" s="953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2" t="b">
        <f>Wh_hp&gt;='2026'!Maxi_hp</f>
        <v>0</v>
      </c>
      <c r="I117" s="390">
        <f>IF(H117,Wh_hp,'2026'!Maxi_hp)</f>
        <v>58.336070770675065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6.8648397651383863E-2</v>
      </c>
      <c r="M117" s="957"/>
      <c r="N117" s="957"/>
      <c r="O117" s="48">
        <f>IF(t&lt;Tnet,'2026'!Resal+('2026'!Salim-'2026'!Resal)*(1-EXP(('2026'!Tnet-t)/('2026'!Tau_j))),Resal+(Salim-Resal)*(1-EXP((Tnet-t)/(Tau_j))))*Salcycl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9.1792178109144273E-5</v>
      </c>
      <c r="Q117" s="305">
        <f t="shared" si="28"/>
        <v>0.7</v>
      </c>
      <c r="R117" s="177">
        <f t="shared" si="29"/>
        <v>1.6643571271414137E-2</v>
      </c>
      <c r="S117" s="919">
        <f t="shared" si="30"/>
        <v>-1</v>
      </c>
      <c r="T117" s="176">
        <f t="shared" si="31"/>
        <v>5</v>
      </c>
      <c r="U117" s="251">
        <f t="shared" si="32"/>
        <v>-0.98335642872858586</v>
      </c>
      <c r="V117" s="383">
        <f t="shared" si="33"/>
        <v>50.660036007164258</v>
      </c>
      <c r="W117" s="402">
        <f t="shared" si="34"/>
        <v>0</v>
      </c>
      <c r="X117" s="157">
        <f t="shared" si="35"/>
        <v>46490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7.8676912197840565E-2</v>
      </c>
      <c r="AD117" s="231">
        <f>(INDEX(Models!$BJ117:$BT117,,AH117)*(1-AF117)+INDEX(Models!$BJ117:$BT117,,AH117+1)*AF117-ERP_i)*AE117*Ramure*Pc/MaxiM</f>
        <v>2.2408348998703815E-3</v>
      </c>
      <c r="AE117" s="305">
        <f t="shared" si="40"/>
        <v>0.7</v>
      </c>
      <c r="AF117" s="177">
        <f t="shared" si="41"/>
        <v>0.54163113764539306</v>
      </c>
      <c r="AG117" s="919">
        <f t="shared" si="49"/>
        <v>2</v>
      </c>
      <c r="AH117" s="176">
        <f t="shared" si="42"/>
        <v>8</v>
      </c>
      <c r="AI117" s="225">
        <f t="shared" si="43"/>
        <v>2.5416311376453931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1090">
        <f>IF(t&gt;Tmaj,'2026'!Wh/'2026'!Env_an*'2027'!Env_an,0.001*'[6]mon-tableau'!$B$50)</f>
        <v>40.526845843123461</v>
      </c>
      <c r="C118" s="953"/>
      <c r="D118" s="393">
        <f t="shared" si="25"/>
        <v>43.514966208571444</v>
      </c>
      <c r="E118" s="385">
        <f t="shared" si="47"/>
        <v>45.770635480585121</v>
      </c>
      <c r="F118" s="385">
        <f t="shared" si="26"/>
        <v>45.773851025723111</v>
      </c>
      <c r="G118" s="110">
        <f t="shared" si="48"/>
        <v>0.79812948501249847</v>
      </c>
      <c r="H118" s="412" t="b">
        <f>Wh_hp&gt;='2026'!Maxi_hp</f>
        <v>0</v>
      </c>
      <c r="I118" s="390">
        <f>IF(H118,Wh_hp,'2026'!Maxi_hp)</f>
        <v>56.615625243922842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6.8668796641726204E-2</v>
      </c>
      <c r="M118" s="957"/>
      <c r="N118" s="957"/>
      <c r="O118" s="48">
        <f>IF(t&lt;Tnet,'2026'!Resal+('2026'!Salim-'2026'!Resal)*(1-EXP(('2026'!Tnet-t)/('2026'!Tau_j))),Resal+(Salim-Resal)*(1-EXP((Tnet-t)/(Tau_j))))*Salcycl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9.8712725058184404E-5</v>
      </c>
      <c r="Q118" s="305">
        <f t="shared" si="28"/>
        <v>0.7</v>
      </c>
      <c r="R118" s="177">
        <f t="shared" si="29"/>
        <v>1.8262195150977711E-2</v>
      </c>
      <c r="S118" s="919">
        <f t="shared" si="30"/>
        <v>-1</v>
      </c>
      <c r="T118" s="176">
        <f t="shared" si="31"/>
        <v>5</v>
      </c>
      <c r="U118" s="251">
        <f t="shared" si="32"/>
        <v>-0.98173780484902229</v>
      </c>
      <c r="V118" s="383">
        <f t="shared" si="33"/>
        <v>50.775836450726516</v>
      </c>
      <c r="W118" s="402">
        <f t="shared" si="34"/>
        <v>40.526845843123461</v>
      </c>
      <c r="X118" s="157">
        <f t="shared" si="35"/>
        <v>46491</v>
      </c>
      <c r="Y118" s="385">
        <f t="shared" si="36"/>
        <v>39.210371819157828</v>
      </c>
      <c r="Z118" s="385">
        <f t="shared" si="37"/>
        <v>42.101426085338609</v>
      </c>
      <c r="AA118" s="386">
        <f t="shared" si="38"/>
        <v>45.701080411465178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7.8765190969610183E-2</v>
      </c>
      <c r="AD118" s="231">
        <f>(INDEX(Models!$BJ118:$BT118,,AH118)*(1-AF118)+INDEX(Models!$BJ118:$BT118,,AH118+1)*AF118-ERP_i)*AE118*Ramure*Pc/MaxiM</f>
        <v>2.2339557771062449E-3</v>
      </c>
      <c r="AE118" s="305">
        <f t="shared" si="40"/>
        <v>0.7</v>
      </c>
      <c r="AF118" s="177">
        <f t="shared" si="41"/>
        <v>0.54324976152495674</v>
      </c>
      <c r="AG118" s="919">
        <f t="shared" si="49"/>
        <v>2</v>
      </c>
      <c r="AH118" s="176">
        <f t="shared" si="42"/>
        <v>8</v>
      </c>
      <c r="AI118" s="225">
        <f t="shared" si="43"/>
        <v>2.5432497615249567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1090">
        <f>IF(t&gt;Tmaj,'2026'!Wh/'2026'!Env_an*'2027'!Env_an,0.001*'[6]mon-tableau'!$B$51)</f>
        <v>45.105007538634567</v>
      </c>
      <c r="C119" s="953"/>
      <c r="D119" s="393">
        <f t="shared" si="25"/>
        <v>48.43174513325647</v>
      </c>
      <c r="E119" s="385">
        <f t="shared" si="47"/>
        <v>50.948288170709766</v>
      </c>
      <c r="F119" s="385">
        <f t="shared" si="26"/>
        <v>50.952848715193511</v>
      </c>
      <c r="G119" s="110">
        <f t="shared" si="48"/>
        <v>0.88632181215332351</v>
      </c>
      <c r="H119" s="412" t="b">
        <f>Wh_hp&gt;='2026'!Maxi_hp</f>
        <v>0</v>
      </c>
      <c r="I119" s="390">
        <f>IF(H119,Wh_hp,'2026'!Maxi_hp)</f>
        <v>56.990205602590848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6.8689195185278273E-2</v>
      </c>
      <c r="M119" s="957"/>
      <c r="N119" s="957"/>
      <c r="O119" s="48">
        <f>IF(t&lt;Tnet,'2026'!Resal+('2026'!Salim-'2026'!Resal)*(1-EXP(('2026'!Tnet-t)/('2026'!Tau_j))),Resal+(Salim-Resal)*(1-EXP((Tnet-t)/(Tau_j))))*Salcycl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1.0685597794852506E-4</v>
      </c>
      <c r="Q119" s="305">
        <f t="shared" si="28"/>
        <v>0.7</v>
      </c>
      <c r="R119" s="177">
        <f t="shared" si="29"/>
        <v>1.9936612460509262E-2</v>
      </c>
      <c r="S119" s="919">
        <f t="shared" si="30"/>
        <v>-1</v>
      </c>
      <c r="T119" s="176">
        <f t="shared" si="31"/>
        <v>5</v>
      </c>
      <c r="U119" s="251">
        <f t="shared" si="32"/>
        <v>-0.98006338753949074</v>
      </c>
      <c r="V119" s="383">
        <f t="shared" si="33"/>
        <v>50.889219065531222</v>
      </c>
      <c r="W119" s="402">
        <f t="shared" si="34"/>
        <v>45.105007538634567</v>
      </c>
      <c r="X119" s="157">
        <f t="shared" si="35"/>
        <v>46492</v>
      </c>
      <c r="Y119" s="385">
        <f t="shared" si="36"/>
        <v>43.62933379963156</v>
      </c>
      <c r="Z119" s="385">
        <f t="shared" si="37"/>
        <v>46.847232496471825</v>
      </c>
      <c r="AA119" s="386">
        <f t="shared" si="38"/>
        <v>50.857580153245983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7.8854472522877098E-2</v>
      </c>
      <c r="AD119" s="231">
        <f>(INDEX(Models!$BJ119:$BT119,,AH119)*(1-AF119)+INDEX(Models!$BJ119:$BT119,,AH119+1)*AF119-ERP_i)*AE119*Ramure*Pc/MaxiM</f>
        <v>2.2321929740953548E-3</v>
      </c>
      <c r="AE119" s="305">
        <f t="shared" si="40"/>
        <v>0.7</v>
      </c>
      <c r="AF119" s="177">
        <f t="shared" si="41"/>
        <v>0.54492417883448807</v>
      </c>
      <c r="AG119" s="919">
        <f t="shared" si="49"/>
        <v>2</v>
      </c>
      <c r="AH119" s="176">
        <f t="shared" si="42"/>
        <v>8</v>
      </c>
      <c r="AI119" s="225">
        <f t="shared" si="43"/>
        <v>2.5449241788344881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1090">
        <f>IF(t&gt;Tmaj,'2026'!Wh/'2026'!Env_an*'2027'!Env_an,0.001*'[6]mon-tableau'!$B$52)</f>
        <v>40.582013957965216</v>
      </c>
      <c r="C120" s="953"/>
      <c r="D120" s="393">
        <f t="shared" si="25"/>
        <v>43.576110808425682</v>
      </c>
      <c r="E120" s="385">
        <f t="shared" si="47"/>
        <v>45.845785466788804</v>
      </c>
      <c r="F120" s="385">
        <f t="shared" si="26"/>
        <v>45.849559531946731</v>
      </c>
      <c r="G120" s="110">
        <f t="shared" si="48"/>
        <v>0.79568848161444172</v>
      </c>
      <c r="H120" s="412" t="b">
        <f>Wh_hp&gt;='2026'!Maxi_hp</f>
        <v>0</v>
      </c>
      <c r="I120" s="390">
        <f>IF(H120,Wh_hp,'2026'!Maxi_hp)</f>
        <v>53.394011325702145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6.8709593282049841E-2</v>
      </c>
      <c r="M120" s="957"/>
      <c r="N120" s="957"/>
      <c r="O120" s="48">
        <f>IF(t&lt;Tnet,'2026'!Resal+('2026'!Salim-'2026'!Resal)*(1-EXP(('2026'!Tnet-t)/('2026'!Tau_j))),Resal+(Salim-Resal)*(1-EXP((Tnet-t)/(Tau_j))))*Salcycl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1.1623576776416844E-4</v>
      </c>
      <c r="Q120" s="305">
        <f t="shared" si="28"/>
        <v>0.7</v>
      </c>
      <c r="R120" s="177">
        <f t="shared" si="29"/>
        <v>2.1668270434151649E-2</v>
      </c>
      <c r="S120" s="919">
        <f t="shared" si="30"/>
        <v>-1</v>
      </c>
      <c r="T120" s="176">
        <f t="shared" si="31"/>
        <v>5</v>
      </c>
      <c r="U120" s="251">
        <f t="shared" si="32"/>
        <v>-0.97833172956584835</v>
      </c>
      <c r="V120" s="383">
        <f t="shared" si="33"/>
        <v>51.0006593945497</v>
      </c>
      <c r="W120" s="402">
        <f t="shared" si="34"/>
        <v>40.582013957965216</v>
      </c>
      <c r="X120" s="157">
        <f t="shared" si="35"/>
        <v>46493</v>
      </c>
      <c r="Y120" s="385">
        <f t="shared" si="36"/>
        <v>39.266109827517262</v>
      </c>
      <c r="Z120" s="385">
        <f t="shared" si="37"/>
        <v>42.163120702487127</v>
      </c>
      <c r="AA120" s="386">
        <f t="shared" si="38"/>
        <v>45.776973531097447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7.8944773973651627E-2</v>
      </c>
      <c r="AD120" s="231">
        <f>(INDEX(Models!$BJ120:$BT120,,AH120)*(1-AF120)+INDEX(Models!$BJ120:$BT120,,AH120+1)*AF120-ERP_i)*AE120*Ramure*Pc/MaxiM</f>
        <v>2.2355442168033187E-3</v>
      </c>
      <c r="AE120" s="305">
        <f t="shared" si="40"/>
        <v>0.7</v>
      </c>
      <c r="AF120" s="177">
        <f t="shared" si="41"/>
        <v>0.54665583680813068</v>
      </c>
      <c r="AG120" s="919">
        <f t="shared" si="49"/>
        <v>2</v>
      </c>
      <c r="AH120" s="176">
        <f t="shared" si="42"/>
        <v>8</v>
      </c>
      <c r="AI120" s="225">
        <f t="shared" si="43"/>
        <v>2.5466558368081307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1090">
        <f>IF(t&gt;Tmaj,'2026'!Wh/'2026'!Env_an*'2027'!Env_an,0.001*'[6]mon-tableau'!$B$53)</f>
        <v>51.245452188395326</v>
      </c>
      <c r="C121" s="953"/>
      <c r="D121" s="393">
        <f t="shared" si="25"/>
        <v>55.027491156602096</v>
      </c>
      <c r="E121" s="385">
        <f t="shared" si="47"/>
        <v>57.900515235192195</v>
      </c>
      <c r="F121" s="385">
        <f t="shared" si="26"/>
        <v>57.907861992961607</v>
      </c>
      <c r="G121" s="110">
        <f t="shared" si="48"/>
        <v>1.0026571186575353</v>
      </c>
      <c r="H121" s="412" t="b">
        <f>Wh_hp&gt;='2026'!Maxi_hp</f>
        <v>1</v>
      </c>
      <c r="I121" s="390">
        <f>IF(H121,Wh_hp,'2026'!Maxi_hp)</f>
        <v>57.907861992961607</v>
      </c>
      <c r="J121" s="85">
        <f>IF(H121,An,'2026'!An_max)</f>
        <v>2027</v>
      </c>
      <c r="K121" s="197">
        <f t="shared" si="27"/>
        <v>46494</v>
      </c>
      <c r="L121" s="147">
        <f>IF(t&lt;Tvie,1-EXP((T0-t)*PertePVj)+'2026'!Pspv,1-EXP((T0-t)*PertePVj)+Pspv)</f>
        <v>6.8729990932050788E-2</v>
      </c>
      <c r="M121" s="957"/>
      <c r="N121" s="957"/>
      <c r="O121" s="48">
        <f>IF(t&lt;Tnet,'2026'!Resal+('2026'!Salim-'2026'!Resal)*(1-EXP(('2026'!Tnet-t)/('2026'!Tau_j))),Resal+(Salim-Resal)*(1-EXP((Tnet-t)/(Tau_j))))*Salcycl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1.2686978100322498E-4</v>
      </c>
      <c r="Q121" s="305">
        <f t="shared" si="28"/>
        <v>0.7</v>
      </c>
      <c r="R121" s="177">
        <f t="shared" si="29"/>
        <v>2.345861696882845E-2</v>
      </c>
      <c r="S121" s="919">
        <f t="shared" si="30"/>
        <v>-1</v>
      </c>
      <c r="T121" s="176">
        <f t="shared" si="31"/>
        <v>5</v>
      </c>
      <c r="U121" s="251">
        <f t="shared" si="32"/>
        <v>-0.97654138303117155</v>
      </c>
      <c r="V121" s="383">
        <f t="shared" si="33"/>
        <v>51.109647789673339</v>
      </c>
      <c r="W121" s="402">
        <f t="shared" si="34"/>
        <v>51.245452188395326</v>
      </c>
      <c r="X121" s="157">
        <f t="shared" si="35"/>
        <v>46494</v>
      </c>
      <c r="Y121" s="385">
        <f t="shared" si="36"/>
        <v>49.554154819333846</v>
      </c>
      <c r="Z121" s="385">
        <f t="shared" si="37"/>
        <v>53.211371929532604</v>
      </c>
      <c r="AA121" s="386">
        <f t="shared" si="38"/>
        <v>57.77791352464839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7.9036111145960194E-2</v>
      </c>
      <c r="AD121" s="231">
        <f>(INDEX(Models!$BJ121:$BT121,,AH121)*(1-AF121)+INDEX(Models!$BJ121:$BT121,,AH121+1)*AF121-ERP_i)*AE121*Ramure*Pc/MaxiM</f>
        <v>2.2440557092058911E-3</v>
      </c>
      <c r="AE121" s="305">
        <f t="shared" si="40"/>
        <v>0.7</v>
      </c>
      <c r="AF121" s="177">
        <f t="shared" si="41"/>
        <v>0.54844618334280737</v>
      </c>
      <c r="AG121" s="919">
        <f t="shared" si="49"/>
        <v>2</v>
      </c>
      <c r="AH121" s="176">
        <f t="shared" si="42"/>
        <v>8</v>
      </c>
      <c r="AI121" s="225">
        <f t="shared" si="43"/>
        <v>2.5484461833428074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1090">
        <f>IF(t&gt;Tmaj,'2026'!Wh/'2026'!Env_an*'2027'!Env_an,0.001*'[6]mon-tableau'!$B$54)</f>
        <v>36.541854389604985</v>
      </c>
      <c r="C122" s="953"/>
      <c r="D122" s="393">
        <f t="shared" si="25"/>
        <v>39.239591538121083</v>
      </c>
      <c r="E122" s="385">
        <f t="shared" si="47"/>
        <v>41.293268032846747</v>
      </c>
      <c r="F122" s="385">
        <f t="shared" si="26"/>
        <v>41.296672641826206</v>
      </c>
      <c r="G122" s="110">
        <f t="shared" si="48"/>
        <v>0.71345477060161455</v>
      </c>
      <c r="H122" s="412" t="b">
        <f>Wh_hp&gt;='2026'!Maxi_hp</f>
        <v>0</v>
      </c>
      <c r="I122" s="390">
        <f>IF(H122,Wh_hp,'2026'!Maxi_hp)</f>
        <v>42.269665111428111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6.8750388135290885E-2</v>
      </c>
      <c r="M122" s="957"/>
      <c r="N122" s="957"/>
      <c r="O122" s="48">
        <f>IF(t&lt;Tnet,'2026'!Resal+('2026'!Salim-'2026'!Resal)*(1-EXP(('2026'!Tnet-t)/('2026'!Tau_j))),Resal+(Salim-Resal)*(1-EXP((Tnet-t)/(Tau_j))))*Salcycl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1.3956592520369572E-4</v>
      </c>
      <c r="Q122" s="305">
        <f t="shared" si="28"/>
        <v>0.7</v>
      </c>
      <c r="R122" s="177">
        <f t="shared" si="29"/>
        <v>2.5309097291551286E-2</v>
      </c>
      <c r="S122" s="919">
        <f t="shared" si="30"/>
        <v>-1</v>
      </c>
      <c r="T122" s="176">
        <f t="shared" si="31"/>
        <v>5</v>
      </c>
      <c r="U122" s="251">
        <f t="shared" si="32"/>
        <v>-0.97469090270844871</v>
      </c>
      <c r="V122" s="383">
        <f t="shared" si="33"/>
        <v>51.215253348045934</v>
      </c>
      <c r="W122" s="402">
        <f t="shared" si="34"/>
        <v>36.541854389604985</v>
      </c>
      <c r="X122" s="157">
        <f t="shared" si="35"/>
        <v>46495</v>
      </c>
      <c r="Y122" s="385">
        <f t="shared" si="36"/>
        <v>35.367136982500469</v>
      </c>
      <c r="Z122" s="385">
        <f t="shared" si="37"/>
        <v>37.978149501380479</v>
      </c>
      <c r="AA122" s="386">
        <f t="shared" si="38"/>
        <v>41.241529833339271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7.9128498509788758E-2</v>
      </c>
      <c r="AD122" s="231">
        <f>(INDEX(Models!$BJ122:$BT122,,AH122)*(1-AF122)+INDEX(Models!$BJ122:$BT122,,AH122+1)*AF122-ERP_i)*AE122*Ramure*Pc/MaxiM</f>
        <v>2.2604819323607155E-3</v>
      </c>
      <c r="AE122" s="305">
        <f t="shared" si="40"/>
        <v>0.7</v>
      </c>
      <c r="AF122" s="177">
        <f t="shared" si="41"/>
        <v>0.55029666366553043</v>
      </c>
      <c r="AG122" s="919">
        <f t="shared" si="49"/>
        <v>2</v>
      </c>
      <c r="AH122" s="176">
        <f t="shared" si="42"/>
        <v>8</v>
      </c>
      <c r="AI122" s="225">
        <f t="shared" si="43"/>
        <v>2.5502966636655304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1090">
        <f>IF(t&gt;Tmaj,'2026'!Wh/'2026'!Env_an*'2027'!Env_an,0.001*'[6]mon-tableau'!$B$55)</f>
        <v>8.7470100932981278</v>
      </c>
      <c r="C123" s="953"/>
      <c r="D123" s="393">
        <f t="shared" si="25"/>
        <v>9.3929721612971733</v>
      </c>
      <c r="E123" s="385">
        <f t="shared" si="47"/>
        <v>9.8857625737813137</v>
      </c>
      <c r="F123" s="385">
        <f t="shared" si="26"/>
        <v>9.8857625737813137</v>
      </c>
      <c r="G123" s="110">
        <f t="shared" si="48"/>
        <v>0.17042296536825755</v>
      </c>
      <c r="H123" s="412" t="b">
        <f>Wh_hp&gt;='2026'!Maxi_hp</f>
        <v>0</v>
      </c>
      <c r="I123" s="390">
        <f>IF(H123,Wh_hp,'2026'!Maxi_hp)</f>
        <v>56.035337326864806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6.8770784891779901E-2</v>
      </c>
      <c r="M123" s="957"/>
      <c r="N123" s="957"/>
      <c r="O123" s="48">
        <f>IF(t&lt;Tnet,'2026'!Resal+('2026'!Salim-'2026'!Resal)*(1-EXP(('2026'!Tnet-t)/('2026'!Tau_j))),Resal+(Salim-Resal)*(1-EXP((Tnet-t)/(Tau_j))))*Salcycl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1.5397268552133994E-4</v>
      </c>
      <c r="Q123" s="305">
        <f t="shared" si="28"/>
        <v>0.7</v>
      </c>
      <c r="R123" s="177">
        <f t="shared" si="29"/>
        <v>2.7221150376188219E-2</v>
      </c>
      <c r="S123" s="919">
        <f t="shared" si="30"/>
        <v>-1</v>
      </c>
      <c r="T123" s="176">
        <f t="shared" si="31"/>
        <v>5</v>
      </c>
      <c r="U123" s="251">
        <f t="shared" si="32"/>
        <v>-0.97277884962381178</v>
      </c>
      <c r="V123" s="383">
        <f t="shared" si="33"/>
        <v>51.31739888321836</v>
      </c>
      <c r="W123" s="402">
        <f t="shared" si="34"/>
        <v>8.7470100932981278</v>
      </c>
      <c r="X123" s="157">
        <f t="shared" si="35"/>
        <v>46496</v>
      </c>
      <c r="Y123" s="385">
        <f t="shared" si="36"/>
        <v>8.4766007156676721</v>
      </c>
      <c r="Z123" s="385">
        <f t="shared" si="37"/>
        <v>9.1025931941821518</v>
      </c>
      <c r="AA123" s="386">
        <f t="shared" si="38"/>
        <v>9.8857625737813137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7.9221949116627222E-2</v>
      </c>
      <c r="AD123" s="231">
        <f>(INDEX(Models!$BJ123:$BT123,,AH123)*(1-AF123)+INDEX(Models!$BJ123:$BT123,,AH123+1)*AF123-ERP_i)*AE123*Ramure*Pc/MaxiM</f>
        <v>2.2832514196512144E-3</v>
      </c>
      <c r="AE123" s="305">
        <f t="shared" si="40"/>
        <v>0.7</v>
      </c>
      <c r="AF123" s="177">
        <f t="shared" si="41"/>
        <v>0.55220871675016703</v>
      </c>
      <c r="AG123" s="919">
        <f t="shared" si="49"/>
        <v>2</v>
      </c>
      <c r="AH123" s="176">
        <f t="shared" si="42"/>
        <v>8</v>
      </c>
      <c r="AI123" s="225">
        <f t="shared" si="43"/>
        <v>2.552208716750167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1090">
        <f>IF(t&gt;Tmaj,'2026'!Wh/'2026'!Env_an*'2027'!Env_an,0.001*'[6]mon-tableau'!$B$56)</f>
        <v>9.8687005228355691</v>
      </c>
      <c r="C124" s="953"/>
      <c r="D124" s="393">
        <f t="shared" si="25"/>
        <v>10.597730953159394</v>
      </c>
      <c r="E124" s="385">
        <f t="shared" si="47"/>
        <v>11.155080282411067</v>
      </c>
      <c r="F124" s="385">
        <f t="shared" si="26"/>
        <v>11.155080282411067</v>
      </c>
      <c r="G124" s="110">
        <f t="shared" si="48"/>
        <v>0.19190570996548814</v>
      </c>
      <c r="H124" s="412" t="b">
        <f>Wh_hp&gt;='2026'!Maxi_hp</f>
        <v>0</v>
      </c>
      <c r="I124" s="390">
        <f>IF(H124,Wh_hp,'2026'!Maxi_hp)</f>
        <v>54.638540839726012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6.8791181201527496E-2</v>
      </c>
      <c r="M124" s="957"/>
      <c r="N124" s="957"/>
      <c r="O124" s="48">
        <f>IF(t&lt;Tnet,'2026'!Resal+('2026'!Salim-'2026'!Resal)*(1-EXP(('2026'!Tnet-t)/('2026'!Tau_j))),Resal+(Salim-Resal)*(1-EXP((Tnet-t)/(Tau_j))))*Salcycl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1.7011901042536263E-4</v>
      </c>
      <c r="Q124" s="305">
        <f t="shared" si="28"/>
        <v>0.7</v>
      </c>
      <c r="R124" s="177">
        <f t="shared" si="29"/>
        <v>2.9196205104857431E-2</v>
      </c>
      <c r="S124" s="919">
        <f t="shared" si="30"/>
        <v>-1</v>
      </c>
      <c r="T124" s="176">
        <f t="shared" si="31"/>
        <v>5</v>
      </c>
      <c r="U124" s="251">
        <f t="shared" si="32"/>
        <v>-0.97080379489514257</v>
      </c>
      <c r="V124" s="383">
        <f t="shared" si="33"/>
        <v>51.415987940342688</v>
      </c>
      <c r="W124" s="402">
        <f t="shared" si="34"/>
        <v>9.8687005228355691</v>
      </c>
      <c r="X124" s="157">
        <f t="shared" si="35"/>
        <v>46497</v>
      </c>
      <c r="Y124" s="385">
        <f t="shared" si="36"/>
        <v>9.5637926664565036</v>
      </c>
      <c r="Z124" s="385">
        <f t="shared" si="37"/>
        <v>10.270298641282789</v>
      </c>
      <c r="AA124" s="386">
        <f t="shared" si="38"/>
        <v>11.155080282411067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7.9316474532538303E-2</v>
      </c>
      <c r="AD124" s="231">
        <f>(INDEX(Models!$BJ124:$BT124,,AH124)*(1-AF124)+INDEX(Models!$BJ124:$BT124,,AH124+1)*AF124-ERP_i)*AE124*Ramure*Pc/MaxiM</f>
        <v>2.3124208112837324E-3</v>
      </c>
      <c r="AE124" s="305">
        <f t="shared" si="40"/>
        <v>0.7</v>
      </c>
      <c r="AF124" s="177">
        <f t="shared" si="41"/>
        <v>0.55418377147883646</v>
      </c>
      <c r="AG124" s="919">
        <f t="shared" si="49"/>
        <v>2</v>
      </c>
      <c r="AH124" s="176">
        <f t="shared" si="42"/>
        <v>8</v>
      </c>
      <c r="AI124" s="225">
        <f t="shared" si="43"/>
        <v>2.5541837714788365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1090">
        <f>IF(t&gt;Tmaj,'2026'!Wh/'2026'!Env_an*'2027'!Env_an,0.001*'[6]mon-tableau'!$B$57)</f>
        <v>8.9126506459757397</v>
      </c>
      <c r="C125" s="953"/>
      <c r="D125" s="393">
        <f t="shared" si="25"/>
        <v>9.5712644470811945</v>
      </c>
      <c r="E125" s="385">
        <f t="shared" si="47"/>
        <v>10.075859577787083</v>
      </c>
      <c r="F125" s="385">
        <f t="shared" si="26"/>
        <v>10.075859577787083</v>
      </c>
      <c r="G125" s="110">
        <f t="shared" si="48"/>
        <v>0.17299194107477464</v>
      </c>
      <c r="H125" s="412" t="b">
        <f>Wh_hp&gt;='2026'!Maxi_hp</f>
        <v>0</v>
      </c>
      <c r="I125" s="390">
        <f>IF(H125,Wh_hp,'2026'!Maxi_hp)</f>
        <v>49.293646269634195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6.8811577064543661E-2</v>
      </c>
      <c r="M125" s="957"/>
      <c r="N125" s="957"/>
      <c r="O125" s="48">
        <f>IF(t&lt;Tnet,'2026'!Resal+('2026'!Salim-'2026'!Resal)*(1-EXP(('2026'!Tnet-t)/('2026'!Tau_j))),Resal+(Salim-Resal)*(1-EXP((Tnet-t)/(Tau_j))))*Salcycl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1.8803723899084467E-4</v>
      </c>
      <c r="Q125" s="305">
        <f t="shared" si="28"/>
        <v>0.7</v>
      </c>
      <c r="R125" s="177">
        <f t="shared" si="29"/>
        <v>3.1235676170330517E-2</v>
      </c>
      <c r="S125" s="919">
        <f t="shared" si="30"/>
        <v>-1</v>
      </c>
      <c r="T125" s="176">
        <f t="shared" si="31"/>
        <v>5</v>
      </c>
      <c r="U125" s="251">
        <f t="shared" si="32"/>
        <v>-0.96876432382966948</v>
      </c>
      <c r="V125" s="383">
        <f t="shared" si="33"/>
        <v>51.510924037232868</v>
      </c>
      <c r="W125" s="402">
        <f t="shared" si="34"/>
        <v>8.9126506459757397</v>
      </c>
      <c r="X125" s="157">
        <f t="shared" si="35"/>
        <v>46498</v>
      </c>
      <c r="Y125" s="385">
        <f t="shared" si="36"/>
        <v>8.6374380154056958</v>
      </c>
      <c r="Z125" s="385">
        <f t="shared" si="37"/>
        <v>9.2757145628778765</v>
      </c>
      <c r="AA125" s="386">
        <f t="shared" si="38"/>
        <v>10.075859577787083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7.9412084768745797E-2</v>
      </c>
      <c r="AD125" s="231">
        <f>(INDEX(Models!$BJ125:$BT125,,AH125)*(1-AF125)+INDEX(Models!$BJ125:$BT125,,AH125+1)*AF125-ERP_i)*AE125*Ramure*Pc/MaxiM</f>
        <v>2.3480611897782801E-3</v>
      </c>
      <c r="AE125" s="305">
        <f t="shared" si="40"/>
        <v>0.7</v>
      </c>
      <c r="AF125" s="177">
        <f t="shared" si="41"/>
        <v>0.55622324254430922</v>
      </c>
      <c r="AG125" s="919">
        <f t="shared" si="49"/>
        <v>2</v>
      </c>
      <c r="AH125" s="176">
        <f t="shared" si="42"/>
        <v>8</v>
      </c>
      <c r="AI125" s="225">
        <f t="shared" si="43"/>
        <v>2.5562232425443092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1090">
        <f>IF(t&gt;Tmaj,'2026'!Wh/'2026'!Env_an*'2027'!Env_an,0.001*'[6]mon-tableau'!$B$58)</f>
        <v>26.947397579311758</v>
      </c>
      <c r="C126" s="953"/>
      <c r="D126" s="393">
        <f t="shared" si="25"/>
        <v>28.93935013115259</v>
      </c>
      <c r="E126" s="385">
        <f t="shared" si="47"/>
        <v>30.468765566718314</v>
      </c>
      <c r="F126" s="385">
        <f t="shared" si="26"/>
        <v>30.470775246220729</v>
      </c>
      <c r="G126" s="110">
        <f t="shared" si="48"/>
        <v>0.52214096671115517</v>
      </c>
      <c r="H126" s="412" t="b">
        <f>Wh_hp&gt;='2026'!Maxi_hp</f>
        <v>0</v>
      </c>
      <c r="I126" s="390">
        <f>IF(H126,Wh_hp,'2026'!Maxi_hp)</f>
        <v>60.094501166563738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6.8831972480838055E-2</v>
      </c>
      <c r="M126" s="957"/>
      <c r="N126" s="957"/>
      <c r="O126" s="48">
        <f>IF(t&lt;Tnet,'2026'!Resal+('2026'!Salim-'2026'!Resal)*(1-EXP(('2026'!Tnet-t)/('2026'!Tau_j))),Resal+(Salim-Resal)*(1-EXP((Tnet-t)/(Tau_j))))*Salcycl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2.0776286078400262E-4</v>
      </c>
      <c r="Q126" s="305">
        <f t="shared" si="28"/>
        <v>0.7</v>
      </c>
      <c r="R126" s="177">
        <f t="shared" si="29"/>
        <v>3.3340959717212959E-2</v>
      </c>
      <c r="S126" s="919">
        <f t="shared" si="30"/>
        <v>-1</v>
      </c>
      <c r="T126" s="176">
        <f t="shared" si="31"/>
        <v>5</v>
      </c>
      <c r="U126" s="251">
        <f t="shared" si="32"/>
        <v>-0.96665904028278704</v>
      </c>
      <c r="V126" s="383">
        <f t="shared" si="33"/>
        <v>51.602110682973525</v>
      </c>
      <c r="W126" s="402">
        <f t="shared" si="34"/>
        <v>26.947397579311758</v>
      </c>
      <c r="X126" s="157">
        <f t="shared" si="35"/>
        <v>46499</v>
      </c>
      <c r="Y126" s="385">
        <f t="shared" si="36"/>
        <v>26.097658537183296</v>
      </c>
      <c r="Z126" s="385">
        <f t="shared" si="37"/>
        <v>28.026798349931799</v>
      </c>
      <c r="AA126" s="386">
        <f t="shared" si="38"/>
        <v>30.447654459866982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7.9508788209814607E-2</v>
      </c>
      <c r="AD126" s="231">
        <f>(INDEX(Models!$BJ126:$BT126,,AH126)*(1-AF126)+INDEX(Models!$BJ126:$BT126,,AH126+1)*AF126-ERP_i)*AE126*Ramure*Pc/MaxiM</f>
        <v>2.3902521325701808E-3</v>
      </c>
      <c r="AE126" s="305">
        <f t="shared" si="40"/>
        <v>0.7</v>
      </c>
      <c r="AF126" s="177">
        <f t="shared" si="41"/>
        <v>0.55832852609119188</v>
      </c>
      <c r="AG126" s="919">
        <f t="shared" si="49"/>
        <v>2</v>
      </c>
      <c r="AH126" s="176">
        <f t="shared" si="42"/>
        <v>8</v>
      </c>
      <c r="AI126" s="225">
        <f t="shared" si="43"/>
        <v>2.5583285260911919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1090">
        <f>IF(t&gt;Tmaj,'2026'!Wh/'2026'!Env_an*'2027'!Env_an,0.001*'[6]mon-tableau'!$B$59)</f>
        <v>9.2592997130159844</v>
      </c>
      <c r="C127" s="953"/>
      <c r="D127" s="393">
        <f t="shared" si="25"/>
        <v>9.9439652632344178</v>
      </c>
      <c r="E127" s="385">
        <f t="shared" si="47"/>
        <v>10.470786273205105</v>
      </c>
      <c r="F127" s="385">
        <f t="shared" si="26"/>
        <v>10.470786273205105</v>
      </c>
      <c r="G127" s="110">
        <f t="shared" si="48"/>
        <v>0.1790921743066235</v>
      </c>
      <c r="H127" s="412" t="b">
        <f>Wh_hp&gt;='2026'!Maxi_hp</f>
        <v>0</v>
      </c>
      <c r="I127" s="390">
        <f>IF(H127,Wh_hp,'2026'!Maxi_hp)</f>
        <v>60.511949341362161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6.8852367450420449E-2</v>
      </c>
      <c r="M127" s="957"/>
      <c r="N127" s="957"/>
      <c r="O127" s="48">
        <f>IF(t&lt;Tnet,'2026'!Resal+('2026'!Salim-'2026'!Resal)*(1-EXP(('2026'!Tnet-t)/('2026'!Tau_j))),Resal+(Salim-Resal)*(1-EXP((Tnet-t)/(Tau_j))))*Salcycl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2.293339676528794E-4</v>
      </c>
      <c r="Q127" s="305">
        <f t="shared" si="28"/>
        <v>0.7</v>
      </c>
      <c r="R127" s="177">
        <f t="shared" si="29"/>
        <v>3.5513428721246298E-2</v>
      </c>
      <c r="S127" s="919">
        <f t="shared" si="30"/>
        <v>-1</v>
      </c>
      <c r="T127" s="176">
        <f t="shared" si="31"/>
        <v>5</v>
      </c>
      <c r="U127" s="251">
        <f t="shared" si="32"/>
        <v>-0.9644865712787537</v>
      </c>
      <c r="V127" s="383">
        <f t="shared" si="33"/>
        <v>51.68945140632394</v>
      </c>
      <c r="W127" s="402">
        <f t="shared" si="34"/>
        <v>9.2592997130159844</v>
      </c>
      <c r="X127" s="157">
        <f t="shared" si="35"/>
        <v>46500</v>
      </c>
      <c r="Y127" s="385">
        <f t="shared" si="36"/>
        <v>8.9736956939211066</v>
      </c>
      <c r="Z127" s="385">
        <f t="shared" si="37"/>
        <v>9.6372426672558777</v>
      </c>
      <c r="AA127" s="386">
        <f t="shared" si="38"/>
        <v>10.470786273205105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7.9606591539575028E-2</v>
      </c>
      <c r="AD127" s="231">
        <f>(INDEX(Models!$BJ127:$BT127,,AH127)*(1-AF127)+INDEX(Models!$BJ127:$BT127,,AH127+1)*AF127-ERP_i)*AE127*Ramure*Pc/MaxiM</f>
        <v>2.4390749603145712E-3</v>
      </c>
      <c r="AE127" s="305">
        <f t="shared" si="40"/>
        <v>0.7</v>
      </c>
      <c r="AF127" s="177">
        <f t="shared" si="41"/>
        <v>0.56050099509522511</v>
      </c>
      <c r="AG127" s="919">
        <f t="shared" si="49"/>
        <v>2</v>
      </c>
      <c r="AH127" s="176">
        <f t="shared" si="42"/>
        <v>8</v>
      </c>
      <c r="AI127" s="225">
        <f t="shared" si="43"/>
        <v>2.5605009950952251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1090">
        <f>IF(t&gt;Tmaj,'2026'!Wh/'2026'!Env_an*'2027'!Env_an,0.001*'[6]mon-tableau'!$B$60)</f>
        <v>23.800897537049334</v>
      </c>
      <c r="C128" s="953"/>
      <c r="D128" s="393">
        <f t="shared" si="25"/>
        <v>25.561380405420877</v>
      </c>
      <c r="E128" s="385">
        <f t="shared" si="47"/>
        <v>26.918938559362736</v>
      </c>
      <c r="F128" s="385">
        <f t="shared" si="26"/>
        <v>26.920493992650066</v>
      </c>
      <c r="G128" s="110">
        <f t="shared" si="48"/>
        <v>0.45962808504786018</v>
      </c>
      <c r="H128" s="412" t="b">
        <f>Wh_hp&gt;='2026'!Maxi_hp</f>
        <v>0</v>
      </c>
      <c r="I128" s="390">
        <f>IF(H128,Wh_hp,'2026'!Maxi_hp)</f>
        <v>59.112989516648078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6.8872761973300611E-2</v>
      </c>
      <c r="M128" s="957"/>
      <c r="N128" s="957"/>
      <c r="O128" s="48">
        <f>IF(t&lt;Tnet,'2026'!Resal+('2026'!Salim-'2026'!Resal)*(1-EXP(('2026'!Tnet-t)/('2026'!Tau_j))),Resal+(Salim-Resal)*(1-EXP((Tnet-t)/(Tau_j))))*Salcycl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2.5322856758182565E-4</v>
      </c>
      <c r="Q128" s="305">
        <f t="shared" si="28"/>
        <v>0.7</v>
      </c>
      <c r="R128" s="177">
        <f t="shared" si="29"/>
        <v>3.7754428107827809E-2</v>
      </c>
      <c r="S128" s="919">
        <f t="shared" si="30"/>
        <v>-1</v>
      </c>
      <c r="T128" s="176">
        <f t="shared" si="31"/>
        <v>5</v>
      </c>
      <c r="U128" s="251">
        <f t="shared" si="32"/>
        <v>-0.96224557189217219</v>
      </c>
      <c r="V128" s="383">
        <f t="shared" si="33"/>
        <v>51.772827122600646</v>
      </c>
      <c r="W128" s="402">
        <f t="shared" si="34"/>
        <v>23.800897537049334</v>
      </c>
      <c r="X128" s="157">
        <f t="shared" si="35"/>
        <v>46501</v>
      </c>
      <c r="Y128" s="385">
        <f t="shared" si="36"/>
        <v>23.055335389528725</v>
      </c>
      <c r="Z128" s="385">
        <f t="shared" si="37"/>
        <v>24.760671203635898</v>
      </c>
      <c r="AA128" s="386">
        <f t="shared" si="38"/>
        <v>26.905160461812319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7.9705499665024812E-2</v>
      </c>
      <c r="AD128" s="231">
        <f>(INDEX(Models!$BJ128:$BT128,,AH128)*(1-AF128)+INDEX(Models!$BJ128:$BT128,,AH128+1)*AF128-ERP_i)*AE128*Ramure*Pc/MaxiM</f>
        <v>2.4963385325777769E-3</v>
      </c>
      <c r="AE128" s="305">
        <f t="shared" si="40"/>
        <v>0.7</v>
      </c>
      <c r="AF128" s="177">
        <f t="shared" si="41"/>
        <v>0.56274199448180662</v>
      </c>
      <c r="AG128" s="919">
        <f t="shared" si="49"/>
        <v>2</v>
      </c>
      <c r="AH128" s="176">
        <f t="shared" si="42"/>
        <v>8</v>
      </c>
      <c r="AI128" s="225">
        <f t="shared" si="43"/>
        <v>2.5627419944818066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1090">
        <f>IF(t&gt;Tmaj,'2026'!Wh/'2026'!Env_an*'2027'!Env_an,0.001*'[6]mon-tableau'!$B$61)</f>
        <v>45.140097675690626</v>
      </c>
      <c r="C129" s="953"/>
      <c r="D129" s="393">
        <f t="shared" si="25"/>
        <v>48.480040683805598</v>
      </c>
      <c r="E129" s="385">
        <f t="shared" si="47"/>
        <v>51.061181102653045</v>
      </c>
      <c r="F129" s="385">
        <f t="shared" si="26"/>
        <v>51.072781967318015</v>
      </c>
      <c r="G129" s="110">
        <f t="shared" si="48"/>
        <v>0.87050858604673853</v>
      </c>
      <c r="H129" s="412" t="b">
        <f>Wh_hp&gt;='2026'!Maxi_hp</f>
        <v>0</v>
      </c>
      <c r="I129" s="390">
        <f>IF(H129,Wh_hp,'2026'!Maxi_hp)</f>
        <v>55.415664195239167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6.8893156049488535E-2</v>
      </c>
      <c r="M129" s="957"/>
      <c r="N129" s="957"/>
      <c r="O129" s="48">
        <f>IF(t&lt;Tnet,'2026'!Resal+('2026'!Salim-'2026'!Resal)*(1-EXP(('2026'!Tnet-t)/('2026'!Tau_j))),Resal+(Salim-Resal)*(1-EXP((Tnet-t)/(Tau_j))))*Salcycl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2.7867790858796871E-4</v>
      </c>
      <c r="Q129" s="305">
        <f t="shared" si="28"/>
        <v>0.7</v>
      </c>
      <c r="R129" s="177">
        <f t="shared" si="29"/>
        <v>4.0065269612793664E-2</v>
      </c>
      <c r="S129" s="919">
        <f t="shared" si="30"/>
        <v>-1</v>
      </c>
      <c r="T129" s="176">
        <f t="shared" si="31"/>
        <v>5</v>
      </c>
      <c r="U129" s="251">
        <f t="shared" si="32"/>
        <v>-0.95993473038720634</v>
      </c>
      <c r="V129" s="383">
        <f t="shared" si="33"/>
        <v>51.852183441965849</v>
      </c>
      <c r="W129" s="402">
        <f t="shared" si="34"/>
        <v>45.140097675690626</v>
      </c>
      <c r="X129" s="157">
        <f t="shared" si="35"/>
        <v>46502</v>
      </c>
      <c r="Y129" s="385">
        <f t="shared" si="36"/>
        <v>43.667855920856802</v>
      </c>
      <c r="Z129" s="385">
        <f t="shared" si="37"/>
        <v>46.898866875021874</v>
      </c>
      <c r="AA129" s="386">
        <f t="shared" si="38"/>
        <v>50.96625514720963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7.9805515638526239E-2</v>
      </c>
      <c r="AD129" s="231">
        <f>(INDEX(Models!$BJ129:$BT129,,AH129)*(1-AF129)+INDEX(Models!$BJ129:$BT129,,AH129+1)*AF129-ERP_i)*AE129*Ramure*Pc/MaxiM</f>
        <v>2.5590050650255158E-3</v>
      </c>
      <c r="AE129" s="305">
        <f t="shared" si="40"/>
        <v>0.7</v>
      </c>
      <c r="AF129" s="177">
        <f t="shared" si="41"/>
        <v>0.56505283598677281</v>
      </c>
      <c r="AG129" s="919">
        <f t="shared" si="49"/>
        <v>2</v>
      </c>
      <c r="AH129" s="176">
        <f t="shared" si="42"/>
        <v>8</v>
      </c>
      <c r="AI129" s="225">
        <f t="shared" si="43"/>
        <v>2.5650528359867728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1090">
        <f>IF(t&gt;Tmaj,'2026'!Wh/'2026'!Env_an*'2027'!Env_an,0.001*'[6]mon-tableau'!$B$62)</f>
        <v>50.484543155823999</v>
      </c>
      <c r="C130" s="953"/>
      <c r="D130" s="393">
        <f t="shared" si="25"/>
        <v>54.221112484687843</v>
      </c>
      <c r="E130" s="385">
        <f t="shared" si="47"/>
        <v>57.115092048026696</v>
      </c>
      <c r="F130" s="385">
        <f t="shared" si="26"/>
        <v>57.131865280856459</v>
      </c>
      <c r="G130" s="110">
        <f t="shared" si="48"/>
        <v>0.97220170226703639</v>
      </c>
      <c r="H130" s="412" t="b">
        <f>Wh_hp&gt;='2026'!Maxi_hp</f>
        <v>0</v>
      </c>
      <c r="I130" s="390">
        <f>IF(H130,Wh_hp,'2026'!Maxi_hp)</f>
        <v>57.132530865836813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6.8913549678993768E-2</v>
      </c>
      <c r="M130" s="957"/>
      <c r="N130" s="957"/>
      <c r="O130" s="48">
        <f>IF(t&lt;Tnet,'2026'!Resal+('2026'!Salim-'2026'!Resal)*(1-EXP(('2026'!Tnet-t)/('2026'!Tau_j))),Resal+(Salim-Resal)*(1-EXP((Tnet-t)/(Tau_j))))*Salcycl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3.0572375085333598E-4</v>
      </c>
      <c r="Q130" s="305">
        <f t="shared" si="28"/>
        <v>0.7</v>
      </c>
      <c r="R130" s="177">
        <f t="shared" si="29"/>
        <v>4.244722639065257E-2</v>
      </c>
      <c r="S130" s="919">
        <f t="shared" si="30"/>
        <v>-1</v>
      </c>
      <c r="T130" s="176">
        <f t="shared" si="31"/>
        <v>5</v>
      </c>
      <c r="U130" s="251">
        <f t="shared" si="32"/>
        <v>-0.95755277360934743</v>
      </c>
      <c r="V130" s="383">
        <f t="shared" si="33"/>
        <v>51.927424312038113</v>
      </c>
      <c r="W130" s="402">
        <f t="shared" si="34"/>
        <v>50.484543155823999</v>
      </c>
      <c r="X130" s="157">
        <f t="shared" si="35"/>
        <v>46503</v>
      </c>
      <c r="Y130" s="385">
        <f t="shared" si="36"/>
        <v>48.820615377547753</v>
      </c>
      <c r="Z130" s="385">
        <f t="shared" si="37"/>
        <v>52.43403054648266</v>
      </c>
      <c r="AA130" s="386">
        <f t="shared" si="38"/>
        <v>56.987728483837024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7.990664057869748E-2</v>
      </c>
      <c r="AD130" s="231">
        <f>(INDEX(Models!$BJ130:$BT130,,AH130)*(1-AF130)+INDEX(Models!$BJ130:$BT130,,AH130+1)*AF130-ERP_i)*AE130*Ramure*Pc/MaxiM</f>
        <v>2.6271645226660801E-3</v>
      </c>
      <c r="AE130" s="305">
        <f t="shared" si="40"/>
        <v>0.7</v>
      </c>
      <c r="AF130" s="177">
        <f t="shared" si="41"/>
        <v>0.56743479276463171</v>
      </c>
      <c r="AG130" s="919">
        <f t="shared" si="49"/>
        <v>2</v>
      </c>
      <c r="AH130" s="176">
        <f t="shared" si="42"/>
        <v>8</v>
      </c>
      <c r="AI130" s="225">
        <f t="shared" si="43"/>
        <v>2.5674347927646317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1090">
        <f>IF(t&gt;Tmaj,'2026'!Wh/'2026'!Env_an*'2027'!Env_an,0.001*'[6]mon-tableau'!$B$63)</f>
        <v>37.211947572868148</v>
      </c>
      <c r="C131" s="953"/>
      <c r="D131" s="393">
        <f t="shared" si="25"/>
        <v>39.967032722948623</v>
      </c>
      <c r="E131" s="385">
        <f t="shared" si="47"/>
        <v>42.105542154596691</v>
      </c>
      <c r="F131" s="385">
        <f t="shared" si="26"/>
        <v>42.113904344946732</v>
      </c>
      <c r="G131" s="110">
        <f t="shared" si="48"/>
        <v>0.71553841877934499</v>
      </c>
      <c r="H131" s="412" t="b">
        <f>Wh_hp&gt;='2026'!Maxi_hp</f>
        <v>0</v>
      </c>
      <c r="I131" s="390">
        <f>IF(H131,Wh_hp,'2026'!Maxi_hp)</f>
        <v>42.119383601475008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6.8933942861826192E-2</v>
      </c>
      <c r="M131" s="957"/>
      <c r="N131" s="957"/>
      <c r="O131" s="48">
        <f>IF(t&lt;Tnet,'2026'!Resal+('2026'!Salim-'2026'!Resal)*(1-EXP(('2026'!Tnet-t)/('2026'!Tau_j))),Resal+(Salim-Resal)*(1-EXP((Tnet-t)/(Tau_j))))*Salcycl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3.3441040755714552E-4</v>
      </c>
      <c r="Q131" s="305">
        <f t="shared" si="28"/>
        <v>0.7</v>
      </c>
      <c r="R131" s="177">
        <f t="shared" si="29"/>
        <v>4.490152737778752E-2</v>
      </c>
      <c r="S131" s="919">
        <f t="shared" si="30"/>
        <v>-1</v>
      </c>
      <c r="T131" s="176">
        <f t="shared" si="31"/>
        <v>5</v>
      </c>
      <c r="U131" s="251">
        <f t="shared" si="32"/>
        <v>-0.95509847262221248</v>
      </c>
      <c r="V131" s="383">
        <f t="shared" si="33"/>
        <v>51.998453725802371</v>
      </c>
      <c r="W131" s="402">
        <f t="shared" si="34"/>
        <v>37.211947572868148</v>
      </c>
      <c r="X131" s="157">
        <f t="shared" si="35"/>
        <v>46504</v>
      </c>
      <c r="Y131" s="385">
        <f t="shared" si="36"/>
        <v>36.015761227709554</v>
      </c>
      <c r="Z131" s="385">
        <f t="shared" si="37"/>
        <v>38.682283551836832</v>
      </c>
      <c r="AA131" s="386">
        <f t="shared" si="38"/>
        <v>42.046365928336094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8.0008873590478924E-2</v>
      </c>
      <c r="AD131" s="231">
        <f>(INDEX(Models!$BJ131:$BT131,,AH131)*(1-AF131)+INDEX(Models!$BJ131:$BT131,,AH131+1)*AF131-ERP_i)*AE131*Ramure*Pc/MaxiM</f>
        <v>2.7009130956238249E-3</v>
      </c>
      <c r="AE131" s="305">
        <f t="shared" si="40"/>
        <v>0.7</v>
      </c>
      <c r="AF131" s="177">
        <f t="shared" si="41"/>
        <v>0.56988909375176666</v>
      </c>
      <c r="AG131" s="919">
        <f t="shared" si="49"/>
        <v>2</v>
      </c>
      <c r="AH131" s="176">
        <f t="shared" si="42"/>
        <v>8</v>
      </c>
      <c r="AI131" s="225">
        <f t="shared" si="43"/>
        <v>2.5698890937517667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1090">
        <f>IF(t&gt;Tmaj,'2026'!Wh/'2026'!Env_an*'2027'!Env_an,0.001*'[6]mon-tableau'!$B$64)</f>
        <v>20.012932650760572</v>
      </c>
      <c r="C132" s="953"/>
      <c r="D132" s="393">
        <f t="shared" si="25"/>
        <v>21.495113951918302</v>
      </c>
      <c r="E132" s="385">
        <f t="shared" si="47"/>
        <v>22.648129237678724</v>
      </c>
      <c r="F132" s="385">
        <f t="shared" si="26"/>
        <v>22.649125196800579</v>
      </c>
      <c r="G132" s="110">
        <f t="shared" si="48"/>
        <v>0.38425899295220012</v>
      </c>
      <c r="H132" s="412" t="b">
        <f>Wh_hp&gt;='2026'!Maxi_hp</f>
        <v>0</v>
      </c>
      <c r="I132" s="390">
        <f>IF(H132,Wh_hp,'2026'!Maxi_hp)</f>
        <v>44.927139058198264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6.8954335597995575E-2</v>
      </c>
      <c r="M132" s="957"/>
      <c r="N132" s="957"/>
      <c r="O132" s="48">
        <f>IF(t&lt;Tnet,'2026'!Resal+('2026'!Salim-'2026'!Resal)*(1-EXP(('2026'!Tnet-t)/('2026'!Tau_j))),Resal+(Salim-Resal)*(1-EXP((Tnet-t)/(Tau_j))))*Salcycl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3.6478476976385167E-4</v>
      </c>
      <c r="Q132" s="305">
        <f t="shared" si="28"/>
        <v>0.7</v>
      </c>
      <c r="R132" s="177">
        <f t="shared" si="29"/>
        <v>4.7429351420664845E-2</v>
      </c>
      <c r="S132" s="919">
        <f t="shared" si="30"/>
        <v>-1</v>
      </c>
      <c r="T132" s="176">
        <f t="shared" si="31"/>
        <v>5</v>
      </c>
      <c r="U132" s="251">
        <f t="shared" si="32"/>
        <v>-0.95257064857933516</v>
      </c>
      <c r="V132" s="383">
        <f t="shared" si="33"/>
        <v>52.065175725490455</v>
      </c>
      <c r="W132" s="402">
        <f t="shared" si="34"/>
        <v>20.012932650760572</v>
      </c>
      <c r="X132" s="157">
        <f t="shared" si="35"/>
        <v>46505</v>
      </c>
      <c r="Y132" s="385">
        <f t="shared" si="36"/>
        <v>19.39151252645884</v>
      </c>
      <c r="Z132" s="385">
        <f t="shared" si="37"/>
        <v>20.827670723233211</v>
      </c>
      <c r="AA132" s="386">
        <f t="shared" si="38"/>
        <v>22.641534095569089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8.0112211684933737E-2</v>
      </c>
      <c r="AD132" s="231">
        <f>(INDEX(Models!$BJ132:$BT132,,AH132)*(1-AF132)+INDEX(Models!$BJ132:$BT132,,AH132+1)*AF132-ERP_i)*AE132*Ramure*Pc/MaxiM</f>
        <v>2.7803531833964614E-3</v>
      </c>
      <c r="AE132" s="305">
        <f t="shared" si="40"/>
        <v>0.7</v>
      </c>
      <c r="AF132" s="177">
        <f t="shared" si="41"/>
        <v>0.57241691779464388</v>
      </c>
      <c r="AG132" s="919">
        <f t="shared" si="49"/>
        <v>2</v>
      </c>
      <c r="AH132" s="176">
        <f t="shared" si="42"/>
        <v>8</v>
      </c>
      <c r="AI132" s="225">
        <f t="shared" si="43"/>
        <v>2.5724169177946439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1090">
        <f>IF(t&gt;Tmaj,'2026'!Wh/'2026'!Env_an*'2027'!Env_an,0.001*'[6]mon-tableau'!$B$65)</f>
        <v>40.515434174049247</v>
      </c>
      <c r="C133" s="953"/>
      <c r="D133" s="393">
        <f t="shared" si="25"/>
        <v>43.517007956314735</v>
      </c>
      <c r="E133" s="385">
        <f t="shared" si="47"/>
        <v>45.857160518177174</v>
      </c>
      <c r="F133" s="385">
        <f t="shared" si="26"/>
        <v>45.86957241429068</v>
      </c>
      <c r="G133" s="110">
        <f t="shared" si="48"/>
        <v>0.77713912655168438</v>
      </c>
      <c r="H133" s="412" t="b">
        <f>Wh_hp&gt;='2026'!Maxi_hp</f>
        <v>0</v>
      </c>
      <c r="I133" s="390">
        <f>IF(H133,Wh_hp,'2026'!Maxi_hp)</f>
        <v>53.012856919854819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6.8974727887511689E-2</v>
      </c>
      <c r="M133" s="957"/>
      <c r="N133" s="957"/>
      <c r="O133" s="48">
        <f>IF(t&lt;Tnet,'2026'!Resal+('2026'!Salim-'2026'!Resal)*(1-EXP(('2026'!Tnet-t)/('2026'!Tau_j))),Resal+(Salim-Resal)*(1-EXP((Tnet-t)/(Tau_j))))*Salcycl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3.9689632706184792E-4</v>
      </c>
      <c r="Q133" s="305">
        <f t="shared" si="28"/>
        <v>0.7</v>
      </c>
      <c r="R133" s="177">
        <f t="shared" si="29"/>
        <v>5.0031821181796943E-2</v>
      </c>
      <c r="S133" s="919">
        <f t="shared" si="30"/>
        <v>-1</v>
      </c>
      <c r="T133" s="176">
        <f t="shared" si="31"/>
        <v>5</v>
      </c>
      <c r="U133" s="251">
        <f t="shared" si="32"/>
        <v>-0.94996817881820306</v>
      </c>
      <c r="V133" s="383">
        <f t="shared" si="33"/>
        <v>52.127494411327227</v>
      </c>
      <c r="W133" s="402">
        <f t="shared" si="34"/>
        <v>40.515434174049247</v>
      </c>
      <c r="X133" s="157">
        <f t="shared" si="35"/>
        <v>46506</v>
      </c>
      <c r="Y133" s="385">
        <f t="shared" si="36"/>
        <v>39.203280316483124</v>
      </c>
      <c r="Z133" s="385">
        <f t="shared" si="37"/>
        <v>42.107643573982926</v>
      </c>
      <c r="AA133" s="386">
        <f t="shared" si="38"/>
        <v>45.779958465460595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8.0216649699416165E-2</v>
      </c>
      <c r="AD133" s="231">
        <f>(INDEX(Models!$BJ133:$BT133,,AH133)*(1-AF133)+INDEX(Models!$BJ133:$BT133,,AH133+1)*AF133-ERP_i)*AE133*Ramure*Pc/MaxiM</f>
        <v>2.8655933645361873E-3</v>
      </c>
      <c r="AE133" s="305">
        <f t="shared" si="40"/>
        <v>0.7</v>
      </c>
      <c r="AF133" s="177">
        <f t="shared" si="41"/>
        <v>0.57501938755577608</v>
      </c>
      <c r="AG133" s="919">
        <f t="shared" si="49"/>
        <v>2</v>
      </c>
      <c r="AH133" s="176">
        <f t="shared" si="42"/>
        <v>8</v>
      </c>
      <c r="AI133" s="225">
        <f t="shared" si="43"/>
        <v>2.5750193875557761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1090">
        <f>IF(t&gt;Tmaj,'2026'!Wh/'2026'!Env_an*'2027'!Env_an,0.001*'[6]mon-tableau'!$B$66)</f>
        <v>41.299557102291608</v>
      </c>
      <c r="C134" s="953"/>
      <c r="D134" s="393">
        <f t="shared" si="25"/>
        <v>44.360193998479794</v>
      </c>
      <c r="E134" s="385">
        <f t="shared" si="47"/>
        <v>44.721927768799439</v>
      </c>
      <c r="F134" s="385">
        <f t="shared" si="26"/>
        <v>44.734510471545654</v>
      </c>
      <c r="G134" s="110">
        <f t="shared" si="48"/>
        <v>0.7569291111936659</v>
      </c>
      <c r="H134" s="412" t="b">
        <f>Wh_hp&gt;='2026'!Maxi_hp</f>
        <v>0</v>
      </c>
      <c r="I134" s="390">
        <f>IF(H134,Wh_hp,'2026'!Maxi_hp)</f>
        <v>59.629748537925202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6.8995119730384302E-2</v>
      </c>
      <c r="M134" s="957"/>
      <c r="N134" s="957"/>
      <c r="O134" s="48">
        <f>IF(t&lt;Tnet,'2026'!Resal+('2026'!Salim-'2026'!Resal)*(1-EXP(('2026'!Tnet-t)/('2026'!Tau_j))),Resal+(Salim-Resal)*(1-EXP((Tnet-t)/(Tau_j))))*Salcycl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4.307971836411488E-4</v>
      </c>
      <c r="Q134" s="305">
        <f t="shared" si="28"/>
        <v>0.7</v>
      </c>
      <c r="R134" s="177">
        <f t="shared" si="29"/>
        <v>5.2709996839076068E-2</v>
      </c>
      <c r="S134" s="919">
        <f t="shared" si="30"/>
        <v>-1</v>
      </c>
      <c r="T134" s="176">
        <f t="shared" si="31"/>
        <v>5</v>
      </c>
      <c r="U134" s="251">
        <f t="shared" si="32"/>
        <v>-0.94729000316092393</v>
      </c>
      <c r="V134" s="383">
        <f t="shared" si="33"/>
        <v>54.553827508169789</v>
      </c>
      <c r="W134" s="402">
        <f t="shared" si="34"/>
        <v>41.299557102291608</v>
      </c>
      <c r="X134" s="157">
        <f t="shared" si="35"/>
        <v>46507</v>
      </c>
      <c r="Y134" s="385">
        <f t="shared" si="36"/>
        <v>39.441318118454348</v>
      </c>
      <c r="Z134" s="385">
        <f t="shared" si="37"/>
        <v>42.364244220752397</v>
      </c>
      <c r="AA134" s="386">
        <f t="shared" si="38"/>
        <v>44.648149912518605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5.1153422845989734E-2</v>
      </c>
      <c r="AD134" s="231">
        <f>(INDEX(Models!$BJ134:$BT134,,AH134)*(1-AF134)+INDEX(Models!$BJ134:$BT134,,AH134+1)*AF134-ERP_i)*AE134*Ramure*Pc/MaxiM</f>
        <v>2.9567483518365655E-3</v>
      </c>
      <c r="AE134" s="305">
        <f t="shared" si="40"/>
        <v>0.7</v>
      </c>
      <c r="AF134" s="177">
        <f t="shared" si="41"/>
        <v>0.57769756321305499</v>
      </c>
      <c r="AG134" s="919">
        <f t="shared" si="49"/>
        <v>2</v>
      </c>
      <c r="AH134" s="176">
        <f t="shared" si="42"/>
        <v>8</v>
      </c>
      <c r="AI134" s="225">
        <f t="shared" si="43"/>
        <v>2.577697563213055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1090">
        <f>IF(t&gt;Tmaj,'2026'!Wh/'2026'!Env_an*'2027'!Env_an,0.001*[7]mois!$B$38)</f>
        <v>46.227072906879599</v>
      </c>
      <c r="C135" s="953"/>
      <c r="D135" s="393">
        <f t="shared" si="25"/>
        <v>49.653966805420048</v>
      </c>
      <c r="E135" s="385">
        <f t="shared" si="47"/>
        <v>50.066268601590679</v>
      </c>
      <c r="F135" s="385">
        <f t="shared" si="26"/>
        <v>50.0845121429941</v>
      </c>
      <c r="G135" s="110">
        <f t="shared" si="48"/>
        <v>0.84643804103350428</v>
      </c>
      <c r="H135" s="412" t="b">
        <f>Wh_hp&gt;='2026'!Maxi_hp</f>
        <v>0</v>
      </c>
      <c r="I135" s="390">
        <f>IF(H135,Wh_hp,'2026'!Maxi_hp)</f>
        <v>57.486763345827086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6.9015511126623186E-2</v>
      </c>
      <c r="M135" s="957"/>
      <c r="N135" s="957"/>
      <c r="O135" s="48">
        <f>IF(t&lt;Tnet,'2026'!Resal+('2026'!Salim-'2026'!Resal)*(1-EXP(('2026'!Tnet-t)/('2026'!Tau_j))),Resal+(Salim-Resal)*(1-EXP((Tnet-t)/(Tau_j))))*Salcycl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4.6654546581854987E-4</v>
      </c>
      <c r="Q135" s="305">
        <f t="shared" si="28"/>
        <v>0.7</v>
      </c>
      <c r="R135" s="177">
        <f t="shared" si="29"/>
        <v>5.5464869597136035E-2</v>
      </c>
      <c r="S135" s="919">
        <f t="shared" si="30"/>
        <v>-1</v>
      </c>
      <c r="T135" s="176">
        <f t="shared" si="31"/>
        <v>5</v>
      </c>
      <c r="U135" s="251">
        <f t="shared" si="32"/>
        <v>-0.94453513040286396</v>
      </c>
      <c r="V135" s="383">
        <f t="shared" si="33"/>
        <v>54.608063864241281</v>
      </c>
      <c r="W135" s="402">
        <f t="shared" si="34"/>
        <v>46.227072906879599</v>
      </c>
      <c r="X135" s="157">
        <f t="shared" si="35"/>
        <v>46508</v>
      </c>
      <c r="Y135" s="385">
        <f t="shared" si="36"/>
        <v>44.131525016404233</v>
      </c>
      <c r="Z135" s="385">
        <f t="shared" si="37"/>
        <v>47.40307227869031</v>
      </c>
      <c r="AA135" s="386">
        <f t="shared" si="38"/>
        <v>49.965091698385287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5.1276187686407758E-2</v>
      </c>
      <c r="AD135" s="231">
        <f>(INDEX(Models!$BJ135:$BT135,,AH135)*(1-AF135)+INDEX(Models!$BJ135:$BT135,,AH135+1)*AF135-ERP_i)*AE135*Ramure*Pc/MaxiM</f>
        <v>3.0539611650089314E-3</v>
      </c>
      <c r="AE135" s="305">
        <f t="shared" si="40"/>
        <v>0.7</v>
      </c>
      <c r="AF135" s="177">
        <f t="shared" si="41"/>
        <v>0.58045243597111496</v>
      </c>
      <c r="AG135" s="919">
        <f t="shared" si="49"/>
        <v>2</v>
      </c>
      <c r="AH135" s="176">
        <f t="shared" si="42"/>
        <v>8</v>
      </c>
      <c r="AI135" s="225">
        <f t="shared" si="43"/>
        <v>2.580452435971115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1090">
        <f>IF(t&gt;Tmaj,'2026'!Wh/'2026'!Env_an*'2027'!Env_an,0.001*[7]mois!$B$39)</f>
        <v>27.078261583872436</v>
      </c>
      <c r="C136" s="953"/>
      <c r="D136" s="393">
        <f t="shared" si="25"/>
        <v>29.086257616445614</v>
      </c>
      <c r="E136" s="385">
        <f t="shared" si="47"/>
        <v>29.332114659571957</v>
      </c>
      <c r="F136" s="385">
        <f t="shared" si="26"/>
        <v>29.336247528640406</v>
      </c>
      <c r="G136" s="110">
        <f t="shared" si="48"/>
        <v>0.49524256077722684</v>
      </c>
      <c r="H136" s="412" t="b">
        <f>Wh_hp&gt;='2026'!Maxi_hp</f>
        <v>0</v>
      </c>
      <c r="I136" s="390">
        <f>IF(H136,Wh_hp,'2026'!Maxi_hp)</f>
        <v>52.039309618554178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6.903590207623822E-2</v>
      </c>
      <c r="M136" s="957"/>
      <c r="N136" s="957"/>
      <c r="O136" s="48">
        <f>IF(t&lt;Tnet,'2026'!Resal+('2026'!Salim-'2026'!Resal)*(1-EXP(('2026'!Tnet-t)/('2026'!Tau_j))),Resal+(Salim-Resal)*(1-EXP((Tnet-t)/(Tau_j))))*Salcycl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5.0462632828205528E-4</v>
      </c>
      <c r="Q136" s="305">
        <f t="shared" si="28"/>
        <v>0.7</v>
      </c>
      <c r="R136" s="177">
        <f t="shared" si="29"/>
        <v>5.8297355032571163E-2</v>
      </c>
      <c r="S136" s="919">
        <f t="shared" si="30"/>
        <v>-1</v>
      </c>
      <c r="T136" s="176">
        <f t="shared" si="31"/>
        <v>5</v>
      </c>
      <c r="U136" s="251">
        <f t="shared" si="32"/>
        <v>-0.94170264496742884</v>
      </c>
      <c r="V136" s="383">
        <f t="shared" si="33"/>
        <v>54.656874634379399</v>
      </c>
      <c r="W136" s="402">
        <f t="shared" si="34"/>
        <v>27.078261583872436</v>
      </c>
      <c r="X136" s="157">
        <f t="shared" si="35"/>
        <v>46509</v>
      </c>
      <c r="Y136" s="385">
        <f t="shared" si="36"/>
        <v>25.88437029478175</v>
      </c>
      <c r="Z136" s="385">
        <f t="shared" si="37"/>
        <v>27.803832986158252</v>
      </c>
      <c r="AA136" s="386">
        <f t="shared" si="38"/>
        <v>29.310375549660304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5.1399633585367505E-2</v>
      </c>
      <c r="AD136" s="231">
        <f>(INDEX(Models!$BJ136:$BT136,,AH136)*(1-AF136)+INDEX(Models!$BJ136:$BT136,,AH136+1)*AF136-ERP_i)*AE136*Ramure*Pc/MaxiM</f>
        <v>3.1589875076828526E-3</v>
      </c>
      <c r="AE136" s="305">
        <f t="shared" si="40"/>
        <v>0.7</v>
      </c>
      <c r="AF136" s="177">
        <f t="shared" si="41"/>
        <v>0.58328492140655008</v>
      </c>
      <c r="AG136" s="919">
        <f t="shared" si="49"/>
        <v>2</v>
      </c>
      <c r="AH136" s="176">
        <f t="shared" si="42"/>
        <v>8</v>
      </c>
      <c r="AI136" s="225">
        <f t="shared" si="43"/>
        <v>2.5832849214065501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1090">
        <f>IF(t&gt;Tmaj,'2026'!Wh/'2026'!Env_an*'2027'!Env_an,0.001*[7]mois!$B$40)</f>
        <v>30.927095725779644</v>
      </c>
      <c r="C137" s="953"/>
      <c r="D137" s="393">
        <f t="shared" si="25"/>
        <v>33.221230756760946</v>
      </c>
      <c r="E137" s="385">
        <f t="shared" si="47"/>
        <v>33.507000743357068</v>
      </c>
      <c r="F137" s="385">
        <f t="shared" si="26"/>
        <v>33.513916019400803</v>
      </c>
      <c r="G137" s="110">
        <f t="shared" si="48"/>
        <v>0.56519747260588382</v>
      </c>
      <c r="H137" s="412" t="b">
        <f>Wh_hp&gt;='2026'!Maxi_hp</f>
        <v>0</v>
      </c>
      <c r="I137" s="390">
        <f>IF(H137,Wh_hp,'2026'!Maxi_hp)</f>
        <v>59.632265422182535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6.9056292579239176E-2</v>
      </c>
      <c r="M137" s="957"/>
      <c r="N137" s="957"/>
      <c r="O137" s="48">
        <f>IF(t&lt;Tnet,'2026'!Resal+('2026'!Salim-'2026'!Resal)*(1-EXP(('2026'!Tnet-t)/('2026'!Tau_j))),Resal+(Salim-Resal)*(1-EXP((Tnet-t)/(Tau_j))))*Salcycl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5.4425218372005811E-4</v>
      </c>
      <c r="Q137" s="305">
        <f t="shared" si="28"/>
        <v>0.7</v>
      </c>
      <c r="R137" s="177">
        <f t="shared" si="29"/>
        <v>6.1208286298134906E-2</v>
      </c>
      <c r="S137" s="919">
        <f t="shared" si="30"/>
        <v>-1</v>
      </c>
      <c r="T137" s="176">
        <f t="shared" si="31"/>
        <v>5</v>
      </c>
      <c r="U137" s="251">
        <f t="shared" si="32"/>
        <v>-0.93879171370186509</v>
      </c>
      <c r="V137" s="383">
        <f t="shared" si="33"/>
        <v>54.700603662354411</v>
      </c>
      <c r="W137" s="402">
        <f t="shared" si="34"/>
        <v>30.927095725779644</v>
      </c>
      <c r="X137" s="157">
        <f t="shared" si="35"/>
        <v>46510</v>
      </c>
      <c r="Y137" s="385">
        <f t="shared" si="36"/>
        <v>29.555373658582941</v>
      </c>
      <c r="Z137" s="385">
        <f t="shared" si="37"/>
        <v>31.747755984589009</v>
      </c>
      <c r="AA137" s="386">
        <f t="shared" si="38"/>
        <v>33.472378561911611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5.1523753357792725E-2</v>
      </c>
      <c r="AD137" s="231">
        <f>(INDEX(Models!$BJ137:$BT137,,AH137)*(1-AF137)+INDEX(Models!$BJ137:$BT137,,AH137+1)*AF137-ERP_i)*AE137*Ramure*Pc/MaxiM</f>
        <v>3.2691177910613516E-3</v>
      </c>
      <c r="AE137" s="305">
        <f t="shared" si="40"/>
        <v>0.7</v>
      </c>
      <c r="AF137" s="177">
        <f t="shared" si="41"/>
        <v>0.58619585267211383</v>
      </c>
      <c r="AG137" s="919">
        <f t="shared" si="49"/>
        <v>2</v>
      </c>
      <c r="AH137" s="176">
        <f t="shared" si="42"/>
        <v>8</v>
      </c>
      <c r="AI137" s="225">
        <f t="shared" si="43"/>
        <v>2.5861958526721138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1090">
        <f>IF(t&gt;Tmaj,'2026'!Wh/'2026'!Env_an*'2027'!Env_an,0.001*[7]mois!$B$41)</f>
        <v>18.241100479784212</v>
      </c>
      <c r="C138" s="953"/>
      <c r="D138" s="393">
        <f t="shared" si="25"/>
        <v>19.594632704472936</v>
      </c>
      <c r="E138" s="385">
        <f t="shared" si="47"/>
        <v>19.766115714829585</v>
      </c>
      <c r="F138" s="385">
        <f t="shared" si="26"/>
        <v>19.766665166806867</v>
      </c>
      <c r="G138" s="110">
        <f t="shared" si="48"/>
        <v>0.3330485534006094</v>
      </c>
      <c r="H138" s="412" t="b">
        <f>Wh_hp&gt;='2026'!Maxi_hp</f>
        <v>0</v>
      </c>
      <c r="I138" s="390">
        <f>IF(H138,Wh_hp,'2026'!Maxi_hp)</f>
        <v>56.02715044671482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6.9076682635635711E-2</v>
      </c>
      <c r="M138" s="957"/>
      <c r="N138" s="957"/>
      <c r="O138" s="48">
        <f>IF(t&lt;Tnet,'2026'!Resal+('2026'!Salim-'2026'!Resal)*(1-EXP(('2026'!Tnet-t)/('2026'!Tau_j))),Resal+(Salim-Resal)*(1-EXP((Tnet-t)/(Tau_j))))*Salcycl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5.854726252561939E-4</v>
      </c>
      <c r="Q138" s="305">
        <f t="shared" si="28"/>
        <v>0.7</v>
      </c>
      <c r="R138" s="177">
        <f t="shared" si="29"/>
        <v>6.4198407214425379E-2</v>
      </c>
      <c r="S138" s="919">
        <f t="shared" si="30"/>
        <v>-1</v>
      </c>
      <c r="T138" s="176">
        <f t="shared" si="31"/>
        <v>5</v>
      </c>
      <c r="U138" s="251">
        <f t="shared" si="32"/>
        <v>-0.93580159278557462</v>
      </c>
      <c r="V138" s="383">
        <f t="shared" si="33"/>
        <v>54.739548909271505</v>
      </c>
      <c r="W138" s="402">
        <f t="shared" si="34"/>
        <v>18.241100479784212</v>
      </c>
      <c r="X138" s="157">
        <f t="shared" si="35"/>
        <v>46511</v>
      </c>
      <c r="Y138" s="385">
        <f t="shared" si="36"/>
        <v>17.448047768783944</v>
      </c>
      <c r="Z138" s="385">
        <f t="shared" si="37"/>
        <v>18.742733631576616</v>
      </c>
      <c r="AA138" s="386">
        <f t="shared" si="38"/>
        <v>19.763488944137862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5.1648538142553928E-2</v>
      </c>
      <c r="AD138" s="231">
        <f>(INDEX(Models!$BJ138:$BT138,,AH138)*(1-AF138)+INDEX(Models!$BJ138:$BT138,,AH138+1)*AF138-ERP_i)*AE138*Ramure*Pc/MaxiM</f>
        <v>3.3844475974375596E-3</v>
      </c>
      <c r="AE138" s="305">
        <f t="shared" si="40"/>
        <v>0.7</v>
      </c>
      <c r="AF138" s="177">
        <f t="shared" si="41"/>
        <v>0.58918597358840419</v>
      </c>
      <c r="AG138" s="919">
        <f t="shared" si="49"/>
        <v>2</v>
      </c>
      <c r="AH138" s="176">
        <f t="shared" si="42"/>
        <v>8</v>
      </c>
      <c r="AI138" s="225">
        <f t="shared" si="43"/>
        <v>2.5891859735884042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1090">
        <f>IF(t&gt;Tmaj,'2026'!Wh/'2026'!Env_an*'2027'!Env_an,0.001*[7]mois!$B$42)</f>
        <v>38.307882422607562</v>
      </c>
      <c r="C139" s="953"/>
      <c r="D139" s="393">
        <f t="shared" si="25"/>
        <v>41.151318016595226</v>
      </c>
      <c r="E139" s="385">
        <f t="shared" si="47"/>
        <v>41.51761384149804</v>
      </c>
      <c r="F139" s="385">
        <f t="shared" si="26"/>
        <v>41.532503006765324</v>
      </c>
      <c r="G139" s="110">
        <f t="shared" si="48"/>
        <v>0.69919187764534418</v>
      </c>
      <c r="H139" s="412" t="b">
        <f>Wh_hp&gt;='2026'!Maxi_hp</f>
        <v>0</v>
      </c>
      <c r="I139" s="390">
        <f>IF(H139,Wh_hp,'2026'!Maxi_hp)</f>
        <v>58.496922298592779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6.9097072245437707E-2</v>
      </c>
      <c r="M139" s="957"/>
      <c r="N139" s="957"/>
      <c r="O139" s="48">
        <f>IF(t&lt;Tnet,'2026'!Resal+('2026'!Salim-'2026'!Resal)*(1-EXP(('2026'!Tnet-t)/('2026'!Tau_j))),Resal+(Salim-Resal)*(1-EXP((Tnet-t)/(Tau_j))))*Salcycl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6.2833788455921176E-4</v>
      </c>
      <c r="Q139" s="305">
        <f t="shared" si="28"/>
        <v>0.7</v>
      </c>
      <c r="R139" s="177">
        <f t="shared" si="29"/>
        <v>6.7268365281001774E-2</v>
      </c>
      <c r="S139" s="919">
        <f t="shared" si="30"/>
        <v>-1</v>
      </c>
      <c r="T139" s="176">
        <f t="shared" si="31"/>
        <v>5</v>
      </c>
      <c r="U139" s="251">
        <f t="shared" si="32"/>
        <v>-0.93273163471899823</v>
      </c>
      <c r="V139" s="383">
        <f t="shared" si="33"/>
        <v>54.774008113249465</v>
      </c>
      <c r="W139" s="402">
        <f t="shared" si="34"/>
        <v>38.307882422607562</v>
      </c>
      <c r="X139" s="157">
        <f t="shared" si="35"/>
        <v>46512</v>
      </c>
      <c r="Y139" s="385">
        <f t="shared" si="36"/>
        <v>36.587690810864594</v>
      </c>
      <c r="Z139" s="385">
        <f t="shared" si="37"/>
        <v>39.303443699675569</v>
      </c>
      <c r="AA139" s="386">
        <f t="shared" si="38"/>
        <v>41.449446398921687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5.1773977355266884E-2</v>
      </c>
      <c r="AD139" s="231">
        <f>(INDEX(Models!$BJ139:$BT139,,AH139)*(1-AF139)+INDEX(Models!$BJ139:$BT139,,AH139+1)*AF139-ERP_i)*AE139*Ramure*Pc/MaxiM</f>
        <v>3.5050731410579466E-3</v>
      </c>
      <c r="AE139" s="305">
        <f t="shared" si="40"/>
        <v>0.7</v>
      </c>
      <c r="AF139" s="177">
        <f t="shared" si="41"/>
        <v>0.59225593165498047</v>
      </c>
      <c r="AG139" s="919">
        <f t="shared" si="49"/>
        <v>2</v>
      </c>
      <c r="AH139" s="176">
        <f t="shared" si="42"/>
        <v>8</v>
      </c>
      <c r="AI139" s="225">
        <f t="shared" si="43"/>
        <v>2.5922559316549805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1090">
        <f>IF(t&gt;Tmaj,'2026'!Wh/'2026'!Env_an*'2027'!Env_an,0.001*[7]mois!$B$43)</f>
        <v>35.774703305706758</v>
      </c>
      <c r="C140" s="953"/>
      <c r="D140" s="393">
        <f t="shared" si="25"/>
        <v>38.430953232663178</v>
      </c>
      <c r="E140" s="385">
        <f t="shared" si="47"/>
        <v>38.778792616810499</v>
      </c>
      <c r="F140" s="385">
        <f t="shared" si="26"/>
        <v>38.791947513271374</v>
      </c>
      <c r="G140" s="110">
        <f t="shared" si="48"/>
        <v>0.65255412528332524</v>
      </c>
      <c r="H140" s="412" t="b">
        <f>Wh_hp&gt;='2026'!Maxi_hp</f>
        <v>0</v>
      </c>
      <c r="I140" s="390">
        <f>IF(H140,Wh_hp,'2026'!Maxi_hp)</f>
        <v>61.787025291973102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6.9117461408654934E-2</v>
      </c>
      <c r="M140" s="957"/>
      <c r="N140" s="957"/>
      <c r="O140" s="48">
        <f>IF(t&lt;Tnet,'2026'!Resal+('2026'!Salim-'2026'!Resal)*(1-EXP(('2026'!Tnet-t)/('2026'!Tau_j))),Resal+(Salim-Resal)*(1-EXP((Tnet-t)/(Tau_j))))*Salcycl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6.7289868482524687E-4</v>
      </c>
      <c r="Q140" s="305">
        <f t="shared" si="28"/>
        <v>0.7</v>
      </c>
      <c r="R140" s="177">
        <f t="shared" si="29"/>
        <v>7.0418704642343122E-2</v>
      </c>
      <c r="S140" s="919">
        <f t="shared" si="30"/>
        <v>-1</v>
      </c>
      <c r="T140" s="176">
        <f t="shared" si="31"/>
        <v>5</v>
      </c>
      <c r="U140" s="251">
        <f t="shared" si="32"/>
        <v>-0.92958129535765688</v>
      </c>
      <c r="V140" s="383">
        <f t="shared" si="33"/>
        <v>54.804278794535882</v>
      </c>
      <c r="W140" s="402">
        <f t="shared" si="34"/>
        <v>35.774703305706758</v>
      </c>
      <c r="X140" s="157">
        <f t="shared" si="35"/>
        <v>46513</v>
      </c>
      <c r="Y140" s="385">
        <f t="shared" si="36"/>
        <v>34.17394631115436</v>
      </c>
      <c r="Z140" s="385">
        <f t="shared" si="37"/>
        <v>36.711341006425975</v>
      </c>
      <c r="AA140" s="386">
        <f t="shared" si="38"/>
        <v>38.72096116149811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5.190005864499013E-2</v>
      </c>
      <c r="AD140" s="231">
        <f>(INDEX(Models!$BJ140:$BT140,,AH140)*(1-AF140)+INDEX(Models!$BJ140:$BT140,,AH140+1)*AF140-ERP_i)*AE140*Ramure*Pc/MaxiM</f>
        <v>3.6310907418266678E-3</v>
      </c>
      <c r="AE140" s="305">
        <f t="shared" si="40"/>
        <v>0.7</v>
      </c>
      <c r="AF140" s="177">
        <f t="shared" si="41"/>
        <v>0.59540627101632193</v>
      </c>
      <c r="AG140" s="919">
        <f t="shared" si="49"/>
        <v>2</v>
      </c>
      <c r="AH140" s="176">
        <f t="shared" si="42"/>
        <v>8</v>
      </c>
      <c r="AI140" s="225">
        <f t="shared" si="43"/>
        <v>2.5954062710163219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1090">
        <f>IF(t&gt;Tmaj,'2026'!Wh/'2026'!Env_an*'2027'!Env_an,0.001*[7]mois!$B$44)</f>
        <v>46.290505154806034</v>
      </c>
      <c r="C141" s="953"/>
      <c r="D141" s="393">
        <f t="shared" si="25"/>
        <v>49.728636147722725</v>
      </c>
      <c r="E141" s="385">
        <f t="shared" si="47"/>
        <v>50.186190191901865</v>
      </c>
      <c r="F141" s="385">
        <f t="shared" si="26"/>
        <v>50.214268882044472</v>
      </c>
      <c r="G141" s="110">
        <f t="shared" si="48"/>
        <v>0.8441097494231341</v>
      </c>
      <c r="H141" s="412" t="b">
        <f>Wh_hp&gt;='2026'!Maxi_hp</f>
        <v>0</v>
      </c>
      <c r="I141" s="390">
        <f>IF(H141,Wh_hp,'2026'!Maxi_hp)</f>
        <v>57.268675300754929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6.9137850125297162E-2</v>
      </c>
      <c r="M141" s="957"/>
      <c r="N141" s="957"/>
      <c r="O141" s="48">
        <f>IF(t&lt;Tnet,'2026'!Resal+('2026'!Salim-'2026'!Resal)*(1-EXP(('2026'!Tnet-t)/('2026'!Tau_j))),Resal+(Salim-Resal)*(1-EXP((Tnet-t)/(Tau_j))))*Salcycl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7.1920607956965654E-4</v>
      </c>
      <c r="Q141" s="305">
        <f t="shared" si="28"/>
        <v>0.7</v>
      </c>
      <c r="R141" s="177">
        <f t="shared" si="29"/>
        <v>7.3649859047495436E-2</v>
      </c>
      <c r="S141" s="919">
        <f t="shared" si="30"/>
        <v>-1</v>
      </c>
      <c r="T141" s="176">
        <f t="shared" si="31"/>
        <v>5</v>
      </c>
      <c r="U141" s="251">
        <f t="shared" si="32"/>
        <v>-0.92635014095250456</v>
      </c>
      <c r="V141" s="383">
        <f t="shared" si="33"/>
        <v>54.830658263094278</v>
      </c>
      <c r="W141" s="402">
        <f t="shared" si="34"/>
        <v>46.290505154806034</v>
      </c>
      <c r="X141" s="157">
        <f t="shared" si="35"/>
        <v>46514</v>
      </c>
      <c r="Y141" s="385">
        <f t="shared" si="36"/>
        <v>44.181071717180032</v>
      </c>
      <c r="Z141" s="385">
        <f t="shared" si="37"/>
        <v>47.462528928828995</v>
      </c>
      <c r="AA141" s="386">
        <f t="shared" si="38"/>
        <v>50.067372494746955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5.2026767855478363E-2</v>
      </c>
      <c r="AD141" s="231">
        <f>(INDEX(Models!$BJ141:$BT141,,AH141)*(1-AF141)+INDEX(Models!$BJ141:$BT141,,AH141+1)*AF141-ERP_i)*AE141*Ramure*Pc/MaxiM</f>
        <v>3.7625962705039599E-3</v>
      </c>
      <c r="AE141" s="305">
        <f t="shared" si="40"/>
        <v>0.7</v>
      </c>
      <c r="AF141" s="177">
        <f t="shared" si="41"/>
        <v>0.59863742542147458</v>
      </c>
      <c r="AG141" s="919">
        <f t="shared" si="49"/>
        <v>2</v>
      </c>
      <c r="AH141" s="176">
        <f t="shared" si="42"/>
        <v>8</v>
      </c>
      <c r="AI141" s="225">
        <f t="shared" si="43"/>
        <v>2.5986374254214746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1090">
        <f>IF(t&gt;Tmaj,'2026'!Wh/'2026'!Env_an*'2027'!Env_an,0.001*[7]mois!$B$45)</f>
        <v>48.290686180197731</v>
      </c>
      <c r="C142" s="953"/>
      <c r="D142" s="393">
        <f t="shared" si="25"/>
        <v>51.878512731263939</v>
      </c>
      <c r="E142" s="385">
        <f t="shared" si="47"/>
        <v>52.36363815930288</v>
      </c>
      <c r="F142" s="385">
        <f t="shared" si="26"/>
        <v>52.396973746146358</v>
      </c>
      <c r="G142" s="110">
        <f t="shared" si="48"/>
        <v>0.88024284505770167</v>
      </c>
      <c r="H142" s="412" t="b">
        <f>Wh_hp&gt;='2026'!Maxi_hp</f>
        <v>0</v>
      </c>
      <c r="I142" s="390">
        <f>IF(H142,Wh_hp,'2026'!Maxi_hp)</f>
        <v>59.229596839292704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6.9158238395374161E-2</v>
      </c>
      <c r="M142" s="957"/>
      <c r="N142" s="957"/>
      <c r="O142" s="48">
        <f>IF(t&lt;Tnet,'2026'!Resal+('2026'!Salim-'2026'!Resal)*(1-EXP(('2026'!Tnet-t)/('2026'!Tau_j))),Resal+(Salim-Resal)*(1-EXP((Tnet-t)/(Tau_j))))*Salcycl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7.6736798916185434E-4</v>
      </c>
      <c r="Q142" s="305">
        <f t="shared" si="28"/>
        <v>0.7</v>
      </c>
      <c r="R142" s="177">
        <f t="shared" si="29"/>
        <v>7.6962144845628355E-2</v>
      </c>
      <c r="S142" s="919">
        <f t="shared" si="30"/>
        <v>-1</v>
      </c>
      <c r="T142" s="176">
        <f t="shared" si="31"/>
        <v>5</v>
      </c>
      <c r="U142" s="251">
        <f t="shared" si="32"/>
        <v>-0.92303785515437164</v>
      </c>
      <c r="V142" s="383">
        <f t="shared" si="33"/>
        <v>54.853440513171847</v>
      </c>
      <c r="W142" s="402">
        <f t="shared" si="34"/>
        <v>48.290686180197731</v>
      </c>
      <c r="X142" s="157">
        <f t="shared" si="35"/>
        <v>46515</v>
      </c>
      <c r="Y142" s="385">
        <f t="shared" si="36"/>
        <v>46.080085092114381</v>
      </c>
      <c r="Z142" s="385">
        <f t="shared" si="37"/>
        <v>49.503671829978394</v>
      </c>
      <c r="AA142" s="386">
        <f t="shared" si="38"/>
        <v>52.22755223717202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5.2154088991652033E-2</v>
      </c>
      <c r="AD142" s="231">
        <f>(INDEX(Models!$BJ142:$BT142,,AH142)*(1-AF142)+INDEX(Models!$BJ142:$BT142,,AH142+1)*AF142-ERP_i)*AE142*Ramure*Pc/MaxiM</f>
        <v>3.8999956194818125E-3</v>
      </c>
      <c r="AE142" s="305">
        <f t="shared" si="40"/>
        <v>0.7</v>
      </c>
      <c r="AF142" s="177">
        <f t="shared" si="41"/>
        <v>0.6019497112196075</v>
      </c>
      <c r="AG142" s="919">
        <f t="shared" si="49"/>
        <v>2</v>
      </c>
      <c r="AH142" s="176">
        <f t="shared" si="42"/>
        <v>8</v>
      </c>
      <c r="AI142" s="225">
        <f t="shared" si="43"/>
        <v>2.6019497112196075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1090">
        <f>IF(t&gt;Tmaj,'2026'!Wh/'2026'!Env_an*'2027'!Env_an,0.001*[7]mois!$B$46)</f>
        <v>52.530844838771309</v>
      </c>
      <c r="C143" s="953"/>
      <c r="D143" s="393">
        <f t="shared" ref="D143:D206" si="50">Wh/(1-Ppv)</f>
        <v>56.434936195529041</v>
      </c>
      <c r="E143" s="385">
        <f t="shared" si="47"/>
        <v>56.971153722630248</v>
      </c>
      <c r="F143" s="385">
        <f t="shared" ref="F143:F206" si="51">Wh_sa/(1-Pvg*MEDIAN((-Sdif+Wh/Env_an)/Csdif,0,1))</f>
        <v>57.01489196721387</v>
      </c>
      <c r="G143" s="110">
        <f t="shared" si="48"/>
        <v>0.95726996565283151</v>
      </c>
      <c r="H143" s="412" t="b">
        <f>Wh_hp&gt;='2026'!Maxi_hp</f>
        <v>0</v>
      </c>
      <c r="I143" s="390">
        <f>IF(H143,Wh_hp,'2026'!Maxi_hp)</f>
        <v>57.017522723417969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6.91786262188957E-2</v>
      </c>
      <c r="M143" s="957"/>
      <c r="N143" s="957"/>
      <c r="O143" s="48">
        <f>IF(t&lt;Tnet,'2026'!Resal+('2026'!Salim-'2026'!Resal)*(1-EXP(('2026'!Tnet-t)/('2026'!Tau_j))),Resal+(Salim-Resal)*(1-EXP((Tnet-t)/(Tau_j))))*Salcycl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8.1695053797545898E-4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8.0355754062973794E-2</v>
      </c>
      <c r="S143" s="919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-0.91964424593702621</v>
      </c>
      <c r="V143" s="383">
        <f t="shared" ref="V143:V206" si="58">MaxiM*(1-Ppv)*(1-Pvg)*(1-Psa)</f>
        <v>54.872949092563118</v>
      </c>
      <c r="W143" s="402">
        <f t="shared" ref="W143:W206" si="59">Wh*(A143&gt;Tmaj)</f>
        <v>52.530844838771309</v>
      </c>
      <c r="X143" s="157">
        <f t="shared" ref="X143:X206" si="60">t</f>
        <v>46516</v>
      </c>
      <c r="Y143" s="385">
        <f t="shared" ref="Y143:Y206" si="61">Wh_pvt_s*(1-Ppv)</f>
        <v>50.10516034119069</v>
      </c>
      <c r="Z143" s="385">
        <f t="shared" ref="Z143:Z206" si="62">Wh_sa_s*(1-Psa_s)</f>
        <v>53.828974873726544</v>
      </c>
      <c r="AA143" s="386">
        <f t="shared" ref="AA143:AA206" si="63">Wh_hp*(1-Pvg_s*MEDIAN((-Sdif+Wh/Env_an)/Csdif,0,1))</f>
        <v>56.798515077082484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5.228200419193902E-2</v>
      </c>
      <c r="AD143" s="231">
        <f>(INDEX(Models!$BJ143:$BT143,,AH143)*(1-AF143)+INDEX(Models!$BJ143:$BT143,,AH143+1)*AF143-ERP_i)*AE143*Ramure*Pc/MaxiM</f>
        <v>4.0415251796476577E-3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0.60534332043695294</v>
      </c>
      <c r="AG143" s="91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2.6053433204369529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1090">
        <f>IF(t&gt;Tmaj,'2026'!Wh/'2026'!Env_an*'2027'!Env_an,0.001*[7]mois!$B$47)</f>
        <v>50.065378422674662</v>
      </c>
      <c r="C144" s="953"/>
      <c r="D144" s="393">
        <f t="shared" si="50"/>
        <v>53.787414446225817</v>
      </c>
      <c r="E144" s="385">
        <f t="shared" ref="E144:E169" si="72">Wh_pvt/(1-Psa)</f>
        <v>54.306571823428179</v>
      </c>
      <c r="F144" s="385">
        <f t="shared" si="51"/>
        <v>54.34782252046945</v>
      </c>
      <c r="G144" s="110">
        <f t="shared" ref="G144:G169" si="73">+Wh_hp/MaxiM</f>
        <v>0.91201295536888538</v>
      </c>
      <c r="H144" s="412" t="b">
        <f>Wh_hp&gt;='2026'!Maxi_hp</f>
        <v>0</v>
      </c>
      <c r="I144" s="390">
        <f>IF(H144,Wh_hp,'2026'!Maxi_hp)</f>
        <v>54.353291069772212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6.919901359587155E-2</v>
      </c>
      <c r="M144" s="957"/>
      <c r="N144" s="957"/>
      <c r="O144" s="48">
        <f>IF(t&lt;Tnet,'2026'!Resal+('2026'!Salim-'2026'!Resal)*(1-EXP(('2026'!Tnet-t)/('2026'!Tau_j))),Resal+(Salim-Resal)*(1-EXP((Tnet-t)/(Tau_j))))*Salcycl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8.6799251982855839E-4</v>
      </c>
      <c r="Q144" s="305">
        <f t="shared" si="53"/>
        <v>0.7</v>
      </c>
      <c r="R144" s="177">
        <f t="shared" si="54"/>
        <v>8.3830747609692002E-2</v>
      </c>
      <c r="S144" s="919">
        <f t="shared" si="55"/>
        <v>-1</v>
      </c>
      <c r="T144" s="176">
        <f t="shared" si="56"/>
        <v>5</v>
      </c>
      <c r="U144" s="251">
        <f t="shared" si="57"/>
        <v>-0.916169252390308</v>
      </c>
      <c r="V144" s="383">
        <f t="shared" si="58"/>
        <v>54.889481422865579</v>
      </c>
      <c r="W144" s="402">
        <f t="shared" si="59"/>
        <v>50.065378422674662</v>
      </c>
      <c r="X144" s="157">
        <f t="shared" si="60"/>
        <v>46517</v>
      </c>
      <c r="Y144" s="385">
        <f t="shared" si="61"/>
        <v>47.760199165490349</v>
      </c>
      <c r="Z144" s="385">
        <f t="shared" si="62"/>
        <v>51.310860069022496</v>
      </c>
      <c r="AA144" s="386">
        <f t="shared" si="63"/>
        <v>54.14882681611725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5.2410493707133098E-2</v>
      </c>
      <c r="AD144" s="231">
        <f>(INDEX(Models!$BJ144:$BT144,,AH144)*(1-AF144)+INDEX(Models!$BJ144:$BT144,,AH144+1)*AF144-ERP_i)*AE144*Ramure*Pc/MaxiM</f>
        <v>4.1872451920731231E-3</v>
      </c>
      <c r="AE144" s="305">
        <f t="shared" si="65"/>
        <v>0.7</v>
      </c>
      <c r="AF144" s="177">
        <f t="shared" si="66"/>
        <v>0.60881831398367092</v>
      </c>
      <c r="AG144" s="919">
        <f t="shared" ref="AG144:AG207" si="74">INDEX(Echel_vg,AH144)</f>
        <v>2</v>
      </c>
      <c r="AH144" s="176">
        <f t="shared" si="67"/>
        <v>8</v>
      </c>
      <c r="AI144" s="225">
        <f t="shared" si="68"/>
        <v>2.6088183139836709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1090">
        <f>IF(t&gt;Tmaj,'2026'!Wh/'2026'!Env_an*'2027'!Env_an,0.001*[7]mois!$B$48)</f>
        <v>53.706050860927334</v>
      </c>
      <c r="C145" s="953"/>
      <c r="D145" s="393">
        <f t="shared" si="50"/>
        <v>57.700011035141387</v>
      </c>
      <c r="E145" s="385">
        <f t="shared" si="72"/>
        <v>58.265626933713037</v>
      </c>
      <c r="F145" s="385">
        <f t="shared" si="51"/>
        <v>58.317637765713968</v>
      </c>
      <c r="G145" s="110">
        <f t="shared" si="73"/>
        <v>0.97816479738979689</v>
      </c>
      <c r="H145" s="412" t="b">
        <f>Wh_hp&gt;='2026'!Maxi_hp</f>
        <v>0</v>
      </c>
      <c r="I145" s="390">
        <f>IF(H145,Wh_hp,'2026'!Maxi_hp)</f>
        <v>58.319176830397367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6.9219400526311592E-2</v>
      </c>
      <c r="M145" s="957"/>
      <c r="N145" s="957"/>
      <c r="O145" s="48">
        <f>IF(t&lt;Tnet,'2026'!Resal+('2026'!Salim-'2026'!Resal)*(1-EXP(('2026'!Tnet-t)/('2026'!Tau_j))),Resal+(Salim-Resal)*(1-EXP((Tnet-t)/(Tau_j))))*Salcycl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9.205315854305668E-4</v>
      </c>
      <c r="Q145" s="305">
        <f t="shared" si="53"/>
        <v>0.7</v>
      </c>
      <c r="R145" s="177">
        <f t="shared" si="54"/>
        <v>8.7387048668056244E-2</v>
      </c>
      <c r="S145" s="919">
        <f t="shared" si="55"/>
        <v>-1</v>
      </c>
      <c r="T145" s="176">
        <f t="shared" si="56"/>
        <v>5</v>
      </c>
      <c r="U145" s="251">
        <f t="shared" si="57"/>
        <v>-0.91261295133194376</v>
      </c>
      <c r="V145" s="383">
        <f t="shared" si="58"/>
        <v>54.903334777517756</v>
      </c>
      <c r="W145" s="402">
        <f t="shared" si="59"/>
        <v>53.706050860927334</v>
      </c>
      <c r="X145" s="157">
        <f t="shared" si="60"/>
        <v>46518</v>
      </c>
      <c r="Y145" s="385">
        <f t="shared" si="61"/>
        <v>51.212921558678943</v>
      </c>
      <c r="Z145" s="385">
        <f t="shared" si="62"/>
        <v>55.021475079774312</v>
      </c>
      <c r="AA145" s="386">
        <f t="shared" si="63"/>
        <v>58.072581562808999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5.253953588639295E-2</v>
      </c>
      <c r="AD145" s="231">
        <f>(INDEX(Models!$BJ145:$BT145,,AH145)*(1-AF145)+INDEX(Models!$BJ145:$BT145,,AH145+1)*AF145-ERP_i)*AE145*Ramure*Pc/MaxiM</f>
        <v>4.3372114288743472E-3</v>
      </c>
      <c r="AE145" s="305">
        <f t="shared" si="65"/>
        <v>0.7</v>
      </c>
      <c r="AF145" s="177">
        <f t="shared" si="66"/>
        <v>0.61237461504203505</v>
      </c>
      <c r="AG145" s="919">
        <f t="shared" si="74"/>
        <v>2</v>
      </c>
      <c r="AH145" s="176">
        <f t="shared" si="67"/>
        <v>8</v>
      </c>
      <c r="AI145" s="225">
        <f t="shared" si="68"/>
        <v>2.6123746150420351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1090">
        <f>IF(t&gt;Tmaj,'2026'!Wh/'2026'!Env_an*'2027'!Env_an,0.001*[7]mois!$B$49)</f>
        <v>41.343305390614965</v>
      </c>
      <c r="C146" s="953"/>
      <c r="D146" s="393">
        <f t="shared" si="50"/>
        <v>44.418857632313909</v>
      </c>
      <c r="E146" s="385">
        <f t="shared" si="72"/>
        <v>44.860982815328512</v>
      </c>
      <c r="F146" s="385">
        <f t="shared" si="51"/>
        <v>44.88928626366701</v>
      </c>
      <c r="G146" s="110">
        <f t="shared" si="73"/>
        <v>0.75260341422718224</v>
      </c>
      <c r="H146" s="412" t="b">
        <f>Wh_hp&gt;='2026'!Maxi_hp</f>
        <v>0</v>
      </c>
      <c r="I146" s="390">
        <f>IF(H146,Wh_hp,'2026'!Maxi_hp)</f>
        <v>54.342875304504368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6.9239787010225484E-2</v>
      </c>
      <c r="M146" s="957"/>
      <c r="N146" s="957"/>
      <c r="O146" s="48">
        <f>IF(t&lt;Tnet,'2026'!Resal+('2026'!Salim-'2026'!Resal)*(1-EXP(('2026'!Tnet-t)/('2026'!Tau_j))),Resal+(Salim-Resal)*(1-EXP((Tnet-t)/(Tau_j))))*Salcycl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9.7460404166431871E-4</v>
      </c>
      <c r="Q146" s="305">
        <f t="shared" si="53"/>
        <v>0.7</v>
      </c>
      <c r="R146" s="177">
        <f t="shared" si="54"/>
        <v>9.1024436315884971E-2</v>
      </c>
      <c r="S146" s="919">
        <f t="shared" si="55"/>
        <v>-1</v>
      </c>
      <c r="T146" s="176">
        <f t="shared" si="56"/>
        <v>5</v>
      </c>
      <c r="U146" s="251">
        <f t="shared" si="57"/>
        <v>-0.90897556368411503</v>
      </c>
      <c r="V146" s="383">
        <f t="shared" si="58"/>
        <v>54.914806297029806</v>
      </c>
      <c r="W146" s="402">
        <f t="shared" si="59"/>
        <v>41.343305390614965</v>
      </c>
      <c r="X146" s="157">
        <f t="shared" si="60"/>
        <v>46519</v>
      </c>
      <c r="Y146" s="385">
        <f t="shared" si="61"/>
        <v>39.465574103046507</v>
      </c>
      <c r="Z146" s="385">
        <f t="shared" si="62"/>
        <v>42.401440835417489</v>
      </c>
      <c r="AA146" s="386">
        <f t="shared" si="63"/>
        <v>44.758849475280755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5.266910717097871E-2</v>
      </c>
      <c r="AD146" s="231">
        <f>(INDEX(Models!$BJ146:$BT146,,AH146)*(1-AF146)+INDEX(Models!$BJ146:$BT146,,AH146+1)*AF146-ERP_i)*AE146*Ramure*Pc/MaxiM</f>
        <v>4.4914746649451576E-3</v>
      </c>
      <c r="AE146" s="305">
        <f t="shared" si="65"/>
        <v>0.7</v>
      </c>
      <c r="AF146" s="177">
        <f t="shared" si="66"/>
        <v>0.61601200268986389</v>
      </c>
      <c r="AG146" s="919">
        <f t="shared" si="74"/>
        <v>2</v>
      </c>
      <c r="AH146" s="176">
        <f t="shared" si="67"/>
        <v>8</v>
      </c>
      <c r="AI146" s="225">
        <f t="shared" si="68"/>
        <v>2.6160120026898639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1090">
        <f>IF(t&gt;Tmaj,'2026'!Wh/'2026'!Env_an*'2027'!Env_an,0.001*[7]mois!$B$50)</f>
        <v>37.856470092663876</v>
      </c>
      <c r="C147" s="953"/>
      <c r="D147" s="393">
        <f t="shared" si="50"/>
        <v>40.673525507790352</v>
      </c>
      <c r="E147" s="385">
        <f t="shared" si="72"/>
        <v>41.084513698859006</v>
      </c>
      <c r="F147" s="385">
        <f t="shared" si="51"/>
        <v>41.108064048632947</v>
      </c>
      <c r="G147" s="110">
        <f t="shared" si="73"/>
        <v>0.68893404215019471</v>
      </c>
      <c r="H147" s="412" t="b">
        <f>Wh_hp&gt;='2026'!Maxi_hp</f>
        <v>0</v>
      </c>
      <c r="I147" s="390">
        <f>IF(H147,Wh_hp,'2026'!Maxi_hp)</f>
        <v>61.987907498178245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6.9260173047623108E-2</v>
      </c>
      <c r="M147" s="957"/>
      <c r="N147" s="957"/>
      <c r="O147" s="48">
        <f>IF(t&lt;Tnet,'2026'!Resal+('2026'!Salim-'2026'!Resal)*(1-EXP(('2026'!Tnet-t)/('2026'!Tau_j))),Resal+(Salim-Resal)*(1-EXP((Tnet-t)/(Tau_j))))*Salcycl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1.0302446405296953E-3</v>
      </c>
      <c r="Q147" s="305">
        <f t="shared" si="53"/>
        <v>0.7</v>
      </c>
      <c r="R147" s="177">
        <f t="shared" si="54"/>
        <v>9.4742539441337148E-2</v>
      </c>
      <c r="S147" s="919">
        <f t="shared" si="55"/>
        <v>-1</v>
      </c>
      <c r="T147" s="176">
        <f t="shared" si="56"/>
        <v>5</v>
      </c>
      <c r="U147" s="251">
        <f t="shared" si="57"/>
        <v>-0.90525746055866285</v>
      </c>
      <c r="V147" s="383">
        <f t="shared" si="58"/>
        <v>54.924192993168056</v>
      </c>
      <c r="W147" s="402">
        <f t="shared" si="59"/>
        <v>37.856470092663876</v>
      </c>
      <c r="X147" s="157">
        <f t="shared" si="60"/>
        <v>46520</v>
      </c>
      <c r="Y147" s="385">
        <f t="shared" si="61"/>
        <v>36.147057135676597</v>
      </c>
      <c r="Z147" s="385">
        <f t="shared" si="62"/>
        <v>38.836908112159392</v>
      </c>
      <c r="AA147" s="386">
        <f t="shared" si="63"/>
        <v>41.001767922995285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5.2799182096286174E-2</v>
      </c>
      <c r="AD147" s="231">
        <f>(INDEX(Models!$BJ147:$BT147,,AH147)*(1-AF147)+INDEX(Models!$BJ147:$BT147,,AH147+1)*AF147-ERP_i)*AE147*Ramure*Pc/MaxiM</f>
        <v>4.6500801388708116E-3</v>
      </c>
      <c r="AE147" s="305">
        <f t="shared" si="65"/>
        <v>0.7</v>
      </c>
      <c r="AF147" s="177">
        <f t="shared" si="66"/>
        <v>0.61973010581531618</v>
      </c>
      <c r="AG147" s="919">
        <f t="shared" si="74"/>
        <v>2</v>
      </c>
      <c r="AH147" s="176">
        <f t="shared" si="67"/>
        <v>8</v>
      </c>
      <c r="AI147" s="225">
        <f t="shared" si="68"/>
        <v>2.6197301058153162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1090">
        <f>IF(t&gt;Tmaj,'2026'!Wh/'2026'!Env_an*'2027'!Env_an,0.001*[7]mois!$B$51)</f>
        <v>49.409415791733558</v>
      </c>
      <c r="C148" s="953"/>
      <c r="D148" s="393">
        <f t="shared" si="50"/>
        <v>53.087336092878751</v>
      </c>
      <c r="E148" s="385">
        <f t="shared" si="72"/>
        <v>53.631786310203026</v>
      </c>
      <c r="F148" s="385">
        <f t="shared" si="51"/>
        <v>53.681780444135129</v>
      </c>
      <c r="G148" s="110">
        <f t="shared" si="73"/>
        <v>0.89932787930821567</v>
      </c>
      <c r="H148" s="412" t="b">
        <f>Wh_hp&gt;='2026'!Maxi_hp</f>
        <v>0</v>
      </c>
      <c r="I148" s="390">
        <f>IF(H148,Wh_hp,'2026'!Maxi_hp)</f>
        <v>60.924968033525275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6.9280558638514123E-2</v>
      </c>
      <c r="M148" s="957"/>
      <c r="N148" s="957"/>
      <c r="O148" s="48">
        <f>IF(t&lt;Tnet,'2026'!Resal+('2026'!Salim-'2026'!Resal)*(1-EXP(('2026'!Tnet-t)/('2026'!Tau_j))),Resal+(Salim-Resal)*(1-EXP((Tnet-t)/(Tau_j))))*Salcycl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1.0874863581049792E-3</v>
      </c>
      <c r="Q148" s="305">
        <f t="shared" si="53"/>
        <v>0.7</v>
      </c>
      <c r="R148" s="177">
        <f t="shared" si="54"/>
        <v>9.8540831006939555E-2</v>
      </c>
      <c r="S148" s="919">
        <f t="shared" si="55"/>
        <v>-1</v>
      </c>
      <c r="T148" s="176">
        <f t="shared" si="56"/>
        <v>5</v>
      </c>
      <c r="U148" s="251">
        <f t="shared" si="57"/>
        <v>-0.90145916899306044</v>
      </c>
      <c r="V148" s="383">
        <f t="shared" si="58"/>
        <v>54.931791760088629</v>
      </c>
      <c r="W148" s="402">
        <f t="shared" si="59"/>
        <v>49.409415791733558</v>
      </c>
      <c r="X148" s="157">
        <f t="shared" si="60"/>
        <v>46521</v>
      </c>
      <c r="Y148" s="385">
        <f t="shared" si="61"/>
        <v>47.123128050533523</v>
      </c>
      <c r="Z148" s="385">
        <f t="shared" si="62"/>
        <v>50.630862488055818</v>
      </c>
      <c r="AA148" s="386">
        <f t="shared" si="63"/>
        <v>53.460513193619356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5.2929733302696159E-2</v>
      </c>
      <c r="AD148" s="231">
        <f>(INDEX(Models!$BJ148:$BT148,,AH148)*(1-AF148)+INDEX(Models!$BJ148:$BT148,,AH148+1)*AF148-ERP_i)*AE148*Ramure*Pc/MaxiM</f>
        <v>4.8130670041828978E-3</v>
      </c>
      <c r="AE148" s="305">
        <f t="shared" si="65"/>
        <v>0.7</v>
      </c>
      <c r="AF148" s="177">
        <f t="shared" si="66"/>
        <v>0.62352839738091825</v>
      </c>
      <c r="AG148" s="919">
        <f t="shared" si="74"/>
        <v>2</v>
      </c>
      <c r="AH148" s="176">
        <f t="shared" si="67"/>
        <v>8</v>
      </c>
      <c r="AI148" s="225">
        <f t="shared" si="68"/>
        <v>2.6235283973809183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1090">
        <f>IF(t&gt;Tmaj,'2026'!Wh/'2026'!Env_an*'2027'!Env_an,0.001*[7]mois!$B$52)</f>
        <v>50.408443400905028</v>
      </c>
      <c r="C149" s="953"/>
      <c r="D149" s="393">
        <f t="shared" si="50"/>
        <v>54.161915244434212</v>
      </c>
      <c r="E149" s="385">
        <f t="shared" si="72"/>
        <v>54.725583338674902</v>
      </c>
      <c r="F149" s="385">
        <f t="shared" si="51"/>
        <v>54.780987972849601</v>
      </c>
      <c r="G149" s="110">
        <f t="shared" si="73"/>
        <v>0.91744518571468503</v>
      </c>
      <c r="H149" s="412" t="b">
        <f>Wh_hp&gt;='2026'!Maxi_hp</f>
        <v>0</v>
      </c>
      <c r="I149" s="390">
        <f>IF(H149,Wh_hp,'2026'!Maxi_hp)</f>
        <v>61.115724809852011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6.9300943782908409E-2</v>
      </c>
      <c r="M149" s="957"/>
      <c r="N149" s="957"/>
      <c r="O149" s="48">
        <f>IF(t&lt;Tnet,'2026'!Resal+('2026'!Salim-'2026'!Resal)*(1-EXP(('2026'!Tnet-t)/('2026'!Tau_j))),Resal+(Salim-Resal)*(1-EXP((Tnet-t)/(Tau_j))))*Salcycl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1.1463801502710853E-3</v>
      </c>
      <c r="Q149" s="305">
        <f t="shared" si="53"/>
        <v>0.7</v>
      </c>
      <c r="R149" s="177">
        <f t="shared" si="54"/>
        <v>0.1024186227219791</v>
      </c>
      <c r="S149" s="919">
        <f t="shared" si="55"/>
        <v>-1</v>
      </c>
      <c r="T149" s="176">
        <f t="shared" si="56"/>
        <v>5</v>
      </c>
      <c r="U149" s="251">
        <f t="shared" si="57"/>
        <v>-0.8975813772780209</v>
      </c>
      <c r="V149" s="383">
        <f t="shared" si="58"/>
        <v>54.936940504363996</v>
      </c>
      <c r="W149" s="402">
        <f t="shared" si="59"/>
        <v>50.408443400905028</v>
      </c>
      <c r="X149" s="157">
        <f t="shared" si="60"/>
        <v>46522</v>
      </c>
      <c r="Y149" s="385">
        <f t="shared" si="61"/>
        <v>48.067190956441394</v>
      </c>
      <c r="Z149" s="385">
        <f t="shared" si="62"/>
        <v>51.646330395793811</v>
      </c>
      <c r="AA149" s="386">
        <f t="shared" si="63"/>
        <v>54.540277414667116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5.3060731555704607E-2</v>
      </c>
      <c r="AD149" s="231">
        <f>(INDEX(Models!$BJ149:$BT149,,AH149)*(1-AF149)+INDEX(Models!$BJ149:$BT149,,AH149+1)*AF149-ERP_i)*AE149*Ramure*Pc/MaxiM</f>
        <v>4.9805546047099972E-3</v>
      </c>
      <c r="AE149" s="305">
        <f t="shared" si="65"/>
        <v>0.7</v>
      </c>
      <c r="AF149" s="177">
        <f t="shared" si="66"/>
        <v>0.62740618909595813</v>
      </c>
      <c r="AG149" s="919">
        <f t="shared" si="74"/>
        <v>2</v>
      </c>
      <c r="AH149" s="176">
        <f t="shared" si="67"/>
        <v>8</v>
      </c>
      <c r="AI149" s="225">
        <f t="shared" si="68"/>
        <v>2.6274061890959581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1090">
        <f>IF(t&gt;Tmaj,'2026'!Wh/'2026'!Env_an*'2027'!Env_an,0.001*[7]mois!$B$53)</f>
        <v>48.5383569834448</v>
      </c>
      <c r="C150" s="953"/>
      <c r="D150" s="393">
        <f t="shared" si="50"/>
        <v>52.153722298388644</v>
      </c>
      <c r="E150" s="385">
        <f t="shared" si="72"/>
        <v>52.704392684794456</v>
      </c>
      <c r="F150" s="385">
        <f t="shared" si="51"/>
        <v>52.75747012157774</v>
      </c>
      <c r="G150" s="110">
        <f t="shared" si="73"/>
        <v>0.88332025504858469</v>
      </c>
      <c r="H150" s="412" t="b">
        <f>Wh_hp&gt;='2026'!Maxi_hp</f>
        <v>0</v>
      </c>
      <c r="I150" s="390">
        <f>IF(H150,Wh_hp,'2026'!Maxi_hp)</f>
        <v>53.059049152756259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6.9321328480815736E-2</v>
      </c>
      <c r="M150" s="957"/>
      <c r="N150" s="957"/>
      <c r="O150" s="48">
        <f>IF(t&lt;Tnet,'2026'!Resal+('2026'!Salim-'2026'!Resal)*(1-EXP(('2026'!Tnet-t)/('2026'!Tau_j))),Resal+(Salim-Resal)*(1-EXP((Tnet-t)/(Tau_j))))*Salcycl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1.2069373288937394E-3</v>
      </c>
      <c r="Q150" s="305">
        <f t="shared" si="53"/>
        <v>0.7</v>
      </c>
      <c r="R150" s="177">
        <f t="shared" si="54"/>
        <v>0.10637506018310527</v>
      </c>
      <c r="S150" s="919">
        <f t="shared" si="55"/>
        <v>-1</v>
      </c>
      <c r="T150" s="176">
        <f t="shared" si="56"/>
        <v>5</v>
      </c>
      <c r="U150" s="251">
        <f t="shared" si="57"/>
        <v>-0.89362493981689473</v>
      </c>
      <c r="V150" s="383">
        <f t="shared" si="58"/>
        <v>54.938847906452402</v>
      </c>
      <c r="W150" s="402">
        <f t="shared" si="59"/>
        <v>48.5383569834448</v>
      </c>
      <c r="X150" s="157">
        <f t="shared" si="60"/>
        <v>46523</v>
      </c>
      <c r="Y150" s="385">
        <f t="shared" si="61"/>
        <v>46.288840476760107</v>
      </c>
      <c r="Z150" s="385">
        <f t="shared" si="62"/>
        <v>49.736651213034641</v>
      </c>
      <c r="AA150" s="386">
        <f t="shared" si="63"/>
        <v>52.530881520606954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5.3192145775741127E-2</v>
      </c>
      <c r="AD150" s="231">
        <f>(INDEX(Models!$BJ150:$BT150,,AH150)*(1-AF150)+INDEX(Models!$BJ150:$BT150,,AH150+1)*AF150-ERP_i)*AE150*Ramure*Pc/MaxiM</f>
        <v>5.1524387270254534E-3</v>
      </c>
      <c r="AE150" s="305">
        <f t="shared" si="65"/>
        <v>0.7</v>
      </c>
      <c r="AF150" s="177">
        <f t="shared" si="66"/>
        <v>0.63136262655708419</v>
      </c>
      <c r="AG150" s="919">
        <f t="shared" si="74"/>
        <v>2</v>
      </c>
      <c r="AH150" s="176">
        <f t="shared" si="67"/>
        <v>8</v>
      </c>
      <c r="AI150" s="225">
        <f t="shared" si="68"/>
        <v>2.6313626265570842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1090">
        <f>IF(t&gt;Tmaj,'2026'!Wh/'2026'!Env_an*'2027'!Env_an,0.001*[7]mois!$B$54)</f>
        <v>51.97129560409423</v>
      </c>
      <c r="C151" s="953"/>
      <c r="D151" s="393">
        <f t="shared" si="50"/>
        <v>55.843585465372726</v>
      </c>
      <c r="E151" s="385">
        <f t="shared" si="72"/>
        <v>56.441685224999013</v>
      </c>
      <c r="F151" s="385">
        <f t="shared" si="51"/>
        <v>56.507847083413203</v>
      </c>
      <c r="G151" s="110">
        <f t="shared" si="73"/>
        <v>0.94591255450268985</v>
      </c>
      <c r="H151" s="412" t="b">
        <f>Wh_hp&gt;='2026'!Maxi_hp</f>
        <v>0</v>
      </c>
      <c r="I151" s="390">
        <f>IF(H151,Wh_hp,'2026'!Maxi_hp)</f>
        <v>56.512829738857199</v>
      </c>
      <c r="J151" s="85">
        <f>IF(H151,An,'2026'!An_max)</f>
        <v>2025</v>
      </c>
      <c r="K151" s="197">
        <f t="shared" si="52"/>
        <v>46524</v>
      </c>
      <c r="L151" s="147">
        <f>IF(t&lt;Tvie,1-EXP((T0-t)*PertePVj)+'2026'!Pspv,1-EXP((T0-t)*PertePVj)+Pspv)</f>
        <v>6.9341712732245875E-2</v>
      </c>
      <c r="M151" s="957"/>
      <c r="N151" s="957"/>
      <c r="O151" s="48">
        <f>IF(t&lt;Tnet,'2026'!Resal+('2026'!Salim-'2026'!Resal)*(1-EXP(('2026'!Tnet-t)/('2026'!Tau_j))),Resal+(Salim-Resal)*(1-EXP((Tnet-t)/(Tau_j))))*Salcycl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1.2687058221815531E-3</v>
      </c>
      <c r="Q151" s="305">
        <f t="shared" si="53"/>
        <v>0.7</v>
      </c>
      <c r="R151" s="177">
        <f t="shared" si="54"/>
        <v>0.11040911854307911</v>
      </c>
      <c r="S151" s="919">
        <f t="shared" si="55"/>
        <v>-1</v>
      </c>
      <c r="T151" s="176">
        <f t="shared" si="56"/>
        <v>5</v>
      </c>
      <c r="U151" s="251">
        <f t="shared" si="57"/>
        <v>-0.88959088145692089</v>
      </c>
      <c r="V151" s="383">
        <f t="shared" si="58"/>
        <v>54.93764024492009</v>
      </c>
      <c r="W151" s="402">
        <f t="shared" si="59"/>
        <v>51.97129560409423</v>
      </c>
      <c r="X151" s="157">
        <f t="shared" si="60"/>
        <v>46524</v>
      </c>
      <c r="Y151" s="385">
        <f t="shared" si="61"/>
        <v>49.540468418714966</v>
      </c>
      <c r="Z151" s="385">
        <f t="shared" si="62"/>
        <v>53.231641620209388</v>
      </c>
      <c r="AA151" s="386">
        <f t="shared" si="63"/>
        <v>56.230049583472649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5.3323943078018687E-2</v>
      </c>
      <c r="AD151" s="231">
        <f>(INDEX(Models!$BJ151:$BT151,,AH151)*(1-AF151)+INDEX(Models!$BJ151:$BT151,,AH151+1)*AF151-ERP_i)*AE151*Ramure*Pc/MaxiM</f>
        <v>5.3269861822150847E-3</v>
      </c>
      <c r="AE151" s="305">
        <f t="shared" si="65"/>
        <v>0.7</v>
      </c>
      <c r="AF151" s="177">
        <f t="shared" si="66"/>
        <v>0.63539668491705781</v>
      </c>
      <c r="AG151" s="919">
        <f t="shared" si="74"/>
        <v>2</v>
      </c>
      <c r="AH151" s="176">
        <f t="shared" si="67"/>
        <v>8</v>
      </c>
      <c r="AI151" s="225">
        <f t="shared" si="68"/>
        <v>2.6353966849170578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1090">
        <f>IF(t&gt;Tmaj,'2026'!Wh/'2026'!Env_an*'2027'!Env_an,0.001*[7]mois!$B$55)</f>
        <v>50.348508818846035</v>
      </c>
      <c r="C152" s="953"/>
      <c r="D152" s="393">
        <f t="shared" si="50"/>
        <v>54.101072642222398</v>
      </c>
      <c r="E152" s="385">
        <f t="shared" si="72"/>
        <v>54.688723183873321</v>
      </c>
      <c r="F152" s="385">
        <f t="shared" si="51"/>
        <v>54.752944039804326</v>
      </c>
      <c r="G152" s="110">
        <f t="shared" si="73"/>
        <v>0.91639127597855308</v>
      </c>
      <c r="H152" s="412" t="b">
        <f>Wh_hp&gt;='2026'!Maxi_hp</f>
        <v>0</v>
      </c>
      <c r="I152" s="390">
        <f>IF(H152,Wh_hp,'2026'!Maxi_hp)</f>
        <v>59.62470514235855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6.9362096537208595E-2</v>
      </c>
      <c r="M152" s="957"/>
      <c r="N152" s="957"/>
      <c r="O152" s="48">
        <f>IF(t&lt;Tnet,'2026'!Resal+('2026'!Salim-'2026'!Resal)*(1-EXP(('2026'!Tnet-t)/('2026'!Tau_j))),Resal+(Salim-Resal)*(1-EXP((Tnet-t)/(Tau_j))))*Salcycl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1.3317034496931261E-3</v>
      </c>
      <c r="Q152" s="305">
        <f t="shared" si="53"/>
        <v>0.7</v>
      </c>
      <c r="R152" s="177">
        <f t="shared" si="54"/>
        <v>0.11451959876703621</v>
      </c>
      <c r="S152" s="919">
        <f t="shared" si="55"/>
        <v>-1</v>
      </c>
      <c r="T152" s="176">
        <f t="shared" si="56"/>
        <v>5</v>
      </c>
      <c r="U152" s="251">
        <f t="shared" si="57"/>
        <v>-0.88548040123296379</v>
      </c>
      <c r="V152" s="383">
        <f t="shared" si="58"/>
        <v>54.933417930502536</v>
      </c>
      <c r="W152" s="402">
        <f t="shared" si="59"/>
        <v>50.348508818846035</v>
      </c>
      <c r="X152" s="157">
        <f t="shared" si="60"/>
        <v>46525</v>
      </c>
      <c r="Y152" s="385">
        <f t="shared" si="61"/>
        <v>47.99747953433971</v>
      </c>
      <c r="Z152" s="385">
        <f t="shared" si="62"/>
        <v>51.574816967745328</v>
      </c>
      <c r="AA152" s="386">
        <f t="shared" si="63"/>
        <v>54.487505924153474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5.3456088822685502E-2</v>
      </c>
      <c r="AD152" s="231">
        <f>(INDEX(Models!$BJ152:$BT152,,AH152)*(1-AF152)+INDEX(Models!$BJ152:$BT152,,AH152+1)*AF152-ERP_i)*AE152*Ramure*Pc/MaxiM</f>
        <v>5.5042065255567025E-3</v>
      </c>
      <c r="AE152" s="305">
        <f t="shared" si="65"/>
        <v>0.7</v>
      </c>
      <c r="AF152" s="177">
        <f t="shared" si="66"/>
        <v>0.63950716514101513</v>
      </c>
      <c r="AG152" s="919">
        <f t="shared" si="74"/>
        <v>2</v>
      </c>
      <c r="AH152" s="176">
        <f t="shared" si="67"/>
        <v>8</v>
      </c>
      <c r="AI152" s="225">
        <f t="shared" si="68"/>
        <v>2.6395071651410151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1090">
        <f>IF(t&gt;Tmaj,'2026'!Wh/'2026'!Env_an*'2027'!Env_an,0.001*[7]mois!$B$56)</f>
        <v>52.596540095592651</v>
      </c>
      <c r="C153" s="953"/>
      <c r="D153" s="393">
        <f t="shared" si="50"/>
        <v>56.517891571285482</v>
      </c>
      <c r="E153" s="385">
        <f t="shared" si="72"/>
        <v>57.140382621937341</v>
      </c>
      <c r="F153" s="385">
        <f t="shared" si="51"/>
        <v>57.215412610271621</v>
      </c>
      <c r="G153" s="110">
        <f t="shared" si="73"/>
        <v>0.95750310995280574</v>
      </c>
      <c r="H153" s="412" t="b">
        <f>Wh_hp&gt;='2026'!Maxi_hp</f>
        <v>0</v>
      </c>
      <c r="I153" s="390">
        <f>IF(H153,Wh_hp,'2026'!Maxi_hp)</f>
        <v>59.775748831066402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6.9382479895713556E-2</v>
      </c>
      <c r="M153" s="957"/>
      <c r="N153" s="957"/>
      <c r="O153" s="48">
        <f>IF(t&lt;Tnet,'2026'!Resal+('2026'!Salim-'2026'!Resal)*(1-EXP(('2026'!Tnet-t)/('2026'!Tau_j))),Resal+(Salim-Resal)*(1-EXP((Tnet-t)/(Tau_j))))*Salcycl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1.3959456363826996E-3</v>
      </c>
      <c r="Q153" s="305">
        <f t="shared" si="53"/>
        <v>0.7</v>
      </c>
      <c r="R153" s="177">
        <f t="shared" si="54"/>
        <v>0.11870512453433268</v>
      </c>
      <c r="S153" s="919">
        <f t="shared" si="55"/>
        <v>-1</v>
      </c>
      <c r="T153" s="176">
        <f t="shared" si="56"/>
        <v>5</v>
      </c>
      <c r="U153" s="251">
        <f t="shared" si="57"/>
        <v>-0.88129487546566732</v>
      </c>
      <c r="V153" s="383">
        <f t="shared" si="58"/>
        <v>54.926281472488334</v>
      </c>
      <c r="W153" s="402">
        <f t="shared" si="59"/>
        <v>52.596540095592651</v>
      </c>
      <c r="X153" s="157">
        <f t="shared" si="60"/>
        <v>46526</v>
      </c>
      <c r="Y153" s="385">
        <f t="shared" si="61"/>
        <v>50.123228740296675</v>
      </c>
      <c r="Z153" s="385">
        <f t="shared" si="62"/>
        <v>53.860181715340786</v>
      </c>
      <c r="AA153" s="386">
        <f t="shared" si="63"/>
        <v>56.90990057880461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5.3588546675473393E-2</v>
      </c>
      <c r="AD153" s="231">
        <f>(INDEX(Models!$BJ153:$BT153,,AH153)*(1-AF153)+INDEX(Models!$BJ153:$BT153,,AH153+1)*AF153-ERP_i)*AE153*Ramure*Pc/MaxiM</f>
        <v>5.684103072077281E-3</v>
      </c>
      <c r="AE153" s="305">
        <f t="shared" si="65"/>
        <v>0.7</v>
      </c>
      <c r="AF153" s="177">
        <f t="shared" si="66"/>
        <v>0.6436926909083116</v>
      </c>
      <c r="AG153" s="919">
        <f t="shared" si="74"/>
        <v>2</v>
      </c>
      <c r="AH153" s="176">
        <f t="shared" si="67"/>
        <v>8</v>
      </c>
      <c r="AI153" s="225">
        <f t="shared" si="68"/>
        <v>2.6436926909083116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1090">
        <f>IF(t&gt;Tmaj,'2026'!Wh/'2026'!Env_an*'2027'!Env_an,0.001*[7]mois!$B$57)</f>
        <v>47.706447976171134</v>
      </c>
      <c r="C154" s="953"/>
      <c r="D154" s="393">
        <f t="shared" si="50"/>
        <v>51.264339927059787</v>
      </c>
      <c r="E154" s="385">
        <f t="shared" si="72"/>
        <v>51.83676578065068</v>
      </c>
      <c r="F154" s="385">
        <f t="shared" si="51"/>
        <v>51.898387012637897</v>
      </c>
      <c r="G154" s="110">
        <f t="shared" si="73"/>
        <v>0.86847308874106266</v>
      </c>
      <c r="H154" s="412" t="b">
        <f>Wh_hp&gt;='2026'!Maxi_hp</f>
        <v>0</v>
      </c>
      <c r="I154" s="390">
        <f>IF(H154,Wh_hp,'2026'!Maxi_hp)</f>
        <v>61.745336141235896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6.9402862807770749E-2</v>
      </c>
      <c r="M154" s="957"/>
      <c r="N154" s="957"/>
      <c r="O154" s="48">
        <f>IF(t&lt;Tnet,'2026'!Resal+('2026'!Salim-'2026'!Resal)*(1-EXP(('2026'!Tnet-t)/('2026'!Tau_j))),Resal+(Salim-Resal)*(1-EXP((Tnet-t)/(Tau_j))))*Salcycl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1.461445271206905E-3</v>
      </c>
      <c r="Q154" s="305">
        <f t="shared" si="53"/>
        <v>0.7</v>
      </c>
      <c r="R154" s="177">
        <f t="shared" si="54"/>
        <v>0.12296413984199328</v>
      </c>
      <c r="S154" s="919">
        <f t="shared" si="55"/>
        <v>-1</v>
      </c>
      <c r="T154" s="176">
        <f t="shared" si="56"/>
        <v>5</v>
      </c>
      <c r="U154" s="251">
        <f t="shared" si="57"/>
        <v>-0.87703586015800672</v>
      </c>
      <c r="V154" s="383">
        <f t="shared" si="58"/>
        <v>54.916331485533689</v>
      </c>
      <c r="W154" s="402">
        <f t="shared" si="59"/>
        <v>47.706447976171134</v>
      </c>
      <c r="X154" s="157">
        <f t="shared" si="60"/>
        <v>46527</v>
      </c>
      <c r="Y154" s="385">
        <f t="shared" si="61"/>
        <v>45.484109767406153</v>
      </c>
      <c r="Z154" s="385">
        <f t="shared" si="62"/>
        <v>48.876262293949765</v>
      </c>
      <c r="AA154" s="386">
        <f t="shared" si="63"/>
        <v>51.651021197767655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5.3721278678955001E-2</v>
      </c>
      <c r="AD154" s="231">
        <f>(INDEX(Models!$BJ154:$BT154,,AH154)*(1-AF154)+INDEX(Models!$BJ154:$BT154,,AH154+1)*AF154-ERP_i)*AE154*Ramure*Pc/MaxiM</f>
        <v>5.8666727155890367E-3</v>
      </c>
      <c r="AE154" s="305">
        <f t="shared" si="65"/>
        <v>0.7</v>
      </c>
      <c r="AF154" s="177">
        <f t="shared" si="66"/>
        <v>0.64795170621597231</v>
      </c>
      <c r="AG154" s="919">
        <f t="shared" si="74"/>
        <v>2</v>
      </c>
      <c r="AH154" s="176">
        <f t="shared" si="67"/>
        <v>8</v>
      </c>
      <c r="AI154" s="225">
        <f t="shared" si="68"/>
        <v>2.6479517062159723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1090">
        <f>IF(t&gt;Tmaj,'2026'!Wh/'2026'!Env_an*'2027'!Env_an,0.001*[7]mois!$B$58)</f>
        <v>48.290112858109325</v>
      </c>
      <c r="C155" s="953"/>
      <c r="D155" s="393">
        <f t="shared" si="50"/>
        <v>51.892670446401013</v>
      </c>
      <c r="E155" s="385">
        <f t="shared" si="72"/>
        <v>52.480012601495112</v>
      </c>
      <c r="F155" s="385">
        <f t="shared" si="51"/>
        <v>52.546496246030081</v>
      </c>
      <c r="G155" s="110">
        <f t="shared" si="73"/>
        <v>0.87931095821299798</v>
      </c>
      <c r="H155" s="412" t="b">
        <f>Wh_hp&gt;='2026'!Maxi_hp</f>
        <v>0</v>
      </c>
      <c r="I155" s="390">
        <f>IF(H155,Wh_hp,'2026'!Maxi_hp)</f>
        <v>58.246676654523853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6.9423245273389944E-2</v>
      </c>
      <c r="M155" s="957"/>
      <c r="N155" s="957"/>
      <c r="O155" s="48">
        <f>IF(t&lt;Tnet,'2026'!Resal+('2026'!Salim-'2026'!Resal)*(1-EXP(('2026'!Tnet-t)/('2026'!Tau_j))),Resal+(Salim-Resal)*(1-EXP((Tnet-t)/(Tau_j))))*Salcycl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1.5282125692126617E-3</v>
      </c>
      <c r="Q155" s="305">
        <f t="shared" si="53"/>
        <v>0.7</v>
      </c>
      <c r="R155" s="177">
        <f t="shared" si="54"/>
        <v>0.12729490736293614</v>
      </c>
      <c r="S155" s="919">
        <f t="shared" si="55"/>
        <v>-1</v>
      </c>
      <c r="T155" s="176">
        <f t="shared" si="56"/>
        <v>5</v>
      </c>
      <c r="U155" s="251">
        <f t="shared" si="57"/>
        <v>-0.87270509263706386</v>
      </c>
      <c r="V155" s="383">
        <f t="shared" si="58"/>
        <v>54.903668699828394</v>
      </c>
      <c r="W155" s="402">
        <f t="shared" si="59"/>
        <v>48.290112858109325</v>
      </c>
      <c r="X155" s="157">
        <f t="shared" si="60"/>
        <v>46528</v>
      </c>
      <c r="Y155" s="385">
        <f t="shared" si="61"/>
        <v>46.033342864493001</v>
      </c>
      <c r="Z155" s="385">
        <f t="shared" si="62"/>
        <v>49.46754002899732</v>
      </c>
      <c r="AA155" s="386">
        <f t="shared" si="63"/>
        <v>52.283213009271179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5.3854245334435884E-2</v>
      </c>
      <c r="AD155" s="231">
        <f>(INDEX(Models!$BJ155:$BT155,,AH155)*(1-AF155)+INDEX(Models!$BJ155:$BT155,,AH155+1)*AF155-ERP_i)*AE155*Ramure*Pc/MaxiM</f>
        <v>6.0519057655804226E-3</v>
      </c>
      <c r="AE155" s="305">
        <f t="shared" si="65"/>
        <v>0.7</v>
      </c>
      <c r="AF155" s="177">
        <f t="shared" si="66"/>
        <v>0.65228247373691506</v>
      </c>
      <c r="AG155" s="919">
        <f t="shared" si="74"/>
        <v>2</v>
      </c>
      <c r="AH155" s="176">
        <f t="shared" si="67"/>
        <v>8</v>
      </c>
      <c r="AI155" s="225">
        <f t="shared" si="68"/>
        <v>2.6522824737369151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1090">
        <f>IF(t&gt;Tmaj,'2026'!Wh/'2026'!Env_an*'2027'!Env_an,0.001*[7]mois!$B$59)</f>
        <v>36.9392398552896</v>
      </c>
      <c r="C156" s="953"/>
      <c r="D156" s="393">
        <f t="shared" si="50"/>
        <v>39.695864687720366</v>
      </c>
      <c r="E156" s="385">
        <f t="shared" si="72"/>
        <v>40.151206923837329</v>
      </c>
      <c r="F156" s="385">
        <f t="shared" si="51"/>
        <v>40.185388181704297</v>
      </c>
      <c r="G156" s="110">
        <f t="shared" si="73"/>
        <v>0.67248591946705794</v>
      </c>
      <c r="H156" s="412" t="b">
        <f>Wh_hp&gt;='2026'!Maxi_hp</f>
        <v>0</v>
      </c>
      <c r="I156" s="390">
        <f>IF(H156,Wh_hp,'2026'!Maxi_hp)</f>
        <v>58.677512490213942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6.944362729258069E-2</v>
      </c>
      <c r="M156" s="957"/>
      <c r="N156" s="957"/>
      <c r="O156" s="48">
        <f>IF(t&lt;Tnet,'2026'!Resal+('2026'!Salim-'2026'!Resal)*(1-EXP(('2026'!Tnet-t)/('2026'!Tau_j))),Resal+(Salim-Resal)*(1-EXP((Tnet-t)/(Tau_j))))*Salcycl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1.5963304391666685E-3</v>
      </c>
      <c r="Q156" s="305">
        <f t="shared" si="53"/>
        <v>0.7</v>
      </c>
      <c r="R156" s="177">
        <f t="shared" si="54"/>
        <v>0.1316955076084918</v>
      </c>
      <c r="S156" s="919">
        <f t="shared" si="55"/>
        <v>-1</v>
      </c>
      <c r="T156" s="176">
        <f t="shared" si="56"/>
        <v>5</v>
      </c>
      <c r="U156" s="251">
        <f t="shared" si="57"/>
        <v>-0.8683044923915082</v>
      </c>
      <c r="V156" s="383">
        <f t="shared" si="58"/>
        <v>54.888389811105213</v>
      </c>
      <c r="W156" s="402">
        <f t="shared" si="59"/>
        <v>36.9392398552896</v>
      </c>
      <c r="X156" s="157">
        <f t="shared" si="60"/>
        <v>46529</v>
      </c>
      <c r="Y156" s="385">
        <f t="shared" si="61"/>
        <v>35.258304974025208</v>
      </c>
      <c r="Z156" s="385">
        <f t="shared" si="62"/>
        <v>37.889488491108253</v>
      </c>
      <c r="AA156" s="386">
        <f t="shared" si="63"/>
        <v>40.05178019740945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5.3987405694417949E-2</v>
      </c>
      <c r="AD156" s="231">
        <f>(INDEX(Models!$BJ156:$BT156,,AH156)*(1-AF156)+INDEX(Models!$BJ156:$BT156,,AH156+1)*AF156-ERP_i)*AE156*Ramure*Pc/MaxiM</f>
        <v>6.2397496626848932E-3</v>
      </c>
      <c r="AE156" s="305">
        <f t="shared" si="65"/>
        <v>0.7</v>
      </c>
      <c r="AF156" s="177">
        <f t="shared" si="66"/>
        <v>0.6566830739824705</v>
      </c>
      <c r="AG156" s="919">
        <f t="shared" si="74"/>
        <v>2</v>
      </c>
      <c r="AH156" s="176">
        <f t="shared" si="67"/>
        <v>8</v>
      </c>
      <c r="AI156" s="225">
        <f t="shared" si="68"/>
        <v>2.6566830739824705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1090">
        <f>IF(t&gt;Tmaj,'2026'!Wh/'2026'!Env_an*'2027'!Env_an,0.001*[7]mois!$B$60)</f>
        <v>17.252956247287905</v>
      </c>
      <c r="C157" s="953"/>
      <c r="D157" s="393">
        <f t="shared" si="50"/>
        <v>18.540880107442756</v>
      </c>
      <c r="E157" s="385">
        <f t="shared" si="72"/>
        <v>18.756385602484244</v>
      </c>
      <c r="F157" s="385">
        <f t="shared" si="51"/>
        <v>18.757029677119583</v>
      </c>
      <c r="G157" s="110">
        <f t="shared" si="73"/>
        <v>0.31391690626279611</v>
      </c>
      <c r="H157" s="412" t="b">
        <f>Wh_hp&gt;='2026'!Maxi_hp</f>
        <v>0</v>
      </c>
      <c r="I157" s="390">
        <f>IF(H157,Wh_hp,'2026'!Maxi_hp)</f>
        <v>53.955691624579302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6.9464008865352977E-2</v>
      </c>
      <c r="M157" s="957"/>
      <c r="N157" s="957"/>
      <c r="O157" s="48">
        <f>IF(t&lt;Tnet,'2026'!Resal+('2026'!Salim-'2026'!Resal)*(1-EXP(('2026'!Tnet-t)/('2026'!Tau_j))),Resal+(Salim-Resal)*(1-EXP((Tnet-t)/(Tau_j))))*Salcycl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1.6657402636618911E-3</v>
      </c>
      <c r="Q157" s="305">
        <f t="shared" si="53"/>
        <v>0.7</v>
      </c>
      <c r="R157" s="177">
        <f t="shared" si="54"/>
        <v>0.13616383894026407</v>
      </c>
      <c r="S157" s="919">
        <f t="shared" si="55"/>
        <v>-1</v>
      </c>
      <c r="T157" s="176">
        <f t="shared" si="56"/>
        <v>5</v>
      </c>
      <c r="U157" s="251">
        <f t="shared" si="57"/>
        <v>-0.86383616105973593</v>
      </c>
      <c r="V157" s="383">
        <f t="shared" si="58"/>
        <v>54.870599261578576</v>
      </c>
      <c r="W157" s="402">
        <f t="shared" si="59"/>
        <v>17.252956247287905</v>
      </c>
      <c r="X157" s="157">
        <f t="shared" si="60"/>
        <v>46530</v>
      </c>
      <c r="Y157" s="385">
        <f t="shared" si="61"/>
        <v>16.507275025083928</v>
      </c>
      <c r="Z157" s="385">
        <f t="shared" si="62"/>
        <v>17.739534184976357</v>
      </c>
      <c r="AA157" s="386">
        <f t="shared" si="63"/>
        <v>18.754543536932704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5.412071746547837E-2</v>
      </c>
      <c r="AD157" s="231">
        <f>(INDEX(Models!$BJ157:$BT157,,AH157)*(1-AF157)+INDEX(Models!$BJ157:$BT157,,AH157+1)*AF157-ERP_i)*AE157*Ramure*Pc/MaxiM</f>
        <v>6.42978869709665E-3</v>
      </c>
      <c r="AE157" s="305">
        <f t="shared" si="65"/>
        <v>0.7</v>
      </c>
      <c r="AF157" s="177">
        <f t="shared" si="66"/>
        <v>0.66115140531424288</v>
      </c>
      <c r="AG157" s="919">
        <f t="shared" si="74"/>
        <v>2</v>
      </c>
      <c r="AH157" s="176">
        <f t="shared" si="67"/>
        <v>8</v>
      </c>
      <c r="AI157" s="225">
        <f t="shared" si="68"/>
        <v>2.6611514053142429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1090">
        <f>IF(t&gt;Tmaj,'2026'!Wh/'2026'!Env_an*'2027'!Env_an,0.001*[7]mois!$B$61)</f>
        <v>16.400504094446809</v>
      </c>
      <c r="C158" s="953"/>
      <c r="D158" s="393">
        <f t="shared" si="50"/>
        <v>17.625178898719184</v>
      </c>
      <c r="E158" s="385">
        <f t="shared" si="72"/>
        <v>17.832730546375991</v>
      </c>
      <c r="F158" s="385">
        <f t="shared" si="51"/>
        <v>17.832730546375991</v>
      </c>
      <c r="G158" s="110">
        <f t="shared" si="73"/>
        <v>0.29848508121018424</v>
      </c>
      <c r="H158" s="412" t="b">
        <f>Wh_hp&gt;='2026'!Maxi_hp</f>
        <v>0</v>
      </c>
      <c r="I158" s="390">
        <f>IF(H158,Wh_hp,'2026'!Maxi_hp)</f>
        <v>25.770368698840517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6.9484389991716466E-2</v>
      </c>
      <c r="M158" s="957"/>
      <c r="N158" s="957"/>
      <c r="O158" s="48">
        <f>IF(t&lt;Tnet,'2026'!Resal+('2026'!Salim-'2026'!Resal)*(1-EXP(('2026'!Tnet-t)/('2026'!Tau_j))),Resal+(Salim-Resal)*(1-EXP((Tnet-t)/(Tau_j))))*Salcycl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1.7364415095158536E-3</v>
      </c>
      <c r="Q158" s="305">
        <f t="shared" si="53"/>
        <v>0.7</v>
      </c>
      <c r="R158" s="177">
        <f t="shared" si="54"/>
        <v>0.14069761847109363</v>
      </c>
      <c r="S158" s="919">
        <f t="shared" si="55"/>
        <v>-1</v>
      </c>
      <c r="T158" s="176">
        <f t="shared" si="56"/>
        <v>5</v>
      </c>
      <c r="U158" s="251">
        <f t="shared" si="57"/>
        <v>-0.85930238152890637</v>
      </c>
      <c r="V158" s="383">
        <f t="shared" si="58"/>
        <v>54.85039825769897</v>
      </c>
      <c r="W158" s="402">
        <f t="shared" si="59"/>
        <v>16.400504094446809</v>
      </c>
      <c r="X158" s="157">
        <f t="shared" si="60"/>
        <v>46531</v>
      </c>
      <c r="Y158" s="385">
        <f t="shared" si="61"/>
        <v>15.69336084036768</v>
      </c>
      <c r="Z158" s="385">
        <f t="shared" si="62"/>
        <v>16.865231138065461</v>
      </c>
      <c r="AA158" s="386">
        <f t="shared" si="63"/>
        <v>17.832730546375991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5.4254137121314251E-2</v>
      </c>
      <c r="AD158" s="231">
        <f>(INDEX(Models!$BJ158:$BT158,,AH158)*(1-AF158)+INDEX(Models!$BJ158:$BT158,,AH158+1)*AF158-ERP_i)*AE158*Ramure*Pc/MaxiM</f>
        <v>6.6219478339961989E-3</v>
      </c>
      <c r="AE158" s="305">
        <f t="shared" si="65"/>
        <v>0.7</v>
      </c>
      <c r="AF158" s="177">
        <f t="shared" si="66"/>
        <v>0.66568518484507244</v>
      </c>
      <c r="AG158" s="919">
        <f t="shared" si="74"/>
        <v>2</v>
      </c>
      <c r="AH158" s="176">
        <f t="shared" si="67"/>
        <v>8</v>
      </c>
      <c r="AI158" s="225">
        <f t="shared" si="68"/>
        <v>2.6656851848450724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1090">
        <f>IF(t&gt;Tmaj,'2026'!Wh/'2026'!Env_an*'2027'!Env_an,0.001*[7]mois!$B$62)</f>
        <v>38.204245203549235</v>
      </c>
      <c r="C159" s="953"/>
      <c r="D159" s="393">
        <f t="shared" si="50"/>
        <v>41.057969992094527</v>
      </c>
      <c r="E159" s="385">
        <f t="shared" si="72"/>
        <v>41.5477324729654</v>
      </c>
      <c r="F159" s="385">
        <f t="shared" si="51"/>
        <v>41.590368236495166</v>
      </c>
      <c r="G159" s="110">
        <f t="shared" si="73"/>
        <v>0.69625678824971704</v>
      </c>
      <c r="H159" s="412" t="b">
        <f>Wh_hp&gt;='2026'!Maxi_hp</f>
        <v>0</v>
      </c>
      <c r="I159" s="390">
        <f>IF(H159,Wh_hp,'2026'!Maxi_hp)</f>
        <v>55.122596698708996</v>
      </c>
      <c r="J159" s="85">
        <f>IF(H159,An,'2026'!An_max)</f>
        <v>2021</v>
      </c>
      <c r="K159" s="197">
        <f t="shared" si="52"/>
        <v>46532</v>
      </c>
      <c r="L159" s="147">
        <f>IF(t&lt;Tvie,1-EXP((T0-t)*PertePVj)+'2026'!Pspv,1-EXP((T0-t)*PertePVj)+Pspv)</f>
        <v>6.9504770671681038E-2</v>
      </c>
      <c r="M159" s="957"/>
      <c r="N159" s="957"/>
      <c r="O159" s="48">
        <f>IF(t&lt;Tnet,'2026'!Resal+('2026'!Salim-'2026'!Resal)*(1-EXP(('2026'!Tnet-t)/('2026'!Tau_j))),Resal+(Salim-Resal)*(1-EXP((Tnet-t)/(Tau_j))))*Salcycl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1.8084403969684448E-3</v>
      </c>
      <c r="Q159" s="305">
        <f t="shared" si="53"/>
        <v>0.7</v>
      </c>
      <c r="R159" s="177">
        <f t="shared" si="54"/>
        <v>0.14529438388881066</v>
      </c>
      <c r="S159" s="919">
        <f t="shared" si="55"/>
        <v>-1</v>
      </c>
      <c r="T159" s="176">
        <f t="shared" si="56"/>
        <v>5</v>
      </c>
      <c r="U159" s="251">
        <f t="shared" si="57"/>
        <v>-0.85470561611118934</v>
      </c>
      <c r="V159" s="383">
        <f t="shared" si="58"/>
        <v>54.827887593681162</v>
      </c>
      <c r="W159" s="402">
        <f t="shared" si="59"/>
        <v>38.204245203549235</v>
      </c>
      <c r="X159" s="157">
        <f t="shared" si="60"/>
        <v>46532</v>
      </c>
      <c r="Y159" s="385">
        <f t="shared" si="61"/>
        <v>36.453461560761632</v>
      </c>
      <c r="Z159" s="385">
        <f t="shared" si="62"/>
        <v>39.176408875385299</v>
      </c>
      <c r="AA159" s="386">
        <f t="shared" si="63"/>
        <v>41.429670026577128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5.4387620025608853E-2</v>
      </c>
      <c r="AD159" s="231">
        <f>(INDEX(Models!$BJ159:$BT159,,AH159)*(1-AF159)+INDEX(Models!$BJ159:$BT159,,AH159+1)*AF159-ERP_i)*AE159*Ramure*Pc/MaxiM</f>
        <v>6.8161822488155572E-3</v>
      </c>
      <c r="AE159" s="305">
        <f t="shared" si="65"/>
        <v>0.7</v>
      </c>
      <c r="AF159" s="177">
        <f t="shared" si="66"/>
        <v>0.67028195026278947</v>
      </c>
      <c r="AG159" s="919">
        <f t="shared" si="74"/>
        <v>2</v>
      </c>
      <c r="AH159" s="176">
        <f t="shared" si="67"/>
        <v>8</v>
      </c>
      <c r="AI159" s="225">
        <f t="shared" si="68"/>
        <v>2.6702819502627895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1090">
        <f>IF(t&gt;Tmaj,'2026'!Wh/'2026'!Env_an*'2027'!Env_an,0.001*[7]mois!$B$63)</f>
        <v>25.997875019558858</v>
      </c>
      <c r="C160" s="953"/>
      <c r="D160" s="393">
        <f t="shared" si="50"/>
        <v>27.940438201905316</v>
      </c>
      <c r="E160" s="385">
        <f t="shared" si="72"/>
        <v>28.277996455617242</v>
      </c>
      <c r="F160" s="385">
        <f t="shared" si="51"/>
        <v>28.291258988846906</v>
      </c>
      <c r="G160" s="110">
        <f t="shared" si="73"/>
        <v>0.47371575103425717</v>
      </c>
      <c r="H160" s="412" t="b">
        <f>Wh_hp&gt;='2026'!Maxi_hp</f>
        <v>0</v>
      </c>
      <c r="I160" s="390">
        <f>IF(H160,Wh_hp,'2026'!Maxi_hp)</f>
        <v>58.823190702914935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6.952515090525635E-2</v>
      </c>
      <c r="M160" s="957"/>
      <c r="N160" s="957"/>
      <c r="O160" s="48">
        <f>IF(t&lt;Tnet,'2026'!Resal+('2026'!Salim-'2026'!Resal)*(1-EXP(('2026'!Tnet-t)/('2026'!Tau_j))),Resal+(Salim-Resal)*(1-EXP((Tnet-t)/(Tau_j))))*Salcycl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1.8817406115033053E-3</v>
      </c>
      <c r="Q160" s="305">
        <f t="shared" si="53"/>
        <v>0.7</v>
      </c>
      <c r="R160" s="177">
        <f t="shared" si="54"/>
        <v>0.14995149622964299</v>
      </c>
      <c r="S160" s="919">
        <f t="shared" si="55"/>
        <v>-1</v>
      </c>
      <c r="T160" s="176">
        <f t="shared" si="56"/>
        <v>5</v>
      </c>
      <c r="U160" s="251">
        <f t="shared" si="57"/>
        <v>-0.85004850377035701</v>
      </c>
      <c r="V160" s="383">
        <f t="shared" si="58"/>
        <v>54.803168155703418</v>
      </c>
      <c r="W160" s="402">
        <f t="shared" si="59"/>
        <v>25.997875019558858</v>
      </c>
      <c r="X160" s="157">
        <f t="shared" si="60"/>
        <v>46533</v>
      </c>
      <c r="Y160" s="385">
        <f t="shared" si="61"/>
        <v>24.845594046875242</v>
      </c>
      <c r="Z160" s="385">
        <f t="shared" si="62"/>
        <v>26.702058708032194</v>
      </c>
      <c r="AA160" s="386">
        <f t="shared" si="63"/>
        <v>28.241835210500415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5.452112056428008E-2</v>
      </c>
      <c r="AD160" s="231">
        <f>(INDEX(Models!$BJ160:$BT160,,AH160)*(1-AF160)+INDEX(Models!$BJ160:$BT160,,AH160+1)*AF160-ERP_i)*AE160*Ramure*Pc/MaxiM</f>
        <v>7.012440932513824E-3</v>
      </c>
      <c r="AE160" s="305">
        <f t="shared" si="65"/>
        <v>0.7</v>
      </c>
      <c r="AF160" s="177">
        <f t="shared" si="66"/>
        <v>0.67493906260362202</v>
      </c>
      <c r="AG160" s="919">
        <f t="shared" si="74"/>
        <v>2</v>
      </c>
      <c r="AH160" s="176">
        <f t="shared" si="67"/>
        <v>8</v>
      </c>
      <c r="AI160" s="225">
        <f t="shared" si="68"/>
        <v>2.674939062603622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1090">
        <f>IF(t&gt;Tmaj,'2026'!Wh/'2026'!Env_an*'2027'!Env_an,0.001*[7]mois!$B$64)</f>
        <v>41.432467979630289</v>
      </c>
      <c r="C161" s="953"/>
      <c r="D161" s="393">
        <f t="shared" si="50"/>
        <v>44.529280417627199</v>
      </c>
      <c r="E161" s="385">
        <f t="shared" si="72"/>
        <v>45.074061542843303</v>
      </c>
      <c r="F161" s="385">
        <f t="shared" si="51"/>
        <v>45.131627728535591</v>
      </c>
      <c r="G161" s="110">
        <f t="shared" si="73"/>
        <v>0.75587786563666781</v>
      </c>
      <c r="H161" s="412" t="b">
        <f>Wh_hp&gt;='2026'!Maxi_hp</f>
        <v>0</v>
      </c>
      <c r="I161" s="390">
        <f>IF(H161,Wh_hp,'2026'!Maxi_hp)</f>
        <v>60.55384086599669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6.9545530692452284E-2</v>
      </c>
      <c r="M161" s="957"/>
      <c r="N161" s="957"/>
      <c r="O161" s="48">
        <f>IF(t&lt;Tnet,'2026'!Resal+('2026'!Salim-'2026'!Resal)*(1-EXP(('2026'!Tnet-t)/('2026'!Tau_j))),Resal+(Salim-Resal)*(1-EXP((Tnet-t)/(Tau_j))))*Salcycl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1.9563432262234928E-3</v>
      </c>
      <c r="Q161" s="305">
        <f t="shared" si="53"/>
        <v>0.7</v>
      </c>
      <c r="R161" s="177">
        <f t="shared" si="54"/>
        <v>0.15466614362061892</v>
      </c>
      <c r="S161" s="919">
        <f t="shared" si="55"/>
        <v>-1</v>
      </c>
      <c r="T161" s="176">
        <f t="shared" si="56"/>
        <v>5</v>
      </c>
      <c r="U161" s="251">
        <f t="shared" si="57"/>
        <v>-0.84533385637938108</v>
      </c>
      <c r="V161" s="383">
        <f t="shared" si="58"/>
        <v>54.77634092760681</v>
      </c>
      <c r="W161" s="402">
        <f t="shared" si="59"/>
        <v>41.432467979630289</v>
      </c>
      <c r="X161" s="157">
        <f t="shared" si="60"/>
        <v>46534</v>
      </c>
      <c r="Y161" s="385">
        <f t="shared" si="61"/>
        <v>39.5111876800581</v>
      </c>
      <c r="Z161" s="385">
        <f t="shared" si="62"/>
        <v>42.46439668290558</v>
      </c>
      <c r="AA161" s="386">
        <f t="shared" si="63"/>
        <v>44.919450960911178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5.4654592286579456E-2</v>
      </c>
      <c r="AD161" s="231">
        <f>(INDEX(Models!$BJ161:$BT161,,AH161)*(1-AF161)+INDEX(Models!$BJ161:$BT161,,AH161+1)*AF161-ERP_i)*AE161*Ramure*Pc/MaxiM</f>
        <v>7.2106667675150534E-3</v>
      </c>
      <c r="AE161" s="305">
        <f t="shared" si="65"/>
        <v>0.7</v>
      </c>
      <c r="AF161" s="177">
        <f t="shared" si="66"/>
        <v>0.67965370999459784</v>
      </c>
      <c r="AG161" s="919">
        <f t="shared" si="74"/>
        <v>2</v>
      </c>
      <c r="AH161" s="176">
        <f t="shared" si="67"/>
        <v>8</v>
      </c>
      <c r="AI161" s="225">
        <f t="shared" si="68"/>
        <v>2.6796537099945978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1090">
        <f>IF(t&gt;Tmaj,'2026'!Wh/'2026'!Env_an*'2027'!Env_an,0.001*[7]mois!$B$65)</f>
        <v>51.033107045450897</v>
      </c>
      <c r="C162" s="953"/>
      <c r="D162" s="393">
        <f t="shared" si="50"/>
        <v>54.848707281647627</v>
      </c>
      <c r="E162" s="385">
        <f t="shared" si="72"/>
        <v>55.52812712935733</v>
      </c>
      <c r="F162" s="385">
        <f t="shared" si="51"/>
        <v>55.630223913783318</v>
      </c>
      <c r="G162" s="110">
        <f t="shared" si="73"/>
        <v>0.93197004428510566</v>
      </c>
      <c r="H162" s="412" t="b">
        <f>Wh_hp&gt;='2026'!Maxi_hp</f>
        <v>0</v>
      </c>
      <c r="I162" s="390">
        <f>IF(H162,Wh_hp,'2026'!Maxi_hp)</f>
        <v>57.676626455771242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6.9565910033278611E-2</v>
      </c>
      <c r="M162" s="957"/>
      <c r="N162" s="957"/>
      <c r="O162" s="48">
        <f>IF(t&lt;Tnet,'2026'!Resal+('2026'!Salim-'2026'!Resal)*(1-EXP(('2026'!Tnet-t)/('2026'!Tau_j))),Resal+(Salim-Resal)*(1-EXP((Tnet-t)/(Tau_j))))*Salcycl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2.0322466347649018E-3</v>
      </c>
      <c r="Q162" s="305">
        <f t="shared" si="53"/>
        <v>0.7</v>
      </c>
      <c r="R162" s="177">
        <f t="shared" si="54"/>
        <v>0.15943534600216125</v>
      </c>
      <c r="S162" s="919">
        <f t="shared" si="55"/>
        <v>-1</v>
      </c>
      <c r="T162" s="176">
        <f t="shared" si="56"/>
        <v>5</v>
      </c>
      <c r="U162" s="251">
        <f t="shared" si="57"/>
        <v>-0.84056465399783875</v>
      </c>
      <c r="V162" s="383">
        <f t="shared" si="58"/>
        <v>54.747506987750981</v>
      </c>
      <c r="W162" s="402">
        <f t="shared" si="59"/>
        <v>51.033107045450897</v>
      </c>
      <c r="X162" s="157">
        <f t="shared" si="60"/>
        <v>46535</v>
      </c>
      <c r="Y162" s="385">
        <f t="shared" si="61"/>
        <v>48.59698875120241</v>
      </c>
      <c r="Z162" s="385">
        <f t="shared" si="62"/>
        <v>52.230447352741095</v>
      </c>
      <c r="AA162" s="386">
        <f t="shared" si="63"/>
        <v>55.257917475289283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5.4787988054418368E-2</v>
      </c>
      <c r="AD162" s="231">
        <f>(INDEX(Models!$BJ162:$BT162,,AH162)*(1-AF162)+INDEX(Models!$BJ162:$BT162,,AH162+1)*AF162-ERP_i)*AE162*Ramure*Pc/MaxiM</f>
        <v>7.4107966375699455E-3</v>
      </c>
      <c r="AE162" s="305">
        <f t="shared" si="65"/>
        <v>0.7</v>
      </c>
      <c r="AF162" s="177">
        <f t="shared" si="66"/>
        <v>0.68442291237614006</v>
      </c>
      <c r="AG162" s="919">
        <f t="shared" si="74"/>
        <v>2</v>
      </c>
      <c r="AH162" s="176">
        <f t="shared" si="67"/>
        <v>8</v>
      </c>
      <c r="AI162" s="225">
        <f t="shared" si="68"/>
        <v>2.6844229123761401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1090">
        <f>IF(t&gt;Tmaj,'2026'!Wh/'2026'!Env_an*'2027'!Env_an,0.001*[7]mois!$B$66)</f>
        <v>55.254448566590334</v>
      </c>
      <c r="C163" s="953"/>
      <c r="D163" s="393">
        <f t="shared" si="50"/>
        <v>59.38696722656028</v>
      </c>
      <c r="E163" s="385">
        <f t="shared" si="72"/>
        <v>60.131689264441043</v>
      </c>
      <c r="F163" s="385">
        <f t="shared" si="51"/>
        <v>60.258802059722228</v>
      </c>
      <c r="G163" s="110">
        <f t="shared" si="73"/>
        <v>1.0098272319624235</v>
      </c>
      <c r="H163" s="412" t="b">
        <f>Wh_hp&gt;='2026'!Maxi_hp</f>
        <v>1</v>
      </c>
      <c r="I163" s="390">
        <f>IF(H163,Wh_hp,'2026'!Maxi_hp)</f>
        <v>60.258802059722228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6.9586288927744988E-2</v>
      </c>
      <c r="M163" s="957"/>
      <c r="N163" s="957"/>
      <c r="O163" s="48">
        <f>IF(t&lt;Tnet,'2026'!Resal+('2026'!Salim-'2026'!Resal)*(1-EXP(('2026'!Tnet-t)/('2026'!Tau_j))),Resal+(Salim-Resal)*(1-EXP((Tnet-t)/(Tau_j))))*Salcycl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2.1094477642486552E-3</v>
      </c>
      <c r="Q163" s="305">
        <f t="shared" si="53"/>
        <v>0.7</v>
      </c>
      <c r="R163" s="177">
        <f t="shared" si="54"/>
        <v>0.16425596083338323</v>
      </c>
      <c r="S163" s="919">
        <f t="shared" si="55"/>
        <v>-1</v>
      </c>
      <c r="T163" s="176">
        <f t="shared" si="56"/>
        <v>5</v>
      </c>
      <c r="U163" s="251">
        <f t="shared" si="57"/>
        <v>-0.83574403916661677</v>
      </c>
      <c r="V163" s="383">
        <f t="shared" si="58"/>
        <v>54.716734524194734</v>
      </c>
      <c r="W163" s="402">
        <f t="shared" si="59"/>
        <v>55.254448566590334</v>
      </c>
      <c r="X163" s="157">
        <f t="shared" si="60"/>
        <v>46536</v>
      </c>
      <c r="Y163" s="385">
        <f t="shared" si="61"/>
        <v>52.583048148752376</v>
      </c>
      <c r="Z163" s="385">
        <f t="shared" si="62"/>
        <v>56.515770912439649</v>
      </c>
      <c r="AA163" s="386">
        <f t="shared" si="63"/>
        <v>59.800065891179003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5.492126019921019E-2</v>
      </c>
      <c r="AD163" s="231">
        <f>(INDEX(Models!$BJ163:$BT163,,AH163)*(1-AF163)+INDEX(Models!$BJ163:$BT163,,AH163+1)*AF163-ERP_i)*AE163*Ramure*Pc/MaxiM</f>
        <v>7.6127661497248341E-3</v>
      </c>
      <c r="AE163" s="305">
        <f t="shared" si="65"/>
        <v>0.7</v>
      </c>
      <c r="AF163" s="177">
        <f t="shared" si="66"/>
        <v>0.68924352720736204</v>
      </c>
      <c r="AG163" s="919">
        <f t="shared" si="74"/>
        <v>2</v>
      </c>
      <c r="AH163" s="176">
        <f t="shared" si="67"/>
        <v>8</v>
      </c>
      <c r="AI163" s="225">
        <f t="shared" si="68"/>
        <v>2.689243527207362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1090">
        <f>IF(t&gt;Tmaj,'2026'!Wh/'2026'!Env_an*'2027'!Env_an,0.001*[7]mois!$B$67)</f>
        <v>46.297883600224687</v>
      </c>
      <c r="C164" s="953"/>
      <c r="D164" s="393">
        <f t="shared" si="50"/>
        <v>49.761624440754836</v>
      </c>
      <c r="E164" s="385">
        <f t="shared" si="72"/>
        <v>50.393258748283365</v>
      </c>
      <c r="F164" s="385">
        <f t="shared" si="51"/>
        <v>50.479473149890126</v>
      </c>
      <c r="G164" s="110">
        <f t="shared" si="73"/>
        <v>0.84623756188776444</v>
      </c>
      <c r="H164" s="412" t="b">
        <f>Wh_hp&gt;='2026'!Maxi_hp</f>
        <v>0</v>
      </c>
      <c r="I164" s="390">
        <f>IF(H164,Wh_hp,'2026'!Maxi_hp)</f>
        <v>58.524365554999449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6.9606667375861297E-2</v>
      </c>
      <c r="M164" s="957"/>
      <c r="N164" s="957"/>
      <c r="O164" s="48">
        <f>IF(t&lt;Tnet,'2026'!Resal+('2026'!Salim-'2026'!Resal)*(1-EXP(('2026'!Tnet-t)/('2026'!Tau_j))),Resal+(Salim-Resal)*(1-EXP((Tnet-t)/(Tau_j))))*Salcycl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2.1870490625910889E-3</v>
      </c>
      <c r="Q164" s="305">
        <f t="shared" si="53"/>
        <v>0.7</v>
      </c>
      <c r="R164" s="177">
        <f t="shared" si="54"/>
        <v>0.16912468977347084</v>
      </c>
      <c r="S164" s="919">
        <f t="shared" si="55"/>
        <v>-1</v>
      </c>
      <c r="T164" s="176">
        <f t="shared" si="56"/>
        <v>5</v>
      </c>
      <c r="U164" s="251">
        <f t="shared" si="57"/>
        <v>-0.83087531022652916</v>
      </c>
      <c r="V164" s="383">
        <f t="shared" si="58"/>
        <v>54.684009092068344</v>
      </c>
      <c r="W164" s="402">
        <f t="shared" si="59"/>
        <v>46.297883600224687</v>
      </c>
      <c r="X164" s="157">
        <f t="shared" si="60"/>
        <v>46537</v>
      </c>
      <c r="Y164" s="385">
        <f t="shared" si="61"/>
        <v>44.109275713672432</v>
      </c>
      <c r="Z164" s="385">
        <f t="shared" si="62"/>
        <v>47.409277524876401</v>
      </c>
      <c r="AA164" s="386">
        <f t="shared" si="63"/>
        <v>50.171433733760168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5.5054360685433637E-2</v>
      </c>
      <c r="AD164" s="231">
        <f>(INDEX(Models!$BJ164:$BT164,,AH164)*(1-AF164)+INDEX(Models!$BJ164:$BT164,,AH164+1)*AF164-ERP_i)*AE164*Ramure*Pc/MaxiM</f>
        <v>7.8142085745835487E-3</v>
      </c>
      <c r="AE164" s="305">
        <f t="shared" si="65"/>
        <v>0.7</v>
      </c>
      <c r="AF164" s="177">
        <f t="shared" si="66"/>
        <v>0.69411225614744954</v>
      </c>
      <c r="AG164" s="919">
        <f t="shared" si="74"/>
        <v>2</v>
      </c>
      <c r="AH164" s="176">
        <f t="shared" si="67"/>
        <v>8</v>
      </c>
      <c r="AI164" s="225">
        <f t="shared" si="68"/>
        <v>2.6941122561474495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1090">
        <f>IF(t&gt;Tmaj,'2026'!Wh/'2026'!Env_an*'2027'!Env_an,0.001*[7]mois!$B$68)</f>
        <v>51.441813429842618</v>
      </c>
      <c r="C165" s="953"/>
      <c r="D165" s="393">
        <f t="shared" si="50"/>
        <v>55.291604484271353</v>
      </c>
      <c r="E165" s="385">
        <f t="shared" si="72"/>
        <v>56.001895623685982</v>
      </c>
      <c r="F165" s="385">
        <f t="shared" si="51"/>
        <v>56.118351055002385</v>
      </c>
      <c r="G165" s="110">
        <f t="shared" si="73"/>
        <v>0.94112985070324007</v>
      </c>
      <c r="H165" s="412" t="b">
        <f>Wh_hp&gt;='2026'!Maxi_hp</f>
        <v>0</v>
      </c>
      <c r="I165" s="390">
        <f>IF(H165,Wh_hp,'2026'!Maxi_hp)</f>
        <v>59.313017833892296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6.9627045377637309E-2</v>
      </c>
      <c r="M165" s="957"/>
      <c r="N165" s="957"/>
      <c r="O165" s="48">
        <f>IF(t&lt;Tnet,'2026'!Resal+('2026'!Salim-'2026'!Resal)*(1-EXP(('2026'!Tnet-t)/('2026'!Tau_j))),Resal+(Salim-Resal)*(1-EXP((Tnet-t)/(Tau_j))))*Salcycl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2.265090496840576E-3</v>
      </c>
      <c r="Q165" s="305">
        <f t="shared" si="53"/>
        <v>0.7</v>
      </c>
      <c r="R165" s="177">
        <f t="shared" si="54"/>
        <v>0.17403808632309747</v>
      </c>
      <c r="S165" s="919">
        <f t="shared" si="55"/>
        <v>-1</v>
      </c>
      <c r="T165" s="176">
        <f t="shared" si="56"/>
        <v>5</v>
      </c>
      <c r="U165" s="251">
        <f t="shared" si="57"/>
        <v>-0.82596191367690253</v>
      </c>
      <c r="V165" s="383">
        <f t="shared" si="58"/>
        <v>54.649231992389574</v>
      </c>
      <c r="W165" s="402">
        <f t="shared" si="59"/>
        <v>51.441813429842618</v>
      </c>
      <c r="X165" s="157">
        <f t="shared" si="60"/>
        <v>46538</v>
      </c>
      <c r="Y165" s="385">
        <f t="shared" si="61"/>
        <v>48.967375868938383</v>
      </c>
      <c r="Z165" s="385">
        <f t="shared" si="62"/>
        <v>52.63198551253479</v>
      </c>
      <c r="AA165" s="386">
        <f t="shared" si="63"/>
        <v>55.706260342886608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5.5187241280043771E-2</v>
      </c>
      <c r="AD165" s="231">
        <f>(INDEX(Models!$BJ165:$BT165,,AH165)*(1-AF165)+INDEX(Models!$BJ165:$BT165,,AH165+1)*AF165-ERP_i)*AE165*Ramure*Pc/MaxiM</f>
        <v>8.0152788521617637E-3</v>
      </c>
      <c r="AE165" s="305">
        <f t="shared" si="65"/>
        <v>0.7</v>
      </c>
      <c r="AF165" s="177">
        <f t="shared" si="66"/>
        <v>0.69902565269707617</v>
      </c>
      <c r="AG165" s="919">
        <f t="shared" si="74"/>
        <v>2</v>
      </c>
      <c r="AH165" s="176">
        <f t="shared" si="67"/>
        <v>8</v>
      </c>
      <c r="AI165" s="225">
        <f t="shared" si="68"/>
        <v>2.6990256526970762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1090">
        <f>IF(t&gt;Tmaj,'2026'!Wh/'2026'!Env_an*'2027'!Env_an,0.001*'[8]mon-tableau'!$B$37)</f>
        <v>52.287454804257031</v>
      </c>
      <c r="C166" s="953"/>
      <c r="D166" s="393">
        <f t="shared" si="50"/>
        <v>56.201762743648707</v>
      </c>
      <c r="E166" s="385">
        <f t="shared" si="72"/>
        <v>56.932350076898331</v>
      </c>
      <c r="F166" s="385">
        <f t="shared" si="51"/>
        <v>57.057936144833931</v>
      </c>
      <c r="G166" s="110">
        <f t="shared" si="73"/>
        <v>0.95729310985023641</v>
      </c>
      <c r="H166" s="412" t="b">
        <f>Wh_hp&gt;='2026'!Maxi_hp</f>
        <v>0</v>
      </c>
      <c r="I166" s="390">
        <f>IF(H166,Wh_hp,'2026'!Maxi_hp)</f>
        <v>60.331915443766647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6.9647422933082792E-2</v>
      </c>
      <c r="M166" s="957"/>
      <c r="N166" s="957"/>
      <c r="O166" s="48">
        <f>IF(t&lt;Tnet,'2026'!Resal+('2026'!Salim-'2026'!Resal)*(1-EXP(('2026'!Tnet-t)/('2026'!Tau_j))),Resal+(Salim-Resal)*(1-EXP((Tnet-t)/(Tau_j))))*Salcycl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2.343548875366099E-3</v>
      </c>
      <c r="Q166" s="305">
        <f t="shared" si="53"/>
        <v>0.7</v>
      </c>
      <c r="R166" s="177">
        <f t="shared" si="54"/>
        <v>0.17899256440017974</v>
      </c>
      <c r="S166" s="919">
        <f t="shared" si="55"/>
        <v>-1</v>
      </c>
      <c r="T166" s="176">
        <f t="shared" si="56"/>
        <v>5</v>
      </c>
      <c r="U166" s="251">
        <f t="shared" si="57"/>
        <v>-0.82100743559982026</v>
      </c>
      <c r="V166" s="383">
        <f t="shared" si="58"/>
        <v>54.612308112148682</v>
      </c>
      <c r="W166" s="402">
        <f t="shared" si="59"/>
        <v>52.287454804257031</v>
      </c>
      <c r="X166" s="157">
        <f t="shared" si="60"/>
        <v>46539</v>
      </c>
      <c r="Y166" s="385">
        <f t="shared" si="61"/>
        <v>49.760449795583916</v>
      </c>
      <c r="Z166" s="385">
        <f t="shared" si="62"/>
        <v>53.485582801803545</v>
      </c>
      <c r="AA166" s="386">
        <f t="shared" si="63"/>
        <v>56.617663674636702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5.5319853726784024E-2</v>
      </c>
      <c r="AD166" s="231">
        <f>(INDEX(Models!$BJ166:$BT166,,AH166)*(1-AF166)+INDEX(Models!$BJ166:$BT166,,AH166+1)*AF166-ERP_i)*AE166*Ramure*Pc/MaxiM</f>
        <v>8.2158799088642778E-3</v>
      </c>
      <c r="AE166" s="305">
        <f t="shared" si="65"/>
        <v>0.7</v>
      </c>
      <c r="AF166" s="177">
        <f t="shared" si="66"/>
        <v>0.70398013077415866</v>
      </c>
      <c r="AG166" s="919">
        <f t="shared" si="74"/>
        <v>2</v>
      </c>
      <c r="AH166" s="176">
        <f t="shared" si="67"/>
        <v>8</v>
      </c>
      <c r="AI166" s="225">
        <f t="shared" si="68"/>
        <v>2.7039801307741587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1090">
        <f>IF(t&gt;Tmaj,'2026'!Wh/'2026'!Env_an*'2027'!Env_an,0.001*'[8]mon-tableau'!$B$38)</f>
        <v>41.391120615279583</v>
      </c>
      <c r="C167" s="953"/>
      <c r="D167" s="393">
        <f t="shared" si="50"/>
        <v>44.490689043287361</v>
      </c>
      <c r="E167" s="385">
        <f t="shared" si="72"/>
        <v>45.075851231572173</v>
      </c>
      <c r="F167" s="385">
        <f t="shared" si="51"/>
        <v>45.14747798778145</v>
      </c>
      <c r="G167" s="110">
        <f t="shared" si="73"/>
        <v>0.75781721838911897</v>
      </c>
      <c r="H167" s="412" t="b">
        <f>Wh_hp&gt;='2026'!Maxi_hp</f>
        <v>0</v>
      </c>
      <c r="I167" s="390">
        <f>IF(H167,Wh_hp,'2026'!Maxi_hp)</f>
        <v>59.300139796564821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6.9667800042207517E-2</v>
      </c>
      <c r="M167" s="957"/>
      <c r="N167" s="957"/>
      <c r="O167" s="48">
        <f>IF(t&lt;Tnet,'2026'!Resal+('2026'!Salim-'2026'!Resal)*(1-EXP(('2026'!Tnet-t)/('2026'!Tau_j))),Resal+(Salim-Resal)*(1-EXP((Tnet-t)/(Tau_j))))*Salcycl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2.4223994387871984E-3</v>
      </c>
      <c r="Q167" s="305">
        <f t="shared" si="53"/>
        <v>0.7</v>
      </c>
      <c r="R167" s="177">
        <f t="shared" si="54"/>
        <v>0.18398440781459235</v>
      </c>
      <c r="S167" s="919">
        <f t="shared" si="55"/>
        <v>-1</v>
      </c>
      <c r="T167" s="176">
        <f t="shared" si="56"/>
        <v>5</v>
      </c>
      <c r="U167" s="251">
        <f t="shared" si="57"/>
        <v>-0.81601559218540765</v>
      </c>
      <c r="V167" s="383">
        <f t="shared" si="58"/>
        <v>54.573142544235687</v>
      </c>
      <c r="W167" s="402">
        <f t="shared" si="59"/>
        <v>41.391120615279583</v>
      </c>
      <c r="X167" s="157">
        <f t="shared" si="60"/>
        <v>46540</v>
      </c>
      <c r="Y167" s="385">
        <f t="shared" si="61"/>
        <v>39.454371059016978</v>
      </c>
      <c r="Z167" s="385">
        <f t="shared" si="62"/>
        <v>42.408906260373392</v>
      </c>
      <c r="AA167" s="386">
        <f t="shared" si="63"/>
        <v>44.89863192952955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5.545214992438742E-2</v>
      </c>
      <c r="AD167" s="231">
        <f>(INDEX(Models!$BJ167:$BT167,,AH167)*(1-AF167)+INDEX(Models!$BJ167:$BT167,,AH167+1)*AF167-ERP_i)*AE167*Ramure*Pc/MaxiM</f>
        <v>8.4159130436199121E-3</v>
      </c>
      <c r="AE167" s="305">
        <f t="shared" si="65"/>
        <v>0.7</v>
      </c>
      <c r="AF167" s="177">
        <f t="shared" si="66"/>
        <v>0.70897197418857116</v>
      </c>
      <c r="AG167" s="919">
        <f t="shared" si="74"/>
        <v>2</v>
      </c>
      <c r="AH167" s="176">
        <f t="shared" si="67"/>
        <v>8</v>
      </c>
      <c r="AI167" s="225">
        <f t="shared" si="68"/>
        <v>2.7089719741885712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1090">
        <f>IF(t&gt;Tmaj,'2026'!Wh/'2026'!Env_an*'2027'!Env_an,0.001*'[8]mon-tableau'!$B$39)</f>
        <v>51.993124589044399</v>
      </c>
      <c r="C168" s="953"/>
      <c r="D168" s="393">
        <f t="shared" si="50"/>
        <v>55.887846727450082</v>
      </c>
      <c r="E168" s="385">
        <f t="shared" si="72"/>
        <v>56.631465391045907</v>
      </c>
      <c r="F168" s="385">
        <f t="shared" si="51"/>
        <v>56.764023807224163</v>
      </c>
      <c r="G168" s="110">
        <f t="shared" si="73"/>
        <v>0.95328976199088356</v>
      </c>
      <c r="H168" s="412" t="b">
        <f>Wh_hp&gt;='2026'!Maxi_hp</f>
        <v>0</v>
      </c>
      <c r="I168" s="390">
        <f>IF(H168,Wh_hp,'2026'!Maxi_hp)</f>
        <v>56.771957373225192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6.9688176705021254E-2</v>
      </c>
      <c r="M168" s="957"/>
      <c r="N168" s="957"/>
      <c r="O168" s="48">
        <f>IF(t&lt;Tnet,'2026'!Resal+('2026'!Salim-'2026'!Resal)*(1-EXP(('2026'!Tnet-t)/('2026'!Tau_j))),Resal+(Salim-Resal)*(1-EXP((Tnet-t)/(Tau_j))))*Salcycl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2.5016159707252498E-3</v>
      </c>
      <c r="Q168" s="305">
        <f t="shared" si="53"/>
        <v>0.7</v>
      </c>
      <c r="R168" s="177">
        <f t="shared" si="54"/>
        <v>0.18900978059686424</v>
      </c>
      <c r="S168" s="919">
        <f t="shared" si="55"/>
        <v>-1</v>
      </c>
      <c r="T168" s="176">
        <f t="shared" si="56"/>
        <v>5</v>
      </c>
      <c r="U168" s="251">
        <f t="shared" si="57"/>
        <v>-0.81099021940313576</v>
      </c>
      <c r="V168" s="383">
        <f t="shared" si="58"/>
        <v>54.531640576574652</v>
      </c>
      <c r="W168" s="402">
        <f t="shared" si="59"/>
        <v>51.993124589044399</v>
      </c>
      <c r="X168" s="157">
        <f t="shared" si="60"/>
        <v>46541</v>
      </c>
      <c r="Y168" s="385">
        <f t="shared" si="61"/>
        <v>49.471849270664755</v>
      </c>
      <c r="Z168" s="385">
        <f t="shared" si="62"/>
        <v>53.17770669133855</v>
      </c>
      <c r="AA168" s="386">
        <f t="shared" si="63"/>
        <v>56.307507829825688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5.5584082107596043E-2</v>
      </c>
      <c r="AD168" s="231">
        <f>(INDEX(Models!$BJ168:$BT168,,AH168)*(1-AF168)+INDEX(Models!$BJ168:$BT168,,AH168+1)*AF168-ERP_i)*AE168*Ramure*Pc/MaxiM</f>
        <v>8.615278402357443E-3</v>
      </c>
      <c r="AE168" s="305">
        <f t="shared" si="65"/>
        <v>0.7</v>
      </c>
      <c r="AF168" s="177">
        <f t="shared" si="66"/>
        <v>0.71399734697084316</v>
      </c>
      <c r="AG168" s="919">
        <f t="shared" si="74"/>
        <v>2</v>
      </c>
      <c r="AH168" s="176">
        <f t="shared" si="67"/>
        <v>8</v>
      </c>
      <c r="AI168" s="225">
        <f t="shared" si="68"/>
        <v>2.7139973469708432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1090">
        <f>IF(t&gt;Tmaj,'2026'!Wh/'2026'!Env_an*'2027'!Env_an,0.001*'[8]mon-tableau'!$B$40)</f>
        <v>21.533394772780564</v>
      </c>
      <c r="C169" s="953"/>
      <c r="D169" s="393">
        <f t="shared" si="50"/>
        <v>23.146934049974462</v>
      </c>
      <c r="E169" s="385">
        <f t="shared" si="72"/>
        <v>23.45845977356155</v>
      </c>
      <c r="F169" s="385">
        <f t="shared" si="51"/>
        <v>23.466697271335413</v>
      </c>
      <c r="G169" s="110">
        <f t="shared" si="73"/>
        <v>0.39431564114453266</v>
      </c>
      <c r="H169" s="412" t="b">
        <f>Wh_hp&gt;='2026'!Maxi_hp</f>
        <v>0</v>
      </c>
      <c r="I169" s="390">
        <f>IF(H169,Wh_hp,'2026'!Maxi_hp)</f>
        <v>57.111684044434135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6.9708552921533773E-2</v>
      </c>
      <c r="M169" s="957"/>
      <c r="N169" s="957"/>
      <c r="O169" s="48">
        <f>IF(t&lt;Tnet,'2026'!Resal+('2026'!Salim-'2026'!Resal)*(1-EXP(('2026'!Tnet-t)/('2026'!Tau_j))),Resal+(Salim-Resal)*(1-EXP((Tnet-t)/(Tau_j))))*Salcycl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2.581170922286974E-3</v>
      </c>
      <c r="Q169" s="305">
        <f t="shared" si="53"/>
        <v>0.7</v>
      </c>
      <c r="R169" s="177">
        <f t="shared" si="54"/>
        <v>0.19406473812652403</v>
      </c>
      <c r="S169" s="919">
        <f t="shared" si="55"/>
        <v>-1</v>
      </c>
      <c r="T169" s="176">
        <f t="shared" si="56"/>
        <v>5</v>
      </c>
      <c r="U169" s="251">
        <f t="shared" si="57"/>
        <v>-0.80593526187347597</v>
      </c>
      <c r="V169" s="383">
        <f t="shared" si="58"/>
        <v>54.48770768194148</v>
      </c>
      <c r="W169" s="402">
        <f t="shared" si="59"/>
        <v>21.533394772780564</v>
      </c>
      <c r="X169" s="157">
        <f t="shared" si="60"/>
        <v>46542</v>
      </c>
      <c r="Y169" s="385">
        <f t="shared" si="61"/>
        <v>20.589838110560432</v>
      </c>
      <c r="Z169" s="385">
        <f t="shared" si="62"/>
        <v>22.132674846384742</v>
      </c>
      <c r="AA169" s="386">
        <f t="shared" si="63"/>
        <v>23.438568843666975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5.5715603029878775E-2</v>
      </c>
      <c r="AD169" s="231">
        <f>(INDEX(Models!$BJ169:$BT169,,AH169)*(1-AF169)+INDEX(Models!$BJ169:$BT169,,AH169+1)*AF169-ERP_i)*AE169*Ramure*Pc/MaxiM</f>
        <v>8.8138754729374953E-3</v>
      </c>
      <c r="AE169" s="305">
        <f t="shared" si="65"/>
        <v>0.7</v>
      </c>
      <c r="AF169" s="177">
        <f t="shared" si="66"/>
        <v>0.71905230450050306</v>
      </c>
      <c r="AG169" s="919">
        <f t="shared" si="74"/>
        <v>2</v>
      </c>
      <c r="AH169" s="176">
        <f t="shared" si="67"/>
        <v>8</v>
      </c>
      <c r="AI169" s="225">
        <f t="shared" si="68"/>
        <v>2.7190523045005031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1090">
        <f>IF(t&gt;Tmaj,'2026'!Wh/'2026'!Env_an*'2027'!Env_an,0.001*'[8]mon-tableau'!$B$41)</f>
        <v>30.380537957048471</v>
      </c>
      <c r="C170" s="953"/>
      <c r="D170" s="393">
        <f t="shared" si="50"/>
        <v>32.657726219868536</v>
      </c>
      <c r="E170" s="385">
        <f t="shared" ref="E170:E232" si="75">Wh_pvt/(1-Psa)</f>
        <v>33.102251573663544</v>
      </c>
      <c r="F170" s="385">
        <f t="shared" si="51"/>
        <v>33.134731163657726</v>
      </c>
      <c r="G170" s="110">
        <f t="shared" ref="G170:G232" si="76">+Wh_hp/MaxiM</f>
        <v>0.55710374558284559</v>
      </c>
      <c r="H170" s="412" t="b">
        <f>Wh_hp&gt;='2026'!Maxi_hp</f>
        <v>0</v>
      </c>
      <c r="I170" s="390">
        <f>IF(H170,Wh_hp,'2026'!Maxi_hp)</f>
        <v>42.716075181662134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6.9728928691754843E-2</v>
      </c>
      <c r="M170" s="957"/>
      <c r="N170" s="957"/>
      <c r="O170" s="48">
        <f>IF(t&lt;Tnet,'2026'!Resal+('2026'!Salim-'2026'!Resal)*(1-EXP(('2026'!Tnet-t)/('2026'!Tau_j))),Resal+(Salim-Resal)*(1-EXP((Tnet-t)/(Tau_j))))*Salcycl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2.6591050108853223E-3</v>
      </c>
      <c r="Q170" s="305">
        <f t="shared" si="53"/>
        <v>0.7</v>
      </c>
      <c r="R170" s="177">
        <f t="shared" si="54"/>
        <v>0.19914523899679604</v>
      </c>
      <c r="S170" s="919">
        <f t="shared" si="55"/>
        <v>-1</v>
      </c>
      <c r="T170" s="176">
        <f t="shared" si="56"/>
        <v>5</v>
      </c>
      <c r="U170" s="251">
        <f t="shared" si="57"/>
        <v>-0.80085476100320396</v>
      </c>
      <c r="V170" s="383">
        <f t="shared" si="58"/>
        <v>54.441354889179095</v>
      </c>
      <c r="W170" s="402">
        <f t="shared" si="59"/>
        <v>30.380537957048471</v>
      </c>
      <c r="X170" s="157">
        <f t="shared" si="60"/>
        <v>46543</v>
      </c>
      <c r="Y170" s="385">
        <f t="shared" si="61"/>
        <v>29.006224712676218</v>
      </c>
      <c r="Z170" s="385">
        <f t="shared" si="62"/>
        <v>31.180400645894114</v>
      </c>
      <c r="AA170" s="386">
        <f t="shared" si="63"/>
        <v>33.024721226836618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5.5846666146685535E-2</v>
      </c>
      <c r="AD170" s="231">
        <f>(INDEX(Models!$BJ170:$BT170,,AH170)*(1-AF170)+INDEX(Models!$BJ170:$BT170,,AH170+1)*AF170-ERP_i)*AE170*Ramure*Pc/MaxiM</f>
        <v>9.006516840286272E-3</v>
      </c>
      <c r="AE170" s="305">
        <f t="shared" si="65"/>
        <v>0.7</v>
      </c>
      <c r="AF170" s="177">
        <f t="shared" si="66"/>
        <v>0.72413280537077496</v>
      </c>
      <c r="AG170" s="919">
        <f t="shared" si="74"/>
        <v>2</v>
      </c>
      <c r="AH170" s="176">
        <f t="shared" si="67"/>
        <v>8</v>
      </c>
      <c r="AI170" s="225">
        <f t="shared" si="68"/>
        <v>2.724132805370775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1090">
        <f>IF(t&gt;Tmaj,'2026'!Wh/'2026'!Env_an*'2027'!Env_an,0.001*'[8]mon-tableau'!$B$42)</f>
        <v>45.516373041693079</v>
      </c>
      <c r="C171" s="953"/>
      <c r="D171" s="393">
        <f t="shared" si="50"/>
        <v>48.929146990351711</v>
      </c>
      <c r="E171" s="385">
        <f t="shared" si="75"/>
        <v>49.602638061163731</v>
      </c>
      <c r="F171" s="385">
        <f t="shared" si="51"/>
        <v>49.706901144616026</v>
      </c>
      <c r="G171" s="110">
        <f t="shared" si="76"/>
        <v>0.83627872435898609</v>
      </c>
      <c r="H171" s="412" t="b">
        <f>Wh_hp&gt;='2026'!Maxi_hp</f>
        <v>0</v>
      </c>
      <c r="I171" s="390">
        <f>IF(H171,Wh_hp,'2026'!Maxi_hp)</f>
        <v>56.000265625104696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6.9749304015694236E-2</v>
      </c>
      <c r="M171" s="957"/>
      <c r="N171" s="957"/>
      <c r="O171" s="48">
        <f>IF(t&lt;Tnet,'2026'!Resal+('2026'!Salim-'2026'!Resal)*(1-EXP(('2026'!Tnet-t)/('2026'!Tau_j))),Resal+(Salim-Resal)*(1-EXP((Tnet-t)/(Tau_j))))*Salcycl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2.7351965650421481E-3</v>
      </c>
      <c r="Q171" s="305">
        <f t="shared" si="53"/>
        <v>0.7</v>
      </c>
      <c r="R171" s="177">
        <f t="shared" si="54"/>
        <v>0.20424715754393596</v>
      </c>
      <c r="S171" s="919">
        <f t="shared" si="55"/>
        <v>-1</v>
      </c>
      <c r="T171" s="176">
        <f t="shared" si="56"/>
        <v>5</v>
      </c>
      <c r="U171" s="251">
        <f t="shared" si="57"/>
        <v>-0.79575284245606404</v>
      </c>
      <c r="V171" s="383">
        <f t="shared" si="58"/>
        <v>54.392498211335386</v>
      </c>
      <c r="W171" s="402">
        <f t="shared" si="59"/>
        <v>45.516373041693079</v>
      </c>
      <c r="X171" s="157">
        <f t="shared" si="60"/>
        <v>46544</v>
      </c>
      <c r="Y171" s="385">
        <f t="shared" si="61"/>
        <v>43.343759018736755</v>
      </c>
      <c r="Z171" s="385">
        <f t="shared" si="62"/>
        <v>46.593632453963792</v>
      </c>
      <c r="AA171" s="386">
        <f t="shared" si="63"/>
        <v>49.356470762426795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5.5977225798045649E-2</v>
      </c>
      <c r="AD171" s="231">
        <f>(INDEX(Models!$BJ171:$BT171,,AH171)*(1-AF171)+INDEX(Models!$BJ171:$BT171,,AH171+1)*AF171-ERP_i)*AE171*Ramure*Pc/MaxiM</f>
        <v>9.1930522857491467E-3</v>
      </c>
      <c r="AE171" s="305">
        <f t="shared" si="65"/>
        <v>0.7</v>
      </c>
      <c r="AF171" s="177">
        <f t="shared" si="66"/>
        <v>0.72923472391791488</v>
      </c>
      <c r="AG171" s="919">
        <f t="shared" si="74"/>
        <v>2</v>
      </c>
      <c r="AH171" s="176">
        <f t="shared" si="67"/>
        <v>8</v>
      </c>
      <c r="AI171" s="225">
        <f t="shared" si="68"/>
        <v>2.7292347239179149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1090">
        <f>IF(t&gt;Tmaj,'2026'!Wh/'2026'!Env_an*'2027'!Env_an,0.001*'[8]mon-tableau'!$B$43)</f>
        <v>26.64835793991632</v>
      </c>
      <c r="C172" s="953"/>
      <c r="D172" s="393">
        <f t="shared" si="50"/>
        <v>28.647053676141621</v>
      </c>
      <c r="E172" s="385">
        <f t="shared" si="75"/>
        <v>29.045749809763659</v>
      </c>
      <c r="F172" s="385">
        <f t="shared" si="51"/>
        <v>29.067960695803411</v>
      </c>
      <c r="G172" s="110">
        <f t="shared" si="76"/>
        <v>0.48938721859998696</v>
      </c>
      <c r="H172" s="412" t="b">
        <f>Wh_hp&gt;='2026'!Maxi_hp</f>
        <v>0</v>
      </c>
      <c r="I172" s="390">
        <f>IF(H172,Wh_hp,'2026'!Maxi_hp)</f>
        <v>55.156942491889488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6.9769678893361831E-2</v>
      </c>
      <c r="M172" s="957"/>
      <c r="N172" s="957"/>
      <c r="O172" s="48">
        <f>IF(t&lt;Tnet,'2026'!Resal+('2026'!Salim-'2026'!Resal)*(1-EXP(('2026'!Tnet-t)/('2026'!Tau_j))),Resal+(Salim-Resal)*(1-EXP((Tnet-t)/(Tau_j))))*Salcycl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2.8093319838780398E-3</v>
      </c>
      <c r="Q172" s="305">
        <f t="shared" si="53"/>
        <v>0.7</v>
      </c>
      <c r="R172" s="177">
        <f t="shared" si="54"/>
        <v>0.20936629696176201</v>
      </c>
      <c r="S172" s="919">
        <f t="shared" si="55"/>
        <v>-1</v>
      </c>
      <c r="T172" s="176">
        <f t="shared" si="56"/>
        <v>5</v>
      </c>
      <c r="U172" s="251">
        <f t="shared" si="57"/>
        <v>-0.79063370303823799</v>
      </c>
      <c r="V172" s="383">
        <f t="shared" si="58"/>
        <v>54.341047805815826</v>
      </c>
      <c r="W172" s="402">
        <f t="shared" si="59"/>
        <v>26.64835793991632</v>
      </c>
      <c r="X172" s="157">
        <f t="shared" si="60"/>
        <v>46545</v>
      </c>
      <c r="Y172" s="385">
        <f t="shared" si="61"/>
        <v>25.45769633128301</v>
      </c>
      <c r="Z172" s="385">
        <f t="shared" si="62"/>
        <v>27.367089368789383</v>
      </c>
      <c r="AA172" s="386">
        <f t="shared" si="63"/>
        <v>28.993854442844778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5.6107237389296391E-2</v>
      </c>
      <c r="AD172" s="231">
        <f>(INDEX(Models!$BJ172:$BT172,,AH172)*(1-AF172)+INDEX(Models!$BJ172:$BT172,,AH172+1)*AF172-ERP_i)*AE172*Ramure*Pc/MaxiM</f>
        <v>9.3732895783374907E-3</v>
      </c>
      <c r="AE172" s="305">
        <f t="shared" si="65"/>
        <v>0.7</v>
      </c>
      <c r="AF172" s="177">
        <f t="shared" si="66"/>
        <v>0.73435386333574071</v>
      </c>
      <c r="AG172" s="919">
        <f t="shared" si="74"/>
        <v>2</v>
      </c>
      <c r="AH172" s="176">
        <f t="shared" si="67"/>
        <v>8</v>
      </c>
      <c r="AI172" s="225">
        <f t="shared" si="68"/>
        <v>2.7343538633357407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1090">
        <f>IF(t&gt;Tmaj,'2026'!Wh/'2026'!Env_an*'2027'!Env_an,0.001*'[8]mon-tableau'!$B$44)</f>
        <v>19.813471051358107</v>
      </c>
      <c r="C173" s="953"/>
      <c r="D173" s="393">
        <f t="shared" si="50"/>
        <v>21.299999126192581</v>
      </c>
      <c r="E173" s="385">
        <f t="shared" si="75"/>
        <v>21.59969761656863</v>
      </c>
      <c r="F173" s="385">
        <f t="shared" si="51"/>
        <v>21.605476287652504</v>
      </c>
      <c r="G173" s="110">
        <f t="shared" si="76"/>
        <v>0.36402264695205094</v>
      </c>
      <c r="H173" s="412" t="b">
        <f>Wh_hp&gt;='2026'!Maxi_hp</f>
        <v>0</v>
      </c>
      <c r="I173" s="390">
        <f>IF(H173,Wh_hp,'2026'!Maxi_hp)</f>
        <v>61.487890344452325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6.9790053324767176E-2</v>
      </c>
      <c r="M173" s="957"/>
      <c r="N173" s="957"/>
      <c r="O173" s="48">
        <f>IF(t&lt;Tnet,'2026'!Resal+('2026'!Salim-'2026'!Resal)*(1-EXP(('2026'!Tnet-t)/('2026'!Tau_j))),Resal+(Salim-Resal)*(1-EXP((Tnet-t)/(Tau_j))))*Salcycl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2.8813963374096658E-3</v>
      </c>
      <c r="Q173" s="305">
        <f t="shared" si="53"/>
        <v>0.7</v>
      </c>
      <c r="R173" s="177">
        <f t="shared" si="54"/>
        <v>0.21449840291502842</v>
      </c>
      <c r="S173" s="919">
        <f t="shared" si="55"/>
        <v>-1</v>
      </c>
      <c r="T173" s="176">
        <f t="shared" si="56"/>
        <v>5</v>
      </c>
      <c r="U173" s="251">
        <f t="shared" si="57"/>
        <v>-0.78550159708497158</v>
      </c>
      <c r="V173" s="383">
        <f t="shared" si="58"/>
        <v>54.286913942054831</v>
      </c>
      <c r="W173" s="402">
        <f t="shared" si="59"/>
        <v>19.813471051358107</v>
      </c>
      <c r="X173" s="157">
        <f t="shared" si="60"/>
        <v>46546</v>
      </c>
      <c r="Y173" s="385">
        <f t="shared" si="61"/>
        <v>18.950596627259664</v>
      </c>
      <c r="Z173" s="385">
        <f t="shared" si="62"/>
        <v>20.37238657250775</v>
      </c>
      <c r="AA173" s="386">
        <f t="shared" si="63"/>
        <v>21.58632959829238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5.6236657568717006E-2</v>
      </c>
      <c r="AD173" s="231">
        <f>(INDEX(Models!$BJ173:$BT173,,AH173)*(1-AF173)+INDEX(Models!$BJ173:$BT173,,AH173+1)*AF173-ERP_i)*AE173*Ramure*Pc/MaxiM</f>
        <v>9.5470394135651025E-3</v>
      </c>
      <c r="AE173" s="305">
        <f t="shared" si="65"/>
        <v>0.7</v>
      </c>
      <c r="AF173" s="177">
        <f t="shared" si="66"/>
        <v>0.73948596928900745</v>
      </c>
      <c r="AG173" s="919">
        <f t="shared" si="74"/>
        <v>2</v>
      </c>
      <c r="AH173" s="176">
        <f t="shared" si="67"/>
        <v>8</v>
      </c>
      <c r="AI173" s="225">
        <f t="shared" si="68"/>
        <v>2.7394859692890074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1090">
        <f>IF(t&gt;Tmaj,'2026'!Wh/'2026'!Env_an*'2027'!Env_an,0.001*'[8]mon-tableau'!$B$45)</f>
        <v>44.021645842172177</v>
      </c>
      <c r="C174" s="953"/>
      <c r="D174" s="393">
        <f t="shared" si="50"/>
        <v>47.32545615928904</v>
      </c>
      <c r="E174" s="385">
        <f t="shared" si="75"/>
        <v>47.99856995410407</v>
      </c>
      <c r="F174" s="385">
        <f t="shared" si="51"/>
        <v>48.102356846953143</v>
      </c>
      <c r="G174" s="110">
        <f t="shared" si="76"/>
        <v>0.81111242772944481</v>
      </c>
      <c r="H174" s="412" t="b">
        <f>Wh_hp&gt;='2026'!Maxi_hp</f>
        <v>0</v>
      </c>
      <c r="I174" s="390">
        <f>IF(H174,Wh_hp,'2026'!Maxi_hp)</f>
        <v>58.767455716335284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6.9810427309920264E-2</v>
      </c>
      <c r="M174" s="957"/>
      <c r="N174" s="957"/>
      <c r="O174" s="48">
        <f>IF(t&lt;Tnet,'2026'!Resal+('2026'!Salim-'2026'!Resal)*(1-EXP(('2026'!Tnet-t)/('2026'!Tau_j))),Resal+(Salim-Resal)*(1-EXP((Tnet-t)/(Tau_j))))*Salcycl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2.9512737430617835E-3</v>
      </c>
      <c r="Q174" s="305">
        <f t="shared" si="53"/>
        <v>0.7</v>
      </c>
      <c r="R174" s="177">
        <f t="shared" si="54"/>
        <v>0.21963917755933426</v>
      </c>
      <c r="S174" s="919">
        <f t="shared" si="55"/>
        <v>-1</v>
      </c>
      <c r="T174" s="176">
        <f t="shared" si="56"/>
        <v>5</v>
      </c>
      <c r="U174" s="251">
        <f t="shared" si="57"/>
        <v>-0.78036082244066574</v>
      </c>
      <c r="V174" s="383">
        <f t="shared" si="58"/>
        <v>54.230006976087878</v>
      </c>
      <c r="W174" s="402">
        <f t="shared" si="59"/>
        <v>44.021645842172177</v>
      </c>
      <c r="X174" s="157">
        <f t="shared" si="60"/>
        <v>46547</v>
      </c>
      <c r="Y174" s="385">
        <f t="shared" si="61"/>
        <v>41.922422584229409</v>
      </c>
      <c r="Z174" s="385">
        <f t="shared" si="62"/>
        <v>45.068686873140329</v>
      </c>
      <c r="AA174" s="386">
        <f t="shared" si="63"/>
        <v>47.760742340051507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5.6365444400843318E-2</v>
      </c>
      <c r="AD174" s="231">
        <f>(INDEX(Models!$BJ174:$BT174,,AH174)*(1-AF174)+INDEX(Models!$BJ174:$BT174,,AH174+1)*AF174-ERP_i)*AE174*Ramure*Pc/MaxiM</f>
        <v>9.7141160775852699E-3</v>
      </c>
      <c r="AE174" s="305">
        <f t="shared" si="65"/>
        <v>0.7</v>
      </c>
      <c r="AF174" s="177">
        <f t="shared" si="66"/>
        <v>0.74462674393331341</v>
      </c>
      <c r="AG174" s="919">
        <f t="shared" si="74"/>
        <v>2</v>
      </c>
      <c r="AH174" s="176">
        <f t="shared" si="67"/>
        <v>8</v>
      </c>
      <c r="AI174" s="225">
        <f t="shared" si="68"/>
        <v>2.7446267439333134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1090">
        <f>IF(t&gt;Tmaj,'2026'!Wh/'2026'!Env_an*'2027'!Env_an,0.001*'[8]mon-tableau'!$B$46)</f>
        <v>53.901717173311525</v>
      </c>
      <c r="C175" s="953"/>
      <c r="D175" s="393">
        <f t="shared" si="50"/>
        <v>57.948292872414846</v>
      </c>
      <c r="E175" s="385">
        <f t="shared" si="75"/>
        <v>58.781340036909867</v>
      </c>
      <c r="F175" s="385">
        <f t="shared" si="51"/>
        <v>58.958065075892257</v>
      </c>
      <c r="G175" s="110">
        <f t="shared" si="76"/>
        <v>0.99502169619743241</v>
      </c>
      <c r="H175" s="412" t="b">
        <f>Wh_hp&gt;='2026'!Maxi_hp</f>
        <v>0</v>
      </c>
      <c r="I175" s="390">
        <f>IF(H175,Wh_hp,'2026'!Maxi_hp)</f>
        <v>58.95909184944972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6.9830800848830754E-2</v>
      </c>
      <c r="M175" s="957"/>
      <c r="N175" s="957"/>
      <c r="O175" s="48">
        <f>IF(t&lt;Tnet,'2026'!Resal+('2026'!Salim-'2026'!Resal)*(1-EXP(('2026'!Tnet-t)/('2026'!Tau_j))),Resal+(Salim-Resal)*(1-EXP((Tnet-t)/(Tau_j))))*Salcycl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3.0188477474631494E-3</v>
      </c>
      <c r="Q175" s="305">
        <f t="shared" si="53"/>
        <v>0.7</v>
      </c>
      <c r="R175" s="177">
        <f t="shared" si="54"/>
        <v>0.22478429387034582</v>
      </c>
      <c r="S175" s="919">
        <f t="shared" si="55"/>
        <v>-1</v>
      </c>
      <c r="T175" s="176">
        <f t="shared" si="56"/>
        <v>5</v>
      </c>
      <c r="U175" s="251">
        <f t="shared" si="57"/>
        <v>-0.77521570612965418</v>
      </c>
      <c r="V175" s="383">
        <f t="shared" si="58"/>
        <v>54.170237317098149</v>
      </c>
      <c r="W175" s="402">
        <f t="shared" si="59"/>
        <v>53.901717173311525</v>
      </c>
      <c r="X175" s="157">
        <f t="shared" si="60"/>
        <v>46548</v>
      </c>
      <c r="Y175" s="385">
        <f t="shared" si="61"/>
        <v>51.235506353282815</v>
      </c>
      <c r="Z175" s="385">
        <f t="shared" si="62"/>
        <v>55.081921009680869</v>
      </c>
      <c r="AA175" s="386">
        <f t="shared" si="63"/>
        <v>58.380015790597369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5.6493557534249353E-2</v>
      </c>
      <c r="AD175" s="231">
        <f>(INDEX(Models!$BJ175:$BT175,,AH175)*(1-AF175)+INDEX(Models!$BJ175:$BT175,,AH175+1)*AF175-ERP_i)*AE175*Ramure*Pc/MaxiM</f>
        <v>9.8743380840848501E-3</v>
      </c>
      <c r="AE175" s="305">
        <f t="shared" si="65"/>
        <v>0.7</v>
      </c>
      <c r="AF175" s="177">
        <f t="shared" si="66"/>
        <v>0.74977186024432463</v>
      </c>
      <c r="AG175" s="919">
        <f t="shared" si="74"/>
        <v>2</v>
      </c>
      <c r="AH175" s="176">
        <f t="shared" si="67"/>
        <v>8</v>
      </c>
      <c r="AI175" s="225">
        <f t="shared" si="68"/>
        <v>2.7497718602443246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1090">
        <f>IF(t&gt;Tmaj,'2026'!Wh/'2026'!Env_an*'2027'!Env_an,0.001*'[8]mon-tableau'!$B$47)</f>
        <v>52.434289677823266</v>
      </c>
      <c r="C176" s="953"/>
      <c r="D176" s="393">
        <f t="shared" si="50"/>
        <v>56.371935553597083</v>
      </c>
      <c r="E176" s="385">
        <f t="shared" si="75"/>
        <v>57.190917690714009</v>
      </c>
      <c r="F176" s="385">
        <f t="shared" si="51"/>
        <v>57.360001146009623</v>
      </c>
      <c r="G176" s="110">
        <f t="shared" si="76"/>
        <v>0.96894348919897388</v>
      </c>
      <c r="H176" s="412" t="b">
        <f>Wh_hp&gt;='2026'!Maxi_hp</f>
        <v>0</v>
      </c>
      <c r="I176" s="390">
        <f>IF(H176,Wh_hp,'2026'!Maxi_hp)</f>
        <v>57.366339016863442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6.9851173941508526E-2</v>
      </c>
      <c r="M176" s="957"/>
      <c r="N176" s="957"/>
      <c r="O176" s="48">
        <f>IF(t&lt;Tnet,'2026'!Resal+('2026'!Salim-'2026'!Resal)*(1-EXP(('2026'!Tnet-t)/('2026'!Tau_j))),Resal+(Salim-Resal)*(1-EXP((Tnet-t)/(Tau_j))))*Salcycl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3.0840017090107696E-3</v>
      </c>
      <c r="Q176" s="305">
        <f t="shared" si="53"/>
        <v>0.7</v>
      </c>
      <c r="R176" s="177">
        <f t="shared" si="54"/>
        <v>0.22992941018135737</v>
      </c>
      <c r="S176" s="919">
        <f t="shared" si="55"/>
        <v>-1</v>
      </c>
      <c r="T176" s="176">
        <f t="shared" si="56"/>
        <v>5</v>
      </c>
      <c r="U176" s="251">
        <f t="shared" si="57"/>
        <v>-0.77007058981864263</v>
      </c>
      <c r="V176" s="383">
        <f t="shared" si="58"/>
        <v>54.107515400204932</v>
      </c>
      <c r="W176" s="402">
        <f t="shared" si="59"/>
        <v>52.434289677823266</v>
      </c>
      <c r="X176" s="157">
        <f t="shared" si="60"/>
        <v>46549</v>
      </c>
      <c r="Y176" s="385">
        <f t="shared" si="61"/>
        <v>49.850007520868608</v>
      </c>
      <c r="Z176" s="385">
        <f t="shared" si="62"/>
        <v>53.593582149760024</v>
      </c>
      <c r="AA176" s="386">
        <f t="shared" si="63"/>
        <v>56.81023192622466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5.6620958362603779E-2</v>
      </c>
      <c r="AD176" s="231">
        <f>(INDEX(Models!$BJ176:$BT176,,AH176)*(1-AF176)+INDEX(Models!$BJ176:$BT176,,AH176+1)*AF176-ERP_i)*AE176*Ramure*Pc/MaxiM</f>
        <v>1.002752877514849E-2</v>
      </c>
      <c r="AE176" s="305">
        <f t="shared" si="65"/>
        <v>0.7</v>
      </c>
      <c r="AF176" s="177">
        <f t="shared" si="66"/>
        <v>0.75491697655533629</v>
      </c>
      <c r="AG176" s="919">
        <f t="shared" si="74"/>
        <v>2</v>
      </c>
      <c r="AH176" s="176">
        <f t="shared" si="67"/>
        <v>8</v>
      </c>
      <c r="AI176" s="225">
        <f t="shared" si="68"/>
        <v>2.7549169765553363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1090">
        <f>IF(t&gt;Tmaj,'2026'!Wh/'2026'!Env_an*'2027'!Env_an,0.001*'[8]mon-tableau'!$B$48)</f>
        <v>40.191375605518999</v>
      </c>
      <c r="C177" s="953"/>
      <c r="D177" s="393">
        <f t="shared" si="50"/>
        <v>43.210564581787565</v>
      </c>
      <c r="E177" s="385">
        <f t="shared" si="75"/>
        <v>43.844918976433867</v>
      </c>
      <c r="F177" s="385">
        <f t="shared" si="51"/>
        <v>43.932547307966693</v>
      </c>
      <c r="G177" s="110">
        <f t="shared" si="76"/>
        <v>0.74285958228670634</v>
      </c>
      <c r="H177" s="412" t="b">
        <f>Wh_hp&gt;='2026'!Maxi_hp</f>
        <v>0</v>
      </c>
      <c r="I177" s="390">
        <f>IF(H177,Wh_hp,'2026'!Maxi_hp)</f>
        <v>53.061432092137871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6.987154658796324E-2</v>
      </c>
      <c r="M177" s="957"/>
      <c r="N177" s="957"/>
      <c r="O177" s="48">
        <f>IF(t&lt;Tnet,'2026'!Resal+('2026'!Salim-'2026'!Resal)*(1-EXP(('2026'!Tnet-t)/('2026'!Tau_j))),Resal+(Salim-Resal)*(1-EXP((Tnet-t)/(Tau_j))))*Salcycl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3.1466545118710551E-3</v>
      </c>
      <c r="Q177" s="305">
        <f t="shared" si="53"/>
        <v>0.7</v>
      </c>
      <c r="R177" s="177">
        <f t="shared" si="54"/>
        <v>0.23507018482566333</v>
      </c>
      <c r="S177" s="919">
        <f t="shared" si="55"/>
        <v>-1</v>
      </c>
      <c r="T177" s="176">
        <f t="shared" si="56"/>
        <v>5</v>
      </c>
      <c r="U177" s="251">
        <f t="shared" si="57"/>
        <v>-0.76492981517433667</v>
      </c>
      <c r="V177" s="383">
        <f t="shared" si="58"/>
        <v>54.041142902493426</v>
      </c>
      <c r="W177" s="402">
        <f t="shared" si="59"/>
        <v>40.191375605518999</v>
      </c>
      <c r="X177" s="157">
        <f t="shared" si="60"/>
        <v>46550</v>
      </c>
      <c r="Y177" s="385">
        <f t="shared" si="61"/>
        <v>38.295473328467203</v>
      </c>
      <c r="Z177" s="385">
        <f t="shared" si="62"/>
        <v>41.172241519959961</v>
      </c>
      <c r="AA177" s="386">
        <f t="shared" si="63"/>
        <v>43.649231069239711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5.6747610177841745E-2</v>
      </c>
      <c r="AD177" s="231">
        <f>(INDEX(Models!$BJ177:$BT177,,AH177)*(1-AF177)+INDEX(Models!$BJ177:$BT177,,AH177+1)*AF177-ERP_i)*AE177*Ramure*Pc/MaxiM</f>
        <v>1.0173631122288496E-2</v>
      </c>
      <c r="AE177" s="305">
        <f t="shared" si="65"/>
        <v>0.7</v>
      </c>
      <c r="AF177" s="177">
        <f t="shared" si="66"/>
        <v>0.76005775119964225</v>
      </c>
      <c r="AG177" s="919">
        <f t="shared" si="74"/>
        <v>2</v>
      </c>
      <c r="AH177" s="176">
        <f t="shared" si="67"/>
        <v>8</v>
      </c>
      <c r="AI177" s="225">
        <f t="shared" si="68"/>
        <v>2.7600577511996423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1090">
        <f>IF(t&gt;Tmaj,'2026'!Wh/'2026'!Env_an*'2027'!Env_an,0.001*'[8]mon-tableau'!$B$49)</f>
        <v>49.373519800264908</v>
      </c>
      <c r="C178" s="953"/>
      <c r="D178" s="393">
        <f t="shared" si="50"/>
        <v>53.083637049941984</v>
      </c>
      <c r="E178" s="385">
        <f t="shared" si="75"/>
        <v>53.871012565833226</v>
      </c>
      <c r="F178" s="385">
        <f t="shared" si="51"/>
        <v>54.023109441065266</v>
      </c>
      <c r="G178" s="110">
        <f t="shared" si="76"/>
        <v>0.91446096892893458</v>
      </c>
      <c r="H178" s="412" t="b">
        <f>Wh_hp&gt;='2026'!Maxi_hp</f>
        <v>0</v>
      </c>
      <c r="I178" s="390">
        <f>IF(H178,Wh_hp,'2026'!Maxi_hp)</f>
        <v>61.924411785677407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6.9891918788204666E-2</v>
      </c>
      <c r="M178" s="957"/>
      <c r="N178" s="957"/>
      <c r="O178" s="48">
        <f>IF(t&lt;Tnet,'2026'!Resal+('2026'!Salim-'2026'!Resal)*(1-EXP(('2026'!Tnet-t)/('2026'!Tau_j))),Resal+(Salim-Resal)*(1-EXP((Tnet-t)/(Tau_j))))*Salcycl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3.2054691713181934E-3</v>
      </c>
      <c r="Q178" s="305">
        <f t="shared" si="53"/>
        <v>0.7</v>
      </c>
      <c r="R178" s="177">
        <f t="shared" si="54"/>
        <v>0.24020229077892985</v>
      </c>
      <c r="S178" s="919">
        <f t="shared" si="55"/>
        <v>-1</v>
      </c>
      <c r="T178" s="176">
        <f t="shared" si="56"/>
        <v>5</v>
      </c>
      <c r="U178" s="251">
        <f t="shared" si="57"/>
        <v>-0.75979770922107015</v>
      </c>
      <c r="V178" s="383">
        <f t="shared" si="58"/>
        <v>53.970818011023269</v>
      </c>
      <c r="W178" s="402">
        <f t="shared" si="59"/>
        <v>49.373519800264908</v>
      </c>
      <c r="X178" s="157">
        <f t="shared" si="60"/>
        <v>46551</v>
      </c>
      <c r="Y178" s="385">
        <f t="shared" si="61"/>
        <v>46.960467354960691</v>
      </c>
      <c r="Z178" s="385">
        <f t="shared" si="62"/>
        <v>50.489258510449716</v>
      </c>
      <c r="AA178" s="386">
        <f t="shared" si="63"/>
        <v>53.533918673190904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5.687347831433677E-2</v>
      </c>
      <c r="AD178" s="231">
        <f>(INDEX(Models!$BJ178:$BT178,,AH178)*(1-AF178)+INDEX(Models!$BJ178:$BT178,,AH178+1)*AF178-ERP_i)*AE178*Ramure*Pc/MaxiM</f>
        <v>1.0309783964479522E-2</v>
      </c>
      <c r="AE178" s="305">
        <f t="shared" si="65"/>
        <v>0.7</v>
      </c>
      <c r="AF178" s="177">
        <f t="shared" si="66"/>
        <v>0.76518985715290855</v>
      </c>
      <c r="AG178" s="919">
        <f t="shared" si="74"/>
        <v>2</v>
      </c>
      <c r="AH178" s="176">
        <f t="shared" si="67"/>
        <v>8</v>
      </c>
      <c r="AI178" s="225">
        <f t="shared" si="68"/>
        <v>2.7651898571529085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1090">
        <f>IF(t&gt;Tmaj,'2026'!Wh/'2026'!Env_an*'2027'!Env_an,0.001*'[8]mon-tableau'!$B$50)</f>
        <v>47.008117569385405</v>
      </c>
      <c r="C179" s="953"/>
      <c r="D179" s="393">
        <f t="shared" si="50"/>
        <v>50.541596336963977</v>
      </c>
      <c r="E179" s="385">
        <f t="shared" si="75"/>
        <v>51.298950118552057</v>
      </c>
      <c r="F179" s="385">
        <f t="shared" si="51"/>
        <v>51.436069612478015</v>
      </c>
      <c r="G179" s="110">
        <f t="shared" si="76"/>
        <v>0.87166531948514625</v>
      </c>
      <c r="H179" s="412" t="b">
        <f>Wh_hp&gt;='2026'!Maxi_hp</f>
        <v>0</v>
      </c>
      <c r="I179" s="390">
        <f>IF(H179,Wh_hp,'2026'!Maxi_hp)</f>
        <v>57.572810186062441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6.9912290542242683E-2</v>
      </c>
      <c r="M179" s="957"/>
      <c r="N179" s="957"/>
      <c r="O179" s="48">
        <f>IF(t&lt;Tnet,'2026'!Resal+('2026'!Salim-'2026'!Resal)*(1-EXP(('2026'!Tnet-t)/('2026'!Tau_j))),Resal+(Salim-Resal)*(1-EXP((Tnet-t)/(Tau_j))))*Salcycl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3.2613107025602707E-3</v>
      </c>
      <c r="Q179" s="305">
        <f t="shared" si="53"/>
        <v>0.7</v>
      </c>
      <c r="R179" s="177">
        <f t="shared" si="54"/>
        <v>0.24532143019675567</v>
      </c>
      <c r="S179" s="919">
        <f t="shared" si="55"/>
        <v>-1</v>
      </c>
      <c r="T179" s="176">
        <f t="shared" si="56"/>
        <v>5</v>
      </c>
      <c r="U179" s="251">
        <f t="shared" si="57"/>
        <v>-0.75467856980324433</v>
      </c>
      <c r="V179" s="383">
        <f t="shared" si="58"/>
        <v>53.896890209480645</v>
      </c>
      <c r="W179" s="402">
        <f t="shared" si="59"/>
        <v>47.008117569385405</v>
      </c>
      <c r="X179" s="157">
        <f t="shared" si="60"/>
        <v>46552</v>
      </c>
      <c r="Y179" s="385">
        <f t="shared" si="61"/>
        <v>44.72832329130879</v>
      </c>
      <c r="Z179" s="385">
        <f t="shared" si="62"/>
        <v>48.090435812107955</v>
      </c>
      <c r="AA179" s="386">
        <f t="shared" si="63"/>
        <v>50.997201336855518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5.6998530283010836E-2</v>
      </c>
      <c r="AD179" s="231">
        <f>(INDEX(Models!$BJ179:$BT179,,AH179)*(1-AF179)+INDEX(Models!$BJ179:$BT179,,AH179+1)*AF179-ERP_i)*AE179*Ramure*Pc/MaxiM</f>
        <v>1.0438237214284652E-2</v>
      </c>
      <c r="AE179" s="305">
        <f t="shared" si="65"/>
        <v>0.7</v>
      </c>
      <c r="AF179" s="177">
        <f t="shared" si="66"/>
        <v>0.77030899657073482</v>
      </c>
      <c r="AG179" s="919">
        <f t="shared" si="74"/>
        <v>2</v>
      </c>
      <c r="AH179" s="176">
        <f t="shared" si="67"/>
        <v>8</v>
      </c>
      <c r="AI179" s="225">
        <f t="shared" si="68"/>
        <v>2.7703089965707348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1090">
        <f>IF(t&gt;Tmaj,'2026'!Wh/'2026'!Env_an*'2027'!Env_an,0.001*'[8]mon-tableau'!$B$51)</f>
        <v>50.4658566370369</v>
      </c>
      <c r="C180" s="953"/>
      <c r="D180" s="393">
        <f t="shared" si="50"/>
        <v>54.260433161133712</v>
      </c>
      <c r="E180" s="385">
        <f t="shared" si="75"/>
        <v>55.081751990210222</v>
      </c>
      <c r="F180" s="385">
        <f t="shared" si="51"/>
        <v>55.248547944842095</v>
      </c>
      <c r="G180" s="110">
        <f t="shared" si="76"/>
        <v>0.93740514346126236</v>
      </c>
      <c r="H180" s="412" t="b">
        <f>Wh_hp&gt;='2026'!Maxi_hp</f>
        <v>0</v>
      </c>
      <c r="I180" s="390">
        <f>IF(H180,Wh_hp,'2026'!Maxi_hp)</f>
        <v>55.261532485244501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6.9932661850087063E-2</v>
      </c>
      <c r="M180" s="957"/>
      <c r="N180" s="957"/>
      <c r="O180" s="48">
        <f>IF(t&lt;Tnet,'2026'!Resal+('2026'!Salim-'2026'!Resal)*(1-EXP(('2026'!Tnet-t)/('2026'!Tau_j))),Resal+(Salim-Resal)*(1-EXP((Tnet-t)/(Tau_j))))*Salcycl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3.3140426967141457E-3</v>
      </c>
      <c r="Q180" s="305">
        <f t="shared" si="53"/>
        <v>0.7</v>
      </c>
      <c r="R180" s="177">
        <f t="shared" si="54"/>
        <v>0.25042334874389582</v>
      </c>
      <c r="S180" s="919">
        <f t="shared" si="55"/>
        <v>-1</v>
      </c>
      <c r="T180" s="176">
        <f t="shared" si="56"/>
        <v>5</v>
      </c>
      <c r="U180" s="251">
        <f t="shared" si="57"/>
        <v>-0.74957665125610418</v>
      </c>
      <c r="V180" s="383">
        <f t="shared" si="58"/>
        <v>53.819762839649741</v>
      </c>
      <c r="W180" s="402">
        <f t="shared" si="59"/>
        <v>50.4658566370369</v>
      </c>
      <c r="X180" s="157">
        <f t="shared" si="60"/>
        <v>46553</v>
      </c>
      <c r="Y180" s="385">
        <f t="shared" si="61"/>
        <v>47.983600781716177</v>
      </c>
      <c r="Z180" s="385">
        <f t="shared" si="62"/>
        <v>51.591534089526256</v>
      </c>
      <c r="AA180" s="386">
        <f t="shared" si="63"/>
        <v>54.717126028555214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5.7122735894385365E-2</v>
      </c>
      <c r="AD180" s="231">
        <f>(INDEX(Models!$BJ180:$BT180,,AH180)*(1-AF180)+INDEX(Models!$BJ180:$BT180,,AH180+1)*AF180-ERP_i)*AE180*Ramure*Pc/MaxiM</f>
        <v>1.0558738816126154E-2</v>
      </c>
      <c r="AE180" s="305">
        <f t="shared" si="65"/>
        <v>0.7</v>
      </c>
      <c r="AF180" s="177">
        <f t="shared" si="66"/>
        <v>0.77541091511787474</v>
      </c>
      <c r="AG180" s="919">
        <f t="shared" si="74"/>
        <v>2</v>
      </c>
      <c r="AH180" s="176">
        <f t="shared" si="67"/>
        <v>8</v>
      </c>
      <c r="AI180" s="225">
        <f t="shared" si="68"/>
        <v>2.7754109151178747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1090">
        <f>IF(t&gt;Tmaj,'2026'!Wh/'2026'!Env_an*'2027'!Env_an,0.001*'[8]mon-tableau'!$B$52)</f>
        <v>48.973849098521391</v>
      </c>
      <c r="C181" s="953"/>
      <c r="D181" s="393">
        <f t="shared" si="50"/>
        <v>52.657393466176167</v>
      </c>
      <c r="E181" s="385">
        <f t="shared" si="75"/>
        <v>53.462433188401661</v>
      </c>
      <c r="F181" s="385">
        <f t="shared" si="51"/>
        <v>53.61993568847852</v>
      </c>
      <c r="G181" s="110">
        <f t="shared" si="76"/>
        <v>0.91092416634375328</v>
      </c>
      <c r="H181" s="412" t="b">
        <f>Wh_hp&gt;='2026'!Maxi_hp</f>
        <v>0</v>
      </c>
      <c r="I181" s="390">
        <f>IF(H181,Wh_hp,'2026'!Maxi_hp)</f>
        <v>59.636866753529013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6.9953032711747465E-2</v>
      </c>
      <c r="M181" s="957"/>
      <c r="N181" s="957"/>
      <c r="O181" s="48">
        <f>IF(t&lt;Tnet,'2026'!Resal+('2026'!Salim-'2026'!Resal)*(1-EXP(('2026'!Tnet-t)/('2026'!Tau_j))),Resal+(Salim-Resal)*(1-EXP((Tnet-t)/(Tau_j))))*Salcycl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3.3635284346704253E-3</v>
      </c>
      <c r="Q181" s="305">
        <f t="shared" si="53"/>
        <v>0.7</v>
      </c>
      <c r="R181" s="177">
        <f t="shared" si="54"/>
        <v>0.25550384961416772</v>
      </c>
      <c r="S181" s="919">
        <f t="shared" si="55"/>
        <v>-1</v>
      </c>
      <c r="T181" s="176">
        <f t="shared" si="56"/>
        <v>5</v>
      </c>
      <c r="U181" s="251">
        <f t="shared" si="57"/>
        <v>-0.74449615038583228</v>
      </c>
      <c r="V181" s="383">
        <f t="shared" si="58"/>
        <v>53.739838765790843</v>
      </c>
      <c r="W181" s="402">
        <f t="shared" si="59"/>
        <v>48.973849098521391</v>
      </c>
      <c r="X181" s="157">
        <f t="shared" si="60"/>
        <v>46554</v>
      </c>
      <c r="Y181" s="385">
        <f t="shared" si="61"/>
        <v>46.576121797481044</v>
      </c>
      <c r="Z181" s="385">
        <f t="shared" si="62"/>
        <v>50.079322266146967</v>
      </c>
      <c r="AA181" s="386">
        <f t="shared" si="63"/>
        <v>53.120247535241887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5.7246067369649614E-2</v>
      </c>
      <c r="AD181" s="231">
        <f>(INDEX(Models!$BJ181:$BT181,,AH181)*(1-AF181)+INDEX(Models!$BJ181:$BT181,,AH181+1)*AF181-ERP_i)*AE181*Ramure*Pc/MaxiM</f>
        <v>1.0671038942614742E-2</v>
      </c>
      <c r="AE181" s="305">
        <f t="shared" si="65"/>
        <v>0.7</v>
      </c>
      <c r="AF181" s="177">
        <f t="shared" si="66"/>
        <v>0.78049141598814664</v>
      </c>
      <c r="AG181" s="919">
        <f t="shared" si="74"/>
        <v>2</v>
      </c>
      <c r="AH181" s="176">
        <f t="shared" si="67"/>
        <v>8</v>
      </c>
      <c r="AI181" s="225">
        <f t="shared" si="68"/>
        <v>2.7804914159881466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1090">
        <f>IF(t&gt;Tmaj,'2026'!Wh/'2026'!Env_an*'2027'!Env_an,0.001*'[8]mon-tableau'!$B$53)</f>
        <v>49.612914396725571</v>
      </c>
      <c r="C182" s="953"/>
      <c r="D182" s="393">
        <f t="shared" si="50"/>
        <v>53.345694159231599</v>
      </c>
      <c r="E182" s="385">
        <f t="shared" si="75"/>
        <v>54.169335573809846</v>
      </c>
      <c r="F182" s="385">
        <f t="shared" si="51"/>
        <v>54.334647201062516</v>
      </c>
      <c r="G182" s="110">
        <f t="shared" si="76"/>
        <v>0.92428130504988837</v>
      </c>
      <c r="H182" s="412" t="b">
        <f>Wh_hp&gt;='2026'!Maxi_hp</f>
        <v>0</v>
      </c>
      <c r="I182" s="390">
        <f>IF(H182,Wh_hp,'2026'!Maxi_hp)</f>
        <v>58.647204437041879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6.9973403127233658E-2</v>
      </c>
      <c r="M182" s="957"/>
      <c r="N182" s="957"/>
      <c r="O182" s="48">
        <f>IF(t&lt;Tnet,'2026'!Resal+('2026'!Salim-'2026'!Resal)*(1-EXP(('2026'!Tnet-t)/('2026'!Tau_j))),Resal+(Salim-Resal)*(1-EXP((Tnet-t)/(Tau_j))))*Salcycl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3.4096314208346078E-3</v>
      </c>
      <c r="Q182" s="305">
        <f t="shared" si="53"/>
        <v>0.7</v>
      </c>
      <c r="R182" s="177">
        <f t="shared" si="54"/>
        <v>0.2605588071438274</v>
      </c>
      <c r="S182" s="919">
        <f t="shared" si="55"/>
        <v>-1</v>
      </c>
      <c r="T182" s="176">
        <f t="shared" si="56"/>
        <v>5</v>
      </c>
      <c r="U182" s="251">
        <f t="shared" si="57"/>
        <v>-0.7394411928561726</v>
      </c>
      <c r="V182" s="383">
        <f t="shared" si="58"/>
        <v>53.657520359142111</v>
      </c>
      <c r="W182" s="402">
        <f t="shared" si="59"/>
        <v>49.612914396725571</v>
      </c>
      <c r="X182" s="157">
        <f t="shared" si="60"/>
        <v>46555</v>
      </c>
      <c r="Y182" s="385">
        <f t="shared" si="61"/>
        <v>47.175704113719611</v>
      </c>
      <c r="Z182" s="385">
        <f t="shared" si="62"/>
        <v>50.725112886393667</v>
      </c>
      <c r="AA182" s="386">
        <f t="shared" si="63"/>
        <v>53.812240367736408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5.7368499438905624E-2</v>
      </c>
      <c r="AD182" s="231">
        <f>(INDEX(Models!$BJ182:$BT182,,AH182)*(1-AF182)+INDEX(Models!$BJ182:$BT182,,AH182+1)*AF182-ERP_i)*AE182*Ramure*Pc/MaxiM</f>
        <v>1.0774890931567071E-2</v>
      </c>
      <c r="AE182" s="305">
        <f t="shared" si="65"/>
        <v>0.7</v>
      </c>
      <c r="AF182" s="177">
        <f t="shared" si="66"/>
        <v>0.78554637351780654</v>
      </c>
      <c r="AG182" s="919">
        <f t="shared" si="74"/>
        <v>2</v>
      </c>
      <c r="AH182" s="176">
        <f t="shared" si="67"/>
        <v>8</v>
      </c>
      <c r="AI182" s="225">
        <f t="shared" si="68"/>
        <v>2.7855463735178065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1090">
        <f>IF(t&gt;Tmaj,'2026'!Wh/'2026'!Env_an*'2027'!Env_an,0.001*'[8]mon-tableau'!$B$54)</f>
        <v>51.284212884508506</v>
      </c>
      <c r="C183" s="953"/>
      <c r="D183" s="393">
        <f t="shared" si="50"/>
        <v>55.143945708046274</v>
      </c>
      <c r="E183" s="385">
        <f t="shared" si="75"/>
        <v>56.003690573711168</v>
      </c>
      <c r="F183" s="385">
        <f t="shared" si="51"/>
        <v>56.185816897747365</v>
      </c>
      <c r="G183" s="110">
        <f t="shared" si="76"/>
        <v>0.95707111535236122</v>
      </c>
      <c r="H183" s="412" t="b">
        <f>Wh_hp&gt;='2026'!Maxi_hp</f>
        <v>0</v>
      </c>
      <c r="I183" s="390">
        <f>IF(H183,Wh_hp,'2026'!Maxi_hp)</f>
        <v>56.677985927992459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6.9993773096555523E-2</v>
      </c>
      <c r="M183" s="957"/>
      <c r="N183" s="957"/>
      <c r="O183" s="48">
        <f>IF(t&lt;Tnet,'2026'!Resal+('2026'!Salim-'2026'!Resal)*(1-EXP(('2026'!Tnet-t)/('2026'!Tau_j))),Resal+(Salim-Resal)*(1-EXP((Tnet-t)/(Tau_j))))*Salcycl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3.4522159145805422E-3</v>
      </c>
      <c r="Q183" s="305">
        <f t="shared" si="53"/>
        <v>0.7</v>
      </c>
      <c r="R183" s="177">
        <f t="shared" si="54"/>
        <v>0.2655841799260994</v>
      </c>
      <c r="S183" s="919">
        <f t="shared" si="55"/>
        <v>-1</v>
      </c>
      <c r="T183" s="176">
        <f t="shared" si="56"/>
        <v>5</v>
      </c>
      <c r="U183" s="251">
        <f t="shared" si="57"/>
        <v>-0.7344158200739006</v>
      </c>
      <c r="V183" s="383">
        <f t="shared" si="58"/>
        <v>53.573209470053719</v>
      </c>
      <c r="W183" s="402">
        <f t="shared" si="59"/>
        <v>51.284212884508506</v>
      </c>
      <c r="X183" s="157">
        <f t="shared" si="60"/>
        <v>46556</v>
      </c>
      <c r="Y183" s="385">
        <f t="shared" si="61"/>
        <v>48.746460435796251</v>
      </c>
      <c r="Z183" s="385">
        <f t="shared" si="62"/>
        <v>52.415197904752553</v>
      </c>
      <c r="AA183" s="386">
        <f t="shared" si="63"/>
        <v>55.612352578694903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5.7490009425840823E-2</v>
      </c>
      <c r="AD183" s="231">
        <f>(INDEX(Models!$BJ183:$BT183,,AH183)*(1-AF183)+INDEX(Models!$BJ183:$BT183,,AH183+1)*AF183-ERP_i)*AE183*Ramure*Pc/MaxiM</f>
        <v>1.0870052196757164E-2</v>
      </c>
      <c r="AE183" s="305">
        <f t="shared" si="65"/>
        <v>0.7</v>
      </c>
      <c r="AF183" s="177">
        <f t="shared" si="66"/>
        <v>0.79057174630007854</v>
      </c>
      <c r="AG183" s="919">
        <f t="shared" si="74"/>
        <v>2</v>
      </c>
      <c r="AH183" s="176">
        <f t="shared" si="67"/>
        <v>8</v>
      </c>
      <c r="AI183" s="225">
        <f t="shared" si="68"/>
        <v>2.7905717463000785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1090">
        <f>IF(t&gt;Tmaj,'2026'!Wh/'2026'!Env_an*'2027'!Env_an,0.001*'[8]mon-tableau'!$B$55)</f>
        <v>52.362537898019824</v>
      </c>
      <c r="C184" s="953"/>
      <c r="D184" s="393">
        <f t="shared" si="50"/>
        <v>56.30466042303312</v>
      </c>
      <c r="E184" s="385">
        <f t="shared" si="75"/>
        <v>57.191003401360916</v>
      </c>
      <c r="F184" s="385">
        <f t="shared" si="51"/>
        <v>57.385253886939779</v>
      </c>
      <c r="G184" s="110">
        <f t="shared" si="76"/>
        <v>0.97886703750458515</v>
      </c>
      <c r="H184" s="412" t="b">
        <f>Wh_hp&gt;='2026'!Maxi_hp</f>
        <v>0</v>
      </c>
      <c r="I184" s="390">
        <f>IF(H184,Wh_hp,'2026'!Maxi_hp)</f>
        <v>57.389962930332153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7.0014142619722719E-2</v>
      </c>
      <c r="M184" s="957"/>
      <c r="N184" s="957"/>
      <c r="O184" s="48">
        <f>IF(t&lt;Tnet,'2026'!Resal+('2026'!Salim-'2026'!Resal)*(1-EXP(('2026'!Tnet-t)/('2026'!Tau_j))),Resal+(Salim-Resal)*(1-EXP((Tnet-t)/(Tau_j))))*Salcycl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3.489869947814298E-3</v>
      </c>
      <c r="Q184" s="305">
        <f t="shared" si="53"/>
        <v>0.7</v>
      </c>
      <c r="R184" s="177">
        <f t="shared" si="54"/>
        <v>0.2705760233405119</v>
      </c>
      <c r="S184" s="919">
        <f t="shared" si="55"/>
        <v>-1</v>
      </c>
      <c r="T184" s="176">
        <f t="shared" si="56"/>
        <v>5</v>
      </c>
      <c r="U184" s="251">
        <f t="shared" si="57"/>
        <v>-0.7294239766594881</v>
      </c>
      <c r="V184" s="383">
        <f t="shared" si="58"/>
        <v>53.487375983748173</v>
      </c>
      <c r="W184" s="402">
        <f t="shared" si="59"/>
        <v>52.362537898019824</v>
      </c>
      <c r="X184" s="157">
        <f t="shared" si="60"/>
        <v>46557</v>
      </c>
      <c r="Y184" s="385">
        <f t="shared" si="61"/>
        <v>49.758613149111795</v>
      </c>
      <c r="Z184" s="385">
        <f t="shared" si="62"/>
        <v>53.504698758838408</v>
      </c>
      <c r="AA184" s="386">
        <f t="shared" si="63"/>
        <v>56.775572253958885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5.7610577318177501E-2</v>
      </c>
      <c r="AD184" s="231">
        <f>(INDEX(Models!$BJ184:$BT184,,AH184)*(1-AF184)+INDEX(Models!$BJ184:$BT184,,AH184+1)*AF184-ERP_i)*AE184*Ramure*Pc/MaxiM</f>
        <v>1.0953432637935861E-2</v>
      </c>
      <c r="AE184" s="305">
        <f t="shared" si="65"/>
        <v>0.7</v>
      </c>
      <c r="AF184" s="177">
        <f t="shared" si="66"/>
        <v>0.79556358971449104</v>
      </c>
      <c r="AG184" s="919">
        <f t="shared" si="74"/>
        <v>2</v>
      </c>
      <c r="AH184" s="176">
        <f t="shared" si="67"/>
        <v>8</v>
      </c>
      <c r="AI184" s="225">
        <f t="shared" si="68"/>
        <v>2.795563589714491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1090">
        <f>IF(t&gt;Tmaj,'2026'!Wh/'2026'!Env_an*'2027'!Env_an,0.001*'[8]mon-tableau'!$B$56)</f>
        <v>33.026948608744725</v>
      </c>
      <c r="C185" s="953"/>
      <c r="D185" s="393">
        <f t="shared" si="50"/>
        <v>35.514165874051102</v>
      </c>
      <c r="E185" s="385">
        <f t="shared" si="75"/>
        <v>36.078580459188721</v>
      </c>
      <c r="F185" s="385">
        <f t="shared" si="51"/>
        <v>36.136530783812702</v>
      </c>
      <c r="G185" s="110">
        <f t="shared" si="76"/>
        <v>0.61728866783962955</v>
      </c>
      <c r="H185" s="412" t="b">
        <f>Wh_hp&gt;='2026'!Maxi_hp</f>
        <v>0</v>
      </c>
      <c r="I185" s="390">
        <f>IF(H185,Wh_hp,'2026'!Maxi_hp)</f>
        <v>50.746590499850917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7.0034511696745128E-2</v>
      </c>
      <c r="M185" s="957"/>
      <c r="N185" s="957"/>
      <c r="O185" s="48">
        <f>IF(t&lt;Tnet,'2026'!Resal+('2026'!Salim-'2026'!Resal)*(1-EXP(('2026'!Tnet-t)/('2026'!Tau_j))),Resal+(Salim-Resal)*(1-EXP((Tnet-t)/(Tau_j))))*Salcycl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3.524739489790968E-3</v>
      </c>
      <c r="Q185" s="305">
        <f t="shared" si="53"/>
        <v>0.7</v>
      </c>
      <c r="R185" s="177">
        <f t="shared" si="54"/>
        <v>0.27553050141759416</v>
      </c>
      <c r="S185" s="919">
        <f t="shared" si="55"/>
        <v>-1</v>
      </c>
      <c r="T185" s="176">
        <f t="shared" si="56"/>
        <v>5</v>
      </c>
      <c r="U185" s="251">
        <f t="shared" si="57"/>
        <v>-0.72446949858240584</v>
      </c>
      <c r="V185" s="383">
        <f t="shared" si="58"/>
        <v>53.400298223358178</v>
      </c>
      <c r="W185" s="402">
        <f t="shared" si="59"/>
        <v>33.026948608744725</v>
      </c>
      <c r="X185" s="157">
        <f t="shared" si="60"/>
        <v>46558</v>
      </c>
      <c r="Y185" s="385">
        <f t="shared" si="61"/>
        <v>31.506749145736553</v>
      </c>
      <c r="Z185" s="385">
        <f t="shared" si="62"/>
        <v>33.879482133494434</v>
      </c>
      <c r="AA185" s="386">
        <f t="shared" si="63"/>
        <v>35.955181439297505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5.7730185823354402E-2</v>
      </c>
      <c r="AD185" s="231">
        <f>(INDEX(Models!$BJ185:$BT185,,AH185)*(1-AF185)+INDEX(Models!$BJ185:$BT185,,AH185+1)*AF185-ERP_i)*AE185*Ramure*Pc/MaxiM</f>
        <v>1.1030295347057881E-2</v>
      </c>
      <c r="AE185" s="305">
        <f t="shared" si="65"/>
        <v>0.7</v>
      </c>
      <c r="AF185" s="177">
        <f t="shared" si="66"/>
        <v>0.80051806779157308</v>
      </c>
      <c r="AG185" s="919">
        <f t="shared" si="74"/>
        <v>2</v>
      </c>
      <c r="AH185" s="176">
        <f t="shared" si="67"/>
        <v>8</v>
      </c>
      <c r="AI185" s="225">
        <f t="shared" si="68"/>
        <v>2.8005180677915731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1090">
        <f>IF(t&gt;Tmaj,'2026'!Wh/'2026'!Env_an*'2027'!Env_an,0.001*'[8]mon-tableau'!$B$57)</f>
        <v>23.349659980379855</v>
      </c>
      <c r="C186" s="953"/>
      <c r="D186" s="393">
        <f t="shared" si="50"/>
        <v>25.108642957991179</v>
      </c>
      <c r="E186" s="385">
        <f t="shared" si="75"/>
        <v>25.511464877626953</v>
      </c>
      <c r="F186" s="385">
        <f t="shared" si="51"/>
        <v>25.529362927334443</v>
      </c>
      <c r="G186" s="110">
        <f t="shared" si="76"/>
        <v>0.43672664736232031</v>
      </c>
      <c r="H186" s="412" t="b">
        <f>Wh_hp&gt;='2026'!Maxi_hp</f>
        <v>0</v>
      </c>
      <c r="I186" s="390">
        <f>IF(H186,Wh_hp,'2026'!Maxi_hp)</f>
        <v>50.271199376554243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7.0054880327632518E-2</v>
      </c>
      <c r="M186" s="957"/>
      <c r="N186" s="957"/>
      <c r="O186" s="48">
        <f>IF(t&lt;Tnet,'2026'!Resal+('2026'!Salim-'2026'!Resal)*(1-EXP(('2026'!Tnet-t)/('2026'!Tau_j))),Resal+(Salim-Resal)*(1-EXP((Tnet-t)/(Tau_j))))*Salcycl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3.5567484444846572E-3</v>
      </c>
      <c r="Q186" s="305">
        <f t="shared" si="53"/>
        <v>0.7</v>
      </c>
      <c r="R186" s="177">
        <f t="shared" si="54"/>
        <v>0.28044389796722091</v>
      </c>
      <c r="S186" s="919">
        <f t="shared" si="55"/>
        <v>-1</v>
      </c>
      <c r="T186" s="176">
        <f t="shared" si="56"/>
        <v>5</v>
      </c>
      <c r="U186" s="251">
        <f t="shared" si="57"/>
        <v>-0.71955610203277909</v>
      </c>
      <c r="V186" s="383">
        <f t="shared" si="58"/>
        <v>53.312373733923984</v>
      </c>
      <c r="W186" s="402">
        <f t="shared" si="59"/>
        <v>23.349659980379855</v>
      </c>
      <c r="X186" s="157">
        <f t="shared" si="60"/>
        <v>46559</v>
      </c>
      <c r="Y186" s="385">
        <f t="shared" si="61"/>
        <v>22.318582220129947</v>
      </c>
      <c r="Z186" s="385">
        <f t="shared" si="62"/>
        <v>23.999891765648592</v>
      </c>
      <c r="AA186" s="386">
        <f t="shared" si="63"/>
        <v>25.473503919049847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5.7848820409007157E-2</v>
      </c>
      <c r="AD186" s="231">
        <f>(INDEX(Models!$BJ186:$BT186,,AH186)*(1-AF186)+INDEX(Models!$BJ186:$BT186,,AH186+1)*AF186-ERP_i)*AE186*Ramure*Pc/MaxiM</f>
        <v>1.11004519527922E-2</v>
      </c>
      <c r="AE186" s="305">
        <f t="shared" si="65"/>
        <v>0.7</v>
      </c>
      <c r="AF186" s="177">
        <f t="shared" si="66"/>
        <v>0.80543146434119972</v>
      </c>
      <c r="AG186" s="919">
        <f t="shared" si="74"/>
        <v>2</v>
      </c>
      <c r="AH186" s="176">
        <f t="shared" si="67"/>
        <v>8</v>
      </c>
      <c r="AI186" s="225">
        <f t="shared" si="68"/>
        <v>2.8054314643411997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1090">
        <f>IF(t&gt;Tmaj,'2026'!Wh/'2026'!Env_an*'2027'!Env_an,0.001*'[8]mon-tableau'!$B$58)</f>
        <v>41.230533793366497</v>
      </c>
      <c r="C187" s="953"/>
      <c r="D187" s="393">
        <f t="shared" si="50"/>
        <v>44.337494756871237</v>
      </c>
      <c r="E187" s="385">
        <f t="shared" si="75"/>
        <v>45.055469253197863</v>
      </c>
      <c r="F187" s="385">
        <f t="shared" si="51"/>
        <v>45.165288570422909</v>
      </c>
      <c r="G187" s="110">
        <f t="shared" si="76"/>
        <v>0.77376418010232739</v>
      </c>
      <c r="H187" s="412" t="b">
        <f>Wh_hp&gt;='2026'!Maxi_hp</f>
        <v>0</v>
      </c>
      <c r="I187" s="390">
        <f>IF(H187,Wh_hp,'2026'!Maxi_hp)</f>
        <v>58.651325061036623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7.007524851239455E-2</v>
      </c>
      <c r="M187" s="957"/>
      <c r="N187" s="957"/>
      <c r="O187" s="48">
        <f>IF(t&lt;Tnet,'2026'!Resal+('2026'!Salim-'2026'!Resal)*(1-EXP(('2026'!Tnet-t)/('2026'!Tau_j))),Resal+(Salim-Resal)*(1-EXP((Tnet-t)/(Tau_j))))*Salcycl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3.5858228795859516E-3</v>
      </c>
      <c r="Q187" s="305">
        <f t="shared" si="53"/>
        <v>0.7</v>
      </c>
      <c r="R187" s="177">
        <f t="shared" si="54"/>
        <v>0.28531262690730852</v>
      </c>
      <c r="S187" s="919">
        <f t="shared" si="55"/>
        <v>-1</v>
      </c>
      <c r="T187" s="176">
        <f t="shared" si="56"/>
        <v>5</v>
      </c>
      <c r="U187" s="251">
        <f t="shared" si="57"/>
        <v>-0.71468737309269148</v>
      </c>
      <c r="V187" s="383">
        <f t="shared" si="58"/>
        <v>53.223999538515429</v>
      </c>
      <c r="W187" s="402">
        <f t="shared" si="59"/>
        <v>41.230533793366497</v>
      </c>
      <c r="X187" s="157">
        <f t="shared" si="60"/>
        <v>46560</v>
      </c>
      <c r="Y187" s="385">
        <f t="shared" si="61"/>
        <v>39.266198348292292</v>
      </c>
      <c r="Z187" s="385">
        <f t="shared" si="62"/>
        <v>42.225135190216143</v>
      </c>
      <c r="AA187" s="386">
        <f t="shared" si="63"/>
        <v>44.823388781173954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5.796646932793012E-2</v>
      </c>
      <c r="AD187" s="231">
        <f>(INDEX(Models!$BJ187:$BT187,,AH187)*(1-AF187)+INDEX(Models!$BJ187:$BT187,,AH187+1)*AF187-ERP_i)*AE187*Ramure*Pc/MaxiM</f>
        <v>1.1163719806253632E-2</v>
      </c>
      <c r="AE187" s="305">
        <f t="shared" si="65"/>
        <v>0.7</v>
      </c>
      <c r="AF187" s="177">
        <f t="shared" si="66"/>
        <v>0.81030019328128766</v>
      </c>
      <c r="AG187" s="919">
        <f t="shared" si="74"/>
        <v>2</v>
      </c>
      <c r="AH187" s="176">
        <f t="shared" si="67"/>
        <v>8</v>
      </c>
      <c r="AI187" s="225">
        <f t="shared" si="68"/>
        <v>2.8103001932812877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1090">
        <f>IF(t&gt;Tmaj,'2026'!Wh/'2026'!Env_an*'2027'!Env_an,0.001*'[8]mon-tableau'!$B$59)</f>
        <v>40.870457860017815</v>
      </c>
      <c r="C188" s="953"/>
      <c r="D188" s="393">
        <f t="shared" si="50"/>
        <v>43.951247648974828</v>
      </c>
      <c r="E188" s="385">
        <f t="shared" si="75"/>
        <v>44.669558668775231</v>
      </c>
      <c r="F188" s="385">
        <f t="shared" si="51"/>
        <v>44.777958759675073</v>
      </c>
      <c r="G188" s="110">
        <f t="shared" si="76"/>
        <v>0.76825484530723642</v>
      </c>
      <c r="H188" s="412" t="b">
        <f>Wh_hp&gt;='2026'!Maxi_hp</f>
        <v>0</v>
      </c>
      <c r="I188" s="390">
        <f>IF(H188,Wh_hp,'2026'!Maxi_hp)</f>
        <v>52.717054573900171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7.0095616251041104E-2</v>
      </c>
      <c r="M188" s="957"/>
      <c r="N188" s="957"/>
      <c r="O188" s="48">
        <f>IF(t&lt;Tnet,'2026'!Resal+('2026'!Salim-'2026'!Resal)*(1-EXP(('2026'!Tnet-t)/('2026'!Tau_j))),Resal+(Salim-Resal)*(1-EXP((Tnet-t)/(Tau_j))))*Salcycl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3.6118543403479888E-3</v>
      </c>
      <c r="Q188" s="305">
        <f t="shared" si="53"/>
        <v>0.7</v>
      </c>
      <c r="R188" s="177">
        <f t="shared" si="54"/>
        <v>0.2901332417385305</v>
      </c>
      <c r="S188" s="919">
        <f t="shared" si="55"/>
        <v>-1</v>
      </c>
      <c r="T188" s="176">
        <f t="shared" si="56"/>
        <v>5</v>
      </c>
      <c r="U188" s="251">
        <f t="shared" si="57"/>
        <v>-0.7098667582614695</v>
      </c>
      <c r="V188" s="383">
        <f t="shared" si="58"/>
        <v>53.135574106693454</v>
      </c>
      <c r="W188" s="402">
        <f t="shared" si="59"/>
        <v>40.870457860017815</v>
      </c>
      <c r="X188" s="157">
        <f t="shared" si="60"/>
        <v>46561</v>
      </c>
      <c r="Y188" s="385">
        <f t="shared" si="61"/>
        <v>38.925742793921422</v>
      </c>
      <c r="Z188" s="385">
        <f t="shared" si="62"/>
        <v>41.859941166198425</v>
      </c>
      <c r="AA188" s="386">
        <f t="shared" si="63"/>
        <v>44.441226414162017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5.8083123627322319E-2</v>
      </c>
      <c r="AD188" s="231">
        <f>(INDEX(Models!$BJ188:$BT188,,AH188)*(1-AF188)+INDEX(Models!$BJ188:$BT188,,AH188+1)*AF188-ERP_i)*AE188*Ramure*Pc/MaxiM</f>
        <v>1.1219807784115814E-2</v>
      </c>
      <c r="AE188" s="305">
        <f t="shared" si="65"/>
        <v>0.7</v>
      </c>
      <c r="AF188" s="177">
        <f t="shared" si="66"/>
        <v>0.8151208081125092</v>
      </c>
      <c r="AG188" s="919">
        <f t="shared" si="74"/>
        <v>2</v>
      </c>
      <c r="AH188" s="176">
        <f t="shared" si="67"/>
        <v>8</v>
      </c>
      <c r="AI188" s="225">
        <f t="shared" si="68"/>
        <v>2.8151208081125092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1090">
        <f>IF(t&gt;Tmaj,'2026'!Wh/'2026'!Env_an*'2027'!Env_an,0.001*'[8]mon-tableau'!$B$60)</f>
        <v>38.928818620278172</v>
      </c>
      <c r="C189" s="953"/>
      <c r="D189" s="393">
        <f t="shared" si="50"/>
        <v>41.864165779112192</v>
      </c>
      <c r="E189" s="385">
        <f t="shared" si="75"/>
        <v>42.554633417400431</v>
      </c>
      <c r="F189" s="385">
        <f t="shared" si="51"/>
        <v>42.650714723818425</v>
      </c>
      <c r="G189" s="110">
        <f t="shared" si="76"/>
        <v>0.73283192116491314</v>
      </c>
      <c r="H189" s="412" t="b">
        <f>Wh_hp&gt;='2026'!Maxi_hp</f>
        <v>0</v>
      </c>
      <c r="I189" s="390">
        <f>IF(H189,Wh_hp,'2026'!Maxi_hp)</f>
        <v>57.879746381610467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7.011598354358195E-2</v>
      </c>
      <c r="M189" s="957"/>
      <c r="N189" s="957"/>
      <c r="O189" s="48">
        <f>IF(t&lt;Tnet,'2026'!Resal+('2026'!Salim-'2026'!Resal)*(1-EXP(('2026'!Tnet-t)/('2026'!Tau_j))),Resal+(Salim-Resal)*(1-EXP((Tnet-t)/(Tau_j))))*Salcycl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3.6347341112948186E-3</v>
      </c>
      <c r="Q189" s="305">
        <f t="shared" si="53"/>
        <v>0.7</v>
      </c>
      <c r="R189" s="177">
        <f t="shared" si="54"/>
        <v>0.29490244412007283</v>
      </c>
      <c r="S189" s="919">
        <f t="shared" si="55"/>
        <v>-1</v>
      </c>
      <c r="T189" s="176">
        <f t="shared" si="56"/>
        <v>5</v>
      </c>
      <c r="U189" s="251">
        <f t="shared" si="57"/>
        <v>-0.70509755587992717</v>
      </c>
      <c r="V189" s="383">
        <f t="shared" si="58"/>
        <v>53.047495525343045</v>
      </c>
      <c r="W189" s="402">
        <f t="shared" si="59"/>
        <v>38.928818620278172</v>
      </c>
      <c r="X189" s="157">
        <f t="shared" si="60"/>
        <v>46562</v>
      </c>
      <c r="Y189" s="385">
        <f t="shared" si="61"/>
        <v>37.091175749825481</v>
      </c>
      <c r="Z189" s="385">
        <f t="shared" si="62"/>
        <v>39.887959243747126</v>
      </c>
      <c r="AA189" s="386">
        <f t="shared" si="63"/>
        <v>42.352842909582321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5.8198777142242607E-2</v>
      </c>
      <c r="AD189" s="231">
        <f>(INDEX(Models!$BJ189:$BT189,,AH189)*(1-AF189)+INDEX(Models!$BJ189:$BT189,,AH189+1)*AF189-ERP_i)*AE189*Ramure*Pc/MaxiM</f>
        <v>1.1268423425542554E-2</v>
      </c>
      <c r="AE189" s="305">
        <f t="shared" si="65"/>
        <v>0.7</v>
      </c>
      <c r="AF189" s="177">
        <f t="shared" si="66"/>
        <v>0.81989001049405186</v>
      </c>
      <c r="AG189" s="919">
        <f t="shared" si="74"/>
        <v>2</v>
      </c>
      <c r="AH189" s="176">
        <f t="shared" si="67"/>
        <v>8</v>
      </c>
      <c r="AI189" s="225">
        <f t="shared" si="68"/>
        <v>2.8198900104940519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1090">
        <f>IF(t&gt;Tmaj,'2026'!Wh/'2026'!Env_an*'2027'!Env_an,0.001*'[8]mon-tableau'!$B$61)</f>
        <v>33.400445769557507</v>
      </c>
      <c r="C190" s="953"/>
      <c r="D190" s="393">
        <f t="shared" si="50"/>
        <v>35.919724126829948</v>
      </c>
      <c r="E190" s="385">
        <f t="shared" si="75"/>
        <v>36.51751630945801</v>
      </c>
      <c r="F190" s="385">
        <f t="shared" si="51"/>
        <v>36.580665098978123</v>
      </c>
      <c r="G190" s="110">
        <f t="shared" si="76"/>
        <v>0.62945306889911246</v>
      </c>
      <c r="H190" s="412" t="b">
        <f>Wh_hp&gt;='2026'!Maxi_hp</f>
        <v>0</v>
      </c>
      <c r="I190" s="390">
        <f>IF(H190,Wh_hp,'2026'!Maxi_hp)</f>
        <v>56.287194704165557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7.0136350390026747E-2</v>
      </c>
      <c r="M190" s="957"/>
      <c r="N190" s="957"/>
      <c r="O190" s="48">
        <f>IF(t&lt;Tnet,'2026'!Resal+('2026'!Salim-'2026'!Resal)*(1-EXP(('2026'!Tnet-t)/('2026'!Tau_j))),Resal+(Salim-Resal)*(1-EXP((Tnet-t)/(Tau_j))))*Salcycl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3.6543920673430329E-3</v>
      </c>
      <c r="Q190" s="305">
        <f t="shared" si="53"/>
        <v>0.7</v>
      </c>
      <c r="R190" s="177">
        <f t="shared" si="54"/>
        <v>0.29961709151104876</v>
      </c>
      <c r="S190" s="919">
        <f t="shared" si="55"/>
        <v>-1</v>
      </c>
      <c r="T190" s="176">
        <f t="shared" si="56"/>
        <v>5</v>
      </c>
      <c r="U190" s="251">
        <f t="shared" si="57"/>
        <v>-0.70038290848895124</v>
      </c>
      <c r="V190" s="383">
        <f t="shared" si="58"/>
        <v>52.960159447888913</v>
      </c>
      <c r="W190" s="402">
        <f t="shared" si="59"/>
        <v>33.400445769557507</v>
      </c>
      <c r="X190" s="157">
        <f t="shared" si="60"/>
        <v>46563</v>
      </c>
      <c r="Y190" s="385">
        <f t="shared" si="61"/>
        <v>31.860372221123633</v>
      </c>
      <c r="Z190" s="385">
        <f t="shared" si="62"/>
        <v>34.263488237751105</v>
      </c>
      <c r="AA190" s="386">
        <f t="shared" si="63"/>
        <v>36.385236023310952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5.8313426473322882E-2</v>
      </c>
      <c r="AD190" s="231">
        <f>(INDEX(Models!$BJ190:$BT190,,AH190)*(1-AF190)+INDEX(Models!$BJ190:$BT190,,AH190+1)*AF190-ERP_i)*AE190*Ramure*Pc/MaxiM</f>
        <v>1.1309392773377152E-2</v>
      </c>
      <c r="AE190" s="305">
        <f t="shared" si="65"/>
        <v>0.7</v>
      </c>
      <c r="AF190" s="177">
        <f t="shared" si="66"/>
        <v>0.82460465788502768</v>
      </c>
      <c r="AG190" s="919">
        <f t="shared" si="74"/>
        <v>2</v>
      </c>
      <c r="AH190" s="176">
        <f t="shared" si="67"/>
        <v>8</v>
      </c>
      <c r="AI190" s="225">
        <f t="shared" si="68"/>
        <v>2.8246046578850277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1090">
        <f>IF(t&gt;Tmaj,'2026'!Wh/'2026'!Env_an*'2027'!Env_an,0.001*'[8]mon-tableau'!$B$62)</f>
        <v>10.822072364588999</v>
      </c>
      <c r="C191" s="953"/>
      <c r="D191" s="393">
        <f t="shared" si="50"/>
        <v>11.638598202520305</v>
      </c>
      <c r="E191" s="385">
        <f t="shared" si="75"/>
        <v>11.834028426464108</v>
      </c>
      <c r="F191" s="385">
        <f t="shared" si="51"/>
        <v>11.834028426464108</v>
      </c>
      <c r="G191" s="110">
        <f t="shared" si="76"/>
        <v>0.20392925004919046</v>
      </c>
      <c r="H191" s="412" t="b">
        <f>Wh_hp&gt;='2026'!Maxi_hp</f>
        <v>0</v>
      </c>
      <c r="I191" s="390">
        <f>IF(H191,Wh_hp,'2026'!Maxi_hp)</f>
        <v>59.196700093726733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7.0156716790385376E-2</v>
      </c>
      <c r="M191" s="957"/>
      <c r="N191" s="957"/>
      <c r="O191" s="48">
        <f>IF(t&lt;Tnet,'2026'!Resal+('2026'!Salim-'2026'!Resal)*(1-EXP(('2026'!Tnet-t)/('2026'!Tau_j))),Resal+(Salim-Resal)*(1-EXP((Tnet-t)/(Tau_j))))*Salcycl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3.6708296286214448E-3</v>
      </c>
      <c r="Q191" s="305">
        <f t="shared" si="53"/>
        <v>0.7</v>
      </c>
      <c r="R191" s="177">
        <f t="shared" si="54"/>
        <v>0.30427420385188098</v>
      </c>
      <c r="S191" s="919">
        <f t="shared" si="55"/>
        <v>-1</v>
      </c>
      <c r="T191" s="176">
        <f t="shared" si="56"/>
        <v>5</v>
      </c>
      <c r="U191" s="251">
        <f t="shared" si="57"/>
        <v>-0.69572579614811902</v>
      </c>
      <c r="V191" s="383">
        <f t="shared" si="58"/>
        <v>52.872976182225628</v>
      </c>
      <c r="W191" s="402">
        <f t="shared" si="59"/>
        <v>10.822072364588999</v>
      </c>
      <c r="X191" s="157">
        <f t="shared" si="60"/>
        <v>46564</v>
      </c>
      <c r="Y191" s="385">
        <f t="shared" si="61"/>
        <v>10.360872518785893</v>
      </c>
      <c r="Z191" s="385">
        <f t="shared" si="62"/>
        <v>11.14260080797964</v>
      </c>
      <c r="AA191" s="386">
        <f t="shared" si="63"/>
        <v>11.834028426464108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5.8427070948912793E-2</v>
      </c>
      <c r="AD191" s="231">
        <f>(INDEX(Models!$BJ191:$BT191,,AH191)*(1-AF191)+INDEX(Models!$BJ191:$BT191,,AH191+1)*AF191-ERP_i)*AE191*Ramure*Pc/MaxiM</f>
        <v>1.1342760883651206E-2</v>
      </c>
      <c r="AE191" s="305">
        <f t="shared" si="65"/>
        <v>0.7</v>
      </c>
      <c r="AF191" s="177">
        <f t="shared" si="66"/>
        <v>0.82926177022585978</v>
      </c>
      <c r="AG191" s="919">
        <f t="shared" si="74"/>
        <v>2</v>
      </c>
      <c r="AH191" s="176">
        <f t="shared" si="67"/>
        <v>8</v>
      </c>
      <c r="AI191" s="225">
        <f t="shared" si="68"/>
        <v>2.8292617702258598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1090">
        <f>IF(t&gt;Tmaj,'2026'!Wh/'2026'!Env_an*'2027'!Env_an,0.001*'[8]mon-tableau'!$B$63)</f>
        <v>10.146807571023594</v>
      </c>
      <c r="C192" s="953"/>
      <c r="D192" s="393">
        <f t="shared" si="50"/>
        <v>10.912623664917957</v>
      </c>
      <c r="E192" s="385">
        <f t="shared" si="75"/>
        <v>11.097487598788287</v>
      </c>
      <c r="F192" s="385">
        <f t="shared" si="51"/>
        <v>11.097487598788287</v>
      </c>
      <c r="G192" s="110">
        <f t="shared" si="76"/>
        <v>0.19152047137006081</v>
      </c>
      <c r="H192" s="412" t="b">
        <f>Wh_hp&gt;='2026'!Maxi_hp</f>
        <v>0</v>
      </c>
      <c r="I192" s="390">
        <f>IF(H192,Wh_hp,'2026'!Maxi_hp)</f>
        <v>57.199547222334189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7.0177082744667496E-2</v>
      </c>
      <c r="M192" s="957"/>
      <c r="N192" s="957"/>
      <c r="O192" s="48">
        <f>IF(t&lt;Tnet,'2026'!Resal+('2026'!Salim-'2026'!Resal)*(1-EXP(('2026'!Tnet-t)/('2026'!Tau_j))),Resal+(Salim-Resal)*(1-EXP((Tnet-t)/(Tau_j))))*Salcycl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3.6816155203066459E-3</v>
      </c>
      <c r="Q192" s="305">
        <f t="shared" si="53"/>
        <v>0.7</v>
      </c>
      <c r="R192" s="177">
        <f t="shared" si="54"/>
        <v>0.30887096926959812</v>
      </c>
      <c r="S192" s="919">
        <f t="shared" si="55"/>
        <v>-1</v>
      </c>
      <c r="T192" s="176">
        <f t="shared" si="56"/>
        <v>5</v>
      </c>
      <c r="U192" s="251">
        <f t="shared" si="57"/>
        <v>-0.69112903073040188</v>
      </c>
      <c r="V192" s="383">
        <f t="shared" si="58"/>
        <v>52.785223712481397</v>
      </c>
      <c r="W192" s="402">
        <f t="shared" si="59"/>
        <v>10.146807571023594</v>
      </c>
      <c r="X192" s="157">
        <f t="shared" si="60"/>
        <v>46565</v>
      </c>
      <c r="Y192" s="385">
        <f t="shared" si="61"/>
        <v>9.7146446611031294</v>
      </c>
      <c r="Z192" s="385">
        <f t="shared" si="62"/>
        <v>10.447843864484419</v>
      </c>
      <c r="AA192" s="386">
        <f t="shared" si="63"/>
        <v>11.097487598788287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5.8539712571952139E-2</v>
      </c>
      <c r="AD192" s="231">
        <f>(INDEX(Models!$BJ192:$BT192,,AH192)*(1-AF192)+INDEX(Models!$BJ192:$BT192,,AH192+1)*AF192-ERP_i)*AE192*Ramure*Pc/MaxiM</f>
        <v>1.1362922971772823E-2</v>
      </c>
      <c r="AE192" s="305">
        <f t="shared" si="65"/>
        <v>0.7</v>
      </c>
      <c r="AF192" s="177">
        <f t="shared" si="66"/>
        <v>0.83385853564357681</v>
      </c>
      <c r="AG192" s="919">
        <f t="shared" si="74"/>
        <v>2</v>
      </c>
      <c r="AH192" s="176">
        <f t="shared" si="67"/>
        <v>8</v>
      </c>
      <c r="AI192" s="225">
        <f t="shared" si="68"/>
        <v>2.8338585356435768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1090">
        <f>IF(t&gt;Tmaj,'2026'!Wh/'2026'!Env_an*'2027'!Env_an,0.001*'[8]mon-tableau'!$B$64)</f>
        <v>52.250753864283062</v>
      </c>
      <c r="C193" s="953"/>
      <c r="D193" s="393">
        <f t="shared" si="50"/>
        <v>56.195537177331772</v>
      </c>
      <c r="E193" s="385">
        <f t="shared" si="75"/>
        <v>57.155856397867026</v>
      </c>
      <c r="F193" s="385">
        <f t="shared" si="51"/>
        <v>57.364858508965249</v>
      </c>
      <c r="G193" s="110">
        <f t="shared" si="76"/>
        <v>0.99149055102051986</v>
      </c>
      <c r="H193" s="412" t="b">
        <f>Wh_hp&gt;='2026'!Maxi_hp</f>
        <v>0</v>
      </c>
      <c r="I193" s="390">
        <f>IF(H193,Wh_hp,'2026'!Maxi_hp)</f>
        <v>57.36679187005182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7.0197448252882988E-2</v>
      </c>
      <c r="M193" s="957"/>
      <c r="N193" s="957"/>
      <c r="O193" s="48">
        <f>IF(t&lt;Tnet,'2026'!Resal+('2026'!Salim-'2026'!Resal)*(1-EXP(('2026'!Tnet-t)/('2026'!Tau_j))),Resal+(Salim-Resal)*(1-EXP((Tnet-t)/(Tau_j))))*Salcycl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3.6879808918277293E-3</v>
      </c>
      <c r="Q193" s="305">
        <f t="shared" si="53"/>
        <v>0.7</v>
      </c>
      <c r="R193" s="177">
        <f t="shared" si="54"/>
        <v>0.31340474880042768</v>
      </c>
      <c r="S193" s="919">
        <f t="shared" si="55"/>
        <v>-1</v>
      </c>
      <c r="T193" s="176">
        <f t="shared" si="56"/>
        <v>5</v>
      </c>
      <c r="U193" s="251">
        <f t="shared" si="57"/>
        <v>-0.68659525119957232</v>
      </c>
      <c r="V193" s="383">
        <f t="shared" si="58"/>
        <v>52.696836071797023</v>
      </c>
      <c r="W193" s="402">
        <f t="shared" si="59"/>
        <v>52.250753864283062</v>
      </c>
      <c r="X193" s="157">
        <f t="shared" si="60"/>
        <v>46566</v>
      </c>
      <c r="Y193" s="385">
        <f t="shared" si="61"/>
        <v>49.645530652138852</v>
      </c>
      <c r="Z193" s="385">
        <f t="shared" si="62"/>
        <v>53.393627022053167</v>
      </c>
      <c r="AA193" s="386">
        <f t="shared" si="63"/>
        <v>56.720352612873107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5.8651355951988837E-2</v>
      </c>
      <c r="AD193" s="231">
        <f>(INDEX(Models!$BJ193:$BT193,,AH193)*(1-AF193)+INDEX(Models!$BJ193:$BT193,,AH193+1)*AF193-ERP_i)*AE193*Ramure*Pc/MaxiM</f>
        <v>1.1372734069375305E-2</v>
      </c>
      <c r="AE193" s="305">
        <f t="shared" si="65"/>
        <v>0.7</v>
      </c>
      <c r="AF193" s="177">
        <f t="shared" si="66"/>
        <v>0.83839231517440638</v>
      </c>
      <c r="AG193" s="919">
        <f t="shared" si="74"/>
        <v>2</v>
      </c>
      <c r="AH193" s="176">
        <f t="shared" si="67"/>
        <v>8</v>
      </c>
      <c r="AI193" s="225">
        <f t="shared" si="68"/>
        <v>2.8383923151744064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1090">
        <f>IF(t&gt;Tmaj,'2026'!Wh/'2026'!Env_an*'2027'!Env_an,0.001*'[8]mon-tableau'!$B$65)</f>
        <v>53.066743511889079</v>
      </c>
      <c r="C194" s="953"/>
      <c r="D194" s="393">
        <f t="shared" si="50"/>
        <v>57.074381798056415</v>
      </c>
      <c r="E194" s="385">
        <f t="shared" si="75"/>
        <v>58.058178359232237</v>
      </c>
      <c r="F194" s="385">
        <f t="shared" si="51"/>
        <v>58.273197772555619</v>
      </c>
      <c r="G194" s="110">
        <f t="shared" si="76"/>
        <v>1.0087235496234725</v>
      </c>
      <c r="H194" s="412" t="b">
        <f>Wh_hp&gt;='2026'!Maxi_hp</f>
        <v>1</v>
      </c>
      <c r="I194" s="390">
        <f>IF(H194,Wh_hp,'2026'!Maxi_hp)</f>
        <v>58.273197772555619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7.0217813315041622E-2</v>
      </c>
      <c r="M194" s="957"/>
      <c r="N194" s="957"/>
      <c r="O194" s="48">
        <f>IF(t&lt;Tnet,'2026'!Resal+('2026'!Salim-'2026'!Resal)*(1-EXP(('2026'!Tnet-t)/('2026'!Tau_j))),Resal+(Salim-Resal)*(1-EXP((Tnet-t)/(Tau_j))))*Salcycl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3.6898509356329428E-3</v>
      </c>
      <c r="Q194" s="305">
        <f t="shared" si="53"/>
        <v>0.7</v>
      </c>
      <c r="R194" s="177">
        <f t="shared" si="54"/>
        <v>0.31787308013219995</v>
      </c>
      <c r="S194" s="919">
        <f t="shared" si="55"/>
        <v>-1</v>
      </c>
      <c r="T194" s="176">
        <f t="shared" si="56"/>
        <v>5</v>
      </c>
      <c r="U194" s="251">
        <f t="shared" si="57"/>
        <v>-0.68212691986780005</v>
      </c>
      <c r="V194" s="383">
        <f t="shared" si="58"/>
        <v>52.607816613082321</v>
      </c>
      <c r="W194" s="402">
        <f t="shared" si="59"/>
        <v>53.066743511889079</v>
      </c>
      <c r="X194" s="157">
        <f t="shared" si="60"/>
        <v>46567</v>
      </c>
      <c r="Y194" s="385">
        <f t="shared" si="61"/>
        <v>50.417624021625471</v>
      </c>
      <c r="Z194" s="385">
        <f t="shared" si="62"/>
        <v>54.225198916086207</v>
      </c>
      <c r="AA194" s="386">
        <f t="shared" si="63"/>
        <v>57.610508064708789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5.8762008222877644E-2</v>
      </c>
      <c r="AD194" s="231">
        <f>(INDEX(Models!$BJ194:$BT194,,AH194)*(1-AF194)+INDEX(Models!$BJ194:$BT194,,AH194+1)*AF194-ERP_i)*AE194*Ramure*Pc/MaxiM</f>
        <v>1.137211845544071E-2</v>
      </c>
      <c r="AE194" s="305">
        <f t="shared" si="65"/>
        <v>0.7</v>
      </c>
      <c r="AF194" s="177">
        <f t="shared" si="66"/>
        <v>0.84286064650617876</v>
      </c>
      <c r="AG194" s="919">
        <f t="shared" si="74"/>
        <v>2</v>
      </c>
      <c r="AH194" s="176">
        <f t="shared" si="67"/>
        <v>8</v>
      </c>
      <c r="AI194" s="225">
        <f t="shared" si="68"/>
        <v>2.8428606465061788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1090">
        <f>IF(t&gt;Tmaj,'2026'!Wh/'2026'!Env_an*'2027'!Env_an,0.001*'[8]mon-tableau'!$B$66)</f>
        <v>12.084323379057173</v>
      </c>
      <c r="C195" s="953"/>
      <c r="D195" s="393">
        <f t="shared" si="50"/>
        <v>12.997224764690708</v>
      </c>
      <c r="E195" s="385">
        <f t="shared" si="75"/>
        <v>13.22318145075587</v>
      </c>
      <c r="F195" s="385">
        <f t="shared" si="51"/>
        <v>13.22318145075587</v>
      </c>
      <c r="G195" s="110">
        <f t="shared" si="76"/>
        <v>0.22924955264270289</v>
      </c>
      <c r="H195" s="412" t="b">
        <f>Wh_hp&gt;='2026'!Maxi_hp</f>
        <v>0</v>
      </c>
      <c r="I195" s="390">
        <f>IF(H195,Wh_hp,'2026'!Maxi_hp)</f>
        <v>51.899795502885659</v>
      </c>
      <c r="J195" s="85">
        <f>IF(H195,An,'2026'!An_max)</f>
        <v>2021</v>
      </c>
      <c r="K195" s="197">
        <f t="shared" si="52"/>
        <v>46568</v>
      </c>
      <c r="L195" s="147">
        <f>IF(t&lt;Tvie,1-EXP((T0-t)*PertePVj)+'2026'!Pspv,1-EXP((T0-t)*PertePVj)+Pspv)</f>
        <v>7.0238177931153056E-2</v>
      </c>
      <c r="M195" s="957"/>
      <c r="N195" s="957"/>
      <c r="O195" s="48">
        <f>IF(t&lt;Tnet,'2026'!Resal+('2026'!Salim-'2026'!Resal)*(1-EXP(('2026'!Tnet-t)/('2026'!Tau_j))),Resal+(Salim-Resal)*(1-EXP((Tnet-t)/(Tau_j))))*Salcycl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3.6871556873520539E-3</v>
      </c>
      <c r="Q195" s="305">
        <f t="shared" si="53"/>
        <v>0.7</v>
      </c>
      <c r="R195" s="177">
        <f t="shared" si="54"/>
        <v>0.3222736803777555</v>
      </c>
      <c r="S195" s="919">
        <f t="shared" si="55"/>
        <v>-1</v>
      </c>
      <c r="T195" s="176">
        <f t="shared" si="56"/>
        <v>5</v>
      </c>
      <c r="U195" s="251">
        <f t="shared" si="57"/>
        <v>-0.6777263196222445</v>
      </c>
      <c r="V195" s="383">
        <f t="shared" si="58"/>
        <v>52.518168339228438</v>
      </c>
      <c r="W195" s="402">
        <f t="shared" si="59"/>
        <v>12.084323379057173</v>
      </c>
      <c r="X195" s="157">
        <f t="shared" si="60"/>
        <v>46568</v>
      </c>
      <c r="Y195" s="385">
        <f t="shared" si="61"/>
        <v>11.570616763275922</v>
      </c>
      <c r="Z195" s="385">
        <f t="shared" si="62"/>
        <v>12.444710557731572</v>
      </c>
      <c r="AA195" s="386">
        <f t="shared" si="63"/>
        <v>13.22318145075587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5.8871678946808927E-2</v>
      </c>
      <c r="AD195" s="231">
        <f>(INDEX(Models!$BJ195:$BT195,,AH195)*(1-AF195)+INDEX(Models!$BJ195:$BT195,,AH195+1)*AF195-ERP_i)*AE195*Ramure*Pc/MaxiM</f>
        <v>1.1361010456526731E-2</v>
      </c>
      <c r="AE195" s="305">
        <f t="shared" si="65"/>
        <v>0.7</v>
      </c>
      <c r="AF195" s="177">
        <f t="shared" si="66"/>
        <v>0.84726124675173464</v>
      </c>
      <c r="AG195" s="919">
        <f t="shared" si="74"/>
        <v>2</v>
      </c>
      <c r="AH195" s="176">
        <f t="shared" si="67"/>
        <v>8</v>
      </c>
      <c r="AI195" s="225">
        <f t="shared" si="68"/>
        <v>2.8472612467517346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1090">
        <f>IF(t&gt;Tmaj,'2026'!Wh/'2026'!Env_an*'2027'!Env_an,0.001*[9]mois!$B$38)</f>
        <v>45.226026999051243</v>
      </c>
      <c r="C196" s="953"/>
      <c r="D196" s="393">
        <f t="shared" si="50"/>
        <v>48.643659605394625</v>
      </c>
      <c r="E196" s="385">
        <f t="shared" si="75"/>
        <v>49.496508658460023</v>
      </c>
      <c r="F196" s="385">
        <f t="shared" si="51"/>
        <v>49.64333900815749</v>
      </c>
      <c r="G196" s="110">
        <f t="shared" si="76"/>
        <v>0.86200813926338538</v>
      </c>
      <c r="H196" s="412" t="b">
        <f>Wh_hp&gt;='2026'!Maxi_hp</f>
        <v>0</v>
      </c>
      <c r="I196" s="390">
        <f>IF(H196,Wh_hp,'2026'!Maxi_hp)</f>
        <v>55.368807466601659</v>
      </c>
      <c r="J196" s="85">
        <f>IF(H196,An,'2026'!An_max)</f>
        <v>2021</v>
      </c>
      <c r="K196" s="197">
        <f t="shared" si="52"/>
        <v>46569</v>
      </c>
      <c r="L196" s="147">
        <f>IF(t&lt;Tvie,1-EXP((T0-t)*PertePVj)+'2026'!Pspv,1-EXP((T0-t)*PertePVj)+Pspv)</f>
        <v>7.0258542101227173E-2</v>
      </c>
      <c r="M196" s="957"/>
      <c r="N196" s="957"/>
      <c r="O196" s="48">
        <f>IF(t&lt;Tnet,'2026'!Resal+('2026'!Salim-'2026'!Resal)*(1-EXP(('2026'!Tnet-t)/('2026'!Tau_j))),Resal+(Salim-Resal)*(1-EXP((Tnet-t)/(Tau_j))))*Salcycl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3.6798299721135059E-3</v>
      </c>
      <c r="Q196" s="305">
        <f t="shared" si="53"/>
        <v>0.7</v>
      </c>
      <c r="R196" s="177">
        <f t="shared" si="54"/>
        <v>0.32660444789869847</v>
      </c>
      <c r="S196" s="919">
        <f t="shared" si="55"/>
        <v>-1</v>
      </c>
      <c r="T196" s="176">
        <f t="shared" si="56"/>
        <v>5</v>
      </c>
      <c r="U196" s="251">
        <f t="shared" si="57"/>
        <v>-0.67339555210130153</v>
      </c>
      <c r="V196" s="383">
        <f t="shared" si="58"/>
        <v>52.427893906325707</v>
      </c>
      <c r="W196" s="402">
        <f t="shared" si="59"/>
        <v>45.226026999051243</v>
      </c>
      <c r="X196" s="157">
        <f t="shared" si="60"/>
        <v>46569</v>
      </c>
      <c r="Y196" s="385">
        <f t="shared" si="61"/>
        <v>43.037347167364899</v>
      </c>
      <c r="Z196" s="385">
        <f t="shared" si="62"/>
        <v>46.289585993755551</v>
      </c>
      <c r="AA196" s="386">
        <f t="shared" si="63"/>
        <v>49.190882963760494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5.8980380005424264E-2</v>
      </c>
      <c r="AD196" s="231">
        <f>(INDEX(Models!$BJ196:$BT196,,AH196)*(1-AF196)+INDEX(Models!$BJ196:$BT196,,AH196+1)*AF196-ERP_i)*AE196*Ramure*Pc/MaxiM</f>
        <v>1.1339354000494389E-2</v>
      </c>
      <c r="AE196" s="305">
        <f t="shared" si="65"/>
        <v>0.7</v>
      </c>
      <c r="AF196" s="177">
        <f t="shared" si="66"/>
        <v>0.85159201427267739</v>
      </c>
      <c r="AG196" s="919">
        <f t="shared" si="74"/>
        <v>2</v>
      </c>
      <c r="AH196" s="176">
        <f t="shared" si="67"/>
        <v>8</v>
      </c>
      <c r="AI196" s="225">
        <f t="shared" si="68"/>
        <v>2.8515920142726774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1090">
        <f>IF(t&gt;Tmaj,'2026'!Wh/'2026'!Env_an*'2027'!Env_an,0.001*[9]mois!$B$39)</f>
        <v>52.049433735302159</v>
      </c>
      <c r="C197" s="953"/>
      <c r="D197" s="393">
        <f t="shared" si="50"/>
        <v>55.983922556370757</v>
      </c>
      <c r="E197" s="385">
        <f t="shared" si="75"/>
        <v>56.973710562774635</v>
      </c>
      <c r="F197" s="385">
        <f t="shared" si="51"/>
        <v>57.181796490930815</v>
      </c>
      <c r="G197" s="110">
        <f t="shared" si="76"/>
        <v>0.99447683546101817</v>
      </c>
      <c r="H197" s="412" t="b">
        <f>Wh_hp&gt;='2026'!Maxi_hp</f>
        <v>0</v>
      </c>
      <c r="I197" s="390">
        <f>IF(H197,Wh_hp,'2026'!Maxi_hp)</f>
        <v>57.183024010135604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7.0278905825273741E-2</v>
      </c>
      <c r="M197" s="957"/>
      <c r="N197" s="957"/>
      <c r="O197" s="48">
        <f>IF(t&lt;Tnet,'2026'!Resal+('2026'!Salim-'2026'!Resal)*(1-EXP(('2026'!Tnet-t)/('2026'!Tau_j))),Resal+(Salim-Resal)*(1-EXP((Tnet-t)/(Tau_j))))*Salcycl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3.6678133129793653E-3</v>
      </c>
      <c r="Q197" s="305">
        <f t="shared" si="53"/>
        <v>0.7</v>
      </c>
      <c r="R197" s="177">
        <f t="shared" si="54"/>
        <v>0.33086346320635907</v>
      </c>
      <c r="S197" s="919">
        <f t="shared" si="55"/>
        <v>-1</v>
      </c>
      <c r="T197" s="176">
        <f t="shared" si="56"/>
        <v>5</v>
      </c>
      <c r="U197" s="251">
        <f t="shared" si="57"/>
        <v>-0.66913653679364093</v>
      </c>
      <c r="V197" s="383">
        <f t="shared" si="58"/>
        <v>52.336995631843841</v>
      </c>
      <c r="W197" s="402">
        <f t="shared" si="59"/>
        <v>52.049433735302159</v>
      </c>
      <c r="X197" s="157">
        <f t="shared" si="60"/>
        <v>46570</v>
      </c>
      <c r="Y197" s="385">
        <f t="shared" si="61"/>
        <v>49.460650916475842</v>
      </c>
      <c r="Z197" s="385">
        <f t="shared" si="62"/>
        <v>53.199450056987196</v>
      </c>
      <c r="AA197" s="386">
        <f t="shared" si="63"/>
        <v>56.540311050982382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5.9088125478877054E-2</v>
      </c>
      <c r="AD197" s="231">
        <f>(INDEX(Models!$BJ197:$BT197,,AH197)*(1-AF197)+INDEX(Models!$BJ197:$BT197,,AH197+1)*AF197-ERP_i)*AE197*Ramure*Pc/MaxiM</f>
        <v>1.1307102107160912E-2</v>
      </c>
      <c r="AE197" s="305">
        <f t="shared" si="65"/>
        <v>0.7</v>
      </c>
      <c r="AF197" s="177">
        <f t="shared" si="66"/>
        <v>0.8558510295803381</v>
      </c>
      <c r="AG197" s="919">
        <f t="shared" si="74"/>
        <v>2</v>
      </c>
      <c r="AH197" s="176">
        <f t="shared" si="67"/>
        <v>8</v>
      </c>
      <c r="AI197" s="225">
        <f t="shared" si="68"/>
        <v>2.8558510295803381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1090">
        <f>IF(t&gt;Tmaj,'2026'!Wh/'2026'!Env_an*'2027'!Env_an,0.001*[9]mois!$B$40)</f>
        <v>45.015500454450127</v>
      </c>
      <c r="C198" s="953"/>
      <c r="D198" s="393">
        <f t="shared" si="50"/>
        <v>48.419345019802897</v>
      </c>
      <c r="E198" s="385">
        <f t="shared" si="75"/>
        <v>49.282508308694482</v>
      </c>
      <c r="F198" s="385">
        <f t="shared" si="51"/>
        <v>49.42724714653275</v>
      </c>
      <c r="G198" s="110">
        <f t="shared" si="76"/>
        <v>0.86099074540968867</v>
      </c>
      <c r="H198" s="412" t="b">
        <f>Wh_hp&gt;='2026'!Maxi_hp</f>
        <v>0</v>
      </c>
      <c r="I198" s="390">
        <f>IF(H198,Wh_hp,'2026'!Maxi_hp)</f>
        <v>49.453752006128255</v>
      </c>
      <c r="J198" s="85">
        <f>IF(H198,An,'2026'!An_max)</f>
        <v>2025</v>
      </c>
      <c r="K198" s="197">
        <f t="shared" si="52"/>
        <v>46571</v>
      </c>
      <c r="L198" s="147">
        <f>IF(t&lt;Tvie,1-EXP((T0-t)*PertePVj)+'2026'!Pspv,1-EXP((T0-t)*PertePVj)+Pspv)</f>
        <v>7.029926910330242E-2</v>
      </c>
      <c r="M198" s="957"/>
      <c r="N198" s="957"/>
      <c r="O198" s="48">
        <f>IF(t&lt;Tnet,'2026'!Resal+('2026'!Salim-'2026'!Resal)*(1-EXP(('2026'!Tnet-t)/('2026'!Tau_j))),Resal+(Salim-Resal)*(1-EXP((Tnet-t)/(Tau_j))))*Salcycl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3.6498797699675762E-3</v>
      </c>
      <c r="Q198" s="305">
        <f t="shared" si="53"/>
        <v>0.7</v>
      </c>
      <c r="R198" s="177">
        <f t="shared" si="54"/>
        <v>0.33504898897365554</v>
      </c>
      <c r="S198" s="919">
        <f t="shared" si="55"/>
        <v>-1</v>
      </c>
      <c r="T198" s="176">
        <f t="shared" si="56"/>
        <v>5</v>
      </c>
      <c r="U198" s="251">
        <f t="shared" si="57"/>
        <v>-0.66495101102634446</v>
      </c>
      <c r="V198" s="383">
        <f t="shared" si="58"/>
        <v>52.245536857127739</v>
      </c>
      <c r="W198" s="402">
        <f t="shared" si="59"/>
        <v>45.015500454450127</v>
      </c>
      <c r="X198" s="157">
        <f t="shared" si="60"/>
        <v>46571</v>
      </c>
      <c r="Y198" s="385">
        <f t="shared" si="61"/>
        <v>42.841780119082777</v>
      </c>
      <c r="Z198" s="385">
        <f t="shared" si="62"/>
        <v>46.081258942070342</v>
      </c>
      <c r="AA198" s="386">
        <f t="shared" si="63"/>
        <v>48.980666118451936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5.9194931513790253E-2</v>
      </c>
      <c r="AD198" s="231">
        <f>(INDEX(Models!$BJ198:$BT198,,AH198)*(1-AF198)+INDEX(Models!$BJ198:$BT198,,AH198+1)*AF198-ERP_i)*AE198*Ramure*Pc/MaxiM</f>
        <v>1.1261435316102391E-2</v>
      </c>
      <c r="AE198" s="305">
        <f t="shared" si="65"/>
        <v>0.7</v>
      </c>
      <c r="AF198" s="177">
        <f t="shared" si="66"/>
        <v>0.86003655534763457</v>
      </c>
      <c r="AG198" s="919">
        <f t="shared" si="74"/>
        <v>2</v>
      </c>
      <c r="AH198" s="176">
        <f t="shared" si="67"/>
        <v>8</v>
      </c>
      <c r="AI198" s="225">
        <f t="shared" si="68"/>
        <v>2.8600365553476346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1090">
        <f>IF(t&gt;Tmaj,'2026'!Wh/'2026'!Env_an*'2027'!Env_an,0.001*[9]mois!$B$41)</f>
        <v>42.928362184313919</v>
      </c>
      <c r="C199" s="953"/>
      <c r="D199" s="393">
        <f t="shared" si="50"/>
        <v>46.175399265102513</v>
      </c>
      <c r="E199" s="385">
        <f t="shared" si="75"/>
        <v>47.005331899940565</v>
      </c>
      <c r="F199" s="385">
        <f t="shared" si="51"/>
        <v>47.133096616323556</v>
      </c>
      <c r="G199" s="110">
        <f t="shared" si="76"/>
        <v>0.82235994491109909</v>
      </c>
      <c r="H199" s="412" t="b">
        <f>Wh_hp&gt;='2026'!Maxi_hp</f>
        <v>0</v>
      </c>
      <c r="I199" s="390">
        <f>IF(H199,Wh_hp,'2026'!Maxi_hp)</f>
        <v>55.745011407918014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7.031963193532309E-2</v>
      </c>
      <c r="M199" s="957"/>
      <c r="N199" s="957"/>
      <c r="O199" s="48">
        <f>IF(t&lt;Tnet,'2026'!Resal+('2026'!Salim-'2026'!Resal)*(1-EXP(('2026'!Tnet-t)/('2026'!Tau_j))),Resal+(Salim-Resal)*(1-EXP((Tnet-t)/(Tau_j))))*Salcycl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3.6273095659026333E-3</v>
      </c>
      <c r="Q199" s="305">
        <f t="shared" si="53"/>
        <v>0.7</v>
      </c>
      <c r="R199" s="177">
        <f t="shared" si="54"/>
        <v>0.33915946919761264</v>
      </c>
      <c r="S199" s="919">
        <f t="shared" si="55"/>
        <v>-1</v>
      </c>
      <c r="T199" s="176">
        <f t="shared" si="56"/>
        <v>5</v>
      </c>
      <c r="U199" s="251">
        <f t="shared" si="57"/>
        <v>-0.66084053080238736</v>
      </c>
      <c r="V199" s="383">
        <f t="shared" si="58"/>
        <v>52.153449218108996</v>
      </c>
      <c r="W199" s="402">
        <f t="shared" si="59"/>
        <v>42.928362184313919</v>
      </c>
      <c r="X199" s="157">
        <f t="shared" si="60"/>
        <v>46572</v>
      </c>
      <c r="Y199" s="385">
        <f t="shared" si="61"/>
        <v>40.875056738786455</v>
      </c>
      <c r="Z199" s="385">
        <f t="shared" si="62"/>
        <v>43.96678486809008</v>
      </c>
      <c r="AA199" s="386">
        <f t="shared" si="63"/>
        <v>46.738410773997941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5.930081618114847E-2</v>
      </c>
      <c r="AD199" s="231">
        <f>(INDEX(Models!$BJ199:$BT199,,AH199)*(1-AF199)+INDEX(Models!$BJ199:$BT199,,AH199+1)*AF199-ERP_i)*AE199*Ramure*Pc/MaxiM</f>
        <v>1.1205345043012746E-2</v>
      </c>
      <c r="AE199" s="305">
        <f t="shared" si="65"/>
        <v>0.7</v>
      </c>
      <c r="AF199" s="177">
        <f t="shared" si="66"/>
        <v>0.86414703557159145</v>
      </c>
      <c r="AG199" s="919">
        <f t="shared" si="74"/>
        <v>2</v>
      </c>
      <c r="AH199" s="176">
        <f t="shared" si="67"/>
        <v>8</v>
      </c>
      <c r="AI199" s="225">
        <f t="shared" si="68"/>
        <v>2.8641470355715914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1090">
        <f>IF(t&gt;Tmaj,'2026'!Wh/'2026'!Env_an*'2027'!Env_an,0.001*[9]mois!$B$42)</f>
        <v>52.271718154968056</v>
      </c>
      <c r="C200" s="953"/>
      <c r="D200" s="393">
        <f t="shared" si="50"/>
        <v>56.226704209792864</v>
      </c>
      <c r="E200" s="385">
        <f t="shared" si="75"/>
        <v>57.245522125832998</v>
      </c>
      <c r="F200" s="385">
        <f t="shared" si="51"/>
        <v>57.452353409792387</v>
      </c>
      <c r="G200" s="110">
        <f t="shared" si="76"/>
        <v>1.0040526453175844</v>
      </c>
      <c r="H200" s="412" t="b">
        <f>Wh_hp&gt;='2026'!Maxi_hp</f>
        <v>0</v>
      </c>
      <c r="I200" s="390">
        <f>IF(H200,Wh_hp,'2026'!Maxi_hp)</f>
        <v>58.767865102105034</v>
      </c>
      <c r="J200" s="85">
        <f>IF(H200,An,'2026'!An_max)</f>
        <v>2021</v>
      </c>
      <c r="K200" s="197">
        <f t="shared" si="52"/>
        <v>46573</v>
      </c>
      <c r="L200" s="147">
        <f>IF(t&lt;Tvie,1-EXP((T0-t)*PertePVj)+'2026'!Pspv,1-EXP((T0-t)*PertePVj)+Pspv)</f>
        <v>7.0339994321345523E-2</v>
      </c>
      <c r="M200" s="957"/>
      <c r="N200" s="957"/>
      <c r="O200" s="48">
        <f>IF(t&lt;Tnet,'2026'!Resal+('2026'!Salim-'2026'!Resal)*(1-EXP(('2026'!Tnet-t)/('2026'!Tau_j))),Resal+(Salim-Resal)*(1-EXP((Tnet-t)/(Tau_j))))*Salcycl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3.6000489394074136E-3</v>
      </c>
      <c r="Q200" s="305">
        <f t="shared" si="53"/>
        <v>0.7</v>
      </c>
      <c r="R200" s="177">
        <f t="shared" si="54"/>
        <v>0.34319352755758648</v>
      </c>
      <c r="S200" s="919">
        <f t="shared" si="55"/>
        <v>-1</v>
      </c>
      <c r="T200" s="176">
        <f t="shared" si="56"/>
        <v>5</v>
      </c>
      <c r="U200" s="251">
        <f t="shared" si="57"/>
        <v>-0.65680647244241352</v>
      </c>
      <c r="V200" s="383">
        <f t="shared" si="58"/>
        <v>52.060734463215702</v>
      </c>
      <c r="W200" s="402">
        <f t="shared" si="59"/>
        <v>52.271718154968056</v>
      </c>
      <c r="X200" s="157">
        <f t="shared" si="60"/>
        <v>46573</v>
      </c>
      <c r="Y200" s="385">
        <f t="shared" si="61"/>
        <v>49.67862864910353</v>
      </c>
      <c r="Z200" s="385">
        <f t="shared" si="62"/>
        <v>53.437416201246592</v>
      </c>
      <c r="AA200" s="386">
        <f t="shared" si="63"/>
        <v>56.8124023759786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5.940579932523718E-2</v>
      </c>
      <c r="AD200" s="231">
        <f>(INDEX(Models!$BJ200:$BT200,,AH200)*(1-AF200)+INDEX(Models!$BJ200:$BT200,,AH200+1)*AF200-ERP_i)*AE200*Ramure*Pc/MaxiM</f>
        <v>1.1138813222309418E-2</v>
      </c>
      <c r="AE200" s="305">
        <f t="shared" si="65"/>
        <v>0.7</v>
      </c>
      <c r="AF200" s="177">
        <f t="shared" si="66"/>
        <v>0.86818109393156551</v>
      </c>
      <c r="AG200" s="919">
        <f t="shared" si="74"/>
        <v>2</v>
      </c>
      <c r="AH200" s="176">
        <f t="shared" si="67"/>
        <v>8</v>
      </c>
      <c r="AI200" s="225">
        <f t="shared" si="68"/>
        <v>2.8681810939315655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1090">
        <f>IF(t&gt;Tmaj,'2026'!Wh/'2026'!Env_an*'2027'!Env_an,0.001*[9]mois!$B$43)</f>
        <v>42.820550155891297</v>
      </c>
      <c r="C201" s="953"/>
      <c r="D201" s="393">
        <f t="shared" si="50"/>
        <v>46.061450202021298</v>
      </c>
      <c r="E201" s="385">
        <f t="shared" si="75"/>
        <v>46.902802007624501</v>
      </c>
      <c r="F201" s="385">
        <f t="shared" si="51"/>
        <v>47.028409332140484</v>
      </c>
      <c r="G201" s="110">
        <f t="shared" si="76"/>
        <v>0.82324755552489581</v>
      </c>
      <c r="H201" s="412" t="b">
        <f>Wh_hp&gt;='2026'!Maxi_hp</f>
        <v>0</v>
      </c>
      <c r="I201" s="390">
        <f>IF(H201,Wh_hp,'2026'!Maxi_hp)</f>
        <v>56.315415913154332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7.0360356261379375E-2</v>
      </c>
      <c r="M201" s="957"/>
      <c r="N201" s="957"/>
      <c r="O201" s="48">
        <f>IF(t&lt;Tnet,'2026'!Resal+('2026'!Salim-'2026'!Resal)*(1-EXP(('2026'!Tnet-t)/('2026'!Tau_j))),Resal+(Salim-Resal)*(1-EXP((Tnet-t)/(Tau_j))))*Salcycl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3.5680482549397619E-3</v>
      </c>
      <c r="Q201" s="305">
        <f t="shared" si="53"/>
        <v>0.7</v>
      </c>
      <c r="R201" s="177">
        <f t="shared" si="54"/>
        <v>0.34714996501871265</v>
      </c>
      <c r="S201" s="919">
        <f t="shared" si="55"/>
        <v>-1</v>
      </c>
      <c r="T201" s="176">
        <f t="shared" si="56"/>
        <v>5</v>
      </c>
      <c r="U201" s="251">
        <f t="shared" si="57"/>
        <v>-0.65285003498128735</v>
      </c>
      <c r="V201" s="383">
        <f t="shared" si="58"/>
        <v>51.967394044340679</v>
      </c>
      <c r="W201" s="402">
        <f t="shared" si="59"/>
        <v>42.820550155891297</v>
      </c>
      <c r="X201" s="157">
        <f t="shared" si="60"/>
        <v>46574</v>
      </c>
      <c r="Y201" s="385">
        <f t="shared" si="61"/>
        <v>40.777261172375987</v>
      </c>
      <c r="Z201" s="385">
        <f t="shared" si="62"/>
        <v>43.863513617370003</v>
      </c>
      <c r="AA201" s="386">
        <f t="shared" si="63"/>
        <v>46.638995699718521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5.950990240480817E-2</v>
      </c>
      <c r="AD201" s="231">
        <f>(INDEX(Models!$BJ201:$BT201,,AH201)*(1-AF201)+INDEX(Models!$BJ201:$BT201,,AH201+1)*AF201-ERP_i)*AE201*Ramure*Pc/MaxiM</f>
        <v>1.1061828097741011E-2</v>
      </c>
      <c r="AE201" s="305">
        <f t="shared" si="65"/>
        <v>0.7</v>
      </c>
      <c r="AF201" s="177">
        <f t="shared" si="66"/>
        <v>0.87213753139269157</v>
      </c>
      <c r="AG201" s="919">
        <f t="shared" si="74"/>
        <v>2</v>
      </c>
      <c r="AH201" s="176">
        <f t="shared" si="67"/>
        <v>8</v>
      </c>
      <c r="AI201" s="225">
        <f t="shared" si="68"/>
        <v>2.8721375313926916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1090">
        <f>IF(t&gt;Tmaj,'2026'!Wh/'2026'!Env_an*'2027'!Env_an,0.001*[9]mois!$B$44)</f>
        <v>50.581612106093928</v>
      </c>
      <c r="C202" s="953"/>
      <c r="D202" s="393">
        <f t="shared" si="50"/>
        <v>54.411104709408178</v>
      </c>
      <c r="E202" s="385">
        <f t="shared" si="75"/>
        <v>55.412899207568763</v>
      </c>
      <c r="F202" s="385">
        <f t="shared" si="51"/>
        <v>55.602260119171369</v>
      </c>
      <c r="G202" s="110">
        <f t="shared" si="76"/>
        <v>0.97497383052247744</v>
      </c>
      <c r="H202" s="412" t="b">
        <f>Wh_hp&gt;='2026'!Maxi_hp</f>
        <v>0</v>
      </c>
      <c r="I202" s="390">
        <f>IF(H202,Wh_hp,'2026'!Maxi_hp)</f>
        <v>56.989181729783134</v>
      </c>
      <c r="J202" s="85">
        <f>IF(H202,An,'2026'!An_max)</f>
        <v>2018</v>
      </c>
      <c r="K202" s="197">
        <f t="shared" si="52"/>
        <v>46575</v>
      </c>
      <c r="L202" s="147">
        <f>IF(t&lt;Tvie,1-EXP((T0-t)*PertePVj)+'2026'!Pspv,1-EXP((T0-t)*PertePVj)+Pspv)</f>
        <v>7.038071775543453E-2</v>
      </c>
      <c r="M202" s="957"/>
      <c r="N202" s="957"/>
      <c r="O202" s="48">
        <f>IF(t&lt;Tnet,'2026'!Resal+('2026'!Salim-'2026'!Resal)*(1-EXP(('2026'!Tnet-t)/('2026'!Tau_j))),Resal+(Salim-Resal)*(1-EXP((Tnet-t)/(Tau_j))))*Salcycl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3.5312617800175548E-3</v>
      </c>
      <c r="Q202" s="305">
        <f t="shared" si="53"/>
        <v>0.7</v>
      </c>
      <c r="R202" s="177">
        <f t="shared" si="54"/>
        <v>0.35102775673375219</v>
      </c>
      <c r="S202" s="919">
        <f t="shared" si="55"/>
        <v>-1</v>
      </c>
      <c r="T202" s="176">
        <f t="shared" si="56"/>
        <v>5</v>
      </c>
      <c r="U202" s="251">
        <f t="shared" si="57"/>
        <v>-0.64897224326624781</v>
      </c>
      <c r="V202" s="383">
        <f t="shared" si="58"/>
        <v>51.873429131580544</v>
      </c>
      <c r="W202" s="402">
        <f t="shared" si="59"/>
        <v>50.581612106093928</v>
      </c>
      <c r="X202" s="157">
        <f t="shared" si="60"/>
        <v>46575</v>
      </c>
      <c r="Y202" s="385">
        <f t="shared" si="61"/>
        <v>48.093132379500183</v>
      </c>
      <c r="Z202" s="385">
        <f t="shared" si="62"/>
        <v>51.734224212065968</v>
      </c>
      <c r="AA202" s="386">
        <f t="shared" si="63"/>
        <v>55.013768131771187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5.9613148327704486E-2</v>
      </c>
      <c r="AD202" s="231">
        <f>(INDEX(Models!$BJ202:$BT202,,AH202)*(1-AF202)+INDEX(Models!$BJ202:$BT202,,AH202+1)*AF202-ERP_i)*AE202*Ramure*Pc/MaxiM</f>
        <v>1.097438349533323E-2</v>
      </c>
      <c r="AE202" s="305">
        <f t="shared" si="65"/>
        <v>0.7</v>
      </c>
      <c r="AF202" s="177">
        <f t="shared" si="66"/>
        <v>0.876015323107731</v>
      </c>
      <c r="AG202" s="919">
        <f t="shared" si="74"/>
        <v>2</v>
      </c>
      <c r="AH202" s="176">
        <f t="shared" si="67"/>
        <v>8</v>
      </c>
      <c r="AI202" s="225">
        <f t="shared" si="68"/>
        <v>2.876015323107731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1090">
        <f>IF(t&gt;Tmaj,'2026'!Wh/'2026'!Env_an*'2027'!Env_an,0.001*[9]mois!$B$45)</f>
        <v>53.011680719825975</v>
      </c>
      <c r="C203" s="953"/>
      <c r="D203" s="393">
        <f t="shared" si="50"/>
        <v>57.026400860701372</v>
      </c>
      <c r="E203" s="385">
        <f t="shared" si="75"/>
        <v>58.084639977720855</v>
      </c>
      <c r="F203" s="385">
        <f t="shared" si="51"/>
        <v>58.288044703587239</v>
      </c>
      <c r="G203" s="110">
        <f t="shared" si="76"/>
        <v>1.0238097275774949</v>
      </c>
      <c r="H203" s="412" t="b">
        <f>Wh_hp&gt;='2026'!Maxi_hp</f>
        <v>0</v>
      </c>
      <c r="I203" s="390">
        <f>IF(H203,Wh_hp,'2026'!Maxi_hp)</f>
        <v>59.606340921073496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7.0401078803520645E-2</v>
      </c>
      <c r="M203" s="957"/>
      <c r="N203" s="957"/>
      <c r="O203" s="48">
        <f>IF(t&lt;Tnet,'2026'!Resal+('2026'!Salim-'2026'!Resal)*(1-EXP(('2026'!Tnet-t)/('2026'!Tau_j))),Resal+(Salim-Resal)*(1-EXP((Tnet-t)/(Tau_j))))*Salcycl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3.4896474380082488E-3</v>
      </c>
      <c r="Q203" s="305">
        <f t="shared" si="53"/>
        <v>0.7</v>
      </c>
      <c r="R203" s="177">
        <f t="shared" si="54"/>
        <v>0.3548260482993546</v>
      </c>
      <c r="S203" s="919">
        <f t="shared" si="55"/>
        <v>-1</v>
      </c>
      <c r="T203" s="176">
        <f t="shared" si="56"/>
        <v>5</v>
      </c>
      <c r="U203" s="251">
        <f t="shared" si="57"/>
        <v>-0.6451739517006454</v>
      </c>
      <c r="V203" s="383">
        <f t="shared" si="58"/>
        <v>51.77884063014374</v>
      </c>
      <c r="W203" s="402">
        <f t="shared" si="59"/>
        <v>53.011680719825975</v>
      </c>
      <c r="X203" s="157">
        <f t="shared" si="60"/>
        <v>46576</v>
      </c>
      <c r="Y203" s="385">
        <f t="shared" si="61"/>
        <v>50.394701437086582</v>
      </c>
      <c r="Z203" s="385">
        <f t="shared" si="62"/>
        <v>54.211230551154216</v>
      </c>
      <c r="AA203" s="386">
        <f t="shared" si="63"/>
        <v>57.654076063371043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5.9715561280222276E-2</v>
      </c>
      <c r="AD203" s="231">
        <f>(INDEX(Models!$BJ203:$BT203,,AH203)*(1-AF203)+INDEX(Models!$BJ203:$BT203,,AH203+1)*AF203-ERP_i)*AE203*Ramure*Pc/MaxiM</f>
        <v>1.0876478074365472E-2</v>
      </c>
      <c r="AE203" s="305">
        <f t="shared" si="65"/>
        <v>0.7</v>
      </c>
      <c r="AF203" s="177">
        <f t="shared" si="66"/>
        <v>0.87981361467333352</v>
      </c>
      <c r="AG203" s="919">
        <f t="shared" si="74"/>
        <v>2</v>
      </c>
      <c r="AH203" s="176">
        <f t="shared" si="67"/>
        <v>8</v>
      </c>
      <c r="AI203" s="225">
        <f t="shared" si="68"/>
        <v>2.8798136146733335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1090">
        <f>IF(t&gt;Tmaj,'2026'!Wh/'2026'!Env_an*'2027'!Env_an,0.001*[9]mois!$B$46)</f>
        <v>52.40950018312116</v>
      </c>
      <c r="C204" s="953"/>
      <c r="D204" s="393">
        <f t="shared" si="50"/>
        <v>56.37985040189789</v>
      </c>
      <c r="E204" s="385">
        <f t="shared" si="75"/>
        <v>57.434273387985492</v>
      </c>
      <c r="F204" s="385">
        <f t="shared" si="51"/>
        <v>57.632712414968985</v>
      </c>
      <c r="G204" s="110">
        <f t="shared" si="76"/>
        <v>1.0140445049204443</v>
      </c>
      <c r="H204" s="412" t="b">
        <f>Wh_hp&gt;='2026'!Maxi_hp</f>
        <v>1</v>
      </c>
      <c r="I204" s="390">
        <f>IF(H204,Wh_hp,'2026'!Maxi_hp)</f>
        <v>57.632712414968985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7.0421439405647601E-2</v>
      </c>
      <c r="M204" s="957"/>
      <c r="N204" s="957"/>
      <c r="O204" s="48">
        <f>IF(t&lt;Tnet,'2026'!Resal+('2026'!Salim-'2026'!Resal)*(1-EXP(('2026'!Tnet-t)/('2026'!Tau_j))),Resal+(Salim-Resal)*(1-EXP((Tnet-t)/(Tau_j))))*Salcycl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3.443166539771482E-3</v>
      </c>
      <c r="Q204" s="305">
        <f t="shared" si="53"/>
        <v>0.7</v>
      </c>
      <c r="R204" s="177">
        <f t="shared" si="54"/>
        <v>0.35854415142480667</v>
      </c>
      <c r="S204" s="919">
        <f t="shared" si="55"/>
        <v>-1</v>
      </c>
      <c r="T204" s="176">
        <f t="shared" si="56"/>
        <v>5</v>
      </c>
      <c r="U204" s="251">
        <f t="shared" si="57"/>
        <v>-0.64145584857519333</v>
      </c>
      <c r="V204" s="383">
        <f t="shared" si="58"/>
        <v>51.683629198535904</v>
      </c>
      <c r="W204" s="402">
        <f t="shared" si="59"/>
        <v>52.40950018312116</v>
      </c>
      <c r="X204" s="157">
        <f t="shared" si="60"/>
        <v>46577</v>
      </c>
      <c r="Y204" s="385">
        <f t="shared" si="61"/>
        <v>49.827096620956588</v>
      </c>
      <c r="Z204" s="385">
        <f t="shared" si="62"/>
        <v>53.601813481044807</v>
      </c>
      <c r="AA204" s="386">
        <f t="shared" si="63"/>
        <v>57.012116765094056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5.9817166552518224E-2</v>
      </c>
      <c r="AD204" s="231">
        <f>(INDEX(Models!$BJ204:$BT204,,AH204)*(1-AF204)+INDEX(Models!$BJ204:$BT204,,AH204+1)*AF204-ERP_i)*AE204*Ramure*Pc/MaxiM</f>
        <v>1.0768114563244809E-2</v>
      </c>
      <c r="AE204" s="305">
        <f t="shared" si="65"/>
        <v>0.7</v>
      </c>
      <c r="AF204" s="177">
        <f t="shared" si="66"/>
        <v>0.88353171779878537</v>
      </c>
      <c r="AG204" s="919">
        <f t="shared" si="74"/>
        <v>2</v>
      </c>
      <c r="AH204" s="176">
        <f t="shared" si="67"/>
        <v>8</v>
      </c>
      <c r="AI204" s="225">
        <f t="shared" si="68"/>
        <v>2.8835317177987854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1090">
        <f>IF(t&gt;Tmaj,'2026'!Wh/'2026'!Env_an*'2027'!Env_an,0.001*[9]mois!$B$47)</f>
        <v>52.064282616936367</v>
      </c>
      <c r="C205" s="953"/>
      <c r="D205" s="393">
        <f t="shared" si="50"/>
        <v>56.009707183901256</v>
      </c>
      <c r="E205" s="385">
        <f t="shared" si="75"/>
        <v>57.065319285736145</v>
      </c>
      <c r="F205" s="385">
        <f t="shared" si="51"/>
        <v>57.259532821685092</v>
      </c>
      <c r="G205" s="110">
        <f t="shared" si="76"/>
        <v>1.0092447649986889</v>
      </c>
      <c r="H205" s="412" t="b">
        <f>Wh_hp&gt;='2026'!Maxi_hp</f>
        <v>1</v>
      </c>
      <c r="I205" s="390">
        <f>IF(H205,Wh_hp,'2026'!Maxi_hp)</f>
        <v>57.259532821685092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7.0441799561825058E-2</v>
      </c>
      <c r="M205" s="957"/>
      <c r="N205" s="957"/>
      <c r="O205" s="48">
        <f>IF(t&lt;Tnet,'2026'!Resal+('2026'!Salim-'2026'!Resal)*(1-EXP(('2026'!Tnet-t)/('2026'!Tau_j))),Resal+(Salim-Resal)*(1-EXP((Tnet-t)/(Tau_j))))*Salcycl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3.3918113959077257E-3</v>
      </c>
      <c r="Q205" s="305">
        <f t="shared" si="53"/>
        <v>0.7</v>
      </c>
      <c r="R205" s="177">
        <f t="shared" si="54"/>
        <v>0.36218153907263539</v>
      </c>
      <c r="S205" s="919">
        <f t="shared" si="55"/>
        <v>-1</v>
      </c>
      <c r="T205" s="176">
        <f t="shared" si="56"/>
        <v>5</v>
      </c>
      <c r="U205" s="251">
        <f t="shared" si="57"/>
        <v>-0.63781846092736461</v>
      </c>
      <c r="V205" s="383">
        <f t="shared" si="58"/>
        <v>51.587369508925818</v>
      </c>
      <c r="W205" s="402">
        <f t="shared" si="59"/>
        <v>52.064282616936367</v>
      </c>
      <c r="X205" s="157">
        <f t="shared" si="60"/>
        <v>46578</v>
      </c>
      <c r="Y205" s="385">
        <f t="shared" si="61"/>
        <v>49.504007277198774</v>
      </c>
      <c r="Z205" s="385">
        <f t="shared" si="62"/>
        <v>53.25541451182248</v>
      </c>
      <c r="AA205" s="386">
        <f t="shared" si="63"/>
        <v>56.649753921251197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5.9917990361391213E-2</v>
      </c>
      <c r="AD205" s="231">
        <f>(INDEX(Models!$BJ205:$BT205,,AH205)*(1-AF205)+INDEX(Models!$BJ205:$BT205,,AH205+1)*AF205-ERP_i)*AE205*Ramure*Pc/MaxiM</f>
        <v>1.0649386580446521E-2</v>
      </c>
      <c r="AE205" s="305">
        <f t="shared" si="65"/>
        <v>0.7</v>
      </c>
      <c r="AF205" s="177">
        <f t="shared" si="66"/>
        <v>0.8871691054466142</v>
      </c>
      <c r="AG205" s="919">
        <f t="shared" si="74"/>
        <v>2</v>
      </c>
      <c r="AH205" s="176">
        <f t="shared" si="67"/>
        <v>8</v>
      </c>
      <c r="AI205" s="225">
        <f t="shared" si="68"/>
        <v>2.8871691054466142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1090">
        <f>IF(t&gt;Tmaj,'2026'!Wh/'2026'!Env_an*'2027'!Env_an,0.001*[9]mois!$B$48)</f>
        <v>50.823726326472773</v>
      </c>
      <c r="C206" s="953"/>
      <c r="D206" s="393">
        <f t="shared" si="50"/>
        <v>54.676339251204489</v>
      </c>
      <c r="E206" s="385">
        <f t="shared" si="75"/>
        <v>55.71472394132239</v>
      </c>
      <c r="F206" s="385">
        <f t="shared" si="51"/>
        <v>55.897741909145459</v>
      </c>
      <c r="G206" s="110">
        <f t="shared" si="76"/>
        <v>0.98700378065818906</v>
      </c>
      <c r="H206" s="412" t="b">
        <f>Wh_hp&gt;='2026'!Maxi_hp</f>
        <v>0</v>
      </c>
      <c r="I206" s="390">
        <f>IF(H206,Wh_hp,'2026'!Maxi_hp)</f>
        <v>56.244702289420005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7.0462159272062896E-2</v>
      </c>
      <c r="M206" s="957"/>
      <c r="N206" s="957"/>
      <c r="O206" s="48">
        <f>IF(t&lt;Tnet,'2026'!Resal+('2026'!Salim-'2026'!Resal)*(1-EXP(('2026'!Tnet-t)/('2026'!Tau_j))),Resal+(Salim-Resal)*(1-EXP((Tnet-t)/(Tau_j))))*Salcycl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3.3357983522813838E-3</v>
      </c>
      <c r="Q206" s="305">
        <f t="shared" si="53"/>
        <v>0.7</v>
      </c>
      <c r="R206" s="177">
        <f t="shared" si="54"/>
        <v>0.36573784013099964</v>
      </c>
      <c r="S206" s="919">
        <f t="shared" si="55"/>
        <v>-1</v>
      </c>
      <c r="T206" s="176">
        <f t="shared" si="56"/>
        <v>5</v>
      </c>
      <c r="U206" s="251">
        <f t="shared" si="57"/>
        <v>-0.63426215986900036</v>
      </c>
      <c r="V206" s="383">
        <f t="shared" si="58"/>
        <v>51.489755332492372</v>
      </c>
      <c r="W206" s="402">
        <f t="shared" si="59"/>
        <v>50.823726326472773</v>
      </c>
      <c r="X206" s="157">
        <f t="shared" si="60"/>
        <v>46579</v>
      </c>
      <c r="Y206" s="385">
        <f t="shared" si="61"/>
        <v>48.336261642618773</v>
      </c>
      <c r="Z206" s="385">
        <f t="shared" si="62"/>
        <v>52.000316205272306</v>
      </c>
      <c r="AA206" s="386">
        <f t="shared" si="63"/>
        <v>55.320548166185688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6.0018059671774045E-2</v>
      </c>
      <c r="AD206" s="231">
        <f>(INDEX(Models!$BJ206:$BT206,,AH206)*(1-AF206)+INDEX(Models!$BJ206:$BT206,,AH206+1)*AF206-ERP_i)*AE206*Ramure*Pc/MaxiM</f>
        <v>1.0520289125785287E-2</v>
      </c>
      <c r="AE206" s="305">
        <f t="shared" si="65"/>
        <v>0.7</v>
      </c>
      <c r="AF206" s="177">
        <f t="shared" si="66"/>
        <v>0.89072540650497878</v>
      </c>
      <c r="AG206" s="919">
        <f t="shared" si="74"/>
        <v>2</v>
      </c>
      <c r="AH206" s="176">
        <f t="shared" si="67"/>
        <v>8</v>
      </c>
      <c r="AI206" s="225">
        <f t="shared" si="68"/>
        <v>2.8907254065049788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1090">
        <f>IF(t&gt;Tmaj,'2026'!Wh/'2026'!Env_an*'2027'!Env_an,0.001*[9]mois!$B$49)</f>
        <v>50.386324390108243</v>
      </c>
      <c r="C207" s="953"/>
      <c r="D207" s="393">
        <f t="shared" ref="D207:D270" si="77">Wh/(1-Ppv)</f>
        <v>54.206968018255395</v>
      </c>
      <c r="E207" s="385">
        <f t="shared" si="75"/>
        <v>55.244257754404188</v>
      </c>
      <c r="F207" s="385">
        <f t="shared" ref="F207:F270" si="78">Wh_sa/(1-Pvg*MEDIAN((-Sdif+Wh/Env_an)/Csdif,0,1))</f>
        <v>55.420845089293785</v>
      </c>
      <c r="G207" s="110">
        <f t="shared" si="76"/>
        <v>0.98036334569559658</v>
      </c>
      <c r="H207" s="412" t="b">
        <f>Wh_hp&gt;='2026'!Maxi_hp</f>
        <v>0</v>
      </c>
      <c r="I207" s="390">
        <f>IF(H207,Wh_hp,'2026'!Maxi_hp)</f>
        <v>57.631675116560842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7.0482518536370886E-2</v>
      </c>
      <c r="M207" s="957"/>
      <c r="N207" s="957"/>
      <c r="O207" s="48">
        <f>IF(t&lt;Tnet,'2026'!Resal+('2026'!Salim-'2026'!Resal)*(1-EXP(('2026'!Tnet-t)/('2026'!Tau_j))),Resal+(Salim-Resal)*(1-EXP((Tnet-t)/(Tau_j))))*Salcycl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3.2778273694896352E-3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0.36921283367771784</v>
      </c>
      <c r="S207" s="919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-0.63078716632228216</v>
      </c>
      <c r="V207" s="383">
        <f t="shared" ref="V207:V270" si="85">MaxiM*(1-Ppv)*(1-Pvg)*(1-Psa)</f>
        <v>51.390842025649732</v>
      </c>
      <c r="W207" s="402">
        <f t="shared" ref="W207:W270" si="86">Wh*(A207&gt;Tmaj)</f>
        <v>50.386324390108243</v>
      </c>
      <c r="X207" s="157">
        <f t="shared" ref="X207:X270" si="87">t</f>
        <v>46580</v>
      </c>
      <c r="Y207" s="385">
        <f t="shared" ref="Y207:Y270" si="88">Wh_pvt_s*(1-Ppv)</f>
        <v>47.928856542738998</v>
      </c>
      <c r="Z207" s="385">
        <f t="shared" ref="Z207:Z270" si="89">Wh_sa_s*(1-Psa_s)</f>
        <v>51.563157765757843</v>
      </c>
      <c r="AA207" s="386">
        <f t="shared" ref="AA207:AA270" si="90">Wh_hp*(1-Pvg_s*MEDIAN((-Sdif+Wh/Env_an)/Csdif,0,1))</f>
        <v>54.861275095934836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6.0117402018265854E-2</v>
      </c>
      <c r="AD207" s="231">
        <f>(INDEX(Models!$BJ207:$BT207,,AH207)*(1-AF207)+INDEX(Models!$BJ207:$BT207,,AH207+1)*AF207-ERP_i)*AE207*Ramure*Pc/MaxiM</f>
        <v>1.0386780232704038E-2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0.89420040005169676</v>
      </c>
      <c r="AG207" s="91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2.8942004000516968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1090">
        <f>IF(t&gt;Tmaj,'2026'!Wh/'2026'!Env_an*'2027'!Env_an,0.001*[9]mois!$B$50)</f>
        <v>50.640890464479547</v>
      </c>
      <c r="C208" s="953"/>
      <c r="D208" s="393">
        <f t="shared" si="77"/>
        <v>54.482030369670674</v>
      </c>
      <c r="E208" s="385">
        <f t="shared" si="75"/>
        <v>55.532427046287907</v>
      </c>
      <c r="F208" s="385">
        <f t="shared" si="78"/>
        <v>55.708446797260031</v>
      </c>
      <c r="G208" s="110">
        <f t="shared" si="76"/>
        <v>0.98727076462286023</v>
      </c>
      <c r="H208" s="412" t="b">
        <f>Wh_hp&gt;='2026'!Maxi_hp</f>
        <v>0</v>
      </c>
      <c r="I208" s="390">
        <f>IF(H208,Wh_hp,'2026'!Maxi_hp)</f>
        <v>55.710788562283746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7.0502877354758686E-2</v>
      </c>
      <c r="M208" s="957"/>
      <c r="N208" s="957"/>
      <c r="O208" s="48">
        <f>IF(t&lt;Tnet,'2026'!Resal+('2026'!Salim-'2026'!Resal)*(1-EXP(('2026'!Tnet-t)/('2026'!Tau_j))),Resal+(Salim-Resal)*(1-EXP((Tnet-t)/(Tau_j))))*Salcycl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3.2179112725248728E-3</v>
      </c>
      <c r="Q208" s="305">
        <f t="shared" si="80"/>
        <v>0.7</v>
      </c>
      <c r="R208" s="177">
        <f t="shared" si="81"/>
        <v>0.37260644289506328</v>
      </c>
      <c r="S208" s="919">
        <f t="shared" si="82"/>
        <v>-1</v>
      </c>
      <c r="T208" s="176">
        <f t="shared" si="83"/>
        <v>5</v>
      </c>
      <c r="U208" s="251">
        <f t="shared" si="84"/>
        <v>-0.62739355710493672</v>
      </c>
      <c r="V208" s="383">
        <f t="shared" si="85"/>
        <v>51.290824191747376</v>
      </c>
      <c r="W208" s="402">
        <f t="shared" si="86"/>
        <v>50.640890464479547</v>
      </c>
      <c r="X208" s="157">
        <f t="shared" si="87"/>
        <v>46581</v>
      </c>
      <c r="Y208" s="385">
        <f t="shared" si="88"/>
        <v>48.173093016115132</v>
      </c>
      <c r="Z208" s="385">
        <f t="shared" si="89"/>
        <v>51.827049102658954</v>
      </c>
      <c r="AA208" s="386">
        <f t="shared" si="90"/>
        <v>55.147833547284257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6.0216045328018754E-2</v>
      </c>
      <c r="AD208" s="231">
        <f>(INDEX(Models!$BJ208:$BT208,,AH208)*(1-AF208)+INDEX(Models!$BJ208:$BT208,,AH208+1)*AF208-ERP_i)*AE208*Ramure*Pc/MaxiM</f>
        <v>1.0248870860574912E-2</v>
      </c>
      <c r="AE208" s="305">
        <f t="shared" si="92"/>
        <v>0.7</v>
      </c>
      <c r="AF208" s="177">
        <f t="shared" si="93"/>
        <v>0.8975940092690422</v>
      </c>
      <c r="AG208" s="919">
        <f t="shared" ref="AG208:AG271" si="99">INDEX(Echel_vg,AH208)</f>
        <v>2</v>
      </c>
      <c r="AH208" s="176">
        <f t="shared" si="94"/>
        <v>8</v>
      </c>
      <c r="AI208" s="225">
        <f t="shared" si="95"/>
        <v>2.8975940092690422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1090">
        <f>IF(t&gt;Tmaj,'2026'!Wh/'2026'!Env_an*'2027'!Env_an,0.001*[9]mois!$B$51)</f>
        <v>49.853201488251592</v>
      </c>
      <c r="C209" s="953"/>
      <c r="D209" s="393">
        <f t="shared" si="77"/>
        <v>53.63576950442377</v>
      </c>
      <c r="E209" s="385">
        <f t="shared" si="75"/>
        <v>54.677557310205295</v>
      </c>
      <c r="F209" s="385">
        <f t="shared" si="78"/>
        <v>54.844192117460167</v>
      </c>
      <c r="G209" s="110">
        <f t="shared" si="76"/>
        <v>0.97377251886068372</v>
      </c>
      <c r="H209" s="412" t="b">
        <f>Wh_hp&gt;='2026'!Maxi_hp</f>
        <v>0</v>
      </c>
      <c r="I209" s="390">
        <f>IF(H209,Wh_hp,'2026'!Maxi_hp)</f>
        <v>56.367501147703905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7.0523235727236067E-2</v>
      </c>
      <c r="M209" s="957"/>
      <c r="N209" s="957"/>
      <c r="O209" s="48">
        <f>IF(t&lt;Tnet,'2026'!Resal+('2026'!Salim-'2026'!Resal)*(1-EXP(('2026'!Tnet-t)/('2026'!Tau_j))),Resal+(Salim-Resal)*(1-EXP((Tnet-t)/(Tau_j))))*Salcycl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3.1560632800328361E-3</v>
      </c>
      <c r="Q209" s="305">
        <f t="shared" si="80"/>
        <v>0.7</v>
      </c>
      <c r="R209" s="177">
        <f t="shared" si="81"/>
        <v>0.3759187286931962</v>
      </c>
      <c r="S209" s="919">
        <f t="shared" si="82"/>
        <v>-1</v>
      </c>
      <c r="T209" s="176">
        <f t="shared" si="83"/>
        <v>5</v>
      </c>
      <c r="U209" s="251">
        <f t="shared" si="84"/>
        <v>-0.6240812713068038</v>
      </c>
      <c r="V209" s="383">
        <f t="shared" si="85"/>
        <v>51.189896308136191</v>
      </c>
      <c r="W209" s="402">
        <f t="shared" si="86"/>
        <v>49.853201488251592</v>
      </c>
      <c r="X209" s="157">
        <f t="shared" si="87"/>
        <v>46582</v>
      </c>
      <c r="Y209" s="385">
        <f t="shared" si="88"/>
        <v>47.435746999346314</v>
      </c>
      <c r="Z209" s="385">
        <f t="shared" si="89"/>
        <v>51.034892772667348</v>
      </c>
      <c r="AA209" s="386">
        <f t="shared" si="90"/>
        <v>54.310582190728795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6.0314017746262265E-2</v>
      </c>
      <c r="AD209" s="231">
        <f>(INDEX(Models!$BJ209:$BT209,,AH209)*(1-AF209)+INDEX(Models!$BJ209:$BT209,,AH209+1)*AF209-ERP_i)*AE209*Ramure*Pc/MaxiM</f>
        <v>1.0106572110363522E-2</v>
      </c>
      <c r="AE209" s="305">
        <f t="shared" si="92"/>
        <v>0.7</v>
      </c>
      <c r="AF209" s="177">
        <f t="shared" si="93"/>
        <v>0.90090629506717512</v>
      </c>
      <c r="AG209" s="919">
        <f t="shared" si="99"/>
        <v>2</v>
      </c>
      <c r="AH209" s="176">
        <f t="shared" si="94"/>
        <v>8</v>
      </c>
      <c r="AI209" s="225">
        <f t="shared" si="95"/>
        <v>2.9009062950671751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1090">
        <f>IF(t&gt;Tmaj,'2026'!Wh/'2026'!Env_an*'2027'!Env_an,0.001*[9]mois!$B$52)</f>
        <v>47.814935826726654</v>
      </c>
      <c r="C210" s="953"/>
      <c r="D210" s="393">
        <f t="shared" si="77"/>
        <v>51.443978975510348</v>
      </c>
      <c r="E210" s="385">
        <f t="shared" si="75"/>
        <v>52.450572743154972</v>
      </c>
      <c r="F210" s="385">
        <f t="shared" si="78"/>
        <v>52.598334897649735</v>
      </c>
      <c r="G210" s="110">
        <f t="shared" si="76"/>
        <v>0.93566253541822608</v>
      </c>
      <c r="H210" s="412" t="b">
        <f>Wh_hp&gt;='2026'!Maxi_hp</f>
        <v>0</v>
      </c>
      <c r="I210" s="390">
        <f>IF(H210,Wh_hp,'2026'!Maxi_hp)</f>
        <v>57.830639820469678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7.0543593653812908E-2</v>
      </c>
      <c r="M210" s="957"/>
      <c r="N210" s="957"/>
      <c r="O210" s="48">
        <f>IF(t&lt;Tnet,'2026'!Resal+('2026'!Salim-'2026'!Resal)*(1-EXP(('2026'!Tnet-t)/('2026'!Tau_j))),Resal+(Salim-Resal)*(1-EXP((Tnet-t)/(Tau_j))))*Salcycl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3.0922968847320979E-3</v>
      </c>
      <c r="Q210" s="305">
        <f t="shared" si="80"/>
        <v>0.7</v>
      </c>
      <c r="R210" s="177">
        <f t="shared" si="81"/>
        <v>0.37914988309834863</v>
      </c>
      <c r="S210" s="919">
        <f t="shared" si="82"/>
        <v>-1</v>
      </c>
      <c r="T210" s="176">
        <f t="shared" si="83"/>
        <v>5</v>
      </c>
      <c r="U210" s="251">
        <f t="shared" si="84"/>
        <v>-0.62085011690165137</v>
      </c>
      <c r="V210" s="383">
        <f t="shared" si="85"/>
        <v>51.088252739298312</v>
      </c>
      <c r="W210" s="402">
        <f t="shared" si="86"/>
        <v>47.814935826726654</v>
      </c>
      <c r="X210" s="157">
        <f t="shared" si="87"/>
        <v>46583</v>
      </c>
      <c r="Y210" s="385">
        <f t="shared" si="88"/>
        <v>45.518851042352765</v>
      </c>
      <c r="Z210" s="385">
        <f t="shared" si="89"/>
        <v>48.973626661301132</v>
      </c>
      <c r="AA210" s="386">
        <f t="shared" si="90"/>
        <v>52.122411790742383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6.0411347465708004E-2</v>
      </c>
      <c r="AD210" s="231">
        <f>(INDEX(Models!$BJ210:$BT210,,AH210)*(1-AF210)+INDEX(Models!$BJ210:$BT210,,AH210+1)*AF210-ERP_i)*AE210*Ramure*Pc/MaxiM</f>
        <v>9.9598949805089765E-3</v>
      </c>
      <c r="AE210" s="305">
        <f t="shared" si="92"/>
        <v>0.7</v>
      </c>
      <c r="AF210" s="177">
        <f t="shared" si="93"/>
        <v>0.90413744947232733</v>
      </c>
      <c r="AG210" s="919">
        <f t="shared" si="99"/>
        <v>2</v>
      </c>
      <c r="AH210" s="176">
        <f t="shared" si="94"/>
        <v>8</v>
      </c>
      <c r="AI210" s="225">
        <f t="shared" si="95"/>
        <v>2.9041374494723273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1090">
        <f>IF(t&gt;Tmaj,'2026'!Wh/'2026'!Env_an*'2027'!Env_an,0.001*[9]mois!$B$53)</f>
        <v>49.626009171395665</v>
      </c>
      <c r="C211" s="953"/>
      <c r="D211" s="393">
        <f t="shared" si="77"/>
        <v>53.393678060981962</v>
      </c>
      <c r="E211" s="385">
        <f t="shared" si="75"/>
        <v>54.446064637299344</v>
      </c>
      <c r="F211" s="385">
        <f t="shared" si="78"/>
        <v>54.605035599987062</v>
      </c>
      <c r="G211" s="110">
        <f t="shared" si="76"/>
        <v>0.97321192653774546</v>
      </c>
      <c r="H211" s="412" t="b">
        <f>Wh_hp&gt;='2026'!Maxi_hp</f>
        <v>0</v>
      </c>
      <c r="I211" s="390">
        <f>IF(H211,Wh_hp,'2026'!Maxi_hp)</f>
        <v>57.203978991704709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7.056395113449887E-2</v>
      </c>
      <c r="M211" s="957"/>
      <c r="N211" s="957"/>
      <c r="O211" s="48">
        <f>IF(t&lt;Tnet,'2026'!Resal+('2026'!Salim-'2026'!Resal)*(1-EXP(('2026'!Tnet-t)/('2026'!Tau_j))),Resal+(Salim-Resal)*(1-EXP((Tnet-t)/(Tau_j))))*Salcycl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3.0266257469578855E-3</v>
      </c>
      <c r="Q211" s="305">
        <f t="shared" si="80"/>
        <v>0.7</v>
      </c>
      <c r="R211" s="177">
        <f t="shared" si="81"/>
        <v>0.38230022245969009</v>
      </c>
      <c r="S211" s="919">
        <f t="shared" si="82"/>
        <v>-1</v>
      </c>
      <c r="T211" s="176">
        <f t="shared" si="83"/>
        <v>5</v>
      </c>
      <c r="U211" s="251">
        <f t="shared" si="84"/>
        <v>-0.61769977754030991</v>
      </c>
      <c r="V211" s="383">
        <f t="shared" si="85"/>
        <v>50.98608775116697</v>
      </c>
      <c r="W211" s="402">
        <f t="shared" si="86"/>
        <v>49.626009171395665</v>
      </c>
      <c r="X211" s="157">
        <f t="shared" si="87"/>
        <v>46584</v>
      </c>
      <c r="Y211" s="385">
        <f t="shared" si="88"/>
        <v>47.231117272550485</v>
      </c>
      <c r="Z211" s="385">
        <f t="shared" si="89"/>
        <v>50.816962963941705</v>
      </c>
      <c r="AA211" s="386">
        <f t="shared" si="90"/>
        <v>54.089834025044496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6.0508062561023937E-2</v>
      </c>
      <c r="AD211" s="231">
        <f>(INDEX(Models!$BJ211:$BT211,,AH211)*(1-AF211)+INDEX(Models!$BJ211:$BT211,,AH211+1)*AF211-ERP_i)*AE211*Ramure*Pc/MaxiM</f>
        <v>9.8088501524492538E-3</v>
      </c>
      <c r="AE211" s="305">
        <f t="shared" si="92"/>
        <v>0.7</v>
      </c>
      <c r="AF211" s="177">
        <f t="shared" si="93"/>
        <v>0.90728778883366878</v>
      </c>
      <c r="AG211" s="919">
        <f t="shared" si="99"/>
        <v>2</v>
      </c>
      <c r="AH211" s="176">
        <f t="shared" si="94"/>
        <v>8</v>
      </c>
      <c r="AI211" s="225">
        <f t="shared" si="95"/>
        <v>2.9072877888336688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1090">
        <f>IF(t&gt;Tmaj,'2026'!Wh/'2026'!Env_an*'2027'!Env_an,0.001*[9]mois!$B$54)</f>
        <v>49.598560377102274</v>
      </c>
      <c r="C212" s="953"/>
      <c r="D212" s="393">
        <f t="shared" si="77"/>
        <v>53.365314157120146</v>
      </c>
      <c r="E212" s="385">
        <f t="shared" si="75"/>
        <v>54.424767299421966</v>
      </c>
      <c r="F212" s="385">
        <f t="shared" si="78"/>
        <v>54.580439753627019</v>
      </c>
      <c r="G212" s="110">
        <f t="shared" si="76"/>
        <v>0.97464109438852209</v>
      </c>
      <c r="H212" s="412" t="b">
        <f>Wh_hp&gt;='2026'!Maxi_hp</f>
        <v>0</v>
      </c>
      <c r="I212" s="390">
        <f>IF(H212,Wh_hp,'2026'!Maxi_hp)</f>
        <v>57.205914857920881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7.0584308169303722E-2</v>
      </c>
      <c r="M212" s="957"/>
      <c r="N212" s="957"/>
      <c r="O212" s="48">
        <f>IF(t&lt;Tnet,'2026'!Resal+('2026'!Salim-'2026'!Resal)*(1-EXP(('2026'!Tnet-t)/('2026'!Tau_j))),Resal+(Salim-Resal)*(1-EXP((Tnet-t)/(Tau_j))))*Salcycl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2.9589172423684787E-3</v>
      </c>
      <c r="Q212" s="305">
        <f t="shared" si="80"/>
        <v>0.7</v>
      </c>
      <c r="R212" s="177">
        <f t="shared" si="81"/>
        <v>0.38537018052626637</v>
      </c>
      <c r="S212" s="919">
        <f t="shared" si="82"/>
        <v>-1</v>
      </c>
      <c r="T212" s="176">
        <f t="shared" si="83"/>
        <v>5</v>
      </c>
      <c r="U212" s="251">
        <f t="shared" si="84"/>
        <v>-0.61462981947373363</v>
      </c>
      <c r="V212" s="383">
        <f t="shared" si="85"/>
        <v>50.883602991493774</v>
      </c>
      <c r="W212" s="402">
        <f t="shared" si="86"/>
        <v>49.598560377102274</v>
      </c>
      <c r="X212" s="157">
        <f t="shared" si="87"/>
        <v>46585</v>
      </c>
      <c r="Y212" s="385">
        <f t="shared" si="88"/>
        <v>47.210179562153648</v>
      </c>
      <c r="Z212" s="385">
        <f t="shared" si="89"/>
        <v>50.795548189166496</v>
      </c>
      <c r="AA212" s="386">
        <f t="shared" si="90"/>
        <v>54.072572703959494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6.0604190829504197E-2</v>
      </c>
      <c r="AD212" s="231">
        <f>(INDEX(Models!$BJ212:$BT212,,AH212)*(1-AF212)+INDEX(Models!$BJ212:$BT212,,AH212+1)*AF212-ERP_i)*AE212*Ramure*Pc/MaxiM</f>
        <v>9.6531950868624979E-3</v>
      </c>
      <c r="AE212" s="305">
        <f t="shared" si="92"/>
        <v>0.7</v>
      </c>
      <c r="AF212" s="177">
        <f t="shared" si="93"/>
        <v>0.91035774690024507</v>
      </c>
      <c r="AG212" s="919">
        <f t="shared" si="99"/>
        <v>2</v>
      </c>
      <c r="AH212" s="176">
        <f t="shared" si="94"/>
        <v>8</v>
      </c>
      <c r="AI212" s="225">
        <f t="shared" si="95"/>
        <v>2.9103577469002451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1090">
        <f>IF(t&gt;Tmaj,'2026'!Wh/'2026'!Env_an*'2027'!Env_an,0.001*[9]mois!$B$55)</f>
        <v>50.373469766742645</v>
      </c>
      <c r="C213" s="953"/>
      <c r="D213" s="393">
        <f t="shared" si="77"/>
        <v>54.200261026314543</v>
      </c>
      <c r="E213" s="385">
        <f t="shared" si="75"/>
        <v>55.284021520293244</v>
      </c>
      <c r="F213" s="385">
        <f t="shared" si="78"/>
        <v>55.442437154011792</v>
      </c>
      <c r="G213" s="110">
        <f t="shared" si="76"/>
        <v>0.99194317531789977</v>
      </c>
      <c r="H213" s="412" t="b">
        <f>Wh_hp&gt;='2026'!Maxi_hp</f>
        <v>0</v>
      </c>
      <c r="I213" s="390">
        <f>IF(H213,Wh_hp,'2026'!Maxi_hp)</f>
        <v>55.443747072736329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7.0604664758237345E-2</v>
      </c>
      <c r="M213" s="957"/>
      <c r="N213" s="957"/>
      <c r="O213" s="48">
        <f>IF(t&lt;Tnet,'2026'!Resal+('2026'!Salim-'2026'!Resal)*(1-EXP(('2026'!Tnet-t)/('2026'!Tau_j))),Resal+(Salim-Resal)*(1-EXP((Tnet-t)/(Tau_j))))*Salcycl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2.8904312837508546E-3</v>
      </c>
      <c r="Q213" s="305">
        <f t="shared" si="80"/>
        <v>0.7</v>
      </c>
      <c r="R213" s="177">
        <f t="shared" si="81"/>
        <v>0.38836030144255673</v>
      </c>
      <c r="S213" s="919">
        <f t="shared" si="82"/>
        <v>-1</v>
      </c>
      <c r="T213" s="176">
        <f t="shared" si="83"/>
        <v>5</v>
      </c>
      <c r="U213" s="251">
        <f t="shared" si="84"/>
        <v>-0.61163969855744327</v>
      </c>
      <c r="V213" s="383">
        <f t="shared" si="85"/>
        <v>50.780929051027172</v>
      </c>
      <c r="W213" s="402">
        <f t="shared" si="86"/>
        <v>50.373469766742645</v>
      </c>
      <c r="X213" s="157">
        <f t="shared" si="87"/>
        <v>46586</v>
      </c>
      <c r="Y213" s="385">
        <f t="shared" si="88"/>
        <v>47.945876426245412</v>
      </c>
      <c r="Z213" s="385">
        <f t="shared" si="89"/>
        <v>51.588247334782785</v>
      </c>
      <c r="AA213" s="386">
        <f t="shared" si="90"/>
        <v>54.921999503540164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6.0699759638985704E-2</v>
      </c>
      <c r="AD213" s="231">
        <f>(INDEX(Models!$BJ213:$BT213,,AH213)*(1-AF213)+INDEX(Models!$BJ213:$BT213,,AH213+1)*AF213-ERP_i)*AE213*Ramure*Pc/MaxiM</f>
        <v>9.495838452647053E-3</v>
      </c>
      <c r="AE213" s="305">
        <f t="shared" si="92"/>
        <v>0.7</v>
      </c>
      <c r="AF213" s="177">
        <f t="shared" si="93"/>
        <v>0.91334786781653587</v>
      </c>
      <c r="AG213" s="919">
        <f t="shared" si="99"/>
        <v>2</v>
      </c>
      <c r="AH213" s="176">
        <f t="shared" si="94"/>
        <v>8</v>
      </c>
      <c r="AI213" s="225">
        <f t="shared" si="95"/>
        <v>2.9133478678165359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1090">
        <f>IF(t&gt;Tmaj,'2026'!Wh/'2026'!Env_an*'2027'!Env_an,0.001*[9]mois!$B$56)</f>
        <v>34.408924989646749</v>
      </c>
      <c r="C214" s="953"/>
      <c r="D214" s="393">
        <f t="shared" si="77"/>
        <v>37.023726443568108</v>
      </c>
      <c r="E214" s="385">
        <f t="shared" si="75"/>
        <v>37.76930589009563</v>
      </c>
      <c r="F214" s="385">
        <f t="shared" si="78"/>
        <v>37.827080908186616</v>
      </c>
      <c r="G214" s="110">
        <f t="shared" si="76"/>
        <v>0.67808833931283075</v>
      </c>
      <c r="H214" s="412" t="b">
        <f>Wh_hp&gt;='2026'!Maxi_hp</f>
        <v>0</v>
      </c>
      <c r="I214" s="390">
        <f>IF(H214,Wh_hp,'2026'!Maxi_hp)</f>
        <v>57.76277955645417</v>
      </c>
      <c r="J214" s="85">
        <f>IF(H214,An,'2026'!An_max)</f>
        <v>2021</v>
      </c>
      <c r="K214" s="197">
        <f t="shared" si="79"/>
        <v>46587</v>
      </c>
      <c r="L214" s="147">
        <f>IF(t&lt;Tvie,1-EXP((T0-t)*PertePVj)+'2026'!Pspv,1-EXP((T0-t)*PertePVj)+Pspv)</f>
        <v>7.0625020901309399E-2</v>
      </c>
      <c r="M214" s="957"/>
      <c r="N214" s="957"/>
      <c r="O214" s="48">
        <f>IF(t&lt;Tnet,'2026'!Resal+('2026'!Salim-'2026'!Resal)*(1-EXP(('2026'!Tnet-t)/('2026'!Tau_j))),Resal+(Salim-Resal)*(1-EXP((Tnet-t)/(Tau_j))))*Salcycl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2.8211915522476068E-3</v>
      </c>
      <c r="Q214" s="305">
        <f t="shared" si="80"/>
        <v>0.7</v>
      </c>
      <c r="R214" s="177">
        <f t="shared" si="81"/>
        <v>0.39127123270812048</v>
      </c>
      <c r="S214" s="919">
        <f t="shared" si="82"/>
        <v>-1</v>
      </c>
      <c r="T214" s="176">
        <f t="shared" si="83"/>
        <v>5</v>
      </c>
      <c r="U214" s="251">
        <f t="shared" si="84"/>
        <v>-0.60872876729187952</v>
      </c>
      <c r="V214" s="383">
        <f t="shared" si="85"/>
        <v>50.678259809222546</v>
      </c>
      <c r="W214" s="402">
        <f t="shared" si="86"/>
        <v>34.408924989646749</v>
      </c>
      <c r="X214" s="157">
        <f t="shared" si="87"/>
        <v>46587</v>
      </c>
      <c r="Y214" s="385">
        <f t="shared" si="88"/>
        <v>32.851368058980135</v>
      </c>
      <c r="Z214" s="385">
        <f t="shared" si="89"/>
        <v>35.347807717870182</v>
      </c>
      <c r="AA214" s="386">
        <f t="shared" si="90"/>
        <v>37.635872926594324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6.0794795783980539E-2</v>
      </c>
      <c r="AD214" s="231">
        <f>(INDEX(Models!$BJ214:$BT214,,AH214)*(1-AF214)+INDEX(Models!$BJ214:$BT214,,AH214+1)*AF214-ERP_i)*AE214*Ramure*Pc/MaxiM</f>
        <v>9.3368095798939659E-3</v>
      </c>
      <c r="AE214" s="305">
        <f t="shared" si="92"/>
        <v>0.7</v>
      </c>
      <c r="AF214" s="177">
        <f t="shared" si="93"/>
        <v>0.91625879908209962</v>
      </c>
      <c r="AG214" s="919">
        <f t="shared" si="99"/>
        <v>2</v>
      </c>
      <c r="AH214" s="176">
        <f t="shared" si="94"/>
        <v>8</v>
      </c>
      <c r="AI214" s="225">
        <f t="shared" si="95"/>
        <v>2.9162587990820996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1090">
        <f>IF(t&gt;Tmaj,'2026'!Wh/'2026'!Env_an*'2027'!Env_an,0.001*[9]mois!$B$57)</f>
        <v>39.169096455412557</v>
      </c>
      <c r="C215" s="953"/>
      <c r="D215" s="393">
        <f t="shared" si="77"/>
        <v>42.146555759363736</v>
      </c>
      <c r="E215" s="385">
        <f t="shared" si="75"/>
        <v>43.001289632147454</v>
      </c>
      <c r="F215" s="385">
        <f t="shared" si="78"/>
        <v>43.081627864924734</v>
      </c>
      <c r="G215" s="110">
        <f t="shared" si="76"/>
        <v>0.77377558717455475</v>
      </c>
      <c r="H215" s="412" t="b">
        <f>Wh_hp&gt;='2026'!Maxi_hp</f>
        <v>0</v>
      </c>
      <c r="I215" s="390">
        <f>IF(H215,Wh_hp,'2026'!Maxi_hp)</f>
        <v>55.682250887635263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7.0645376598529652E-2</v>
      </c>
      <c r="M215" s="957"/>
      <c r="N215" s="957"/>
      <c r="O215" s="48">
        <f>IF(t&lt;Tnet,'2026'!Resal+('2026'!Salim-'2026'!Resal)*(1-EXP(('2026'!Tnet-t)/('2026'!Tau_j))),Resal+(Salim-Resal)*(1-EXP((Tnet-t)/(Tau_j))))*Salcycl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2.7512212239310008E-3</v>
      </c>
      <c r="Q215" s="305">
        <f t="shared" si="80"/>
        <v>0.7</v>
      </c>
      <c r="R215" s="177">
        <f t="shared" si="81"/>
        <v>0.3941037181435556</v>
      </c>
      <c r="S215" s="919">
        <f t="shared" si="82"/>
        <v>-1</v>
      </c>
      <c r="T215" s="176">
        <f t="shared" si="83"/>
        <v>5</v>
      </c>
      <c r="U215" s="251">
        <f t="shared" si="84"/>
        <v>-0.6058962818564444</v>
      </c>
      <c r="V215" s="383">
        <f t="shared" si="85"/>
        <v>50.575789112708073</v>
      </c>
      <c r="W215" s="402">
        <f t="shared" si="86"/>
        <v>39.169096455412557</v>
      </c>
      <c r="X215" s="157">
        <f t="shared" si="87"/>
        <v>46588</v>
      </c>
      <c r="Y215" s="385">
        <f t="shared" si="88"/>
        <v>37.366357120325446</v>
      </c>
      <c r="Z215" s="385">
        <f t="shared" si="89"/>
        <v>40.206780253121543</v>
      </c>
      <c r="AA215" s="386">
        <f t="shared" si="90"/>
        <v>42.813676107073157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6.0889325350899672E-2</v>
      </c>
      <c r="AD215" s="231">
        <f>(INDEX(Models!$BJ215:$BT215,,AH215)*(1-AF215)+INDEX(Models!$BJ215:$BT215,,AH215+1)*AF215-ERP_i)*AE215*Ramure*Pc/MaxiM</f>
        <v>9.1761361646406289E-3</v>
      </c>
      <c r="AE215" s="305">
        <f t="shared" si="92"/>
        <v>0.7</v>
      </c>
      <c r="AF215" s="177">
        <f t="shared" si="93"/>
        <v>0.91909128451753475</v>
      </c>
      <c r="AG215" s="919">
        <f t="shared" si="99"/>
        <v>2</v>
      </c>
      <c r="AH215" s="176">
        <f t="shared" si="94"/>
        <v>8</v>
      </c>
      <c r="AI215" s="225">
        <f t="shared" si="95"/>
        <v>2.9190912845175347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1090">
        <f>IF(t&gt;Tmaj,'2026'!Wh/'2026'!Env_an*'2027'!Env_an,0.001*[9]mois!$B$58)</f>
        <v>48.885008104210769</v>
      </c>
      <c r="C216" s="953"/>
      <c r="D216" s="393">
        <f t="shared" si="77"/>
        <v>52.602179624259371</v>
      </c>
      <c r="E216" s="385">
        <f t="shared" si="75"/>
        <v>53.676419580475361</v>
      </c>
      <c r="F216" s="385">
        <f t="shared" si="78"/>
        <v>53.814184485358282</v>
      </c>
      <c r="G216" s="110">
        <f t="shared" si="76"/>
        <v>0.96840711770952115</v>
      </c>
      <c r="H216" s="412" t="b">
        <f>Wh_hp&gt;='2026'!Maxi_hp</f>
        <v>0</v>
      </c>
      <c r="I216" s="390">
        <f>IF(H216,Wh_hp,'2026'!Maxi_hp)</f>
        <v>53.818782690026772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7.0665731849907876E-2</v>
      </c>
      <c r="M216" s="957"/>
      <c r="N216" s="957"/>
      <c r="O216" s="48">
        <f>IF(t&lt;Tnet,'2026'!Resal+('2026'!Salim-'2026'!Resal)*(1-EXP(('2026'!Tnet-t)/('2026'!Tau_j))),Resal+(Salim-Resal)*(1-EXP((Tnet-t)/(Tau_j))))*Salcycl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2.6805429450289433E-3</v>
      </c>
      <c r="Q216" s="305">
        <f t="shared" si="80"/>
        <v>0.7</v>
      </c>
      <c r="R216" s="177">
        <f t="shared" si="81"/>
        <v>0.39685859090161557</v>
      </c>
      <c r="S216" s="919">
        <f t="shared" si="82"/>
        <v>-1</v>
      </c>
      <c r="T216" s="176">
        <f t="shared" si="83"/>
        <v>5</v>
      </c>
      <c r="U216" s="251">
        <f t="shared" si="84"/>
        <v>-0.60314140909838443</v>
      </c>
      <c r="V216" s="383">
        <f t="shared" si="85"/>
        <v>50.473710780309496</v>
      </c>
      <c r="W216" s="402">
        <f t="shared" si="86"/>
        <v>48.885008104210769</v>
      </c>
      <c r="X216" s="157">
        <f t="shared" si="87"/>
        <v>46589</v>
      </c>
      <c r="Y216" s="385">
        <f t="shared" si="88"/>
        <v>46.557234329471754</v>
      </c>
      <c r="Z216" s="385">
        <f t="shared" si="89"/>
        <v>50.097404050479419</v>
      </c>
      <c r="AA216" s="386">
        <f t="shared" si="90"/>
        <v>53.350923340065904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6.0983373593145089E-2</v>
      </c>
      <c r="AD216" s="231">
        <f>(INDEX(Models!$BJ216:$BT216,,AH216)*(1-AF216)+INDEX(Models!$BJ216:$BT216,,AH216+1)*AF216-ERP_i)*AE216*Ramure*Pc/MaxiM</f>
        <v>9.0138442426601611E-3</v>
      </c>
      <c r="AE216" s="305">
        <f t="shared" si="92"/>
        <v>0.7</v>
      </c>
      <c r="AF216" s="177">
        <f t="shared" si="93"/>
        <v>0.92184615727559471</v>
      </c>
      <c r="AG216" s="919">
        <f t="shared" si="99"/>
        <v>2</v>
      </c>
      <c r="AH216" s="176">
        <f t="shared" si="94"/>
        <v>8</v>
      </c>
      <c r="AI216" s="225">
        <f t="shared" si="95"/>
        <v>2.9218461572755947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1090">
        <f>IF(t&gt;Tmaj,'2026'!Wh/'2026'!Env_an*'2027'!Env_an,0.001*[9]mois!$B$59)</f>
        <v>37.310462462807934</v>
      </c>
      <c r="C217" s="953"/>
      <c r="D217" s="393">
        <f t="shared" si="77"/>
        <v>40.148395420584826</v>
      </c>
      <c r="E217" s="385">
        <f t="shared" si="75"/>
        <v>40.973993604405059</v>
      </c>
      <c r="F217" s="385">
        <f t="shared" si="78"/>
        <v>41.041410140884054</v>
      </c>
      <c r="G217" s="110">
        <f t="shared" si="76"/>
        <v>0.73997815458987615</v>
      </c>
      <c r="H217" s="412" t="b">
        <f>Wh_hp&gt;='2026'!Maxi_hp</f>
        <v>0</v>
      </c>
      <c r="I217" s="390">
        <f>IF(H217,Wh_hp,'2026'!Maxi_hp)</f>
        <v>54.507643131176636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7.068608665545395E-2</v>
      </c>
      <c r="M217" s="957"/>
      <c r="N217" s="957"/>
      <c r="O217" s="48">
        <f>IF(t&lt;Tnet,'2026'!Resal+('2026'!Salim-'2026'!Resal)*(1-EXP(('2026'!Tnet-t)/('2026'!Tau_j))),Resal+(Salim-Resal)*(1-EXP((Tnet-t)/(Tau_j))))*Salcycl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2.6091788212740069E-3</v>
      </c>
      <c r="Q217" s="305">
        <f t="shared" si="80"/>
        <v>0.7</v>
      </c>
      <c r="R217" s="177">
        <f t="shared" si="81"/>
        <v>0.3995367665588947</v>
      </c>
      <c r="S217" s="919">
        <f t="shared" si="82"/>
        <v>-1</v>
      </c>
      <c r="T217" s="176">
        <f t="shared" si="83"/>
        <v>5</v>
      </c>
      <c r="U217" s="251">
        <f t="shared" si="84"/>
        <v>-0.6004632334411053</v>
      </c>
      <c r="V217" s="383">
        <f t="shared" si="85"/>
        <v>50.372218607491952</v>
      </c>
      <c r="W217" s="402">
        <f t="shared" si="86"/>
        <v>37.310462462807934</v>
      </c>
      <c r="X217" s="157">
        <f t="shared" si="87"/>
        <v>46590</v>
      </c>
      <c r="Y217" s="385">
        <f t="shared" si="88"/>
        <v>35.611331934153363</v>
      </c>
      <c r="Z217" s="385">
        <f t="shared" si="89"/>
        <v>38.320024507101458</v>
      </c>
      <c r="AA217" s="386">
        <f t="shared" si="90"/>
        <v>40.812742973786065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6.1076964816740541E-2</v>
      </c>
      <c r="AD217" s="231">
        <f>(INDEX(Models!$BJ217:$BT217,,AH217)*(1-AF217)+INDEX(Models!$BJ217:$BT217,,AH217+1)*AF217-ERP_i)*AE217*Ramure*Pc/MaxiM</f>
        <v>8.8499581953263469E-3</v>
      </c>
      <c r="AE217" s="305">
        <f t="shared" si="92"/>
        <v>0.7</v>
      </c>
      <c r="AF217" s="177">
        <f t="shared" si="93"/>
        <v>0.92452433293287362</v>
      </c>
      <c r="AG217" s="919">
        <f t="shared" si="99"/>
        <v>2</v>
      </c>
      <c r="AH217" s="176">
        <f t="shared" si="94"/>
        <v>8</v>
      </c>
      <c r="AI217" s="225">
        <f t="shared" si="95"/>
        <v>2.9245243329328736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1090">
        <f>IF(t&gt;Tmaj,'2026'!Wh/'2026'!Env_an*'2027'!Env_an,0.001*[9]mois!$B$60)</f>
        <v>41.625749277150305</v>
      </c>
      <c r="C218" s="953"/>
      <c r="D218" s="393">
        <f t="shared" si="77"/>
        <v>44.792895500774847</v>
      </c>
      <c r="E218" s="385">
        <f t="shared" si="75"/>
        <v>45.720338862882407</v>
      </c>
      <c r="F218" s="385">
        <f t="shared" si="78"/>
        <v>45.808006419542863</v>
      </c>
      <c r="G218" s="110">
        <f t="shared" si="76"/>
        <v>0.8275016062926619</v>
      </c>
      <c r="H218" s="412" t="b">
        <f>Wh_hp&gt;='2026'!Maxi_hp</f>
        <v>0</v>
      </c>
      <c r="I218" s="390">
        <f>IF(H218,Wh_hp,'2026'!Maxi_hp)</f>
        <v>56.297408043792899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7.0706441015177424E-2</v>
      </c>
      <c r="M218" s="957"/>
      <c r="N218" s="957"/>
      <c r="O218" s="48">
        <f>IF(t&lt;Tnet,'2026'!Resal+('2026'!Salim-'2026'!Resal)*(1-EXP(('2026'!Tnet-t)/('2026'!Tau_j))),Resal+(Salim-Resal)*(1-EXP((Tnet-t)/(Tau_j))))*Salcycl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2.5371504209527108E-3</v>
      </c>
      <c r="Q218" s="305">
        <f t="shared" si="80"/>
        <v>0.7</v>
      </c>
      <c r="R218" s="177">
        <f t="shared" si="81"/>
        <v>0.4021392363200269</v>
      </c>
      <c r="S218" s="919">
        <f t="shared" si="82"/>
        <v>-1</v>
      </c>
      <c r="T218" s="176">
        <f t="shared" si="83"/>
        <v>5</v>
      </c>
      <c r="U218" s="251">
        <f t="shared" si="84"/>
        <v>-0.5978607636799731</v>
      </c>
      <c r="V218" s="383">
        <f t="shared" si="85"/>
        <v>50.271506369970155</v>
      </c>
      <c r="W218" s="402">
        <f t="shared" si="86"/>
        <v>41.625749277150305</v>
      </c>
      <c r="X218" s="157">
        <f t="shared" si="87"/>
        <v>46591</v>
      </c>
      <c r="Y218" s="385">
        <f t="shared" si="88"/>
        <v>39.703324500289028</v>
      </c>
      <c r="Z218" s="385">
        <f t="shared" si="89"/>
        <v>42.724200675254515</v>
      </c>
      <c r="AA218" s="386">
        <f t="shared" si="90"/>
        <v>45.507926078022535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6.1170122277059404E-2</v>
      </c>
      <c r="AD218" s="231">
        <f>(INDEX(Models!$BJ218:$BT218,,AH218)*(1-AF218)+INDEX(Models!$BJ218:$BT218,,AH218+1)*AF218-ERP_i)*AE218*Ramure*Pc/MaxiM</f>
        <v>8.6845007869521141E-3</v>
      </c>
      <c r="AE218" s="305">
        <f t="shared" si="92"/>
        <v>0.7</v>
      </c>
      <c r="AF218" s="177">
        <f t="shared" si="93"/>
        <v>0.92712680269400582</v>
      </c>
      <c r="AG218" s="919">
        <f t="shared" si="99"/>
        <v>2</v>
      </c>
      <c r="AH218" s="176">
        <f t="shared" si="94"/>
        <v>8</v>
      </c>
      <c r="AI218" s="225">
        <f t="shared" si="95"/>
        <v>2.9271268026940058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1090">
        <f>IF(t&gt;Tmaj,'2026'!Wh/'2026'!Env_an*'2027'!Env_an,0.001*[9]mois!$B$61)</f>
        <v>49.282842928294293</v>
      </c>
      <c r="C219" s="953"/>
      <c r="D219" s="393">
        <f t="shared" si="77"/>
        <v>53.033750095628314</v>
      </c>
      <c r="E219" s="385">
        <f t="shared" si="75"/>
        <v>54.139313279660513</v>
      </c>
      <c r="F219" s="385">
        <f t="shared" si="78"/>
        <v>54.269676049206339</v>
      </c>
      <c r="G219" s="110">
        <f t="shared" si="76"/>
        <v>0.98222640016171459</v>
      </c>
      <c r="H219" s="412" t="b">
        <f>Wh_hp&gt;='2026'!Maxi_hp</f>
        <v>0</v>
      </c>
      <c r="I219" s="390">
        <f>IF(H219,Wh_hp,'2026'!Maxi_hp)</f>
        <v>54.272063537261069</v>
      </c>
      <c r="J219" s="85">
        <f>IF(H219,An,'2026'!An_max)</f>
        <v>2025</v>
      </c>
      <c r="K219" s="197">
        <f t="shared" si="79"/>
        <v>46592</v>
      </c>
      <c r="L219" s="147">
        <f>IF(t&lt;Tvie,1-EXP((T0-t)*PertePVj)+'2026'!Pspv,1-EXP((T0-t)*PertePVj)+Pspv)</f>
        <v>7.0726794929088288E-2</v>
      </c>
      <c r="M219" s="957"/>
      <c r="N219" s="957"/>
      <c r="O219" s="48">
        <f>IF(t&lt;Tnet,'2026'!Resal+('2026'!Salim-'2026'!Resal)*(1-EXP(('2026'!Tnet-t)/('2026'!Tau_j))),Resal+(Salim-Resal)*(1-EXP((Tnet-t)/(Tau_j))))*Salcycl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2.4644884209341716E-3</v>
      </c>
      <c r="Q219" s="305">
        <f t="shared" si="80"/>
        <v>0.7</v>
      </c>
      <c r="R219" s="177">
        <f t="shared" si="81"/>
        <v>0.40466706036290412</v>
      </c>
      <c r="S219" s="919">
        <f t="shared" si="82"/>
        <v>-1</v>
      </c>
      <c r="T219" s="176">
        <f t="shared" si="83"/>
        <v>5</v>
      </c>
      <c r="U219" s="251">
        <f t="shared" si="84"/>
        <v>-0.59533293963709588</v>
      </c>
      <c r="V219" s="383">
        <f t="shared" si="85"/>
        <v>50.171490276361077</v>
      </c>
      <c r="W219" s="402">
        <f t="shared" si="86"/>
        <v>49.282842928294293</v>
      </c>
      <c r="X219" s="157">
        <f t="shared" si="87"/>
        <v>46592</v>
      </c>
      <c r="Y219" s="385">
        <f t="shared" si="88"/>
        <v>46.948754491866936</v>
      </c>
      <c r="Z219" s="385">
        <f t="shared" si="89"/>
        <v>50.522014662291198</v>
      </c>
      <c r="AA219" s="386">
        <f t="shared" si="90"/>
        <v>53.819128853825312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6.1262868087092179E-2</v>
      </c>
      <c r="AD219" s="231">
        <f>(INDEX(Models!$BJ219:$BT219,,AH219)*(1-AF219)+INDEX(Models!$BJ219:$BT219,,AH219+1)*AF219-ERP_i)*AE219*Ramure*Pc/MaxiM</f>
        <v>8.5175265144284036E-3</v>
      </c>
      <c r="AE219" s="305">
        <f t="shared" si="92"/>
        <v>0.7</v>
      </c>
      <c r="AF219" s="177">
        <f t="shared" si="93"/>
        <v>0.92965462673688304</v>
      </c>
      <c r="AG219" s="919">
        <f t="shared" si="99"/>
        <v>2</v>
      </c>
      <c r="AH219" s="176">
        <f t="shared" si="94"/>
        <v>8</v>
      </c>
      <c r="AI219" s="225">
        <f t="shared" si="95"/>
        <v>2.929654626736883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1090">
        <f>IF(t&gt;Tmaj,'2026'!Wh/'2026'!Env_an*'2027'!Env_an,0.001*[9]mois!$B$62)</f>
        <v>25.332042651997295</v>
      </c>
      <c r="C220" s="953"/>
      <c r="D220" s="393">
        <f t="shared" si="77"/>
        <v>27.260656352362879</v>
      </c>
      <c r="E220" s="385">
        <f t="shared" si="75"/>
        <v>27.83278834425202</v>
      </c>
      <c r="F220" s="385">
        <f t="shared" si="78"/>
        <v>27.852380578447249</v>
      </c>
      <c r="G220" s="110">
        <f t="shared" si="76"/>
        <v>0.50505896234896808</v>
      </c>
      <c r="H220" s="412" t="b">
        <f>Wh_hp&gt;='2026'!Maxi_hp</f>
        <v>0</v>
      </c>
      <c r="I220" s="390">
        <f>IF(H220,Wh_hp,'2026'!Maxi_hp)</f>
        <v>54.530894378058939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7.0747148397196091E-2</v>
      </c>
      <c r="M220" s="957"/>
      <c r="N220" s="957"/>
      <c r="O220" s="48">
        <f>IF(t&lt;Tnet,'2026'!Resal+('2026'!Salim-'2026'!Resal)*(1-EXP(('2026'!Tnet-t)/('2026'!Tau_j))),Resal+(Salim-Resal)*(1-EXP((Tnet-t)/(Tau_j))))*Salcycl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2.3913046121469246E-3</v>
      </c>
      <c r="Q220" s="305">
        <f t="shared" si="80"/>
        <v>0.7</v>
      </c>
      <c r="R220" s="177">
        <f t="shared" si="81"/>
        <v>0.40712136135003907</v>
      </c>
      <c r="S220" s="919">
        <f t="shared" si="82"/>
        <v>-1</v>
      </c>
      <c r="T220" s="176">
        <f t="shared" si="83"/>
        <v>5</v>
      </c>
      <c r="U220" s="251">
        <f t="shared" si="84"/>
        <v>-0.59287863864996093</v>
      </c>
      <c r="V220" s="383">
        <f t="shared" si="85"/>
        <v>50.071886964984735</v>
      </c>
      <c r="W220" s="402">
        <f t="shared" si="86"/>
        <v>25.332042651997295</v>
      </c>
      <c r="X220" s="157">
        <f t="shared" si="87"/>
        <v>46593</v>
      </c>
      <c r="Y220" s="385">
        <f t="shared" si="88"/>
        <v>24.234244558550838</v>
      </c>
      <c r="Z220" s="385">
        <f t="shared" si="89"/>
        <v>26.079279193763966</v>
      </c>
      <c r="AA220" s="386">
        <f t="shared" si="90"/>
        <v>27.78397092981044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6.135522313757702E-2</v>
      </c>
      <c r="AD220" s="231">
        <f>(INDEX(Models!$BJ220:$BT220,,AH220)*(1-AF220)+INDEX(Models!$BJ220:$BT220,,AH220+1)*AF220-ERP_i)*AE220*Ramure*Pc/MaxiM</f>
        <v>8.3496505130789805E-3</v>
      </c>
      <c r="AE220" s="305">
        <f t="shared" si="92"/>
        <v>0.7</v>
      </c>
      <c r="AF220" s="177">
        <f t="shared" si="93"/>
        <v>0.93210892772401799</v>
      </c>
      <c r="AG220" s="919">
        <f t="shared" si="99"/>
        <v>2</v>
      </c>
      <c r="AH220" s="176">
        <f t="shared" si="94"/>
        <v>8</v>
      </c>
      <c r="AI220" s="225">
        <f t="shared" si="95"/>
        <v>2.932108927724018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1090">
        <f>IF(t&gt;Tmaj,'2026'!Wh/'2026'!Env_an*'2027'!Env_an,0.001*[9]mois!$B$63)</f>
        <v>48.157300642587586</v>
      </c>
      <c r="C221" s="953"/>
      <c r="D221" s="393">
        <f t="shared" si="77"/>
        <v>51.82481318308762</v>
      </c>
      <c r="E221" s="385">
        <f t="shared" si="75"/>
        <v>52.919784016894809</v>
      </c>
      <c r="F221" s="385">
        <f t="shared" si="78"/>
        <v>53.036310400858461</v>
      </c>
      <c r="G221" s="110">
        <f t="shared" si="76"/>
        <v>0.96355777138151444</v>
      </c>
      <c r="H221" s="412" t="b">
        <f>Wh_hp&gt;='2026'!Maxi_hp</f>
        <v>0</v>
      </c>
      <c r="I221" s="390">
        <f>IF(H221,Wh_hp,'2026'!Maxi_hp)</f>
        <v>54.739727703954557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7.0767501419510825E-2</v>
      </c>
      <c r="M221" s="957"/>
      <c r="N221" s="957"/>
      <c r="O221" s="48">
        <f>IF(t&lt;Tnet,'2026'!Resal+('2026'!Salim-'2026'!Resal)*(1-EXP(('2026'!Tnet-t)/('2026'!Tau_j))),Resal+(Salim-Resal)*(1-EXP((Tnet-t)/(Tau_j))))*Salcycl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2.3173640037000495E-3</v>
      </c>
      <c r="Q221" s="305">
        <f t="shared" si="80"/>
        <v>0.7</v>
      </c>
      <c r="R221" s="177">
        <f t="shared" si="81"/>
        <v>0.40950331812789798</v>
      </c>
      <c r="S221" s="919">
        <f t="shared" si="82"/>
        <v>-1</v>
      </c>
      <c r="T221" s="176">
        <f t="shared" si="83"/>
        <v>5</v>
      </c>
      <c r="U221" s="251">
        <f t="shared" si="84"/>
        <v>-0.59049668187210202</v>
      </c>
      <c r="V221" s="383">
        <f t="shared" si="85"/>
        <v>49.972609851739136</v>
      </c>
      <c r="W221" s="402">
        <f t="shared" si="86"/>
        <v>48.157300642587586</v>
      </c>
      <c r="X221" s="157">
        <f t="shared" si="87"/>
        <v>46594</v>
      </c>
      <c r="Y221" s="385">
        <f t="shared" si="88"/>
        <v>45.895983433868246</v>
      </c>
      <c r="Z221" s="385">
        <f t="shared" si="89"/>
        <v>49.391280980787592</v>
      </c>
      <c r="AA221" s="386">
        <f t="shared" si="90"/>
        <v>52.624936338902359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6.1447207029195518E-2</v>
      </c>
      <c r="AD221" s="231">
        <f>(INDEX(Models!$BJ221:$BT221,,AH221)*(1-AF221)+INDEX(Models!$BJ221:$BT221,,AH221+1)*AF221-ERP_i)*AE221*Ramure*Pc/MaxiM</f>
        <v>8.1810094058212216E-3</v>
      </c>
      <c r="AE221" s="305">
        <f t="shared" si="92"/>
        <v>0.7</v>
      </c>
      <c r="AF221" s="177">
        <f t="shared" si="93"/>
        <v>0.9344908845018769</v>
      </c>
      <c r="AG221" s="919">
        <f t="shared" si="99"/>
        <v>2</v>
      </c>
      <c r="AH221" s="176">
        <f t="shared" si="94"/>
        <v>8</v>
      </c>
      <c r="AI221" s="225">
        <f t="shared" si="95"/>
        <v>2.9344908845018769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1090">
        <f>IF(t&gt;Tmaj,'2026'!Wh/'2026'!Env_an*'2027'!Env_an,0.001*[9]mois!$B$64)</f>
        <v>52.141107531133912</v>
      </c>
      <c r="C222" s="953"/>
      <c r="D222" s="393">
        <f t="shared" si="77"/>
        <v>56.113243628341273</v>
      </c>
      <c r="E222" s="385">
        <f t="shared" si="75"/>
        <v>57.306714138864983</v>
      </c>
      <c r="F222" s="385">
        <f t="shared" si="78"/>
        <v>57.435524145441825</v>
      </c>
      <c r="G222" s="110">
        <f t="shared" si="76"/>
        <v>1.0454659363283154</v>
      </c>
      <c r="H222" s="412" t="b">
        <f>Wh_hp&gt;='2026'!Maxi_hp</f>
        <v>1</v>
      </c>
      <c r="I222" s="390">
        <f>IF(H222,Wh_hp,'2026'!Maxi_hp)</f>
        <v>57.435524145441825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7.0787853996042038E-2</v>
      </c>
      <c r="M222" s="957"/>
      <c r="N222" s="957"/>
      <c r="O222" s="48">
        <f>IF(t&lt;Tnet,'2026'!Resal+('2026'!Salim-'2026'!Resal)*(1-EXP(('2026'!Tnet-t)/('2026'!Tau_j))),Resal+(Salim-Resal)*(1-EXP((Tnet-t)/(Tau_j))))*Salcycl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2.2426887974532094E-3</v>
      </c>
      <c r="Q222" s="305">
        <f t="shared" si="80"/>
        <v>0.7</v>
      </c>
      <c r="R222" s="177">
        <f t="shared" si="81"/>
        <v>0.41181415963286394</v>
      </c>
      <c r="S222" s="919">
        <f t="shared" si="82"/>
        <v>-1</v>
      </c>
      <c r="T222" s="176">
        <f t="shared" si="83"/>
        <v>5</v>
      </c>
      <c r="U222" s="251">
        <f t="shared" si="84"/>
        <v>-0.58818584036713606</v>
      </c>
      <c r="V222" s="383">
        <f t="shared" si="85"/>
        <v>49.873559452595742</v>
      </c>
      <c r="W222" s="402">
        <f t="shared" si="86"/>
        <v>52.141107531133912</v>
      </c>
      <c r="X222" s="157">
        <f t="shared" si="87"/>
        <v>46595</v>
      </c>
      <c r="Y222" s="385">
        <f t="shared" si="88"/>
        <v>49.684204289208722</v>
      </c>
      <c r="Z222" s="385">
        <f t="shared" si="89"/>
        <v>53.469172247558085</v>
      </c>
      <c r="AA222" s="386">
        <f t="shared" si="90"/>
        <v>56.975370333462756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6.1538838016914357E-2</v>
      </c>
      <c r="AD222" s="231">
        <f>(INDEX(Models!$BJ222:$BT222,,AH222)*(1-AF222)+INDEX(Models!$BJ222:$BT222,,AH222+1)*AF222-ERP_i)*AE222*Ramure*Pc/MaxiM</f>
        <v>8.0116586176499915E-3</v>
      </c>
      <c r="AE222" s="305">
        <f t="shared" si="92"/>
        <v>0.7</v>
      </c>
      <c r="AF222" s="177">
        <f t="shared" si="93"/>
        <v>0.93680172600684264</v>
      </c>
      <c r="AG222" s="919">
        <f t="shared" si="99"/>
        <v>2</v>
      </c>
      <c r="AH222" s="176">
        <f t="shared" si="94"/>
        <v>8</v>
      </c>
      <c r="AI222" s="225">
        <f t="shared" si="95"/>
        <v>2.9368017260068426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1090">
        <f>IF(t&gt;Tmaj,'2026'!Wh/'2026'!Env_an*'2027'!Env_an,0.001*[9]mois!$B$65)</f>
        <v>41.423940864691083</v>
      </c>
      <c r="C223" s="953"/>
      <c r="D223" s="393">
        <f t="shared" si="77"/>
        <v>44.580614183021815</v>
      </c>
      <c r="E223" s="385">
        <f t="shared" si="75"/>
        <v>45.535059250172658</v>
      </c>
      <c r="F223" s="385">
        <f t="shared" si="78"/>
        <v>45.610218482867751</v>
      </c>
      <c r="G223" s="110">
        <f t="shared" si="76"/>
        <v>0.8317968963008171</v>
      </c>
      <c r="H223" s="412" t="b">
        <f>Wh_hp&gt;='2026'!Maxi_hp</f>
        <v>0</v>
      </c>
      <c r="I223" s="390">
        <f>IF(H223,Wh_hp,'2026'!Maxi_hp)</f>
        <v>52.534108463708804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7.0808206126799611E-2</v>
      </c>
      <c r="M223" s="957"/>
      <c r="N223" s="957"/>
      <c r="O223" s="48">
        <f>IF(t&lt;Tnet,'2026'!Resal+('2026'!Salim-'2026'!Resal)*(1-EXP(('2026'!Tnet-t)/('2026'!Tau_j))),Resal+(Salim-Resal)*(1-EXP((Tnet-t)/(Tau_j))))*Salcycl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2.1672996123817292E-3</v>
      </c>
      <c r="Q223" s="305">
        <f t="shared" si="80"/>
        <v>0.7</v>
      </c>
      <c r="R223" s="177">
        <f t="shared" si="81"/>
        <v>0.41405515901944545</v>
      </c>
      <c r="S223" s="919">
        <f t="shared" si="82"/>
        <v>-1</v>
      </c>
      <c r="T223" s="176">
        <f t="shared" si="83"/>
        <v>5</v>
      </c>
      <c r="U223" s="251">
        <f t="shared" si="84"/>
        <v>-0.58594484098055455</v>
      </c>
      <c r="V223" s="383">
        <f t="shared" si="85"/>
        <v>49.774636425273613</v>
      </c>
      <c r="W223" s="402">
        <f t="shared" si="86"/>
        <v>41.423940864691083</v>
      </c>
      <c r="X223" s="157">
        <f t="shared" si="87"/>
        <v>46596</v>
      </c>
      <c r="Y223" s="385">
        <f t="shared" si="88"/>
        <v>39.531606024658032</v>
      </c>
      <c r="Z223" s="385">
        <f t="shared" si="89"/>
        <v>42.544075706777718</v>
      </c>
      <c r="AA223" s="386">
        <f t="shared" si="90"/>
        <v>45.338279927157799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6.1630132966432598E-2</v>
      </c>
      <c r="AD223" s="231">
        <f>(INDEX(Models!$BJ223:$BT223,,AH223)*(1-AF223)+INDEX(Models!$BJ223:$BT223,,AH223+1)*AF223-ERP_i)*AE223*Ramure*Pc/MaxiM</f>
        <v>7.8416490595750194E-3</v>
      </c>
      <c r="AE223" s="305">
        <f t="shared" si="92"/>
        <v>0.7</v>
      </c>
      <c r="AF223" s="177">
        <f t="shared" si="93"/>
        <v>0.93904272539342415</v>
      </c>
      <c r="AG223" s="919">
        <f t="shared" si="99"/>
        <v>2</v>
      </c>
      <c r="AH223" s="176">
        <f t="shared" si="94"/>
        <v>8</v>
      </c>
      <c r="AI223" s="225">
        <f t="shared" si="95"/>
        <v>2.9390427253934241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1090">
        <f>IF(t&gt;Tmaj,'2026'!Wh/'2026'!Env_an*'2027'!Env_an,0.001*[9]mois!$B$66)</f>
        <v>27.592189030994231</v>
      </c>
      <c r="C224" s="953"/>
      <c r="D224" s="393">
        <f t="shared" si="77"/>
        <v>29.695476828274437</v>
      </c>
      <c r="E224" s="385">
        <f t="shared" si="75"/>
        <v>30.335405007493758</v>
      </c>
      <c r="F224" s="385">
        <f t="shared" si="78"/>
        <v>30.358572610567457</v>
      </c>
      <c r="G224" s="110">
        <f t="shared" si="76"/>
        <v>0.55470769934657915</v>
      </c>
      <c r="H224" s="412" t="b">
        <f>Wh_hp&gt;='2026'!Maxi_hp</f>
        <v>0</v>
      </c>
      <c r="I224" s="390">
        <f>IF(H224,Wh_hp,'2026'!Maxi_hp)</f>
        <v>55.721551124095164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7.0828557811793313E-2</v>
      </c>
      <c r="M224" s="957"/>
      <c r="N224" s="957"/>
      <c r="O224" s="48">
        <f>IF(t&lt;Tnet,'2026'!Resal+('2026'!Salim-'2026'!Resal)*(1-EXP(('2026'!Tnet-t)/('2026'!Tau_j))),Resal+(Salim-Resal)*(1-EXP((Tnet-t)/(Tau_j))))*Salcycl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2.0912154996332172E-3</v>
      </c>
      <c r="Q224" s="305">
        <f t="shared" si="80"/>
        <v>0.7</v>
      </c>
      <c r="R224" s="177">
        <f t="shared" si="81"/>
        <v>0.41622762802347879</v>
      </c>
      <c r="S224" s="919">
        <f t="shared" si="82"/>
        <v>-1</v>
      </c>
      <c r="T224" s="176">
        <f t="shared" si="83"/>
        <v>5</v>
      </c>
      <c r="U224" s="251">
        <f t="shared" si="84"/>
        <v>-0.58377237197652121</v>
      </c>
      <c r="V224" s="383">
        <f t="shared" si="85"/>
        <v>49.675741567595566</v>
      </c>
      <c r="W224" s="402">
        <f t="shared" si="86"/>
        <v>27.592189030994231</v>
      </c>
      <c r="X224" s="157">
        <f t="shared" si="87"/>
        <v>46597</v>
      </c>
      <c r="Y224" s="385">
        <f t="shared" si="88"/>
        <v>26.393179339666208</v>
      </c>
      <c r="Z224" s="385">
        <f t="shared" si="89"/>
        <v>28.405069442846894</v>
      </c>
      <c r="AA224" s="386">
        <f t="shared" si="90"/>
        <v>30.273588870566662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6.172110732257536E-2</v>
      </c>
      <c r="AD224" s="231">
        <f>(INDEX(Models!$BJ224:$BT224,,AH224)*(1-AF224)+INDEX(Models!$BJ224:$BT224,,AH224+1)*AF224-ERP_i)*AE224*Ramure*Pc/MaxiM</f>
        <v>7.6710272418395644E-3</v>
      </c>
      <c r="AE224" s="305">
        <f t="shared" si="92"/>
        <v>0.7</v>
      </c>
      <c r="AF224" s="177">
        <f t="shared" si="93"/>
        <v>0.94121519439745782</v>
      </c>
      <c r="AG224" s="919">
        <f t="shared" si="99"/>
        <v>2</v>
      </c>
      <c r="AH224" s="176">
        <f t="shared" si="94"/>
        <v>8</v>
      </c>
      <c r="AI224" s="225">
        <f t="shared" si="95"/>
        <v>2.9412151943974578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1090">
        <f>IF(t&gt;Tmaj,'2026'!Wh/'2026'!Env_an*'2027'!Env_an,0.001*[9]mois!$B$67)</f>
        <v>41.580296767975732</v>
      </c>
      <c r="C225" s="953"/>
      <c r="D225" s="393">
        <f t="shared" si="77"/>
        <v>44.750845339382479</v>
      </c>
      <c r="E225" s="385">
        <f t="shared" si="75"/>
        <v>45.72148063361989</v>
      </c>
      <c r="F225" s="385">
        <f t="shared" si="78"/>
        <v>45.792471833212836</v>
      </c>
      <c r="G225" s="110">
        <f t="shared" si="76"/>
        <v>0.83831523263997476</v>
      </c>
      <c r="H225" s="412" t="b">
        <f>Wh_hp&gt;='2026'!Maxi_hp</f>
        <v>0</v>
      </c>
      <c r="I225" s="390">
        <f>IF(H225,Wh_hp,'2026'!Maxi_hp)</f>
        <v>53.533900381500366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7.0848909051032916E-2</v>
      </c>
      <c r="M225" s="957"/>
      <c r="N225" s="957"/>
      <c r="O225" s="48">
        <f>IF(t&lt;Tnet,'2026'!Resal+('2026'!Salim-'2026'!Resal)*(1-EXP(('2026'!Tnet-t)/('2026'!Tau_j))),Resal+(Salim-Resal)*(1-EXP((Tnet-t)/(Tau_j))))*Salcycl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2.0144539663090873E-3</v>
      </c>
      <c r="Q225" s="305">
        <f t="shared" si="80"/>
        <v>0.7</v>
      </c>
      <c r="R225" s="177">
        <f t="shared" si="81"/>
        <v>0.41833291157036123</v>
      </c>
      <c r="S225" s="919">
        <f t="shared" si="82"/>
        <v>-1</v>
      </c>
      <c r="T225" s="176">
        <f t="shared" si="83"/>
        <v>5</v>
      </c>
      <c r="U225" s="251">
        <f t="shared" si="84"/>
        <v>-0.58166708842963877</v>
      </c>
      <c r="V225" s="383">
        <f t="shared" si="85"/>
        <v>49.57677581539366</v>
      </c>
      <c r="W225" s="402">
        <f t="shared" si="86"/>
        <v>41.580296767975732</v>
      </c>
      <c r="X225" s="157">
        <f t="shared" si="87"/>
        <v>46598</v>
      </c>
      <c r="Y225" s="385">
        <f t="shared" si="88"/>
        <v>39.687753867558435</v>
      </c>
      <c r="Z225" s="385">
        <f t="shared" si="89"/>
        <v>42.713993724125388</v>
      </c>
      <c r="AA225" s="386">
        <f t="shared" si="90"/>
        <v>45.528170776385238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6.1811775089358943E-2</v>
      </c>
      <c r="AD225" s="231">
        <f>(INDEX(Models!$BJ225:$BT225,,AH225)*(1-AF225)+INDEX(Models!$BJ225:$BT225,,AH225+1)*AF225-ERP_i)*AE225*Ramure*Pc/MaxiM</f>
        <v>7.4998354060623468E-3</v>
      </c>
      <c r="AE225" s="305">
        <f t="shared" si="92"/>
        <v>0.7</v>
      </c>
      <c r="AF225" s="177">
        <f t="shared" si="93"/>
        <v>0.94332047794434004</v>
      </c>
      <c r="AG225" s="919">
        <f t="shared" si="99"/>
        <v>2</v>
      </c>
      <c r="AH225" s="176">
        <f t="shared" si="94"/>
        <v>8</v>
      </c>
      <c r="AI225" s="225">
        <f t="shared" si="95"/>
        <v>2.94332047794434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1090">
        <f>IF(t&gt;Tmaj,'2026'!Wh/'2026'!Env_an*'2027'!Env_an,0.001*[9]mois!$B$68)</f>
        <v>49.982388876944228</v>
      </c>
      <c r="C226" s="953"/>
      <c r="D226" s="393">
        <f t="shared" si="77"/>
        <v>53.794785509497459</v>
      </c>
      <c r="E226" s="385">
        <f t="shared" si="75"/>
        <v>54.969107407409119</v>
      </c>
      <c r="F226" s="385">
        <f t="shared" si="78"/>
        <v>55.075837023601309</v>
      </c>
      <c r="G226" s="110">
        <f t="shared" si="76"/>
        <v>1.0102023959132442</v>
      </c>
      <c r="H226" s="412" t="b">
        <f>Wh_hp&gt;='2026'!Maxi_hp</f>
        <v>1</v>
      </c>
      <c r="I226" s="390">
        <f>IF(H226,Wh_hp,'2026'!Maxi_hp)</f>
        <v>55.075837023601309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7.0869259844528076E-2</v>
      </c>
      <c r="M226" s="957"/>
      <c r="N226" s="957"/>
      <c r="O226" s="48">
        <f>IF(t&lt;Tnet,'2026'!Resal+('2026'!Salim-'2026'!Resal)*(1-EXP(('2026'!Tnet-t)/('2026'!Tau_j))),Resal+(Salim-Resal)*(1-EXP((Tnet-t)/(Tau_j))))*Salcycl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1.9378664394416518E-3</v>
      </c>
      <c r="Q226" s="305">
        <f t="shared" si="80"/>
        <v>0.7</v>
      </c>
      <c r="R226" s="177">
        <f t="shared" si="81"/>
        <v>0.42037238263583432</v>
      </c>
      <c r="S226" s="919">
        <f t="shared" si="82"/>
        <v>-1</v>
      </c>
      <c r="T226" s="176">
        <f t="shared" si="83"/>
        <v>5</v>
      </c>
      <c r="U226" s="251">
        <f t="shared" si="84"/>
        <v>-0.57962761736416568</v>
      </c>
      <c r="V226" s="383">
        <f t="shared" si="85"/>
        <v>49.477598824895971</v>
      </c>
      <c r="W226" s="402">
        <f t="shared" si="86"/>
        <v>49.982388876944228</v>
      </c>
      <c r="X226" s="157">
        <f t="shared" si="87"/>
        <v>46599</v>
      </c>
      <c r="Y226" s="385">
        <f t="shared" si="88"/>
        <v>47.653046004384578</v>
      </c>
      <c r="Z226" s="385">
        <f t="shared" si="89"/>
        <v>51.287772479049366</v>
      </c>
      <c r="AA226" s="386">
        <f t="shared" si="90"/>
        <v>54.672092484392337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6.1902148821340965E-2</v>
      </c>
      <c r="AD226" s="231">
        <f>(INDEX(Models!$BJ226:$BT226,,AH226)*(1-AF226)+INDEX(Models!$BJ226:$BT226,,AH226+1)*AF226-ERP_i)*AE226*Ramure*Pc/MaxiM</f>
        <v>7.3307018291153703E-3</v>
      </c>
      <c r="AE226" s="305">
        <f t="shared" si="92"/>
        <v>0.7</v>
      </c>
      <c r="AF226" s="177">
        <f t="shared" si="93"/>
        <v>0.94535994900981324</v>
      </c>
      <c r="AG226" s="919">
        <f t="shared" si="99"/>
        <v>2</v>
      </c>
      <c r="AH226" s="176">
        <f t="shared" si="94"/>
        <v>8</v>
      </c>
      <c r="AI226" s="225">
        <f t="shared" si="95"/>
        <v>2.9453599490098132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1090">
        <f>IF(t&gt;Tmaj,'2026'!Wh/'2026'!Env_an*'2027'!Env_an,0.001*'[10]mon-tableau (1)'!$B$38)</f>
        <v>49.908524328761793</v>
      </c>
      <c r="C227" s="953"/>
      <c r="D227" s="393">
        <f t="shared" si="77"/>
        <v>53.716463486207338</v>
      </c>
      <c r="E227" s="385">
        <f t="shared" si="75"/>
        <v>54.896580670942079</v>
      </c>
      <c r="F227" s="385">
        <f t="shared" si="78"/>
        <v>54.998968794704098</v>
      </c>
      <c r="G227" s="110">
        <f t="shared" si="76"/>
        <v>1.0107420217858487</v>
      </c>
      <c r="H227" s="412" t="b">
        <f>Wh_hp&gt;='2026'!Maxi_hp</f>
        <v>1</v>
      </c>
      <c r="I227" s="390">
        <f>IF(H227,Wh_hp,'2026'!Maxi_hp)</f>
        <v>54.998968794704098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7.0889610192288677E-2</v>
      </c>
      <c r="M227" s="957"/>
      <c r="N227" s="957"/>
      <c r="O227" s="48">
        <f>IF(t&lt;Tnet,'2026'!Resal+('2026'!Salim-'2026'!Resal)*(1-EXP(('2026'!Tnet-t)/('2026'!Tau_j))),Resal+(Salim-Resal)*(1-EXP((Tnet-t)/(Tau_j))))*Salcycl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1.8616371544020033E-3</v>
      </c>
      <c r="Q227" s="305">
        <f t="shared" si="80"/>
        <v>0.7</v>
      </c>
      <c r="R227" s="177">
        <f t="shared" si="81"/>
        <v>0.42234743736450353</v>
      </c>
      <c r="S227" s="919">
        <f t="shared" si="82"/>
        <v>-1</v>
      </c>
      <c r="T227" s="176">
        <f t="shared" si="83"/>
        <v>5</v>
      </c>
      <c r="U227" s="251">
        <f t="shared" si="84"/>
        <v>-0.57765256263549647</v>
      </c>
      <c r="V227" s="383">
        <f t="shared" si="85"/>
        <v>49.378103663464955</v>
      </c>
      <c r="W227" s="402">
        <f t="shared" si="86"/>
        <v>49.908524328761793</v>
      </c>
      <c r="X227" s="157">
        <f t="shared" si="87"/>
        <v>46600</v>
      </c>
      <c r="Y227" s="385">
        <f t="shared" si="88"/>
        <v>47.588919361737247</v>
      </c>
      <c r="Z227" s="385">
        <f t="shared" si="89"/>
        <v>51.21987643641166</v>
      </c>
      <c r="AA227" s="386">
        <f t="shared" si="90"/>
        <v>54.604960214803029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6.1992239625763813E-2</v>
      </c>
      <c r="AD227" s="231">
        <f>(INDEX(Models!$BJ227:$BT227,,AH227)*(1-AF227)+INDEX(Models!$BJ227:$BT227,,AH227+1)*AF227-ERP_i)*AE227*Ramure*Pc/MaxiM</f>
        <v>7.1639266796399365E-3</v>
      </c>
      <c r="AE227" s="305">
        <f t="shared" si="92"/>
        <v>0.7</v>
      </c>
      <c r="AF227" s="177">
        <f t="shared" si="93"/>
        <v>0.94733500373848223</v>
      </c>
      <c r="AG227" s="919">
        <f t="shared" si="99"/>
        <v>2</v>
      </c>
      <c r="AH227" s="176">
        <f t="shared" si="94"/>
        <v>8</v>
      </c>
      <c r="AI227" s="225">
        <f t="shared" si="95"/>
        <v>2.9473350037384822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1090">
        <f>IF(t&gt;Tmaj,'2026'!Wh/'2026'!Env_an*'2027'!Env_an,0.001*'[10]mon-tableau (1)'!$B$39)</f>
        <v>49.954134686661234</v>
      </c>
      <c r="C228" s="953"/>
      <c r="D228" s="393">
        <f t="shared" si="77"/>
        <v>53.766731469570757</v>
      </c>
      <c r="E228" s="385">
        <f t="shared" si="75"/>
        <v>54.955455505807436</v>
      </c>
      <c r="F228" s="385">
        <f t="shared" si="78"/>
        <v>55.053769932764389</v>
      </c>
      <c r="G228" s="110">
        <f t="shared" si="76"/>
        <v>1.0137168832934345</v>
      </c>
      <c r="H228" s="412" t="b">
        <f>Wh_hp&gt;='2026'!Maxi_hp</f>
        <v>1</v>
      </c>
      <c r="I228" s="390">
        <f>IF(H228,Wh_hp,'2026'!Maxi_hp)</f>
        <v>55.053769932764389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7.0909960094324487E-2</v>
      </c>
      <c r="M228" s="957"/>
      <c r="N228" s="957"/>
      <c r="O228" s="48">
        <f>IF(t&lt;Tnet,'2026'!Resal+('2026'!Salim-'2026'!Resal)*(1-EXP(('2026'!Tnet-t)/('2026'!Tau_j))),Resal+(Salim-Resal)*(1-EXP((Tnet-t)/(Tau_j))))*Salcycl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1.7857891853186958E-3</v>
      </c>
      <c r="Q228" s="305">
        <f t="shared" si="80"/>
        <v>0.7</v>
      </c>
      <c r="R228" s="177">
        <f t="shared" si="81"/>
        <v>0.42425949044914035</v>
      </c>
      <c r="S228" s="919">
        <f t="shared" si="82"/>
        <v>-1</v>
      </c>
      <c r="T228" s="176">
        <f t="shared" si="83"/>
        <v>5</v>
      </c>
      <c r="U228" s="251">
        <f t="shared" si="84"/>
        <v>-0.57574050955085965</v>
      </c>
      <c r="V228" s="383">
        <f t="shared" si="85"/>
        <v>49.278191485147943</v>
      </c>
      <c r="W228" s="402">
        <f t="shared" si="86"/>
        <v>49.954134686661234</v>
      </c>
      <c r="X228" s="157">
        <f t="shared" si="87"/>
        <v>46601</v>
      </c>
      <c r="Y228" s="385">
        <f t="shared" si="88"/>
        <v>47.63861809123739</v>
      </c>
      <c r="Z228" s="385">
        <f t="shared" si="89"/>
        <v>51.274490140991965</v>
      </c>
      <c r="AA228" s="386">
        <f t="shared" si="90"/>
        <v>54.668417992461286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6.2082057174900139E-2</v>
      </c>
      <c r="AD228" s="231">
        <f>(INDEX(Models!$BJ228:$BT228,,AH228)*(1-AF228)+INDEX(Models!$BJ228:$BT228,,AH228+1)*AF228-ERP_i)*AE228*Ramure*Pc/MaxiM</f>
        <v>6.9995559027787495E-3</v>
      </c>
      <c r="AE228" s="305">
        <f t="shared" si="92"/>
        <v>0.7</v>
      </c>
      <c r="AF228" s="177">
        <f t="shared" si="93"/>
        <v>0.94924705682311927</v>
      </c>
      <c r="AG228" s="919">
        <f t="shared" si="99"/>
        <v>2</v>
      </c>
      <c r="AH228" s="176">
        <f t="shared" si="94"/>
        <v>8</v>
      </c>
      <c r="AI228" s="225">
        <f t="shared" si="95"/>
        <v>2.9492470568231193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1090">
        <f>IF(t&gt;Tmaj,'2026'!Wh/'2026'!Env_an*'2027'!Env_an,0.001*'[10]mon-tableau (1)'!$B$40)</f>
        <v>48.372067766413032</v>
      </c>
      <c r="C229" s="953"/>
      <c r="D229" s="393">
        <f t="shared" si="77"/>
        <v>52.065058481261339</v>
      </c>
      <c r="E229" s="385">
        <f t="shared" si="75"/>
        <v>53.22341627659528</v>
      </c>
      <c r="F229" s="385">
        <f t="shared" si="78"/>
        <v>53.312464821509437</v>
      </c>
      <c r="G229" s="110">
        <f t="shared" si="76"/>
        <v>0.98357722380381607</v>
      </c>
      <c r="H229" s="412" t="b">
        <f>Wh_hp&gt;='2026'!Maxi_hp</f>
        <v>0</v>
      </c>
      <c r="I229" s="390">
        <f>IF(H229,Wh_hp,'2026'!Maxi_hp)</f>
        <v>53.74274506897126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7.0930309550645054E-2</v>
      </c>
      <c r="M229" s="957"/>
      <c r="N229" s="957"/>
      <c r="O229" s="48">
        <f>IF(t&lt;Tnet,'2026'!Resal+('2026'!Salim-'2026'!Resal)*(1-EXP(('2026'!Tnet-t)/('2026'!Tau_j))),Resal+(Salim-Resal)*(1-EXP((Tnet-t)/(Tau_j))))*Salcycl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1.7103439853334663E-3</v>
      </c>
      <c r="Q229" s="305">
        <f t="shared" si="80"/>
        <v>0.7</v>
      </c>
      <c r="R229" s="177">
        <f t="shared" si="81"/>
        <v>0.4261099707718633</v>
      </c>
      <c r="S229" s="919">
        <f t="shared" si="82"/>
        <v>-1</v>
      </c>
      <c r="T229" s="176">
        <f t="shared" si="83"/>
        <v>5</v>
      </c>
      <c r="U229" s="251">
        <f t="shared" si="84"/>
        <v>-0.5738900292281367</v>
      </c>
      <c r="V229" s="383">
        <f t="shared" si="85"/>
        <v>49.177763588387556</v>
      </c>
      <c r="W229" s="402">
        <f t="shared" si="86"/>
        <v>48.372067766413032</v>
      </c>
      <c r="X229" s="157">
        <f t="shared" si="87"/>
        <v>46602</v>
      </c>
      <c r="Y229" s="385">
        <f t="shared" si="88"/>
        <v>46.141388517920198</v>
      </c>
      <c r="Z229" s="385">
        <f t="shared" si="89"/>
        <v>49.664076863387287</v>
      </c>
      <c r="AA229" s="386">
        <f t="shared" si="90"/>
        <v>52.956465573599054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6.2171609727918742E-2</v>
      </c>
      <c r="AD229" s="231">
        <f>(INDEX(Models!$BJ229:$BT229,,AH229)*(1-AF229)+INDEX(Models!$BJ229:$BT229,,AH229+1)*AF229-ERP_i)*AE229*Ramure*Pc/MaxiM</f>
        <v>6.837631912275953E-3</v>
      </c>
      <c r="AE229" s="305">
        <f t="shared" si="92"/>
        <v>0.7</v>
      </c>
      <c r="AF229" s="177">
        <f t="shared" si="93"/>
        <v>0.95109753714584233</v>
      </c>
      <c r="AG229" s="919">
        <f t="shared" si="99"/>
        <v>2</v>
      </c>
      <c r="AH229" s="176">
        <f t="shared" si="94"/>
        <v>8</v>
      </c>
      <c r="AI229" s="225">
        <f t="shared" si="95"/>
        <v>2.9510975371458423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1090">
        <f>IF(t&gt;Tmaj,'2026'!Wh/'2026'!Env_an*'2027'!Env_an,0.001*'[10]mon-tableau (1)'!$B$41)</f>
        <v>47.847871981112817</v>
      </c>
      <c r="C230" s="953"/>
      <c r="D230" s="393">
        <f t="shared" si="77"/>
        <v>51.501970720968274</v>
      </c>
      <c r="E230" s="385">
        <f t="shared" si="75"/>
        <v>52.654969248692794</v>
      </c>
      <c r="F230" s="385">
        <f t="shared" si="78"/>
        <v>52.738128057865161</v>
      </c>
      <c r="G230" s="110">
        <f t="shared" si="76"/>
        <v>0.97490352375733136</v>
      </c>
      <c r="H230" s="412" t="b">
        <f>Wh_hp&gt;='2026'!Maxi_hp</f>
        <v>0</v>
      </c>
      <c r="I230" s="390">
        <f>IF(H230,Wh_hp,'2026'!Maxi_hp)</f>
        <v>52.740282076679769</v>
      </c>
      <c r="J230" s="85">
        <f>IF(H230,An,'2026'!An_max)</f>
        <v>2025</v>
      </c>
      <c r="K230" s="197">
        <f t="shared" si="79"/>
        <v>46603</v>
      </c>
      <c r="L230" s="147">
        <f>IF(t&lt;Tvie,1-EXP((T0-t)*PertePVj)+'2026'!Pspv,1-EXP((T0-t)*PertePVj)+Pspv)</f>
        <v>7.0950658561260482E-2</v>
      </c>
      <c r="M230" s="957"/>
      <c r="N230" s="957"/>
      <c r="O230" s="48">
        <f>IF(t&lt;Tnet,'2026'!Resal+('2026'!Salim-'2026'!Resal)*(1-EXP(('2026'!Tnet-t)/('2026'!Tau_j))),Resal+(Salim-Resal)*(1-EXP((Tnet-t)/(Tau_j))))*Salcycl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1.6353214747193865E-3</v>
      </c>
      <c r="Q230" s="305">
        <f t="shared" si="80"/>
        <v>0.7</v>
      </c>
      <c r="R230" s="177">
        <f t="shared" si="81"/>
        <v>0.4279003173065401</v>
      </c>
      <c r="S230" s="919">
        <f t="shared" si="82"/>
        <v>-1</v>
      </c>
      <c r="T230" s="176">
        <f t="shared" si="83"/>
        <v>5</v>
      </c>
      <c r="U230" s="251">
        <f t="shared" si="84"/>
        <v>-0.5720996826934599</v>
      </c>
      <c r="V230" s="383">
        <f t="shared" si="85"/>
        <v>49.076721411297662</v>
      </c>
      <c r="W230" s="402">
        <f t="shared" si="86"/>
        <v>47.847871981112817</v>
      </c>
      <c r="X230" s="157">
        <f t="shared" si="87"/>
        <v>46603</v>
      </c>
      <c r="Y230" s="385">
        <f t="shared" si="88"/>
        <v>45.64990865181344</v>
      </c>
      <c r="Z230" s="385">
        <f t="shared" si="89"/>
        <v>49.136150918657684</v>
      </c>
      <c r="AA230" s="386">
        <f t="shared" si="90"/>
        <v>52.398530824527292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6.2260904161505974E-2</v>
      </c>
      <c r="AD230" s="231">
        <f>(INDEX(Models!$BJ230:$BT230,,AH230)*(1-AF230)+INDEX(Models!$BJ230:$BT230,,AH230+1)*AF230-ERP_i)*AE230*Ramure*Pc/MaxiM</f>
        <v>6.6781938553449379E-3</v>
      </c>
      <c r="AE230" s="305">
        <f t="shared" si="92"/>
        <v>0.7</v>
      </c>
      <c r="AF230" s="177">
        <f t="shared" si="93"/>
        <v>0.95288788368051902</v>
      </c>
      <c r="AG230" s="919">
        <f t="shared" si="99"/>
        <v>2</v>
      </c>
      <c r="AH230" s="176">
        <f t="shared" si="94"/>
        <v>8</v>
      </c>
      <c r="AI230" s="225">
        <f t="shared" si="95"/>
        <v>2.952887883680519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1090">
        <f>IF(t&gt;Tmaj,'2026'!Wh/'2026'!Env_an*'2027'!Env_an,0.001*'[10]mon-tableau (1)'!$B$42)</f>
        <v>43.139971784331756</v>
      </c>
      <c r="C231" s="953"/>
      <c r="D231" s="393">
        <f t="shared" si="77"/>
        <v>46.435549498713009</v>
      </c>
      <c r="E231" s="385">
        <f t="shared" si="75"/>
        <v>47.481578955416538</v>
      </c>
      <c r="F231" s="385">
        <f t="shared" si="78"/>
        <v>47.54315194041606</v>
      </c>
      <c r="G231" s="110">
        <f t="shared" si="76"/>
        <v>0.88062330897596353</v>
      </c>
      <c r="H231" s="412" t="b">
        <f>Wh_hp&gt;='2026'!Maxi_hp</f>
        <v>0</v>
      </c>
      <c r="I231" s="390">
        <f>IF(H231,Wh_hp,'2026'!Maxi_hp)</f>
        <v>53.36011340472448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7.0971007126180208E-2</v>
      </c>
      <c r="M231" s="957"/>
      <c r="N231" s="957"/>
      <c r="O231" s="48">
        <f>IF(t&lt;Tnet,'2026'!Resal+('2026'!Salim-'2026'!Resal)*(1-EXP(('2026'!Tnet-t)/('2026'!Tau_j))),Resal+(Salim-Resal)*(1-EXP((Tnet-t)/(Tau_j))))*Salcycl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1.5607401292564152E-3</v>
      </c>
      <c r="Q231" s="305">
        <f t="shared" si="80"/>
        <v>0.7</v>
      </c>
      <c r="R231" s="177">
        <f t="shared" si="81"/>
        <v>0.42963197528018249</v>
      </c>
      <c r="S231" s="919">
        <f t="shared" si="82"/>
        <v>-1</v>
      </c>
      <c r="T231" s="176">
        <f t="shared" si="83"/>
        <v>5</v>
      </c>
      <c r="U231" s="251">
        <f t="shared" si="84"/>
        <v>-0.57036802471981751</v>
      </c>
      <c r="V231" s="383">
        <f t="shared" si="85"/>
        <v>48.974966525541717</v>
      </c>
      <c r="W231" s="402">
        <f t="shared" si="86"/>
        <v>43.139971784331756</v>
      </c>
      <c r="X231" s="157">
        <f t="shared" si="87"/>
        <v>46604</v>
      </c>
      <c r="Y231" s="385">
        <f t="shared" si="88"/>
        <v>41.190923300361646</v>
      </c>
      <c r="Z231" s="385">
        <f t="shared" si="89"/>
        <v>44.337607993205197</v>
      </c>
      <c r="AA231" s="386">
        <f t="shared" si="90"/>
        <v>47.285880062032881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6.2349946008405432E-2</v>
      </c>
      <c r="AD231" s="231">
        <f>(INDEX(Models!$BJ231:$BT231,,AH231)*(1-AF231)+INDEX(Models!$BJ231:$BT231,,AH231+1)*AF231-ERP_i)*AE231*Ramure*Pc/MaxiM</f>
        <v>6.5212778741345059E-3</v>
      </c>
      <c r="AE231" s="305">
        <f t="shared" si="92"/>
        <v>0.7</v>
      </c>
      <c r="AF231" s="177">
        <f t="shared" si="93"/>
        <v>0.95461954165416119</v>
      </c>
      <c r="AG231" s="919">
        <f t="shared" si="99"/>
        <v>2</v>
      </c>
      <c r="AH231" s="176">
        <f t="shared" si="94"/>
        <v>8</v>
      </c>
      <c r="AI231" s="225">
        <f t="shared" si="95"/>
        <v>2.9546195416541612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1090">
        <f>IF(t&gt;Tmaj,'2026'!Wh/'2026'!Env_an*'2027'!Env_an,0.001*'[10]mon-tableau (1)'!$B$43)</f>
        <v>45.604682811523134</v>
      </c>
      <c r="C232" s="953"/>
      <c r="D232" s="393">
        <f t="shared" si="77"/>
        <v>49.089621575664054</v>
      </c>
      <c r="E232" s="385">
        <f t="shared" si="75"/>
        <v>50.202253695611326</v>
      </c>
      <c r="F232" s="385">
        <f t="shared" si="78"/>
        <v>50.269847495669588</v>
      </c>
      <c r="G232" s="110">
        <f t="shared" si="76"/>
        <v>0.93300508534346893</v>
      </c>
      <c r="H232" s="412" t="b">
        <f>Wh_hp&gt;='2026'!Maxi_hp</f>
        <v>0</v>
      </c>
      <c r="I232" s="390">
        <f>IF(H232,Wh_hp,'2026'!Maxi_hp)</f>
        <v>54.203152791652954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7.0991355245414223E-2</v>
      </c>
      <c r="M232" s="957"/>
      <c r="N232" s="957"/>
      <c r="O232" s="48">
        <f>IF(t&lt;Tnet,'2026'!Resal+('2026'!Salim-'2026'!Resal)*(1-EXP(('2026'!Tnet-t)/('2026'!Tau_j))),Resal+(Salim-Resal)*(1-EXP((Tnet-t)/(Tau_j))))*Salcycl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1.4866170678147703E-3</v>
      </c>
      <c r="Q232" s="305">
        <f t="shared" si="80"/>
        <v>0.7</v>
      </c>
      <c r="R232" s="177">
        <f t="shared" si="81"/>
        <v>0.43130639258971404</v>
      </c>
      <c r="S232" s="919">
        <f t="shared" si="82"/>
        <v>-1</v>
      </c>
      <c r="T232" s="176">
        <f t="shared" si="83"/>
        <v>5</v>
      </c>
      <c r="U232" s="251">
        <f t="shared" si="84"/>
        <v>-0.56869360741028596</v>
      </c>
      <c r="V232" s="383">
        <f t="shared" si="85"/>
        <v>48.872400632172067</v>
      </c>
      <c r="W232" s="402">
        <f t="shared" si="86"/>
        <v>45.604682811523134</v>
      </c>
      <c r="X232" s="157">
        <f t="shared" si="87"/>
        <v>46605</v>
      </c>
      <c r="Y232" s="385">
        <f t="shared" si="88"/>
        <v>43.533015157699985</v>
      </c>
      <c r="Z232" s="385">
        <f t="shared" si="89"/>
        <v>46.859644852067021</v>
      </c>
      <c r="AA232" s="386">
        <f t="shared" si="90"/>
        <v>49.980355232708327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6.2438739502976529E-2</v>
      </c>
      <c r="AD232" s="231">
        <f>(INDEX(Models!$BJ232:$BT232,,AH232)*(1-AF232)+INDEX(Models!$BJ232:$BT232,,AH232+1)*AF232-ERP_i)*AE232*Ramure*Pc/MaxiM</f>
        <v>6.3669173614678675E-3</v>
      </c>
      <c r="AE232" s="305">
        <f t="shared" si="92"/>
        <v>0.7</v>
      </c>
      <c r="AF232" s="177">
        <f t="shared" si="93"/>
        <v>0.95629395896369296</v>
      </c>
      <c r="AG232" s="919">
        <f t="shared" si="99"/>
        <v>2</v>
      </c>
      <c r="AH232" s="176">
        <f t="shared" si="94"/>
        <v>8</v>
      </c>
      <c r="AI232" s="225">
        <f t="shared" si="95"/>
        <v>2.956293958963693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1090">
        <f>IF(t&gt;Tmaj,'2026'!Wh/'2026'!Env_an*'2027'!Env_an,0.001*'[10]mon-tableau (1)'!$B$44)</f>
        <v>48.648486743155352</v>
      </c>
      <c r="C233" s="953"/>
      <c r="D233" s="393">
        <f t="shared" si="77"/>
        <v>52.36716855961874</v>
      </c>
      <c r="E233" s="385">
        <f t="shared" ref="E233:E296" si="100">Wh_pvt/(1-Psa)</f>
        <v>53.561349174991079</v>
      </c>
      <c r="F233" s="385">
        <f t="shared" si="78"/>
        <v>53.63686872499116</v>
      </c>
      <c r="G233" s="110">
        <f t="shared" ref="G233:G296" si="101">+Wh_hp/MaxiM</f>
        <v>0.99752401476539987</v>
      </c>
      <c r="H233" s="412" t="b">
        <f>Wh_hp&gt;='2026'!Maxi_hp</f>
        <v>0</v>
      </c>
      <c r="I233" s="390">
        <f>IF(H233,Wh_hp,'2026'!Maxi_hp)</f>
        <v>53.637055471324608</v>
      </c>
      <c r="J233" s="85">
        <f>IF(H233,An,'2026'!An_max)</f>
        <v>2025</v>
      </c>
      <c r="K233" s="197">
        <f t="shared" si="79"/>
        <v>46606</v>
      </c>
      <c r="L233" s="147">
        <f>IF(t&lt;Tvie,1-EXP((T0-t)*PertePVj)+'2026'!Pspv,1-EXP((T0-t)*PertePVj)+Pspv)</f>
        <v>7.1011702918972186E-2</v>
      </c>
      <c r="M233" s="957"/>
      <c r="N233" s="957"/>
      <c r="O233" s="48">
        <f>IF(t&lt;Tnet,'2026'!Resal+('2026'!Salim-'2026'!Resal)*(1-EXP(('2026'!Tnet-t)/('2026'!Tau_j))),Resal+(Salim-Resal)*(1-EXP((Tnet-t)/(Tau_j))))*Salcycl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1.4129661273876608E-3</v>
      </c>
      <c r="Q233" s="305">
        <f t="shared" si="80"/>
        <v>0.7</v>
      </c>
      <c r="R233" s="177">
        <f t="shared" si="81"/>
        <v>0.4329250164692775</v>
      </c>
      <c r="S233" s="919">
        <f t="shared" si="82"/>
        <v>-1</v>
      </c>
      <c r="T233" s="176">
        <f t="shared" si="83"/>
        <v>5</v>
      </c>
      <c r="U233" s="251">
        <f t="shared" si="84"/>
        <v>-0.5670749835307225</v>
      </c>
      <c r="V233" s="383">
        <f t="shared" si="85"/>
        <v>48.768995064962539</v>
      </c>
      <c r="W233" s="402">
        <f t="shared" si="86"/>
        <v>48.648486743155352</v>
      </c>
      <c r="X233" s="157">
        <f t="shared" si="87"/>
        <v>46606</v>
      </c>
      <c r="Y233" s="385">
        <f t="shared" si="88"/>
        <v>46.423113116542176</v>
      </c>
      <c r="Z233" s="385">
        <f t="shared" si="89"/>
        <v>49.971687762276602</v>
      </c>
      <c r="AA233" s="386">
        <f t="shared" si="90"/>
        <v>53.304685142349179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6.2527287632820117E-2</v>
      </c>
      <c r="AD233" s="231">
        <f>(INDEX(Models!$BJ233:$BT233,,AH233)*(1-AF233)+INDEX(Models!$BJ233:$BT233,,AH233+1)*AF233-ERP_i)*AE233*Ramure*Pc/MaxiM</f>
        <v>6.2151343638421255E-3</v>
      </c>
      <c r="AE233" s="305">
        <f t="shared" si="92"/>
        <v>0.7</v>
      </c>
      <c r="AF233" s="177">
        <f t="shared" si="93"/>
        <v>0.95791258284325664</v>
      </c>
      <c r="AG233" s="919">
        <f t="shared" si="99"/>
        <v>2</v>
      </c>
      <c r="AH233" s="176">
        <f t="shared" si="94"/>
        <v>8</v>
      </c>
      <c r="AI233" s="225">
        <f t="shared" si="95"/>
        <v>2.9579125828432566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1090">
        <f>IF(t&gt;Tmaj,'2026'!Wh/'2026'!Env_an*'2027'!Env_an,0.001*'[10]mon-tableau (1)'!$B$45)</f>
        <v>49.24050143967191</v>
      </c>
      <c r="C234" s="953"/>
      <c r="D234" s="393">
        <f t="shared" si="77"/>
        <v>53.005597714599858</v>
      </c>
      <c r="E234" s="385">
        <f t="shared" si="100"/>
        <v>54.221678324446636</v>
      </c>
      <c r="F234" s="385">
        <f t="shared" si="78"/>
        <v>54.294471719651781</v>
      </c>
      <c r="G234" s="110">
        <f t="shared" si="101"/>
        <v>1.0118300277067902</v>
      </c>
      <c r="H234" s="412" t="b">
        <f>Wh_hp&gt;='2026'!Maxi_hp</f>
        <v>1</v>
      </c>
      <c r="I234" s="390">
        <f>IF(H234,Wh_hp,'2026'!Maxi_hp)</f>
        <v>54.294471719651781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7.1032050146863868E-2</v>
      </c>
      <c r="M234" s="957"/>
      <c r="N234" s="957"/>
      <c r="O234" s="48">
        <f>IF(t&lt;Tnet,'2026'!Resal+('2026'!Salim-'2026'!Resal)*(1-EXP(('2026'!Tnet-t)/('2026'!Tau_j))),Resal+(Salim-Resal)*(1-EXP((Tnet-t)/(Tau_j))))*Salcycl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1.3407146786696179E-3</v>
      </c>
      <c r="Q234" s="305">
        <f t="shared" si="80"/>
        <v>0.7</v>
      </c>
      <c r="R234" s="177">
        <f t="shared" si="81"/>
        <v>0.43448929040219908</v>
      </c>
      <c r="S234" s="919">
        <f t="shared" si="82"/>
        <v>-1</v>
      </c>
      <c r="T234" s="176">
        <f t="shared" si="83"/>
        <v>5</v>
      </c>
      <c r="U234" s="251">
        <f t="shared" si="84"/>
        <v>-0.56551070959780092</v>
      </c>
      <c r="V234" s="383">
        <f t="shared" si="85"/>
        <v>48.664795559853552</v>
      </c>
      <c r="W234" s="402">
        <f t="shared" si="86"/>
        <v>49.24050143967191</v>
      </c>
      <c r="X234" s="157">
        <f t="shared" si="87"/>
        <v>46607</v>
      </c>
      <c r="Y234" s="385">
        <f t="shared" si="88"/>
        <v>46.992694983043116</v>
      </c>
      <c r="Z234" s="385">
        <f t="shared" si="89"/>
        <v>50.585916328407627</v>
      </c>
      <c r="AA234" s="386">
        <f t="shared" si="90"/>
        <v>53.964964540947165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6.2615592195480976E-2</v>
      </c>
      <c r="AD234" s="231">
        <f>(INDEX(Models!$BJ234:$BT234,,AH234)*(1-AF234)+INDEX(Models!$BJ234:$BT234,,AH234+1)*AF234-ERP_i)*AE234*Ramure*Pc/MaxiM</f>
        <v>6.0688900410711955E-3</v>
      </c>
      <c r="AE234" s="305">
        <f t="shared" si="92"/>
        <v>0.7</v>
      </c>
      <c r="AF234" s="177">
        <f t="shared" si="93"/>
        <v>0.959476856776178</v>
      </c>
      <c r="AG234" s="919">
        <f t="shared" si="99"/>
        <v>2</v>
      </c>
      <c r="AH234" s="176">
        <f t="shared" si="94"/>
        <v>8</v>
      </c>
      <c r="AI234" s="225">
        <f t="shared" si="95"/>
        <v>2.959476856776178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1090">
        <f>IF(t&gt;Tmaj,'2026'!Wh/'2026'!Env_an*'2027'!Env_an,0.001*'[10]mon-tableau (1)'!$B$46)</f>
        <v>47.440868558596222</v>
      </c>
      <c r="C235" s="953"/>
      <c r="D235" s="393">
        <f t="shared" si="77"/>
        <v>51.069477333023862</v>
      </c>
      <c r="E235" s="385">
        <f t="shared" si="100"/>
        <v>52.248202820274045</v>
      </c>
      <c r="F235" s="385">
        <f t="shared" si="78"/>
        <v>52.312442606081142</v>
      </c>
      <c r="G235" s="110">
        <f t="shared" si="101"/>
        <v>0.97691503591314122</v>
      </c>
      <c r="H235" s="412" t="b">
        <f>Wh_hp&gt;='2026'!Maxi_hp</f>
        <v>0</v>
      </c>
      <c r="I235" s="390">
        <f>IF(H235,Wh_hp,'2026'!Maxi_hp)</f>
        <v>54.505372378920782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7.1052396929099038E-2</v>
      </c>
      <c r="M235" s="957"/>
      <c r="N235" s="957"/>
      <c r="O235" s="48">
        <f>IF(t&lt;Tnet,'2026'!Resal+('2026'!Salim-'2026'!Resal)*(1-EXP(('2026'!Tnet-t)/('2026'!Tau_j))),Resal+(Salim-Resal)*(1-EXP((Tnet-t)/(Tau_j))))*Salcycl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1.2698041195774116E-3</v>
      </c>
      <c r="Q235" s="305">
        <f t="shared" si="80"/>
        <v>0.7</v>
      </c>
      <c r="R235" s="177">
        <f t="shared" si="81"/>
        <v>0.43600065127082743</v>
      </c>
      <c r="S235" s="919">
        <f t="shared" si="82"/>
        <v>-1</v>
      </c>
      <c r="T235" s="176">
        <f t="shared" si="83"/>
        <v>5</v>
      </c>
      <c r="U235" s="251">
        <f t="shared" si="84"/>
        <v>-0.56399934872917257</v>
      </c>
      <c r="V235" s="383">
        <f t="shared" si="85"/>
        <v>48.559886222472144</v>
      </c>
      <c r="W235" s="402">
        <f t="shared" si="86"/>
        <v>47.440868558596222</v>
      </c>
      <c r="X235" s="157">
        <f t="shared" si="87"/>
        <v>46608</v>
      </c>
      <c r="Y235" s="385">
        <f t="shared" si="88"/>
        <v>45.28729485788211</v>
      </c>
      <c r="Z235" s="385">
        <f t="shared" si="89"/>
        <v>48.751183283289663</v>
      </c>
      <c r="AA235" s="386">
        <f t="shared" si="90"/>
        <v>52.012560898180105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6.2703653859207578E-2</v>
      </c>
      <c r="AD235" s="231">
        <f>(INDEX(Models!$BJ235:$BT235,,AH235)*(1-AF235)+INDEX(Models!$BJ235:$BT235,,AH235+1)*AF235-ERP_i)*AE235*Ramure*Pc/MaxiM</f>
        <v>5.9276509610746535E-3</v>
      </c>
      <c r="AE235" s="305">
        <f t="shared" si="92"/>
        <v>0.7</v>
      </c>
      <c r="AF235" s="177">
        <f t="shared" si="93"/>
        <v>0.96098821764480613</v>
      </c>
      <c r="AG235" s="919">
        <f t="shared" si="99"/>
        <v>2</v>
      </c>
      <c r="AH235" s="176">
        <f t="shared" si="94"/>
        <v>8</v>
      </c>
      <c r="AI235" s="225">
        <f t="shared" si="95"/>
        <v>2.9609882176448061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1090">
        <f>IF(t&gt;Tmaj,'2026'!Wh/'2026'!Env_an*'2027'!Env_an,0.001*'[10]mon-tableau (1)'!$B$47)</f>
        <v>46.07830221106142</v>
      </c>
      <c r="C236" s="953"/>
      <c r="D236" s="393">
        <f t="shared" si="77"/>
        <v>49.603778850296479</v>
      </c>
      <c r="E236" s="385">
        <f t="shared" si="100"/>
        <v>50.755527782794871</v>
      </c>
      <c r="F236" s="385">
        <f t="shared" si="78"/>
        <v>50.812242927593815</v>
      </c>
      <c r="G236" s="110">
        <f t="shared" si="101"/>
        <v>0.95088317158381841</v>
      </c>
      <c r="H236" s="412" t="b">
        <f>Wh_hp&gt;='2026'!Maxi_hp</f>
        <v>0</v>
      </c>
      <c r="I236" s="390">
        <f>IF(H236,Wh_hp,'2026'!Maxi_hp)</f>
        <v>52.854099421104479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7.1072743265687466E-2</v>
      </c>
      <c r="M236" s="957"/>
      <c r="N236" s="957"/>
      <c r="O236" s="48">
        <f>IF(t&lt;Tnet,'2026'!Resal+('2026'!Salim-'2026'!Resal)*(1-EXP(('2026'!Tnet-t)/('2026'!Tau_j))),Resal+(Salim-Resal)*(1-EXP((Tnet-t)/(Tau_j))))*Salcycl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1.2002515326695507E-3</v>
      </c>
      <c r="Q236" s="305">
        <f t="shared" si="80"/>
        <v>0.7</v>
      </c>
      <c r="R236" s="177">
        <f t="shared" si="81"/>
        <v>0.43746052673672453</v>
      </c>
      <c r="S236" s="919">
        <f t="shared" si="82"/>
        <v>-1</v>
      </c>
      <c r="T236" s="176">
        <f t="shared" si="83"/>
        <v>5</v>
      </c>
      <c r="U236" s="251">
        <f t="shared" si="84"/>
        <v>-0.56253947326327547</v>
      </c>
      <c r="V236" s="383">
        <f t="shared" si="85"/>
        <v>48.45434745720263</v>
      </c>
      <c r="W236" s="402">
        <f t="shared" si="86"/>
        <v>46.07830221106142</v>
      </c>
      <c r="X236" s="157">
        <f t="shared" si="87"/>
        <v>46609</v>
      </c>
      <c r="Y236" s="385">
        <f t="shared" si="88"/>
        <v>43.998815803959609</v>
      </c>
      <c r="Z236" s="385">
        <f t="shared" si="89"/>
        <v>47.365189776688773</v>
      </c>
      <c r="AA236" s="386">
        <f t="shared" si="90"/>
        <v>50.538581727617043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6.2791472226735576E-2</v>
      </c>
      <c r="AD236" s="231">
        <f>(INDEX(Models!$BJ236:$BT236,,AH236)*(1-AF236)+INDEX(Models!$BJ236:$BT236,,AH236+1)*AF236-ERP_i)*AE236*Ramure*Pc/MaxiM</f>
        <v>5.7914385279054749E-3</v>
      </c>
      <c r="AE236" s="305">
        <f t="shared" si="92"/>
        <v>0.7</v>
      </c>
      <c r="AF236" s="177">
        <f t="shared" si="93"/>
        <v>0.96244809311070334</v>
      </c>
      <c r="AG236" s="919">
        <f t="shared" si="99"/>
        <v>2</v>
      </c>
      <c r="AH236" s="176">
        <f t="shared" si="94"/>
        <v>8</v>
      </c>
      <c r="AI236" s="225">
        <f t="shared" si="95"/>
        <v>2.9624480931107033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1090">
        <f>IF(t&gt;Tmaj,'2026'!Wh/'2026'!Env_an*'2027'!Env_an,0.001*'[10]mon-tableau (1)'!$B$48)</f>
        <v>43.59744723771302</v>
      </c>
      <c r="C237" s="953"/>
      <c r="D237" s="393">
        <f t="shared" si="77"/>
        <v>46.934140255378864</v>
      </c>
      <c r="E237" s="385">
        <f t="shared" si="100"/>
        <v>48.03037887452512</v>
      </c>
      <c r="F237" s="385">
        <f t="shared" si="78"/>
        <v>48.077165616652927</v>
      </c>
      <c r="G237" s="110">
        <f t="shared" si="101"/>
        <v>0.90159423551887385</v>
      </c>
      <c r="H237" s="412" t="b">
        <f>Wh_hp&gt;='2026'!Maxi_hp</f>
        <v>0</v>
      </c>
      <c r="I237" s="390">
        <f>IF(H237,Wh_hp,'2026'!Maxi_hp)</f>
        <v>52.879735063277003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7.1093089156638922E-2</v>
      </c>
      <c r="M237" s="957"/>
      <c r="N237" s="957"/>
      <c r="O237" s="48">
        <f>IF(t&lt;Tnet,'2026'!Resal+('2026'!Salim-'2026'!Resal)*(1-EXP(('2026'!Tnet-t)/('2026'!Tau_j))),Resal+(Salim-Resal)*(1-EXP((Tnet-t)/(Tau_j))))*Salcycl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1.1320739215528949E-3</v>
      </c>
      <c r="Q237" s="305">
        <f t="shared" si="80"/>
        <v>0.7</v>
      </c>
      <c r="R237" s="177">
        <f t="shared" si="81"/>
        <v>0.43887033284306698</v>
      </c>
      <c r="S237" s="919">
        <f t="shared" si="82"/>
        <v>-1</v>
      </c>
      <c r="T237" s="176">
        <f t="shared" si="83"/>
        <v>5</v>
      </c>
      <c r="U237" s="251">
        <f t="shared" si="84"/>
        <v>-0.56112966715693302</v>
      </c>
      <c r="V237" s="383">
        <f t="shared" si="85"/>
        <v>48.348259672588817</v>
      </c>
      <c r="W237" s="402">
        <f t="shared" si="86"/>
        <v>43.59744723771302</v>
      </c>
      <c r="X237" s="157">
        <f t="shared" si="87"/>
        <v>46610</v>
      </c>
      <c r="Y237" s="385">
        <f t="shared" si="88"/>
        <v>41.647447362215637</v>
      </c>
      <c r="Z237" s="385">
        <f t="shared" si="89"/>
        <v>44.834898821458467</v>
      </c>
      <c r="AA237" s="386">
        <f t="shared" si="90"/>
        <v>47.843235844158372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6.2879045901056516E-2</v>
      </c>
      <c r="AD237" s="231">
        <f>(INDEX(Models!$BJ237:$BT237,,AH237)*(1-AF237)+INDEX(Models!$BJ237:$BT237,,AH237+1)*AF237-ERP_i)*AE237*Ramure*Pc/MaxiM</f>
        <v>5.6602743185769399E-3</v>
      </c>
      <c r="AE237" s="305">
        <f t="shared" si="92"/>
        <v>0.7</v>
      </c>
      <c r="AF237" s="177">
        <f t="shared" si="93"/>
        <v>0.96385789921704612</v>
      </c>
      <c r="AG237" s="919">
        <f t="shared" si="99"/>
        <v>2</v>
      </c>
      <c r="AH237" s="176">
        <f t="shared" si="94"/>
        <v>8</v>
      </c>
      <c r="AI237" s="225">
        <f t="shared" si="95"/>
        <v>2.9638578992170461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1090">
        <f>IF(t&gt;Tmaj,'2026'!Wh/'2026'!Env_an*'2027'!Env_an,0.001*'[10]mon-tableau (1)'!$B$49)</f>
        <v>44.959594514391192</v>
      </c>
      <c r="C238" s="953"/>
      <c r="D238" s="393">
        <f t="shared" si="77"/>
        <v>48.401598418129318</v>
      </c>
      <c r="E238" s="385">
        <f t="shared" si="100"/>
        <v>49.538782308601014</v>
      </c>
      <c r="F238" s="385">
        <f t="shared" si="78"/>
        <v>49.58647211492778</v>
      </c>
      <c r="G238" s="110">
        <f t="shared" si="101"/>
        <v>0.93186873505616252</v>
      </c>
      <c r="H238" s="412" t="b">
        <f>Wh_hp&gt;='2026'!Maxi_hp</f>
        <v>0</v>
      </c>
      <c r="I238" s="390">
        <f>IF(H238,Wh_hp,'2026'!Maxi_hp)</f>
        <v>51.227825043986797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7.1113434601963177E-2</v>
      </c>
      <c r="M238" s="957"/>
      <c r="N238" s="957"/>
      <c r="O238" s="48">
        <f>IF(t&lt;Tnet,'2026'!Resal+('2026'!Salim-'2026'!Resal)*(1-EXP(('2026'!Tnet-t)/('2026'!Tau_j))),Resal+(Salim-Resal)*(1-EXP((Tnet-t)/(Tau_j))))*Salcycl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1.0652882581137328E-3</v>
      </c>
      <c r="Q238" s="305">
        <f t="shared" si="80"/>
        <v>0.7</v>
      </c>
      <c r="R238" s="177">
        <f t="shared" si="81"/>
        <v>0.44023147183063305</v>
      </c>
      <c r="S238" s="919">
        <f t="shared" si="82"/>
        <v>-1</v>
      </c>
      <c r="T238" s="176">
        <f t="shared" si="83"/>
        <v>5</v>
      </c>
      <c r="U238" s="251">
        <f t="shared" si="84"/>
        <v>-0.55976852816936695</v>
      </c>
      <c r="V238" s="383">
        <f t="shared" si="85"/>
        <v>48.241703277560866</v>
      </c>
      <c r="W238" s="402">
        <f t="shared" si="86"/>
        <v>44.959594514391192</v>
      </c>
      <c r="X238" s="157">
        <f t="shared" si="87"/>
        <v>46611</v>
      </c>
      <c r="Y238" s="385">
        <f t="shared" si="88"/>
        <v>42.944323448541518</v>
      </c>
      <c r="Z238" s="385">
        <f t="shared" si="89"/>
        <v>46.232042800769179</v>
      </c>
      <c r="AA238" s="386">
        <f t="shared" si="90"/>
        <v>49.338723228843691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6.2966372552144434E-2</v>
      </c>
      <c r="AD238" s="231">
        <f>(INDEX(Models!$BJ238:$BT238,,AH238)*(1-AF238)+INDEX(Models!$BJ238:$BT238,,AH238+1)*AF238-ERP_i)*AE238*Ramure*Pc/MaxiM</f>
        <v>5.5341801452863252E-3</v>
      </c>
      <c r="AE238" s="305">
        <f t="shared" si="92"/>
        <v>0.7</v>
      </c>
      <c r="AF238" s="177">
        <f t="shared" si="93"/>
        <v>0.96521903820461219</v>
      </c>
      <c r="AG238" s="919">
        <f t="shared" si="99"/>
        <v>2</v>
      </c>
      <c r="AH238" s="176">
        <f t="shared" si="94"/>
        <v>8</v>
      </c>
      <c r="AI238" s="225">
        <f t="shared" si="95"/>
        <v>2.9652190382046122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1090">
        <f>IF(t&gt;Tmaj,'2026'!Wh/'2026'!Env_an*'2027'!Env_an,0.001*'[10]mon-tableau (1)'!$B$50)</f>
        <v>35.289803573075886</v>
      </c>
      <c r="C239" s="953"/>
      <c r="D239" s="393">
        <f t="shared" si="77"/>
        <v>37.992342490334501</v>
      </c>
      <c r="E239" s="385">
        <f t="shared" si="100"/>
        <v>38.890192139403396</v>
      </c>
      <c r="F239" s="385">
        <f t="shared" si="78"/>
        <v>38.91426937797651</v>
      </c>
      <c r="G239" s="110">
        <f t="shared" si="101"/>
        <v>0.73286631578928751</v>
      </c>
      <c r="H239" s="412" t="b">
        <f>Wh_hp&gt;='2026'!Maxi_hp</f>
        <v>0</v>
      </c>
      <c r="I239" s="390">
        <f>IF(H239,Wh_hp,'2026'!Maxi_hp)</f>
        <v>48.536022746732414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7.1133779601669889E-2</v>
      </c>
      <c r="M239" s="957"/>
      <c r="N239" s="957"/>
      <c r="O239" s="48">
        <f>IF(t&lt;Tnet,'2026'!Resal+('2026'!Salim-'2026'!Resal)*(1-EXP(('2026'!Tnet-t)/('2026'!Tau_j))),Resal+(Salim-Resal)*(1-EXP((Tnet-t)/(Tau_j))))*Salcycl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9.9991152272460105E-4</v>
      </c>
      <c r="Q239" s="305">
        <f t="shared" si="80"/>
        <v>0.7</v>
      </c>
      <c r="R239" s="177">
        <f t="shared" si="81"/>
        <v>0.44154533015837671</v>
      </c>
      <c r="S239" s="919">
        <f t="shared" si="82"/>
        <v>-1</v>
      </c>
      <c r="T239" s="176">
        <f t="shared" si="83"/>
        <v>5</v>
      </c>
      <c r="U239" s="251">
        <f t="shared" si="84"/>
        <v>-0.55845466984162329</v>
      </c>
      <c r="V239" s="383">
        <f t="shared" si="85"/>
        <v>48.13475867820496</v>
      </c>
      <c r="W239" s="402">
        <f t="shared" si="86"/>
        <v>35.289803573075886</v>
      </c>
      <c r="X239" s="157">
        <f t="shared" si="87"/>
        <v>46612</v>
      </c>
      <c r="Y239" s="385">
        <f t="shared" si="88"/>
        <v>33.75357108400388</v>
      </c>
      <c r="Z239" s="385">
        <f t="shared" si="89"/>
        <v>36.338463325245243</v>
      </c>
      <c r="AA239" s="386">
        <f t="shared" si="90"/>
        <v>38.783923464819352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6.3053448983632826E-2</v>
      </c>
      <c r="AD239" s="231">
        <f>(INDEX(Models!$BJ239:$BT239,,AH239)*(1-AF239)+INDEX(Models!$BJ239:$BT239,,AH239+1)*AF239-ERP_i)*AE239*Ramure*Pc/MaxiM</f>
        <v>5.4131780980667572E-3</v>
      </c>
      <c r="AE239" s="305">
        <f t="shared" si="92"/>
        <v>0.7</v>
      </c>
      <c r="AF239" s="177">
        <f t="shared" si="93"/>
        <v>0.96653289653235586</v>
      </c>
      <c r="AG239" s="919">
        <f t="shared" si="99"/>
        <v>2</v>
      </c>
      <c r="AH239" s="176">
        <f t="shared" si="94"/>
        <v>8</v>
      </c>
      <c r="AI239" s="225">
        <f t="shared" si="95"/>
        <v>2.9665328965323559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1090">
        <f>IF(t&gt;Tmaj,'2026'!Wh/'2026'!Env_an*'2027'!Env_an,0.001*'[10]mon-tableau (1)'!$B$51)</f>
        <v>32.322585048687117</v>
      </c>
      <c r="C240" s="953"/>
      <c r="D240" s="393">
        <f t="shared" si="77"/>
        <v>34.79865270361352</v>
      </c>
      <c r="E240" s="385">
        <f t="shared" si="100"/>
        <v>35.625810755683148</v>
      </c>
      <c r="F240" s="385">
        <f t="shared" si="78"/>
        <v>35.643620020530172</v>
      </c>
      <c r="G240" s="110">
        <f t="shared" si="101"/>
        <v>0.67270774086694074</v>
      </c>
      <c r="H240" s="412" t="b">
        <f>Wh_hp&gt;='2026'!Maxi_hp</f>
        <v>0</v>
      </c>
      <c r="I240" s="390">
        <f>IF(H240,Wh_hp,'2026'!Maxi_hp)</f>
        <v>53.538915966622881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7.1154124155768939E-2</v>
      </c>
      <c r="M240" s="957"/>
      <c r="N240" s="957"/>
      <c r="O240" s="48">
        <f>IF(t&lt;Tnet,'2026'!Resal+('2026'!Salim-'2026'!Resal)*(1-EXP(('2026'!Tnet-t)/('2026'!Tau_j))),Resal+(Salim-Resal)*(1-EXP((Tnet-t)/(Tau_j))))*Salcycl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9.3767055151347035E-4</v>
      </c>
      <c r="Q240" s="305">
        <f t="shared" si="80"/>
        <v>0.7</v>
      </c>
      <c r="R240" s="177">
        <f t="shared" si="81"/>
        <v>0.44281327671932558</v>
      </c>
      <c r="S240" s="919">
        <f t="shared" si="82"/>
        <v>-1</v>
      </c>
      <c r="T240" s="176">
        <f t="shared" si="83"/>
        <v>5</v>
      </c>
      <c r="U240" s="251">
        <f t="shared" si="84"/>
        <v>-0.55718672328067442</v>
      </c>
      <c r="V240" s="383">
        <f t="shared" si="85"/>
        <v>48.027424078060818</v>
      </c>
      <c r="W240" s="402">
        <f t="shared" si="86"/>
        <v>32.322585048687117</v>
      </c>
      <c r="X240" s="157">
        <f t="shared" si="87"/>
        <v>46613</v>
      </c>
      <c r="Y240" s="385">
        <f t="shared" si="88"/>
        <v>30.929388384367599</v>
      </c>
      <c r="Z240" s="385">
        <f t="shared" si="89"/>
        <v>33.298730380059851</v>
      </c>
      <c r="AA240" s="386">
        <f t="shared" si="90"/>
        <v>35.542919987239664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6.3140271198469405E-2</v>
      </c>
      <c r="AD240" s="231">
        <f>(INDEX(Models!$BJ240:$BT240,,AH240)*(1-AF240)+INDEX(Models!$BJ240:$BT240,,AH240+1)*AF240-ERP_i)*AE240*Ramure*Pc/MaxiM</f>
        <v>5.3019288872396498E-3</v>
      </c>
      <c r="AE240" s="305">
        <f t="shared" si="92"/>
        <v>0.7</v>
      </c>
      <c r="AF240" s="177">
        <f t="shared" si="93"/>
        <v>0.9678008430933045</v>
      </c>
      <c r="AG240" s="919">
        <f t="shared" si="99"/>
        <v>2</v>
      </c>
      <c r="AH240" s="176">
        <f t="shared" si="94"/>
        <v>8</v>
      </c>
      <c r="AI240" s="225">
        <f t="shared" si="95"/>
        <v>2.9678008430933045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1090">
        <f>IF(t&gt;Tmaj,'2026'!Wh/'2026'!Env_an*'2027'!Env_an,0.001*'[10]mon-tableau (1)'!$B$52)</f>
        <v>36.654777495390348</v>
      </c>
      <c r="C241" s="953"/>
      <c r="D241" s="393">
        <f t="shared" si="77"/>
        <v>39.463576573839688</v>
      </c>
      <c r="E241" s="385">
        <f t="shared" si="100"/>
        <v>40.407035931397516</v>
      </c>
      <c r="F241" s="385">
        <f t="shared" si="78"/>
        <v>40.430605285793035</v>
      </c>
      <c r="G241" s="110">
        <f t="shared" si="101"/>
        <v>0.76469330210853015</v>
      </c>
      <c r="H241" s="412" t="b">
        <f>Wh_hp&gt;='2026'!Maxi_hp</f>
        <v>0</v>
      </c>
      <c r="I241" s="390">
        <f>IF(H241,Wh_hp,'2026'!Maxi_hp)</f>
        <v>53.803189402990363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7.1174468264269986E-2</v>
      </c>
      <c r="M241" s="957"/>
      <c r="N241" s="957"/>
      <c r="O241" s="48">
        <f>IF(t&lt;Tnet,'2026'!Resal+('2026'!Salim-'2026'!Resal)*(1-EXP(('2026'!Tnet-t)/('2026'!Tau_j))),Resal+(Salim-Resal)*(1-EXP((Tnet-t)/(Tau_j))))*Salcycl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8.7772461161265112E-4</v>
      </c>
      <c r="Q241" s="305">
        <f t="shared" si="80"/>
        <v>0.7</v>
      </c>
      <c r="R241" s="177">
        <f t="shared" si="81"/>
        <v>0.44403666124236585</v>
      </c>
      <c r="S241" s="919">
        <f t="shared" si="82"/>
        <v>-1</v>
      </c>
      <c r="T241" s="176">
        <f t="shared" si="83"/>
        <v>5</v>
      </c>
      <c r="U241" s="251">
        <f t="shared" si="84"/>
        <v>-0.55596333875763415</v>
      </c>
      <c r="V241" s="383">
        <f t="shared" si="85"/>
        <v>47.919821575772836</v>
      </c>
      <c r="W241" s="402">
        <f t="shared" si="86"/>
        <v>36.654777495390348</v>
      </c>
      <c r="X241" s="157">
        <f t="shared" si="87"/>
        <v>46614</v>
      </c>
      <c r="Y241" s="385">
        <f t="shared" si="88"/>
        <v>35.057177781433808</v>
      </c>
      <c r="Z241" s="385">
        <f t="shared" si="89"/>
        <v>37.743555257273329</v>
      </c>
      <c r="AA241" s="386">
        <f t="shared" si="90"/>
        <v>40.291029510459715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6.3226834462620354E-2</v>
      </c>
      <c r="AD241" s="231">
        <f>(INDEX(Models!$BJ241:$BT241,,AH241)*(1-AF241)+INDEX(Models!$BJ241:$BT241,,AH241+1)*AF241-ERP_i)*AE241*Ramure*Pc/MaxiM</f>
        <v>5.1978128521949982E-3</v>
      </c>
      <c r="AE241" s="305">
        <f t="shared" si="92"/>
        <v>0.7</v>
      </c>
      <c r="AF241" s="177">
        <f t="shared" si="93"/>
        <v>0.96902422761634455</v>
      </c>
      <c r="AG241" s="919">
        <f t="shared" si="99"/>
        <v>2</v>
      </c>
      <c r="AH241" s="176">
        <f t="shared" si="94"/>
        <v>8</v>
      </c>
      <c r="AI241" s="225">
        <f t="shared" si="95"/>
        <v>2.9690242276163445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1090">
        <f>IF(t&gt;Tmaj,'2026'!Wh/'2026'!Env_an*'2027'!Env_an,0.001*'[10]mon-tableau (1)'!$B$53)</f>
        <v>33.944923487791094</v>
      </c>
      <c r="C242" s="953"/>
      <c r="D242" s="393">
        <f t="shared" si="77"/>
        <v>36.546871102457558</v>
      </c>
      <c r="E242" s="385">
        <f t="shared" si="100"/>
        <v>37.425610226372044</v>
      </c>
      <c r="F242" s="385">
        <f t="shared" si="78"/>
        <v>37.443594491263084</v>
      </c>
      <c r="G242" s="110">
        <f t="shared" si="101"/>
        <v>0.70972478197439359</v>
      </c>
      <c r="H242" s="412" t="b">
        <f>Wh_hp&gt;='2026'!Maxi_hp</f>
        <v>0</v>
      </c>
      <c r="I242" s="390">
        <f>IF(H242,Wh_hp,'2026'!Maxi_hp)</f>
        <v>53.769916943030935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7.1194811927182911E-2</v>
      </c>
      <c r="M242" s="957"/>
      <c r="N242" s="957"/>
      <c r="O242" s="48">
        <f>IF(t&lt;Tnet,'2026'!Resal+('2026'!Salim-'2026'!Resal)*(1-EXP(('2026'!Tnet-t)/('2026'!Tau_j))),Resal+(Salim-Resal)*(1-EXP((Tnet-t)/(Tau_j))))*Salcycl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8.200969719200635E-4</v>
      </c>
      <c r="Q242" s="305">
        <f t="shared" si="80"/>
        <v>0.7</v>
      </c>
      <c r="R242" s="177">
        <f t="shared" si="81"/>
        <v>0.44521681287038462</v>
      </c>
      <c r="S242" s="919">
        <f t="shared" si="82"/>
        <v>-1</v>
      </c>
      <c r="T242" s="176">
        <f t="shared" si="83"/>
        <v>5</v>
      </c>
      <c r="U242" s="251">
        <f t="shared" si="84"/>
        <v>-0.55478318712961538</v>
      </c>
      <c r="V242" s="383">
        <f t="shared" si="85"/>
        <v>47.812031538585259</v>
      </c>
      <c r="W242" s="402">
        <f t="shared" si="86"/>
        <v>33.944923487791094</v>
      </c>
      <c r="X242" s="157">
        <f t="shared" si="87"/>
        <v>46615</v>
      </c>
      <c r="Y242" s="385">
        <f t="shared" si="88"/>
        <v>32.478595669267634</v>
      </c>
      <c r="Z242" s="385">
        <f t="shared" si="89"/>
        <v>34.968146266126752</v>
      </c>
      <c r="AA242" s="386">
        <f t="shared" si="90"/>
        <v>37.331735408849717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6.3313133365952776E-2</v>
      </c>
      <c r="AD242" s="231">
        <f>(INDEX(Models!$BJ242:$BT242,,AH242)*(1-AF242)+INDEX(Models!$BJ242:$BT242,,AH242+1)*AF242-ERP_i)*AE242*Ramure*Pc/MaxiM</f>
        <v>5.1008643013634985E-3</v>
      </c>
      <c r="AE242" s="305">
        <f t="shared" si="92"/>
        <v>0.7</v>
      </c>
      <c r="AF242" s="177">
        <f t="shared" si="93"/>
        <v>0.97020437924436376</v>
      </c>
      <c r="AG242" s="919">
        <f t="shared" si="99"/>
        <v>2</v>
      </c>
      <c r="AH242" s="176">
        <f t="shared" si="94"/>
        <v>8</v>
      </c>
      <c r="AI242" s="225">
        <f t="shared" si="95"/>
        <v>2.9702043792443638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1090">
        <f>IF(t&gt;Tmaj,'2026'!Wh/'2026'!Env_an*'2027'!Env_an,0.001*'[10]mon-tableau (1)'!$B$54)</f>
        <v>24.777784610955653</v>
      </c>
      <c r="C243" s="953"/>
      <c r="D243" s="393">
        <f t="shared" si="77"/>
        <v>26.677636643404785</v>
      </c>
      <c r="E243" s="385">
        <f t="shared" si="100"/>
        <v>27.322730062224281</v>
      </c>
      <c r="F243" s="385">
        <f t="shared" si="78"/>
        <v>27.329281422816575</v>
      </c>
      <c r="G243" s="110">
        <f t="shared" si="101"/>
        <v>0.51913259173449777</v>
      </c>
      <c r="H243" s="412" t="b">
        <f>Wh_hp&gt;='2026'!Maxi_hp</f>
        <v>0</v>
      </c>
      <c r="I243" s="390">
        <f>IF(H243,Wh_hp,'2026'!Maxi_hp)</f>
        <v>51.890414604753857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7.1215155144517372E-2</v>
      </c>
      <c r="M243" s="957"/>
      <c r="N243" s="957"/>
      <c r="O243" s="48">
        <f>IF(t&lt;Tnet,'2026'!Resal+('2026'!Salim-'2026'!Resal)*(1-EXP(('2026'!Tnet-t)/('2026'!Tau_j))),Resal+(Salim-Resal)*(1-EXP((Tnet-t)/(Tau_j))))*Salcycl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7.6481083867929495E-4</v>
      </c>
      <c r="Q243" s="305">
        <f t="shared" si="80"/>
        <v>0.7</v>
      </c>
      <c r="R243" s="177">
        <f t="shared" si="81"/>
        <v>0.44635503890523731</v>
      </c>
      <c r="S243" s="919">
        <f t="shared" si="82"/>
        <v>-1</v>
      </c>
      <c r="T243" s="176">
        <f t="shared" si="83"/>
        <v>5</v>
      </c>
      <c r="U243" s="251">
        <f t="shared" si="84"/>
        <v>-0.55364496109476269</v>
      </c>
      <c r="V243" s="383">
        <f t="shared" si="85"/>
        <v>47.704134328179201</v>
      </c>
      <c r="W243" s="402">
        <f t="shared" si="86"/>
        <v>24.777784610955653</v>
      </c>
      <c r="X243" s="157">
        <f t="shared" si="87"/>
        <v>46616</v>
      </c>
      <c r="Y243" s="385">
        <f t="shared" si="88"/>
        <v>23.736419422291849</v>
      </c>
      <c r="Z243" s="385">
        <f t="shared" si="89"/>
        <v>25.556424131775316</v>
      </c>
      <c r="AA243" s="386">
        <f t="shared" si="90"/>
        <v>27.286356248687291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6.3399161879490532E-2</v>
      </c>
      <c r="AD243" s="231">
        <f>(INDEX(Models!$BJ243:$BT243,,AH243)*(1-AF243)+INDEX(Models!$BJ243:$BT243,,AH243+1)*AF243-ERP_i)*AE243*Ramure*Pc/MaxiM</f>
        <v>5.0111176088965545E-3</v>
      </c>
      <c r="AE243" s="305">
        <f t="shared" si="92"/>
        <v>0.7</v>
      </c>
      <c r="AF243" s="177">
        <f t="shared" si="93"/>
        <v>0.97134260527921601</v>
      </c>
      <c r="AG243" s="919">
        <f t="shared" si="99"/>
        <v>2</v>
      </c>
      <c r="AH243" s="176">
        <f t="shared" si="94"/>
        <v>8</v>
      </c>
      <c r="AI243" s="225">
        <f t="shared" si="95"/>
        <v>2.971342605279216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1090">
        <f>IF(t&gt;Tmaj,'2026'!Wh/'2026'!Env_an*'2027'!Env_an,0.001*'[10]mon-tableau (1)'!$B$55)</f>
        <v>32.965017270013242</v>
      </c>
      <c r="C244" s="953"/>
      <c r="D244" s="393">
        <f t="shared" si="77"/>
        <v>35.493407851026852</v>
      </c>
      <c r="E244" s="385">
        <f t="shared" si="100"/>
        <v>36.356527690881535</v>
      </c>
      <c r="F244" s="385">
        <f t="shared" si="78"/>
        <v>36.371049403444417</v>
      </c>
      <c r="G244" s="110">
        <f t="shared" si="101"/>
        <v>0.69238091233311072</v>
      </c>
      <c r="H244" s="412" t="b">
        <f>Wh_hp&gt;='2026'!Maxi_hp</f>
        <v>0</v>
      </c>
      <c r="I244" s="390">
        <f>IF(H244,Wh_hp,'2026'!Maxi_hp)</f>
        <v>49.183966953911138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7.1235497916283141E-2</v>
      </c>
      <c r="M244" s="957"/>
      <c r="N244" s="957"/>
      <c r="O244" s="48">
        <f>IF(t&lt;Tnet,'2026'!Resal+('2026'!Salim-'2026'!Resal)*(1-EXP(('2026'!Tnet-t)/('2026'!Tau_j))),Resal+(Salim-Resal)*(1-EXP((Tnet-t)/(Tau_j))))*Salcycl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7.1188934249166735E-4</v>
      </c>
      <c r="Q244" s="305">
        <f t="shared" si="80"/>
        <v>0.7</v>
      </c>
      <c r="R244" s="177">
        <f t="shared" si="81"/>
        <v>0.4474526237100509</v>
      </c>
      <c r="S244" s="919">
        <f t="shared" si="82"/>
        <v>-1</v>
      </c>
      <c r="T244" s="176">
        <f t="shared" si="83"/>
        <v>5</v>
      </c>
      <c r="U244" s="251">
        <f t="shared" si="84"/>
        <v>-0.5525473762899491</v>
      </c>
      <c r="V244" s="383">
        <f t="shared" si="85"/>
        <v>47.596210298339756</v>
      </c>
      <c r="W244" s="402">
        <f t="shared" si="86"/>
        <v>32.965017270013242</v>
      </c>
      <c r="X244" s="157">
        <f t="shared" si="87"/>
        <v>46617</v>
      </c>
      <c r="Y244" s="385">
        <f t="shared" si="88"/>
        <v>31.548162342853281</v>
      </c>
      <c r="Z244" s="385">
        <f t="shared" si="89"/>
        <v>33.967881278918213</v>
      </c>
      <c r="AA244" s="386">
        <f t="shared" si="90"/>
        <v>36.27051156489059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6.3484913408315163E-2</v>
      </c>
      <c r="AD244" s="231">
        <f>(INDEX(Models!$BJ244:$BT244,,AH244)*(1-AF244)+INDEX(Models!$BJ244:$BT244,,AH244+1)*AF244-ERP_i)*AE244*Ramure*Pc/MaxiM</f>
        <v>4.9286071097820522E-3</v>
      </c>
      <c r="AE244" s="305">
        <f t="shared" si="92"/>
        <v>0.7</v>
      </c>
      <c r="AF244" s="177">
        <f t="shared" si="93"/>
        <v>0.9724401900840296</v>
      </c>
      <c r="AG244" s="919">
        <f t="shared" si="99"/>
        <v>2</v>
      </c>
      <c r="AH244" s="176">
        <f t="shared" si="94"/>
        <v>8</v>
      </c>
      <c r="AI244" s="225">
        <f t="shared" si="95"/>
        <v>2.9724401900840296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1090">
        <f>IF(t&gt;Tmaj,'2026'!Wh/'2026'!Env_an*'2027'!Env_an,0.001*'[10]mon-tableau (1)'!$B$56)</f>
        <v>33.636970253061072</v>
      </c>
      <c r="C245" s="953"/>
      <c r="D245" s="393">
        <f t="shared" si="77"/>
        <v>36.2176923533425</v>
      </c>
      <c r="E245" s="385">
        <f t="shared" si="100"/>
        <v>37.103368830720989</v>
      </c>
      <c r="F245" s="385">
        <f t="shared" si="78"/>
        <v>37.117688044412034</v>
      </c>
      <c r="G245" s="110">
        <f t="shared" si="101"/>
        <v>0.70812534724845155</v>
      </c>
      <c r="H245" s="412" t="b">
        <f>Wh_hp&gt;='2026'!Maxi_hp</f>
        <v>0</v>
      </c>
      <c r="I245" s="390">
        <f>IF(H245,Wh_hp,'2026'!Maxi_hp)</f>
        <v>49.967163493960541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7.1255840242490098E-2</v>
      </c>
      <c r="M245" s="957"/>
      <c r="N245" s="957"/>
      <c r="O245" s="48">
        <f>IF(t&lt;Tnet,'2026'!Resal+('2026'!Salim-'2026'!Resal)*(1-EXP(('2026'!Tnet-t)/('2026'!Tau_j))),Resal+(Salim-Resal)*(1-EXP((Tnet-t)/(Tau_j))))*Salcycl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6.6135551805063405E-4</v>
      </c>
      <c r="Q245" s="305">
        <f t="shared" si="80"/>
        <v>0.7</v>
      </c>
      <c r="R245" s="177">
        <f t="shared" si="81"/>
        <v>0.44851082775949025</v>
      </c>
      <c r="S245" s="919">
        <f t="shared" si="82"/>
        <v>-1</v>
      </c>
      <c r="T245" s="176">
        <f t="shared" si="83"/>
        <v>5</v>
      </c>
      <c r="U245" s="251">
        <f t="shared" si="84"/>
        <v>-0.55148917224050975</v>
      </c>
      <c r="V245" s="383">
        <f t="shared" si="85"/>
        <v>47.488339793711269</v>
      </c>
      <c r="W245" s="402">
        <f t="shared" si="86"/>
        <v>33.636970253061072</v>
      </c>
      <c r="X245" s="157">
        <f t="shared" si="87"/>
        <v>46618</v>
      </c>
      <c r="Y245" s="385">
        <f t="shared" si="88"/>
        <v>32.189994707406207</v>
      </c>
      <c r="Z245" s="385">
        <f t="shared" si="89"/>
        <v>34.659700811266305</v>
      </c>
      <c r="AA245" s="386">
        <f t="shared" si="90"/>
        <v>37.012606288913886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6.3570380839469115E-2</v>
      </c>
      <c r="AD245" s="231">
        <f>(INDEX(Models!$BJ245:$BT245,,AH245)*(1-AF245)+INDEX(Models!$BJ245:$BT245,,AH245+1)*AF245-ERP_i)*AE245*Ramure*Pc/MaxiM</f>
        <v>4.8533669756327495E-3</v>
      </c>
      <c r="AE245" s="305">
        <f t="shared" si="92"/>
        <v>0.7</v>
      </c>
      <c r="AF245" s="177">
        <f t="shared" si="93"/>
        <v>0.97349839413346917</v>
      </c>
      <c r="AG245" s="919">
        <f t="shared" si="99"/>
        <v>2</v>
      </c>
      <c r="AH245" s="176">
        <f t="shared" si="94"/>
        <v>8</v>
      </c>
      <c r="AI245" s="225">
        <f t="shared" si="95"/>
        <v>2.9734983941334692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1090">
        <f>IF(t&gt;Tmaj,'2026'!Wh/'2026'!Env_an*'2027'!Env_an,0.001*'[10]mon-tableau (1)'!$B$57)</f>
        <v>47.441986207003389</v>
      </c>
      <c r="C246" s="953"/>
      <c r="D246" s="393">
        <f t="shared" si="77"/>
        <v>51.082986452808022</v>
      </c>
      <c r="E246" s="385">
        <f t="shared" si="100"/>
        <v>52.339145078604801</v>
      </c>
      <c r="F246" s="385">
        <f t="shared" si="78"/>
        <v>52.371260826132854</v>
      </c>
      <c r="G246" s="110">
        <f t="shared" si="101"/>
        <v>1.0012955313911676</v>
      </c>
      <c r="H246" s="412" t="b">
        <f>Wh_hp&gt;='2026'!Maxi_hp</f>
        <v>0</v>
      </c>
      <c r="I246" s="390">
        <f>IF(H246,Wh_hp,'2026'!Maxi_hp)</f>
        <v>52.544338316202321</v>
      </c>
      <c r="J246" s="85">
        <f>IF(H246,An,'2026'!An_max)</f>
        <v>2021</v>
      </c>
      <c r="K246" s="197">
        <f t="shared" si="79"/>
        <v>46619</v>
      </c>
      <c r="L246" s="147">
        <f>IF(t&lt;Tvie,1-EXP((T0-t)*PertePVj)+'2026'!Pspv,1-EXP((T0-t)*PertePVj)+Pspv)</f>
        <v>7.1276182123147791E-2</v>
      </c>
      <c r="M246" s="957"/>
      <c r="N246" s="957"/>
      <c r="O246" s="48">
        <f>IF(t&lt;Tnet,'2026'!Resal+('2026'!Salim-'2026'!Resal)*(1-EXP(('2026'!Tnet-t)/('2026'!Tau_j))),Resal+(Salim-Resal)*(1-EXP((Tnet-t)/(Tau_j))))*Salcycl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6.1323227704353461E-4</v>
      </c>
      <c r="Q246" s="305">
        <f t="shared" si="80"/>
        <v>0.7</v>
      </c>
      <c r="R246" s="177">
        <f t="shared" si="81"/>
        <v>0.44953088682877551</v>
      </c>
      <c r="S246" s="919">
        <f t="shared" si="82"/>
        <v>-1</v>
      </c>
      <c r="T246" s="176">
        <f t="shared" si="83"/>
        <v>5</v>
      </c>
      <c r="U246" s="251">
        <f t="shared" si="84"/>
        <v>-0.55046911317122449</v>
      </c>
      <c r="V246" s="383">
        <f t="shared" si="85"/>
        <v>47.380603148292316</v>
      </c>
      <c r="W246" s="402">
        <f t="shared" si="86"/>
        <v>47.441986207003389</v>
      </c>
      <c r="X246" s="157">
        <f t="shared" si="87"/>
        <v>46619</v>
      </c>
      <c r="Y246" s="385">
        <f t="shared" si="88"/>
        <v>45.324390820162044</v>
      </c>
      <c r="Z246" s="385">
        <f t="shared" si="89"/>
        <v>48.802873306057506</v>
      </c>
      <c r="AA246" s="386">
        <f t="shared" si="90"/>
        <v>52.120641767285576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6.3655556584311324E-2</v>
      </c>
      <c r="AD246" s="231">
        <f>(INDEX(Models!$BJ246:$BT246,,AH246)*(1-AF246)+INDEX(Models!$BJ246:$BT246,,AH246+1)*AF246-ERP_i)*AE246*Ramure*Pc/MaxiM</f>
        <v>4.7854310721925034E-3</v>
      </c>
      <c r="AE246" s="305">
        <f t="shared" si="92"/>
        <v>0.7</v>
      </c>
      <c r="AF246" s="177">
        <f t="shared" si="93"/>
        <v>0.97451845320275421</v>
      </c>
      <c r="AG246" s="919">
        <f t="shared" si="99"/>
        <v>2</v>
      </c>
      <c r="AH246" s="176">
        <f t="shared" si="94"/>
        <v>8</v>
      </c>
      <c r="AI246" s="225">
        <f t="shared" si="95"/>
        <v>2.9745184532027542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1090">
        <f>IF(t&gt;Tmaj,'2026'!Wh/'2026'!Env_an*'2027'!Env_an,0.001*'[10]mon-tableau (1)'!$B$58)</f>
        <v>31.526406904544103</v>
      </c>
      <c r="C247" s="953"/>
      <c r="D247" s="393">
        <f t="shared" si="77"/>
        <v>33.946687725704933</v>
      </c>
      <c r="E247" s="385">
        <f t="shared" si="100"/>
        <v>34.786075331595086</v>
      </c>
      <c r="F247" s="385">
        <f t="shared" si="78"/>
        <v>34.796425850592506</v>
      </c>
      <c r="G247" s="110">
        <f t="shared" si="101"/>
        <v>0.66670859684822725</v>
      </c>
      <c r="H247" s="412" t="b">
        <f>Wh_hp&gt;='2026'!Maxi_hp</f>
        <v>0</v>
      </c>
      <c r="I247" s="390">
        <f>IF(H247,Wh_hp,'2026'!Maxi_hp)</f>
        <v>51.773522913939907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7.1296523558266212E-2</v>
      </c>
      <c r="M247" s="957"/>
      <c r="N247" s="957"/>
      <c r="O247" s="48">
        <f>IF(t&lt;Tnet,'2026'!Resal+('2026'!Salim-'2026'!Resal)*(1-EXP(('2026'!Tnet-t)/('2026'!Tau_j))),Resal+(Salim-Resal)*(1-EXP((Tnet-t)/(Tau_j))))*Salcycl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5.6753300507239536E-4</v>
      </c>
      <c r="Q247" s="305">
        <f t="shared" si="80"/>
        <v>0.7</v>
      </c>
      <c r="R247" s="177">
        <f t="shared" si="81"/>
        <v>0.45051401131243973</v>
      </c>
      <c r="S247" s="919">
        <f t="shared" si="82"/>
        <v>-1</v>
      </c>
      <c r="T247" s="176">
        <f t="shared" si="83"/>
        <v>5</v>
      </c>
      <c r="U247" s="251">
        <f t="shared" si="84"/>
        <v>-0.54948598868756027</v>
      </c>
      <c r="V247" s="383">
        <f t="shared" si="85"/>
        <v>47.273861571942497</v>
      </c>
      <c r="W247" s="402">
        <f t="shared" si="86"/>
        <v>31.526406904544103</v>
      </c>
      <c r="X247" s="157">
        <f t="shared" si="87"/>
        <v>46620</v>
      </c>
      <c r="Y247" s="385">
        <f t="shared" si="88"/>
        <v>30.180829315672899</v>
      </c>
      <c r="Z247" s="385">
        <f t="shared" si="89"/>
        <v>32.497810206664411</v>
      </c>
      <c r="AA247" s="386">
        <f t="shared" si="90"/>
        <v>34.710257004291464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6.3740432614875622E-2</v>
      </c>
      <c r="AD247" s="231">
        <f>(INDEX(Models!$BJ247:$BT247,,AH247)*(1-AF247)+INDEX(Models!$BJ247:$BT247,,AH247+1)*AF247-ERP_i)*AE247*Ramure*Pc/MaxiM</f>
        <v>4.7247547970335306E-3</v>
      </c>
      <c r="AE247" s="305">
        <f t="shared" si="92"/>
        <v>0.7</v>
      </c>
      <c r="AF247" s="177">
        <f t="shared" si="93"/>
        <v>0.97550157768641865</v>
      </c>
      <c r="AG247" s="919">
        <f t="shared" si="99"/>
        <v>2</v>
      </c>
      <c r="AH247" s="176">
        <f t="shared" si="94"/>
        <v>8</v>
      </c>
      <c r="AI247" s="225">
        <f t="shared" si="95"/>
        <v>2.9755015776864187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1090">
        <f>IF(t&gt;Tmaj,'2026'!Wh/'2026'!Env_an*'2027'!Env_an,0.001*'[10]mon-tableau (1)'!$B$59)</f>
        <v>22.568590834284134</v>
      </c>
      <c r="C248" s="953"/>
      <c r="D248" s="393">
        <f t="shared" si="77"/>
        <v>24.301712793886619</v>
      </c>
      <c r="E248" s="385">
        <f t="shared" si="100"/>
        <v>24.905914813952577</v>
      </c>
      <c r="F248" s="385">
        <f t="shared" si="78"/>
        <v>24.909255483771794</v>
      </c>
      <c r="G248" s="110">
        <f t="shared" si="101"/>
        <v>0.47827950625897819</v>
      </c>
      <c r="H248" s="412" t="b">
        <f>Wh_hp&gt;='2026'!Maxi_hp</f>
        <v>0</v>
      </c>
      <c r="I248" s="390">
        <f>IF(H248,Wh_hp,'2026'!Maxi_hp)</f>
        <v>53.717329476513434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7.1316864547854908E-2</v>
      </c>
      <c r="M248" s="957"/>
      <c r="N248" s="957"/>
      <c r="O248" s="48">
        <f>IF(t&lt;Tnet,'2026'!Resal+('2026'!Salim-'2026'!Resal)*(1-EXP(('2026'!Tnet-t)/('2026'!Tau_j))),Resal+(Salim-Resal)*(1-EXP((Tnet-t)/(Tau_j))))*Salcycl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5.2603276646284844E-4</v>
      </c>
      <c r="Q248" s="305">
        <f t="shared" si="80"/>
        <v>0.7</v>
      </c>
      <c r="R248" s="177">
        <f t="shared" si="81"/>
        <v>0.45146138566405813</v>
      </c>
      <c r="S248" s="919">
        <f t="shared" si="82"/>
        <v>-1</v>
      </c>
      <c r="T248" s="176">
        <f t="shared" si="83"/>
        <v>5</v>
      </c>
      <c r="U248" s="251">
        <f t="shared" si="84"/>
        <v>-0.54853861433594187</v>
      </c>
      <c r="V248" s="383">
        <f t="shared" si="85"/>
        <v>47.168536994058769</v>
      </c>
      <c r="W248" s="402">
        <f t="shared" si="86"/>
        <v>22.568590834284134</v>
      </c>
      <c r="X248" s="157">
        <f t="shared" si="87"/>
        <v>46621</v>
      </c>
      <c r="Y248" s="385">
        <f t="shared" si="88"/>
        <v>21.630531466441379</v>
      </c>
      <c r="Z248" s="385">
        <f t="shared" si="89"/>
        <v>23.291616527428584</v>
      </c>
      <c r="AA248" s="386">
        <f t="shared" si="90"/>
        <v>24.879554078795394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6.3825000493887271E-2</v>
      </c>
      <c r="AD248" s="231">
        <f>(INDEX(Models!$BJ248:$BT248,,AH248)*(1-AF248)+INDEX(Models!$BJ248:$BT248,,AH248+1)*AF248-ERP_i)*AE248*Ramure*Pc/MaxiM</f>
        <v>4.6768801088029298E-3</v>
      </c>
      <c r="AE248" s="305">
        <f t="shared" si="92"/>
        <v>0.7</v>
      </c>
      <c r="AF248" s="177">
        <f t="shared" si="93"/>
        <v>0.97644895203803683</v>
      </c>
      <c r="AG248" s="919">
        <f t="shared" si="99"/>
        <v>2</v>
      </c>
      <c r="AH248" s="176">
        <f t="shared" si="94"/>
        <v>8</v>
      </c>
      <c r="AI248" s="225">
        <f t="shared" si="95"/>
        <v>2.9764489520380368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1090">
        <f>IF(t&gt;Tmaj,'2026'!Wh/'2026'!Env_an*'2027'!Env_an,0.001*'[10]mon-tableau (1)'!$B$60)</f>
        <v>43.7881479925543</v>
      </c>
      <c r="C249" s="953"/>
      <c r="D249" s="393">
        <f t="shared" si="77"/>
        <v>47.151827587632248</v>
      </c>
      <c r="E249" s="385">
        <f t="shared" si="100"/>
        <v>48.330538451321793</v>
      </c>
      <c r="F249" s="385">
        <f t="shared" si="78"/>
        <v>48.351779958403213</v>
      </c>
      <c r="G249" s="110">
        <f t="shared" si="101"/>
        <v>0.93034629611900488</v>
      </c>
      <c r="H249" s="412" t="b">
        <f>Wh_hp&gt;='2026'!Maxi_hp</f>
        <v>0</v>
      </c>
      <c r="I249" s="390">
        <f>IF(H249,Wh_hp,'2026'!Maxi_hp)</f>
        <v>51.339633290441888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7.1337205091923761E-2</v>
      </c>
      <c r="M249" s="957"/>
      <c r="N249" s="957"/>
      <c r="O249" s="48">
        <f>IF(t&lt;Tnet,'2026'!Resal+('2026'!Salim-'2026'!Resal)*(1-EXP(('2026'!Tnet-t)/('2026'!Tau_j))),Resal+(Salim-Resal)*(1-EXP((Tnet-t)/(Tau_j))))*Salcycl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4.878211067294239E-4</v>
      </c>
      <c r="Q249" s="305">
        <f t="shared" si="80"/>
        <v>0.7</v>
      </c>
      <c r="R249" s="177">
        <f t="shared" si="81"/>
        <v>0.45237416794844432</v>
      </c>
      <c r="S249" s="919">
        <f t="shared" si="82"/>
        <v>-1</v>
      </c>
      <c r="T249" s="176">
        <f t="shared" si="83"/>
        <v>5</v>
      </c>
      <c r="U249" s="251">
        <f t="shared" si="84"/>
        <v>-0.54762583205155568</v>
      </c>
      <c r="V249" s="383">
        <f t="shared" si="85"/>
        <v>47.064220181855234</v>
      </c>
      <c r="W249" s="402">
        <f t="shared" si="86"/>
        <v>43.7881479925543</v>
      </c>
      <c r="X249" s="157">
        <f t="shared" si="87"/>
        <v>46622</v>
      </c>
      <c r="Y249" s="385">
        <f t="shared" si="88"/>
        <v>41.857218371753504</v>
      </c>
      <c r="Z249" s="385">
        <f t="shared" si="89"/>
        <v>45.072569506670874</v>
      </c>
      <c r="AA249" s="386">
        <f t="shared" si="90"/>
        <v>48.149786304366401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6.3909251398203484E-2</v>
      </c>
      <c r="AD249" s="231">
        <f>(INDEX(Models!$BJ249:$BT249,,AH249)*(1-AF249)+INDEX(Models!$BJ249:$BT249,,AH249+1)*AF249-ERP_i)*AE249*Ramure*Pc/MaxiM</f>
        <v>4.6388783755720569E-3</v>
      </c>
      <c r="AE249" s="305">
        <f t="shared" si="92"/>
        <v>0.7</v>
      </c>
      <c r="AF249" s="177">
        <f t="shared" si="93"/>
        <v>0.97736173432242346</v>
      </c>
      <c r="AG249" s="919">
        <f t="shared" si="99"/>
        <v>2</v>
      </c>
      <c r="AH249" s="176">
        <f t="shared" si="94"/>
        <v>8</v>
      </c>
      <c r="AI249" s="225">
        <f t="shared" si="95"/>
        <v>2.9773617343224235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1090">
        <f>IF(t&gt;Tmaj,'2026'!Wh/'2026'!Env_an*'2027'!Env_an,0.001*'[10]mon-tableau (1)'!$B$61)</f>
        <v>45.201489628100127</v>
      </c>
      <c r="C250" s="953"/>
      <c r="D250" s="393">
        <f t="shared" si="77"/>
        <v>48.674804166014383</v>
      </c>
      <c r="E250" s="385">
        <f t="shared" si="100"/>
        <v>49.898179946822616</v>
      </c>
      <c r="F250" s="385">
        <f t="shared" si="78"/>
        <v>49.919580247955452</v>
      </c>
      <c r="G250" s="110">
        <f t="shared" si="101"/>
        <v>0.96252030321571225</v>
      </c>
      <c r="H250" s="412" t="b">
        <f>Wh_hp&gt;='2026'!Maxi_hp</f>
        <v>0</v>
      </c>
      <c r="I250" s="390">
        <f>IF(H250,Wh_hp,'2026'!Maxi_hp)</f>
        <v>51.228164501997107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7.135754519048243E-2</v>
      </c>
      <c r="M250" s="957"/>
      <c r="N250" s="957"/>
      <c r="O250" s="48">
        <f>IF(t&lt;Tnet,'2026'!Resal+('2026'!Salim-'2026'!Resal)*(1-EXP(('2026'!Tnet-t)/('2026'!Tau_j))),Resal+(Salim-Resal)*(1-EXP((Tnet-t)/(Tau_j))))*Salcycl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4.5293148308732156E-4</v>
      </c>
      <c r="Q250" s="305">
        <f t="shared" si="80"/>
        <v>0.7</v>
      </c>
      <c r="R250" s="177">
        <f t="shared" si="81"/>
        <v>0.45325348949810862</v>
      </c>
      <c r="S250" s="919">
        <f t="shared" si="82"/>
        <v>-1</v>
      </c>
      <c r="T250" s="176">
        <f t="shared" si="83"/>
        <v>5</v>
      </c>
      <c r="U250" s="251">
        <f t="shared" si="84"/>
        <v>-0.54674651050189138</v>
      </c>
      <c r="V250" s="383">
        <f t="shared" si="85"/>
        <v>46.960457359984076</v>
      </c>
      <c r="W250" s="402">
        <f t="shared" si="86"/>
        <v>45.201489628100127</v>
      </c>
      <c r="X250" s="157">
        <f t="shared" si="87"/>
        <v>46623</v>
      </c>
      <c r="Y250" s="385">
        <f t="shared" si="88"/>
        <v>43.201518317842208</v>
      </c>
      <c r="Z250" s="385">
        <f t="shared" si="89"/>
        <v>46.521153641100405</v>
      </c>
      <c r="AA250" s="386">
        <f t="shared" si="90"/>
        <v>49.7017248752855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6.3993176135556121E-2</v>
      </c>
      <c r="AD250" s="231">
        <f>(INDEX(Models!$BJ250:$BT250,,AH250)*(1-AF250)+INDEX(Models!$BJ250:$BT250,,AH250+1)*AF250-ERP_i)*AE250*Ramure*Pc/MaxiM</f>
        <v>4.610848998313404E-3</v>
      </c>
      <c r="AE250" s="305">
        <f t="shared" si="92"/>
        <v>0.7</v>
      </c>
      <c r="AF250" s="177">
        <f t="shared" si="93"/>
        <v>0.97824105587208754</v>
      </c>
      <c r="AG250" s="919">
        <f t="shared" si="99"/>
        <v>2</v>
      </c>
      <c r="AH250" s="176">
        <f t="shared" si="94"/>
        <v>8</v>
      </c>
      <c r="AI250" s="225">
        <f t="shared" si="95"/>
        <v>2.9782410558720875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1090">
        <f>IF(t&gt;Tmaj,'2026'!Wh/'2026'!Env_an*'2027'!Env_an,0.001*'[10]mon-tableau (1)'!$B$62)</f>
        <v>29.189035723909047</v>
      </c>
      <c r="C251" s="953"/>
      <c r="D251" s="393">
        <f t="shared" si="77"/>
        <v>31.432630396693838</v>
      </c>
      <c r="E251" s="385">
        <f t="shared" si="100"/>
        <v>32.226898015945324</v>
      </c>
      <c r="F251" s="385">
        <f t="shared" si="78"/>
        <v>32.233164415200086</v>
      </c>
      <c r="G251" s="110">
        <f t="shared" si="101"/>
        <v>0.62279993465714389</v>
      </c>
      <c r="H251" s="412" t="b">
        <f>Wh_hp&gt;='2026'!Maxi_hp</f>
        <v>0</v>
      </c>
      <c r="I251" s="390">
        <f>IF(H251,Wh_hp,'2026'!Maxi_hp)</f>
        <v>50.680972332086561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7.1377884843540795E-2</v>
      </c>
      <c r="M251" s="957"/>
      <c r="N251" s="957"/>
      <c r="O251" s="48">
        <f>IF(t&lt;Tnet,'2026'!Resal+('2026'!Salim-'2026'!Resal)*(1-EXP(('2026'!Tnet-t)/('2026'!Tau_j))),Resal+(Salim-Resal)*(1-EXP((Tnet-t)/(Tau_j))))*Salcycl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4.2139510504720035E-4</v>
      </c>
      <c r="Q251" s="305">
        <f t="shared" si="80"/>
        <v>0.7</v>
      </c>
      <c r="R251" s="177">
        <f t="shared" si="81"/>
        <v>0.45410045466607318</v>
      </c>
      <c r="S251" s="919">
        <f t="shared" si="82"/>
        <v>-1</v>
      </c>
      <c r="T251" s="176">
        <f t="shared" si="83"/>
        <v>5</v>
      </c>
      <c r="U251" s="251">
        <f t="shared" si="84"/>
        <v>-0.54589954533392682</v>
      </c>
      <c r="V251" s="383">
        <f t="shared" si="85"/>
        <v>46.856795079517433</v>
      </c>
      <c r="W251" s="402">
        <f t="shared" si="86"/>
        <v>29.189035723909047</v>
      </c>
      <c r="X251" s="157">
        <f t="shared" si="87"/>
        <v>46624</v>
      </c>
      <c r="Y251" s="385">
        <f t="shared" si="88"/>
        <v>27.955096081017849</v>
      </c>
      <c r="Z251" s="385">
        <f t="shared" si="89"/>
        <v>30.103844852227997</v>
      </c>
      <c r="AA251" s="386">
        <f t="shared" si="90"/>
        <v>32.164865377234037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6.4076765154590348E-2</v>
      </c>
      <c r="AD251" s="231">
        <f>(INDEX(Models!$BJ251:$BT251,,AH251)*(1-AF251)+INDEX(Models!$BJ251:$BT251,,AH251+1)*AF251-ERP_i)*AE251*Ramure*Pc/MaxiM</f>
        <v>4.5928896497368435E-3</v>
      </c>
      <c r="AE251" s="305">
        <f t="shared" si="92"/>
        <v>0.7</v>
      </c>
      <c r="AF251" s="177">
        <f t="shared" si="93"/>
        <v>0.97908802104005233</v>
      </c>
      <c r="AG251" s="919">
        <f t="shared" si="99"/>
        <v>2</v>
      </c>
      <c r="AH251" s="176">
        <f t="shared" si="94"/>
        <v>8</v>
      </c>
      <c r="AI251" s="225">
        <f t="shared" si="95"/>
        <v>2.9790880210400523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1090">
        <f>IF(t&gt;Tmaj,'2026'!Wh/'2026'!Env_an*'2027'!Env_an,0.001*'[10]mon-tableau (1)'!$B$63)</f>
        <v>40.082154232691494</v>
      </c>
      <c r="C252" s="953"/>
      <c r="D252" s="393">
        <f t="shared" si="77"/>
        <v>43.163986189595171</v>
      </c>
      <c r="E252" s="385">
        <f t="shared" si="100"/>
        <v>44.260519443367933</v>
      </c>
      <c r="F252" s="385">
        <f t="shared" si="78"/>
        <v>44.274381213271482</v>
      </c>
      <c r="G252" s="110">
        <f t="shared" si="101"/>
        <v>0.8572525595262086</v>
      </c>
      <c r="H252" s="412" t="b">
        <f>Wh_hp&gt;='2026'!Maxi_hp</f>
        <v>0</v>
      </c>
      <c r="I252" s="390">
        <f>IF(H252,Wh_hp,'2026'!Maxi_hp)</f>
        <v>53.637175533284911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7.1398224051108627E-2</v>
      </c>
      <c r="M252" s="957"/>
      <c r="N252" s="957"/>
      <c r="O252" s="48">
        <f>IF(t&lt;Tnet,'2026'!Resal+('2026'!Salim-'2026'!Resal)*(1-EXP(('2026'!Tnet-t)/('2026'!Tau_j))),Resal+(Salim-Resal)*(1-EXP((Tnet-t)/(Tau_j))))*Salcycl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3.9324081327536117E-4</v>
      </c>
      <c r="Q252" s="305">
        <f t="shared" si="80"/>
        <v>0.7</v>
      </c>
      <c r="R252" s="177">
        <f t="shared" si="81"/>
        <v>0.45491614066747688</v>
      </c>
      <c r="S252" s="919">
        <f t="shared" si="82"/>
        <v>-1</v>
      </c>
      <c r="T252" s="176">
        <f t="shared" si="83"/>
        <v>5</v>
      </c>
      <c r="U252" s="251">
        <f t="shared" si="84"/>
        <v>-0.54508385933252312</v>
      </c>
      <c r="V252" s="383">
        <f t="shared" si="85"/>
        <v>46.752780235966043</v>
      </c>
      <c r="W252" s="402">
        <f t="shared" si="86"/>
        <v>40.082154232691494</v>
      </c>
      <c r="X252" s="157">
        <f t="shared" si="87"/>
        <v>46625</v>
      </c>
      <c r="Y252" s="385">
        <f t="shared" si="88"/>
        <v>38.334985643878802</v>
      </c>
      <c r="Z252" s="385">
        <f t="shared" si="89"/>
        <v>41.282481507970637</v>
      </c>
      <c r="AA252" s="386">
        <f t="shared" si="90"/>
        <v>44.11275633127461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6.4160008548307182E-2</v>
      </c>
      <c r="AD252" s="231">
        <f>(INDEX(Models!$BJ252:$BT252,,AH252)*(1-AF252)+INDEX(Models!$BJ252:$BT252,,AH252+1)*AF252-ERP_i)*AE252*Ramure*Pc/MaxiM</f>
        <v>4.5850927034739109E-3</v>
      </c>
      <c r="AE252" s="305">
        <f t="shared" si="92"/>
        <v>0.7</v>
      </c>
      <c r="AF252" s="177">
        <f t="shared" si="93"/>
        <v>0.9799037070414558</v>
      </c>
      <c r="AG252" s="919">
        <f t="shared" si="99"/>
        <v>2</v>
      </c>
      <c r="AH252" s="176">
        <f t="shared" si="94"/>
        <v>8</v>
      </c>
      <c r="AI252" s="225">
        <f t="shared" si="95"/>
        <v>2.9799037070414558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1090">
        <f>IF(t&gt;Tmaj,'2026'!Wh/'2026'!Env_an*'2027'!Env_an,0.001*'[10]mon-tableau (1)'!$B$64)</f>
        <v>45.025736751801553</v>
      </c>
      <c r="C253" s="953"/>
      <c r="D253" s="393">
        <f t="shared" si="77"/>
        <v>48.488732327247284</v>
      </c>
      <c r="E253" s="385">
        <f t="shared" si="100"/>
        <v>49.72706972539617</v>
      </c>
      <c r="F253" s="385">
        <f t="shared" si="78"/>
        <v>49.744489694625287</v>
      </c>
      <c r="G253" s="110">
        <f t="shared" si="101"/>
        <v>0.96520645563125762</v>
      </c>
      <c r="H253" s="412" t="b">
        <f>Wh_hp&gt;='2026'!Maxi_hp</f>
        <v>0</v>
      </c>
      <c r="I253" s="390">
        <f>IF(H253,Wh_hp,'2026'!Maxi_hp)</f>
        <v>51.403994258295555</v>
      </c>
      <c r="J253" s="85">
        <f>IF(H253,An,'2026'!An_max)</f>
        <v>2018</v>
      </c>
      <c r="K253" s="197">
        <f t="shared" si="79"/>
        <v>46626</v>
      </c>
      <c r="L253" s="147">
        <f>IF(t&lt;Tvie,1-EXP((T0-t)*PertePVj)+'2026'!Pspv,1-EXP((T0-t)*PertePVj)+Pspv)</f>
        <v>7.1418562813195474E-2</v>
      </c>
      <c r="M253" s="957"/>
      <c r="N253" s="957"/>
      <c r="O253" s="48">
        <f>IF(t&lt;Tnet,'2026'!Resal+('2026'!Salim-'2026'!Resal)*(1-EXP(('2026'!Tnet-t)/('2026'!Tau_j))),Resal+(Salim-Resal)*(1-EXP((Tnet-t)/(Tau_j))))*Salcycl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3.684957200433111E-4</v>
      </c>
      <c r="Q253" s="305">
        <f t="shared" si="80"/>
        <v>0.7</v>
      </c>
      <c r="R253" s="177">
        <f t="shared" si="81"/>
        <v>0.4557015975027241</v>
      </c>
      <c r="S253" s="919">
        <f t="shared" si="82"/>
        <v>-1</v>
      </c>
      <c r="T253" s="176">
        <f t="shared" si="83"/>
        <v>5</v>
      </c>
      <c r="U253" s="251">
        <f t="shared" si="84"/>
        <v>-0.5442984024972759</v>
      </c>
      <c r="V253" s="383">
        <f t="shared" si="85"/>
        <v>46.647960053829301</v>
      </c>
      <c r="W253" s="402">
        <f t="shared" si="86"/>
        <v>45.025736751801553</v>
      </c>
      <c r="X253" s="157">
        <f t="shared" si="87"/>
        <v>46626</v>
      </c>
      <c r="Y253" s="385">
        <f t="shared" si="88"/>
        <v>43.035871629349025</v>
      </c>
      <c r="Z253" s="385">
        <f t="shared" si="89"/>
        <v>46.34582375427285</v>
      </c>
      <c r="AA253" s="386">
        <f t="shared" si="90"/>
        <v>49.527621600407699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6.4242896051133105E-2</v>
      </c>
      <c r="AD253" s="231">
        <f>(INDEX(Models!$BJ253:$BT253,,AH253)*(1-AF253)+INDEX(Models!$BJ253:$BT253,,AH253+1)*AF253-ERP_i)*AE253*Ramure*Pc/MaxiM</f>
        <v>4.5875491214731482E-3</v>
      </c>
      <c r="AE253" s="305">
        <f t="shared" si="92"/>
        <v>0.7</v>
      </c>
      <c r="AF253" s="177">
        <f t="shared" si="93"/>
        <v>0.98068916387670324</v>
      </c>
      <c r="AG253" s="919">
        <f t="shared" si="99"/>
        <v>2</v>
      </c>
      <c r="AH253" s="176">
        <f t="shared" si="94"/>
        <v>8</v>
      </c>
      <c r="AI253" s="225">
        <f t="shared" si="95"/>
        <v>2.9806891638767032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1090">
        <f>IF(t&gt;Tmaj,'2026'!Wh/'2026'!Env_an*'2027'!Env_an,0.001*'[10]mon-tableau (1)'!$B$65)</f>
        <v>45.131825606280557</v>
      </c>
      <c r="C254" s="953"/>
      <c r="D254" s="393">
        <f t="shared" si="77"/>
        <v>48.60404518474224</v>
      </c>
      <c r="E254" s="385">
        <f t="shared" si="100"/>
        <v>49.851866315563441</v>
      </c>
      <c r="F254" s="385">
        <f t="shared" si="78"/>
        <v>49.868470518062843</v>
      </c>
      <c r="G254" s="110">
        <f t="shared" si="101"/>
        <v>0.96968969335324162</v>
      </c>
      <c r="H254" s="412" t="b">
        <f>Wh_hp&gt;='2026'!Maxi_hp</f>
        <v>0</v>
      </c>
      <c r="I254" s="390">
        <f>IF(H254,Wh_hp,'2026'!Maxi_hp)</f>
        <v>53.343274555388398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7.1438901129811327E-2</v>
      </c>
      <c r="M254" s="957"/>
      <c r="N254" s="957"/>
      <c r="O254" s="48">
        <f>IF(t&lt;Tnet,'2026'!Resal+('2026'!Salim-'2026'!Resal)*(1-EXP(('2026'!Tnet-t)/('2026'!Tau_j))),Resal+(Salim-Resal)*(1-EXP((Tnet-t)/(Tau_j))))*Salcycl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3.4802217965442228E-4</v>
      </c>
      <c r="Q254" s="305">
        <f t="shared" si="80"/>
        <v>0.7</v>
      </c>
      <c r="R254" s="177">
        <f t="shared" si="81"/>
        <v>0.45645784795528388</v>
      </c>
      <c r="S254" s="919">
        <f t="shared" si="82"/>
        <v>-1</v>
      </c>
      <c r="T254" s="176">
        <f t="shared" si="83"/>
        <v>5</v>
      </c>
      <c r="U254" s="251">
        <f t="shared" si="84"/>
        <v>-0.54354215204471612</v>
      </c>
      <c r="V254" s="383">
        <f t="shared" si="85"/>
        <v>46.541843130264496</v>
      </c>
      <c r="W254" s="402">
        <f t="shared" si="86"/>
        <v>45.131825606280557</v>
      </c>
      <c r="X254" s="157">
        <f t="shared" si="87"/>
        <v>46627</v>
      </c>
      <c r="Y254" s="385">
        <f t="shared" si="88"/>
        <v>43.136465123216766</v>
      </c>
      <c r="Z254" s="385">
        <f t="shared" si="89"/>
        <v>46.455171529048918</v>
      </c>
      <c r="AA254" s="386">
        <f t="shared" si="90"/>
        <v>49.648854820432753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6.4325417029951107E-2</v>
      </c>
      <c r="AD254" s="231">
        <f>(INDEX(Models!$BJ254:$BT254,,AH254)*(1-AF254)+INDEX(Models!$BJ254:$BT254,,AH254+1)*AF254-ERP_i)*AE254*Ramure*Pc/MaxiM</f>
        <v>4.6031198293521409E-3</v>
      </c>
      <c r="AE254" s="305">
        <f t="shared" si="92"/>
        <v>0.7</v>
      </c>
      <c r="AF254" s="177">
        <f t="shared" si="93"/>
        <v>0.9814454143292628</v>
      </c>
      <c r="AG254" s="919">
        <f t="shared" si="99"/>
        <v>2</v>
      </c>
      <c r="AH254" s="176">
        <f t="shared" si="94"/>
        <v>8</v>
      </c>
      <c r="AI254" s="225">
        <f t="shared" si="95"/>
        <v>2.9814454143292628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1090">
        <f>IF(t&gt;Tmaj,'2026'!Wh/'2026'!Env_an*'2027'!Env_an,0.001*'[10]mon-tableau (1)'!$B$66)</f>
        <v>31.713488779487406</v>
      </c>
      <c r="C255" s="953"/>
      <c r="D255" s="393">
        <f t="shared" si="77"/>
        <v>34.154115911256582</v>
      </c>
      <c r="E255" s="385">
        <f t="shared" si="100"/>
        <v>35.035547651729978</v>
      </c>
      <c r="F255" s="385">
        <f t="shared" si="78"/>
        <v>35.041875940313339</v>
      </c>
      <c r="G255" s="110">
        <f t="shared" si="101"/>
        <v>0.6828769102627128</v>
      </c>
      <c r="H255" s="412" t="b">
        <f>Wh_hp&gt;='2026'!Maxi_hp</f>
        <v>0</v>
      </c>
      <c r="I255" s="390">
        <f>IF(H255,Wh_hp,'2026'!Maxi_hp)</f>
        <v>52.809812213553279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7.1459239000965846E-2</v>
      </c>
      <c r="M255" s="957"/>
      <c r="N255" s="957"/>
      <c r="O255" s="48">
        <f>IF(t&lt;Tnet,'2026'!Resal+('2026'!Salim-'2026'!Resal)*(1-EXP(('2026'!Tnet-t)/('2026'!Tau_j))),Resal+(Salim-Resal)*(1-EXP((Tnet-t)/(Tau_j))))*Salcycl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3.3008210202102091E-4</v>
      </c>
      <c r="Q255" s="305">
        <f t="shared" si="80"/>
        <v>0.7</v>
      </c>
      <c r="R255" s="177">
        <f t="shared" si="81"/>
        <v>0.4571858876575785</v>
      </c>
      <c r="S255" s="919">
        <f t="shared" si="82"/>
        <v>-1</v>
      </c>
      <c r="T255" s="176">
        <f t="shared" si="83"/>
        <v>5</v>
      </c>
      <c r="U255" s="251">
        <f t="shared" si="84"/>
        <v>-0.5428141123424215</v>
      </c>
      <c r="V255" s="383">
        <f t="shared" si="85"/>
        <v>46.434059490813475</v>
      </c>
      <c r="W255" s="402">
        <f t="shared" si="86"/>
        <v>31.713488779487406</v>
      </c>
      <c r="X255" s="157">
        <f t="shared" si="87"/>
        <v>46628</v>
      </c>
      <c r="Y255" s="385">
        <f t="shared" si="88"/>
        <v>30.365062774129985</v>
      </c>
      <c r="Z255" s="385">
        <f t="shared" si="89"/>
        <v>32.701916867343179</v>
      </c>
      <c r="AA255" s="386">
        <f t="shared" si="90"/>
        <v>34.953164952631475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6.4407560469536579E-2</v>
      </c>
      <c r="AD255" s="231">
        <f>(INDEX(Models!$BJ255:$BT255,,AH255)*(1-AF255)+INDEX(Models!$BJ255:$BT255,,AH255+1)*AF255-ERP_i)*AE255*Ramure*Pc/MaxiM</f>
        <v>4.6271450646826777E-3</v>
      </c>
      <c r="AE255" s="305">
        <f t="shared" si="92"/>
        <v>0.7</v>
      </c>
      <c r="AF255" s="177">
        <f t="shared" si="93"/>
        <v>0.98217345403155765</v>
      </c>
      <c r="AG255" s="919">
        <f t="shared" si="99"/>
        <v>2</v>
      </c>
      <c r="AH255" s="176">
        <f t="shared" si="94"/>
        <v>8</v>
      </c>
      <c r="AI255" s="225">
        <f t="shared" si="95"/>
        <v>2.9821734540315576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1090">
        <f>IF(t&gt;Tmaj,'2026'!Wh/'2026'!Env_an*'2027'!Env_an,0.001*'[10]mon-tableau (1)'!$B$67)</f>
        <v>44.826136858253783</v>
      </c>
      <c r="C256" s="953"/>
      <c r="D256" s="393">
        <f t="shared" si="77"/>
        <v>48.276953010623323</v>
      </c>
      <c r="E256" s="385">
        <f t="shared" si="100"/>
        <v>49.529330493267331</v>
      </c>
      <c r="F256" s="385">
        <f t="shared" si="78"/>
        <v>49.544201479573829</v>
      </c>
      <c r="G256" s="110">
        <f t="shared" si="101"/>
        <v>0.96764814748723671</v>
      </c>
      <c r="H256" s="412" t="b">
        <f>Wh_hp&gt;='2026'!Maxi_hp</f>
        <v>0</v>
      </c>
      <c r="I256" s="390">
        <f>IF(H256,Wh_hp,'2026'!Maxi_hp)</f>
        <v>51.020688029577649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7.1479576426668689E-2</v>
      </c>
      <c r="M256" s="957"/>
      <c r="N256" s="957"/>
      <c r="O256" s="48">
        <f>IF(t&lt;Tnet,'2026'!Resal+('2026'!Salim-'2026'!Resal)*(1-EXP(('2026'!Tnet-t)/('2026'!Tau_j))),Resal+(Salim-Resal)*(1-EXP((Tnet-t)/(Tau_j))))*Salcycl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3.1469379430345109E-4</v>
      </c>
      <c r="Q256" s="305">
        <f t="shared" si="80"/>
        <v>0.7</v>
      </c>
      <c r="R256" s="177">
        <f t="shared" si="81"/>
        <v>0.45788668521875331</v>
      </c>
      <c r="S256" s="919">
        <f t="shared" si="82"/>
        <v>-1</v>
      </c>
      <c r="T256" s="176">
        <f t="shared" si="83"/>
        <v>5</v>
      </c>
      <c r="U256" s="251">
        <f t="shared" si="84"/>
        <v>-0.54211331478124669</v>
      </c>
      <c r="V256" s="383">
        <f t="shared" si="85"/>
        <v>46.324157291150968</v>
      </c>
      <c r="W256" s="402">
        <f t="shared" si="86"/>
        <v>44.826136858253783</v>
      </c>
      <c r="X256" s="157">
        <f t="shared" si="87"/>
        <v>46629</v>
      </c>
      <c r="Y256" s="385">
        <f t="shared" si="88"/>
        <v>42.84484213310968</v>
      </c>
      <c r="Z256" s="385">
        <f t="shared" si="89"/>
        <v>46.143133791527141</v>
      </c>
      <c r="AA256" s="386">
        <f t="shared" si="90"/>
        <v>49.324005090552383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6.4489314952943882E-2</v>
      </c>
      <c r="AD256" s="231">
        <f>(INDEX(Models!$BJ256:$BT256,,AH256)*(1-AF256)+INDEX(Models!$BJ256:$BT256,,AH256+1)*AF256-ERP_i)*AE256*Ramure*Pc/MaxiM</f>
        <v>4.6597068765245331E-3</v>
      </c>
      <c r="AE256" s="305">
        <f t="shared" si="92"/>
        <v>0.7</v>
      </c>
      <c r="AF256" s="177">
        <f t="shared" si="93"/>
        <v>0.98287425159273223</v>
      </c>
      <c r="AG256" s="919">
        <f t="shared" si="99"/>
        <v>2</v>
      </c>
      <c r="AH256" s="176">
        <f t="shared" si="94"/>
        <v>8</v>
      </c>
      <c r="AI256" s="225">
        <f t="shared" si="95"/>
        <v>2.9828742515927322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1090">
        <f>IF(t&gt;Tmaj,'2026'!Wh/'2026'!Env_an*'2027'!Env_an,0.001*'[10]mon-tableau (1)'!$B$68)</f>
        <v>20.380531939060646</v>
      </c>
      <c r="C257" s="953"/>
      <c r="D257" s="393">
        <f t="shared" si="77"/>
        <v>21.949951576033332</v>
      </c>
      <c r="E257" s="385">
        <f t="shared" si="100"/>
        <v>22.52230311051494</v>
      </c>
      <c r="F257" s="385">
        <f t="shared" si="78"/>
        <v>22.523672938596704</v>
      </c>
      <c r="G257" s="110">
        <f t="shared" si="101"/>
        <v>0.44091919076842084</v>
      </c>
      <c r="H257" s="412" t="b">
        <f>Wh_hp&gt;='2026'!Maxi_hp</f>
        <v>0</v>
      </c>
      <c r="I257" s="390">
        <f>IF(H257,Wh_hp,'2026'!Maxi_hp)</f>
        <v>51.639133296774915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7.1499913406929849E-2</v>
      </c>
      <c r="M257" s="957"/>
      <c r="N257" s="957"/>
      <c r="O257" s="48">
        <f>IF(t&lt;Tnet,'2026'!Resal+('2026'!Salim-'2026'!Resal)*(1-EXP(('2026'!Tnet-t)/('2026'!Tau_j))),Resal+(Salim-Resal)*(1-EXP((Tnet-t)/(Tau_j))))*Salcycl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3.0187504589976723E-4</v>
      </c>
      <c r="Q257" s="305">
        <f t="shared" si="80"/>
        <v>0.7</v>
      </c>
      <c r="R257" s="177">
        <f t="shared" si="81"/>
        <v>0.45856118240845345</v>
      </c>
      <c r="S257" s="919">
        <f t="shared" si="82"/>
        <v>-1</v>
      </c>
      <c r="T257" s="176">
        <f t="shared" si="83"/>
        <v>5</v>
      </c>
      <c r="U257" s="251">
        <f t="shared" si="84"/>
        <v>-0.54143881759154655</v>
      </c>
      <c r="V257" s="383">
        <f t="shared" si="85"/>
        <v>46.211685000254107</v>
      </c>
      <c r="W257" s="402">
        <f t="shared" si="86"/>
        <v>20.380531939060646</v>
      </c>
      <c r="X257" s="157">
        <f t="shared" si="87"/>
        <v>46630</v>
      </c>
      <c r="Y257" s="385">
        <f t="shared" si="88"/>
        <v>19.544323596133943</v>
      </c>
      <c r="Z257" s="385">
        <f t="shared" si="89"/>
        <v>21.049350321385109</v>
      </c>
      <c r="AA257" s="386">
        <f t="shared" si="90"/>
        <v>22.502341561949304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6.4570668637487658E-2</v>
      </c>
      <c r="AD257" s="231">
        <f>(INDEX(Models!$BJ257:$BT257,,AH257)*(1-AF257)+INDEX(Models!$BJ257:$BT257,,AH257+1)*AF257-ERP_i)*AE257*Ramure*Pc/MaxiM</f>
        <v>4.7008893964646213E-3</v>
      </c>
      <c r="AE257" s="305">
        <f t="shared" si="92"/>
        <v>0.7</v>
      </c>
      <c r="AF257" s="177">
        <f t="shared" si="93"/>
        <v>0.98354874878243237</v>
      </c>
      <c r="AG257" s="919">
        <f t="shared" si="99"/>
        <v>2</v>
      </c>
      <c r="AH257" s="176">
        <f t="shared" si="94"/>
        <v>8</v>
      </c>
      <c r="AI257" s="225">
        <f t="shared" si="95"/>
        <v>2.9835487487824324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1090">
        <f>IF(t&gt;Tmaj,'2026'!Wh/'2026'!Env_an*'2027'!Env_an,0.001*'[11]mon-tableau (3)'!$B$37)</f>
        <v>41.421100588171896</v>
      </c>
      <c r="C258" s="953"/>
      <c r="D258" s="393">
        <f t="shared" si="77"/>
        <v>44.611743643922935</v>
      </c>
      <c r="E258" s="385">
        <f t="shared" si="100"/>
        <v>45.780964546297447</v>
      </c>
      <c r="F258" s="385">
        <f t="shared" si="78"/>
        <v>45.792384630070735</v>
      </c>
      <c r="G258" s="110">
        <f t="shared" si="101"/>
        <v>0.89854169377929349</v>
      </c>
      <c r="H258" s="412" t="b">
        <f>Wh_hp&gt;='2026'!Maxi_hp</f>
        <v>0</v>
      </c>
      <c r="I258" s="390">
        <f>IF(H258,Wh_hp,'2026'!Maxi_hp)</f>
        <v>52.083506608695828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7.1520249941758873E-2</v>
      </c>
      <c r="M258" s="957"/>
      <c r="N258" s="957"/>
      <c r="O258" s="48">
        <f>IF(t&lt;Tnet,'2026'!Resal+('2026'!Salim-'2026'!Resal)*(1-EXP(('2026'!Tnet-t)/('2026'!Tau_j))),Resal+(Salim-Resal)*(1-EXP((Tnet-t)/(Tau_j))))*Salcycl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2.9164336820992171E-4</v>
      </c>
      <c r="Q258" s="305">
        <f t="shared" si="80"/>
        <v>0.7</v>
      </c>
      <c r="R258" s="177">
        <f t="shared" si="81"/>
        <v>0.45921029439107497</v>
      </c>
      <c r="S258" s="919">
        <f t="shared" si="82"/>
        <v>-1</v>
      </c>
      <c r="T258" s="176">
        <f t="shared" si="83"/>
        <v>5</v>
      </c>
      <c r="U258" s="251">
        <f t="shared" si="84"/>
        <v>-0.54078970560892503</v>
      </c>
      <c r="V258" s="383">
        <f t="shared" si="85"/>
        <v>46.096191401936146</v>
      </c>
      <c r="W258" s="402">
        <f t="shared" si="86"/>
        <v>41.421100588171896</v>
      </c>
      <c r="X258" s="157">
        <f t="shared" si="87"/>
        <v>46631</v>
      </c>
      <c r="Y258" s="385">
        <f t="shared" si="88"/>
        <v>39.606932060126027</v>
      </c>
      <c r="Z258" s="385">
        <f t="shared" si="89"/>
        <v>42.657830779445206</v>
      </c>
      <c r="AA258" s="386">
        <f t="shared" si="90"/>
        <v>45.606355022639057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6.4651609227051779E-2</v>
      </c>
      <c r="AD258" s="231">
        <f>(INDEX(Models!$BJ258:$BT258,,AH258)*(1-AF258)+INDEX(Models!$BJ258:$BT258,,AH258+1)*AF258-ERP_i)*AE258*Ramure*Pc/MaxiM</f>
        <v>4.7507796243187418E-3</v>
      </c>
      <c r="AE258" s="305">
        <f t="shared" si="92"/>
        <v>0.7</v>
      </c>
      <c r="AF258" s="177">
        <f t="shared" si="93"/>
        <v>0.98419786076505389</v>
      </c>
      <c r="AG258" s="919">
        <f t="shared" si="99"/>
        <v>2</v>
      </c>
      <c r="AH258" s="176">
        <f t="shared" si="94"/>
        <v>8</v>
      </c>
      <c r="AI258" s="225">
        <f t="shared" si="95"/>
        <v>2.9841978607650539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1090">
        <f>IF(t&gt;Tmaj,'2026'!Wh/'2026'!Env_an*'2027'!Env_an,0.001*'[11]mon-tableau (3)'!$B$38)</f>
        <v>38.626945852949582</v>
      </c>
      <c r="C259" s="953"/>
      <c r="D259" s="393">
        <f t="shared" si="77"/>
        <v>41.603268028521683</v>
      </c>
      <c r="E259" s="385">
        <f t="shared" si="100"/>
        <v>42.699183805881638</v>
      </c>
      <c r="F259" s="385">
        <f t="shared" si="78"/>
        <v>42.70854346276105</v>
      </c>
      <c r="G259" s="110">
        <f t="shared" si="101"/>
        <v>0.84007765352543151</v>
      </c>
      <c r="H259" s="412" t="b">
        <f>Wh_hp&gt;='2026'!Maxi_hp</f>
        <v>0</v>
      </c>
      <c r="I259" s="390">
        <f>IF(H259,Wh_hp,'2026'!Maxi_hp)</f>
        <v>50.502495754224739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7.1540586031165643E-2</v>
      </c>
      <c r="M259" s="957"/>
      <c r="N259" s="957"/>
      <c r="O259" s="48">
        <f>IF(t&lt;Tnet,'2026'!Resal+('2026'!Salim-'2026'!Resal)*(1-EXP(('2026'!Tnet-t)/('2026'!Tau_j))),Resal+(Salim-Resal)*(1-EXP((Tnet-t)/(Tau_j))))*Salcycl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2.8401623833725201E-4</v>
      </c>
      <c r="Q259" s="305">
        <f t="shared" si="80"/>
        <v>0.7</v>
      </c>
      <c r="R259" s="177">
        <f t="shared" si="81"/>
        <v>0.45983491000528154</v>
      </c>
      <c r="S259" s="919">
        <f t="shared" si="82"/>
        <v>-1</v>
      </c>
      <c r="T259" s="176">
        <f t="shared" si="83"/>
        <v>5</v>
      </c>
      <c r="U259" s="251">
        <f t="shared" si="84"/>
        <v>-0.54016508999471846</v>
      </c>
      <c r="V259" s="383">
        <f t="shared" si="85"/>
        <v>45.977225592122565</v>
      </c>
      <c r="W259" s="402">
        <f t="shared" si="86"/>
        <v>38.626945852949582</v>
      </c>
      <c r="X259" s="157">
        <f t="shared" si="87"/>
        <v>46632</v>
      </c>
      <c r="Y259" s="385">
        <f t="shared" si="88"/>
        <v>36.948686775036364</v>
      </c>
      <c r="Z259" s="385">
        <f t="shared" si="89"/>
        <v>39.795694048804833</v>
      </c>
      <c r="AA259" s="386">
        <f t="shared" si="90"/>
        <v>42.550049100924511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6.4732123941540473E-2</v>
      </c>
      <c r="AD259" s="231">
        <f>(INDEX(Models!$BJ259:$BT259,,AH259)*(1-AF259)+INDEX(Models!$BJ259:$BT259,,AH259+1)*AF259-ERP_i)*AE259*Ramure*Pc/MaxiM</f>
        <v>4.8094682344080762E-3</v>
      </c>
      <c r="AE259" s="305">
        <f t="shared" si="92"/>
        <v>0.7</v>
      </c>
      <c r="AF259" s="177">
        <f t="shared" si="93"/>
        <v>0.98482247637926035</v>
      </c>
      <c r="AG259" s="919">
        <f t="shared" si="99"/>
        <v>2</v>
      </c>
      <c r="AH259" s="176">
        <f t="shared" si="94"/>
        <v>8</v>
      </c>
      <c r="AI259" s="225">
        <f t="shared" si="95"/>
        <v>2.9848224763792603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1090">
        <f>IF(t&gt;Tmaj,'2026'!Wh/'2026'!Env_an*'2027'!Env_an,0.001*'[11]mon-tableau (3)'!$B$39)</f>
        <v>36.709476136465611</v>
      </c>
      <c r="C260" s="953"/>
      <c r="D260" s="393">
        <f t="shared" si="77"/>
        <v>39.538917515944739</v>
      </c>
      <c r="E260" s="385">
        <f t="shared" si="100"/>
        <v>40.585711466585096</v>
      </c>
      <c r="F260" s="385">
        <f t="shared" si="78"/>
        <v>40.593810738850451</v>
      </c>
      <c r="G260" s="110">
        <f t="shared" si="101"/>
        <v>0.80050350480647448</v>
      </c>
      <c r="H260" s="412" t="b">
        <f>Wh_hp&gt;='2026'!Maxi_hp</f>
        <v>0</v>
      </c>
      <c r="I260" s="390">
        <f>IF(H260,Wh_hp,'2026'!Maxi_hp)</f>
        <v>52.236523625300045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7.1560921675159817E-2</v>
      </c>
      <c r="M260" s="957"/>
      <c r="N260" s="957"/>
      <c r="O260" s="48">
        <f>IF(t&lt;Tnet,'2026'!Resal+('2026'!Salim-'2026'!Resal)*(1-EXP(('2026'!Tnet-t)/('2026'!Tau_j))),Resal+(Salim-Resal)*(1-EXP((Tnet-t)/(Tau_j))))*Salcycl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2.7901134683400364E-4</v>
      </c>
      <c r="Q260" s="305">
        <f t="shared" si="80"/>
        <v>0.7</v>
      </c>
      <c r="R260" s="177">
        <f t="shared" si="81"/>
        <v>0.46043589208390701</v>
      </c>
      <c r="S260" s="919">
        <f t="shared" si="82"/>
        <v>-1</v>
      </c>
      <c r="T260" s="176">
        <f t="shared" si="83"/>
        <v>5</v>
      </c>
      <c r="U260" s="251">
        <f t="shared" si="84"/>
        <v>-0.53956410791609299</v>
      </c>
      <c r="V260" s="383">
        <f t="shared" si="85"/>
        <v>45.854336981220207</v>
      </c>
      <c r="W260" s="402">
        <f t="shared" si="86"/>
        <v>36.709476136465611</v>
      </c>
      <c r="X260" s="157">
        <f t="shared" si="87"/>
        <v>46633</v>
      </c>
      <c r="Y260" s="385">
        <f t="shared" si="88"/>
        <v>35.123257871173109</v>
      </c>
      <c r="Z260" s="385">
        <f t="shared" si="89"/>
        <v>37.830438949796402</v>
      </c>
      <c r="AA260" s="386">
        <f t="shared" si="90"/>
        <v>40.452237431815846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6.4812199484357555E-2</v>
      </c>
      <c r="AD260" s="231">
        <f>(INDEX(Models!$BJ260:$BT260,,AH260)*(1-AF260)+INDEX(Models!$BJ260:$BT260,,AH260+1)*AF260-ERP_i)*AE260*Ramure*Pc/MaxiM</f>
        <v>4.8770504037039262E-3</v>
      </c>
      <c r="AE260" s="305">
        <f t="shared" si="92"/>
        <v>0.7</v>
      </c>
      <c r="AF260" s="177">
        <f t="shared" si="93"/>
        <v>0.98542345845788581</v>
      </c>
      <c r="AG260" s="919">
        <f t="shared" si="99"/>
        <v>2</v>
      </c>
      <c r="AH260" s="176">
        <f t="shared" si="94"/>
        <v>8</v>
      </c>
      <c r="AI260" s="225">
        <f t="shared" si="95"/>
        <v>2.9854234584578858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1090">
        <f>IF(t&gt;Tmaj,'2026'!Wh/'2026'!Env_an*'2027'!Env_an,0.001*'[11]mon-tableau (3)'!$B$40)</f>
        <v>43.866978037312812</v>
      </c>
      <c r="C261" s="953"/>
      <c r="D261" s="393">
        <f t="shared" si="77"/>
        <v>47.249130160384603</v>
      </c>
      <c r="E261" s="385">
        <f t="shared" si="100"/>
        <v>48.506321379165307</v>
      </c>
      <c r="F261" s="385">
        <f t="shared" si="78"/>
        <v>48.518962785317356</v>
      </c>
      <c r="G261" s="110">
        <f t="shared" si="101"/>
        <v>0.95926922486371891</v>
      </c>
      <c r="H261" s="412" t="b">
        <f>Wh_hp&gt;='2026'!Maxi_hp</f>
        <v>0</v>
      </c>
      <c r="I261" s="390">
        <f>IF(H261,Wh_hp,'2026'!Maxi_hp)</f>
        <v>51.364733019215166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7.1581256873751165E-2</v>
      </c>
      <c r="M261" s="957"/>
      <c r="N261" s="957"/>
      <c r="O261" s="48">
        <f>IF(t&lt;Tnet,'2026'!Resal+('2026'!Salim-'2026'!Resal)*(1-EXP(('2026'!Tnet-t)/('2026'!Tau_j))),Resal+(Salim-Resal)*(1-EXP((Tnet-t)/(Tau_j))))*Salcycl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2.7663615718320322E-4</v>
      </c>
      <c r="Q261" s="305">
        <f t="shared" si="80"/>
        <v>0.7</v>
      </c>
      <c r="R261" s="177">
        <f t="shared" si="81"/>
        <v>0.46101407780967119</v>
      </c>
      <c r="S261" s="919">
        <f t="shared" si="82"/>
        <v>-1</v>
      </c>
      <c r="T261" s="176">
        <f t="shared" si="83"/>
        <v>5</v>
      </c>
      <c r="U261" s="251">
        <f t="shared" si="84"/>
        <v>-0.53898592219032881</v>
      </c>
      <c r="V261" s="383">
        <f t="shared" si="85"/>
        <v>45.728843244172836</v>
      </c>
      <c r="W261" s="402">
        <f t="shared" si="86"/>
        <v>43.866978037312812</v>
      </c>
      <c r="X261" s="157">
        <f t="shared" si="87"/>
        <v>46634</v>
      </c>
      <c r="Y261" s="385">
        <f t="shared" si="88"/>
        <v>41.926286637331863</v>
      </c>
      <c r="Z261" s="385">
        <f t="shared" si="89"/>
        <v>45.158811094392796</v>
      </c>
      <c r="AA261" s="386">
        <f t="shared" si="90"/>
        <v>48.292606307225235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6.4891822008860511E-2</v>
      </c>
      <c r="AD261" s="231">
        <f>(INDEX(Models!$BJ261:$BT261,,AH261)*(1-AF261)+INDEX(Models!$BJ261:$BT261,,AH261+1)*AF261-ERP_i)*AE261*Ramure*Pc/MaxiM</f>
        <v>4.9534352033134806E-3</v>
      </c>
      <c r="AE261" s="305">
        <f t="shared" si="92"/>
        <v>0.7</v>
      </c>
      <c r="AF261" s="177">
        <f t="shared" si="93"/>
        <v>0.98600164418365033</v>
      </c>
      <c r="AG261" s="919">
        <f t="shared" si="99"/>
        <v>2</v>
      </c>
      <c r="AH261" s="176">
        <f t="shared" si="94"/>
        <v>8</v>
      </c>
      <c r="AI261" s="225">
        <f t="shared" si="95"/>
        <v>2.9860016441836503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1090">
        <f>IF(t&gt;Tmaj,'2026'!Wh/'2026'!Env_an*'2027'!Env_an,0.001*'[11]mon-tableau (3)'!$B$41)</f>
        <v>40.271340688290216</v>
      </c>
      <c r="C262" s="953"/>
      <c r="D262" s="393">
        <f t="shared" si="77"/>
        <v>43.377218578888737</v>
      </c>
      <c r="E262" s="385">
        <f t="shared" si="100"/>
        <v>44.537129833972848</v>
      </c>
      <c r="F262" s="385">
        <f t="shared" si="78"/>
        <v>44.547417572748877</v>
      </c>
      <c r="G262" s="110">
        <f t="shared" si="101"/>
        <v>0.8830608743501146</v>
      </c>
      <c r="H262" s="412" t="b">
        <f>Wh_hp&gt;='2026'!Maxi_hp</f>
        <v>0</v>
      </c>
      <c r="I262" s="390">
        <f>IF(H262,Wh_hp,'2026'!Maxi_hp)</f>
        <v>50.98450100113412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7.1601591626949568E-2</v>
      </c>
      <c r="M262" s="957"/>
      <c r="N262" s="957"/>
      <c r="O262" s="48">
        <f>IF(t&lt;Tnet,'2026'!Resal+('2026'!Salim-'2026'!Resal)*(1-EXP(('2026'!Tnet-t)/('2026'!Tau_j))),Resal+(Salim-Resal)*(1-EXP((Tnet-t)/(Tau_j))))*Salcycl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2.7723692676120314E-4</v>
      </c>
      <c r="Q262" s="305">
        <f t="shared" si="80"/>
        <v>0.7</v>
      </c>
      <c r="R262" s="177">
        <f t="shared" si="81"/>
        <v>0.46157027910244319</v>
      </c>
      <c r="S262" s="919">
        <f t="shared" si="82"/>
        <v>-1</v>
      </c>
      <c r="T262" s="176">
        <f t="shared" si="83"/>
        <v>5</v>
      </c>
      <c r="U262" s="251">
        <f t="shared" si="84"/>
        <v>-0.53842972089755681</v>
      </c>
      <c r="V262" s="383">
        <f t="shared" si="85"/>
        <v>45.602151505255755</v>
      </c>
      <c r="W262" s="402">
        <f t="shared" si="86"/>
        <v>40.271340688290216</v>
      </c>
      <c r="X262" s="157">
        <f t="shared" si="87"/>
        <v>46635</v>
      </c>
      <c r="Y262" s="385">
        <f t="shared" si="88"/>
        <v>38.508420693747688</v>
      </c>
      <c r="Z262" s="385">
        <f t="shared" si="89"/>
        <v>41.478335536174441</v>
      </c>
      <c r="AA262" s="386">
        <f t="shared" si="90"/>
        <v>44.360479214703048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6.4970977084786316E-2</v>
      </c>
      <c r="AD262" s="231">
        <f>(INDEX(Models!$BJ262:$BT262,,AH262)*(1-AF262)+INDEX(Models!$BJ262:$BT262,,AH262+1)*AF262-ERP_i)*AE262*Ramure*Pc/MaxiM</f>
        <v>5.0376683357434672E-3</v>
      </c>
      <c r="AE262" s="305">
        <f t="shared" si="92"/>
        <v>0.7</v>
      </c>
      <c r="AF262" s="177">
        <f t="shared" si="93"/>
        <v>0.98655784547642211</v>
      </c>
      <c r="AG262" s="919">
        <f t="shared" si="99"/>
        <v>2</v>
      </c>
      <c r="AH262" s="176">
        <f t="shared" si="94"/>
        <v>8</v>
      </c>
      <c r="AI262" s="225">
        <f t="shared" si="95"/>
        <v>2.9865578454764221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1090">
        <f>IF(t&gt;Tmaj,'2026'!Wh/'2026'!Env_an*'2027'!Env_an,0.001*'[11]mon-tableau (3)'!$B$42)</f>
        <v>43.356410991194011</v>
      </c>
      <c r="C263" s="953"/>
      <c r="D263" s="393">
        <f t="shared" si="77"/>
        <v>46.701244032339609</v>
      </c>
      <c r="E263" s="385">
        <f t="shared" si="100"/>
        <v>47.956208838167512</v>
      </c>
      <c r="F263" s="385">
        <f t="shared" si="78"/>
        <v>47.968702879835107</v>
      </c>
      <c r="G263" s="110">
        <f t="shared" si="101"/>
        <v>0.95341419545712469</v>
      </c>
      <c r="H263" s="412" t="b">
        <f>Wh_hp&gt;='2026'!Maxi_hp</f>
        <v>0</v>
      </c>
      <c r="I263" s="390">
        <f>IF(H263,Wh_hp,'2026'!Maxi_hp)</f>
        <v>50.093779259666192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7.1621925934764685E-2</v>
      </c>
      <c r="M263" s="957"/>
      <c r="N263" s="957"/>
      <c r="O263" s="48">
        <f>IF(t&lt;Tnet,'2026'!Resal+('2026'!Salim-'2026'!Resal)*(1-EXP(('2026'!Tnet-t)/('2026'!Tau_j))),Resal+(Salim-Resal)*(1-EXP((Tnet-t)/(Tau_j))))*Salcycl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2.7902472185758657E-4</v>
      </c>
      <c r="Q263" s="305">
        <f t="shared" si="80"/>
        <v>0.7</v>
      </c>
      <c r="R263" s="177">
        <f t="shared" si="81"/>
        <v>0.46210528303407483</v>
      </c>
      <c r="S263" s="919">
        <f t="shared" si="82"/>
        <v>-1</v>
      </c>
      <c r="T263" s="176">
        <f t="shared" si="83"/>
        <v>5</v>
      </c>
      <c r="U263" s="251">
        <f t="shared" si="84"/>
        <v>-0.53789471696592517</v>
      </c>
      <c r="V263" s="383">
        <f t="shared" si="85"/>
        <v>45.474051247413904</v>
      </c>
      <c r="W263" s="402">
        <f t="shared" si="86"/>
        <v>43.356410991194011</v>
      </c>
      <c r="X263" s="157">
        <f t="shared" si="87"/>
        <v>46636</v>
      </c>
      <c r="Y263" s="385">
        <f t="shared" si="88"/>
        <v>41.437074277443564</v>
      </c>
      <c r="Z263" s="385">
        <f t="shared" si="89"/>
        <v>44.633835540725904</v>
      </c>
      <c r="AA263" s="386">
        <f t="shared" si="90"/>
        <v>47.739257517541795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6.5049649665682524E-2</v>
      </c>
      <c r="AD263" s="231">
        <f>(INDEX(Models!$BJ263:$BT263,,AH263)*(1-AF263)+INDEX(Models!$BJ263:$BT263,,AH263+1)*AF263-ERP_i)*AE263*Ramure*Pc/MaxiM</f>
        <v>5.1241167669089909E-3</v>
      </c>
      <c r="AE263" s="305">
        <f t="shared" si="92"/>
        <v>0.7</v>
      </c>
      <c r="AF263" s="177">
        <f t="shared" si="93"/>
        <v>0.98709284940805375</v>
      </c>
      <c r="AG263" s="919">
        <f t="shared" si="99"/>
        <v>2</v>
      </c>
      <c r="AH263" s="176">
        <f t="shared" si="94"/>
        <v>8</v>
      </c>
      <c r="AI263" s="225">
        <f t="shared" si="95"/>
        <v>2.9870928494080538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1090">
        <f>IF(t&gt;Tmaj,'2026'!Wh/'2026'!Env_an*'2027'!Env_an,0.001*'[11]mon-tableau (3)'!$B$43)</f>
        <v>34.684933897536958</v>
      </c>
      <c r="C264" s="953"/>
      <c r="D264" s="393">
        <f t="shared" si="77"/>
        <v>37.361603609789753</v>
      </c>
      <c r="E264" s="385">
        <f t="shared" si="100"/>
        <v>38.370515350765565</v>
      </c>
      <c r="F264" s="385">
        <f t="shared" si="78"/>
        <v>38.377703639682338</v>
      </c>
      <c r="G264" s="110">
        <f t="shared" si="101"/>
        <v>0.76485218506133124</v>
      </c>
      <c r="H264" s="412" t="b">
        <f>Wh_hp&gt;='2026'!Maxi_hp</f>
        <v>0</v>
      </c>
      <c r="I264" s="390">
        <f>IF(H264,Wh_hp,'2026'!Maxi_hp)</f>
        <v>51.37719632099251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7.1642259797206176E-2</v>
      </c>
      <c r="M264" s="957"/>
      <c r="N264" s="957"/>
      <c r="O264" s="48">
        <f>IF(t&lt;Tnet,'2026'!Resal+('2026'!Salim-'2026'!Resal)*(1-EXP(('2026'!Tnet-t)/('2026'!Tau_j))),Resal+(Salim-Resal)*(1-EXP((Tnet-t)/(Tau_j))))*Salcycl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2.8200838113531253E-4</v>
      </c>
      <c r="Q264" s="305">
        <f t="shared" si="80"/>
        <v>0.7</v>
      </c>
      <c r="R264" s="177">
        <f t="shared" si="81"/>
        <v>0.46261985226711233</v>
      </c>
      <c r="S264" s="919">
        <f t="shared" si="82"/>
        <v>-1</v>
      </c>
      <c r="T264" s="176">
        <f t="shared" si="83"/>
        <v>5</v>
      </c>
      <c r="U264" s="251">
        <f t="shared" si="84"/>
        <v>-0.53738014773288767</v>
      </c>
      <c r="V264" s="383">
        <f t="shared" si="85"/>
        <v>45.344249695138437</v>
      </c>
      <c r="W264" s="402">
        <f t="shared" si="86"/>
        <v>34.684933897536958</v>
      </c>
      <c r="X264" s="157">
        <f t="shared" si="87"/>
        <v>46637</v>
      </c>
      <c r="Y264" s="385">
        <f t="shared" si="88"/>
        <v>33.192528953836813</v>
      </c>
      <c r="Z264" s="385">
        <f t="shared" si="89"/>
        <v>35.754028341042449</v>
      </c>
      <c r="AA264" s="386">
        <f t="shared" si="90"/>
        <v>38.244830963154094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6.5127824058402464E-2</v>
      </c>
      <c r="AD264" s="231">
        <f>(INDEX(Models!$BJ264:$BT264,,AH264)*(1-AF264)+INDEX(Models!$BJ264:$BT264,,AH264+1)*AF264-ERP_i)*AE264*Ramure*Pc/MaxiM</f>
        <v>5.2128133466373249E-3</v>
      </c>
      <c r="AE264" s="305">
        <f t="shared" si="92"/>
        <v>0.7</v>
      </c>
      <c r="AF264" s="177">
        <f t="shared" si="93"/>
        <v>0.98760741864109125</v>
      </c>
      <c r="AG264" s="919">
        <f t="shared" si="99"/>
        <v>2</v>
      </c>
      <c r="AH264" s="176">
        <f t="shared" si="94"/>
        <v>8</v>
      </c>
      <c r="AI264" s="225">
        <f t="shared" si="95"/>
        <v>2.9876074186410913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1090">
        <f>IF(t&gt;Tmaj,'2026'!Wh/'2026'!Env_an*'2027'!Env_an,0.001*'[11]mon-tableau (3)'!$B$44)</f>
        <v>38.047114316528223</v>
      </c>
      <c r="C265" s="953"/>
      <c r="D265" s="393">
        <f t="shared" si="77"/>
        <v>40.984144383735327</v>
      </c>
      <c r="E265" s="385">
        <f t="shared" si="100"/>
        <v>42.096267017460661</v>
      </c>
      <c r="F265" s="385">
        <f t="shared" si="78"/>
        <v>42.105589243497363</v>
      </c>
      <c r="G265" s="110">
        <f t="shared" si="101"/>
        <v>0.84146390838340579</v>
      </c>
      <c r="H265" s="412" t="b">
        <f>Wh_hp&gt;='2026'!Maxi_hp</f>
        <v>0</v>
      </c>
      <c r="I265" s="390">
        <f>IF(H265,Wh_hp,'2026'!Maxi_hp)</f>
        <v>49.21838095853591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7.1662593214283921E-2</v>
      </c>
      <c r="M265" s="957"/>
      <c r="N265" s="957"/>
      <c r="O265" s="48">
        <f>IF(t&lt;Tnet,'2026'!Resal+('2026'!Salim-'2026'!Resal)*(1-EXP(('2026'!Tnet-t)/('2026'!Tau_j))),Resal+(Salim-Resal)*(1-EXP((Tnet-t)/(Tau_j))))*Salcycl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2.8619672778980987E-4</v>
      </c>
      <c r="Q265" s="305">
        <f t="shared" si="80"/>
        <v>0.7</v>
      </c>
      <c r="R265" s="177">
        <f t="shared" si="81"/>
        <v>0.46311472551395827</v>
      </c>
      <c r="S265" s="919">
        <f t="shared" si="82"/>
        <v>-1</v>
      </c>
      <c r="T265" s="176">
        <f t="shared" si="83"/>
        <v>5</v>
      </c>
      <c r="U265" s="251">
        <f t="shared" si="84"/>
        <v>-0.53688527448604173</v>
      </c>
      <c r="V265" s="383">
        <f t="shared" si="85"/>
        <v>45.212454279907227</v>
      </c>
      <c r="W265" s="402">
        <f t="shared" si="86"/>
        <v>38.047114316528223</v>
      </c>
      <c r="X265" s="157">
        <f t="shared" si="87"/>
        <v>46638</v>
      </c>
      <c r="Y265" s="385">
        <f t="shared" si="88"/>
        <v>36.389507593425201</v>
      </c>
      <c r="Z265" s="385">
        <f t="shared" si="89"/>
        <v>39.198579446906663</v>
      </c>
      <c r="AA265" s="386">
        <f t="shared" si="90"/>
        <v>41.932829912466602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6.520548389573505E-2</v>
      </c>
      <c r="AD265" s="231">
        <f>(INDEX(Models!$BJ265:$BT265,,AH265)*(1-AF265)+INDEX(Models!$BJ265:$BT265,,AH265+1)*AF265-ERP_i)*AE265*Ramure*Pc/MaxiM</f>
        <v>5.3037927895647754E-3</v>
      </c>
      <c r="AE265" s="305">
        <f t="shared" si="92"/>
        <v>0.7</v>
      </c>
      <c r="AF265" s="177">
        <f t="shared" si="93"/>
        <v>0.98810229188793697</v>
      </c>
      <c r="AG265" s="919">
        <f t="shared" si="99"/>
        <v>2</v>
      </c>
      <c r="AH265" s="176">
        <f t="shared" si="94"/>
        <v>8</v>
      </c>
      <c r="AI265" s="225">
        <f t="shared" si="95"/>
        <v>2.988102291887937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1090">
        <f>IF(t&gt;Tmaj,'2026'!Wh/'2026'!Env_an*'2027'!Env_an,0.001*'[11]mon-tableau (3)'!$B$45)</f>
        <v>19.686566344126987</v>
      </c>
      <c r="C266" s="953"/>
      <c r="D266" s="393">
        <f t="shared" si="77"/>
        <v>21.206726558679669</v>
      </c>
      <c r="E266" s="385">
        <f t="shared" si="100"/>
        <v>21.784961295518386</v>
      </c>
      <c r="F266" s="385">
        <f t="shared" si="78"/>
        <v>21.786202081145664</v>
      </c>
      <c r="G266" s="110">
        <f t="shared" si="101"/>
        <v>0.4366161766612251</v>
      </c>
      <c r="H266" s="412" t="b">
        <f>Wh_hp&gt;='2026'!Maxi_hp</f>
        <v>0</v>
      </c>
      <c r="I266" s="390">
        <f>IF(H266,Wh_hp,'2026'!Maxi_hp)</f>
        <v>48.849649959056784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7.1682926186007689E-2</v>
      </c>
      <c r="M266" s="957"/>
      <c r="N266" s="957"/>
      <c r="O266" s="48">
        <f>IF(t&lt;Tnet,'2026'!Resal+('2026'!Salim-'2026'!Resal)*(1-EXP(('2026'!Tnet-t)/('2026'!Tau_j))),Resal+(Salim-Resal)*(1-EXP((Tnet-t)/(Tau_j))))*Salcycl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2.9159863308010132E-4</v>
      </c>
      <c r="Q266" s="305">
        <f t="shared" si="80"/>
        <v>0.7</v>
      </c>
      <c r="R266" s="177">
        <f t="shared" si="81"/>
        <v>0.46359061801331336</v>
      </c>
      <c r="S266" s="919">
        <f t="shared" si="82"/>
        <v>-1</v>
      </c>
      <c r="T266" s="176">
        <f t="shared" si="83"/>
        <v>5</v>
      </c>
      <c r="U266" s="251">
        <f t="shared" si="84"/>
        <v>-0.53640938198668664</v>
      </c>
      <c r="V266" s="383">
        <f t="shared" si="85"/>
        <v>45.078372636463527</v>
      </c>
      <c r="W266" s="402">
        <f t="shared" si="86"/>
        <v>19.686566344126987</v>
      </c>
      <c r="X266" s="157">
        <f t="shared" si="87"/>
        <v>46639</v>
      </c>
      <c r="Y266" s="385">
        <f t="shared" si="88"/>
        <v>18.884267690437426</v>
      </c>
      <c r="Z266" s="385">
        <f t="shared" si="89"/>
        <v>20.342475887954294</v>
      </c>
      <c r="AA266" s="386">
        <f t="shared" si="90"/>
        <v>21.763236836692606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6.5282612113236979E-2</v>
      </c>
      <c r="AD266" s="231">
        <f>(INDEX(Models!$BJ266:$BT266,,AH266)*(1-AF266)+INDEX(Models!$BJ266:$BT266,,AH266+1)*AF266-ERP_i)*AE266*Ramure*Pc/MaxiM</f>
        <v>5.3970917647955417E-3</v>
      </c>
      <c r="AE266" s="305">
        <f t="shared" si="92"/>
        <v>0.7</v>
      </c>
      <c r="AF266" s="177">
        <f t="shared" si="93"/>
        <v>0.9885781843872925</v>
      </c>
      <c r="AG266" s="919">
        <f t="shared" si="99"/>
        <v>2</v>
      </c>
      <c r="AH266" s="176">
        <f t="shared" si="94"/>
        <v>8</v>
      </c>
      <c r="AI266" s="225">
        <f t="shared" si="95"/>
        <v>2.9885781843872925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1090">
        <f>IF(t&gt;Tmaj,'2026'!Wh/'2026'!Env_an*'2027'!Env_an,0.001*'[11]mon-tableau (3)'!$B$46)</f>
        <v>42.975209796047011</v>
      </c>
      <c r="C267" s="953"/>
      <c r="D267" s="393">
        <f t="shared" si="77"/>
        <v>46.294689924729646</v>
      </c>
      <c r="E267" s="385">
        <f t="shared" si="100"/>
        <v>47.563042723103763</v>
      </c>
      <c r="F267" s="385">
        <f t="shared" si="78"/>
        <v>47.576344177667082</v>
      </c>
      <c r="G267" s="110">
        <f t="shared" si="101"/>
        <v>0.95622542940151545</v>
      </c>
      <c r="H267" s="412" t="b">
        <f>Wh_hp&gt;='2026'!Maxi_hp</f>
        <v>0</v>
      </c>
      <c r="I267" s="390">
        <f>IF(H267,Wh_hp,'2026'!Maxi_hp)</f>
        <v>47.577049674371182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7.1703258712387252E-2</v>
      </c>
      <c r="M267" s="957"/>
      <c r="N267" s="957"/>
      <c r="O267" s="48">
        <f>IF(t&lt;Tnet,'2026'!Resal+('2026'!Salim-'2026'!Resal)*(1-EXP(('2026'!Tnet-t)/('2026'!Tau_j))),Resal+(Salim-Resal)*(1-EXP((Tnet-t)/(Tau_j))))*Salcycl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2.9822308032803559E-4</v>
      </c>
      <c r="Q267" s="305">
        <f t="shared" si="80"/>
        <v>0.7</v>
      </c>
      <c r="R267" s="177">
        <f t="shared" si="81"/>
        <v>0.46404822202097828</v>
      </c>
      <c r="S267" s="919">
        <f t="shared" si="82"/>
        <v>-1</v>
      </c>
      <c r="T267" s="176">
        <f t="shared" si="83"/>
        <v>5</v>
      </c>
      <c r="U267" s="251">
        <f t="shared" si="84"/>
        <v>-0.53595177797902172</v>
      </c>
      <c r="V267" s="383">
        <f t="shared" si="85"/>
        <v>44.941712607497692</v>
      </c>
      <c r="W267" s="402">
        <f t="shared" si="86"/>
        <v>42.975209796047011</v>
      </c>
      <c r="X267" s="157">
        <f t="shared" si="87"/>
        <v>46640</v>
      </c>
      <c r="Y267" s="385">
        <f t="shared" si="88"/>
        <v>41.065820010336331</v>
      </c>
      <c r="Z267" s="385">
        <f t="shared" si="89"/>
        <v>44.237815543093639</v>
      </c>
      <c r="AA267" s="386">
        <f t="shared" si="90"/>
        <v>47.331354584414427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6.5359190931320837E-2</v>
      </c>
      <c r="AD267" s="231">
        <f>(INDEX(Models!$BJ267:$BT267,,AH267)*(1-AF267)+INDEX(Models!$BJ267:$BT267,,AH267+1)*AF267-ERP_i)*AE267*Ramure*Pc/MaxiM</f>
        <v>5.4927489922503977E-3</v>
      </c>
      <c r="AE267" s="305">
        <f t="shared" si="92"/>
        <v>0.7</v>
      </c>
      <c r="AF267" s="177">
        <f t="shared" si="93"/>
        <v>0.9890357883949572</v>
      </c>
      <c r="AG267" s="919">
        <f t="shared" si="99"/>
        <v>2</v>
      </c>
      <c r="AH267" s="176">
        <f t="shared" si="94"/>
        <v>8</v>
      </c>
      <c r="AI267" s="225">
        <f t="shared" si="95"/>
        <v>2.9890357883949572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1090">
        <f>IF(t&gt;Tmaj,'2026'!Wh/'2026'!Env_an*'2027'!Env_an,0.001*'[11]mon-tableau (3)'!$B$47)</f>
        <v>43.776130969258148</v>
      </c>
      <c r="C268" s="953"/>
      <c r="D268" s="393">
        <f t="shared" si="77"/>
        <v>47.158508538071352</v>
      </c>
      <c r="E268" s="385">
        <f t="shared" si="100"/>
        <v>48.456679627955481</v>
      </c>
      <c r="F268" s="385">
        <f t="shared" si="78"/>
        <v>48.471042142579002</v>
      </c>
      <c r="G268" s="110">
        <f t="shared" si="101"/>
        <v>0.97708863828435</v>
      </c>
      <c r="H268" s="412" t="b">
        <f>Wh_hp&gt;='2026'!Maxi_hp</f>
        <v>0</v>
      </c>
      <c r="I268" s="390">
        <f>IF(H268,Wh_hp,'2026'!Maxi_hp)</f>
        <v>48.471428052242906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7.1723590793432157E-2</v>
      </c>
      <c r="M268" s="957"/>
      <c r="N268" s="957"/>
      <c r="O268" s="48">
        <f>IF(t&lt;Tnet,'2026'!Resal+('2026'!Salim-'2026'!Resal)*(1-EXP(('2026'!Tnet-t)/('2026'!Tau_j))),Resal+(Salim-Resal)*(1-EXP((Tnet-t)/(Tau_j))))*Salcycl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3.0633340435817953E-4</v>
      </c>
      <c r="Q268" s="305">
        <f t="shared" si="80"/>
        <v>0.7</v>
      </c>
      <c r="R268" s="177">
        <f t="shared" si="81"/>
        <v>0.46448820731231499</v>
      </c>
      <c r="S268" s="919">
        <f t="shared" si="82"/>
        <v>-1</v>
      </c>
      <c r="T268" s="176">
        <f t="shared" si="83"/>
        <v>5</v>
      </c>
      <c r="U268" s="251">
        <f t="shared" si="84"/>
        <v>-0.53551179268768501</v>
      </c>
      <c r="V268" s="383">
        <f t="shared" si="85"/>
        <v>44.802170849641485</v>
      </c>
      <c r="W268" s="402">
        <f t="shared" si="86"/>
        <v>43.776130969258148</v>
      </c>
      <c r="X268" s="157">
        <f t="shared" si="87"/>
        <v>46641</v>
      </c>
      <c r="Y268" s="385">
        <f t="shared" si="88"/>
        <v>41.822890715300765</v>
      </c>
      <c r="Z268" s="385">
        <f t="shared" si="89"/>
        <v>45.054350515110407</v>
      </c>
      <c r="AA268" s="386">
        <f t="shared" si="90"/>
        <v>48.208910290639459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6.543520184362181E-2</v>
      </c>
      <c r="AD268" s="231">
        <f>(INDEX(Models!$BJ268:$BT268,,AH268)*(1-AF268)+INDEX(Models!$BJ268:$BT268,,AH268+1)*AF268-ERP_i)*AE268*Ramure*Pc/MaxiM</f>
        <v>5.5909250364748232E-3</v>
      </c>
      <c r="AE268" s="305">
        <f t="shared" si="92"/>
        <v>0.7</v>
      </c>
      <c r="AF268" s="177">
        <f t="shared" si="93"/>
        <v>0.9894757736862938</v>
      </c>
      <c r="AG268" s="919">
        <f t="shared" si="99"/>
        <v>2</v>
      </c>
      <c r="AH268" s="176">
        <f t="shared" si="94"/>
        <v>8</v>
      </c>
      <c r="AI268" s="225">
        <f t="shared" si="95"/>
        <v>2.9894757736862938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1090">
        <f>IF(t&gt;Tmaj,'2026'!Wh/'2026'!Env_an*'2027'!Env_an,0.001*'[11]mon-tableau (3)'!$B$48)</f>
        <v>30.791403331446823</v>
      </c>
      <c r="C269" s="953"/>
      <c r="D269" s="393">
        <f t="shared" si="77"/>
        <v>33.171238061833989</v>
      </c>
      <c r="E269" s="385">
        <f t="shared" si="100"/>
        <v>34.088685451549829</v>
      </c>
      <c r="F269" s="385">
        <f t="shared" si="78"/>
        <v>34.094662435200306</v>
      </c>
      <c r="G269" s="110">
        <f t="shared" si="101"/>
        <v>0.68937410393879206</v>
      </c>
      <c r="H269" s="412" t="b">
        <f>Wh_hp&gt;='2026'!Maxi_hp</f>
        <v>0</v>
      </c>
      <c r="I269" s="390">
        <f>IF(H269,Wh_hp,'2026'!Maxi_hp)</f>
        <v>49.547587041399964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7.1743922429152396E-2</v>
      </c>
      <c r="M269" s="957"/>
      <c r="N269" s="957"/>
      <c r="O269" s="48">
        <f>IF(t&lt;Tnet,'2026'!Resal+('2026'!Salim-'2026'!Resal)*(1-EXP(('2026'!Tnet-t)/('2026'!Tau_j))),Resal+(Salim-Resal)*(1-EXP((Tnet-t)/(Tau_j))))*Salcycl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3.1507878028603196E-4</v>
      </c>
      <c r="Q269" s="305">
        <f t="shared" si="80"/>
        <v>0.7</v>
      </c>
      <c r="R269" s="177">
        <f t="shared" si="81"/>
        <v>0.46491122169390198</v>
      </c>
      <c r="S269" s="919">
        <f t="shared" si="82"/>
        <v>-1</v>
      </c>
      <c r="T269" s="176">
        <f t="shared" si="83"/>
        <v>5</v>
      </c>
      <c r="U269" s="251">
        <f t="shared" si="84"/>
        <v>-0.53508877830609802</v>
      </c>
      <c r="V269" s="383">
        <f t="shared" si="85"/>
        <v>44.659494151447582</v>
      </c>
      <c r="W269" s="402">
        <f t="shared" si="86"/>
        <v>30.791403331446823</v>
      </c>
      <c r="X269" s="157">
        <f t="shared" si="87"/>
        <v>46642</v>
      </c>
      <c r="Y269" s="385">
        <f t="shared" si="88"/>
        <v>29.481648391235531</v>
      </c>
      <c r="Z269" s="385">
        <f t="shared" si="89"/>
        <v>31.760253558895112</v>
      </c>
      <c r="AA269" s="386">
        <f t="shared" si="90"/>
        <v>33.986746590581852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6.5510625612624232E-2</v>
      </c>
      <c r="AD269" s="231">
        <f>(INDEX(Models!$BJ269:$BT269,,AH269)*(1-AF269)+INDEX(Models!$BJ269:$BT269,,AH269+1)*AF269-ERP_i)*AE269*Ramure*Pc/MaxiM</f>
        <v>5.6888214330697746E-3</v>
      </c>
      <c r="AE269" s="305">
        <f t="shared" si="92"/>
        <v>0.7</v>
      </c>
      <c r="AF269" s="177">
        <f t="shared" si="93"/>
        <v>0.9898987880678809</v>
      </c>
      <c r="AG269" s="919">
        <f t="shared" si="99"/>
        <v>2</v>
      </c>
      <c r="AH269" s="176">
        <f t="shared" si="94"/>
        <v>8</v>
      </c>
      <c r="AI269" s="225">
        <f t="shared" si="95"/>
        <v>2.9898987880678809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1090">
        <f>IF(t&gt;Tmaj,'2026'!Wh/'2026'!Env_an*'2027'!Env_an,0.001*'[11]mon-tableau (3)'!$B$49)</f>
        <v>11.124698580130467</v>
      </c>
      <c r="C270" s="953"/>
      <c r="D270" s="393">
        <f t="shared" si="77"/>
        <v>11.984777168418754</v>
      </c>
      <c r="E270" s="385">
        <f t="shared" si="100"/>
        <v>12.317805901357193</v>
      </c>
      <c r="F270" s="385">
        <f t="shared" si="78"/>
        <v>12.317805901357193</v>
      </c>
      <c r="G270" s="110">
        <f t="shared" si="101"/>
        <v>0.24983693186115649</v>
      </c>
      <c r="H270" s="412" t="b">
        <f>Wh_hp&gt;='2026'!Maxi_hp</f>
        <v>0</v>
      </c>
      <c r="I270" s="390">
        <f>IF(H270,Wh_hp,'2026'!Maxi_hp)</f>
        <v>47.552887947991515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7.1764253619557627E-2</v>
      </c>
      <c r="M270" s="957"/>
      <c r="N270" s="957"/>
      <c r="O270" s="48">
        <f>IF(t&lt;Tnet,'2026'!Resal+('2026'!Salim-'2026'!Resal)*(1-EXP(('2026'!Tnet-t)/('2026'!Tau_j))),Resal+(Salim-Resal)*(1-EXP((Tnet-t)/(Tau_j))))*Salcycl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3.2446547045968268E-4</v>
      </c>
      <c r="Q270" s="305">
        <f t="shared" si="80"/>
        <v>0.7</v>
      </c>
      <c r="R270" s="177">
        <f t="shared" si="81"/>
        <v>0.46531789152211211</v>
      </c>
      <c r="S270" s="919">
        <f t="shared" si="82"/>
        <v>-1</v>
      </c>
      <c r="T270" s="176">
        <f t="shared" si="83"/>
        <v>5</v>
      </c>
      <c r="U270" s="251">
        <f t="shared" si="84"/>
        <v>-0.53468210847788789</v>
      </c>
      <c r="V270" s="383">
        <f t="shared" si="85"/>
        <v>44.513390861493349</v>
      </c>
      <c r="W270" s="402">
        <f t="shared" si="86"/>
        <v>11.124698580130467</v>
      </c>
      <c r="X270" s="157">
        <f t="shared" si="87"/>
        <v>46643</v>
      </c>
      <c r="Y270" s="385">
        <f t="shared" si="88"/>
        <v>10.683935104450535</v>
      </c>
      <c r="Z270" s="385">
        <f t="shared" si="89"/>
        <v>11.509937153477892</v>
      </c>
      <c r="AA270" s="386">
        <f t="shared" si="90"/>
        <v>12.317805901357193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6.5585442273472516E-2</v>
      </c>
      <c r="AD270" s="231">
        <f>(INDEX(Models!$BJ270:$BT270,,AH270)*(1-AF270)+INDEX(Models!$BJ270:$BT270,,AH270+1)*AF270-ERP_i)*AE270*Ramure*Pc/MaxiM</f>
        <v>5.7864688135122423E-3</v>
      </c>
      <c r="AE270" s="305">
        <f t="shared" si="92"/>
        <v>0.7</v>
      </c>
      <c r="AF270" s="177">
        <f t="shared" si="93"/>
        <v>0.99030545789609103</v>
      </c>
      <c r="AG270" s="919">
        <f t="shared" si="99"/>
        <v>2</v>
      </c>
      <c r="AH270" s="176">
        <f t="shared" si="94"/>
        <v>8</v>
      </c>
      <c r="AI270" s="225">
        <f t="shared" si="95"/>
        <v>2.990305457896091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1090">
        <f>IF(t&gt;Tmaj,'2026'!Wh/'2026'!Env_an*'2027'!Env_an,0.001*'[11]mon-tableau (3)'!$B$50)</f>
        <v>33.627489802336335</v>
      </c>
      <c r="C271" s="953"/>
      <c r="D271" s="393">
        <f t="shared" ref="D271:D334" si="102">Wh/(1-Ppv)</f>
        <v>36.228109591693304</v>
      </c>
      <c r="E271" s="385">
        <f t="shared" si="100"/>
        <v>37.239489444501146</v>
      </c>
      <c r="F271" s="385">
        <f t="shared" ref="F271:F334" si="103">Wh_sa/(1-Pvg*MEDIAN((-Sdif+Wh/Env_an)/Csdif,0,1))</f>
        <v>37.247641371302997</v>
      </c>
      <c r="G271" s="110">
        <f t="shared" si="101"/>
        <v>0.75791016248110898</v>
      </c>
      <c r="H271" s="412" t="b">
        <f>Wh_hp&gt;='2026'!Maxi_hp</f>
        <v>0</v>
      </c>
      <c r="I271" s="390">
        <f>IF(H271,Wh_hp,'2026'!Maxi_hp)</f>
        <v>47.223329847400791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7.1784584364657622E-2</v>
      </c>
      <c r="M271" s="957"/>
      <c r="N271" s="957"/>
      <c r="O271" s="48">
        <f>IF(t&lt;Tnet,'2026'!Resal+('2026'!Salim-'2026'!Resal)*(1-EXP(('2026'!Tnet-t)/('2026'!Tau_j))),Resal+(Salim-Resal)*(1-EXP((Tnet-t)/(Tau_j))))*Salcycl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3.3449998755204728E-4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0.46570882222654764</v>
      </c>
      <c r="S271" s="919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-0.53429117777345236</v>
      </c>
      <c r="V271" s="383">
        <f t="shared" ref="V271:V334" si="110">MaxiM*(1-Ppv)*(1-Pvg)*(1-Psa)</f>
        <v>44.363569523125591</v>
      </c>
      <c r="W271" s="402">
        <f t="shared" ref="W271:W334" si="111">Wh*(A271&gt;Tmaj)</f>
        <v>33.627489802336335</v>
      </c>
      <c r="X271" s="157">
        <f t="shared" ref="X271:X334" si="112">t</f>
        <v>46644</v>
      </c>
      <c r="Y271" s="385">
        <f t="shared" ref="Y271:Y334" si="113">Wh_pvt_s*(1-Ppv)</f>
        <v>32.179368922794019</v>
      </c>
      <c r="Z271" s="385">
        <f t="shared" ref="Z271:Z334" si="114">Wh_sa_s*(1-Psa_s)</f>
        <v>34.667996653307007</v>
      </c>
      <c r="AA271" s="386">
        <f t="shared" ref="AA271:AA334" si="115">Wh_hp*(1-Pvg_s*MEDIAN((-Sdif+Wh/Env_an)/Csdif,0,1))</f>
        <v>37.104247883305064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6.5659631146821953E-2</v>
      </c>
      <c r="AD271" s="231">
        <f>(INDEX(Models!$BJ271:$BT271,,AH271)*(1-AF271)+INDEX(Models!$BJ271:$BT271,,AH271+1)*AF271-ERP_i)*AE271*Ramure*Pc/MaxiM</f>
        <v>5.8838997351448596E-3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0.99069638860052667</v>
      </c>
      <c r="AG271" s="91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2.9906963886005267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1090">
        <f>IF(t&gt;Tmaj,'2026'!Wh/'2026'!Env_an*'2027'!Env_an,0.001*'[11]mon-tableau (3)'!$B$51)</f>
        <v>38.590421397968804</v>
      </c>
      <c r="C272" s="953"/>
      <c r="D272" s="393">
        <f t="shared" si="102"/>
        <v>41.575765706644049</v>
      </c>
      <c r="E272" s="385">
        <f t="shared" si="100"/>
        <v>42.741797477350346</v>
      </c>
      <c r="F272" s="385">
        <f t="shared" si="103"/>
        <v>42.753875864243163</v>
      </c>
      <c r="G272" s="110">
        <f t="shared" si="101"/>
        <v>0.87283939868513027</v>
      </c>
      <c r="H272" s="412" t="b">
        <f>Wh_hp&gt;='2026'!Maxi_hp</f>
        <v>0</v>
      </c>
      <c r="I272" s="390">
        <f>IF(H272,Wh_hp,'2026'!Maxi_hp)</f>
        <v>48.01660304214726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7.1804914664462149E-2</v>
      </c>
      <c r="M272" s="957"/>
      <c r="N272" s="957"/>
      <c r="O272" s="48">
        <f>IF(t&lt;Tnet,'2026'!Resal+('2026'!Salim-'2026'!Resal)*(1-EXP(('2026'!Tnet-t)/('2026'!Tau_j))),Resal+(Salim-Resal)*(1-EXP((Tnet-t)/(Tau_j))))*Salcycl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3.4518913291341186E-4</v>
      </c>
      <c r="Q272" s="305">
        <f t="shared" si="105"/>
        <v>0.7</v>
      </c>
      <c r="R272" s="177">
        <f t="shared" si="106"/>
        <v>0.46608459883644571</v>
      </c>
      <c r="S272" s="919">
        <f t="shared" si="107"/>
        <v>-1</v>
      </c>
      <c r="T272" s="176">
        <f t="shared" si="108"/>
        <v>5</v>
      </c>
      <c r="U272" s="251">
        <f t="shared" si="109"/>
        <v>-0.53391540116355429</v>
      </c>
      <c r="V272" s="383">
        <f t="shared" si="110"/>
        <v>44.209738869332604</v>
      </c>
      <c r="W272" s="402">
        <f t="shared" si="111"/>
        <v>38.590421397968804</v>
      </c>
      <c r="X272" s="157">
        <f t="shared" si="112"/>
        <v>46645</v>
      </c>
      <c r="Y272" s="385">
        <f t="shared" si="113"/>
        <v>36.89389895752474</v>
      </c>
      <c r="Z272" s="385">
        <f t="shared" si="114"/>
        <v>39.748000760193406</v>
      </c>
      <c r="AA272" s="386">
        <f t="shared" si="115"/>
        <v>42.544591673928686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6.5733170861504056E-2</v>
      </c>
      <c r="AD272" s="231">
        <f>(INDEX(Models!$BJ272:$BT272,,AH272)*(1-AF272)+INDEX(Models!$BJ272:$BT272,,AH272+1)*AF272-ERP_i)*AE272*Ramure*Pc/MaxiM</f>
        <v>5.9811487103536235E-3</v>
      </c>
      <c r="AE272" s="305">
        <f t="shared" si="117"/>
        <v>0.7</v>
      </c>
      <c r="AF272" s="177">
        <f t="shared" si="118"/>
        <v>0.99107216521042485</v>
      </c>
      <c r="AG272" s="919">
        <f t="shared" ref="AG272:AG335" si="124">INDEX(Echel_vg,AH272)</f>
        <v>2</v>
      </c>
      <c r="AH272" s="176">
        <f t="shared" si="119"/>
        <v>8</v>
      </c>
      <c r="AI272" s="225">
        <f t="shared" si="120"/>
        <v>2.9910721652104248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1090">
        <f>IF(t&gt;Tmaj,'2026'!Wh/'2026'!Env_an*'2027'!Env_an,0.001*'[11]mon-tableau (3)'!$B$52)</f>
        <v>25.699706840857488</v>
      </c>
      <c r="C273" s="953"/>
      <c r="D273" s="393">
        <f t="shared" si="102"/>
        <v>27.688435490296026</v>
      </c>
      <c r="E273" s="385">
        <f t="shared" si="100"/>
        <v>28.46854333741749</v>
      </c>
      <c r="F273" s="385">
        <f t="shared" si="103"/>
        <v>28.472653301342326</v>
      </c>
      <c r="G273" s="110">
        <f t="shared" si="101"/>
        <v>0.58327616269539106</v>
      </c>
      <c r="H273" s="412" t="b">
        <f>Wh_hp&gt;='2026'!Maxi_hp</f>
        <v>0</v>
      </c>
      <c r="I273" s="390">
        <f>IF(H273,Wh_hp,'2026'!Maxi_hp)</f>
        <v>47.259197332077989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7.1825244518980869E-2</v>
      </c>
      <c r="M273" s="957"/>
      <c r="N273" s="957"/>
      <c r="O273" s="48">
        <f>IF(t&lt;Tnet,'2026'!Resal+('2026'!Salim-'2026'!Resal)*(1-EXP(('2026'!Tnet-t)/('2026'!Tau_j))),Resal+(Salim-Resal)*(1-EXP((Tnet-t)/(Tau_j))))*Salcycl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3.5654003649420449E-4</v>
      </c>
      <c r="Q273" s="305">
        <f t="shared" si="105"/>
        <v>0.7</v>
      </c>
      <c r="R273" s="177">
        <f t="shared" si="106"/>
        <v>0.46644578650834134</v>
      </c>
      <c r="S273" s="919">
        <f t="shared" si="107"/>
        <v>-1</v>
      </c>
      <c r="T273" s="176">
        <f t="shared" si="108"/>
        <v>5</v>
      </c>
      <c r="U273" s="251">
        <f t="shared" si="109"/>
        <v>-0.53355421349165866</v>
      </c>
      <c r="V273" s="383">
        <f t="shared" si="110"/>
        <v>44.051607827961242</v>
      </c>
      <c r="W273" s="402">
        <f t="shared" si="111"/>
        <v>25.699706840857488</v>
      </c>
      <c r="X273" s="157">
        <f t="shared" si="112"/>
        <v>46646</v>
      </c>
      <c r="Y273" s="385">
        <f t="shared" si="113"/>
        <v>24.627748410142747</v>
      </c>
      <c r="Z273" s="385">
        <f t="shared" si="114"/>
        <v>26.533525356849005</v>
      </c>
      <c r="AA273" s="386">
        <f t="shared" si="115"/>
        <v>28.402587123832156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6.5806039387688475E-2</v>
      </c>
      <c r="AD273" s="231">
        <f>(INDEX(Models!$BJ273:$BT273,,AH273)*(1-AF273)+INDEX(Models!$BJ273:$BT273,,AH273+1)*AF273-ERP_i)*AE273*Ramure*Pc/MaxiM</f>
        <v>6.0782522531490921E-3</v>
      </c>
      <c r="AE273" s="305">
        <f t="shared" si="117"/>
        <v>0.7</v>
      </c>
      <c r="AF273" s="177">
        <f t="shared" si="118"/>
        <v>0.99143335288232048</v>
      </c>
      <c r="AG273" s="919">
        <f t="shared" si="124"/>
        <v>2</v>
      </c>
      <c r="AH273" s="176">
        <f t="shared" si="119"/>
        <v>8</v>
      </c>
      <c r="AI273" s="225">
        <f t="shared" si="120"/>
        <v>2.9914333528823205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1090">
        <f>IF(t&gt;Tmaj,'2026'!Wh/'2026'!Env_an*'2027'!Env_an,0.001*'[11]mon-tableau (3)'!$B$53)</f>
        <v>45.325695292918034</v>
      </c>
      <c r="C274" s="953"/>
      <c r="D274" s="393">
        <f t="shared" si="102"/>
        <v>48.834217690206742</v>
      </c>
      <c r="E274" s="385">
        <f t="shared" si="100"/>
        <v>50.216354847173385</v>
      </c>
      <c r="F274" s="385">
        <f t="shared" si="103"/>
        <v>50.234869420638518</v>
      </c>
      <c r="G274" s="110">
        <f t="shared" si="101"/>
        <v>1.032737440572373</v>
      </c>
      <c r="H274" s="412" t="b">
        <f>Wh_hp&gt;='2026'!Maxi_hp</f>
        <v>1</v>
      </c>
      <c r="I274" s="390">
        <f>IF(H274,Wh_hp,'2026'!Maxi_hp)</f>
        <v>50.234869420638518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7.1845573928223549E-2</v>
      </c>
      <c r="M274" s="957"/>
      <c r="N274" s="957"/>
      <c r="O274" s="48">
        <f>IF(t&lt;Tnet,'2026'!Resal+('2026'!Salim-'2026'!Resal)*(1-EXP(('2026'!Tnet-t)/('2026'!Tau_j))),Resal+(Salim-Resal)*(1-EXP((Tnet-t)/(Tau_j))))*Salcycl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3.6856019889495013E-4</v>
      </c>
      <c r="Q274" s="305">
        <f t="shared" si="105"/>
        <v>0.7</v>
      </c>
      <c r="R274" s="177">
        <f t="shared" si="106"/>
        <v>0.46679293105343966</v>
      </c>
      <c r="S274" s="919">
        <f t="shared" si="107"/>
        <v>-1</v>
      </c>
      <c r="T274" s="176">
        <f t="shared" si="108"/>
        <v>5</v>
      </c>
      <c r="U274" s="251">
        <f t="shared" si="109"/>
        <v>-0.53320706894656034</v>
      </c>
      <c r="V274" s="383">
        <f t="shared" si="110"/>
        <v>43.888885511691342</v>
      </c>
      <c r="W274" s="402">
        <f t="shared" si="111"/>
        <v>45.325695292918034</v>
      </c>
      <c r="X274" s="157">
        <f t="shared" si="112"/>
        <v>46647</v>
      </c>
      <c r="Y274" s="385">
        <f t="shared" si="113"/>
        <v>43.285140074878662</v>
      </c>
      <c r="Z274" s="385">
        <f t="shared" si="114"/>
        <v>46.635709380899208</v>
      </c>
      <c r="AA274" s="386">
        <f t="shared" si="115"/>
        <v>49.924656596060885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6.5878214081119546E-2</v>
      </c>
      <c r="AD274" s="231">
        <f>(INDEX(Models!$BJ274:$BT274,,AH274)*(1-AF274)+INDEX(Models!$BJ274:$BT274,,AH274+1)*AF274-ERP_i)*AE274*Ramure*Pc/MaxiM</f>
        <v>6.175248948695122E-3</v>
      </c>
      <c r="AE274" s="305">
        <f t="shared" si="117"/>
        <v>0.7</v>
      </c>
      <c r="AF274" s="177">
        <f t="shared" si="118"/>
        <v>0.99178049742741869</v>
      </c>
      <c r="AG274" s="919">
        <f t="shared" si="124"/>
        <v>2</v>
      </c>
      <c r="AH274" s="176">
        <f t="shared" si="119"/>
        <v>8</v>
      </c>
      <c r="AI274" s="225">
        <f t="shared" si="120"/>
        <v>2.9917804974274187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1090">
        <f>IF(t&gt;Tmaj,'2026'!Wh/'2026'!Env_an*'2027'!Env_an,0.001*'[11]mon-tableau (3)'!$B$54)</f>
        <v>43.834755723084648</v>
      </c>
      <c r="C275" s="953"/>
      <c r="D275" s="393">
        <f t="shared" si="102"/>
        <v>47.228903516937997</v>
      </c>
      <c r="E275" s="385">
        <f t="shared" si="100"/>
        <v>48.571637547558467</v>
      </c>
      <c r="F275" s="385">
        <f t="shared" si="103"/>
        <v>48.590162662386255</v>
      </c>
      <c r="G275" s="110">
        <f t="shared" si="101"/>
        <v>1.0025818254182672</v>
      </c>
      <c r="H275" s="412" t="b">
        <f>Wh_hp&gt;='2026'!Maxi_hp</f>
        <v>1</v>
      </c>
      <c r="I275" s="390">
        <f>IF(H275,Wh_hp,'2026'!Maxi_hp)</f>
        <v>48.590162662386255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7.1865902892200073E-2</v>
      </c>
      <c r="M275" s="957"/>
      <c r="N275" s="957"/>
      <c r="O275" s="48">
        <f>IF(t&lt;Tnet,'2026'!Resal+('2026'!Salim-'2026'!Resal)*(1-EXP(('2026'!Tnet-t)/('2026'!Tau_j))),Resal+(Salim-Resal)*(1-EXP((Tnet-t)/(Tau_j))))*Salcycl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3.8125237317072116E-4</v>
      </c>
      <c r="Q275" s="305">
        <f t="shared" si="105"/>
        <v>0.7</v>
      </c>
      <c r="R275" s="177">
        <f t="shared" si="106"/>
        <v>0.46712655946329751</v>
      </c>
      <c r="S275" s="919">
        <f t="shared" si="107"/>
        <v>-1</v>
      </c>
      <c r="T275" s="176">
        <f t="shared" si="108"/>
        <v>5</v>
      </c>
      <c r="U275" s="251">
        <f t="shared" si="109"/>
        <v>-0.53287344053670249</v>
      </c>
      <c r="V275" s="383">
        <f t="shared" si="110"/>
        <v>43.721873478802813</v>
      </c>
      <c r="W275" s="402">
        <f t="shared" si="111"/>
        <v>43.834755723084648</v>
      </c>
      <c r="X275" s="157">
        <f t="shared" si="112"/>
        <v>46648</v>
      </c>
      <c r="Y275" s="385">
        <f t="shared" si="113"/>
        <v>41.859770574903472</v>
      </c>
      <c r="Z275" s="385">
        <f t="shared" si="114"/>
        <v>45.100994247861998</v>
      </c>
      <c r="AA275" s="386">
        <f t="shared" si="115"/>
        <v>48.285400564897984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6.5949671738893129E-2</v>
      </c>
      <c r="AD275" s="231">
        <f>(INDEX(Models!$BJ275:$BT275,,AH275)*(1-AF275)+INDEX(Models!$BJ275:$BT275,,AH275+1)*AF275-ERP_i)*AE275*Ramure*Pc/MaxiM</f>
        <v>6.2720946131796127E-3</v>
      </c>
      <c r="AE275" s="305">
        <f t="shared" si="117"/>
        <v>0.7</v>
      </c>
      <c r="AF275" s="177">
        <f t="shared" si="118"/>
        <v>0.99211412583727654</v>
      </c>
      <c r="AG275" s="919">
        <f t="shared" si="124"/>
        <v>2</v>
      </c>
      <c r="AH275" s="176">
        <f t="shared" si="119"/>
        <v>8</v>
      </c>
      <c r="AI275" s="225">
        <f t="shared" si="120"/>
        <v>2.9921141258372765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1090">
        <f>IF(t&gt;Tmaj,'2026'!Wh/'2026'!Env_an*'2027'!Env_an,0.001*'[11]mon-tableau (3)'!$B$55)</f>
        <v>43.289847326097401</v>
      </c>
      <c r="C276" s="953"/>
      <c r="D276" s="393">
        <f t="shared" si="102"/>
        <v>46.64282417866368</v>
      </c>
      <c r="E276" s="385">
        <f t="shared" si="100"/>
        <v>47.974831800946028</v>
      </c>
      <c r="F276" s="385">
        <f t="shared" si="103"/>
        <v>47.993646914370615</v>
      </c>
      <c r="G276" s="110">
        <f t="shared" si="101"/>
        <v>0.9939983947175296</v>
      </c>
      <c r="H276" s="412" t="b">
        <f>Wh_hp&gt;='2026'!Maxi_hp</f>
        <v>0</v>
      </c>
      <c r="I276" s="390">
        <f>IF(H276,Wh_hp,'2026'!Maxi_hp)</f>
        <v>47.993775000052551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7.1886231410920098E-2</v>
      </c>
      <c r="M276" s="957"/>
      <c r="N276" s="957"/>
      <c r="O276" s="48">
        <f>IF(t&lt;Tnet,'2026'!Resal+('2026'!Salim-'2026'!Resal)*(1-EXP(('2026'!Tnet-t)/('2026'!Tau_j))),Resal+(Salim-Resal)*(1-EXP((Tnet-t)/(Tau_j))))*Salcycl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3.9542175043442122E-4</v>
      </c>
      <c r="Q276" s="305">
        <f t="shared" si="105"/>
        <v>0.7</v>
      </c>
      <c r="R276" s="177">
        <f t="shared" si="106"/>
        <v>0.46744718043255906</v>
      </c>
      <c r="S276" s="919">
        <f t="shared" si="107"/>
        <v>-1</v>
      </c>
      <c r="T276" s="176">
        <f t="shared" si="108"/>
        <v>5</v>
      </c>
      <c r="U276" s="251">
        <f t="shared" si="109"/>
        <v>-0.53255281956744094</v>
      </c>
      <c r="V276" s="383">
        <f t="shared" si="110"/>
        <v>43.551076961712319</v>
      </c>
      <c r="W276" s="402">
        <f t="shared" si="111"/>
        <v>43.289847326097401</v>
      </c>
      <c r="X276" s="157">
        <f t="shared" si="112"/>
        <v>46649</v>
      </c>
      <c r="Y276" s="385">
        <f t="shared" si="113"/>
        <v>41.34008237816311</v>
      </c>
      <c r="Z276" s="385">
        <f t="shared" si="114"/>
        <v>44.542041910452824</v>
      </c>
      <c r="AA276" s="386">
        <f t="shared" si="115"/>
        <v>47.690593424075772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6.6020388667117208E-2</v>
      </c>
      <c r="AD276" s="231">
        <f>(INDEX(Models!$BJ276:$BT276,,AH276)*(1-AF276)+INDEX(Models!$BJ276:$BT276,,AH276+1)*AF276-ERP_i)*AE276*Ramure*Pc/MaxiM</f>
        <v>6.3690257349755834E-3</v>
      </c>
      <c r="AE276" s="305">
        <f t="shared" si="117"/>
        <v>0.7</v>
      </c>
      <c r="AF276" s="177">
        <f t="shared" si="118"/>
        <v>0.9924347468065382</v>
      </c>
      <c r="AG276" s="919">
        <f t="shared" si="124"/>
        <v>2</v>
      </c>
      <c r="AH276" s="176">
        <f t="shared" si="119"/>
        <v>8</v>
      </c>
      <c r="AI276" s="225">
        <f t="shared" si="120"/>
        <v>2.9924347468065382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1090">
        <f>IF(t&gt;Tmaj,'2026'!Wh/'2026'!Env_an*'2027'!Env_an,0.001*'[11]mon-tableau (3)'!$B$56)</f>
        <v>44.590300944818047</v>
      </c>
      <c r="C277" s="953"/>
      <c r="D277" s="393">
        <f t="shared" si="102"/>
        <v>48.045055592727493</v>
      </c>
      <c r="E277" s="385">
        <f t="shared" si="100"/>
        <v>49.423200184804131</v>
      </c>
      <c r="F277" s="385">
        <f t="shared" si="103"/>
        <v>49.443507967747344</v>
      </c>
      <c r="G277" s="110">
        <f t="shared" si="101"/>
        <v>1.0279810502340774</v>
      </c>
      <c r="H277" s="412" t="b">
        <f>Wh_hp&gt;='2026'!Maxi_hp</f>
        <v>0</v>
      </c>
      <c r="I277" s="390">
        <f>IF(H277,Wh_hp,'2026'!Maxi_hp)</f>
        <v>49.443507967747351</v>
      </c>
      <c r="J277" s="85">
        <f>IF(H277,An,'2026'!An_max)</f>
        <v>2026</v>
      </c>
      <c r="K277" s="197">
        <f t="shared" si="104"/>
        <v>46650</v>
      </c>
      <c r="L277" s="147">
        <f>IF(t&lt;Tvie,1-EXP((T0-t)*PertePVj)+'2026'!Pspv,1-EXP((T0-t)*PertePVj)+Pspv)</f>
        <v>7.1906559484393395E-2</v>
      </c>
      <c r="M277" s="957"/>
      <c r="N277" s="957"/>
      <c r="O277" s="48">
        <f>IF(t&lt;Tnet,'2026'!Resal+('2026'!Salim-'2026'!Resal)*(1-EXP(('2026'!Tnet-t)/('2026'!Tau_j))),Resal+(Salim-Resal)*(1-EXP((Tnet-t)/(Tau_j))))*Salcycl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4.107269847532422E-4</v>
      </c>
      <c r="Q277" s="305">
        <f t="shared" si="105"/>
        <v>0.7</v>
      </c>
      <c r="R277" s="177">
        <f t="shared" si="106"/>
        <v>0.46775528487761786</v>
      </c>
      <c r="S277" s="919">
        <f t="shared" si="107"/>
        <v>-1</v>
      </c>
      <c r="T277" s="176">
        <f t="shared" si="108"/>
        <v>5</v>
      </c>
      <c r="U277" s="251">
        <f t="shared" si="109"/>
        <v>-0.53224471512238214</v>
      </c>
      <c r="V277" s="383">
        <f t="shared" si="110"/>
        <v>43.376578716761912</v>
      </c>
      <c r="W277" s="402">
        <f t="shared" si="111"/>
        <v>44.590300944818047</v>
      </c>
      <c r="X277" s="157">
        <f t="shared" si="112"/>
        <v>46650</v>
      </c>
      <c r="Y277" s="385">
        <f t="shared" si="113"/>
        <v>42.57828716378809</v>
      </c>
      <c r="Z277" s="385">
        <f t="shared" si="114"/>
        <v>45.877155580513019</v>
      </c>
      <c r="AA277" s="386">
        <f t="shared" si="115"/>
        <v>49.123761732885427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6.609034076067094E-2</v>
      </c>
      <c r="AD277" s="231">
        <f>(INDEX(Models!$BJ277:$BT277,,AH277)*(1-AF277)+INDEX(Models!$BJ277:$BT277,,AH277+1)*AF277-ERP_i)*AE277*Ramure*Pc/MaxiM</f>
        <v>6.4669002666738543E-3</v>
      </c>
      <c r="AE277" s="305">
        <f t="shared" si="117"/>
        <v>0.7</v>
      </c>
      <c r="AF277" s="177">
        <f t="shared" si="118"/>
        <v>0.992742851251597</v>
      </c>
      <c r="AG277" s="919">
        <f t="shared" si="124"/>
        <v>2</v>
      </c>
      <c r="AH277" s="176">
        <f t="shared" si="119"/>
        <v>8</v>
      </c>
      <c r="AI277" s="225">
        <f t="shared" si="120"/>
        <v>2.992742851251597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1090">
        <f>IF(t&gt;Tmaj,'2026'!Wh/'2026'!Env_an*'2027'!Env_an,0.001*'[11]mon-tableau (3)'!$B$57)</f>
        <v>43.606454865973106</v>
      </c>
      <c r="C278" s="953"/>
      <c r="D278" s="393">
        <f t="shared" si="102"/>
        <v>46.986012481610516</v>
      </c>
      <c r="E278" s="385">
        <f t="shared" si="100"/>
        <v>48.339715265717501</v>
      </c>
      <c r="F278" s="385">
        <f t="shared" si="103"/>
        <v>48.360373595586267</v>
      </c>
      <c r="G278" s="110">
        <f t="shared" si="101"/>
        <v>1.0094449846448985</v>
      </c>
      <c r="H278" s="412" t="b">
        <f>Wh_hp&gt;='2026'!Maxi_hp</f>
        <v>1</v>
      </c>
      <c r="I278" s="390">
        <f>IF(H278,Wh_hp,'2026'!Maxi_hp)</f>
        <v>48.360373595586267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7.1926887112629734E-2</v>
      </c>
      <c r="M278" s="957"/>
      <c r="N278" s="957"/>
      <c r="O278" s="48">
        <f>IF(t&lt;Tnet,'2026'!Resal+('2026'!Salim-'2026'!Resal)*(1-EXP(('2026'!Tnet-t)/('2026'!Tau_j))),Resal+(Salim-Resal)*(1-EXP((Tnet-t)/(Tau_j))))*Salcycl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4.2717473693483217E-4</v>
      </c>
      <c r="Q278" s="305">
        <f t="shared" si="105"/>
        <v>0.7</v>
      </c>
      <c r="R278" s="177">
        <f t="shared" si="106"/>
        <v>0.46805134645020552</v>
      </c>
      <c r="S278" s="919">
        <f t="shared" si="107"/>
        <v>-1</v>
      </c>
      <c r="T278" s="176">
        <f t="shared" si="108"/>
        <v>5</v>
      </c>
      <c r="U278" s="251">
        <f t="shared" si="109"/>
        <v>-0.53194865354979448</v>
      </c>
      <c r="V278" s="383">
        <f t="shared" si="110"/>
        <v>43.198446204884505</v>
      </c>
      <c r="W278" s="402">
        <f t="shared" si="111"/>
        <v>43.606454865973106</v>
      </c>
      <c r="X278" s="157">
        <f t="shared" si="112"/>
        <v>46651</v>
      </c>
      <c r="Y278" s="385">
        <f t="shared" si="113"/>
        <v>41.637408364866985</v>
      </c>
      <c r="Z278" s="385">
        <f t="shared" si="114"/>
        <v>44.864362286422626</v>
      </c>
      <c r="AA278" s="386">
        <f t="shared" si="115"/>
        <v>48.042853634152145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6.6159503595140876E-2</v>
      </c>
      <c r="AD278" s="231">
        <f>(INDEX(Models!$BJ278:$BT278,,AH278)*(1-AF278)+INDEX(Models!$BJ278:$BT278,,AH278+1)*AF278-ERP_i)*AE278*Ramure*Pc/MaxiM</f>
        <v>6.5657053042928225E-3</v>
      </c>
      <c r="AE278" s="305">
        <f t="shared" si="117"/>
        <v>0.7</v>
      </c>
      <c r="AF278" s="177">
        <f t="shared" si="118"/>
        <v>0.99303891282418455</v>
      </c>
      <c r="AG278" s="919">
        <f t="shared" si="124"/>
        <v>2</v>
      </c>
      <c r="AH278" s="176">
        <f t="shared" si="119"/>
        <v>8</v>
      </c>
      <c r="AI278" s="225">
        <f t="shared" si="120"/>
        <v>2.9930389128241845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1090">
        <f>IF(t&gt;Tmaj,'2026'!Wh/'2026'!Env_an*'2027'!Env_an,0.001*'[11]mon-tableau (3)'!$B$58)</f>
        <v>42.403544289714858</v>
      </c>
      <c r="C279" s="953"/>
      <c r="D279" s="393">
        <f t="shared" si="102"/>
        <v>45.690875500720558</v>
      </c>
      <c r="E279" s="385">
        <f t="shared" si="100"/>
        <v>47.013014905933233</v>
      </c>
      <c r="F279" s="385">
        <f t="shared" si="103"/>
        <v>47.033508070060734</v>
      </c>
      <c r="G279" s="110">
        <f t="shared" si="101"/>
        <v>0.98573609450237887</v>
      </c>
      <c r="H279" s="412" t="b">
        <f>Wh_hp&gt;='2026'!Maxi_hp</f>
        <v>0</v>
      </c>
      <c r="I279" s="390">
        <f>IF(H279,Wh_hp,'2026'!Maxi_hp)</f>
        <v>47.033841801162119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7.1947214295638884E-2</v>
      </c>
      <c r="M279" s="957"/>
      <c r="N279" s="957"/>
      <c r="O279" s="48">
        <f>IF(t&lt;Tnet,'2026'!Resal+('2026'!Salim-'2026'!Resal)*(1-EXP(('2026'!Tnet-t)/('2026'!Tau_j))),Resal+(Salim-Resal)*(1-EXP((Tnet-t)/(Tau_j))))*Salcycl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4.4477157000868446E-4</v>
      </c>
      <c r="Q279" s="305">
        <f t="shared" si="105"/>
        <v>0.7</v>
      </c>
      <c r="R279" s="177">
        <f t="shared" si="106"/>
        <v>0.46833582204501567</v>
      </c>
      <c r="S279" s="919">
        <f t="shared" si="107"/>
        <v>-1</v>
      </c>
      <c r="T279" s="176">
        <f t="shared" si="108"/>
        <v>5</v>
      </c>
      <c r="U279" s="251">
        <f t="shared" si="109"/>
        <v>-0.53166417795498433</v>
      </c>
      <c r="V279" s="383">
        <f t="shared" si="110"/>
        <v>43.016746866935009</v>
      </c>
      <c r="W279" s="402">
        <f t="shared" si="111"/>
        <v>42.403544289714858</v>
      </c>
      <c r="X279" s="157">
        <f t="shared" si="112"/>
        <v>46652</v>
      </c>
      <c r="Y279" s="385">
        <f t="shared" si="113"/>
        <v>40.492618281388737</v>
      </c>
      <c r="Z279" s="385">
        <f t="shared" si="114"/>
        <v>43.631805114033668</v>
      </c>
      <c r="AA279" s="386">
        <f t="shared" si="115"/>
        <v>46.726393834183533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6.6227852530874431E-2</v>
      </c>
      <c r="AD279" s="231">
        <f>(INDEX(Models!$BJ279:$BT279,,AH279)*(1-AF279)+INDEX(Models!$BJ279:$BT279,,AH279+1)*AF279-ERP_i)*AE279*Ramure*Pc/MaxiM</f>
        <v>6.6654265789931879E-3</v>
      </c>
      <c r="AE279" s="305">
        <f t="shared" si="117"/>
        <v>0.7</v>
      </c>
      <c r="AF279" s="177">
        <f t="shared" si="118"/>
        <v>0.99332338841899448</v>
      </c>
      <c r="AG279" s="919">
        <f t="shared" si="124"/>
        <v>2</v>
      </c>
      <c r="AH279" s="176">
        <f t="shared" si="119"/>
        <v>8</v>
      </c>
      <c r="AI279" s="225">
        <f t="shared" si="120"/>
        <v>2.9933233884189945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1090">
        <f>IF(t&gt;Tmaj,'2026'!Wh/'2026'!Env_an*'2027'!Env_an,0.001*'[11]mon-tableau (3)'!$B$59)</f>
        <v>27.952978245307527</v>
      </c>
      <c r="C280" s="953"/>
      <c r="D280" s="393">
        <f t="shared" si="102"/>
        <v>30.120690257359282</v>
      </c>
      <c r="E280" s="385">
        <f t="shared" si="100"/>
        <v>30.996057054893193</v>
      </c>
      <c r="F280" s="385">
        <f t="shared" si="103"/>
        <v>31.003296387183337</v>
      </c>
      <c r="G280" s="110">
        <f t="shared" si="101"/>
        <v>0.65247576082646341</v>
      </c>
      <c r="H280" s="412" t="b">
        <f>Wh_hp&gt;='2026'!Maxi_hp</f>
        <v>0</v>
      </c>
      <c r="I280" s="390">
        <f>IF(H280,Wh_hp,'2026'!Maxi_hp)</f>
        <v>46.242324699542912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7.1967541033430504E-2</v>
      </c>
      <c r="M280" s="957"/>
      <c r="N280" s="957"/>
      <c r="O280" s="48">
        <f>IF(t&lt;Tnet,'2026'!Resal+('2026'!Salim-'2026'!Resal)*(1-EXP(('2026'!Tnet-t)/('2026'!Tau_j))),Resal+(Salim-Resal)*(1-EXP((Tnet-t)/(Tau_j))))*Salcycl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4.6352637662922203E-4</v>
      </c>
      <c r="Q280" s="305">
        <f t="shared" si="105"/>
        <v>0.7</v>
      </c>
      <c r="R280" s="177">
        <f t="shared" si="106"/>
        <v>0.46860915230058087</v>
      </c>
      <c r="S280" s="919">
        <f t="shared" si="107"/>
        <v>-1</v>
      </c>
      <c r="T280" s="176">
        <f t="shared" si="108"/>
        <v>5</v>
      </c>
      <c r="U280" s="251">
        <f t="shared" si="109"/>
        <v>-0.53139084769941913</v>
      </c>
      <c r="V280" s="383">
        <f t="shared" si="110"/>
        <v>42.831548013823614</v>
      </c>
      <c r="W280" s="402">
        <f t="shared" si="111"/>
        <v>27.952978245307527</v>
      </c>
      <c r="X280" s="157">
        <f t="shared" si="112"/>
        <v>46653</v>
      </c>
      <c r="Y280" s="385">
        <f t="shared" si="113"/>
        <v>26.773044887120374</v>
      </c>
      <c r="Z280" s="385">
        <f t="shared" si="114"/>
        <v>28.849254816942583</v>
      </c>
      <c r="AA280" s="386">
        <f t="shared" si="115"/>
        <v>30.897624011325771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6.6295362828945728E-2</v>
      </c>
      <c r="AD280" s="231">
        <f>(INDEX(Models!$BJ280:$BT280,,AH280)*(1-AF280)+INDEX(Models!$BJ280:$BT280,,AH280+1)*AF280-ERP_i)*AE280*Ramure*Pc/MaxiM</f>
        <v>6.7660844298760561E-3</v>
      </c>
      <c r="AE280" s="305">
        <f t="shared" si="117"/>
        <v>0.7</v>
      </c>
      <c r="AF280" s="177">
        <f t="shared" si="118"/>
        <v>0.99359671867456001</v>
      </c>
      <c r="AG280" s="919">
        <f t="shared" si="124"/>
        <v>2</v>
      </c>
      <c r="AH280" s="176">
        <f t="shared" si="119"/>
        <v>8</v>
      </c>
      <c r="AI280" s="225">
        <f t="shared" si="120"/>
        <v>2.99359671867456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1090">
        <f>IF(t&gt;Tmaj,'2026'!Wh/'2026'!Env_an*'2027'!Env_an,0.001*'[11]mon-tableau (3)'!$B$60)</f>
        <v>20.429912682424835</v>
      </c>
      <c r="C281" s="953"/>
      <c r="D281" s="393">
        <f t="shared" si="102"/>
        <v>22.014704294390885</v>
      </c>
      <c r="E281" s="385">
        <f t="shared" si="100"/>
        <v>22.657243575069529</v>
      </c>
      <c r="F281" s="385">
        <f t="shared" si="103"/>
        <v>22.660046359255542</v>
      </c>
      <c r="G281" s="110">
        <f t="shared" si="101"/>
        <v>0.47892037840852142</v>
      </c>
      <c r="H281" s="412" t="b">
        <f>Wh_hp&gt;='2026'!Maxi_hp</f>
        <v>0</v>
      </c>
      <c r="I281" s="390">
        <f>IF(H281,Wh_hp,'2026'!Maxi_hp)</f>
        <v>42.341790799167022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7.1987867326014365E-2</v>
      </c>
      <c r="M281" s="957"/>
      <c r="N281" s="957"/>
      <c r="O281" s="48">
        <f>IF(t&lt;Tnet,'2026'!Resal+('2026'!Salim-'2026'!Resal)*(1-EXP(('2026'!Tnet-t)/('2026'!Tau_j))),Resal+(Salim-Resal)*(1-EXP((Tnet-t)/(Tau_j))))*Salcycl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4.8344701278689434E-4</v>
      </c>
      <c r="Q281" s="305">
        <f t="shared" si="105"/>
        <v>0.7</v>
      </c>
      <c r="R281" s="177">
        <f t="shared" si="106"/>
        <v>0.46887176209271697</v>
      </c>
      <c r="S281" s="919">
        <f t="shared" si="107"/>
        <v>-1</v>
      </c>
      <c r="T281" s="176">
        <f t="shared" si="108"/>
        <v>5</v>
      </c>
      <c r="U281" s="251">
        <f t="shared" si="109"/>
        <v>-0.53112823790728303</v>
      </c>
      <c r="V281" s="383">
        <f t="shared" si="110"/>
        <v>42.642916978012643</v>
      </c>
      <c r="W281" s="402">
        <f t="shared" si="111"/>
        <v>20.429912682424835</v>
      </c>
      <c r="X281" s="157">
        <f t="shared" si="112"/>
        <v>46654</v>
      </c>
      <c r="Y281" s="385">
        <f t="shared" si="113"/>
        <v>19.598787512203113</v>
      </c>
      <c r="Z281" s="385">
        <f t="shared" si="114"/>
        <v>21.119106983796563</v>
      </c>
      <c r="AA281" s="386">
        <f t="shared" si="115"/>
        <v>22.620230972810326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6.6362009778685546E-2</v>
      </c>
      <c r="AD281" s="231">
        <f>(INDEX(Models!$BJ281:$BT281,,AH281)*(1-AF281)+INDEX(Models!$BJ281:$BT281,,AH281+1)*AF281-ERP_i)*AE281*Ramure*Pc/MaxiM</f>
        <v>6.8676816916366503E-3</v>
      </c>
      <c r="AE281" s="305">
        <f t="shared" si="117"/>
        <v>0.7</v>
      </c>
      <c r="AF281" s="177">
        <f t="shared" si="118"/>
        <v>0.99385932846669611</v>
      </c>
      <c r="AG281" s="919">
        <f t="shared" si="124"/>
        <v>2</v>
      </c>
      <c r="AH281" s="176">
        <f t="shared" si="119"/>
        <v>8</v>
      </c>
      <c r="AI281" s="225">
        <f t="shared" si="120"/>
        <v>2.9938593284666961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1090">
        <f>IF(t&gt;Tmaj,'2026'!Wh/'2026'!Env_an*'2027'!Env_an,0.001*'[11]mon-tableau (3)'!$B$61)</f>
        <v>30.129154419981585</v>
      </c>
      <c r="C282" s="953"/>
      <c r="D282" s="393">
        <f t="shared" si="102"/>
        <v>32.467047875145063</v>
      </c>
      <c r="E282" s="385">
        <f t="shared" si="100"/>
        <v>33.418694153200164</v>
      </c>
      <c r="F282" s="385">
        <f t="shared" si="103"/>
        <v>33.428562173262968</v>
      </c>
      <c r="G282" s="110">
        <f t="shared" si="101"/>
        <v>0.70959226436917711</v>
      </c>
      <c r="H282" s="412" t="b">
        <f>Wh_hp&gt;='2026'!Maxi_hp</f>
        <v>0</v>
      </c>
      <c r="I282" s="390">
        <f>IF(H282,Wh_hp,'2026'!Maxi_hp)</f>
        <v>48.914209724554347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7.2008193173400237E-2</v>
      </c>
      <c r="M282" s="957"/>
      <c r="N282" s="957"/>
      <c r="O282" s="48">
        <f>IF(t&lt;Tnet,'2026'!Resal+('2026'!Salim-'2026'!Resal)*(1-EXP(('2026'!Tnet-t)/('2026'!Tau_j))),Resal+(Salim-Resal)*(1-EXP((Tnet-t)/(Tau_j))))*Salcycl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5.0431424199545065E-4</v>
      </c>
      <c r="Q282" s="305">
        <f t="shared" si="105"/>
        <v>0.7</v>
      </c>
      <c r="R282" s="177">
        <f t="shared" si="106"/>
        <v>0.4691240610199352</v>
      </c>
      <c r="S282" s="919">
        <f t="shared" si="107"/>
        <v>-1</v>
      </c>
      <c r="T282" s="176">
        <f t="shared" si="108"/>
        <v>5</v>
      </c>
      <c r="U282" s="251">
        <f t="shared" si="109"/>
        <v>-0.5308759389800648</v>
      </c>
      <c r="V282" s="383">
        <f t="shared" si="110"/>
        <v>42.450930702530599</v>
      </c>
      <c r="W282" s="402">
        <f t="shared" si="111"/>
        <v>30.129154419981585</v>
      </c>
      <c r="X282" s="157">
        <f t="shared" si="112"/>
        <v>46655</v>
      </c>
      <c r="Y282" s="385">
        <f t="shared" si="113"/>
        <v>28.842676361520613</v>
      </c>
      <c r="Z282" s="385">
        <f t="shared" si="114"/>
        <v>31.080744624408112</v>
      </c>
      <c r="AA282" s="386">
        <f t="shared" si="115"/>
        <v>33.292276255545048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6.6427768836280432E-2</v>
      </c>
      <c r="AD282" s="231">
        <f>(INDEX(Models!$BJ282:$BT282,,AH282)*(1-AF282)+INDEX(Models!$BJ282:$BT282,,AH282+1)*AF282-ERP_i)*AE282*Ramure*Pc/MaxiM</f>
        <v>6.9650171818825667E-3</v>
      </c>
      <c r="AE282" s="305">
        <f t="shared" si="117"/>
        <v>0.7</v>
      </c>
      <c r="AF282" s="177">
        <f t="shared" si="118"/>
        <v>0.99411162739391434</v>
      </c>
      <c r="AG282" s="919">
        <f t="shared" si="124"/>
        <v>2</v>
      </c>
      <c r="AH282" s="176">
        <f t="shared" si="119"/>
        <v>8</v>
      </c>
      <c r="AI282" s="225">
        <f t="shared" si="120"/>
        <v>2.9941116273939143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1090">
        <f>IF(t&gt;Tmaj,'2026'!Wh/'2026'!Env_an*'2027'!Env_an,0.001*'[11]mon-tableau (3)'!$B$62)</f>
        <v>31.480332318202617</v>
      </c>
      <c r="C283" s="953"/>
      <c r="D283" s="393">
        <f t="shared" si="102"/>
        <v>33.923814414944594</v>
      </c>
      <c r="E283" s="385">
        <f t="shared" si="100"/>
        <v>34.922359224555883</v>
      </c>
      <c r="F283" s="385">
        <f t="shared" si="103"/>
        <v>34.934037645688221</v>
      </c>
      <c r="G283" s="110">
        <f t="shared" si="101"/>
        <v>0.74485391919069921</v>
      </c>
      <c r="H283" s="412" t="b">
        <f>Wh_hp&gt;='2026'!Maxi_hp</f>
        <v>0</v>
      </c>
      <c r="I283" s="390">
        <f>IF(H283,Wh_hp,'2026'!Maxi_hp)</f>
        <v>47.979649608380406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7.2028518575598E-2</v>
      </c>
      <c r="M283" s="957"/>
      <c r="N283" s="957"/>
      <c r="O283" s="48">
        <f>IF(t&lt;Tnet,'2026'!Resal+('2026'!Salim-'2026'!Resal)*(1-EXP(('2026'!Tnet-t)/('2026'!Tau_j))),Resal+(Salim-Resal)*(1-EXP((Tnet-t)/(Tau_j))))*Salcycl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5.258678409011011E-4</v>
      </c>
      <c r="Q283" s="305">
        <f t="shared" si="105"/>
        <v>0.7</v>
      </c>
      <c r="R283" s="177">
        <f t="shared" si="106"/>
        <v>0.46936644388031312</v>
      </c>
      <c r="S283" s="919">
        <f t="shared" si="107"/>
        <v>-1</v>
      </c>
      <c r="T283" s="176">
        <f t="shared" si="108"/>
        <v>5</v>
      </c>
      <c r="U283" s="251">
        <f t="shared" si="109"/>
        <v>-0.53063355611968688</v>
      </c>
      <c r="V283" s="383">
        <f t="shared" si="110"/>
        <v>42.255667650207933</v>
      </c>
      <c r="W283" s="402">
        <f t="shared" si="111"/>
        <v>31.480332318202617</v>
      </c>
      <c r="X283" s="157">
        <f t="shared" si="112"/>
        <v>46656</v>
      </c>
      <c r="Y283" s="385">
        <f t="shared" si="113"/>
        <v>30.126467029376027</v>
      </c>
      <c r="Z283" s="385">
        <f t="shared" si="114"/>
        <v>32.464863018347302</v>
      </c>
      <c r="AA283" s="386">
        <f t="shared" si="115"/>
        <v>34.777296427342215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6.649261577380286E-2</v>
      </c>
      <c r="AD283" s="231">
        <f>(INDEX(Models!$BJ283:$BT283,,AH283)*(1-AF283)+INDEX(Models!$BJ283:$BT283,,AH283+1)*AF283-ERP_i)*AE283*Ramure*Pc/MaxiM</f>
        <v>7.0579032163478675E-3</v>
      </c>
      <c r="AE283" s="305">
        <f t="shared" si="117"/>
        <v>0.7</v>
      </c>
      <c r="AF283" s="177">
        <f t="shared" si="118"/>
        <v>0.99435401025429204</v>
      </c>
      <c r="AG283" s="919">
        <f t="shared" si="124"/>
        <v>2</v>
      </c>
      <c r="AH283" s="176">
        <f t="shared" si="119"/>
        <v>8</v>
      </c>
      <c r="AI283" s="225">
        <f t="shared" si="120"/>
        <v>2.994354010254292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1090">
        <f>IF(t&gt;Tmaj,'2026'!Wh/'2026'!Env_an*'2027'!Env_an,0.001*'[11]mon-tableau (3)'!$B$63)</f>
        <v>15.122817276154054</v>
      </c>
      <c r="C284" s="953"/>
      <c r="D284" s="393">
        <f t="shared" si="102"/>
        <v>16.296997067954639</v>
      </c>
      <c r="E284" s="385">
        <f t="shared" si="100"/>
        <v>16.778706059694596</v>
      </c>
      <c r="F284" s="385">
        <f t="shared" si="103"/>
        <v>16.779488820980117</v>
      </c>
      <c r="G284" s="110">
        <f t="shared" si="101"/>
        <v>0.35939708858219455</v>
      </c>
      <c r="H284" s="412" t="b">
        <f>Wh_hp&gt;='2026'!Maxi_hp</f>
        <v>0</v>
      </c>
      <c r="I284" s="390">
        <f>IF(H284,Wh_hp,'2026'!Maxi_hp)</f>
        <v>46.988763169188566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7.2048843532617202E-2</v>
      </c>
      <c r="M284" s="957"/>
      <c r="N284" s="957"/>
      <c r="O284" s="48">
        <f>IF(t&lt;Tnet,'2026'!Resal+('2026'!Salim-'2026'!Resal)*(1-EXP(('2026'!Tnet-t)/('2026'!Tau_j))),Resal+(Salim-Resal)*(1-EXP((Tnet-t)/(Tau_j))))*Salcycl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5.4810912138860584E-4</v>
      </c>
      <c r="Q284" s="305">
        <f t="shared" si="105"/>
        <v>0.7</v>
      </c>
      <c r="R284" s="177">
        <f t="shared" si="106"/>
        <v>0.46959929113938248</v>
      </c>
      <c r="S284" s="919">
        <f t="shared" si="107"/>
        <v>-1</v>
      </c>
      <c r="T284" s="176">
        <f t="shared" si="108"/>
        <v>5</v>
      </c>
      <c r="U284" s="251">
        <f t="shared" si="109"/>
        <v>-0.53040070886061752</v>
      </c>
      <c r="V284" s="383">
        <f t="shared" si="110"/>
        <v>42.057195025286298</v>
      </c>
      <c r="W284" s="402">
        <f t="shared" si="111"/>
        <v>15.122817276154054</v>
      </c>
      <c r="X284" s="157">
        <f t="shared" si="112"/>
        <v>46657</v>
      </c>
      <c r="Y284" s="385">
        <f t="shared" si="113"/>
        <v>14.525384532815165</v>
      </c>
      <c r="Z284" s="385">
        <f t="shared" si="114"/>
        <v>15.653177897974556</v>
      </c>
      <c r="AA284" s="386">
        <f t="shared" si="115"/>
        <v>16.76928314142933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6.6556526837893384E-2</v>
      </c>
      <c r="AD284" s="231">
        <f>(INDEX(Models!$BJ284:$BT284,,AH284)*(1-AF284)+INDEX(Models!$BJ284:$BT284,,AH284+1)*AF284-ERP_i)*AE284*Ramure*Pc/MaxiM</f>
        <v>7.1462732702993487E-3</v>
      </c>
      <c r="AE284" s="305">
        <f t="shared" si="117"/>
        <v>0.7</v>
      </c>
      <c r="AF284" s="177">
        <f t="shared" si="118"/>
        <v>0.99458685751336118</v>
      </c>
      <c r="AG284" s="919">
        <f t="shared" si="124"/>
        <v>2</v>
      </c>
      <c r="AH284" s="176">
        <f t="shared" si="119"/>
        <v>8</v>
      </c>
      <c r="AI284" s="225">
        <f t="shared" si="120"/>
        <v>2.9945868575133612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1090">
        <f>IF(t&gt;Tmaj,'2026'!Wh/'2026'!Env_an*'2027'!Env_an,0.001*'[11]mon-tableau (3)'!$B$64)</f>
        <v>14.787842954774268</v>
      </c>
      <c r="C285" s="953"/>
      <c r="D285" s="393">
        <f t="shared" si="102"/>
        <v>15.936363407184343</v>
      </c>
      <c r="E285" s="385">
        <f t="shared" si="100"/>
        <v>16.409367384389061</v>
      </c>
      <c r="F285" s="385">
        <f t="shared" si="103"/>
        <v>16.410080988868256</v>
      </c>
      <c r="G285" s="110">
        <f t="shared" si="101"/>
        <v>0.35311997215959406</v>
      </c>
      <c r="H285" s="412" t="b">
        <f>Wh_hp&gt;='2026'!Maxi_hp</f>
        <v>0</v>
      </c>
      <c r="I285" s="390">
        <f>IF(H285,Wh_hp,'2026'!Maxi_hp)</f>
        <v>44.138858996476266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7.2069168044467724E-2</v>
      </c>
      <c r="M285" s="957"/>
      <c r="N285" s="957"/>
      <c r="O285" s="48">
        <f>IF(t&lt;Tnet,'2026'!Resal+('2026'!Salim-'2026'!Resal)*(1-EXP(('2026'!Tnet-t)/('2026'!Tau_j))),Resal+(Salim-Resal)*(1-EXP((Tnet-t)/(Tau_j))))*Salcycl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5.7103902383436934E-4</v>
      </c>
      <c r="Q285" s="305">
        <f t="shared" si="105"/>
        <v>0.7</v>
      </c>
      <c r="R285" s="177">
        <f t="shared" si="106"/>
        <v>0.46982296938866908</v>
      </c>
      <c r="S285" s="919">
        <f t="shared" si="107"/>
        <v>-1</v>
      </c>
      <c r="T285" s="176">
        <f t="shared" si="108"/>
        <v>5</v>
      </c>
      <c r="U285" s="251">
        <f t="shared" si="109"/>
        <v>-0.53017703061133092</v>
      </c>
      <c r="V285" s="383">
        <f t="shared" si="110"/>
        <v>41.855579988794688</v>
      </c>
      <c r="W285" s="402">
        <f t="shared" si="111"/>
        <v>14.787842954774268</v>
      </c>
      <c r="X285" s="157">
        <f t="shared" si="112"/>
        <v>46658</v>
      </c>
      <c r="Y285" s="385">
        <f t="shared" si="113"/>
        <v>14.2051518861585</v>
      </c>
      <c r="Z285" s="385">
        <f t="shared" si="114"/>
        <v>15.308416745052428</v>
      </c>
      <c r="AA285" s="386">
        <f t="shared" si="115"/>
        <v>16.401045874937495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6.6619478917177899E-2</v>
      </c>
      <c r="AD285" s="231">
        <f>(INDEX(Models!$BJ285:$BT285,,AH285)*(1-AF285)+INDEX(Models!$BJ285:$BT285,,AH285+1)*AF285-ERP_i)*AE285*Ramure*Pc/MaxiM</f>
        <v>7.2300592130347631E-3</v>
      </c>
      <c r="AE285" s="305">
        <f t="shared" si="117"/>
        <v>0.7</v>
      </c>
      <c r="AF285" s="177">
        <f t="shared" si="118"/>
        <v>0.99481053576264777</v>
      </c>
      <c r="AG285" s="919">
        <f t="shared" si="124"/>
        <v>2</v>
      </c>
      <c r="AH285" s="176">
        <f t="shared" si="119"/>
        <v>8</v>
      </c>
      <c r="AI285" s="225">
        <f t="shared" si="120"/>
        <v>2.9948105357626478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1090">
        <f>IF(t&gt;Tmaj,'2026'!Wh/'2026'!Env_an*'2027'!Env_an,0.001*'[11]mon-tableau (3)'!$B$65)</f>
        <v>21.306699394711259</v>
      </c>
      <c r="C286" s="953"/>
      <c r="D286" s="393">
        <f t="shared" si="102"/>
        <v>22.962019735273543</v>
      </c>
      <c r="E286" s="385">
        <f t="shared" si="100"/>
        <v>23.646353762261175</v>
      </c>
      <c r="F286" s="385">
        <f t="shared" si="103"/>
        <v>23.650604201114231</v>
      </c>
      <c r="G286" s="110">
        <f t="shared" si="101"/>
        <v>0.51134218207035431</v>
      </c>
      <c r="H286" s="412" t="b">
        <f>Wh_hp&gt;='2026'!Maxi_hp</f>
        <v>0</v>
      </c>
      <c r="I286" s="390">
        <f>IF(H286,Wh_hp,'2026'!Maxi_hp)</f>
        <v>45.467806820564945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7.2089492111159226E-2</v>
      </c>
      <c r="M286" s="957"/>
      <c r="N286" s="957"/>
      <c r="O286" s="48">
        <f>IF(t&lt;Tnet,'2026'!Resal+('2026'!Salim-'2026'!Resal)*(1-EXP(('2026'!Tnet-t)/('2026'!Tau_j))),Resal+(Salim-Resal)*(1-EXP((Tnet-t)/(Tau_j))))*Salcycl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5.9465809656003316E-4</v>
      </c>
      <c r="Q286" s="305">
        <f t="shared" si="105"/>
        <v>0.7</v>
      </c>
      <c r="R286" s="177">
        <f t="shared" si="106"/>
        <v>0.47003783179457925</v>
      </c>
      <c r="S286" s="919">
        <f t="shared" si="107"/>
        <v>-1</v>
      </c>
      <c r="T286" s="176">
        <f t="shared" si="108"/>
        <v>5</v>
      </c>
      <c r="U286" s="251">
        <f t="shared" si="109"/>
        <v>-0.52996216820542075</v>
      </c>
      <c r="V286" s="383">
        <f t="shared" si="110"/>
        <v>41.650889654774858</v>
      </c>
      <c r="W286" s="402">
        <f t="shared" si="111"/>
        <v>21.306699394711259</v>
      </c>
      <c r="X286" s="157">
        <f t="shared" si="112"/>
        <v>46659</v>
      </c>
      <c r="Y286" s="385">
        <f t="shared" si="113"/>
        <v>20.437031665260477</v>
      </c>
      <c r="Z286" s="385">
        <f t="shared" si="114"/>
        <v>22.024787402998928</v>
      </c>
      <c r="AA286" s="386">
        <f t="shared" si="115"/>
        <v>23.598360277238058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6.6681449717374261E-2</v>
      </c>
      <c r="AD286" s="231">
        <f>(INDEX(Models!$BJ286:$BT286,,AH286)*(1-AF286)+INDEX(Models!$BJ286:$BT286,,AH286+1)*AF286-ERP_i)*AE286*Ramure*Pc/MaxiM</f>
        <v>7.3091916865691475E-3</v>
      </c>
      <c r="AE286" s="305">
        <f t="shared" si="117"/>
        <v>0.7</v>
      </c>
      <c r="AF286" s="177">
        <f t="shared" si="118"/>
        <v>0.99502539816855817</v>
      </c>
      <c r="AG286" s="919">
        <f t="shared" si="124"/>
        <v>2</v>
      </c>
      <c r="AH286" s="176">
        <f t="shared" si="119"/>
        <v>8</v>
      </c>
      <c r="AI286" s="225">
        <f t="shared" si="120"/>
        <v>2.9950253981685582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1090">
        <f>IF(t&gt;Tmaj,'2026'!Wh/'2026'!Env_an*'2027'!Env_an,0.001*'[11]mon-tableau (3)'!$B$66)</f>
        <v>30.713304558405685</v>
      </c>
      <c r="C287" s="953"/>
      <c r="D287" s="393">
        <f t="shared" si="102"/>
        <v>33.100150297050739</v>
      </c>
      <c r="E287" s="385">
        <f t="shared" si="100"/>
        <v>34.090650441468718</v>
      </c>
      <c r="F287" s="385">
        <f t="shared" si="103"/>
        <v>34.103952077237004</v>
      </c>
      <c r="G287" s="110">
        <f t="shared" si="101"/>
        <v>0.74092437562169333</v>
      </c>
      <c r="H287" s="412" t="b">
        <f>Wh_hp&gt;='2026'!Maxi_hp</f>
        <v>0</v>
      </c>
      <c r="I287" s="390">
        <f>IF(H287,Wh_hp,'2026'!Maxi_hp)</f>
        <v>41.385817820684117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7.2109815732701477E-2</v>
      </c>
      <c r="M287" s="957"/>
      <c r="N287" s="957"/>
      <c r="O287" s="48">
        <f>IF(t&lt;Tnet,'2026'!Resal+('2026'!Salim-'2026'!Resal)*(1-EXP(('2026'!Tnet-t)/('2026'!Tau_j))),Resal+(Salim-Resal)*(1-EXP((Tnet-t)/(Tau_j))))*Salcycl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6.1896647894683866E-4</v>
      </c>
      <c r="Q287" s="305">
        <f t="shared" si="105"/>
        <v>0.7</v>
      </c>
      <c r="R287" s="177">
        <f t="shared" si="106"/>
        <v>0.47024421853738829</v>
      </c>
      <c r="S287" s="919">
        <f t="shared" si="107"/>
        <v>-1</v>
      </c>
      <c r="T287" s="176">
        <f t="shared" si="108"/>
        <v>5</v>
      </c>
      <c r="U287" s="251">
        <f t="shared" si="109"/>
        <v>-0.52975578146261171</v>
      </c>
      <c r="V287" s="383">
        <f t="shared" si="110"/>
        <v>41.443191091628272</v>
      </c>
      <c r="W287" s="402">
        <f t="shared" si="111"/>
        <v>30.713304558405685</v>
      </c>
      <c r="X287" s="157">
        <f t="shared" si="112"/>
        <v>46660</v>
      </c>
      <c r="Y287" s="385">
        <f t="shared" si="113"/>
        <v>29.395271557945733</v>
      </c>
      <c r="Z287" s="385">
        <f t="shared" si="114"/>
        <v>31.679688023812307</v>
      </c>
      <c r="AA287" s="386">
        <f t="shared" si="115"/>
        <v>33.945277952078428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6.674241794291752E-2</v>
      </c>
      <c r="AD287" s="231">
        <f>(INDEX(Models!$BJ287:$BT287,,AH287)*(1-AF287)+INDEX(Models!$BJ287:$BT287,,AH287+1)*AF287-ERP_i)*AE287*Ramure*Pc/MaxiM</f>
        <v>7.3836005029950949E-3</v>
      </c>
      <c r="AE287" s="305">
        <f t="shared" si="117"/>
        <v>0.7</v>
      </c>
      <c r="AF287" s="177">
        <f t="shared" si="118"/>
        <v>0.99523178491136743</v>
      </c>
      <c r="AG287" s="919">
        <f t="shared" si="124"/>
        <v>2</v>
      </c>
      <c r="AH287" s="176">
        <f t="shared" si="119"/>
        <v>8</v>
      </c>
      <c r="AI287" s="225">
        <f t="shared" si="120"/>
        <v>2.9952317849113674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1090">
        <f>IF(t&gt;Tmaj,'2026'!Wh/'2026'!Env_an*'2027'!Env_an,0.001*'[12]mon-tableau (1)'!$B$38)</f>
        <v>37.178063578588223</v>
      </c>
      <c r="C288" s="953"/>
      <c r="D288" s="393">
        <f t="shared" si="102"/>
        <v>40.068187509483295</v>
      </c>
      <c r="E288" s="385">
        <f t="shared" si="100"/>
        <v>41.2720442961296</v>
      </c>
      <c r="F288" s="385">
        <f t="shared" si="103"/>
        <v>41.294901161510708</v>
      </c>
      <c r="G288" s="110">
        <f t="shared" si="101"/>
        <v>0.90158618329352302</v>
      </c>
      <c r="H288" s="412" t="b">
        <f>Wh_hp&gt;='2026'!Maxi_hp</f>
        <v>0</v>
      </c>
      <c r="I288" s="390">
        <f>IF(H288,Wh_hp,'2026'!Maxi_hp)</f>
        <v>43.981299080889379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7.2130138909104358E-2</v>
      </c>
      <c r="M288" s="957"/>
      <c r="N288" s="957"/>
      <c r="O288" s="48">
        <f>IF(t&lt;Tnet,'2026'!Resal+('2026'!Salim-'2026'!Resal)*(1-EXP(('2026'!Tnet-t)/('2026'!Tau_j))),Resal+(Salim-Resal)*(1-EXP((Tnet-t)/(Tau_j))))*Salcycl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6.4396388881194993E-4</v>
      </c>
      <c r="Q288" s="305">
        <f t="shared" si="105"/>
        <v>0.7</v>
      </c>
      <c r="R288" s="177">
        <f t="shared" si="106"/>
        <v>0.47044245724013656</v>
      </c>
      <c r="S288" s="919">
        <f t="shared" si="107"/>
        <v>-1</v>
      </c>
      <c r="T288" s="176">
        <f t="shared" si="108"/>
        <v>5</v>
      </c>
      <c r="U288" s="251">
        <f t="shared" si="109"/>
        <v>-0.52955754275986344</v>
      </c>
      <c r="V288" s="383">
        <f t="shared" si="110"/>
        <v>41.232551315177496</v>
      </c>
      <c r="W288" s="402">
        <f t="shared" si="111"/>
        <v>37.178063578588223</v>
      </c>
      <c r="X288" s="157">
        <f t="shared" si="112"/>
        <v>46661</v>
      </c>
      <c r="Y288" s="385">
        <f t="shared" si="113"/>
        <v>35.527609784921097</v>
      </c>
      <c r="Z288" s="385">
        <f t="shared" si="114"/>
        <v>38.289431820914331</v>
      </c>
      <c r="AA288" s="386">
        <f t="shared" si="115"/>
        <v>41.030356617550716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6.6802363483820112E-2</v>
      </c>
      <c r="AD288" s="231">
        <f>(INDEX(Models!$BJ288:$BT288,,AH288)*(1-AF288)+INDEX(Models!$BJ288:$BT288,,AH288+1)*AF288-ERP_i)*AE288*Ramure*Pc/MaxiM</f>
        <v>7.4532150604188158E-3</v>
      </c>
      <c r="AE288" s="305">
        <f t="shared" si="117"/>
        <v>0.7</v>
      </c>
      <c r="AF288" s="177">
        <f t="shared" si="118"/>
        <v>0.99543002361411537</v>
      </c>
      <c r="AG288" s="919">
        <f t="shared" si="124"/>
        <v>2</v>
      </c>
      <c r="AH288" s="176">
        <f t="shared" si="119"/>
        <v>8</v>
      </c>
      <c r="AI288" s="225">
        <f t="shared" si="120"/>
        <v>2.9954300236141154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1090">
        <f>IF(t&gt;Tmaj,'2026'!Wh/'2026'!Env_an*'2027'!Env_an,0.001*'[12]mon-tableau (1)'!$B$39)</f>
        <v>36.608413566208675</v>
      </c>
      <c r="C289" s="953"/>
      <c r="D289" s="393">
        <f t="shared" si="102"/>
        <v>39.455118586284968</v>
      </c>
      <c r="E289" s="385">
        <f t="shared" si="100"/>
        <v>40.645299649972969</v>
      </c>
      <c r="F289" s="385">
        <f t="shared" si="103"/>
        <v>40.668350749470413</v>
      </c>
      <c r="G289" s="110">
        <f t="shared" si="101"/>
        <v>0.89239533941182303</v>
      </c>
      <c r="H289" s="412" t="b">
        <f>Wh_hp&gt;='2026'!Maxi_hp</f>
        <v>0</v>
      </c>
      <c r="I289" s="390">
        <f>IF(H289,Wh_hp,'2026'!Maxi_hp)</f>
        <v>47.647904130278036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7.2150461640377417E-2</v>
      </c>
      <c r="M289" s="957"/>
      <c r="N289" s="957"/>
      <c r="O289" s="48">
        <f>IF(t&lt;Tnet,'2026'!Resal+('2026'!Salim-'2026'!Resal)*(1-EXP(('2026'!Tnet-t)/('2026'!Tau_j))),Resal+(Salim-Resal)*(1-EXP((Tnet-t)/(Tau_j))))*Salcycl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6.6965969769735071E-4</v>
      </c>
      <c r="Q289" s="305">
        <f t="shared" si="105"/>
        <v>0.7</v>
      </c>
      <c r="R289" s="177">
        <f t="shared" si="106"/>
        <v>0.47063286338729293</v>
      </c>
      <c r="S289" s="919">
        <f t="shared" si="107"/>
        <v>-1</v>
      </c>
      <c r="T289" s="176">
        <f t="shared" si="108"/>
        <v>5</v>
      </c>
      <c r="U289" s="251">
        <f t="shared" si="109"/>
        <v>-0.52936713661270707</v>
      </c>
      <c r="V289" s="383">
        <f t="shared" si="110"/>
        <v>41.01841923008697</v>
      </c>
      <c r="W289" s="402">
        <f t="shared" si="111"/>
        <v>36.608413566208675</v>
      </c>
      <c r="X289" s="157">
        <f t="shared" si="112"/>
        <v>46662</v>
      </c>
      <c r="Y289" s="385">
        <f t="shared" si="113"/>
        <v>34.987098076425191</v>
      </c>
      <c r="Z289" s="385">
        <f t="shared" si="114"/>
        <v>37.707728063625595</v>
      </c>
      <c r="AA289" s="386">
        <f t="shared" si="115"/>
        <v>40.40956264552473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6.6861267606378269E-2</v>
      </c>
      <c r="AD289" s="231">
        <f>(INDEX(Models!$BJ289:$BT289,,AH289)*(1-AF289)+INDEX(Models!$BJ289:$BT289,,AH289+1)*AF289-ERP_i)*AE289*Ramure*Pc/MaxiM</f>
        <v>7.5180779760719452E-3</v>
      </c>
      <c r="AE289" s="305">
        <f t="shared" si="117"/>
        <v>0.7</v>
      </c>
      <c r="AF289" s="177">
        <f t="shared" si="118"/>
        <v>0.99562042976127163</v>
      </c>
      <c r="AG289" s="919">
        <f t="shared" si="124"/>
        <v>2</v>
      </c>
      <c r="AH289" s="176">
        <f t="shared" si="119"/>
        <v>8</v>
      </c>
      <c r="AI289" s="225">
        <f t="shared" si="120"/>
        <v>2.9956204297612716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1090">
        <f>IF(t&gt;Tmaj,'2026'!Wh/'2026'!Env_an*'2027'!Env_an,0.001*'[12]mon-tableau (1)'!$B$40)</f>
        <v>34.222785027660841</v>
      </c>
      <c r="C290" s="953"/>
      <c r="D290" s="393">
        <f t="shared" si="102"/>
        <v>36.884789177570951</v>
      </c>
      <c r="E290" s="385">
        <f t="shared" si="100"/>
        <v>38.001846707663709</v>
      </c>
      <c r="F290" s="385">
        <f t="shared" si="103"/>
        <v>38.022174575919991</v>
      </c>
      <c r="G290" s="110">
        <f t="shared" si="101"/>
        <v>0.83865126361762077</v>
      </c>
      <c r="H290" s="412" t="b">
        <f>Wh_hp&gt;='2026'!Maxi_hp</f>
        <v>0</v>
      </c>
      <c r="I290" s="390">
        <f>IF(H290,Wh_hp,'2026'!Maxi_hp)</f>
        <v>43.351504842538631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7.2170783926530646E-2</v>
      </c>
      <c r="M290" s="957"/>
      <c r="N290" s="957"/>
      <c r="O290" s="48">
        <f>IF(t&lt;Tnet,'2026'!Resal+('2026'!Salim-'2026'!Resal)*(1-EXP(('2026'!Tnet-t)/('2026'!Tau_j))),Resal+(Salim-Resal)*(1-EXP((Tnet-t)/(Tau_j))))*Salcycl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6.9460357246592028E-4</v>
      </c>
      <c r="Q290" s="305">
        <f t="shared" si="105"/>
        <v>0.7</v>
      </c>
      <c r="R290" s="177">
        <f t="shared" si="106"/>
        <v>0.47081574073308108</v>
      </c>
      <c r="S290" s="919">
        <f t="shared" si="107"/>
        <v>-1</v>
      </c>
      <c r="T290" s="176">
        <f t="shared" si="108"/>
        <v>5</v>
      </c>
      <c r="U290" s="251">
        <f t="shared" si="109"/>
        <v>-0.52918425926691892</v>
      </c>
      <c r="V290" s="383">
        <f t="shared" si="110"/>
        <v>40.800400486061235</v>
      </c>
      <c r="W290" s="402">
        <f t="shared" si="111"/>
        <v>34.222785027660841</v>
      </c>
      <c r="X290" s="157">
        <f t="shared" si="112"/>
        <v>46663</v>
      </c>
      <c r="Y290" s="385">
        <f t="shared" si="113"/>
        <v>32.725409615376613</v>
      </c>
      <c r="Z290" s="385">
        <f t="shared" si="114"/>
        <v>35.270941083175892</v>
      </c>
      <c r="AA290" s="386">
        <f t="shared" si="115"/>
        <v>37.800518240284134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6.6919113146244227E-2</v>
      </c>
      <c r="AD290" s="231">
        <f>(INDEX(Models!$BJ290:$BT290,,AH290)*(1-AF290)+INDEX(Models!$BJ290:$BT290,,AH290+1)*AF290-ERP_i)*AE290*Ramure*Pc/MaxiM</f>
        <v>7.5740004141745367E-3</v>
      </c>
      <c r="AE290" s="305">
        <f t="shared" si="117"/>
        <v>0.7</v>
      </c>
      <c r="AF290" s="177">
        <f t="shared" si="118"/>
        <v>0.99580330710705978</v>
      </c>
      <c r="AG290" s="919">
        <f t="shared" si="124"/>
        <v>2</v>
      </c>
      <c r="AH290" s="176">
        <f t="shared" si="119"/>
        <v>8</v>
      </c>
      <c r="AI290" s="225">
        <f t="shared" si="120"/>
        <v>2.9958033071070598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1090">
        <f>IF(t&gt;Tmaj,'2026'!Wh/'2026'!Env_an*'2027'!Env_an,0.001*'[12]mon-tableau (1)'!$B$41)</f>
        <v>40.078134660771575</v>
      </c>
      <c r="C291" s="953"/>
      <c r="D291" s="393">
        <f t="shared" si="102"/>
        <v>43.196540699179323</v>
      </c>
      <c r="E291" s="385">
        <f t="shared" si="100"/>
        <v>44.509888509884682</v>
      </c>
      <c r="F291" s="385">
        <f t="shared" si="103"/>
        <v>44.541303454020472</v>
      </c>
      <c r="G291" s="110">
        <f t="shared" si="101"/>
        <v>0.98765083184265012</v>
      </c>
      <c r="H291" s="412" t="b">
        <f>Wh_hp&gt;='2026'!Maxi_hp</f>
        <v>0</v>
      </c>
      <c r="I291" s="390">
        <f>IF(H291,Wh_hp,'2026'!Maxi_hp)</f>
        <v>44.844605022343991</v>
      </c>
      <c r="J291" s="85">
        <f>IF(H291,An,'2026'!An_max)</f>
        <v>2018</v>
      </c>
      <c r="K291" s="197">
        <f t="shared" si="104"/>
        <v>46664</v>
      </c>
      <c r="L291" s="147">
        <f>IF(t&lt;Tvie,1-EXP((T0-t)*PertePVj)+'2026'!Pspv,1-EXP((T0-t)*PertePVj)+Pspv)</f>
        <v>7.2191105767573482E-2</v>
      </c>
      <c r="M291" s="957"/>
      <c r="N291" s="957"/>
      <c r="O291" s="48">
        <f>IF(t&lt;Tnet,'2026'!Resal+('2026'!Salim-'2026'!Resal)*(1-EXP(('2026'!Tnet-t)/('2026'!Tau_j))),Resal+(Salim-Resal)*(1-EXP((Tnet-t)/(Tau_j))))*Salcycl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7.1795221370712632E-4</v>
      </c>
      <c r="Q291" s="305">
        <f t="shared" si="105"/>
        <v>0.7</v>
      </c>
      <c r="R291" s="177">
        <f t="shared" si="106"/>
        <v>0.47099138169941146</v>
      </c>
      <c r="S291" s="919">
        <f t="shared" si="107"/>
        <v>-1</v>
      </c>
      <c r="T291" s="176">
        <f t="shared" si="108"/>
        <v>5</v>
      </c>
      <c r="U291" s="251">
        <f t="shared" si="109"/>
        <v>-0.52900861830058854</v>
      </c>
      <c r="V291" s="383">
        <f t="shared" si="110"/>
        <v>40.578740887094256</v>
      </c>
      <c r="W291" s="402">
        <f t="shared" si="111"/>
        <v>40.078134660771575</v>
      </c>
      <c r="X291" s="157">
        <f t="shared" si="112"/>
        <v>46664</v>
      </c>
      <c r="Y291" s="385">
        <f t="shared" si="113"/>
        <v>38.269330224012506</v>
      </c>
      <c r="Z291" s="385">
        <f t="shared" si="114"/>
        <v>41.24699651178986</v>
      </c>
      <c r="AA291" s="386">
        <f t="shared" si="115"/>
        <v>44.207856834042623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6.6975884702303062E-2</v>
      </c>
      <c r="AD291" s="231">
        <f>(INDEX(Models!$BJ291:$BT291,,AH291)*(1-AF291)+INDEX(Models!$BJ291:$BT291,,AH291+1)*AF291-ERP_i)*AE291*Ramure*Pc/MaxiM</f>
        <v>7.6205368353176404E-3</v>
      </c>
      <c r="AE291" s="305">
        <f t="shared" si="117"/>
        <v>0.7</v>
      </c>
      <c r="AF291" s="177">
        <f t="shared" si="118"/>
        <v>0.99597894807339049</v>
      </c>
      <c r="AG291" s="919">
        <f t="shared" si="124"/>
        <v>2</v>
      </c>
      <c r="AH291" s="176">
        <f t="shared" si="119"/>
        <v>8</v>
      </c>
      <c r="AI291" s="225">
        <f t="shared" si="120"/>
        <v>2.9959789480733905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1090">
        <f>IF(t&gt;Tmaj,'2026'!Wh/'2026'!Env_an*'2027'!Env_an,0.001*'[12]mon-tableau (1)'!$B$42)</f>
        <v>40.02316235898698</v>
      </c>
      <c r="C292" s="953"/>
      <c r="D292" s="393">
        <f t="shared" si="102"/>
        <v>43.138235941650009</v>
      </c>
      <c r="E292" s="385">
        <f t="shared" si="100"/>
        <v>44.454914402146429</v>
      </c>
      <c r="F292" s="385">
        <f t="shared" si="103"/>
        <v>44.487436245106601</v>
      </c>
      <c r="G292" s="110">
        <f t="shared" si="101"/>
        <v>0.99180158043701772</v>
      </c>
      <c r="H292" s="412" t="b">
        <f>Wh_hp&gt;='2026'!Maxi_hp</f>
        <v>0</v>
      </c>
      <c r="I292" s="390">
        <f>IF(H292,Wh_hp,'2026'!Maxi_hp)</f>
        <v>44.683643039833356</v>
      </c>
      <c r="J292" s="85">
        <f>IF(H292,An,'2026'!An_max)</f>
        <v>2018</v>
      </c>
      <c r="K292" s="197">
        <f t="shared" si="104"/>
        <v>46665</v>
      </c>
      <c r="L292" s="147">
        <f>IF(t&lt;Tvie,1-EXP((T0-t)*PertePVj)+'2026'!Pspv,1-EXP((T0-t)*PertePVj)+Pspv)</f>
        <v>7.2211427163516029E-2</v>
      </c>
      <c r="M292" s="957"/>
      <c r="N292" s="957"/>
      <c r="O292" s="48">
        <f>IF(t&lt;Tnet,'2026'!Resal+('2026'!Salim-'2026'!Resal)*(1-EXP(('2026'!Tnet-t)/('2026'!Tau_j))),Resal+(Salim-Resal)*(1-EXP((Tnet-t)/(Tau_j))))*Salcycl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7.3968850157161753E-4</v>
      </c>
      <c r="Q292" s="305">
        <f t="shared" si="105"/>
        <v>0.7</v>
      </c>
      <c r="R292" s="177">
        <f t="shared" si="106"/>
        <v>0.47116006776339314</v>
      </c>
      <c r="S292" s="919">
        <f t="shared" si="107"/>
        <v>-1</v>
      </c>
      <c r="T292" s="176">
        <f t="shared" si="108"/>
        <v>5</v>
      </c>
      <c r="U292" s="251">
        <f t="shared" si="109"/>
        <v>-0.52883993223660686</v>
      </c>
      <c r="V292" s="383">
        <f t="shared" si="110"/>
        <v>40.353651907346546</v>
      </c>
      <c r="W292" s="402">
        <f t="shared" si="111"/>
        <v>40.02316235898698</v>
      </c>
      <c r="X292" s="157">
        <f t="shared" si="112"/>
        <v>46665</v>
      </c>
      <c r="Y292" s="385">
        <f t="shared" si="113"/>
        <v>38.216782062378577</v>
      </c>
      <c r="Z292" s="385">
        <f t="shared" si="114"/>
        <v>41.191261868574458</v>
      </c>
      <c r="AA292" s="386">
        <f t="shared" si="115"/>
        <v>44.150756330421665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6.7031568829727939E-2</v>
      </c>
      <c r="AD292" s="231">
        <f>(INDEX(Models!$BJ292:$BT292,,AH292)*(1-AF292)+INDEX(Models!$BJ292:$BT292,,AH292+1)*AF292-ERP_i)*AE292*Ramure*Pc/MaxiM</f>
        <v>7.6575691576747885E-3</v>
      </c>
      <c r="AE292" s="305">
        <f t="shared" si="117"/>
        <v>0.7</v>
      </c>
      <c r="AF292" s="177">
        <f t="shared" si="118"/>
        <v>0.99614763413737206</v>
      </c>
      <c r="AG292" s="919">
        <f t="shared" si="124"/>
        <v>2</v>
      </c>
      <c r="AH292" s="176">
        <f t="shared" si="119"/>
        <v>8</v>
      </c>
      <c r="AI292" s="225">
        <f t="shared" si="120"/>
        <v>2.9961476341373721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1090">
        <f>IF(t&gt;Tmaj,'2026'!Wh/'2026'!Env_an*'2027'!Env_an,0.001*'[12]mon-tableau (1)'!$B$43)</f>
        <v>14.839469920227453</v>
      </c>
      <c r="C293" s="953"/>
      <c r="D293" s="393">
        <f t="shared" si="102"/>
        <v>15.994802462864122</v>
      </c>
      <c r="E293" s="385">
        <f t="shared" si="100"/>
        <v>16.484882298808724</v>
      </c>
      <c r="F293" s="385">
        <f t="shared" si="103"/>
        <v>16.486131826175622</v>
      </c>
      <c r="G293" s="110">
        <f t="shared" si="101"/>
        <v>0.36957486588595306</v>
      </c>
      <c r="H293" s="412" t="b">
        <f>Wh_hp&gt;='2026'!Maxi_hp</f>
        <v>0</v>
      </c>
      <c r="I293" s="390">
        <f>IF(H293,Wh_hp,'2026'!Maxi_hp)</f>
        <v>42.282942542755286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7.2231748114367722E-2</v>
      </c>
      <c r="M293" s="957"/>
      <c r="N293" s="957"/>
      <c r="O293" s="48">
        <f>IF(t&lt;Tnet,'2026'!Resal+('2026'!Salim-'2026'!Resal)*(1-EXP(('2026'!Tnet-t)/('2026'!Tau_j))),Resal+(Salim-Resal)*(1-EXP((Tnet-t)/(Tau_j))))*Salcycl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7.5979491970151985E-4</v>
      </c>
      <c r="Q293" s="305">
        <f t="shared" si="105"/>
        <v>0.7</v>
      </c>
      <c r="R293" s="177">
        <f t="shared" si="106"/>
        <v>0.47132206983443226</v>
      </c>
      <c r="S293" s="919">
        <f t="shared" si="107"/>
        <v>-1</v>
      </c>
      <c r="T293" s="176">
        <f t="shared" si="108"/>
        <v>5</v>
      </c>
      <c r="U293" s="251">
        <f t="shared" si="109"/>
        <v>-0.52867793016556774</v>
      </c>
      <c r="V293" s="383">
        <f t="shared" si="110"/>
        <v>40.125344790353495</v>
      </c>
      <c r="W293" s="402">
        <f t="shared" si="111"/>
        <v>14.839469920227453</v>
      </c>
      <c r="X293" s="157">
        <f t="shared" si="112"/>
        <v>46666</v>
      </c>
      <c r="Y293" s="385">
        <f t="shared" si="113"/>
        <v>14.258267310995191</v>
      </c>
      <c r="Z293" s="385">
        <f t="shared" si="114"/>
        <v>15.36835010469062</v>
      </c>
      <c r="AA293" s="386">
        <f t="shared" si="115"/>
        <v>16.473493425338582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6.70861542305346E-2</v>
      </c>
      <c r="AD293" s="231">
        <f>(INDEX(Models!$BJ293:$BT293,,AH293)*(1-AF293)+INDEX(Models!$BJ293:$BT293,,AH293+1)*AF293-ERP_i)*AE293*Ramure*Pc/MaxiM</f>
        <v>7.6849799400473644E-3</v>
      </c>
      <c r="AE293" s="305">
        <f t="shared" si="117"/>
        <v>0.7</v>
      </c>
      <c r="AF293" s="177">
        <f t="shared" si="118"/>
        <v>0.9963096362084114</v>
      </c>
      <c r="AG293" s="919">
        <f t="shared" si="124"/>
        <v>2</v>
      </c>
      <c r="AH293" s="176">
        <f t="shared" si="119"/>
        <v>8</v>
      </c>
      <c r="AI293" s="225">
        <f t="shared" si="120"/>
        <v>2.9963096362084114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1090">
        <f>IF(t&gt;Tmaj,'2026'!Wh/'2026'!Env_an*'2027'!Env_an,0.001*'[12]mon-tableau (1)'!$B$44)</f>
        <v>29.587644314635874</v>
      </c>
      <c r="C294" s="953"/>
      <c r="D294" s="393">
        <f t="shared" si="102"/>
        <v>31.891900066680254</v>
      </c>
      <c r="E294" s="385">
        <f t="shared" si="100"/>
        <v>32.872796222162584</v>
      </c>
      <c r="F294" s="385">
        <f t="shared" si="103"/>
        <v>32.88894565121003</v>
      </c>
      <c r="G294" s="110">
        <f t="shared" si="101"/>
        <v>0.74144280316640843</v>
      </c>
      <c r="H294" s="412" t="b">
        <f>Wh_hp&gt;='2026'!Maxi_hp</f>
        <v>0</v>
      </c>
      <c r="I294" s="390">
        <f>IF(H294,Wh_hp,'2026'!Maxi_hp)</f>
        <v>44.5855001708373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7.2252068620138443E-2</v>
      </c>
      <c r="M294" s="957"/>
      <c r="N294" s="957"/>
      <c r="O294" s="48">
        <f>IF(t&lt;Tnet,'2026'!Resal+('2026'!Salim-'2026'!Resal)*(1-EXP(('2026'!Tnet-t)/('2026'!Tau_j))),Resal+(Salim-Resal)*(1-EXP((Tnet-t)/(Tau_j))))*Salcycl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7.7825370334064659E-4</v>
      </c>
      <c r="Q294" s="305">
        <f t="shared" si="105"/>
        <v>0.7</v>
      </c>
      <c r="R294" s="177">
        <f t="shared" si="106"/>
        <v>0.47147764862095509</v>
      </c>
      <c r="S294" s="919">
        <f t="shared" si="107"/>
        <v>-1</v>
      </c>
      <c r="T294" s="176">
        <f t="shared" si="108"/>
        <v>5</v>
      </c>
      <c r="U294" s="251">
        <f t="shared" si="109"/>
        <v>-0.52852235137904491</v>
      </c>
      <c r="V294" s="383">
        <f t="shared" si="110"/>
        <v>39.894030549151871</v>
      </c>
      <c r="W294" s="402">
        <f t="shared" si="111"/>
        <v>29.587644314635874</v>
      </c>
      <c r="X294" s="157">
        <f t="shared" si="112"/>
        <v>46667</v>
      </c>
      <c r="Y294" s="385">
        <f t="shared" si="113"/>
        <v>28.325711018296758</v>
      </c>
      <c r="Z294" s="385">
        <f t="shared" si="114"/>
        <v>30.531688684195991</v>
      </c>
      <c r="AA294" s="386">
        <f t="shared" si="115"/>
        <v>32.729109017341898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6.7139631939921687E-2</v>
      </c>
      <c r="AD294" s="231">
        <f>(INDEX(Models!$BJ294:$BT294,,AH294)*(1-AF294)+INDEX(Models!$BJ294:$BT294,,AH294+1)*AF294-ERP_i)*AE294*Ramure*Pc/MaxiM</f>
        <v>7.7026532561582069E-3</v>
      </c>
      <c r="AE294" s="305">
        <f t="shared" si="117"/>
        <v>0.7</v>
      </c>
      <c r="AF294" s="177">
        <f t="shared" si="118"/>
        <v>0.99646521499493401</v>
      </c>
      <c r="AG294" s="919">
        <f t="shared" si="124"/>
        <v>2</v>
      </c>
      <c r="AH294" s="176">
        <f t="shared" si="119"/>
        <v>8</v>
      </c>
      <c r="AI294" s="225">
        <f t="shared" si="120"/>
        <v>2.996465214994934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1090">
        <f>IF(t&gt;Tmaj,'2026'!Wh/'2026'!Env_an*'2027'!Env_an,0.001*'[12]mon-tableau (1)'!$B$45)</f>
        <v>17.112996700137717</v>
      </c>
      <c r="C295" s="953"/>
      <c r="D295" s="393">
        <f t="shared" si="102"/>
        <v>18.446143556947998</v>
      </c>
      <c r="E295" s="385">
        <f t="shared" si="100"/>
        <v>19.015634791509033</v>
      </c>
      <c r="F295" s="385">
        <f t="shared" si="103"/>
        <v>19.018475159793201</v>
      </c>
      <c r="G295" s="110">
        <f t="shared" si="101"/>
        <v>0.43121481890303692</v>
      </c>
      <c r="H295" s="412" t="b">
        <f>Wh_hp&gt;='2026'!Maxi_hp</f>
        <v>0</v>
      </c>
      <c r="I295" s="390">
        <f>IF(H295,Wh_hp,'2026'!Maxi_hp)</f>
        <v>41.761638375375632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7.2272388680837962E-2</v>
      </c>
      <c r="M295" s="957"/>
      <c r="N295" s="957"/>
      <c r="O295" s="48">
        <f>IF(t&lt;Tnet,'2026'!Resal+('2026'!Salim-'2026'!Resal)*(1-EXP(('2026'!Tnet-t)/('2026'!Tau_j))),Resal+(Salim-Resal)*(1-EXP((Tnet-t)/(Tau_j))))*Salcycl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7.9504698811090299E-4</v>
      </c>
      <c r="Q295" s="305">
        <f t="shared" si="105"/>
        <v>0.7</v>
      </c>
      <c r="R295" s="177">
        <f t="shared" si="106"/>
        <v>0.47162705498681634</v>
      </c>
      <c r="S295" s="919">
        <f t="shared" si="107"/>
        <v>-1</v>
      </c>
      <c r="T295" s="176">
        <f t="shared" si="108"/>
        <v>5</v>
      </c>
      <c r="U295" s="251">
        <f t="shared" si="109"/>
        <v>-0.52837294501318366</v>
      </c>
      <c r="V295" s="383">
        <f t="shared" si="110"/>
        <v>39.659919957815788</v>
      </c>
      <c r="W295" s="402">
        <f t="shared" si="111"/>
        <v>17.112996700137717</v>
      </c>
      <c r="X295" s="157">
        <f t="shared" si="112"/>
        <v>46668</v>
      </c>
      <c r="Y295" s="385">
        <f t="shared" si="113"/>
        <v>16.434593018628053</v>
      </c>
      <c r="Z295" s="385">
        <f t="shared" si="114"/>
        <v>17.714890467967468</v>
      </c>
      <c r="AA295" s="386">
        <f t="shared" si="115"/>
        <v>18.990928875647288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6.7191995506661592E-2</v>
      </c>
      <c r="AD295" s="231">
        <f>(INDEX(Models!$BJ295:$BT295,,AH295)*(1-AF295)+INDEX(Models!$BJ295:$BT295,,AH295+1)*AF295-ERP_i)*AE295*Ramure*Pc/MaxiM</f>
        <v>7.7104755626038026E-3</v>
      </c>
      <c r="AE295" s="305">
        <f t="shared" si="117"/>
        <v>0.7</v>
      </c>
      <c r="AF295" s="177">
        <f t="shared" si="118"/>
        <v>0.99661462136079537</v>
      </c>
      <c r="AG295" s="919">
        <f t="shared" si="124"/>
        <v>2</v>
      </c>
      <c r="AH295" s="176">
        <f t="shared" si="119"/>
        <v>8</v>
      </c>
      <c r="AI295" s="225">
        <f t="shared" si="120"/>
        <v>2.9966146213607954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1090">
        <f>IF(t&gt;Tmaj,'2026'!Wh/'2026'!Env_an*'2027'!Env_an,0.001*'[12]mon-tableau (1)'!$B$46)</f>
        <v>37.32778745819467</v>
      </c>
      <c r="C296" s="953"/>
      <c r="D296" s="393">
        <f t="shared" si="102"/>
        <v>40.236600263915854</v>
      </c>
      <c r="E296" s="385">
        <f t="shared" si="100"/>
        <v>41.483483454589589</v>
      </c>
      <c r="F296" s="385">
        <f t="shared" si="103"/>
        <v>41.514540927031597</v>
      </c>
      <c r="G296" s="110">
        <f t="shared" si="101"/>
        <v>0.9467888801461074</v>
      </c>
      <c r="H296" s="412" t="b">
        <f>Wh_hp&gt;='2026'!Maxi_hp</f>
        <v>0</v>
      </c>
      <c r="I296" s="390">
        <f>IF(H296,Wh_hp,'2026'!Maxi_hp)</f>
        <v>41.51643673919677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7.2292708296476049E-2</v>
      </c>
      <c r="M296" s="957"/>
      <c r="N296" s="957"/>
      <c r="O296" s="48">
        <f>IF(t&lt;Tnet,'2026'!Resal+('2026'!Salim-'2026'!Resal)*(1-EXP(('2026'!Tnet-t)/('2026'!Tau_j))),Resal+(Salim-Resal)*(1-EXP((Tnet-t)/(Tau_j))))*Salcycl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8.0958462742452685E-4</v>
      </c>
      <c r="Q296" s="305">
        <f t="shared" si="105"/>
        <v>0.7</v>
      </c>
      <c r="R296" s="177">
        <f t="shared" si="106"/>
        <v>0.47177053029747884</v>
      </c>
      <c r="S296" s="919">
        <f t="shared" si="107"/>
        <v>-1</v>
      </c>
      <c r="T296" s="176">
        <f t="shared" si="108"/>
        <v>5</v>
      </c>
      <c r="U296" s="251">
        <f t="shared" si="109"/>
        <v>-0.52822946970252116</v>
      </c>
      <c r="V296" s="383">
        <f t="shared" si="110"/>
        <v>39.423246129512371</v>
      </c>
      <c r="W296" s="402">
        <f t="shared" si="111"/>
        <v>37.32778745819467</v>
      </c>
      <c r="X296" s="157">
        <f t="shared" si="112"/>
        <v>46669</v>
      </c>
      <c r="Y296" s="385">
        <f t="shared" si="113"/>
        <v>35.667505563140594</v>
      </c>
      <c r="Z296" s="385">
        <f t="shared" si="114"/>
        <v>38.446938902081186</v>
      </c>
      <c r="AA296" s="386">
        <f t="shared" si="115"/>
        <v>41.218611967104941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6.7243241165804629E-2</v>
      </c>
      <c r="AD296" s="231">
        <f>(INDEX(Models!$BJ296:$BT296,,AH296)*(1-AF296)+INDEX(Models!$BJ296:$BT296,,AH296+1)*AF296-ERP_i)*AE296*Ramure*Pc/MaxiM</f>
        <v>7.7140706544513923E-3</v>
      </c>
      <c r="AE296" s="305">
        <f t="shared" si="117"/>
        <v>0.7</v>
      </c>
      <c r="AF296" s="177">
        <f t="shared" si="118"/>
        <v>0.99675809667145776</v>
      </c>
      <c r="AG296" s="919">
        <f t="shared" si="124"/>
        <v>2</v>
      </c>
      <c r="AH296" s="176">
        <f t="shared" si="119"/>
        <v>8</v>
      </c>
      <c r="AI296" s="225">
        <f t="shared" si="120"/>
        <v>2.9967580966714578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1090">
        <f>IF(t&gt;Tmaj,'2026'!Wh/'2026'!Env_an*'2027'!Env_an,0.001*'[12]mon-tableau (1)'!$B$47)</f>
        <v>30.468114564940372</v>
      </c>
      <c r="C297" s="953"/>
      <c r="D297" s="393">
        <f t="shared" si="102"/>
        <v>32.843098444889065</v>
      </c>
      <c r="E297" s="385">
        <f t="shared" ref="E297:E360" si="125">Wh_pvt/(1-Psa)</f>
        <v>33.864639784110132</v>
      </c>
      <c r="F297" s="385">
        <f t="shared" si="103"/>
        <v>33.883643333489573</v>
      </c>
      <c r="G297" s="110">
        <f t="shared" ref="G297:G360" si="126">+Wh_hp/MaxiM</f>
        <v>0.77735779085723844</v>
      </c>
      <c r="H297" s="412" t="b">
        <f>Wh_hp&gt;='2026'!Maxi_hp</f>
        <v>0</v>
      </c>
      <c r="I297" s="390">
        <f>IF(H297,Wh_hp,'2026'!Maxi_hp)</f>
        <v>33.890207774882008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7.2313027467062252E-2</v>
      </c>
      <c r="M297" s="957"/>
      <c r="N297" s="957"/>
      <c r="O297" s="48">
        <f>IF(t&lt;Tnet,'2026'!Resal+('2026'!Salim-'2026'!Resal)*(1-EXP(('2026'!Tnet-t)/('2026'!Tau_j))),Resal+(Salim-Resal)*(1-EXP((Tnet-t)/(Tau_j))))*Salcycl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8.2207943288056112E-4</v>
      </c>
      <c r="Q297" s="305">
        <f t="shared" si="105"/>
        <v>0.7</v>
      </c>
      <c r="R297" s="177">
        <f t="shared" si="106"/>
        <v>0.47190830675606998</v>
      </c>
      <c r="S297" s="919">
        <f t="shared" si="107"/>
        <v>-1</v>
      </c>
      <c r="T297" s="176">
        <f t="shared" si="108"/>
        <v>5</v>
      </c>
      <c r="U297" s="251">
        <f t="shared" si="109"/>
        <v>-0.52809169324393002</v>
      </c>
      <c r="V297" s="383">
        <f t="shared" si="110"/>
        <v>39.184209904065064</v>
      </c>
      <c r="W297" s="402">
        <f t="shared" si="111"/>
        <v>30.468114564940372</v>
      </c>
      <c r="X297" s="157">
        <f t="shared" si="112"/>
        <v>46670</v>
      </c>
      <c r="Y297" s="385">
        <f t="shared" si="113"/>
        <v>29.163766519185014</v>
      </c>
      <c r="Z297" s="385">
        <f t="shared" si="114"/>
        <v>31.4370767108617</v>
      </c>
      <c r="AA297" s="386">
        <f t="shared" si="115"/>
        <v>33.705214085931523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6.7293368001971499E-2</v>
      </c>
      <c r="AD297" s="231">
        <f>(INDEX(Models!$BJ297:$BT297,,AH297)*(1-AF297)+INDEX(Models!$BJ297:$BT297,,AH297+1)*AF297-ERP_i)*AE297*Ramure*Pc/MaxiM</f>
        <v>7.7187167361763651E-3</v>
      </c>
      <c r="AE297" s="305">
        <f t="shared" si="117"/>
        <v>0.7</v>
      </c>
      <c r="AF297" s="177">
        <f t="shared" si="118"/>
        <v>0.99689587313004902</v>
      </c>
      <c r="AG297" s="919">
        <f t="shared" si="124"/>
        <v>2</v>
      </c>
      <c r="AH297" s="176">
        <f t="shared" si="119"/>
        <v>8</v>
      </c>
      <c r="AI297" s="225">
        <f t="shared" si="120"/>
        <v>2.996895873130049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1090">
        <f>IF(t&gt;Tmaj,'2026'!Wh/'2026'!Env_an*'2027'!Env_an,0.001*'[12]mon-tableau (1)'!$B$48)</f>
        <v>21.725311864135694</v>
      </c>
      <c r="C298" s="953"/>
      <c r="D298" s="393">
        <f t="shared" si="102"/>
        <v>23.419308837899017</v>
      </c>
      <c r="E298" s="385">
        <f t="shared" si="125"/>
        <v>24.150410277642798</v>
      </c>
      <c r="F298" s="385">
        <f t="shared" si="103"/>
        <v>24.15781925954029</v>
      </c>
      <c r="G298" s="110">
        <f t="shared" si="126"/>
        <v>0.55758089867100147</v>
      </c>
      <c r="H298" s="412" t="b">
        <f>Wh_hp&gt;='2026'!Maxi_hp</f>
        <v>0</v>
      </c>
      <c r="I298" s="390">
        <f>IF(H298,Wh_hp,'2026'!Maxi_hp)</f>
        <v>43.516621662814977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7.2333346192606673E-2</v>
      </c>
      <c r="M298" s="957"/>
      <c r="N298" s="957"/>
      <c r="O298" s="48">
        <f>IF(t&lt;Tnet,'2026'!Resal+('2026'!Salim-'2026'!Resal)*(1-EXP(('2026'!Tnet-t)/('2026'!Tau_j))),Resal+(Salim-Resal)*(1-EXP((Tnet-t)/(Tau_j))))*Salcycl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8.3251243970903826E-4</v>
      </c>
      <c r="Q298" s="305">
        <f t="shared" si="105"/>
        <v>0.7</v>
      </c>
      <c r="R298" s="177">
        <f t="shared" si="106"/>
        <v>0.47204060772943635</v>
      </c>
      <c r="S298" s="919">
        <f t="shared" si="107"/>
        <v>-1</v>
      </c>
      <c r="T298" s="176">
        <f t="shared" si="108"/>
        <v>5</v>
      </c>
      <c r="U298" s="251">
        <f t="shared" si="109"/>
        <v>-0.52795939227056365</v>
      </c>
      <c r="V298" s="383">
        <f t="shared" si="110"/>
        <v>38.943021134810891</v>
      </c>
      <c r="W298" s="402">
        <f t="shared" si="111"/>
        <v>21.725311864135694</v>
      </c>
      <c r="X298" s="157">
        <f t="shared" si="112"/>
        <v>46671</v>
      </c>
      <c r="Y298" s="385">
        <f t="shared" si="113"/>
        <v>20.841756988438522</v>
      </c>
      <c r="Z298" s="385">
        <f t="shared" si="114"/>
        <v>22.466860162428336</v>
      </c>
      <c r="AA298" s="386">
        <f t="shared" si="115"/>
        <v>24.089075814012222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6.7342378101540534E-2</v>
      </c>
      <c r="AD298" s="231">
        <f>(INDEX(Models!$BJ298:$BT298,,AH298)*(1-AF298)+INDEX(Models!$BJ298:$BT298,,AH298+1)*AF298-ERP_i)*AE298*Ramure*Pc/MaxiM</f>
        <v>7.7243775652850221E-3</v>
      </c>
      <c r="AE298" s="305">
        <f t="shared" si="117"/>
        <v>0.7</v>
      </c>
      <c r="AF298" s="177">
        <f t="shared" si="118"/>
        <v>0.99702817410341504</v>
      </c>
      <c r="AG298" s="919">
        <f t="shared" si="124"/>
        <v>2</v>
      </c>
      <c r="AH298" s="176">
        <f t="shared" si="119"/>
        <v>8</v>
      </c>
      <c r="AI298" s="225">
        <f t="shared" si="120"/>
        <v>2.997028174103415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1090">
        <f>IF(t&gt;Tmaj,'2026'!Wh/'2026'!Env_an*'2027'!Env_an,0.001*'[12]mon-tableau (1)'!$B$49)</f>
        <v>30.375996821638282</v>
      </c>
      <c r="C299" s="953"/>
      <c r="D299" s="393">
        <f t="shared" si="102"/>
        <v>32.745234534220877</v>
      </c>
      <c r="E299" s="385">
        <f t="shared" si="125"/>
        <v>33.77118867565715</v>
      </c>
      <c r="F299" s="385">
        <f t="shared" si="103"/>
        <v>33.790871637939013</v>
      </c>
      <c r="G299" s="110">
        <f t="shared" si="126"/>
        <v>0.78470880425690626</v>
      </c>
      <c r="H299" s="412" t="b">
        <f>Wh_hp&gt;='2026'!Maxi_hp</f>
        <v>0</v>
      </c>
      <c r="I299" s="390">
        <f>IF(H299,Wh_hp,'2026'!Maxi_hp)</f>
        <v>42.807452061099632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7.2353664473118751E-2</v>
      </c>
      <c r="M299" s="957"/>
      <c r="N299" s="957"/>
      <c r="O299" s="48">
        <f>IF(t&lt;Tnet,'2026'!Resal+('2026'!Salim-'2026'!Resal)*(1-EXP(('2026'!Tnet-t)/('2026'!Tau_j))),Resal+(Salim-Resal)*(1-EXP((Tnet-t)/(Tau_j))))*Salcycl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8.4086528578008459E-4</v>
      </c>
      <c r="Q299" s="305">
        <f t="shared" si="105"/>
        <v>0.7</v>
      </c>
      <c r="R299" s="177">
        <f t="shared" si="106"/>
        <v>0.47216764806433775</v>
      </c>
      <c r="S299" s="919">
        <f t="shared" si="107"/>
        <v>-1</v>
      </c>
      <c r="T299" s="176">
        <f t="shared" si="108"/>
        <v>5</v>
      </c>
      <c r="U299" s="251">
        <f t="shared" si="109"/>
        <v>-0.52783235193566225</v>
      </c>
      <c r="V299" s="383">
        <f t="shared" si="110"/>
        <v>38.699889412963124</v>
      </c>
      <c r="W299" s="402">
        <f t="shared" si="111"/>
        <v>30.375996821638282</v>
      </c>
      <c r="X299" s="157">
        <f t="shared" si="112"/>
        <v>46672</v>
      </c>
      <c r="Y299" s="385">
        <f t="shared" si="113"/>
        <v>29.077003273327676</v>
      </c>
      <c r="Z299" s="385">
        <f t="shared" si="114"/>
        <v>31.344923339574908</v>
      </c>
      <c r="AA299" s="386">
        <f t="shared" si="115"/>
        <v>33.609904074767854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6.7390276692082252E-2</v>
      </c>
      <c r="AD299" s="231">
        <f>(INDEX(Models!$BJ299:$BT299,,AH299)*(1-AF299)+INDEX(Models!$BJ299:$BT299,,AH299+1)*AF299-ERP_i)*AE299*Ramure*Pc/MaxiM</f>
        <v>7.7310183062776075E-3</v>
      </c>
      <c r="AE299" s="305">
        <f t="shared" si="117"/>
        <v>0.7</v>
      </c>
      <c r="AF299" s="177">
        <f t="shared" si="118"/>
        <v>0.99715521443831667</v>
      </c>
      <c r="AG299" s="919">
        <f t="shared" si="124"/>
        <v>2</v>
      </c>
      <c r="AH299" s="176">
        <f t="shared" si="119"/>
        <v>8</v>
      </c>
      <c r="AI299" s="225">
        <f t="shared" si="120"/>
        <v>2.9971552144383167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1090">
        <f>IF(t&gt;Tmaj,'2026'!Wh/'2026'!Env_an*'2027'!Env_an,0.001*'[12]mon-tableau (1)'!$B$50)</f>
        <v>21.981922220081028</v>
      </c>
      <c r="C300" s="953"/>
      <c r="D300" s="393">
        <f t="shared" si="102"/>
        <v>23.69696601954745</v>
      </c>
      <c r="E300" s="385">
        <f t="shared" si="125"/>
        <v>24.442098599156953</v>
      </c>
      <c r="F300" s="385">
        <f t="shared" si="103"/>
        <v>24.450135728730292</v>
      </c>
      <c r="G300" s="110">
        <f t="shared" si="126"/>
        <v>0.57133036480269683</v>
      </c>
      <c r="H300" s="412" t="b">
        <f>Wh_hp&gt;='2026'!Maxi_hp</f>
        <v>0</v>
      </c>
      <c r="I300" s="390">
        <f>IF(H300,Wh_hp,'2026'!Maxi_hp)</f>
        <v>41.038729599738197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7.2373982308608364E-2</v>
      </c>
      <c r="M300" s="957"/>
      <c r="N300" s="957"/>
      <c r="O300" s="48">
        <f>IF(t&lt;Tnet,'2026'!Resal+('2026'!Salim-'2026'!Resal)*(1-EXP(('2026'!Tnet-t)/('2026'!Tau_j))),Resal+(Salim-Resal)*(1-EXP((Tnet-t)/(Tau_j))))*Salcycl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8.471203678339659E-4</v>
      </c>
      <c r="Q300" s="305">
        <f t="shared" si="105"/>
        <v>0.7</v>
      </c>
      <c r="R300" s="177">
        <f t="shared" si="106"/>
        <v>0.4722896343939319</v>
      </c>
      <c r="S300" s="919">
        <f t="shared" si="107"/>
        <v>-1</v>
      </c>
      <c r="T300" s="176">
        <f t="shared" si="108"/>
        <v>5</v>
      </c>
      <c r="U300" s="251">
        <f t="shared" si="109"/>
        <v>-0.5277103656060681</v>
      </c>
      <c r="V300" s="383">
        <f t="shared" si="110"/>
        <v>38.455024068182134</v>
      </c>
      <c r="W300" s="402">
        <f t="shared" si="111"/>
        <v>21.981922220081028</v>
      </c>
      <c r="X300" s="157">
        <f t="shared" si="112"/>
        <v>46673</v>
      </c>
      <c r="Y300" s="385">
        <f t="shared" si="113"/>
        <v>21.087555964077946</v>
      </c>
      <c r="Z300" s="385">
        <f t="shared" si="114"/>
        <v>22.732820729370147</v>
      </c>
      <c r="AA300" s="386">
        <f t="shared" si="115"/>
        <v>24.376715021948545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6.7437072267459111E-2</v>
      </c>
      <c r="AD300" s="231">
        <f>(INDEX(Models!$BJ300:$BT300,,AH300)*(1-AF300)+INDEX(Models!$BJ300:$BT300,,AH300+1)*AF300-ERP_i)*AE300*Ramure*Pc/MaxiM</f>
        <v>7.7386056263052333E-3</v>
      </c>
      <c r="AE300" s="305">
        <f t="shared" si="117"/>
        <v>0.7</v>
      </c>
      <c r="AF300" s="177">
        <f t="shared" si="118"/>
        <v>0.99727720076791071</v>
      </c>
      <c r="AG300" s="919">
        <f t="shared" si="124"/>
        <v>2</v>
      </c>
      <c r="AH300" s="176">
        <f t="shared" si="119"/>
        <v>8</v>
      </c>
      <c r="AI300" s="225">
        <f t="shared" si="120"/>
        <v>2.9972772007679107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1090">
        <f>IF(t&gt;Tmaj,'2026'!Wh/'2026'!Env_an*'2027'!Env_an,0.001*'[12]mon-tableau (1)'!$B$51)</f>
        <v>16.419568740653219</v>
      </c>
      <c r="C301" s="953"/>
      <c r="D301" s="393">
        <f t="shared" si="102"/>
        <v>17.701021819213398</v>
      </c>
      <c r="E301" s="385">
        <f t="shared" si="125"/>
        <v>18.259601278568461</v>
      </c>
      <c r="F301" s="385">
        <f t="shared" si="103"/>
        <v>18.262482522488678</v>
      </c>
      <c r="G301" s="110">
        <f t="shared" si="126"/>
        <v>0.42943644683002519</v>
      </c>
      <c r="H301" s="412" t="b">
        <f>Wh_hp&gt;='2026'!Maxi_hp</f>
        <v>0</v>
      </c>
      <c r="I301" s="390">
        <f>IF(H301,Wh_hp,'2026'!Maxi_hp)</f>
        <v>44.446308487241133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7.2394299699085174E-2</v>
      </c>
      <c r="M301" s="957"/>
      <c r="N301" s="957"/>
      <c r="O301" s="48">
        <f>IF(t&lt;Tnet,'2026'!Resal+('2026'!Salim-'2026'!Resal)*(1-EXP(('2026'!Tnet-t)/('2026'!Tau_j))),Resal+(Salim-Resal)*(1-EXP((Tnet-t)/(Tau_j))))*Salcycl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8.5126099047355707E-4</v>
      </c>
      <c r="Q301" s="305">
        <f t="shared" si="105"/>
        <v>0.7</v>
      </c>
      <c r="R301" s="177">
        <f t="shared" si="106"/>
        <v>0.47240676543471272</v>
      </c>
      <c r="S301" s="919">
        <f t="shared" si="107"/>
        <v>-1</v>
      </c>
      <c r="T301" s="176">
        <f t="shared" si="108"/>
        <v>5</v>
      </c>
      <c r="U301" s="251">
        <f t="shared" si="109"/>
        <v>-0.52759323456528728</v>
      </c>
      <c r="V301" s="383">
        <f t="shared" si="110"/>
        <v>38.20863416900994</v>
      </c>
      <c r="W301" s="402">
        <f t="shared" si="111"/>
        <v>16.419568740653219</v>
      </c>
      <c r="X301" s="157">
        <f t="shared" si="112"/>
        <v>46674</v>
      </c>
      <c r="Y301" s="385">
        <f t="shared" si="113"/>
        <v>15.774517032253737</v>
      </c>
      <c r="Z301" s="385">
        <f t="shared" si="114"/>
        <v>17.005627528093555</v>
      </c>
      <c r="AA301" s="386">
        <f t="shared" si="115"/>
        <v>18.236261061067367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6.7482776697088021E-2</v>
      </c>
      <c r="AD301" s="231">
        <f>(INDEX(Models!$BJ301:$BT301,,AH301)*(1-AF301)+INDEX(Models!$BJ301:$BT301,,AH301+1)*AF301-ERP_i)*AE301*Ramure*Pc/MaxiM</f>
        <v>7.7471077906836388E-3</v>
      </c>
      <c r="AE301" s="305">
        <f t="shared" si="117"/>
        <v>0.7</v>
      </c>
      <c r="AF301" s="177">
        <f t="shared" si="118"/>
        <v>0.99739433180869153</v>
      </c>
      <c r="AG301" s="919">
        <f t="shared" si="124"/>
        <v>2</v>
      </c>
      <c r="AH301" s="176">
        <f t="shared" si="119"/>
        <v>8</v>
      </c>
      <c r="AI301" s="225">
        <f t="shared" si="120"/>
        <v>2.9973943318086915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1090">
        <f>IF(t&gt;Tmaj,'2026'!Wh/'2026'!Env_an*'2027'!Env_an,0.001*'[12]mon-tableau (1)'!$B$52)</f>
        <v>36.665622656083279</v>
      </c>
      <c r="C302" s="953"/>
      <c r="D302" s="393">
        <f t="shared" si="102"/>
        <v>39.528029779263349</v>
      </c>
      <c r="E302" s="385">
        <f t="shared" si="125"/>
        <v>40.779794344149352</v>
      </c>
      <c r="F302" s="385">
        <f t="shared" si="103"/>
        <v>40.81292129771473</v>
      </c>
      <c r="G302" s="110">
        <f t="shared" si="126"/>
        <v>0.96583771248411965</v>
      </c>
      <c r="H302" s="412" t="b">
        <f>Wh_hp&gt;='2026'!Maxi_hp</f>
        <v>0</v>
      </c>
      <c r="I302" s="390">
        <f>IF(H302,Wh_hp,'2026'!Maxi_hp)</f>
        <v>40.814177101237298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7.241461664455906E-2</v>
      </c>
      <c r="M302" s="957"/>
      <c r="N302" s="957"/>
      <c r="O302" s="48">
        <f>IF(t&lt;Tnet,'2026'!Resal+('2026'!Salim-'2026'!Resal)*(1-EXP(('2026'!Tnet-t)/('2026'!Tau_j))),Resal+(Salim-Resal)*(1-EXP((Tnet-t)/(Tau_j))))*Salcycl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8.5327150664840515E-4</v>
      </c>
      <c r="Q302" s="305">
        <f t="shared" si="105"/>
        <v>0.7</v>
      </c>
      <c r="R302" s="177">
        <f t="shared" si="106"/>
        <v>0.47251923227407877</v>
      </c>
      <c r="S302" s="919">
        <f t="shared" si="107"/>
        <v>-1</v>
      </c>
      <c r="T302" s="176">
        <f t="shared" si="108"/>
        <v>5</v>
      </c>
      <c r="U302" s="251">
        <f t="shared" si="109"/>
        <v>-0.52748076772592123</v>
      </c>
      <c r="V302" s="383">
        <f t="shared" si="110"/>
        <v>37.960928522881545</v>
      </c>
      <c r="W302" s="402">
        <f t="shared" si="111"/>
        <v>36.665622656083279</v>
      </c>
      <c r="X302" s="157">
        <f t="shared" si="112"/>
        <v>46675</v>
      </c>
      <c r="Y302" s="385">
        <f t="shared" si="113"/>
        <v>35.040587362364086</v>
      </c>
      <c r="Z302" s="385">
        <f t="shared" si="114"/>
        <v>37.776131438820769</v>
      </c>
      <c r="AA302" s="386">
        <f t="shared" si="115"/>
        <v>40.511787321429971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6.7527405317960199E-2</v>
      </c>
      <c r="AD302" s="231">
        <f>(INDEX(Models!$BJ302:$BT302,,AH302)*(1-AF302)+INDEX(Models!$BJ302:$BT302,,AH302+1)*AF302-ERP_i)*AE302*Ramure*Pc/MaxiM</f>
        <v>7.7564947570691895E-3</v>
      </c>
      <c r="AE302" s="305">
        <f t="shared" si="117"/>
        <v>0.7</v>
      </c>
      <c r="AF302" s="177">
        <f t="shared" si="118"/>
        <v>0.99750679864805747</v>
      </c>
      <c r="AG302" s="919">
        <f t="shared" si="124"/>
        <v>2</v>
      </c>
      <c r="AH302" s="176">
        <f t="shared" si="119"/>
        <v>8</v>
      </c>
      <c r="AI302" s="225">
        <f t="shared" si="120"/>
        <v>2.9975067986480575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1090">
        <f>IF(t&gt;Tmaj,'2026'!Wh/'2026'!Env_an*'2027'!Env_an,0.001*'[12]mon-tableau (1)'!$B$53)</f>
        <v>33.101778791528872</v>
      </c>
      <c r="C303" s="953"/>
      <c r="D303" s="393">
        <f t="shared" si="102"/>
        <v>35.686745840661189</v>
      </c>
      <c r="E303" s="385">
        <f t="shared" si="125"/>
        <v>36.820817639102835</v>
      </c>
      <c r="F303" s="385">
        <f t="shared" si="103"/>
        <v>36.846763542081888</v>
      </c>
      <c r="G303" s="110">
        <f t="shared" si="126"/>
        <v>0.87762564920065511</v>
      </c>
      <c r="H303" s="412" t="b">
        <f>Wh_hp&gt;='2026'!Maxi_hp</f>
        <v>0</v>
      </c>
      <c r="I303" s="390">
        <f>IF(H303,Wh_hp,'2026'!Maxi_hp)</f>
        <v>39.359495276629886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7.2434933145039682E-2</v>
      </c>
      <c r="M303" s="957"/>
      <c r="N303" s="957"/>
      <c r="O303" s="48">
        <f>IF(t&lt;Tnet,'2026'!Resal+('2026'!Salim-'2026'!Resal)*(1-EXP(('2026'!Tnet-t)/('2026'!Tau_j))),Resal+(Salim-Resal)*(1-EXP((Tnet-t)/(Tau_j))))*Salcycl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8.5314456820075242E-4</v>
      </c>
      <c r="Q303" s="305">
        <f t="shared" si="105"/>
        <v>0.7</v>
      </c>
      <c r="R303" s="177">
        <f t="shared" si="106"/>
        <v>0.47262721864871171</v>
      </c>
      <c r="S303" s="919">
        <f t="shared" si="107"/>
        <v>-1</v>
      </c>
      <c r="T303" s="176">
        <f t="shared" si="108"/>
        <v>5</v>
      </c>
      <c r="U303" s="251">
        <f t="shared" si="109"/>
        <v>-0.52737278135128829</v>
      </c>
      <c r="V303" s="383">
        <f t="shared" si="110"/>
        <v>37.71180068612361</v>
      </c>
      <c r="W303" s="402">
        <f t="shared" si="111"/>
        <v>33.101778791528872</v>
      </c>
      <c r="X303" s="157">
        <f t="shared" si="112"/>
        <v>46676</v>
      </c>
      <c r="Y303" s="385">
        <f t="shared" si="113"/>
        <v>31.664054619253797</v>
      </c>
      <c r="Z303" s="385">
        <f t="shared" si="114"/>
        <v>34.136747653310429</v>
      </c>
      <c r="AA303" s="386">
        <f t="shared" si="115"/>
        <v>36.610558886054591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6.7570977008123895E-2</v>
      </c>
      <c r="AD303" s="231">
        <f>(INDEX(Models!$BJ303:$BT303,,AH303)*(1-AF303)+INDEX(Models!$BJ303:$BT303,,AH303+1)*AF303-ERP_i)*AE303*Ramure*Pc/MaxiM</f>
        <v>7.7668030839433523E-3</v>
      </c>
      <c r="AE303" s="305">
        <f t="shared" si="117"/>
        <v>0.7</v>
      </c>
      <c r="AF303" s="177">
        <f t="shared" si="118"/>
        <v>0.99761478502269085</v>
      </c>
      <c r="AG303" s="919">
        <f t="shared" si="124"/>
        <v>2</v>
      </c>
      <c r="AH303" s="176">
        <f t="shared" si="119"/>
        <v>8</v>
      </c>
      <c r="AI303" s="225">
        <f t="shared" si="120"/>
        <v>2.9976147850226909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1090">
        <f>IF(t&gt;Tmaj,'2026'!Wh/'2026'!Env_an*'2027'!Env_an,0.001*'[12]mon-tableau (1)'!$B$54)</f>
        <v>22.291837923226542</v>
      </c>
      <c r="C304" s="953"/>
      <c r="D304" s="393">
        <f t="shared" si="102"/>
        <v>24.033167029421392</v>
      </c>
      <c r="E304" s="385">
        <f t="shared" si="125"/>
        <v>24.799550652951275</v>
      </c>
      <c r="F304" s="385">
        <f t="shared" si="103"/>
        <v>24.808448918274127</v>
      </c>
      <c r="G304" s="110">
        <f t="shared" si="126"/>
        <v>0.59477584216054002</v>
      </c>
      <c r="H304" s="412" t="b">
        <f>Wh_hp&gt;='2026'!Maxi_hp</f>
        <v>0</v>
      </c>
      <c r="I304" s="390">
        <f>IF(H304,Wh_hp,'2026'!Maxi_hp)</f>
        <v>39.909622414686694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7.2455249200536809E-2</v>
      </c>
      <c r="M304" s="957"/>
      <c r="N304" s="957"/>
      <c r="O304" s="48">
        <f>IF(t&lt;Tnet,'2026'!Resal+('2026'!Salim-'2026'!Resal)*(1-EXP(('2026'!Tnet-t)/('2026'!Tau_j))),Resal+(Salim-Resal)*(1-EXP((Tnet-t)/(Tau_j))))*Salcycl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8.5090369149048994E-4</v>
      </c>
      <c r="Q304" s="305">
        <f t="shared" si="105"/>
        <v>0.7</v>
      </c>
      <c r="R304" s="177">
        <f t="shared" si="106"/>
        <v>0.47273090121395656</v>
      </c>
      <c r="S304" s="919">
        <f t="shared" si="107"/>
        <v>-1</v>
      </c>
      <c r="T304" s="176">
        <f t="shared" si="108"/>
        <v>5</v>
      </c>
      <c r="U304" s="251">
        <f t="shared" si="109"/>
        <v>-0.52726909878604344</v>
      </c>
      <c r="V304" s="383">
        <f t="shared" si="110"/>
        <v>37.460938743423156</v>
      </c>
      <c r="W304" s="402">
        <f t="shared" si="111"/>
        <v>22.291837923226542</v>
      </c>
      <c r="X304" s="157">
        <f t="shared" si="112"/>
        <v>46677</v>
      </c>
      <c r="Y304" s="385">
        <f t="shared" si="113"/>
        <v>21.384613553737903</v>
      </c>
      <c r="Z304" s="385">
        <f t="shared" si="114"/>
        <v>23.055074739311738</v>
      </c>
      <c r="AA304" s="386">
        <f t="shared" si="115"/>
        <v>24.726950777853336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6.7613514240462358E-2</v>
      </c>
      <c r="AD304" s="231">
        <f>(INDEX(Models!$BJ304:$BT304,,AH304)*(1-AF304)+INDEX(Models!$BJ304:$BT304,,AH304+1)*AF304-ERP_i)*AE304*Ramure*Pc/MaxiM</f>
        <v>7.7933244309493655E-3</v>
      </c>
      <c r="AE304" s="305">
        <f t="shared" si="117"/>
        <v>0.7</v>
      </c>
      <c r="AF304" s="177">
        <f t="shared" si="118"/>
        <v>0.99771846758793536</v>
      </c>
      <c r="AG304" s="919">
        <f t="shared" si="124"/>
        <v>2</v>
      </c>
      <c r="AH304" s="176">
        <f t="shared" si="119"/>
        <v>8</v>
      </c>
      <c r="AI304" s="225">
        <f t="shared" si="120"/>
        <v>2.9977184675879354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1090">
        <f>IF(t&gt;Tmaj,'2026'!Wh/'2026'!Env_an*'2027'!Env_an,0.001*'[12]mon-tableau (1)'!$B$55)</f>
        <v>34.113607851729476</v>
      </c>
      <c r="C305" s="953"/>
      <c r="D305" s="393">
        <f t="shared" si="102"/>
        <v>36.77920123449946</v>
      </c>
      <c r="E305" s="385">
        <f t="shared" si="125"/>
        <v>37.956061391085015</v>
      </c>
      <c r="F305" s="385">
        <f t="shared" si="103"/>
        <v>37.984446646650461</v>
      </c>
      <c r="G305" s="110">
        <f t="shared" si="126"/>
        <v>0.91673820654804994</v>
      </c>
      <c r="H305" s="412" t="b">
        <f>Wh_hp&gt;='2026'!Maxi_hp</f>
        <v>0</v>
      </c>
      <c r="I305" s="390">
        <f>IF(H305,Wh_hp,'2026'!Maxi_hp)</f>
        <v>40.636688636439388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7.24755648110601E-2</v>
      </c>
      <c r="M305" s="957"/>
      <c r="N305" s="957"/>
      <c r="O305" s="48">
        <f>IF(t&lt;Tnet,'2026'!Resal+('2026'!Salim-'2026'!Resal)*(1-EXP(('2026'!Tnet-t)/('2026'!Tau_j))),Resal+(Salim-Resal)*(1-EXP((Tnet-t)/(Tau_j))))*Salcycl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8.4804538670866679E-4</v>
      </c>
      <c r="Q305" s="305">
        <f t="shared" si="105"/>
        <v>0.7</v>
      </c>
      <c r="R305" s="177">
        <f t="shared" si="106"/>
        <v>0.47283044980439703</v>
      </c>
      <c r="S305" s="919">
        <f t="shared" si="107"/>
        <v>-1</v>
      </c>
      <c r="T305" s="176">
        <f t="shared" si="108"/>
        <v>5</v>
      </c>
      <c r="U305" s="251">
        <f t="shared" si="109"/>
        <v>-0.52716955019560297</v>
      </c>
      <c r="V305" s="383">
        <f t="shared" si="110"/>
        <v>37.208188532624753</v>
      </c>
      <c r="W305" s="402">
        <f t="shared" si="111"/>
        <v>34.113607851729476</v>
      </c>
      <c r="X305" s="157">
        <f t="shared" si="112"/>
        <v>46678</v>
      </c>
      <c r="Y305" s="385">
        <f t="shared" si="113"/>
        <v>32.620968964402934</v>
      </c>
      <c r="Z305" s="385">
        <f t="shared" si="114"/>
        <v>35.169929466880227</v>
      </c>
      <c r="AA305" s="386">
        <f t="shared" si="115"/>
        <v>37.722013946868032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6.7655043115737501E-2</v>
      </c>
      <c r="AD305" s="231">
        <f>(INDEX(Models!$BJ305:$BT305,,AH305)*(1-AF305)+INDEX(Models!$BJ305:$BT305,,AH305+1)*AF305-ERP_i)*AE305*Ramure*Pc/MaxiM</f>
        <v>7.8405085999274336E-3</v>
      </c>
      <c r="AE305" s="305">
        <f t="shared" si="117"/>
        <v>0.7</v>
      </c>
      <c r="AF305" s="177">
        <f t="shared" si="118"/>
        <v>0.99781801617837607</v>
      </c>
      <c r="AG305" s="919">
        <f t="shared" si="124"/>
        <v>2</v>
      </c>
      <c r="AH305" s="176">
        <f t="shared" si="119"/>
        <v>8</v>
      </c>
      <c r="AI305" s="225">
        <f t="shared" si="120"/>
        <v>2.9978180161783761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1090">
        <f>IF(t&gt;Tmaj,'2026'!Wh/'2026'!Env_an*'2027'!Env_an,0.001*'[12]mon-tableau (1)'!$B$56)</f>
        <v>14.522717799419953</v>
      </c>
      <c r="C306" s="953"/>
      <c r="D306" s="393">
        <f t="shared" si="102"/>
        <v>15.657847211561565</v>
      </c>
      <c r="E306" s="385">
        <f t="shared" si="125"/>
        <v>16.160569337095968</v>
      </c>
      <c r="F306" s="385">
        <f t="shared" si="103"/>
        <v>16.162382882985426</v>
      </c>
      <c r="G306" s="110">
        <f t="shared" si="126"/>
        <v>0.39271244370076258</v>
      </c>
      <c r="H306" s="412" t="b">
        <f>Wh_hp&gt;='2026'!Maxi_hp</f>
        <v>0</v>
      </c>
      <c r="I306" s="390">
        <f>IF(H306,Wh_hp,'2026'!Maxi_hp)</f>
        <v>39.555235344496339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7.2495879976619437E-2</v>
      </c>
      <c r="M306" s="957"/>
      <c r="N306" s="957"/>
      <c r="O306" s="48">
        <f>IF(t&lt;Tnet,'2026'!Resal+('2026'!Salim-'2026'!Resal)*(1-EXP(('2026'!Tnet-t)/('2026'!Tau_j))),Resal+(Salim-Resal)*(1-EXP((Tnet-t)/(Tau_j))))*Salcycl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8.4457237112314223E-4</v>
      </c>
      <c r="Q306" s="305">
        <f t="shared" si="105"/>
        <v>0.7</v>
      </c>
      <c r="R306" s="177">
        <f t="shared" si="106"/>
        <v>0.47292602768582714</v>
      </c>
      <c r="S306" s="919">
        <f t="shared" si="107"/>
        <v>-1</v>
      </c>
      <c r="T306" s="176">
        <f t="shared" si="108"/>
        <v>5</v>
      </c>
      <c r="U306" s="251">
        <f t="shared" si="109"/>
        <v>-0.52707397231417286</v>
      </c>
      <c r="V306" s="383">
        <f t="shared" si="110"/>
        <v>36.95345262177041</v>
      </c>
      <c r="W306" s="402">
        <f t="shared" si="111"/>
        <v>14.522717799419953</v>
      </c>
      <c r="X306" s="157">
        <f t="shared" si="112"/>
        <v>46679</v>
      </c>
      <c r="Y306" s="385">
        <f t="shared" si="113"/>
        <v>13.961189479367716</v>
      </c>
      <c r="Z306" s="385">
        <f t="shared" si="114"/>
        <v>15.05242853154742</v>
      </c>
      <c r="AA306" s="386">
        <f t="shared" si="115"/>
        <v>16.145401034864104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6.7695593374022658E-2</v>
      </c>
      <c r="AD306" s="231">
        <f>(INDEX(Models!$BJ306:$BT306,,AH306)*(1-AF306)+INDEX(Models!$BJ306:$BT306,,AH306+1)*AF306-ERP_i)*AE306*Ramure*Pc/MaxiM</f>
        <v>7.9084845976383662E-3</v>
      </c>
      <c r="AE306" s="305">
        <f t="shared" si="117"/>
        <v>0.7</v>
      </c>
      <c r="AF306" s="177">
        <f t="shared" si="118"/>
        <v>0.99791359405980629</v>
      </c>
      <c r="AG306" s="919">
        <f t="shared" si="124"/>
        <v>2</v>
      </c>
      <c r="AH306" s="176">
        <f t="shared" si="119"/>
        <v>8</v>
      </c>
      <c r="AI306" s="225">
        <f t="shared" si="120"/>
        <v>2.9979135940598063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1090">
        <f>IF(t&gt;Tmaj,'2026'!Wh/'2026'!Env_an*'2027'!Env_an,0.001*'[12]mon-tableau (1)'!$B$57)</f>
        <v>8.3292609000287232</v>
      </c>
      <c r="C307" s="953"/>
      <c r="D307" s="393">
        <f t="shared" si="102"/>
        <v>8.9804920068762293</v>
      </c>
      <c r="E307" s="385">
        <f t="shared" si="125"/>
        <v>9.2697969066923136</v>
      </c>
      <c r="F307" s="385">
        <f t="shared" si="103"/>
        <v>9.2697969066923136</v>
      </c>
      <c r="G307" s="110">
        <f t="shared" si="126"/>
        <v>0.22678538751605798</v>
      </c>
      <c r="H307" s="412" t="b">
        <f>Wh_hp&gt;='2026'!Maxi_hp</f>
        <v>0</v>
      </c>
      <c r="I307" s="390">
        <f>IF(H307,Wh_hp,'2026'!Maxi_hp)</f>
        <v>32.753589060137877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7.251619469722459E-2</v>
      </c>
      <c r="M307" s="957"/>
      <c r="N307" s="957"/>
      <c r="O307" s="48">
        <f>IF(t&lt;Tnet,'2026'!Resal+('2026'!Salim-'2026'!Resal)*(1-EXP(('2026'!Tnet-t)/('2026'!Tau_j))),Resal+(Salim-Resal)*(1-EXP((Tnet-t)/(Tau_j))))*Salcycl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8.4048801357348882E-4</v>
      </c>
      <c r="Q307" s="305">
        <f t="shared" si="105"/>
        <v>0.7</v>
      </c>
      <c r="R307" s="177">
        <f t="shared" si="106"/>
        <v>0.47301779179882053</v>
      </c>
      <c r="S307" s="919">
        <f t="shared" si="107"/>
        <v>-1</v>
      </c>
      <c r="T307" s="176">
        <f t="shared" si="108"/>
        <v>5</v>
      </c>
      <c r="U307" s="251">
        <f t="shared" si="109"/>
        <v>-0.52698220820117947</v>
      </c>
      <c r="V307" s="383">
        <f t="shared" si="110"/>
        <v>36.696633531960032</v>
      </c>
      <c r="W307" s="402">
        <f t="shared" si="111"/>
        <v>8.3292609000287232</v>
      </c>
      <c r="X307" s="157">
        <f t="shared" si="112"/>
        <v>46680</v>
      </c>
      <c r="Y307" s="385">
        <f t="shared" si="113"/>
        <v>8.0152272815665278</v>
      </c>
      <c r="Z307" s="385">
        <f t="shared" si="114"/>
        <v>8.641905374239899</v>
      </c>
      <c r="AA307" s="386">
        <f t="shared" si="115"/>
        <v>9.2697969066923136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6.7735198383808176E-2</v>
      </c>
      <c r="AD307" s="231">
        <f>(INDEX(Models!$BJ307:$BT307,,AH307)*(1-AF307)+INDEX(Models!$BJ307:$BT307,,AH307+1)*AF307-ERP_i)*AE307*Ramure*Pc/MaxiM</f>
        <v>7.9973809713091201E-3</v>
      </c>
      <c r="AE307" s="305">
        <f t="shared" si="117"/>
        <v>0.7</v>
      </c>
      <c r="AF307" s="177">
        <f t="shared" si="118"/>
        <v>0.99800535817279945</v>
      </c>
      <c r="AG307" s="919">
        <f t="shared" si="124"/>
        <v>2</v>
      </c>
      <c r="AH307" s="176">
        <f t="shared" si="119"/>
        <v>8</v>
      </c>
      <c r="AI307" s="225">
        <f t="shared" si="120"/>
        <v>2.9980053581727995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1090">
        <f>IF(t&gt;Tmaj,'2026'!Wh/'2026'!Env_an*'2027'!Env_an,0.001*'[12]mon-tableau (1)'!$B$58)</f>
        <v>15.223008798629367</v>
      </c>
      <c r="C308" s="953"/>
      <c r="D308" s="393">
        <f t="shared" si="102"/>
        <v>16.41359357635816</v>
      </c>
      <c r="E308" s="385">
        <f t="shared" si="125"/>
        <v>16.944118382403502</v>
      </c>
      <c r="F308" s="385">
        <f t="shared" si="103"/>
        <v>16.946501599150455</v>
      </c>
      <c r="G308" s="110">
        <f t="shared" si="126"/>
        <v>0.41749211605627251</v>
      </c>
      <c r="H308" s="412" t="b">
        <f>Wh_hp&gt;='2026'!Maxi_hp</f>
        <v>0</v>
      </c>
      <c r="I308" s="390">
        <f>IF(H308,Wh_hp,'2026'!Maxi_hp)</f>
        <v>25.301063614108177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7.2536508972885105E-2</v>
      </c>
      <c r="M308" s="957"/>
      <c r="N308" s="957"/>
      <c r="O308" s="48">
        <f>IF(t&lt;Tnet,'2026'!Resal+('2026'!Salim-'2026'!Resal)*(1-EXP(('2026'!Tnet-t)/('2026'!Tau_j))),Resal+(Salim-Resal)*(1-EXP((Tnet-t)/(Tau_j))))*Salcycl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8.3579630182336587E-4</v>
      </c>
      <c r="Q308" s="305">
        <f t="shared" si="105"/>
        <v>0.7</v>
      </c>
      <c r="R308" s="177">
        <f t="shared" si="106"/>
        <v>0.47310589299410588</v>
      </c>
      <c r="S308" s="919">
        <f t="shared" si="107"/>
        <v>-1</v>
      </c>
      <c r="T308" s="176">
        <f t="shared" si="108"/>
        <v>5</v>
      </c>
      <c r="U308" s="251">
        <f t="shared" si="109"/>
        <v>-0.52689410700589412</v>
      </c>
      <c r="V308" s="383">
        <f t="shared" si="110"/>
        <v>36.437633740988112</v>
      </c>
      <c r="W308" s="402">
        <f t="shared" si="111"/>
        <v>15.223008798629367</v>
      </c>
      <c r="X308" s="157">
        <f t="shared" si="112"/>
        <v>46681</v>
      </c>
      <c r="Y308" s="385">
        <f t="shared" si="113"/>
        <v>14.632053980117606</v>
      </c>
      <c r="Z308" s="385">
        <f t="shared" si="114"/>
        <v>15.776420443152332</v>
      </c>
      <c r="AA308" s="386">
        <f t="shared" si="115"/>
        <v>16.923384102169162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6.7773895108237711E-2</v>
      </c>
      <c r="AD308" s="231">
        <f>(INDEX(Models!$BJ308:$BT308,,AH308)*(1-AF308)+INDEX(Models!$BJ308:$BT308,,AH308+1)*AF308-ERP_i)*AE308*Ramure*Pc/MaxiM</f>
        <v>8.1073274216761654E-3</v>
      </c>
      <c r="AE308" s="305">
        <f t="shared" si="117"/>
        <v>0.7</v>
      </c>
      <c r="AF308" s="177">
        <f t="shared" si="118"/>
        <v>0.9980934593680848</v>
      </c>
      <c r="AG308" s="919">
        <f t="shared" si="124"/>
        <v>2</v>
      </c>
      <c r="AH308" s="176">
        <f t="shared" si="119"/>
        <v>8</v>
      </c>
      <c r="AI308" s="225">
        <f t="shared" si="120"/>
        <v>2.9980934593680848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1090">
        <f>IF(t&gt;Tmaj,'2026'!Wh/'2026'!Env_an*'2027'!Env_an,0.001*'[12]mon-tableau (1)'!$B$59)</f>
        <v>32.837671333283893</v>
      </c>
      <c r="C309" s="953"/>
      <c r="D309" s="393">
        <f t="shared" si="102"/>
        <v>35.406666565331165</v>
      </c>
      <c r="E309" s="385">
        <f t="shared" si="125"/>
        <v>36.554874170203249</v>
      </c>
      <c r="F309" s="385">
        <f t="shared" si="103"/>
        <v>36.581249511016885</v>
      </c>
      <c r="G309" s="110">
        <f t="shared" si="126"/>
        <v>0.90761140986118338</v>
      </c>
      <c r="H309" s="412" t="b">
        <f>Wh_hp&gt;='2026'!Maxi_hp</f>
        <v>0</v>
      </c>
      <c r="I309" s="390">
        <f>IF(H309,Wh_hp,'2026'!Maxi_hp)</f>
        <v>36.584229180190739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7.2556822803610976E-2</v>
      </c>
      <c r="M309" s="957"/>
      <c r="N309" s="957"/>
      <c r="O309" s="48">
        <f>IF(t&lt;Tnet,'2026'!Resal+('2026'!Salim-'2026'!Resal)*(1-EXP(('2026'!Tnet-t)/('2026'!Tau_j))),Resal+(Salim-Resal)*(1-EXP((Tnet-t)/(Tau_j))))*Salcycl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8.3050180213004477E-4</v>
      </c>
      <c r="Q309" s="305">
        <f t="shared" si="105"/>
        <v>0.7</v>
      </c>
      <c r="R309" s="177">
        <f t="shared" si="106"/>
        <v>0.4731904762599517</v>
      </c>
      <c r="S309" s="919">
        <f t="shared" si="107"/>
        <v>-1</v>
      </c>
      <c r="T309" s="176">
        <f t="shared" si="108"/>
        <v>5</v>
      </c>
      <c r="U309" s="251">
        <f t="shared" si="109"/>
        <v>-0.5268095237400483</v>
      </c>
      <c r="V309" s="383">
        <f t="shared" si="110"/>
        <v>36.176355686346227</v>
      </c>
      <c r="W309" s="402">
        <f t="shared" si="111"/>
        <v>32.837671333283893</v>
      </c>
      <c r="X309" s="157">
        <f t="shared" si="112"/>
        <v>46682</v>
      </c>
      <c r="Y309" s="385">
        <f t="shared" si="113"/>
        <v>31.400178968471057</v>
      </c>
      <c r="Z309" s="385">
        <f t="shared" si="114"/>
        <v>33.856714611230537</v>
      </c>
      <c r="AA309" s="386">
        <f t="shared" si="115"/>
        <v>36.319609980782353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6.7811724048110686E-2</v>
      </c>
      <c r="AD309" s="231">
        <f>(INDEX(Models!$BJ309:$BT309,,AH309)*(1-AF309)+INDEX(Models!$BJ309:$BT309,,AH309+1)*AF309-ERP_i)*AE309*Ramure*Pc/MaxiM</f>
        <v>8.2384566290004003E-3</v>
      </c>
      <c r="AE309" s="305">
        <f t="shared" si="117"/>
        <v>0.7</v>
      </c>
      <c r="AF309" s="177">
        <f t="shared" si="118"/>
        <v>0.99817804263393084</v>
      </c>
      <c r="AG309" s="919">
        <f t="shared" si="124"/>
        <v>2</v>
      </c>
      <c r="AH309" s="176">
        <f t="shared" si="119"/>
        <v>8</v>
      </c>
      <c r="AI309" s="225">
        <f t="shared" si="120"/>
        <v>2.9981780426339308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1090">
        <f>IF(t&gt;Tmaj,'2026'!Wh/'2026'!Env_an*'2027'!Env_an,0.001*'[12]mon-tableau (1)'!$B$60)</f>
        <v>18.703001769817934</v>
      </c>
      <c r="C310" s="953"/>
      <c r="D310" s="393">
        <f t="shared" si="102"/>
        <v>20.166638649570466</v>
      </c>
      <c r="E310" s="385">
        <f t="shared" si="125"/>
        <v>20.822768227343612</v>
      </c>
      <c r="F310" s="385">
        <f t="shared" si="103"/>
        <v>20.828186229444725</v>
      </c>
      <c r="G310" s="110">
        <f t="shared" si="126"/>
        <v>0.52049666572831987</v>
      </c>
      <c r="H310" s="412" t="b">
        <f>Wh_hp&gt;='2026'!Maxi_hp</f>
        <v>0</v>
      </c>
      <c r="I310" s="390">
        <f>IF(H310,Wh_hp,'2026'!Maxi_hp)</f>
        <v>40.417600881584974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7.2577136189411751E-2</v>
      </c>
      <c r="M310" s="957"/>
      <c r="N310" s="957"/>
      <c r="O310" s="48">
        <f>IF(t&lt;Tnet,'2026'!Resal+('2026'!Salim-'2026'!Resal)*(1-EXP(('2026'!Tnet-t)/('2026'!Tau_j))),Resal+(Salim-Resal)*(1-EXP((Tnet-t)/(Tau_j))))*Salcycl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8.2471678523144938E-4</v>
      </c>
      <c r="Q310" s="305">
        <f t="shared" si="105"/>
        <v>0.7</v>
      </c>
      <c r="R310" s="177">
        <f t="shared" si="106"/>
        <v>0.47327168094177352</v>
      </c>
      <c r="S310" s="919">
        <f t="shared" si="107"/>
        <v>-1</v>
      </c>
      <c r="T310" s="176">
        <f t="shared" si="108"/>
        <v>5</v>
      </c>
      <c r="U310" s="251">
        <f t="shared" si="109"/>
        <v>-0.52672831905822648</v>
      </c>
      <c r="V310" s="383">
        <f t="shared" si="110"/>
        <v>35.912697918945376</v>
      </c>
      <c r="W310" s="402">
        <f t="shared" si="111"/>
        <v>18.703001769817934</v>
      </c>
      <c r="X310" s="157">
        <f t="shared" si="112"/>
        <v>46683</v>
      </c>
      <c r="Y310" s="385">
        <f t="shared" si="113"/>
        <v>17.958176285062844</v>
      </c>
      <c r="Z310" s="385">
        <f t="shared" si="114"/>
        <v>19.363525513352585</v>
      </c>
      <c r="AA310" s="386">
        <f t="shared" si="115"/>
        <v>20.772943318452949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6.784872916147397E-2</v>
      </c>
      <c r="AD310" s="231">
        <f>(INDEX(Models!$BJ310:$BT310,,AH310)*(1-AF310)+INDEX(Models!$BJ310:$BT310,,AH310+1)*AF310-ERP_i)*AE310*Ramure*Pc/MaxiM</f>
        <v>8.4089587101856024E-3</v>
      </c>
      <c r="AE310" s="305">
        <f t="shared" si="117"/>
        <v>0.7</v>
      </c>
      <c r="AF310" s="177">
        <f t="shared" si="118"/>
        <v>0.99825924731575233</v>
      </c>
      <c r="AG310" s="919">
        <f t="shared" si="124"/>
        <v>2</v>
      </c>
      <c r="AH310" s="176">
        <f t="shared" si="119"/>
        <v>8</v>
      </c>
      <c r="AI310" s="225">
        <f t="shared" si="120"/>
        <v>2.9982592473157523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1090">
        <f>IF(t&gt;Tmaj,'2026'!Wh/'2026'!Env_an*'2027'!Env_an,0.001*'[12]mon-tableau (1)'!$B$61)</f>
        <v>24.949472044673797</v>
      </c>
      <c r="C311" s="953"/>
      <c r="D311" s="393">
        <f t="shared" si="102"/>
        <v>26.902526870641658</v>
      </c>
      <c r="E311" s="385">
        <f t="shared" si="125"/>
        <v>27.780654505782792</v>
      </c>
      <c r="F311" s="385">
        <f t="shared" si="103"/>
        <v>27.793659784829213</v>
      </c>
      <c r="G311" s="110">
        <f t="shared" si="126"/>
        <v>0.69966696722056732</v>
      </c>
      <c r="H311" s="412" t="b">
        <f>Wh_hp&gt;='2026'!Maxi_hp</f>
        <v>0</v>
      </c>
      <c r="I311" s="390">
        <f>IF(H311,Wh_hp,'2026'!Maxi_hp)</f>
        <v>41.588960428568228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7.2597449130297198E-2</v>
      </c>
      <c r="M311" s="957"/>
      <c r="N311" s="957"/>
      <c r="O311" s="48">
        <f>IF(t&lt;Tnet,'2026'!Resal+('2026'!Salim-'2026'!Resal)*(1-EXP(('2026'!Tnet-t)/('2026'!Tau_j))),Resal+(Salim-Resal)*(1-EXP((Tnet-t)/(Tau_j))))*Salcycl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8.190428701680166E-4</v>
      </c>
      <c r="Q311" s="305">
        <f t="shared" si="105"/>
        <v>0.7</v>
      </c>
      <c r="R311" s="177">
        <f t="shared" si="106"/>
        <v>0.47334964095416621</v>
      </c>
      <c r="S311" s="919">
        <f t="shared" si="107"/>
        <v>-1</v>
      </c>
      <c r="T311" s="176">
        <f t="shared" si="108"/>
        <v>5</v>
      </c>
      <c r="U311" s="251">
        <f t="shared" si="109"/>
        <v>-0.52665035904583379</v>
      </c>
      <c r="V311" s="383">
        <f t="shared" si="110"/>
        <v>35.646541632647448</v>
      </c>
      <c r="W311" s="402">
        <f t="shared" si="111"/>
        <v>24.949472044673797</v>
      </c>
      <c r="X311" s="157">
        <f t="shared" si="112"/>
        <v>46684</v>
      </c>
      <c r="Y311" s="385">
        <f t="shared" si="113"/>
        <v>23.907886713893422</v>
      </c>
      <c r="Z311" s="385">
        <f t="shared" si="114"/>
        <v>25.779405816247756</v>
      </c>
      <c r="AA311" s="386">
        <f t="shared" si="115"/>
        <v>27.6568928168901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6.7884957759816039E-2</v>
      </c>
      <c r="AD311" s="231">
        <f>(INDEX(Models!$BJ311:$BT311,,AH311)*(1-AF311)+INDEX(Models!$BJ311:$BT311,,AH311+1)*AF311-ERP_i)*AE311*Ramure*Pc/MaxiM</f>
        <v>8.6132723154351849E-3</v>
      </c>
      <c r="AE311" s="305">
        <f t="shared" si="117"/>
        <v>0.7</v>
      </c>
      <c r="AF311" s="177">
        <f t="shared" si="118"/>
        <v>0.99833720732814513</v>
      </c>
      <c r="AG311" s="919">
        <f t="shared" si="124"/>
        <v>2</v>
      </c>
      <c r="AH311" s="176">
        <f t="shared" si="119"/>
        <v>8</v>
      </c>
      <c r="AI311" s="225">
        <f t="shared" si="120"/>
        <v>2.9983372073281451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1090">
        <f>IF(t&gt;Tmaj,'2026'!Wh/'2026'!Env_an*'2027'!Env_an,0.001*'[12]mon-tableau (1)'!$B$62)</f>
        <v>22.033361967609199</v>
      </c>
      <c r="C312" s="953"/>
      <c r="D312" s="393">
        <f t="shared" si="102"/>
        <v>23.758662885594369</v>
      </c>
      <c r="E312" s="385">
        <f t="shared" si="125"/>
        <v>24.536669331404845</v>
      </c>
      <c r="F312" s="385">
        <f t="shared" si="103"/>
        <v>24.545877470717169</v>
      </c>
      <c r="G312" s="110">
        <f t="shared" si="126"/>
        <v>0.62252900087475493</v>
      </c>
      <c r="H312" s="412" t="b">
        <f>Wh_hp&gt;='2026'!Maxi_hp</f>
        <v>0</v>
      </c>
      <c r="I312" s="390">
        <f>IF(H312,Wh_hp,'2026'!Maxi_hp)</f>
        <v>39.380465592356508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7.26177616262772E-2</v>
      </c>
      <c r="M312" s="957"/>
      <c r="N312" s="957"/>
      <c r="O312" s="48">
        <f>IF(t&lt;Tnet,'2026'!Resal+('2026'!Salim-'2026'!Resal)*(1-EXP(('2026'!Tnet-t)/('2026'!Tau_j))),Resal+(Salim-Resal)*(1-EXP((Tnet-t)/(Tau_j))))*Salcycl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8.1349519467282584E-4</v>
      </c>
      <c r="Q312" s="305">
        <f t="shared" si="105"/>
        <v>0.7</v>
      </c>
      <c r="R312" s="177">
        <f t="shared" si="106"/>
        <v>0.47342448498557443</v>
      </c>
      <c r="S312" s="919">
        <f t="shared" si="107"/>
        <v>-1</v>
      </c>
      <c r="T312" s="176">
        <f t="shared" si="108"/>
        <v>5</v>
      </c>
      <c r="U312" s="251">
        <f t="shared" si="109"/>
        <v>-0.52657551501442557</v>
      </c>
      <c r="V312" s="383">
        <f t="shared" si="110"/>
        <v>35.377789423975813</v>
      </c>
      <c r="W312" s="402">
        <f t="shared" si="111"/>
        <v>22.033361967609199</v>
      </c>
      <c r="X312" s="157">
        <f t="shared" si="112"/>
        <v>46685</v>
      </c>
      <c r="Y312" s="385">
        <f t="shared" si="113"/>
        <v>21.130702206021734</v>
      </c>
      <c r="Z312" s="385">
        <f t="shared" si="114"/>
        <v>22.785321231811579</v>
      </c>
      <c r="AA312" s="386">
        <f t="shared" si="115"/>
        <v>24.44568329557703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6.7920460381071038E-2</v>
      </c>
      <c r="AD312" s="231">
        <f>(INDEX(Models!$BJ312:$BT312,,AH312)*(1-AF312)+INDEX(Models!$BJ312:$BT312,,AH312+1)*AF312-ERP_i)*AE312*Ramure*Pc/MaxiM</f>
        <v>8.8516775481011448E-3</v>
      </c>
      <c r="AE312" s="305">
        <f t="shared" si="117"/>
        <v>0.7</v>
      </c>
      <c r="AF312" s="177">
        <f t="shared" si="118"/>
        <v>0.99841205135955313</v>
      </c>
      <c r="AG312" s="919">
        <f t="shared" si="124"/>
        <v>2</v>
      </c>
      <c r="AH312" s="176">
        <f t="shared" si="119"/>
        <v>8</v>
      </c>
      <c r="AI312" s="225">
        <f t="shared" si="120"/>
        <v>2.9984120513595531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1090">
        <f>IF(t&gt;Tmaj,'2026'!Wh/'2026'!Env_an*'2027'!Env_an,0.001*'[12]mon-tableau (1)'!$B$63)</f>
        <v>12.315859435251234</v>
      </c>
      <c r="C313" s="953"/>
      <c r="D313" s="393">
        <f t="shared" si="102"/>
        <v>13.280531673419619</v>
      </c>
      <c r="E313" s="385">
        <f t="shared" si="125"/>
        <v>13.71680822638708</v>
      </c>
      <c r="F313" s="385">
        <f t="shared" si="103"/>
        <v>13.717612927737408</v>
      </c>
      <c r="G313" s="110">
        <f t="shared" si="126"/>
        <v>0.35055285421305066</v>
      </c>
      <c r="H313" s="412" t="b">
        <f>Wh_hp&gt;='2026'!Maxi_hp</f>
        <v>0</v>
      </c>
      <c r="I313" s="390">
        <f>IF(H313,Wh_hp,'2026'!Maxi_hp)</f>
        <v>38.95254653773808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7.2638073677361303E-2</v>
      </c>
      <c r="M313" s="957"/>
      <c r="N313" s="957"/>
      <c r="O313" s="48">
        <f>IF(t&lt;Tnet,'2026'!Resal+('2026'!Salim-'2026'!Resal)*(1-EXP(('2026'!Tnet-t)/('2026'!Tau_j))),Resal+(Salim-Resal)*(1-EXP((Tnet-t)/(Tau_j))))*Salcycl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8.0808239531702825E-4</v>
      </c>
      <c r="Q313" s="305">
        <f t="shared" si="105"/>
        <v>0.7</v>
      </c>
      <c r="R313" s="177">
        <f t="shared" si="106"/>
        <v>0.47349633669580393</v>
      </c>
      <c r="S313" s="919">
        <f t="shared" si="107"/>
        <v>-1</v>
      </c>
      <c r="T313" s="176">
        <f t="shared" si="108"/>
        <v>5</v>
      </c>
      <c r="U313" s="251">
        <f t="shared" si="109"/>
        <v>-0.52650366330419607</v>
      </c>
      <c r="V313" s="383">
        <f t="shared" si="110"/>
        <v>35.106344131854264</v>
      </c>
      <c r="W313" s="402">
        <f t="shared" si="111"/>
        <v>12.315859435251234</v>
      </c>
      <c r="X313" s="157">
        <f t="shared" si="112"/>
        <v>46686</v>
      </c>
      <c r="Y313" s="385">
        <f t="shared" si="113"/>
        <v>11.848866037817412</v>
      </c>
      <c r="Z313" s="385">
        <f t="shared" si="114"/>
        <v>12.776959783978743</v>
      </c>
      <c r="AA313" s="386">
        <f t="shared" si="115"/>
        <v>13.708526700130005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6.7955290639834229E-2</v>
      </c>
      <c r="AD313" s="231">
        <f>(INDEX(Models!$BJ313:$BT313,,AH313)*(1-AF313)+INDEX(Models!$BJ313:$BT313,,AH313+1)*AF313-ERP_i)*AE313*Ramure*Pc/MaxiM</f>
        <v>9.1244044345083087E-3</v>
      </c>
      <c r="AE313" s="305">
        <f t="shared" si="117"/>
        <v>0.7</v>
      </c>
      <c r="AF313" s="177">
        <f t="shared" si="118"/>
        <v>0.99848390306978274</v>
      </c>
      <c r="AG313" s="919">
        <f t="shared" si="124"/>
        <v>2</v>
      </c>
      <c r="AH313" s="176">
        <f t="shared" si="119"/>
        <v>8</v>
      </c>
      <c r="AI313" s="225">
        <f t="shared" si="120"/>
        <v>2.9984839030697827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1090">
        <f>IF(t&gt;Tmaj,'2026'!Wh/'2026'!Env_an*'2027'!Env_an,0.001*'[12]mon-tableau (1)'!$B$64)</f>
        <v>13.493171817975583</v>
      </c>
      <c r="C314" s="953"/>
      <c r="D314" s="393">
        <f t="shared" si="102"/>
        <v>14.550378850518294</v>
      </c>
      <c r="E314" s="385">
        <f t="shared" si="125"/>
        <v>15.029885848036216</v>
      </c>
      <c r="F314" s="385">
        <f t="shared" si="103"/>
        <v>15.031392160119067</v>
      </c>
      <c r="G314" s="110">
        <f t="shared" si="126"/>
        <v>0.38710520478682514</v>
      </c>
      <c r="H314" s="412" t="b">
        <f>Wh_hp&gt;='2026'!Maxi_hp</f>
        <v>0</v>
      </c>
      <c r="I314" s="390">
        <f>IF(H314,Wh_hp,'2026'!Maxi_hp)</f>
        <v>33.191570367929572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7.265838528355939E-2</v>
      </c>
      <c r="M314" s="957"/>
      <c r="N314" s="957"/>
      <c r="O314" s="48">
        <f>IF(t&lt;Tnet,'2026'!Resal+('2026'!Salim-'2026'!Resal)*(1-EXP(('2026'!Tnet-t)/('2026'!Tau_j))),Resal+(Salim-Resal)*(1-EXP((Tnet-t)/(Tau_j))))*Salcycl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8.0281347799878323E-4</v>
      </c>
      <c r="Q314" s="305">
        <f t="shared" si="105"/>
        <v>0.7</v>
      </c>
      <c r="R314" s="177">
        <f t="shared" si="106"/>
        <v>0.47356531490658127</v>
      </c>
      <c r="S314" s="919">
        <f t="shared" si="107"/>
        <v>-1</v>
      </c>
      <c r="T314" s="176">
        <f t="shared" si="108"/>
        <v>5</v>
      </c>
      <c r="U314" s="251">
        <f t="shared" si="109"/>
        <v>-0.52643468509341873</v>
      </c>
      <c r="V314" s="383">
        <f t="shared" si="110"/>
        <v>34.832108600636332</v>
      </c>
      <c r="W314" s="402">
        <f t="shared" si="111"/>
        <v>13.493171817975583</v>
      </c>
      <c r="X314" s="157">
        <f t="shared" si="112"/>
        <v>46687</v>
      </c>
      <c r="Y314" s="385">
        <f t="shared" si="113"/>
        <v>12.976218699530072</v>
      </c>
      <c r="Z314" s="385">
        <f t="shared" si="114"/>
        <v>13.992921803145755</v>
      </c>
      <c r="AA314" s="386">
        <f t="shared" si="115"/>
        <v>15.013695531376291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6.7989505055386062E-2</v>
      </c>
      <c r="AD314" s="231">
        <f>(INDEX(Models!$BJ314:$BT314,,AH314)*(1-AF314)+INDEX(Models!$BJ314:$BT314,,AH314+1)*AF314-ERP_i)*AE314*Ramure*Pc/MaxiM</f>
        <v>9.4317055752133842E-3</v>
      </c>
      <c r="AE314" s="305">
        <f t="shared" si="117"/>
        <v>0.7</v>
      </c>
      <c r="AF314" s="177">
        <f t="shared" si="118"/>
        <v>0.99855288128056019</v>
      </c>
      <c r="AG314" s="919">
        <f t="shared" si="124"/>
        <v>2</v>
      </c>
      <c r="AH314" s="176">
        <f t="shared" si="119"/>
        <v>8</v>
      </c>
      <c r="AI314" s="225">
        <f t="shared" si="120"/>
        <v>2.9985528812805602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1090">
        <f>IF(t&gt;Tmaj,'2026'!Wh/'2026'!Env_an*'2027'!Env_an,0.001*'[12]mon-tableau (1)'!$B$65)</f>
        <v>16.996596491403135</v>
      </c>
      <c r="C315" s="953"/>
      <c r="D315" s="393">
        <f t="shared" si="102"/>
        <v>18.328702712039959</v>
      </c>
      <c r="E315" s="385">
        <f t="shared" si="125"/>
        <v>18.934623840792021</v>
      </c>
      <c r="F315" s="385">
        <f t="shared" si="103"/>
        <v>18.938764804523711</v>
      </c>
      <c r="G315" s="110">
        <f t="shared" si="126"/>
        <v>0.49158615361347313</v>
      </c>
      <c r="H315" s="412" t="b">
        <f>Wh_hp&gt;='2026'!Maxi_hp</f>
        <v>0</v>
      </c>
      <c r="I315" s="390">
        <f>IF(H315,Wh_hp,'2026'!Maxi_hp)</f>
        <v>38.41572407667438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7.267869644488123E-2</v>
      </c>
      <c r="M315" s="957"/>
      <c r="N315" s="957"/>
      <c r="O315" s="48">
        <f>IF(t&lt;Tnet,'2026'!Resal+('2026'!Salim-'2026'!Resal)*(1-EXP(('2026'!Tnet-t)/('2026'!Tau_j))),Resal+(Salim-Resal)*(1-EXP((Tnet-t)/(Tau_j))))*Salcycl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7.9769781619206987E-4</v>
      </c>
      <c r="Q315" s="305">
        <f t="shared" si="105"/>
        <v>0.7</v>
      </c>
      <c r="R315" s="177">
        <f t="shared" si="106"/>
        <v>0.47363153378536338</v>
      </c>
      <c r="S315" s="919">
        <f t="shared" si="107"/>
        <v>-1</v>
      </c>
      <c r="T315" s="176">
        <f t="shared" si="108"/>
        <v>5</v>
      </c>
      <c r="U315" s="251">
        <f t="shared" si="109"/>
        <v>-0.52636846621463662</v>
      </c>
      <c r="V315" s="383">
        <f t="shared" si="110"/>
        <v>34.554985681731644</v>
      </c>
      <c r="W315" s="402">
        <f t="shared" si="111"/>
        <v>16.996596491403135</v>
      </c>
      <c r="X315" s="157">
        <f t="shared" si="112"/>
        <v>46688</v>
      </c>
      <c r="Y315" s="385">
        <f t="shared" si="113"/>
        <v>16.32382601901945</v>
      </c>
      <c r="Z315" s="385">
        <f t="shared" si="114"/>
        <v>17.603203934211333</v>
      </c>
      <c r="AA315" s="386">
        <f t="shared" si="115"/>
        <v>18.888027290677329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6.8023162858312461E-2</v>
      </c>
      <c r="AD315" s="231">
        <f>(INDEX(Models!$BJ315:$BT315,,AH315)*(1-AF315)+INDEX(Models!$BJ315:$BT315,,AH315+1)*AF315-ERP_i)*AE315*Ramure*Pc/MaxiM</f>
        <v>9.7738610180445832E-3</v>
      </c>
      <c r="AE315" s="305">
        <f t="shared" si="117"/>
        <v>0.7</v>
      </c>
      <c r="AF315" s="177">
        <f t="shared" si="118"/>
        <v>0.9986191001593423</v>
      </c>
      <c r="AG315" s="919">
        <f t="shared" si="124"/>
        <v>2</v>
      </c>
      <c r="AH315" s="176">
        <f t="shared" si="119"/>
        <v>8</v>
      </c>
      <c r="AI315" s="225">
        <f t="shared" si="120"/>
        <v>2.9986191001593423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1090">
        <f>IF(t&gt;Tmaj,'2026'!Wh/'2026'!Env_an*'2027'!Env_an,0.001*'[12]mon-tableau (1)'!$B$66)</f>
        <v>25.382544694666869</v>
      </c>
      <c r="C316" s="953"/>
      <c r="D316" s="393">
        <f t="shared" si="102"/>
        <v>27.372498132419288</v>
      </c>
      <c r="E316" s="385">
        <f t="shared" si="125"/>
        <v>28.280219346400539</v>
      </c>
      <c r="F316" s="385">
        <f t="shared" si="103"/>
        <v>28.294336216742852</v>
      </c>
      <c r="G316" s="110">
        <f t="shared" si="126"/>
        <v>0.74034057819855326</v>
      </c>
      <c r="H316" s="412" t="b">
        <f>Wh_hp&gt;='2026'!Maxi_hp</f>
        <v>0</v>
      </c>
      <c r="I316" s="390">
        <f>IF(H316,Wh_hp,'2026'!Maxi_hp)</f>
        <v>30.720187323726929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7.2699007161336482E-2</v>
      </c>
      <c r="M316" s="957"/>
      <c r="N316" s="957"/>
      <c r="O316" s="48">
        <f>IF(t&lt;Tnet,'2026'!Resal+('2026'!Salim-'2026'!Resal)*(1-EXP(('2026'!Tnet-t)/('2026'!Tau_j))),Resal+(Salim-Resal)*(1-EXP((Tnet-t)/(Tau_j))))*Salcycl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7.9274514944722941E-4</v>
      </c>
      <c r="Q316" s="305">
        <f t="shared" si="105"/>
        <v>0.7</v>
      </c>
      <c r="R316" s="177">
        <f t="shared" si="106"/>
        <v>0.47369510302259954</v>
      </c>
      <c r="S316" s="919">
        <f t="shared" si="107"/>
        <v>-1</v>
      </c>
      <c r="T316" s="176">
        <f t="shared" si="108"/>
        <v>5</v>
      </c>
      <c r="U316" s="251">
        <f t="shared" si="109"/>
        <v>-0.52630489697740046</v>
      </c>
      <c r="V316" s="383">
        <f t="shared" si="110"/>
        <v>34.274878241850963</v>
      </c>
      <c r="W316" s="402">
        <f t="shared" si="111"/>
        <v>25.382544694666869</v>
      </c>
      <c r="X316" s="157">
        <f t="shared" si="112"/>
        <v>46689</v>
      </c>
      <c r="Y316" s="385">
        <f t="shared" si="113"/>
        <v>24.295529034996793</v>
      </c>
      <c r="Z316" s="385">
        <f t="shared" si="114"/>
        <v>26.200262075233052</v>
      </c>
      <c r="AA316" s="386">
        <f t="shared" si="115"/>
        <v>28.113568233690497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6.8056325776697152E-2</v>
      </c>
      <c r="AD316" s="231">
        <f>(INDEX(Models!$BJ316:$BT316,,AH316)*(1-AF316)+INDEX(Models!$BJ316:$BT316,,AH316+1)*AF316-ERP_i)*AE316*Ramure*Pc/MaxiM</f>
        <v>1.0151183531849595E-2</v>
      </c>
      <c r="AE316" s="305">
        <f t="shared" si="117"/>
        <v>0.7</v>
      </c>
      <c r="AF316" s="177">
        <f t="shared" si="118"/>
        <v>0.99868266939657824</v>
      </c>
      <c r="AG316" s="919">
        <f t="shared" si="124"/>
        <v>2</v>
      </c>
      <c r="AH316" s="176">
        <f t="shared" si="119"/>
        <v>8</v>
      </c>
      <c r="AI316" s="225">
        <f t="shared" si="120"/>
        <v>2.9986826693965782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1090">
        <f>IF(t&gt;Tmaj,'2026'!Wh/'2026'!Env_an*'2027'!Env_an,0.001*'[12]mon-tableau (1)'!$B$67)</f>
        <v>20.784363925099672</v>
      </c>
      <c r="C317" s="953"/>
      <c r="D317" s="393">
        <f t="shared" si="102"/>
        <v>22.414317817514174</v>
      </c>
      <c r="E317" s="385">
        <f t="shared" si="125"/>
        <v>23.159920914969664</v>
      </c>
      <c r="F317" s="385">
        <f t="shared" si="103"/>
        <v>23.168045379074659</v>
      </c>
      <c r="G317" s="110">
        <f t="shared" si="126"/>
        <v>0.61123513774812466</v>
      </c>
      <c r="H317" s="412" t="b">
        <f>Wh_hp&gt;='2026'!Maxi_hp</f>
        <v>0</v>
      </c>
      <c r="I317" s="390">
        <f>IF(H317,Wh_hp,'2026'!Maxi_hp)</f>
        <v>35.207799824990232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7.2719317432934916E-2</v>
      </c>
      <c r="M317" s="957"/>
      <c r="N317" s="957"/>
      <c r="O317" s="48">
        <f>IF(t&lt;Tnet,'2026'!Resal+('2026'!Salim-'2026'!Resal)*(1-EXP(('2026'!Tnet-t)/('2026'!Tau_j))),Resal+(Salim-Resal)*(1-EXP((Tnet-t)/(Tau_j))))*Salcycl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7.8802789354592514E-4</v>
      </c>
      <c r="Q317" s="305">
        <f t="shared" si="105"/>
        <v>0.7</v>
      </c>
      <c r="R317" s="177">
        <f t="shared" si="106"/>
        <v>0.47375612800264211</v>
      </c>
      <c r="S317" s="919">
        <f t="shared" si="107"/>
        <v>-1</v>
      </c>
      <c r="T317" s="176">
        <f t="shared" si="108"/>
        <v>5</v>
      </c>
      <c r="U317" s="251">
        <f t="shared" si="109"/>
        <v>-0.52624387199735789</v>
      </c>
      <c r="V317" s="383">
        <f t="shared" si="110"/>
        <v>33.988999258009535</v>
      </c>
      <c r="W317" s="402">
        <f t="shared" si="111"/>
        <v>20.784363925099672</v>
      </c>
      <c r="X317" s="157">
        <f t="shared" si="112"/>
        <v>46690</v>
      </c>
      <c r="Y317" s="385">
        <f t="shared" si="113"/>
        <v>19.926380117149446</v>
      </c>
      <c r="Z317" s="385">
        <f t="shared" si="114"/>
        <v>21.489049099983035</v>
      </c>
      <c r="AA317" s="386">
        <f t="shared" si="115"/>
        <v>23.059123063114956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6.8089057803043335E-2</v>
      </c>
      <c r="AD317" s="231">
        <f>(INDEX(Models!$BJ317:$BT317,,AH317)*(1-AF317)+INDEX(Models!$BJ317:$BT317,,AH317+1)*AF317-ERP_i)*AE317*Ramure*Pc/MaxiM</f>
        <v>1.0564859675251099E-2</v>
      </c>
      <c r="AE317" s="305">
        <f t="shared" si="117"/>
        <v>0.7</v>
      </c>
      <c r="AF317" s="177">
        <f t="shared" si="118"/>
        <v>0.99874369437662125</v>
      </c>
      <c r="AG317" s="919">
        <f t="shared" si="124"/>
        <v>2</v>
      </c>
      <c r="AH317" s="176">
        <f t="shared" si="119"/>
        <v>8</v>
      </c>
      <c r="AI317" s="225">
        <f t="shared" si="120"/>
        <v>2.9987436943766212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1090">
        <f>IF(t&gt;Tmaj,'2026'!Wh/'2026'!Env_an*'2027'!Env_an,0.001*'[12]mon-tableau (1)'!$B$68)</f>
        <v>21.487603625190509</v>
      </c>
      <c r="C318" s="953"/>
      <c r="D318" s="393">
        <f t="shared" si="102"/>
        <v>23.173214618984129</v>
      </c>
      <c r="E318" s="385">
        <f t="shared" si="125"/>
        <v>23.9464354316646</v>
      </c>
      <c r="F318" s="385">
        <f t="shared" si="103"/>
        <v>23.955494017067398</v>
      </c>
      <c r="G318" s="110">
        <f t="shared" si="126"/>
        <v>0.63744029219444831</v>
      </c>
      <c r="H318" s="412" t="b">
        <f>Wh_hp&gt;='2026'!Maxi_hp</f>
        <v>0</v>
      </c>
      <c r="I318" s="390">
        <f>IF(H318,Wh_hp,'2026'!Maxi_hp)</f>
        <v>35.869115091380415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7.2739627259686301E-2</v>
      </c>
      <c r="M318" s="957"/>
      <c r="N318" s="957"/>
      <c r="O318" s="48">
        <f>IF(t&lt;Tnet,'2026'!Resal+('2026'!Salim-'2026'!Resal)*(1-EXP(('2026'!Tnet-t)/('2026'!Tau_j))),Resal+(Salim-Resal)*(1-EXP((Tnet-t)/(Tau_j))))*Salcycl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7.8383272349068082E-4</v>
      </c>
      <c r="Q318" s="305">
        <f t="shared" si="105"/>
        <v>0.7</v>
      </c>
      <c r="R318" s="177">
        <f t="shared" si="106"/>
        <v>0.47381470996850306</v>
      </c>
      <c r="S318" s="919">
        <f t="shared" si="107"/>
        <v>-1</v>
      </c>
      <c r="T318" s="176">
        <f t="shared" si="108"/>
        <v>5</v>
      </c>
      <c r="U318" s="251">
        <f t="shared" si="109"/>
        <v>-0.52618529003149694</v>
      </c>
      <c r="V318" s="383">
        <f t="shared" si="110"/>
        <v>33.695521408630782</v>
      </c>
      <c r="W318" s="402">
        <f t="shared" si="111"/>
        <v>21.487603625190509</v>
      </c>
      <c r="X318" s="157">
        <f t="shared" si="112"/>
        <v>46691</v>
      </c>
      <c r="Y318" s="385">
        <f t="shared" si="113"/>
        <v>20.589760015742648</v>
      </c>
      <c r="Z318" s="385">
        <f t="shared" si="114"/>
        <v>22.204939002077861</v>
      </c>
      <c r="AA318" s="386">
        <f t="shared" si="115"/>
        <v>23.828146280459052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6.8121424943254849E-2</v>
      </c>
      <c r="AD318" s="231">
        <f>(INDEX(Models!$BJ318:$BT318,,AH318)*(1-AF318)+INDEX(Models!$BJ318:$BT318,,AH318+1)*AF318-ERP_i)*AE318*Ramure*Pc/MaxiM</f>
        <v>1.1019305860415229E-2</v>
      </c>
      <c r="AE318" s="305">
        <f t="shared" si="117"/>
        <v>0.7</v>
      </c>
      <c r="AF318" s="177">
        <f t="shared" si="118"/>
        <v>0.99880227634248175</v>
      </c>
      <c r="AG318" s="919">
        <f t="shared" si="124"/>
        <v>2</v>
      </c>
      <c r="AH318" s="176">
        <f t="shared" si="119"/>
        <v>8</v>
      </c>
      <c r="AI318" s="225">
        <f t="shared" si="120"/>
        <v>2.9988022763424818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1090">
        <f>IF(t&gt;Tmaj,'2026'!Wh/'2026'!Env_an*'2027'!Env_an,0.001*'[13]mon-tableau (3)'!$B$37)</f>
        <v>23.152292078843907</v>
      </c>
      <c r="C319" s="953"/>
      <c r="D319" s="393">
        <f t="shared" si="102"/>
        <v>24.969037678320216</v>
      </c>
      <c r="E319" s="385">
        <f t="shared" si="125"/>
        <v>25.804728409227021</v>
      </c>
      <c r="F319" s="385">
        <f t="shared" si="103"/>
        <v>25.81604303371903</v>
      </c>
      <c r="G319" s="110">
        <f t="shared" si="126"/>
        <v>0.69303249659630617</v>
      </c>
      <c r="H319" s="412" t="b">
        <f>Wh_hp&gt;='2026'!Maxi_hp</f>
        <v>0</v>
      </c>
      <c r="I319" s="390">
        <f>IF(H319,Wh_hp,'2026'!Maxi_hp)</f>
        <v>32.156200585342432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7.2759936641600298E-2</v>
      </c>
      <c r="M319" s="957"/>
      <c r="N319" s="957"/>
      <c r="O319" s="48">
        <f>IF(t&lt;Tnet,'2026'!Resal+('2026'!Salim-'2026'!Resal)*(1-EXP(('2026'!Tnet-t)/('2026'!Tau_j))),Resal+(Salim-Resal)*(1-EXP((Tnet-t)/(Tau_j))))*Salcycl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7.8011413949079396E-4</v>
      </c>
      <c r="Q319" s="305">
        <f t="shared" si="105"/>
        <v>0.7</v>
      </c>
      <c r="R319" s="177">
        <f t="shared" si="106"/>
        <v>0.47387094618064474</v>
      </c>
      <c r="S319" s="919">
        <f t="shared" si="107"/>
        <v>-1</v>
      </c>
      <c r="T319" s="176">
        <f t="shared" si="108"/>
        <v>5</v>
      </c>
      <c r="U319" s="251">
        <f t="shared" si="109"/>
        <v>-0.52612905381935526</v>
      </c>
      <c r="V319" s="383">
        <f t="shared" si="110"/>
        <v>33.395799548836223</v>
      </c>
      <c r="W319" s="402">
        <f t="shared" si="111"/>
        <v>23.152292078843907</v>
      </c>
      <c r="X319" s="157">
        <f t="shared" si="112"/>
        <v>46692</v>
      </c>
      <c r="Y319" s="385">
        <f t="shared" si="113"/>
        <v>22.162126316464388</v>
      </c>
      <c r="Z319" s="385">
        <f t="shared" si="114"/>
        <v>23.901174239813034</v>
      </c>
      <c r="AA319" s="386">
        <f t="shared" si="115"/>
        <v>25.649261021276615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6.8153494949172416E-2</v>
      </c>
      <c r="AD319" s="231">
        <f>(INDEX(Models!$BJ319:$BT319,,AH319)*(1-AF319)+INDEX(Models!$BJ319:$BT319,,AH319+1)*AF319-ERP_i)*AE319*Ramure*Pc/MaxiM</f>
        <v>1.1499189054920773E-2</v>
      </c>
      <c r="AE319" s="305">
        <f t="shared" si="117"/>
        <v>0.7</v>
      </c>
      <c r="AF319" s="177">
        <f t="shared" si="118"/>
        <v>0.99885851255462388</v>
      </c>
      <c r="AG319" s="919">
        <f t="shared" si="124"/>
        <v>2</v>
      </c>
      <c r="AH319" s="176">
        <f t="shared" si="119"/>
        <v>8</v>
      </c>
      <c r="AI319" s="225">
        <f t="shared" si="120"/>
        <v>2.9988585125546239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1090">
        <f>IF(t&gt;Tmaj,'2026'!Wh/'2026'!Env_an*'2027'!Env_an,0.001*'[13]mon-tableau (3)'!$B$38)</f>
        <v>29.012660965560642</v>
      </c>
      <c r="C320" s="953"/>
      <c r="D320" s="393">
        <f t="shared" si="102"/>
        <v>31.289951305737354</v>
      </c>
      <c r="E320" s="385">
        <f t="shared" si="125"/>
        <v>32.340381434440744</v>
      </c>
      <c r="F320" s="385">
        <f t="shared" si="103"/>
        <v>32.361094777438467</v>
      </c>
      <c r="G320" s="110">
        <f t="shared" si="126"/>
        <v>0.87662887337617923</v>
      </c>
      <c r="H320" s="412" t="b">
        <f>Wh_hp&gt;='2026'!Maxi_hp</f>
        <v>0</v>
      </c>
      <c r="I320" s="390">
        <f>IF(H320,Wh_hp,'2026'!Maxi_hp)</f>
        <v>32.364400646542769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7.2780245578686675E-2</v>
      </c>
      <c r="M320" s="957"/>
      <c r="N320" s="957"/>
      <c r="O320" s="48">
        <f>IF(t&lt;Tnet,'2026'!Resal+('2026'!Salim-'2026'!Resal)*(1-EXP(('2026'!Tnet-t)/('2026'!Tau_j))),Resal+(Salim-Resal)*(1-EXP((Tnet-t)/(Tau_j))))*Salcycl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7.7685197815846986E-4</v>
      </c>
      <c r="Q320" s="305">
        <f t="shared" si="105"/>
        <v>0.7</v>
      </c>
      <c r="R320" s="177">
        <f t="shared" si="106"/>
        <v>0.47392493006999881</v>
      </c>
      <c r="S320" s="919">
        <f t="shared" si="107"/>
        <v>-1</v>
      </c>
      <c r="T320" s="176">
        <f t="shared" si="108"/>
        <v>5</v>
      </c>
      <c r="U320" s="251">
        <f t="shared" si="109"/>
        <v>-0.52607506993000119</v>
      </c>
      <c r="V320" s="383">
        <f t="shared" si="110"/>
        <v>33.091187017854296</v>
      </c>
      <c r="W320" s="402">
        <f t="shared" si="111"/>
        <v>29.012660965560642</v>
      </c>
      <c r="X320" s="157">
        <f t="shared" si="112"/>
        <v>46693</v>
      </c>
      <c r="Y320" s="385">
        <f t="shared" si="113"/>
        <v>27.683338600873903</v>
      </c>
      <c r="Z320" s="385">
        <f t="shared" si="114"/>
        <v>29.856286461618087</v>
      </c>
      <c r="AA320" s="386">
        <f t="shared" si="115"/>
        <v>32.041013785572446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6.8185337036311494E-2</v>
      </c>
      <c r="AD320" s="231">
        <f>(INDEX(Models!$BJ320:$BT320,,AH320)*(1-AF320)+INDEX(Models!$BJ320:$BT320,,AH320+1)*AF320-ERP_i)*AE320*Ramure*Pc/MaxiM</f>
        <v>1.200460745179408E-2</v>
      </c>
      <c r="AE320" s="305">
        <f t="shared" si="117"/>
        <v>0.7</v>
      </c>
      <c r="AF320" s="177">
        <f t="shared" si="118"/>
        <v>0.99891249644397773</v>
      </c>
      <c r="AG320" s="919">
        <f t="shared" si="124"/>
        <v>2</v>
      </c>
      <c r="AH320" s="176">
        <f t="shared" si="119"/>
        <v>8</v>
      </c>
      <c r="AI320" s="225">
        <f t="shared" si="120"/>
        <v>2.9989124964439777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1090">
        <f>IF(t&gt;Tmaj,'2026'!Wh/'2026'!Env_an*'2027'!Env_an,0.001*'[13]mon-tableau (3)'!$B$39)</f>
        <v>10.089714490738482</v>
      </c>
      <c r="C321" s="953"/>
      <c r="D321" s="393">
        <f t="shared" si="102"/>
        <v>10.881924633409037</v>
      </c>
      <c r="E321" s="385">
        <f t="shared" si="125"/>
        <v>11.248344485478711</v>
      </c>
      <c r="F321" s="385">
        <f t="shared" si="103"/>
        <v>11.248441158715524</v>
      </c>
      <c r="G321" s="110">
        <f t="shared" si="126"/>
        <v>0.30753683947795446</v>
      </c>
      <c r="H321" s="412" t="b">
        <f>Wh_hp&gt;='2026'!Maxi_hp</f>
        <v>0</v>
      </c>
      <c r="I321" s="390">
        <f>IF(H321,Wh_hp,'2026'!Maxi_hp)</f>
        <v>31.18806335046073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7.2800554070955315E-2</v>
      </c>
      <c r="M321" s="957"/>
      <c r="N321" s="957"/>
      <c r="O321" s="48">
        <f>IF(t&lt;Tnet,'2026'!Resal+('2026'!Salim-'2026'!Resal)*(1-EXP(('2026'!Tnet-t)/('2026'!Tau_j))),Resal+(Salim-Resal)*(1-EXP((Tnet-t)/(Tau_j))))*Salcycl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7.7402623411127261E-4</v>
      </c>
      <c r="Q321" s="305">
        <f t="shared" si="105"/>
        <v>0.7</v>
      </c>
      <c r="R321" s="177">
        <f t="shared" si="106"/>
        <v>0.47397675138539208</v>
      </c>
      <c r="S321" s="919">
        <f t="shared" si="107"/>
        <v>-1</v>
      </c>
      <c r="T321" s="176">
        <f t="shared" si="108"/>
        <v>5</v>
      </c>
      <c r="U321" s="251">
        <f t="shared" si="109"/>
        <v>-0.52602324861460792</v>
      </c>
      <c r="V321" s="383">
        <f t="shared" si="110"/>
        <v>32.783036505419794</v>
      </c>
      <c r="W321" s="402">
        <f t="shared" si="111"/>
        <v>10.089714490738482</v>
      </c>
      <c r="X321" s="157">
        <f t="shared" si="112"/>
        <v>46694</v>
      </c>
      <c r="Y321" s="385">
        <f t="shared" si="113"/>
        <v>9.7167230338777788</v>
      </c>
      <c r="Z321" s="385">
        <f t="shared" si="114"/>
        <v>10.479647153090907</v>
      </c>
      <c r="AA321" s="386">
        <f t="shared" si="115"/>
        <v>11.246875502016133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6.8217021588590609E-2</v>
      </c>
      <c r="AD321" s="231">
        <f>(INDEX(Models!$BJ321:$BT321,,AH321)*(1-AF321)+INDEX(Models!$BJ321:$BT321,,AH321+1)*AF321-ERP_i)*AE321*Ramure*Pc/MaxiM</f>
        <v>1.2535624117900226E-2</v>
      </c>
      <c r="AE321" s="305">
        <f t="shared" si="117"/>
        <v>0.7</v>
      </c>
      <c r="AF321" s="177">
        <f t="shared" si="118"/>
        <v>0.99896431775937078</v>
      </c>
      <c r="AG321" s="919">
        <f t="shared" si="124"/>
        <v>2</v>
      </c>
      <c r="AH321" s="176">
        <f t="shared" si="119"/>
        <v>8</v>
      </c>
      <c r="AI321" s="225">
        <f t="shared" si="120"/>
        <v>2.9989643177593708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1090">
        <f>IF(t&gt;Tmaj,'2026'!Wh/'2026'!Env_an*'2027'!Env_an,0.001*'[13]mon-tableau (3)'!$B$40)</f>
        <v>11.779175895422153</v>
      </c>
      <c r="C322" s="953"/>
      <c r="D322" s="393">
        <f t="shared" si="102"/>
        <v>12.704315071556909</v>
      </c>
      <c r="E322" s="385">
        <f t="shared" si="125"/>
        <v>13.133385477109309</v>
      </c>
      <c r="F322" s="385">
        <f t="shared" si="103"/>
        <v>13.134293843415943</v>
      </c>
      <c r="G322" s="110">
        <f t="shared" si="126"/>
        <v>0.36248605551226415</v>
      </c>
      <c r="H322" s="412" t="b">
        <f>Wh_hp&gt;='2026'!Maxi_hp</f>
        <v>0</v>
      </c>
      <c r="I322" s="390">
        <f>IF(H322,Wh_hp,'2026'!Maxi_hp)</f>
        <v>29.822160701304174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7.2820862118415763E-2</v>
      </c>
      <c r="M322" s="957"/>
      <c r="N322" s="957"/>
      <c r="O322" s="48">
        <f>IF(t&lt;Tnet,'2026'!Resal+('2026'!Salim-'2026'!Resal)*(1-EXP(('2026'!Tnet-t)/('2026'!Tau_j))),Resal+(Salim-Resal)*(1-EXP((Tnet-t)/(Tau_j))))*Salcycl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7.7161684876090231E-4</v>
      </c>
      <c r="Q322" s="305">
        <f t="shared" si="105"/>
        <v>0.7</v>
      </c>
      <c r="R322" s="177">
        <f t="shared" si="106"/>
        <v>0.47402649633556448</v>
      </c>
      <c r="S322" s="919">
        <f t="shared" si="107"/>
        <v>-1</v>
      </c>
      <c r="T322" s="176">
        <f t="shared" si="108"/>
        <v>5</v>
      </c>
      <c r="U322" s="251">
        <f t="shared" si="109"/>
        <v>-0.52597350366443552</v>
      </c>
      <c r="V322" s="383">
        <f t="shared" si="110"/>
        <v>32.472700066787311</v>
      </c>
      <c r="W322" s="402">
        <f t="shared" si="111"/>
        <v>11.779175895422153</v>
      </c>
      <c r="X322" s="157">
        <f t="shared" si="112"/>
        <v>46695</v>
      </c>
      <c r="Y322" s="385">
        <f t="shared" si="113"/>
        <v>11.33340736011241</v>
      </c>
      <c r="Z322" s="385">
        <f t="shared" si="114"/>
        <v>12.223535773256225</v>
      </c>
      <c r="AA322" s="386">
        <f t="shared" si="115"/>
        <v>13.118881317153679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6.8248619851963968E-2</v>
      </c>
      <c r="AD322" s="231">
        <f>(INDEX(Models!$BJ322:$BT322,,AH322)*(1-AF322)+INDEX(Models!$BJ322:$BT322,,AH322+1)*AF322-ERP_i)*AE322*Ramure*Pc/MaxiM</f>
        <v>1.3092256790094157E-2</v>
      </c>
      <c r="AE322" s="305">
        <f t="shared" si="117"/>
        <v>0.7</v>
      </c>
      <c r="AF322" s="177">
        <f t="shared" si="118"/>
        <v>0.99901406270954318</v>
      </c>
      <c r="AG322" s="919">
        <f t="shared" si="124"/>
        <v>2</v>
      </c>
      <c r="AH322" s="176">
        <f t="shared" si="119"/>
        <v>8</v>
      </c>
      <c r="AI322" s="225">
        <f t="shared" si="120"/>
        <v>2.9990140627095432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1090">
        <f>IF(t&gt;Tmaj,'2026'!Wh/'2026'!Env_an*'2027'!Env_an,0.001*'[13]mon-tableau (3)'!$B$41)</f>
        <v>30.947926349854775</v>
      </c>
      <c r="C323" s="953"/>
      <c r="D323" s="393">
        <f t="shared" si="102"/>
        <v>33.379314675290907</v>
      </c>
      <c r="E323" s="385">
        <f t="shared" si="125"/>
        <v>34.510027451036734</v>
      </c>
      <c r="F323" s="385">
        <f t="shared" si="103"/>
        <v>34.53517309099685</v>
      </c>
      <c r="G323" s="110">
        <f t="shared" si="126"/>
        <v>0.96222543898838175</v>
      </c>
      <c r="H323" s="412" t="b">
        <f>Wh_hp&gt;='2026'!Maxi_hp</f>
        <v>0</v>
      </c>
      <c r="I323" s="390">
        <f>IF(H323,Wh_hp,'2026'!Maxi_hp)</f>
        <v>34.536242762525234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7.2841169721077903E-2</v>
      </c>
      <c r="M323" s="957"/>
      <c r="N323" s="957"/>
      <c r="O323" s="48">
        <f>IF(t&lt;Tnet,'2026'!Resal+('2026'!Salim-'2026'!Resal)*(1-EXP(('2026'!Tnet-t)/('2026'!Tau_j))),Resal+(Salim-Resal)*(1-EXP((Tnet-t)/(Tau_j))))*Salcycl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7.6960350509049785E-4</v>
      </c>
      <c r="Q323" s="305">
        <f t="shared" si="105"/>
        <v>0.7</v>
      </c>
      <c r="R323" s="177">
        <f t="shared" si="106"/>
        <v>0.47407424772595386</v>
      </c>
      <c r="S323" s="919">
        <f t="shared" si="107"/>
        <v>-1</v>
      </c>
      <c r="T323" s="176">
        <f t="shared" si="108"/>
        <v>5</v>
      </c>
      <c r="U323" s="251">
        <f t="shared" si="109"/>
        <v>-0.52592575227404614</v>
      </c>
      <c r="V323" s="383">
        <f t="shared" si="110"/>
        <v>32.161529131450393</v>
      </c>
      <c r="W323" s="402">
        <f t="shared" si="111"/>
        <v>30.947926349854775</v>
      </c>
      <c r="X323" s="157">
        <f t="shared" si="112"/>
        <v>46696</v>
      </c>
      <c r="Y323" s="385">
        <f t="shared" si="113"/>
        <v>29.447323649766723</v>
      </c>
      <c r="Z323" s="385">
        <f t="shared" si="114"/>
        <v>31.760818845793583</v>
      </c>
      <c r="AA323" s="386">
        <f t="shared" si="115"/>
        <v>34.088380400587027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6.8280203618983334E-2</v>
      </c>
      <c r="AD323" s="231">
        <f>(INDEX(Models!$BJ323:$BT323,,AH323)*(1-AF323)+INDEX(Models!$BJ323:$BT323,,AH323+1)*AF323-ERP_i)*AE323*Ramure*Pc/MaxiM</f>
        <v>1.3674466871139176E-2</v>
      </c>
      <c r="AE323" s="305">
        <f t="shared" si="117"/>
        <v>0.7</v>
      </c>
      <c r="AF323" s="177">
        <f t="shared" si="118"/>
        <v>0.99906181409993255</v>
      </c>
      <c r="AG323" s="919">
        <f t="shared" si="124"/>
        <v>2</v>
      </c>
      <c r="AH323" s="176">
        <f t="shared" si="119"/>
        <v>8</v>
      </c>
      <c r="AI323" s="225">
        <f t="shared" si="120"/>
        <v>2.9990618140999326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1090">
        <f>IF(t&gt;Tmaj,'2026'!Wh/'2026'!Env_an*'2027'!Env_an,0.001*'[13]mon-tableau (3)'!$B$42)</f>
        <v>30.587377148297463</v>
      </c>
      <c r="C324" s="953"/>
      <c r="D324" s="393">
        <f t="shared" si="102"/>
        <v>32.991161930506834</v>
      </c>
      <c r="E324" s="385">
        <f t="shared" si="125"/>
        <v>34.112054934696452</v>
      </c>
      <c r="F324" s="385">
        <f t="shared" si="103"/>
        <v>34.136806103591134</v>
      </c>
      <c r="G324" s="110">
        <f t="shared" si="126"/>
        <v>0.96028960711634292</v>
      </c>
      <c r="H324" s="412" t="b">
        <f>Wh_hp&gt;='2026'!Maxi_hp</f>
        <v>0</v>
      </c>
      <c r="I324" s="390">
        <f>IF(H324,Wh_hp,'2026'!Maxi_hp)</f>
        <v>34.137915953315535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7.2861476878951503E-2</v>
      </c>
      <c r="M324" s="957"/>
      <c r="N324" s="957"/>
      <c r="O324" s="48">
        <f>IF(t&lt;Tnet,'2026'!Resal+('2026'!Salim-'2026'!Resal)*(1-EXP(('2026'!Tnet-t)/('2026'!Tau_j))),Resal+(Salim-Resal)*(1-EXP((Tnet-t)/(Tau_j))))*Salcycl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7.6861503459300451E-4</v>
      </c>
      <c r="Q324" s="305">
        <f t="shared" si="105"/>
        <v>0.7</v>
      </c>
      <c r="R324" s="177">
        <f t="shared" si="106"/>
        <v>0.47412008509042303</v>
      </c>
      <c r="S324" s="919">
        <f t="shared" si="107"/>
        <v>-1</v>
      </c>
      <c r="T324" s="176">
        <f t="shared" si="108"/>
        <v>5</v>
      </c>
      <c r="U324" s="251">
        <f t="shared" si="109"/>
        <v>-0.52587991490957697</v>
      </c>
      <c r="V324" s="383">
        <f t="shared" si="110"/>
        <v>31.85085380864794</v>
      </c>
      <c r="W324" s="402">
        <f t="shared" si="111"/>
        <v>30.587377148297463</v>
      </c>
      <c r="X324" s="157">
        <f t="shared" si="112"/>
        <v>46697</v>
      </c>
      <c r="Y324" s="385">
        <f t="shared" si="113"/>
        <v>29.090870647982268</v>
      </c>
      <c r="Z324" s="385">
        <f t="shared" si="114"/>
        <v>31.377048760796797</v>
      </c>
      <c r="AA324" s="386">
        <f t="shared" si="115"/>
        <v>33.677629783374115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6.8311844906409167E-2</v>
      </c>
      <c r="AD324" s="231">
        <f>(INDEX(Models!$BJ324:$BT324,,AH324)*(1-AF324)+INDEX(Models!$BJ324:$BT324,,AH324+1)*AF324-ERP_i)*AE324*Ramure*Pc/MaxiM</f>
        <v>1.4259117407730374E-2</v>
      </c>
      <c r="AE324" s="305">
        <f t="shared" si="117"/>
        <v>0.7</v>
      </c>
      <c r="AF324" s="177">
        <f t="shared" si="118"/>
        <v>0.99910765146440195</v>
      </c>
      <c r="AG324" s="919">
        <f t="shared" si="124"/>
        <v>2</v>
      </c>
      <c r="AH324" s="176">
        <f t="shared" si="119"/>
        <v>8</v>
      </c>
      <c r="AI324" s="225">
        <f t="shared" si="120"/>
        <v>2.9991076514644019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1090">
        <f>IF(t&gt;Tmaj,'2026'!Wh/'2026'!Env_an*'2027'!Env_an,0.001*'[13]mon-tableau (3)'!$B$43)</f>
        <v>29.239012079153788</v>
      </c>
      <c r="C325" s="953"/>
      <c r="D325" s="393">
        <f t="shared" si="102"/>
        <v>31.537523005898887</v>
      </c>
      <c r="E325" s="385">
        <f t="shared" si="125"/>
        <v>32.612206069152407</v>
      </c>
      <c r="F325" s="385">
        <f t="shared" si="103"/>
        <v>32.634670575282186</v>
      </c>
      <c r="G325" s="110">
        <f t="shared" si="126"/>
        <v>0.92691143399672005</v>
      </c>
      <c r="H325" s="412" t="b">
        <f>Wh_hp&gt;='2026'!Maxi_hp</f>
        <v>0</v>
      </c>
      <c r="I325" s="390">
        <f>IF(H325,Wh_hp,'2026'!Maxi_hp)</f>
        <v>32.636622721865855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7.2881783592046112E-2</v>
      </c>
      <c r="M325" s="957"/>
      <c r="N325" s="957"/>
      <c r="O325" s="48">
        <f>IF(t&lt;Tnet,'2026'!Resal+('2026'!Salim-'2026'!Resal)*(1-EXP(('2026'!Tnet-t)/('2026'!Tau_j))),Resal+(Salim-Resal)*(1-EXP((Tnet-t)/(Tau_j))))*Salcycl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7.6852496761120994E-4</v>
      </c>
      <c r="Q325" s="305">
        <f t="shared" si="105"/>
        <v>0.7</v>
      </c>
      <c r="R325" s="177">
        <f t="shared" si="106"/>
        <v>0.47416408481809413</v>
      </c>
      <c r="S325" s="919">
        <f t="shared" si="107"/>
        <v>-1</v>
      </c>
      <c r="T325" s="176">
        <f t="shared" si="108"/>
        <v>5</v>
      </c>
      <c r="U325" s="251">
        <f t="shared" si="109"/>
        <v>-0.52583591518190587</v>
      </c>
      <c r="V325" s="383">
        <f t="shared" si="110"/>
        <v>31.542028225438468</v>
      </c>
      <c r="W325" s="402">
        <f t="shared" si="111"/>
        <v>29.239012079153788</v>
      </c>
      <c r="X325" s="157">
        <f t="shared" si="112"/>
        <v>46698</v>
      </c>
      <c r="Y325" s="385">
        <f t="shared" si="113"/>
        <v>27.814017770941529</v>
      </c>
      <c r="Z325" s="385">
        <f t="shared" si="114"/>
        <v>30.000508326440546</v>
      </c>
      <c r="AA325" s="386">
        <f t="shared" si="115"/>
        <v>32.20125877918511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6.8343615628067539E-2</v>
      </c>
      <c r="AD325" s="231">
        <f>(INDEX(Models!$BJ325:$BT325,,AH325)*(1-AF325)+INDEX(Models!$BJ325:$BT325,,AH325+1)*AF325-ERP_i)*AE325*Ramure*Pc/MaxiM</f>
        <v>1.4827291756763923E-2</v>
      </c>
      <c r="AE325" s="305">
        <f t="shared" si="117"/>
        <v>0.7</v>
      </c>
      <c r="AF325" s="177">
        <f t="shared" si="118"/>
        <v>0.99915165119207305</v>
      </c>
      <c r="AG325" s="919">
        <f t="shared" si="124"/>
        <v>2</v>
      </c>
      <c r="AH325" s="176">
        <f t="shared" si="119"/>
        <v>8</v>
      </c>
      <c r="AI325" s="225">
        <f t="shared" si="120"/>
        <v>2.9991516511920731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1090">
        <f>IF(t&gt;Tmaj,'2026'!Wh/'2026'!Env_an*'2027'!Env_an,0.001*'[13]mon-tableau (3)'!$B$44)</f>
        <v>20.003194146557576</v>
      </c>
      <c r="C326" s="953"/>
      <c r="D326" s="393">
        <f t="shared" si="102"/>
        <v>21.576139831385159</v>
      </c>
      <c r="E326" s="385">
        <f t="shared" si="125"/>
        <v>22.313548071839133</v>
      </c>
      <c r="F326" s="385">
        <f t="shared" si="103"/>
        <v>22.321898380700333</v>
      </c>
      <c r="G326" s="110">
        <f t="shared" si="126"/>
        <v>0.6401276662324521</v>
      </c>
      <c r="H326" s="412" t="b">
        <f>Wh_hp&gt;='2026'!Maxi_hp</f>
        <v>0</v>
      </c>
      <c r="I326" s="390">
        <f>IF(H326,Wh_hp,'2026'!Maxi_hp)</f>
        <v>27.419796880522092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7.2902089860371611E-2</v>
      </c>
      <c r="M326" s="957"/>
      <c r="N326" s="957"/>
      <c r="O326" s="48">
        <f>IF(t&lt;Tnet,'2026'!Resal+('2026'!Salim-'2026'!Resal)*(1-EXP(('2026'!Tnet-t)/('2026'!Tau_j))),Resal+(Salim-Resal)*(1-EXP((Tnet-t)/(Tau_j))))*Salcycl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7.6931521879156095E-4</v>
      </c>
      <c r="Q326" s="305">
        <f t="shared" si="105"/>
        <v>0.7</v>
      </c>
      <c r="R326" s="177">
        <f t="shared" si="106"/>
        <v>0.47420632027546017</v>
      </c>
      <c r="S326" s="919">
        <f t="shared" si="107"/>
        <v>-1</v>
      </c>
      <c r="T326" s="176">
        <f t="shared" si="108"/>
        <v>5</v>
      </c>
      <c r="U326" s="251">
        <f t="shared" si="109"/>
        <v>-0.52579367972453983</v>
      </c>
      <c r="V326" s="383">
        <f t="shared" si="110"/>
        <v>31.236402354145003</v>
      </c>
      <c r="W326" s="402">
        <f t="shared" si="111"/>
        <v>20.003194146557576</v>
      </c>
      <c r="X326" s="157">
        <f t="shared" si="112"/>
        <v>46699</v>
      </c>
      <c r="Y326" s="385">
        <f t="shared" si="113"/>
        <v>19.135410705692404</v>
      </c>
      <c r="Z326" s="385">
        <f t="shared" si="114"/>
        <v>20.640118477681021</v>
      </c>
      <c r="AA326" s="386">
        <f t="shared" si="115"/>
        <v>22.154978117299191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6.8375587265208246E-2</v>
      </c>
      <c r="AD326" s="231">
        <f>(INDEX(Models!$BJ326:$BT326,,AH326)*(1-AF326)+INDEX(Models!$BJ326:$BT326,,AH326+1)*AF326-ERP_i)*AE326*Ramure*Pc/MaxiM</f>
        <v>1.5378389122334489E-2</v>
      </c>
      <c r="AE326" s="305">
        <f t="shared" si="117"/>
        <v>0.7</v>
      </c>
      <c r="AF326" s="177">
        <f t="shared" si="118"/>
        <v>0.9991938866494392</v>
      </c>
      <c r="AG326" s="919">
        <f t="shared" si="124"/>
        <v>2</v>
      </c>
      <c r="AH326" s="176">
        <f t="shared" si="119"/>
        <v>8</v>
      </c>
      <c r="AI326" s="225">
        <f t="shared" si="120"/>
        <v>2.9991938866494392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1090">
        <f>IF(t&gt;Tmaj,'2026'!Wh/'2026'!Env_an*'2027'!Env_an,0.001*'[13]mon-tableau (3)'!$B$45)</f>
        <v>10.581254797670391</v>
      </c>
      <c r="C327" s="953"/>
      <c r="D327" s="393">
        <f t="shared" si="102"/>
        <v>11.413558852472287</v>
      </c>
      <c r="E327" s="385">
        <f t="shared" si="125"/>
        <v>11.804789068908383</v>
      </c>
      <c r="F327" s="385">
        <f t="shared" si="103"/>
        <v>11.805335737264407</v>
      </c>
      <c r="G327" s="110">
        <f t="shared" si="126"/>
        <v>0.34179652032053165</v>
      </c>
      <c r="H327" s="412" t="b">
        <f>Wh_hp&gt;='2026'!Maxi_hp</f>
        <v>0</v>
      </c>
      <c r="I327" s="390">
        <f>IF(H327,Wh_hp,'2026'!Maxi_hp)</f>
        <v>26.175340990445164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7.2922395683937768E-2</v>
      </c>
      <c r="M327" s="957"/>
      <c r="N327" s="957"/>
      <c r="O327" s="48">
        <f>IF(t&lt;Tnet,'2026'!Resal+('2026'!Salim-'2026'!Resal)*(1-EXP(('2026'!Tnet-t)/('2026'!Tau_j))),Resal+(Salim-Resal)*(1-EXP((Tnet-t)/(Tau_j))))*Salcycl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7.709664845379499E-4</v>
      </c>
      <c r="Q327" s="305">
        <f t="shared" si="105"/>
        <v>0.7</v>
      </c>
      <c r="R327" s="177">
        <f t="shared" si="106"/>
        <v>0.47424686192392973</v>
      </c>
      <c r="S327" s="919">
        <f t="shared" si="107"/>
        <v>-1</v>
      </c>
      <c r="T327" s="176">
        <f t="shared" si="108"/>
        <v>5</v>
      </c>
      <c r="U327" s="251">
        <f t="shared" si="109"/>
        <v>-0.52575313807607027</v>
      </c>
      <c r="V327" s="383">
        <f t="shared" si="110"/>
        <v>30.935325569815518</v>
      </c>
      <c r="W327" s="402">
        <f t="shared" si="111"/>
        <v>10.581254797670391</v>
      </c>
      <c r="X327" s="157">
        <f t="shared" si="112"/>
        <v>46700</v>
      </c>
      <c r="Y327" s="385">
        <f t="shared" si="113"/>
        <v>10.186031221670241</v>
      </c>
      <c r="Z327" s="385">
        <f t="shared" si="114"/>
        <v>10.98724764167379</v>
      </c>
      <c r="AA327" s="386">
        <f t="shared" si="115"/>
        <v>11.794053236839874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6.8407830536659664E-2</v>
      </c>
      <c r="AD327" s="231">
        <f>(INDEX(Models!$BJ327:$BT327,,AH327)*(1-AF327)+INDEX(Models!$BJ327:$BT327,,AH327+1)*AF327-ERP_i)*AE327*Ramure*Pc/MaxiM</f>
        <v>1.5911712454606805E-2</v>
      </c>
      <c r="AE327" s="305">
        <f t="shared" si="117"/>
        <v>0.7</v>
      </c>
      <c r="AF327" s="177">
        <f t="shared" si="118"/>
        <v>0.99923442829790865</v>
      </c>
      <c r="AG327" s="919">
        <f t="shared" si="124"/>
        <v>2</v>
      </c>
      <c r="AH327" s="176">
        <f t="shared" si="119"/>
        <v>8</v>
      </c>
      <c r="AI327" s="225">
        <f t="shared" si="120"/>
        <v>2.9992344282979087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1090">
        <f>IF(t&gt;Tmaj,'2026'!Wh/'2026'!Env_an*'2027'!Env_an,0.001*'[13]mon-tableau (3)'!$B$46)</f>
        <v>23.601268227830513</v>
      </c>
      <c r="C328" s="953"/>
      <c r="D328" s="393">
        <f t="shared" si="102"/>
        <v>25.458262671451259</v>
      </c>
      <c r="E328" s="385">
        <f t="shared" si="125"/>
        <v>26.33347475074093</v>
      </c>
      <c r="F328" s="385">
        <f t="shared" si="103"/>
        <v>26.347165344524633</v>
      </c>
      <c r="G328" s="110">
        <f t="shared" si="126"/>
        <v>0.77007706782608876</v>
      </c>
      <c r="H328" s="412" t="b">
        <f>Wh_hp&gt;='2026'!Maxi_hp</f>
        <v>0</v>
      </c>
      <c r="I328" s="390">
        <f>IF(H328,Wh_hp,'2026'!Maxi_hp)</f>
        <v>26.35215048063726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7.2942701062754245E-2</v>
      </c>
      <c r="M328" s="957"/>
      <c r="N328" s="957"/>
      <c r="O328" s="48">
        <f>IF(t&lt;Tnet,'2026'!Resal+('2026'!Salim-'2026'!Resal)*(1-EXP(('2026'!Tnet-t)/('2026'!Tau_j))),Resal+(Salim-Resal)*(1-EXP((Tnet-t)/(Tau_j))))*Salcycl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7.7345787831793083E-4</v>
      </c>
      <c r="Q328" s="305">
        <f t="shared" si="105"/>
        <v>0.7</v>
      </c>
      <c r="R328" s="177">
        <f t="shared" si="106"/>
        <v>0.47428577743296485</v>
      </c>
      <c r="S328" s="919">
        <f t="shared" si="107"/>
        <v>-1</v>
      </c>
      <c r="T328" s="176">
        <f t="shared" si="108"/>
        <v>5</v>
      </c>
      <c r="U328" s="251">
        <f t="shared" si="109"/>
        <v>-0.52571422256703515</v>
      </c>
      <c r="V328" s="383">
        <f t="shared" si="110"/>
        <v>30.640146648459979</v>
      </c>
      <c r="W328" s="402">
        <f t="shared" si="111"/>
        <v>23.601268227830513</v>
      </c>
      <c r="X328" s="157">
        <f t="shared" si="112"/>
        <v>46701</v>
      </c>
      <c r="Y328" s="385">
        <f t="shared" si="113"/>
        <v>22.502551887545767</v>
      </c>
      <c r="Z328" s="385">
        <f t="shared" si="114"/>
        <v>24.273097157362447</v>
      </c>
      <c r="AA328" s="386">
        <f t="shared" si="115"/>
        <v>26.056408575534064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6.8440415071095953E-2</v>
      </c>
      <c r="AD328" s="231">
        <f>(INDEX(Models!$BJ328:$BT328,,AH328)*(1-AF328)+INDEX(Models!$BJ328:$BT328,,AH328+1)*AF328-ERP_i)*AE328*Ramure*Pc/MaxiM</f>
        <v>1.6426468946708669E-2</v>
      </c>
      <c r="AE328" s="305">
        <f t="shared" si="117"/>
        <v>0.7</v>
      </c>
      <c r="AF328" s="177">
        <f t="shared" si="118"/>
        <v>0.99927334380694388</v>
      </c>
      <c r="AG328" s="919">
        <f t="shared" si="124"/>
        <v>2</v>
      </c>
      <c r="AH328" s="176">
        <f t="shared" si="119"/>
        <v>8</v>
      </c>
      <c r="AI328" s="225">
        <f t="shared" si="120"/>
        <v>2.9992733438069439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1090">
        <f>IF(t&gt;Tmaj,'2026'!Wh/'2026'!Env_an*'2027'!Env_an,0.001*'[13]mon-tableau (3)'!$B$47)</f>
        <v>29.419353275527271</v>
      </c>
      <c r="C329" s="953"/>
      <c r="D329" s="393">
        <f t="shared" si="102"/>
        <v>31.734821227022895</v>
      </c>
      <c r="E329" s="385">
        <f t="shared" si="125"/>
        <v>32.829005555801771</v>
      </c>
      <c r="F329" s="385">
        <f t="shared" si="103"/>
        <v>32.853404514616351</v>
      </c>
      <c r="G329" s="110">
        <f t="shared" si="126"/>
        <v>0.96923240588787496</v>
      </c>
      <c r="H329" s="412" t="b">
        <f>Wh_hp&gt;='2026'!Maxi_hp</f>
        <v>0</v>
      </c>
      <c r="I329" s="390">
        <f>IF(H329,Wh_hp,'2026'!Maxi_hp)</f>
        <v>32.854239402413441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7.296300599683081E-2</v>
      </c>
      <c r="M329" s="957"/>
      <c r="N329" s="957"/>
      <c r="O329" s="48">
        <f>IF(t&lt;Tnet,'2026'!Resal+('2026'!Salim-'2026'!Resal)*(1-EXP(('2026'!Tnet-t)/('2026'!Tau_j))),Resal+(Salim-Resal)*(1-EXP((Tnet-t)/(Tau_j))))*Salcycl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7.7676656392312729E-4</v>
      </c>
      <c r="Q329" s="305">
        <f t="shared" si="105"/>
        <v>0.7</v>
      </c>
      <c r="R329" s="177">
        <f t="shared" si="106"/>
        <v>0.47432313178896202</v>
      </c>
      <c r="S329" s="919">
        <f t="shared" si="107"/>
        <v>-1</v>
      </c>
      <c r="T329" s="176">
        <f t="shared" si="108"/>
        <v>5</v>
      </c>
      <c r="U329" s="251">
        <f t="shared" si="109"/>
        <v>-0.52567686821103798</v>
      </c>
      <c r="V329" s="383">
        <f t="shared" si="110"/>
        <v>30.352213774853293</v>
      </c>
      <c r="W329" s="402">
        <f t="shared" si="111"/>
        <v>29.419353275527271</v>
      </c>
      <c r="X329" s="157">
        <f t="shared" si="112"/>
        <v>46702</v>
      </c>
      <c r="Y329" s="385">
        <f t="shared" si="113"/>
        <v>27.911866628270626</v>
      </c>
      <c r="Z329" s="385">
        <f t="shared" si="114"/>
        <v>30.108686933560719</v>
      </c>
      <c r="AA329" s="386">
        <f t="shared" si="115"/>
        <v>32.321875969150021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6.847340908373345E-2</v>
      </c>
      <c r="AD329" s="231">
        <f>(INDEX(Models!$BJ329:$BT329,,AH329)*(1-AF329)+INDEX(Models!$BJ329:$BT329,,AH329+1)*AF329-ERP_i)*AE329*Ramure*Pc/MaxiM</f>
        <v>1.6921771335676961E-2</v>
      </c>
      <c r="AE329" s="305">
        <f t="shared" si="117"/>
        <v>0.7</v>
      </c>
      <c r="AF329" s="177">
        <f t="shared" si="118"/>
        <v>0.99931069816294071</v>
      </c>
      <c r="AG329" s="919">
        <f t="shared" si="124"/>
        <v>2</v>
      </c>
      <c r="AH329" s="176">
        <f t="shared" si="119"/>
        <v>8</v>
      </c>
      <c r="AI329" s="225">
        <f t="shared" si="120"/>
        <v>2.9993106981629407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1090">
        <f>IF(t&gt;Tmaj,'2026'!Wh/'2026'!Env_an*'2027'!Env_an,0.001*'[13]mon-tableau (3)'!$B$48)</f>
        <v>28.093432568893167</v>
      </c>
      <c r="C330" s="953"/>
      <c r="D330" s="393">
        <f t="shared" si="102"/>
        <v>30.305206892905961</v>
      </c>
      <c r="E330" s="385">
        <f t="shared" si="125"/>
        <v>31.353152470780824</v>
      </c>
      <c r="F330" s="385">
        <f t="shared" si="103"/>
        <v>31.375348705903221</v>
      </c>
      <c r="G330" s="110">
        <f t="shared" si="126"/>
        <v>0.93410985029977689</v>
      </c>
      <c r="H330" s="412" t="b">
        <f>Wh_hp&gt;='2026'!Maxi_hp</f>
        <v>0</v>
      </c>
      <c r="I330" s="390">
        <f>IF(H330,Wh_hp,'2026'!Maxi_hp)</f>
        <v>32.840746587016881</v>
      </c>
      <c r="J330" s="85">
        <f>IF(H330,An,'2026'!An_max)</f>
        <v>2020</v>
      </c>
      <c r="K330" s="197">
        <f t="shared" si="104"/>
        <v>46703</v>
      </c>
      <c r="L330" s="147">
        <f>IF(t&lt;Tvie,1-EXP((T0-t)*PertePVj)+'2026'!Pspv,1-EXP((T0-t)*PertePVj)+Pspv)</f>
        <v>7.2983310486177233E-2</v>
      </c>
      <c r="M330" s="957"/>
      <c r="N330" s="957"/>
      <c r="O330" s="48">
        <f>IF(t&lt;Tnet,'2026'!Resal+('2026'!Salim-'2026'!Resal)*(1-EXP(('2026'!Tnet-t)/('2026'!Tau_j))),Resal+(Salim-Resal)*(1-EXP((Tnet-t)/(Tau_j))))*Salcycl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7.8086739048823287E-4</v>
      </c>
      <c r="Q330" s="305">
        <f t="shared" si="105"/>
        <v>0.7</v>
      </c>
      <c r="R330" s="177">
        <f t="shared" si="106"/>
        <v>0.47435898740002513</v>
      </c>
      <c r="S330" s="919">
        <f t="shared" si="107"/>
        <v>-1</v>
      </c>
      <c r="T330" s="176">
        <f t="shared" si="108"/>
        <v>5</v>
      </c>
      <c r="U330" s="251">
        <f t="shared" si="109"/>
        <v>-0.52564101259997487</v>
      </c>
      <c r="V330" s="383">
        <f t="shared" si="110"/>
        <v>30.072874538716896</v>
      </c>
      <c r="W330" s="402">
        <f t="shared" si="111"/>
        <v>28.093432568893167</v>
      </c>
      <c r="X330" s="157">
        <f t="shared" si="112"/>
        <v>46703</v>
      </c>
      <c r="Y330" s="385">
        <f t="shared" si="113"/>
        <v>26.66591035527772</v>
      </c>
      <c r="Z330" s="385">
        <f t="shared" si="114"/>
        <v>28.765296954106354</v>
      </c>
      <c r="AA330" s="386">
        <f t="shared" si="115"/>
        <v>30.880847434569077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6.85068790597535E-2</v>
      </c>
      <c r="AD330" s="231">
        <f>(INDEX(Models!$BJ330:$BT330,,AH330)*(1-AF330)+INDEX(Models!$BJ330:$BT330,,AH330+1)*AF330-ERP_i)*AE330*Ramure*Pc/MaxiM</f>
        <v>1.7396640250499244E-2</v>
      </c>
      <c r="AE330" s="305">
        <f t="shared" si="117"/>
        <v>0.7</v>
      </c>
      <c r="AF330" s="177">
        <f t="shared" si="118"/>
        <v>0.99934655377400405</v>
      </c>
      <c r="AG330" s="919">
        <f t="shared" si="124"/>
        <v>2</v>
      </c>
      <c r="AH330" s="176">
        <f t="shared" si="119"/>
        <v>8</v>
      </c>
      <c r="AI330" s="225">
        <f t="shared" si="120"/>
        <v>2.9993465537740041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1090">
        <f>IF(t&gt;Tmaj,'2026'!Wh/'2026'!Env_an*'2027'!Env_an,0.001*'[13]mon-tableau (3)'!$B$49)</f>
        <v>28.280532520384295</v>
      </c>
      <c r="C331" s="953"/>
      <c r="D331" s="393">
        <f t="shared" si="102"/>
        <v>30.507705276617855</v>
      </c>
      <c r="E331" s="385">
        <f t="shared" si="125"/>
        <v>31.565729664083403</v>
      </c>
      <c r="F331" s="385">
        <f t="shared" si="103"/>
        <v>31.588746112093936</v>
      </c>
      <c r="G331" s="110">
        <f t="shared" si="126"/>
        <v>0.94898029358714309</v>
      </c>
      <c r="H331" s="412" t="b">
        <f>Wh_hp&gt;='2026'!Maxi_hp</f>
        <v>0</v>
      </c>
      <c r="I331" s="390">
        <f>IF(H331,Wh_hp,'2026'!Maxi_hp)</f>
        <v>31.590091500523783</v>
      </c>
      <c r="J331" s="85">
        <f>IF(H331,An,'2026'!An_max)</f>
        <v>2025</v>
      </c>
      <c r="K331" s="197">
        <f t="shared" si="104"/>
        <v>46704</v>
      </c>
      <c r="L331" s="147">
        <f>IF(t&lt;Tvie,1-EXP((T0-t)*PertePVj)+'2026'!Pspv,1-EXP((T0-t)*PertePVj)+Pspv)</f>
        <v>7.3003614530803174E-2</v>
      </c>
      <c r="M331" s="957"/>
      <c r="N331" s="957"/>
      <c r="O331" s="48">
        <f>IF(t&lt;Tnet,'2026'!Resal+('2026'!Salim-'2026'!Resal)*(1-EXP(('2026'!Tnet-t)/('2026'!Tau_j))),Resal+(Salim-Resal)*(1-EXP((Tnet-t)/(Tau_j))))*Salcycl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7.8584353323391616E-4</v>
      </c>
      <c r="Q331" s="305">
        <f t="shared" si="105"/>
        <v>0.7</v>
      </c>
      <c r="R331" s="177">
        <f t="shared" si="106"/>
        <v>0.47439340419677589</v>
      </c>
      <c r="S331" s="919">
        <f t="shared" si="107"/>
        <v>-1</v>
      </c>
      <c r="T331" s="176">
        <f t="shared" si="108"/>
        <v>5</v>
      </c>
      <c r="U331" s="251">
        <f t="shared" si="109"/>
        <v>-0.52560659580322411</v>
      </c>
      <c r="V331" s="383">
        <f t="shared" si="110"/>
        <v>29.799262902166532</v>
      </c>
      <c r="W331" s="402">
        <f t="shared" si="111"/>
        <v>28.280532520384295</v>
      </c>
      <c r="X331" s="157">
        <f t="shared" si="112"/>
        <v>46704</v>
      </c>
      <c r="Y331" s="385">
        <f t="shared" si="113"/>
        <v>26.824108846401511</v>
      </c>
      <c r="Z331" s="385">
        <f t="shared" si="114"/>
        <v>28.936584076133759</v>
      </c>
      <c r="AA331" s="386">
        <f t="shared" si="115"/>
        <v>31.065866175215497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6.8540889446710218E-2</v>
      </c>
      <c r="AD331" s="231">
        <f>(INDEX(Models!$BJ331:$BT331,,AH331)*(1-AF331)+INDEX(Models!$BJ331:$BT331,,AH331+1)*AF331-ERP_i)*AE331*Ramure*Pc/MaxiM</f>
        <v>1.7852529498280367E-2</v>
      </c>
      <c r="AE331" s="305">
        <f t="shared" si="117"/>
        <v>0.7</v>
      </c>
      <c r="AF331" s="177">
        <f t="shared" si="118"/>
        <v>0.99938097057075481</v>
      </c>
      <c r="AG331" s="919">
        <f t="shared" si="124"/>
        <v>2</v>
      </c>
      <c r="AH331" s="176">
        <f t="shared" si="119"/>
        <v>8</v>
      </c>
      <c r="AI331" s="225">
        <f t="shared" si="120"/>
        <v>2.9993809705707548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1090">
        <f>IF(t&gt;Tmaj,'2026'!Wh/'2026'!Env_an*'2027'!Env_an,0.001*'[13]mon-tableau (3)'!$B$50)</f>
        <v>10.571483430803429</v>
      </c>
      <c r="C332" s="953"/>
      <c r="D332" s="393">
        <f t="shared" si="102"/>
        <v>11.404267744951564</v>
      </c>
      <c r="E332" s="385">
        <f t="shared" si="125"/>
        <v>11.800925795773926</v>
      </c>
      <c r="F332" s="385">
        <f t="shared" si="103"/>
        <v>11.801702829857662</v>
      </c>
      <c r="G332" s="110">
        <f t="shared" si="126"/>
        <v>0.35775719915260212</v>
      </c>
      <c r="H332" s="412" t="b">
        <f>Wh_hp&gt;='2026'!Maxi_hp</f>
        <v>0</v>
      </c>
      <c r="I332" s="390">
        <f>IF(H332,Wh_hp,'2026'!Maxi_hp)</f>
        <v>20.754830581758107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7.3023918130718402E-2</v>
      </c>
      <c r="M332" s="957"/>
      <c r="N332" s="957"/>
      <c r="O332" s="48">
        <f>IF(t&lt;Tnet,'2026'!Resal+('2026'!Salim-'2026'!Resal)*(1-EXP(('2026'!Tnet-t)/('2026'!Tau_j))),Resal+(Salim-Resal)*(1-EXP((Tnet-t)/(Tau_j))))*Salcycl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7.9438369705767207E-4</v>
      </c>
      <c r="Q332" s="305">
        <f t="shared" si="105"/>
        <v>0.7</v>
      </c>
      <c r="R332" s="177">
        <f t="shared" si="106"/>
        <v>0.47442643972933762</v>
      </c>
      <c r="S332" s="919">
        <f t="shared" si="107"/>
        <v>-1</v>
      </c>
      <c r="T332" s="176">
        <f t="shared" si="108"/>
        <v>5</v>
      </c>
      <c r="U332" s="251">
        <f t="shared" si="109"/>
        <v>-0.52557356027066238</v>
      </c>
      <c r="V332" s="383">
        <f t="shared" si="110"/>
        <v>29.527794744615484</v>
      </c>
      <c r="W332" s="402">
        <f t="shared" si="111"/>
        <v>10.571483430803429</v>
      </c>
      <c r="X332" s="157">
        <f t="shared" si="112"/>
        <v>46705</v>
      </c>
      <c r="Y332" s="385">
        <f t="shared" si="113"/>
        <v>10.174258404286501</v>
      </c>
      <c r="Z332" s="385">
        <f t="shared" si="114"/>
        <v>10.97575072678222</v>
      </c>
      <c r="AA332" s="386">
        <f t="shared" si="115"/>
        <v>11.783832994053688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6.8575502358124041E-2</v>
      </c>
      <c r="AD332" s="231">
        <f>(INDEX(Models!$BJ332:$BT332,,AH332)*(1-AF332)+INDEX(Models!$BJ332:$BT332,,AH332+1)*AF332-ERP_i)*AE332*Ramure*Pc/MaxiM</f>
        <v>1.8268833412725088E-2</v>
      </c>
      <c r="AE332" s="305">
        <f t="shared" si="117"/>
        <v>0.7</v>
      </c>
      <c r="AF332" s="177">
        <f t="shared" si="118"/>
        <v>0.99941400610331632</v>
      </c>
      <c r="AG332" s="919">
        <f t="shared" si="124"/>
        <v>2</v>
      </c>
      <c r="AH332" s="176">
        <f t="shared" si="119"/>
        <v>8</v>
      </c>
      <c r="AI332" s="225">
        <f t="shared" si="120"/>
        <v>2.9994140061033163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1090">
        <f>IF(t&gt;Tmaj,'2026'!Wh/'2026'!Env_an*'2027'!Env_an,0.001*'[13]mon-tableau (3)'!$B$51)</f>
        <v>12.625893498761608</v>
      </c>
      <c r="C333" s="953"/>
      <c r="D333" s="393">
        <f t="shared" si="102"/>
        <v>13.620815349225246</v>
      </c>
      <c r="E333" s="385">
        <f t="shared" si="125"/>
        <v>14.095946182083514</v>
      </c>
      <c r="F333" s="385">
        <f t="shared" si="103"/>
        <v>14.098081904075752</v>
      </c>
      <c r="G333" s="110">
        <f t="shared" si="126"/>
        <v>0.43124112523937924</v>
      </c>
      <c r="H333" s="412" t="b">
        <f>Wh_hp&gt;='2026'!Maxi_hp</f>
        <v>0</v>
      </c>
      <c r="I333" s="390">
        <f>IF(H333,Wh_hp,'2026'!Maxi_hp)</f>
        <v>29.501536808911666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7.3044221285932798E-2</v>
      </c>
      <c r="M333" s="957"/>
      <c r="N333" s="957"/>
      <c r="O333" s="48">
        <f>IF(t&lt;Tnet,'2026'!Resal+('2026'!Salim-'2026'!Resal)*(1-EXP(('2026'!Tnet-t)/('2026'!Tau_j))),Resal+(Salim-Resal)*(1-EXP((Tnet-t)/(Tau_j))))*Salcycl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8.0626656048266986E-4</v>
      </c>
      <c r="Q333" s="305">
        <f t="shared" si="105"/>
        <v>0.7</v>
      </c>
      <c r="R333" s="177">
        <f t="shared" si="106"/>
        <v>0.47445814926063268</v>
      </c>
      <c r="S333" s="919">
        <f t="shared" si="107"/>
        <v>-1</v>
      </c>
      <c r="T333" s="176">
        <f t="shared" si="108"/>
        <v>5</v>
      </c>
      <c r="U333" s="251">
        <f t="shared" si="109"/>
        <v>-0.52554185073936732</v>
      </c>
      <c r="V333" s="383">
        <f t="shared" si="110"/>
        <v>29.258863247914022</v>
      </c>
      <c r="W333" s="402">
        <f t="shared" si="111"/>
        <v>12.625893498761608</v>
      </c>
      <c r="X333" s="157">
        <f t="shared" si="112"/>
        <v>46706</v>
      </c>
      <c r="Y333" s="385">
        <f t="shared" si="113"/>
        <v>12.129039378176167</v>
      </c>
      <c r="Z333" s="385">
        <f t="shared" si="114"/>
        <v>13.084809067162137</v>
      </c>
      <c r="AA333" s="386">
        <f t="shared" si="115"/>
        <v>14.048701389410043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6.8610777290383007E-2</v>
      </c>
      <c r="AD333" s="231">
        <f>(INDEX(Models!$BJ333:$BT333,,AH333)*(1-AF333)+INDEX(Models!$BJ333:$BT333,,AH333+1)*AF333-ERP_i)*AE333*Ramure*Pc/MaxiM</f>
        <v>1.8641872799507974E-2</v>
      </c>
      <c r="AE333" s="305">
        <f t="shared" si="117"/>
        <v>0.7</v>
      </c>
      <c r="AF333" s="177">
        <f t="shared" si="118"/>
        <v>0.99944571563461171</v>
      </c>
      <c r="AG333" s="919">
        <f t="shared" si="124"/>
        <v>2</v>
      </c>
      <c r="AH333" s="176">
        <f t="shared" si="119"/>
        <v>8</v>
      </c>
      <c r="AI333" s="225">
        <f t="shared" si="120"/>
        <v>2.9994457156346117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1090">
        <f>IF(t&gt;Tmaj,'2026'!Wh/'2026'!Env_an*'2027'!Env_an,0.001*'[13]mon-tableau (3)'!$B$52)</f>
        <v>27.977255003850864</v>
      </c>
      <c r="C334" s="953"/>
      <c r="D334" s="393">
        <f t="shared" si="102"/>
        <v>30.182526969918126</v>
      </c>
      <c r="E334" s="385">
        <f t="shared" si="125"/>
        <v>31.238434457621455</v>
      </c>
      <c r="F334" s="385">
        <f t="shared" si="103"/>
        <v>31.262832095377618</v>
      </c>
      <c r="G334" s="110">
        <f t="shared" si="126"/>
        <v>0.96493100846130408</v>
      </c>
      <c r="H334" s="412" t="b">
        <f>Wh_hp&gt;='2026'!Maxi_hp</f>
        <v>0</v>
      </c>
      <c r="I334" s="390">
        <f>IF(H334,Wh_hp,'2026'!Maxi_hp)</f>
        <v>31.263793869207316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7.306452399645591E-2</v>
      </c>
      <c r="M334" s="957"/>
      <c r="N334" s="957"/>
      <c r="O334" s="48">
        <f>IF(t&lt;Tnet,'2026'!Resal+('2026'!Salim-'2026'!Resal)*(1-EXP(('2026'!Tnet-t)/('2026'!Tau_j))),Resal+(Salim-Resal)*(1-EXP((Tnet-t)/(Tau_j))))*Salcycl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8.2151402983764816E-4</v>
      </c>
      <c r="Q334" s="305">
        <f t="shared" si="105"/>
        <v>0.7</v>
      </c>
      <c r="R334" s="177">
        <f t="shared" si="106"/>
        <v>0.4744885858561223</v>
      </c>
      <c r="S334" s="919">
        <f t="shared" si="107"/>
        <v>-1</v>
      </c>
      <c r="T334" s="176">
        <f t="shared" si="108"/>
        <v>5</v>
      </c>
      <c r="U334" s="251">
        <f t="shared" si="109"/>
        <v>-0.5255114141438777</v>
      </c>
      <c r="V334" s="383">
        <f t="shared" si="110"/>
        <v>28.992854114083244</v>
      </c>
      <c r="W334" s="402">
        <f t="shared" si="111"/>
        <v>27.977255003850864</v>
      </c>
      <c r="X334" s="157">
        <f t="shared" si="112"/>
        <v>46707</v>
      </c>
      <c r="Y334" s="385">
        <f t="shared" si="113"/>
        <v>26.502937424742761</v>
      </c>
      <c r="Z334" s="385">
        <f t="shared" si="114"/>
        <v>28.59199816044308</v>
      </c>
      <c r="AA334" s="386">
        <f t="shared" si="115"/>
        <v>30.699413783844882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6.8646770854979555E-2</v>
      </c>
      <c r="AD334" s="231">
        <f>(INDEX(Models!$BJ334:$BT334,,AH334)*(1-AF334)+INDEX(Models!$BJ334:$BT334,,AH334+1)*AF334-ERP_i)*AE334*Ramure*Pc/MaxiM</f>
        <v>1.8971346825357338E-2</v>
      </c>
      <c r="AE334" s="305">
        <f t="shared" si="117"/>
        <v>0.7</v>
      </c>
      <c r="AF334" s="177">
        <f t="shared" si="118"/>
        <v>0.999476152230101</v>
      </c>
      <c r="AG334" s="919">
        <f t="shared" si="124"/>
        <v>2</v>
      </c>
      <c r="AH334" s="176">
        <f t="shared" si="119"/>
        <v>8</v>
      </c>
      <c r="AI334" s="225">
        <f t="shared" si="120"/>
        <v>2.999476152230101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1090">
        <f>IF(t&gt;Tmaj,'2026'!Wh/'2026'!Env_an*'2027'!Env_an,0.001*'[13]mon-tableau (3)'!$B$53)</f>
        <v>14.950003335999225</v>
      </c>
      <c r="C335" s="953"/>
      <c r="D335" s="393">
        <f t="shared" ref="D335:D379" si="127">Wh/(1-Ppv)</f>
        <v>16.128771822468583</v>
      </c>
      <c r="E335" s="385">
        <f t="shared" si="125"/>
        <v>16.694660559539436</v>
      </c>
      <c r="F335" s="385">
        <f t="shared" ref="F335:F379" si="128">Wh_sa/(1-Pvg*MEDIAN((-Sdif+Wh/Env_an)/Csdif,0,1))</f>
        <v>16.699077097337923</v>
      </c>
      <c r="G335" s="110">
        <f t="shared" si="126"/>
        <v>0.52005970375695598</v>
      </c>
      <c r="H335" s="412" t="b">
        <f>Wh_hp&gt;='2026'!Maxi_hp</f>
        <v>0</v>
      </c>
      <c r="I335" s="390">
        <f>IF(H335,Wh_hp,'2026'!Maxi_hp)</f>
        <v>31.482813740825435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7.308482626229762E-2</v>
      </c>
      <c r="M335" s="957"/>
      <c r="N335" s="957"/>
      <c r="O335" s="48">
        <f>IF(t&lt;Tnet,'2026'!Resal+('2026'!Salim-'2026'!Resal)*(1-EXP(('2026'!Tnet-t)/('2026'!Tau_j))),Resal+(Salim-Resal)*(1-EXP((Tnet-t)/(Tau_j))))*Salcycl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8.4014851053790468E-4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0.47451780047011649</v>
      </c>
      <c r="S335" s="919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-0.52548219952988351</v>
      </c>
      <c r="V335" s="383">
        <f t="shared" ref="V335:V379" si="135">MaxiM*(1-Ppv)*(1-Pvg)*(1-Psa)</f>
        <v>28.73015285475191</v>
      </c>
      <c r="W335" s="402">
        <f t="shared" ref="W335:W379" si="136">Wh*(A335&gt;Tmaj)</f>
        <v>14.950003335999225</v>
      </c>
      <c r="X335" s="157">
        <f t="shared" ref="X335:X379" si="137">t</f>
        <v>46708</v>
      </c>
      <c r="Y335" s="385">
        <f t="shared" ref="Y335:Y379" si="138">Wh_pvt_s*(1-Ppv)</f>
        <v>14.328113428720327</v>
      </c>
      <c r="Z335" s="385">
        <f t="shared" ref="Z335:Z379" si="139">Wh_sa_s*(1-Psa_s)</f>
        <v>15.457847529826806</v>
      </c>
      <c r="AA335" s="386">
        <f t="shared" ref="AA335:AA379" si="140">Wh_hp*(1-Pvg_s*MEDIAN((-Sdif+Wh/Env_an)/Csdif,0,1))</f>
        <v>16.59784631337774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6.8683536527995429E-2</v>
      </c>
      <c r="AD335" s="231">
        <f>(INDEX(Models!$BJ335:$BT335,,AH335)*(1-AF335)+INDEX(Models!$BJ335:$BT335,,AH335+1)*AF335-ERP_i)*AE335*Ramure*Pc/MaxiM</f>
        <v>1.925691486073779E-2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0.99950536684409563</v>
      </c>
      <c r="AG335" s="91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2.9995053668440956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1090">
        <f>IF(t&gt;Tmaj,'2026'!Wh/'2026'!Env_an*'2027'!Env_an,0.001*'[13]mon-tableau (3)'!$B$54)</f>
        <v>13.651165580016016</v>
      </c>
      <c r="C336" s="953"/>
      <c r="D336" s="393">
        <f t="shared" si="127"/>
        <v>14.727846699366907</v>
      </c>
      <c r="E336" s="385">
        <f t="shared" si="125"/>
        <v>15.246083410039896</v>
      </c>
      <c r="F336" s="385">
        <f t="shared" si="128"/>
        <v>15.249454430862661</v>
      </c>
      <c r="G336" s="110">
        <f t="shared" si="126"/>
        <v>0.47916624058442869</v>
      </c>
      <c r="H336" s="412" t="b">
        <f>Wh_hp&gt;='2026'!Maxi_hp</f>
        <v>0</v>
      </c>
      <c r="I336" s="390">
        <f>IF(H336,Wh_hp,'2026'!Maxi_hp)</f>
        <v>29.94043779612808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7.3105128083467474E-2</v>
      </c>
      <c r="M336" s="957"/>
      <c r="N336" s="957"/>
      <c r="O336" s="48">
        <f>IF(t&lt;Tnet,'2026'!Resal+('2026'!Salim-'2026'!Resal)*(1-EXP(('2026'!Tnet-t)/('2026'!Tau_j))),Resal+(Salim-Resal)*(1-EXP((Tnet-t)/(Tau_j))))*Salcycl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8.621926470754592E-4</v>
      </c>
      <c r="Q336" s="305">
        <f t="shared" si="130"/>
        <v>0.7</v>
      </c>
      <c r="R336" s="177">
        <f t="shared" si="131"/>
        <v>0.47454584202877981</v>
      </c>
      <c r="S336" s="919">
        <f t="shared" si="132"/>
        <v>-1</v>
      </c>
      <c r="T336" s="176">
        <f t="shared" si="133"/>
        <v>5</v>
      </c>
      <c r="U336" s="251">
        <f t="shared" si="134"/>
        <v>-0.52545415797122019</v>
      </c>
      <c r="V336" s="383">
        <f t="shared" si="135"/>
        <v>28.471144793438921</v>
      </c>
      <c r="W336" s="402">
        <f t="shared" si="136"/>
        <v>13.651165580016016</v>
      </c>
      <c r="X336" s="157">
        <f t="shared" si="137"/>
        <v>46709</v>
      </c>
      <c r="Y336" s="385">
        <f t="shared" si="138"/>
        <v>13.097487244520613</v>
      </c>
      <c r="Z336" s="385">
        <f t="shared" si="139"/>
        <v>14.130499198295327</v>
      </c>
      <c r="AA336" s="386">
        <f t="shared" si="140"/>
        <v>15.173219933152572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6.8721124418618815E-2</v>
      </c>
      <c r="AD336" s="231">
        <f>(INDEX(Models!$BJ336:$BT336,,AH336)*(1-AF336)+INDEX(Models!$BJ336:$BT336,,AH336+1)*AF336-ERP_i)*AE336*Ramure*Pc/MaxiM</f>
        <v>1.9498195601538485E-2</v>
      </c>
      <c r="AE336" s="305">
        <f t="shared" si="142"/>
        <v>0.7</v>
      </c>
      <c r="AF336" s="177">
        <f t="shared" si="143"/>
        <v>0.99953340840275873</v>
      </c>
      <c r="AG336" s="919">
        <f t="shared" ref="AG336:AG379" si="149">INDEX(Echel_vg,AH336)</f>
        <v>2</v>
      </c>
      <c r="AH336" s="176">
        <f t="shared" si="144"/>
        <v>8</v>
      </c>
      <c r="AI336" s="225">
        <f t="shared" si="145"/>
        <v>2.9995334084027587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1090">
        <f>IF(t&gt;Tmaj,'2026'!Wh/'2026'!Env_an*'2027'!Env_an,0.001*'[13]mon-tableau (3)'!$B$55)</f>
        <v>5.8879882726477408</v>
      </c>
      <c r="C337" s="953"/>
      <c r="D337" s="393">
        <f t="shared" si="127"/>
        <v>6.3525189489417375</v>
      </c>
      <c r="E337" s="385">
        <f t="shared" si="125"/>
        <v>6.5766975151163845</v>
      </c>
      <c r="F337" s="385">
        <f t="shared" si="128"/>
        <v>6.5766975151163845</v>
      </c>
      <c r="G337" s="110">
        <f t="shared" si="126"/>
        <v>0.20848868912326665</v>
      </c>
      <c r="H337" s="412" t="b">
        <f>Wh_hp&gt;='2026'!Maxi_hp</f>
        <v>0</v>
      </c>
      <c r="I337" s="390">
        <f>IF(H337,Wh_hp,'2026'!Maxi_hp)</f>
        <v>31.549585507891482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7.3125429459975466E-2</v>
      </c>
      <c r="M337" s="957"/>
      <c r="N337" s="957"/>
      <c r="O337" s="48">
        <f>IF(t&lt;Tnet,'2026'!Resal+('2026'!Salim-'2026'!Resal)*(1-EXP(('2026'!Tnet-t)/('2026'!Tau_j))),Resal+(Salim-Resal)*(1-EXP((Tnet-t)/(Tau_j))))*Salcycl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8.876690128628719E-4</v>
      </c>
      <c r="Q337" s="305">
        <f t="shared" si="130"/>
        <v>0.7</v>
      </c>
      <c r="R337" s="177">
        <f t="shared" si="131"/>
        <v>0.47457275750995032</v>
      </c>
      <c r="S337" s="919">
        <f t="shared" si="132"/>
        <v>-1</v>
      </c>
      <c r="T337" s="176">
        <f t="shared" si="133"/>
        <v>5</v>
      </c>
      <c r="U337" s="251">
        <f t="shared" si="134"/>
        <v>-0.52542724249004968</v>
      </c>
      <c r="V337" s="383">
        <f t="shared" si="135"/>
        <v>28.216215050553142</v>
      </c>
      <c r="W337" s="402">
        <f t="shared" si="136"/>
        <v>5.8879882726477408</v>
      </c>
      <c r="X337" s="157">
        <f t="shared" si="137"/>
        <v>46710</v>
      </c>
      <c r="Y337" s="385">
        <f t="shared" si="138"/>
        <v>5.6766308400953625</v>
      </c>
      <c r="Z337" s="385">
        <f t="shared" si="139"/>
        <v>6.1244865492296219</v>
      </c>
      <c r="AA337" s="386">
        <f t="shared" si="140"/>
        <v>6.5766975151163845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6.8759581058329994E-2</v>
      </c>
      <c r="AD337" s="231">
        <f>(INDEX(Models!$BJ337:$BT337,,AH337)*(1-AF337)+INDEX(Models!$BJ337:$BT337,,AH337+1)*AF337-ERP_i)*AE337*Ramure*Pc/MaxiM</f>
        <v>1.9694766748082623E-2</v>
      </c>
      <c r="AE337" s="305">
        <f t="shared" si="142"/>
        <v>0.7</v>
      </c>
      <c r="AF337" s="177">
        <f t="shared" si="143"/>
        <v>0.99956032388392924</v>
      </c>
      <c r="AG337" s="919">
        <f t="shared" si="149"/>
        <v>2</v>
      </c>
      <c r="AH337" s="176">
        <f t="shared" si="144"/>
        <v>8</v>
      </c>
      <c r="AI337" s="225">
        <f t="shared" si="145"/>
        <v>2.9995603238839292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1090">
        <f>IF(t&gt;Tmaj,'2026'!Wh/'2026'!Env_an*'2027'!Env_an,0.001*'[13]mon-tableau (3)'!$B$56)</f>
        <v>17.439616973201886</v>
      </c>
      <c r="C338" s="953"/>
      <c r="D338" s="393">
        <f t="shared" si="127"/>
        <v>18.815921278082421</v>
      </c>
      <c r="E338" s="385">
        <f t="shared" si="125"/>
        <v>19.481858293670115</v>
      </c>
      <c r="F338" s="385">
        <f t="shared" si="128"/>
        <v>19.490124009334178</v>
      </c>
      <c r="G338" s="110">
        <f t="shared" si="126"/>
        <v>0.62329904206616193</v>
      </c>
      <c r="H338" s="412" t="b">
        <f>Wh_hp&gt;='2026'!Maxi_hp</f>
        <v>0</v>
      </c>
      <c r="I338" s="390">
        <f>IF(H338,Wh_hp,'2026'!Maxi_hp)</f>
        <v>31.724603682982458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7.3145730391831143E-2</v>
      </c>
      <c r="M338" s="957"/>
      <c r="N338" s="957"/>
      <c r="O338" s="48">
        <f>IF(t&lt;Tnet,'2026'!Resal+('2026'!Salim-'2026'!Resal)*(1-EXP(('2026'!Tnet-t)/('2026'!Tau_j))),Resal+(Salim-Resal)*(1-EXP((Tnet-t)/(Tau_j))))*Salcycl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9.1737369601233671E-4</v>
      </c>
      <c r="Q338" s="305">
        <f t="shared" si="130"/>
        <v>0.7</v>
      </c>
      <c r="R338" s="177">
        <f t="shared" si="131"/>
        <v>0.47459859201988941</v>
      </c>
      <c r="S338" s="919">
        <f t="shared" si="132"/>
        <v>-1</v>
      </c>
      <c r="T338" s="176">
        <f t="shared" si="133"/>
        <v>5</v>
      </c>
      <c r="U338" s="251">
        <f t="shared" si="134"/>
        <v>-0.52540140798011059</v>
      </c>
      <c r="V338" s="383">
        <f t="shared" si="135"/>
        <v>27.965726884699389</v>
      </c>
      <c r="W338" s="402">
        <f t="shared" si="136"/>
        <v>17.439616973201886</v>
      </c>
      <c r="X338" s="157">
        <f t="shared" si="137"/>
        <v>46711</v>
      </c>
      <c r="Y338" s="385">
        <f t="shared" si="138"/>
        <v>16.667422759727703</v>
      </c>
      <c r="Z338" s="385">
        <f t="shared" si="139"/>
        <v>17.982786837432297</v>
      </c>
      <c r="AA338" s="386">
        <f t="shared" si="140"/>
        <v>19.311390190356246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6.8798949212233854E-2</v>
      </c>
      <c r="AD338" s="231">
        <f>(INDEX(Models!$BJ338:$BT338,,AH338)*(1-AF338)+INDEX(Models!$BJ338:$BT338,,AH338+1)*AF338-ERP_i)*AE338*Ramure*Pc/MaxiM</f>
        <v>1.9836843025104564E-2</v>
      </c>
      <c r="AE338" s="305">
        <f t="shared" si="142"/>
        <v>0.7</v>
      </c>
      <c r="AF338" s="177">
        <f t="shared" si="143"/>
        <v>0.99958615839386855</v>
      </c>
      <c r="AG338" s="919">
        <f t="shared" si="149"/>
        <v>2</v>
      </c>
      <c r="AH338" s="176">
        <f t="shared" si="144"/>
        <v>8</v>
      </c>
      <c r="AI338" s="225">
        <f t="shared" si="145"/>
        <v>2.9995861583938686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1090">
        <f>IF(t&gt;Tmaj,'2026'!Wh/'2026'!Env_an*'2027'!Env_an,0.001*'[13]mon-tableau (3)'!$B$57)</f>
        <v>3.4809653750304461</v>
      </c>
      <c r="C339" s="953"/>
      <c r="D339" s="393">
        <f t="shared" si="127"/>
        <v>3.7557593819440234</v>
      </c>
      <c r="E339" s="385">
        <f t="shared" si="125"/>
        <v>3.8890702703655315</v>
      </c>
      <c r="F339" s="385">
        <f t="shared" si="128"/>
        <v>3.8890702703655315</v>
      </c>
      <c r="G339" s="110">
        <f t="shared" si="126"/>
        <v>0.12545619076971556</v>
      </c>
      <c r="H339" s="412" t="b">
        <f>Wh_hp&gt;='2026'!Maxi_hp</f>
        <v>0</v>
      </c>
      <c r="I339" s="390">
        <f>IF(H339,Wh_hp,'2026'!Maxi_hp)</f>
        <v>30.885830486283265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7.3166030879044386E-2</v>
      </c>
      <c r="M339" s="957"/>
      <c r="N339" s="957"/>
      <c r="O339" s="48">
        <f>IF(t&lt;Tnet,'2026'!Resal+('2026'!Salim-'2026'!Resal)*(1-EXP(('2026'!Tnet-t)/('2026'!Tau_j))),Resal+(Salim-Resal)*(1-EXP((Tnet-t)/(Tau_j))))*Salcycl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9.5066072647826847E-4</v>
      </c>
      <c r="Q339" s="305">
        <f t="shared" si="130"/>
        <v>0.7</v>
      </c>
      <c r="R339" s="177">
        <f t="shared" si="131"/>
        <v>0.47462338886707456</v>
      </c>
      <c r="S339" s="919">
        <f t="shared" si="132"/>
        <v>-1</v>
      </c>
      <c r="T339" s="176">
        <f t="shared" si="133"/>
        <v>5</v>
      </c>
      <c r="U339" s="251">
        <f t="shared" si="134"/>
        <v>-0.52537661113292544</v>
      </c>
      <c r="V339" s="383">
        <f t="shared" si="135"/>
        <v>27.720084091678487</v>
      </c>
      <c r="W339" s="402">
        <f t="shared" si="136"/>
        <v>3.4809653750304461</v>
      </c>
      <c r="X339" s="157">
        <f t="shared" si="137"/>
        <v>46712</v>
      </c>
      <c r="Y339" s="385">
        <f t="shared" si="138"/>
        <v>3.3563897499984048</v>
      </c>
      <c r="Z339" s="385">
        <f t="shared" si="139"/>
        <v>3.6213495208658912</v>
      </c>
      <c r="AA339" s="386">
        <f t="shared" si="140"/>
        <v>3.8890702703655315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6.8839267713842925E-2</v>
      </c>
      <c r="AD339" s="231">
        <f>(INDEX(Models!$BJ339:$BT339,,AH339)*(1-AF339)+INDEX(Models!$BJ339:$BT339,,AH339+1)*AF339-ERP_i)*AE339*Ramure*Pc/MaxiM</f>
        <v>1.9947721292969366E-2</v>
      </c>
      <c r="AE339" s="305">
        <f t="shared" si="142"/>
        <v>0.7</v>
      </c>
      <c r="AF339" s="177">
        <f t="shared" si="143"/>
        <v>0.99961095524105348</v>
      </c>
      <c r="AG339" s="919">
        <f t="shared" si="149"/>
        <v>2</v>
      </c>
      <c r="AH339" s="176">
        <f t="shared" si="144"/>
        <v>8</v>
      </c>
      <c r="AI339" s="225">
        <f t="shared" si="145"/>
        <v>2.9996109552410535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1090">
        <f>IF(t&gt;Tmaj,'2026'!Wh/'2026'!Env_an*'2027'!Env_an,0.001*'[13]mon-tableau (3)'!$B$58)</f>
        <v>7.7113215965245203</v>
      </c>
      <c r="C340" s="953"/>
      <c r="D340" s="393">
        <f t="shared" si="127"/>
        <v>8.3202501795130708</v>
      </c>
      <c r="E340" s="385">
        <f t="shared" si="125"/>
        <v>8.6164367404228912</v>
      </c>
      <c r="F340" s="385">
        <f t="shared" si="128"/>
        <v>8.6164367404228912</v>
      </c>
      <c r="G340" s="110">
        <f t="shared" si="126"/>
        <v>0.28034201041497969</v>
      </c>
      <c r="H340" s="412" t="b">
        <f>Wh_hp&gt;='2026'!Maxi_hp</f>
        <v>0</v>
      </c>
      <c r="I340" s="390">
        <f>IF(H340,Wh_hp,'2026'!Maxi_hp)</f>
        <v>31.571381737013635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7.3186330921624743E-2</v>
      </c>
      <c r="M340" s="957"/>
      <c r="N340" s="957"/>
      <c r="O340" s="48">
        <f>IF(t&lt;Tnet,'2026'!Resal+('2026'!Salim-'2026'!Resal)*(1-EXP(('2026'!Tnet-t)/('2026'!Tau_j))),Resal+(Salim-Resal)*(1-EXP((Tnet-t)/(Tau_j))))*Salcycl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9.8755100010232302E-4</v>
      </c>
      <c r="Q340" s="305">
        <f t="shared" si="130"/>
        <v>0.7</v>
      </c>
      <c r="R340" s="177">
        <f t="shared" si="131"/>
        <v>0.47464718963314312</v>
      </c>
      <c r="S340" s="919">
        <f t="shared" si="132"/>
        <v>-1</v>
      </c>
      <c r="T340" s="176">
        <f t="shared" si="133"/>
        <v>5</v>
      </c>
      <c r="U340" s="251">
        <f t="shared" si="134"/>
        <v>-0.52535281036685688</v>
      </c>
      <c r="V340" s="383">
        <f t="shared" si="135"/>
        <v>27.479671212196333</v>
      </c>
      <c r="W340" s="402">
        <f t="shared" si="136"/>
        <v>7.7113215965245203</v>
      </c>
      <c r="X340" s="157">
        <f t="shared" si="137"/>
        <v>46713</v>
      </c>
      <c r="Y340" s="385">
        <f t="shared" si="138"/>
        <v>7.4357627239001332</v>
      </c>
      <c r="Z340" s="385">
        <f t="shared" si="139"/>
        <v>8.0229316549617415</v>
      </c>
      <c r="AA340" s="386">
        <f t="shared" si="140"/>
        <v>8.6164367404228912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6.8880571324431414E-2</v>
      </c>
      <c r="AD340" s="231">
        <f>(INDEX(Models!$BJ340:$BT340,,AH340)*(1-AF340)+INDEX(Models!$BJ340:$BT340,,AH340+1)*AF340-ERP_i)*AE340*Ramure*Pc/MaxiM</f>
        <v>2.0026972309999985E-2</v>
      </c>
      <c r="AE340" s="305">
        <f t="shared" si="142"/>
        <v>0.7</v>
      </c>
      <c r="AF340" s="177">
        <f t="shared" si="143"/>
        <v>0.99963475600712215</v>
      </c>
      <c r="AG340" s="919">
        <f t="shared" si="149"/>
        <v>2</v>
      </c>
      <c r="AH340" s="176">
        <f t="shared" si="144"/>
        <v>8</v>
      </c>
      <c r="AI340" s="225">
        <f t="shared" si="145"/>
        <v>2.9996347560071221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1090">
        <f>IF(t&gt;Tmaj,'2026'!Wh/'2026'!Env_an*'2027'!Env_an,0.001*'[13]mon-tableau (3)'!$B$59)</f>
        <v>11.965185100800339</v>
      </c>
      <c r="C341" s="953"/>
      <c r="D341" s="393">
        <f t="shared" si="127"/>
        <v>12.910305031107747</v>
      </c>
      <c r="E341" s="385">
        <f t="shared" si="125"/>
        <v>13.371227323729057</v>
      </c>
      <c r="F341" s="385">
        <f t="shared" si="128"/>
        <v>13.373960899321107</v>
      </c>
      <c r="G341" s="110">
        <f t="shared" si="126"/>
        <v>0.43881019125150234</v>
      </c>
      <c r="H341" s="412" t="b">
        <f>Wh_hp&gt;='2026'!Maxi_hp</f>
        <v>0</v>
      </c>
      <c r="I341" s="390">
        <f>IF(H341,Wh_hp,'2026'!Maxi_hp)</f>
        <v>31.553325364511156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7.3206630519582205E-2</v>
      </c>
      <c r="M341" s="957"/>
      <c r="N341" s="957"/>
      <c r="O341" s="48">
        <f>IF(t&lt;Tnet,'2026'!Resal+('2026'!Salim-'2026'!Resal)*(1-EXP(('2026'!Tnet-t)/('2026'!Tau_j))),Resal+(Salim-Resal)*(1-EXP((Tnet-t)/(Tau_j))))*Salcycl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1.0280570794391859E-3</v>
      </c>
      <c r="Q341" s="305">
        <f t="shared" si="130"/>
        <v>0.7</v>
      </c>
      <c r="R341" s="177">
        <f t="shared" si="131"/>
        <v>0.47467003424109278</v>
      </c>
      <c r="S341" s="919">
        <f t="shared" si="132"/>
        <v>-1</v>
      </c>
      <c r="T341" s="176">
        <f t="shared" si="133"/>
        <v>5</v>
      </c>
      <c r="U341" s="251">
        <f t="shared" si="134"/>
        <v>-0.52532996575890722</v>
      </c>
      <c r="V341" s="383">
        <f t="shared" si="135"/>
        <v>27.244872747879402</v>
      </c>
      <c r="W341" s="402">
        <f t="shared" si="136"/>
        <v>11.965185100800339</v>
      </c>
      <c r="X341" s="157">
        <f t="shared" si="137"/>
        <v>46714</v>
      </c>
      <c r="Y341" s="385">
        <f t="shared" si="138"/>
        <v>11.494546849836077</v>
      </c>
      <c r="Z341" s="385">
        <f t="shared" si="139"/>
        <v>12.402491459644549</v>
      </c>
      <c r="AA341" s="386">
        <f t="shared" si="140"/>
        <v>13.320584659067768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6.8922890617886007E-2</v>
      </c>
      <c r="AD341" s="231">
        <f>(INDEX(Models!$BJ341:$BT341,,AH341)*(1-AF341)+INDEX(Models!$BJ341:$BT341,,AH341+1)*AF341-ERP_i)*AE341*Ramure*Pc/MaxiM</f>
        <v>2.0074009230212839E-2</v>
      </c>
      <c r="AE341" s="305">
        <f t="shared" si="142"/>
        <v>0.7</v>
      </c>
      <c r="AF341" s="177">
        <f t="shared" si="143"/>
        <v>0.99965760061507192</v>
      </c>
      <c r="AG341" s="919">
        <f t="shared" si="149"/>
        <v>2</v>
      </c>
      <c r="AH341" s="176">
        <f t="shared" si="144"/>
        <v>8</v>
      </c>
      <c r="AI341" s="225">
        <f t="shared" si="145"/>
        <v>2.9996576006150719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1090">
        <f>IF(t&gt;Tmaj,'2026'!Wh/'2026'!Env_an*'2027'!Env_an,0.001*'[13]mon-tableau (3)'!$B$60)</f>
        <v>14.133732339621789</v>
      </c>
      <c r="C342" s="953"/>
      <c r="D342" s="393">
        <f t="shared" si="127"/>
        <v>15.250478021155446</v>
      </c>
      <c r="E342" s="385">
        <f t="shared" si="125"/>
        <v>15.796535379267691</v>
      </c>
      <c r="F342" s="385">
        <f t="shared" si="128"/>
        <v>15.801936720059855</v>
      </c>
      <c r="G342" s="110">
        <f t="shared" si="126"/>
        <v>0.52277790030466487</v>
      </c>
      <c r="H342" s="412" t="b">
        <f>Wh_hp&gt;='2026'!Maxi_hp</f>
        <v>0</v>
      </c>
      <c r="I342" s="390">
        <f>IF(H342,Wh_hp,'2026'!Maxi_hp)</f>
        <v>29.21125181785667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7.3226929672926322E-2</v>
      </c>
      <c r="M342" s="957"/>
      <c r="N342" s="957"/>
      <c r="O342" s="48">
        <f>IF(t&lt;Tnet,'2026'!Resal+('2026'!Salim-'2026'!Resal)*(1-EXP(('2026'!Tnet-t)/('2026'!Tau_j))),Resal+(Salim-Resal)*(1-EXP((Tnet-t)/(Tau_j))))*Salcycl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1.0721923034776207E-3</v>
      </c>
      <c r="Q342" s="305">
        <f t="shared" si="130"/>
        <v>0.7</v>
      </c>
      <c r="R342" s="177">
        <f t="shared" si="131"/>
        <v>0.47469196102084088</v>
      </c>
      <c r="S342" s="919">
        <f t="shared" si="132"/>
        <v>-1</v>
      </c>
      <c r="T342" s="176">
        <f t="shared" si="133"/>
        <v>5</v>
      </c>
      <c r="U342" s="251">
        <f t="shared" si="134"/>
        <v>-0.52530803897915912</v>
      </c>
      <c r="V342" s="383">
        <f t="shared" si="135"/>
        <v>27.016072879000525</v>
      </c>
      <c r="W342" s="402">
        <f t="shared" si="136"/>
        <v>14.133732339621789</v>
      </c>
      <c r="X342" s="157">
        <f t="shared" si="137"/>
        <v>46715</v>
      </c>
      <c r="Y342" s="385">
        <f t="shared" si="138"/>
        <v>13.547492372995931</v>
      </c>
      <c r="Z342" s="385">
        <f t="shared" si="139"/>
        <v>14.61791759682313</v>
      </c>
      <c r="AA342" s="386">
        <f t="shared" si="140"/>
        <v>15.700738696664262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6.8966251891777811E-2</v>
      </c>
      <c r="AD342" s="231">
        <f>(INDEX(Models!$BJ342:$BT342,,AH342)*(1-AF342)+INDEX(Models!$BJ342:$BT342,,AH342+1)*AF342-ERP_i)*AE342*Ramure*Pc/MaxiM</f>
        <v>2.0088297699954519E-2</v>
      </c>
      <c r="AE342" s="305">
        <f t="shared" si="142"/>
        <v>0.7</v>
      </c>
      <c r="AF342" s="177">
        <f t="shared" si="143"/>
        <v>0.9996795273948198</v>
      </c>
      <c r="AG342" s="919">
        <f t="shared" si="149"/>
        <v>2</v>
      </c>
      <c r="AH342" s="176">
        <f t="shared" si="144"/>
        <v>8</v>
      </c>
      <c r="AI342" s="225">
        <f t="shared" si="145"/>
        <v>2.9996795273948198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1090">
        <f>IF(t&gt;Tmaj,'2026'!Wh/'2026'!Env_an*'2027'!Env_an,0.001*'[13]mon-tableau (3)'!$B$61)</f>
        <v>4.3472454931889741</v>
      </c>
      <c r="C343" s="953"/>
      <c r="D343" s="393">
        <f t="shared" si="127"/>
        <v>4.6908362470798313</v>
      </c>
      <c r="E343" s="385">
        <f t="shared" si="125"/>
        <v>4.8592859325430613</v>
      </c>
      <c r="F343" s="385">
        <f t="shared" si="128"/>
        <v>4.8592859325430613</v>
      </c>
      <c r="G343" s="110">
        <f t="shared" si="126"/>
        <v>0.1620673488228489</v>
      </c>
      <c r="H343" s="412" t="b">
        <f>Wh_hp&gt;='2026'!Maxi_hp</f>
        <v>0</v>
      </c>
      <c r="I343" s="390">
        <f>IF(H343,Wh_hp,'2026'!Maxi_hp)</f>
        <v>27.276647569608237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7.3247228381666862E-2</v>
      </c>
      <c r="M343" s="957"/>
      <c r="N343" s="957"/>
      <c r="O343" s="48">
        <f>IF(t&lt;Tnet,'2026'!Resal+('2026'!Salim-'2026'!Resal)*(1-EXP(('2026'!Tnet-t)/('2026'!Tau_j))),Resal+(Salim-Resal)*(1-EXP((Tnet-t)/(Tau_j))))*Salcycl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1.119971944825905E-3</v>
      </c>
      <c r="Q343" s="305">
        <f t="shared" si="130"/>
        <v>0.7</v>
      </c>
      <c r="R343" s="177">
        <f t="shared" si="131"/>
        <v>0.47471300677223816</v>
      </c>
      <c r="S343" s="919">
        <f t="shared" si="132"/>
        <v>-1</v>
      </c>
      <c r="T343" s="176">
        <f t="shared" si="133"/>
        <v>5</v>
      </c>
      <c r="U343" s="251">
        <f t="shared" si="134"/>
        <v>-0.52528699322776184</v>
      </c>
      <c r="V343" s="383">
        <f t="shared" si="135"/>
        <v>26.793655426213313</v>
      </c>
      <c r="W343" s="402">
        <f t="shared" si="136"/>
        <v>4.3472454931889741</v>
      </c>
      <c r="X343" s="157">
        <f t="shared" si="137"/>
        <v>46716</v>
      </c>
      <c r="Y343" s="385">
        <f t="shared" si="138"/>
        <v>4.1925770105382369</v>
      </c>
      <c r="Z343" s="385">
        <f t="shared" si="139"/>
        <v>4.5239433200906314</v>
      </c>
      <c r="AA343" s="386">
        <f t="shared" si="140"/>
        <v>4.8592859325430613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6.9010677105171295E-2</v>
      </c>
      <c r="AD343" s="231">
        <f>(INDEX(Models!$BJ343:$BT343,,AH343)*(1-AF343)+INDEX(Models!$BJ343:$BT343,,AH343+1)*AF343-ERP_i)*AE343*Ramure*Pc/MaxiM</f>
        <v>2.0069380244115531E-2</v>
      </c>
      <c r="AE343" s="305">
        <f t="shared" si="142"/>
        <v>0.7</v>
      </c>
      <c r="AF343" s="177">
        <f t="shared" si="143"/>
        <v>0.99970057314621696</v>
      </c>
      <c r="AG343" s="919">
        <f t="shared" si="149"/>
        <v>2</v>
      </c>
      <c r="AH343" s="176">
        <f t="shared" si="144"/>
        <v>8</v>
      </c>
      <c r="AI343" s="225">
        <f t="shared" si="145"/>
        <v>2.999700573146217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1090">
        <f>IF(t&gt;Tmaj,'2026'!Wh/'2026'!Env_an*'2027'!Env_an,0.001*'[13]mon-tableau (3)'!$B$62)</f>
        <v>13.485203030297868</v>
      </c>
      <c r="C344" s="953"/>
      <c r="D344" s="393">
        <f t="shared" si="127"/>
        <v>14.551344015700613</v>
      </c>
      <c r="E344" s="385">
        <f t="shared" si="125"/>
        <v>15.075414669402617</v>
      </c>
      <c r="F344" s="385">
        <f t="shared" si="128"/>
        <v>15.080648278349054</v>
      </c>
      <c r="G344" s="110">
        <f t="shared" si="126"/>
        <v>0.50696366957297234</v>
      </c>
      <c r="H344" s="412" t="b">
        <f>Wh_hp&gt;='2026'!Maxi_hp</f>
        <v>0</v>
      </c>
      <c r="I344" s="390">
        <f>IF(H344,Wh_hp,'2026'!Maxi_hp)</f>
        <v>27.777098112719983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7.3267526645813597E-2</v>
      </c>
      <c r="M344" s="957"/>
      <c r="N344" s="957"/>
      <c r="O344" s="48">
        <f>IF(t&lt;Tnet,'2026'!Resal+('2026'!Salim-'2026'!Resal)*(1-EXP(('2026'!Tnet-t)/('2026'!Tau_j))),Resal+(Salim-Resal)*(1-EXP((Tnet-t)/(Tau_j))))*Salcycl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1.1714076738111481E-3</v>
      </c>
      <c r="Q344" s="305">
        <f t="shared" si="130"/>
        <v>0.7</v>
      </c>
      <c r="R344" s="177">
        <f t="shared" si="131"/>
        <v>0.47473320682563647</v>
      </c>
      <c r="S344" s="919">
        <f t="shared" si="132"/>
        <v>-1</v>
      </c>
      <c r="T344" s="176">
        <f t="shared" si="133"/>
        <v>5</v>
      </c>
      <c r="U344" s="251">
        <f t="shared" si="134"/>
        <v>-0.52526679317436353</v>
      </c>
      <c r="V344" s="383">
        <f t="shared" si="135"/>
        <v>26.578003973055427</v>
      </c>
      <c r="W344" s="402">
        <f t="shared" si="136"/>
        <v>13.485203030297868</v>
      </c>
      <c r="X344" s="157">
        <f t="shared" si="137"/>
        <v>46717</v>
      </c>
      <c r="Y344" s="385">
        <f t="shared" si="138"/>
        <v>12.93346094075139</v>
      </c>
      <c r="Z344" s="385">
        <f t="shared" si="139"/>
        <v>13.955981162438851</v>
      </c>
      <c r="AA344" s="386">
        <f t="shared" si="140"/>
        <v>14.991217429272158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6.9056183843473784E-2</v>
      </c>
      <c r="AD344" s="231">
        <f>(INDEX(Models!$BJ344:$BT344,,AH344)*(1-AF344)+INDEX(Models!$BJ344:$BT344,,AH344+1)*AF344-ERP_i)*AE344*Ramure*Pc/MaxiM</f>
        <v>2.0016776942314071E-2</v>
      </c>
      <c r="AE344" s="305">
        <f t="shared" si="142"/>
        <v>0.7</v>
      </c>
      <c r="AF344" s="177">
        <f t="shared" si="143"/>
        <v>0.99972077319961539</v>
      </c>
      <c r="AG344" s="919">
        <f t="shared" si="149"/>
        <v>2</v>
      </c>
      <c r="AH344" s="176">
        <f t="shared" si="144"/>
        <v>8</v>
      </c>
      <c r="AI344" s="225">
        <f t="shared" si="145"/>
        <v>2.9997207731996154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1090">
        <f>IF(t&gt;Tmaj,'2026'!Wh/'2026'!Env_an*'2027'!Env_an,0.001*'[13]mon-tableau (3)'!$B$63)</f>
        <v>14.363720232893495</v>
      </c>
      <c r="C345" s="953"/>
      <c r="D345" s="393">
        <f t="shared" si="127"/>
        <v>15.499656324906933</v>
      </c>
      <c r="E345" s="385">
        <f t="shared" si="125"/>
        <v>16.059513691182019</v>
      </c>
      <c r="F345" s="385">
        <f t="shared" si="128"/>
        <v>16.066406261752562</v>
      </c>
      <c r="G345" s="110">
        <f t="shared" si="126"/>
        <v>0.54436799269206348</v>
      </c>
      <c r="H345" s="412" t="b">
        <f>Wh_hp&gt;='2026'!Maxi_hp</f>
        <v>0</v>
      </c>
      <c r="I345" s="390">
        <f>IF(H345,Wh_hp,'2026'!Maxi_hp)</f>
        <v>27.662208875171967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7.3287824465376183E-2</v>
      </c>
      <c r="M345" s="957"/>
      <c r="N345" s="957"/>
      <c r="O345" s="48">
        <f>IF(t&lt;Tnet,'2026'!Resal+('2026'!Salim-'2026'!Resal)*(1-EXP(('2026'!Tnet-t)/('2026'!Tau_j))),Resal+(Salim-Resal)*(1-EXP((Tnet-t)/(Tau_j))))*Salcycl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1.2267164275826118E-3</v>
      </c>
      <c r="Q345" s="305">
        <f t="shared" si="130"/>
        <v>0.7</v>
      </c>
      <c r="R345" s="177">
        <f t="shared" si="131"/>
        <v>0.47475259510009704</v>
      </c>
      <c r="S345" s="919">
        <f t="shared" si="132"/>
        <v>-1</v>
      </c>
      <c r="T345" s="176">
        <f t="shared" si="133"/>
        <v>5</v>
      </c>
      <c r="U345" s="251">
        <f t="shared" si="134"/>
        <v>-0.52524740489990296</v>
      </c>
      <c r="V345" s="383">
        <f t="shared" si="135"/>
        <v>26.364990972735274</v>
      </c>
      <c r="W345" s="402">
        <f t="shared" si="136"/>
        <v>14.363720232893495</v>
      </c>
      <c r="X345" s="157">
        <f t="shared" si="137"/>
        <v>46718</v>
      </c>
      <c r="Y345" s="385">
        <f t="shared" si="138"/>
        <v>13.763447940797501</v>
      </c>
      <c r="Z345" s="385">
        <f t="shared" si="139"/>
        <v>14.851912281024381</v>
      </c>
      <c r="AA345" s="386">
        <f t="shared" si="140"/>
        <v>15.954406186484139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6.9102785310414305E-2</v>
      </c>
      <c r="AD345" s="231">
        <f>(INDEX(Models!$BJ345:$BT345,,AH345)*(1-AF345)+INDEX(Models!$BJ345:$BT345,,AH345+1)*AF345-ERP_i)*AE345*Ramure*Pc/MaxiM</f>
        <v>1.9933395068813229E-2</v>
      </c>
      <c r="AE345" s="305">
        <f t="shared" si="142"/>
        <v>0.7</v>
      </c>
      <c r="AF345" s="177">
        <f t="shared" si="143"/>
        <v>0.99974016147407596</v>
      </c>
      <c r="AG345" s="919">
        <f t="shared" si="149"/>
        <v>2</v>
      </c>
      <c r="AH345" s="176">
        <f t="shared" si="144"/>
        <v>8</v>
      </c>
      <c r="AI345" s="225">
        <f t="shared" si="145"/>
        <v>2.999740161474076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1090">
        <f>IF(t&gt;Tmaj,'2026'!Wh/'2026'!Env_an*'2027'!Env_an,0.001*'[13]mon-tableau (3)'!$B$64)</f>
        <v>9.272599406731505</v>
      </c>
      <c r="C346" s="953"/>
      <c r="D346" s="393">
        <f t="shared" si="127"/>
        <v>10.006130004232293</v>
      </c>
      <c r="E346" s="385">
        <f t="shared" si="125"/>
        <v>10.368616596247112</v>
      </c>
      <c r="F346" s="385">
        <f t="shared" si="128"/>
        <v>10.36965361510952</v>
      </c>
      <c r="G346" s="110">
        <f t="shared" si="126"/>
        <v>0.35415413131432655</v>
      </c>
      <c r="H346" s="412" t="b">
        <f>Wh_hp&gt;='2026'!Maxi_hp</f>
        <v>0</v>
      </c>
      <c r="I346" s="390">
        <f>IF(H346,Wh_hp,'2026'!Maxi_hp)</f>
        <v>20.343286490073936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7.3308121840364504E-2</v>
      </c>
      <c r="M346" s="957"/>
      <c r="N346" s="957"/>
      <c r="O346" s="48">
        <f>IF(t&lt;Tnet,'2026'!Resal+('2026'!Salim-'2026'!Resal)*(1-EXP(('2026'!Tnet-t)/('2026'!Tau_j))),Resal+(Salim-Resal)*(1-EXP((Tnet-t)/(Tau_j))))*Salcycl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1.2827390768290446E-3</v>
      </c>
      <c r="Q346" s="305">
        <f t="shared" si="130"/>
        <v>0.7</v>
      </c>
      <c r="R346" s="177">
        <f t="shared" si="131"/>
        <v>0.47477120415933183</v>
      </c>
      <c r="S346" s="919">
        <f t="shared" si="132"/>
        <v>-1</v>
      </c>
      <c r="T346" s="176">
        <f t="shared" si="133"/>
        <v>5</v>
      </c>
      <c r="U346" s="251">
        <f t="shared" si="134"/>
        <v>-0.52522879584066817</v>
      </c>
      <c r="V346" s="383">
        <f t="shared" si="135"/>
        <v>26.151413955473608</v>
      </c>
      <c r="W346" s="402">
        <f t="shared" si="136"/>
        <v>9.272599406731505</v>
      </c>
      <c r="X346" s="157">
        <f t="shared" si="137"/>
        <v>46719</v>
      </c>
      <c r="Y346" s="385">
        <f t="shared" si="138"/>
        <v>8.9311534612512578</v>
      </c>
      <c r="Z346" s="385">
        <f t="shared" si="139"/>
        <v>9.6376731810664928</v>
      </c>
      <c r="AA346" s="386">
        <f t="shared" si="140"/>
        <v>10.353631904108182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6.9150490347025653E-2</v>
      </c>
      <c r="AD346" s="231">
        <f>(INDEX(Models!$BJ346:$BT346,,AH346)*(1-AF346)+INDEX(Models!$BJ346:$BT346,,AH346+1)*AF346-ERP_i)*AE346*Ramure*Pc/MaxiM</f>
        <v>1.9818033715729145E-2</v>
      </c>
      <c r="AE346" s="305">
        <f t="shared" si="142"/>
        <v>0.7</v>
      </c>
      <c r="AF346" s="177">
        <f t="shared" si="143"/>
        <v>0.99975877053331086</v>
      </c>
      <c r="AG346" s="919">
        <f t="shared" si="149"/>
        <v>2</v>
      </c>
      <c r="AH346" s="176">
        <f t="shared" si="144"/>
        <v>8</v>
      </c>
      <c r="AI346" s="225">
        <f t="shared" si="145"/>
        <v>2.9997587705333109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1090">
        <f>IF(t&gt;Tmaj,'2026'!Wh/'2026'!Env_an*'2027'!Env_an,0.001*'[13]mon-tableau (3)'!$B$65)</f>
        <v>13.046523614962693</v>
      </c>
      <c r="C347" s="953"/>
      <c r="D347" s="393">
        <f t="shared" si="127"/>
        <v>14.078907651032887</v>
      </c>
      <c r="E347" s="385">
        <f t="shared" si="125"/>
        <v>14.590433030852589</v>
      </c>
      <c r="F347" s="385">
        <f t="shared" si="128"/>
        <v>14.596090510970463</v>
      </c>
      <c r="G347" s="110">
        <f t="shared" si="126"/>
        <v>0.50249223526606868</v>
      </c>
      <c r="H347" s="412" t="b">
        <f>Wh_hp&gt;='2026'!Maxi_hp</f>
        <v>0</v>
      </c>
      <c r="I347" s="390">
        <f>IF(H347,Wh_hp,'2026'!Maxi_hp)</f>
        <v>29.549892661364552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7.3328418770788217E-2</v>
      </c>
      <c r="M347" s="957"/>
      <c r="N347" s="957"/>
      <c r="O347" s="48">
        <f>IF(t&lt;Tnet,'2026'!Resal+('2026'!Salim-'2026'!Resal)*(1-EXP(('2026'!Tnet-t)/('2026'!Tau_j))),Resal+(Salim-Resal)*(1-EXP((Tnet-t)/(Tau_j))))*Salcycl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1.336758848656844E-3</v>
      </c>
      <c r="Q347" s="305">
        <f t="shared" si="130"/>
        <v>0.7</v>
      </c>
      <c r="R347" s="177">
        <f t="shared" si="131"/>
        <v>0.47478906526546094</v>
      </c>
      <c r="S347" s="919">
        <f t="shared" si="132"/>
        <v>-1</v>
      </c>
      <c r="T347" s="176">
        <f t="shared" si="133"/>
        <v>5</v>
      </c>
      <c r="U347" s="251">
        <f t="shared" si="134"/>
        <v>-0.52521093473453906</v>
      </c>
      <c r="V347" s="383">
        <f t="shared" si="135"/>
        <v>25.938979166086749</v>
      </c>
      <c r="W347" s="402">
        <f t="shared" si="136"/>
        <v>13.046523614962693</v>
      </c>
      <c r="X347" s="157">
        <f t="shared" si="137"/>
        <v>46720</v>
      </c>
      <c r="Y347" s="385">
        <f t="shared" si="138"/>
        <v>12.517919051743283</v>
      </c>
      <c r="Z347" s="385">
        <f t="shared" si="139"/>
        <v>13.508474097304793</v>
      </c>
      <c r="AA347" s="386">
        <f t="shared" si="140"/>
        <v>14.512746012943271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6.9199303477289087E-2</v>
      </c>
      <c r="AD347" s="231">
        <f>(INDEX(Models!$BJ347:$BT347,,AH347)*(1-AF347)+INDEX(Models!$BJ347:$BT347,,AH347+1)*AF347-ERP_i)*AE347*Ramure*Pc/MaxiM</f>
        <v>1.9692777155811636E-2</v>
      </c>
      <c r="AE347" s="305">
        <f t="shared" si="142"/>
        <v>0.7</v>
      </c>
      <c r="AF347" s="177">
        <f t="shared" si="143"/>
        <v>0.99977663163944008</v>
      </c>
      <c r="AG347" s="919">
        <f t="shared" si="149"/>
        <v>2</v>
      </c>
      <c r="AH347" s="176">
        <f t="shared" si="144"/>
        <v>8</v>
      </c>
      <c r="AI347" s="225">
        <f t="shared" si="145"/>
        <v>2.9997766316394401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1090">
        <f>IF(t&gt;Tmaj,'2026'!Wh/'2026'!Env_an*'2027'!Env_an,0.001*'[13]mon-tableau (3)'!$B$66)</f>
        <v>4.2434633550311567</v>
      </c>
      <c r="C348" s="953"/>
      <c r="D348" s="393">
        <f t="shared" si="127"/>
        <v>4.5793530154188264</v>
      </c>
      <c r="E348" s="385">
        <f t="shared" si="125"/>
        <v>4.7462224307096799</v>
      </c>
      <c r="F348" s="385">
        <f t="shared" si="128"/>
        <v>4.7462224307096799</v>
      </c>
      <c r="G348" s="110">
        <f t="shared" si="126"/>
        <v>0.16469810421649897</v>
      </c>
      <c r="H348" s="412" t="b">
        <f>Wh_hp&gt;='2026'!Maxi_hp</f>
        <v>0</v>
      </c>
      <c r="I348" s="390">
        <f>IF(H348,Wh_hp,'2026'!Maxi_hp)</f>
        <v>27.333508248606524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7.3348715256657093E-2</v>
      </c>
      <c r="M348" s="957"/>
      <c r="N348" s="957"/>
      <c r="O348" s="48">
        <f>IF(t&lt;Tnet,'2026'!Resal+('2026'!Salim-'2026'!Resal)*(1-EXP(('2026'!Tnet-t)/('2026'!Tau_j))),Resal+(Salim-Resal)*(1-EXP((Tnet-t)/(Tau_j))))*Salcycl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1.388703616232773E-3</v>
      </c>
      <c r="Q348" s="305">
        <f t="shared" si="130"/>
        <v>0.7</v>
      </c>
      <c r="R348" s="177">
        <f t="shared" si="131"/>
        <v>0.47480620843067012</v>
      </c>
      <c r="S348" s="919">
        <f t="shared" si="132"/>
        <v>-1</v>
      </c>
      <c r="T348" s="176">
        <f t="shared" si="133"/>
        <v>5</v>
      </c>
      <c r="U348" s="251">
        <f t="shared" si="134"/>
        <v>-0.52519379156932988</v>
      </c>
      <c r="V348" s="383">
        <f t="shared" si="135"/>
        <v>25.729321307513668</v>
      </c>
      <c r="W348" s="402">
        <f t="shared" si="136"/>
        <v>4.2434633550311567</v>
      </c>
      <c r="X348" s="157">
        <f t="shared" si="137"/>
        <v>46721</v>
      </c>
      <c r="Y348" s="385">
        <f t="shared" si="138"/>
        <v>4.0935285736235807</v>
      </c>
      <c r="Z348" s="385">
        <f t="shared" si="139"/>
        <v>4.4175502058008549</v>
      </c>
      <c r="AA348" s="386">
        <f t="shared" si="140"/>
        <v>4.7462224307096799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6.9249224979892041E-2</v>
      </c>
      <c r="AD348" s="231">
        <f>(INDEX(Models!$BJ348:$BT348,,AH348)*(1-AF348)+INDEX(Models!$BJ348:$BT348,,AH348+1)*AF348-ERP_i)*AE348*Ramure*Pc/MaxiM</f>
        <v>1.9556269001955284E-2</v>
      </c>
      <c r="AE348" s="305">
        <f t="shared" si="142"/>
        <v>0.7</v>
      </c>
      <c r="AF348" s="177">
        <f t="shared" si="143"/>
        <v>0.99979377480464882</v>
      </c>
      <c r="AG348" s="919">
        <f t="shared" si="149"/>
        <v>2</v>
      </c>
      <c r="AH348" s="176">
        <f t="shared" si="144"/>
        <v>8</v>
      </c>
      <c r="AI348" s="225">
        <f t="shared" si="145"/>
        <v>2.9997937748046488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1090">
        <f>IF(t&gt;Tmaj,'2026'!Wh/'2026'!Env_an*'2027'!Env_an,0.001*'[14]mon-tableau (2)'!$B$38)</f>
        <v>3.4319456097808207</v>
      </c>
      <c r="C349" s="953"/>
      <c r="D349" s="393">
        <f t="shared" si="127"/>
        <v>3.7036810247282226</v>
      </c>
      <c r="E349" s="385">
        <f t="shared" si="125"/>
        <v>3.8390386005873331</v>
      </c>
      <c r="F349" s="385">
        <f t="shared" si="128"/>
        <v>3.8390386005873331</v>
      </c>
      <c r="G349" s="110">
        <f t="shared" si="126"/>
        <v>0.13426574290823778</v>
      </c>
      <c r="H349" s="412" t="b">
        <f>Wh_hp&gt;='2026'!Maxi_hp</f>
        <v>0</v>
      </c>
      <c r="I349" s="390">
        <f>IF(H349,Wh_hp,'2026'!Maxi_hp)</f>
        <v>28.263329653266126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7.3369011297980791E-2</v>
      </c>
      <c r="M349" s="957"/>
      <c r="N349" s="957"/>
      <c r="O349" s="48">
        <f>IF(t&lt;Tnet,'2026'!Resal+('2026'!Salim-'2026'!Resal)*(1-EXP(('2026'!Tnet-t)/('2026'!Tau_j))),Resal+(Salim-Resal)*(1-EXP((Tnet-t)/(Tau_j))))*Salcycl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1.4384826083561077E-3</v>
      </c>
      <c r="Q349" s="305">
        <f t="shared" si="130"/>
        <v>0.7</v>
      </c>
      <c r="R349" s="177">
        <f t="shared" si="131"/>
        <v>0.47482266246684557</v>
      </c>
      <c r="S349" s="919">
        <f t="shared" si="132"/>
        <v>-1</v>
      </c>
      <c r="T349" s="176">
        <f t="shared" si="133"/>
        <v>5</v>
      </c>
      <c r="U349" s="251">
        <f t="shared" si="134"/>
        <v>-0.52517733753315443</v>
      </c>
      <c r="V349" s="383">
        <f t="shared" si="135"/>
        <v>25.524074432377528</v>
      </c>
      <c r="W349" s="402">
        <f t="shared" si="136"/>
        <v>3.4319456097808207</v>
      </c>
      <c r="X349" s="157">
        <f t="shared" si="137"/>
        <v>46722</v>
      </c>
      <c r="Y349" s="385">
        <f t="shared" si="138"/>
        <v>3.3108453523841601</v>
      </c>
      <c r="Z349" s="385">
        <f t="shared" si="139"/>
        <v>3.5729922620242127</v>
      </c>
      <c r="AA349" s="386">
        <f t="shared" si="140"/>
        <v>3.8390386005873331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6.9300250985342496E-2</v>
      </c>
      <c r="AD349" s="231">
        <f>(INDEX(Models!$BJ349:$BT349,,AH349)*(1-AF349)+INDEX(Models!$BJ349:$BT349,,AH349+1)*AF349-ERP_i)*AE349*Ramure*Pc/MaxiM</f>
        <v>1.9407116222513794E-2</v>
      </c>
      <c r="AE349" s="305">
        <f t="shared" si="142"/>
        <v>0.7</v>
      </c>
      <c r="AF349" s="177">
        <f t="shared" si="143"/>
        <v>0.9998102288408246</v>
      </c>
      <c r="AG349" s="919">
        <f t="shared" si="149"/>
        <v>2</v>
      </c>
      <c r="AH349" s="176">
        <f t="shared" si="144"/>
        <v>8</v>
      </c>
      <c r="AI349" s="225">
        <f t="shared" si="145"/>
        <v>2.9998102288408246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1090">
        <f>IF(t&gt;Tmaj,'2026'!Wh/'2026'!Env_an*'2027'!Env_an,0.001*'[14]mon-tableau (2)'!$B$39)</f>
        <v>6.4814678755097725</v>
      </c>
      <c r="C350" s="953"/>
      <c r="D350" s="393">
        <f t="shared" si="127"/>
        <v>6.9948123022293913</v>
      </c>
      <c r="E350" s="385">
        <f t="shared" si="125"/>
        <v>7.2512036595842613</v>
      </c>
      <c r="F350" s="385">
        <f t="shared" si="128"/>
        <v>7.2512036595842613</v>
      </c>
      <c r="G350" s="110">
        <f t="shared" si="126"/>
        <v>0.25555258552510168</v>
      </c>
      <c r="H350" s="412" t="b">
        <f>Wh_hp&gt;='2026'!Maxi_hp</f>
        <v>0</v>
      </c>
      <c r="I350" s="390">
        <f>IF(H350,Wh_hp,'2026'!Maxi_hp)</f>
        <v>11.458603807529059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7.338930689476908E-2</v>
      </c>
      <c r="M350" s="957"/>
      <c r="N350" s="957"/>
      <c r="O350" s="48">
        <f>IF(t&lt;Tnet,'2026'!Resal+('2026'!Salim-'2026'!Resal)*(1-EXP(('2026'!Tnet-t)/('2026'!Tau_j))),Resal+(Salim-Resal)*(1-EXP((Tnet-t)/(Tau_j))))*Salcycl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1.4859869784740614E-3</v>
      </c>
      <c r="Q350" s="305">
        <f t="shared" si="130"/>
        <v>0.7</v>
      </c>
      <c r="R350" s="177">
        <f t="shared" si="131"/>
        <v>0.47483845503326749</v>
      </c>
      <c r="S350" s="919">
        <f t="shared" si="132"/>
        <v>-1</v>
      </c>
      <c r="T350" s="176">
        <f t="shared" si="133"/>
        <v>5</v>
      </c>
      <c r="U350" s="251">
        <f t="shared" si="134"/>
        <v>-0.52516154496673251</v>
      </c>
      <c r="V350" s="383">
        <f t="shared" si="135"/>
        <v>25.324871925467843</v>
      </c>
      <c r="W350" s="402">
        <f t="shared" si="136"/>
        <v>6.4814678755097725</v>
      </c>
      <c r="X350" s="157">
        <f t="shared" si="137"/>
        <v>46723</v>
      </c>
      <c r="Y350" s="385">
        <f t="shared" si="138"/>
        <v>6.2530612789832674</v>
      </c>
      <c r="Z350" s="385">
        <f t="shared" si="139"/>
        <v>6.7483154743533014</v>
      </c>
      <c r="AA350" s="386">
        <f t="shared" si="140"/>
        <v>7.2512036595842613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6.9352373597487998E-2</v>
      </c>
      <c r="AD350" s="231">
        <f>(INDEX(Models!$BJ350:$BT350,,AH350)*(1-AF350)+INDEX(Models!$BJ350:$BT350,,AH350+1)*AF350-ERP_i)*AE350*Ramure*Pc/MaxiM</f>
        <v>1.9243898598174658E-2</v>
      </c>
      <c r="AE350" s="305">
        <f t="shared" si="142"/>
        <v>0.7</v>
      </c>
      <c r="AF350" s="177">
        <f t="shared" si="143"/>
        <v>0.9998260214072463</v>
      </c>
      <c r="AG350" s="919">
        <f t="shared" si="149"/>
        <v>2</v>
      </c>
      <c r="AH350" s="176">
        <f t="shared" si="144"/>
        <v>8</v>
      </c>
      <c r="AI350" s="225">
        <f t="shared" si="145"/>
        <v>2.9998260214072463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1090">
        <f>IF(t&gt;Tmaj,'2026'!Wh/'2026'!Env_an*'2027'!Env_an,0.001*'[14]mon-tableau (2)'!$B$40)</f>
        <v>7.2947225871032808</v>
      </c>
      <c r="C351" s="953"/>
      <c r="D351" s="393">
        <f t="shared" si="127"/>
        <v>7.8726507453766486</v>
      </c>
      <c r="E351" s="385">
        <f t="shared" si="125"/>
        <v>8.1620707400393666</v>
      </c>
      <c r="F351" s="385">
        <f t="shared" si="128"/>
        <v>8.1620707400393666</v>
      </c>
      <c r="G351" s="110">
        <f t="shared" si="126"/>
        <v>0.2897964147211507</v>
      </c>
      <c r="H351" s="412" t="b">
        <f>Wh_hp&gt;='2026'!Maxi_hp</f>
        <v>0</v>
      </c>
      <c r="I351" s="390">
        <f>IF(H351,Wh_hp,'2026'!Maxi_hp)</f>
        <v>16.674095051480148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7.340960204703173E-2</v>
      </c>
      <c r="M351" s="957"/>
      <c r="N351" s="957"/>
      <c r="O351" s="48">
        <f>IF(t&lt;Tnet,'2026'!Resal+('2026'!Salim-'2026'!Resal)*(1-EXP(('2026'!Tnet-t)/('2026'!Tau_j))),Resal+(Salim-Resal)*(1-EXP((Tnet-t)/(Tau_j))))*Salcycl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1.5310906222791387E-3</v>
      </c>
      <c r="Q351" s="305">
        <f t="shared" si="130"/>
        <v>0.7</v>
      </c>
      <c r="R351" s="177">
        <f t="shared" si="131"/>
        <v>0.47485361268243009</v>
      </c>
      <c r="S351" s="919">
        <f t="shared" si="132"/>
        <v>-1</v>
      </c>
      <c r="T351" s="176">
        <f t="shared" si="133"/>
        <v>5</v>
      </c>
      <c r="U351" s="251">
        <f t="shared" si="134"/>
        <v>-0.52514638731756991</v>
      </c>
      <c r="V351" s="383">
        <f t="shared" si="135"/>
        <v>25.133346500392197</v>
      </c>
      <c r="W351" s="402">
        <f t="shared" si="136"/>
        <v>7.2947225871032808</v>
      </c>
      <c r="X351" s="157">
        <f t="shared" si="137"/>
        <v>46724</v>
      </c>
      <c r="Y351" s="385">
        <f t="shared" si="138"/>
        <v>7.0379891578847964</v>
      </c>
      <c r="Z351" s="385">
        <f t="shared" si="139"/>
        <v>7.5955774778512541</v>
      </c>
      <c r="AA351" s="386">
        <f t="shared" si="140"/>
        <v>8.1620707400393666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6.9405581038296665E-2</v>
      </c>
      <c r="AD351" s="231">
        <f>(INDEX(Models!$BJ351:$BT351,,AH351)*(1-AF351)+INDEX(Models!$BJ351:$BT351,,AH351+1)*AF351-ERP_i)*AE351*Ramure*Pc/MaxiM</f>
        <v>1.9065180712742217E-2</v>
      </c>
      <c r="AE351" s="305">
        <f t="shared" si="142"/>
        <v>0.7</v>
      </c>
      <c r="AF351" s="177">
        <f t="shared" si="143"/>
        <v>0.99984117905640879</v>
      </c>
      <c r="AG351" s="919">
        <f t="shared" si="149"/>
        <v>2</v>
      </c>
      <c r="AH351" s="176">
        <f t="shared" si="144"/>
        <v>8</v>
      </c>
      <c r="AI351" s="225">
        <f t="shared" si="145"/>
        <v>2.9998411790564088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1090">
        <f>IF(t&gt;Tmaj,'2026'!Wh/'2026'!Env_an*'2027'!Env_an,0.001*'[14]mon-tableau (2)'!$B$41)</f>
        <v>20.217101699819196</v>
      </c>
      <c r="C352" s="953"/>
      <c r="D352" s="393">
        <f t="shared" si="127"/>
        <v>21.819289904790548</v>
      </c>
      <c r="E352" s="385">
        <f t="shared" si="125"/>
        <v>22.623797630375723</v>
      </c>
      <c r="F352" s="385">
        <f t="shared" si="128"/>
        <v>22.649753873623613</v>
      </c>
      <c r="G352" s="110">
        <f t="shared" si="126"/>
        <v>0.80992105071538323</v>
      </c>
      <c r="H352" s="412" t="b">
        <f>Wh_hp&gt;='2026'!Maxi_hp</f>
        <v>0</v>
      </c>
      <c r="I352" s="390">
        <f>IF(H352,Wh_hp,'2026'!Maxi_hp)</f>
        <v>22.658034231771587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7.3429896754778512E-2</v>
      </c>
      <c r="M352" s="957"/>
      <c r="N352" s="957"/>
      <c r="O352" s="48">
        <f>IF(t&lt;Tnet,'2026'!Resal+('2026'!Salim-'2026'!Resal)*(1-EXP(('2026'!Tnet-t)/('2026'!Tau_j))),Resal+(Salim-Resal)*(1-EXP((Tnet-t)/(Tau_j))))*Salcycl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1.5720963200112539E-3</v>
      </c>
      <c r="Q352" s="305">
        <f t="shared" si="130"/>
        <v>0.7</v>
      </c>
      <c r="R352" s="177">
        <f t="shared" si="131"/>
        <v>0.47486816090406503</v>
      </c>
      <c r="S352" s="919">
        <f t="shared" si="132"/>
        <v>-1</v>
      </c>
      <c r="T352" s="176">
        <f t="shared" si="133"/>
        <v>5</v>
      </c>
      <c r="U352" s="251">
        <f t="shared" si="134"/>
        <v>-0.52513183909593497</v>
      </c>
      <c r="V352" s="383">
        <f t="shared" si="135"/>
        <v>24.951169044413071</v>
      </c>
      <c r="W352" s="402">
        <f t="shared" si="136"/>
        <v>20.217101699819196</v>
      </c>
      <c r="X352" s="157">
        <f t="shared" si="137"/>
        <v>46725</v>
      </c>
      <c r="Y352" s="385">
        <f t="shared" si="138"/>
        <v>19.260128169660199</v>
      </c>
      <c r="Z352" s="385">
        <f t="shared" si="139"/>
        <v>20.786477032016766</v>
      </c>
      <c r="AA352" s="386">
        <f t="shared" si="140"/>
        <v>22.338076660721686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6.9459857814580153E-2</v>
      </c>
      <c r="AD352" s="231">
        <f>(INDEX(Models!$BJ352:$BT352,,AH352)*(1-AF352)+INDEX(Models!$BJ352:$BT352,,AH352+1)*AF352-ERP_i)*AE352*Ramure*Pc/MaxiM</f>
        <v>1.887740821177189E-2</v>
      </c>
      <c r="AE352" s="305">
        <f t="shared" si="142"/>
        <v>0.7</v>
      </c>
      <c r="AF352" s="177">
        <f t="shared" si="143"/>
        <v>0.99985572727804417</v>
      </c>
      <c r="AG352" s="919">
        <f t="shared" si="149"/>
        <v>2</v>
      </c>
      <c r="AH352" s="176">
        <f t="shared" si="144"/>
        <v>8</v>
      </c>
      <c r="AI352" s="225">
        <f t="shared" si="145"/>
        <v>2.9998557272780442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1090">
        <f>IF(t&gt;Tmaj,'2026'!Wh/'2026'!Env_an*'2027'!Env_an,0.001*'[14]mon-tableau (2)'!$B$42)</f>
        <v>25.669555007393448</v>
      </c>
      <c r="C353" s="953"/>
      <c r="D353" s="393">
        <f t="shared" si="127"/>
        <v>27.704452322533108</v>
      </c>
      <c r="E353" s="385">
        <f t="shared" si="125"/>
        <v>28.728978287826166</v>
      </c>
      <c r="F353" s="385">
        <f t="shared" si="128"/>
        <v>28.775249573433708</v>
      </c>
      <c r="G353" s="110">
        <f t="shared" si="126"/>
        <v>1.0358984992438316</v>
      </c>
      <c r="H353" s="412" t="b">
        <f>Wh_hp&gt;='2026'!Maxi_hp</f>
        <v>1</v>
      </c>
      <c r="I353" s="390">
        <f>IF(H353,Wh_hp,'2026'!Maxi_hp)</f>
        <v>28.775249573433708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7.3450191018019084E-2</v>
      </c>
      <c r="M353" s="957"/>
      <c r="N353" s="957"/>
      <c r="O353" s="48">
        <f>IF(t&lt;Tnet,'2026'!Resal+('2026'!Salim-'2026'!Resal)*(1-EXP(('2026'!Tnet-t)/('2026'!Tau_j))),Resal+(Salim-Resal)*(1-EXP((Tnet-t)/(Tau_j))))*Salcycl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1.6080237806264097E-3</v>
      </c>
      <c r="Q353" s="305">
        <f t="shared" si="130"/>
        <v>0.7</v>
      </c>
      <c r="R353" s="177">
        <f t="shared" si="131"/>
        <v>0.47488212416743403</v>
      </c>
      <c r="S353" s="919">
        <f t="shared" si="132"/>
        <v>-1</v>
      </c>
      <c r="T353" s="176">
        <f t="shared" si="133"/>
        <v>5</v>
      </c>
      <c r="U353" s="251">
        <f t="shared" si="134"/>
        <v>-0.52511787583256597</v>
      </c>
      <c r="V353" s="383">
        <f t="shared" si="135"/>
        <v>24.77999053587904</v>
      </c>
      <c r="W353" s="402">
        <f t="shared" si="136"/>
        <v>25.669555007393448</v>
      </c>
      <c r="X353" s="157">
        <f t="shared" si="137"/>
        <v>46726</v>
      </c>
      <c r="Y353" s="385">
        <f t="shared" si="138"/>
        <v>24.344667098236737</v>
      </c>
      <c r="Z353" s="385">
        <f t="shared" si="139"/>
        <v>26.274536848682445</v>
      </c>
      <c r="AA353" s="386">
        <f t="shared" si="140"/>
        <v>28.237469781819865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6.9515184905172167E-2</v>
      </c>
      <c r="AD353" s="231">
        <f>(INDEX(Models!$BJ353:$BT353,,AH353)*(1-AF353)+INDEX(Models!$BJ353:$BT353,,AH353+1)*AF353-ERP_i)*AE353*Ramure*Pc/MaxiM</f>
        <v>1.8688970541904205E-2</v>
      </c>
      <c r="AE353" s="305">
        <f t="shared" si="142"/>
        <v>0.7</v>
      </c>
      <c r="AF353" s="177">
        <f t="shared" si="143"/>
        <v>0.99986969054141284</v>
      </c>
      <c r="AG353" s="919">
        <f t="shared" si="149"/>
        <v>2</v>
      </c>
      <c r="AH353" s="176">
        <f t="shared" si="144"/>
        <v>8</v>
      </c>
      <c r="AI353" s="225">
        <f t="shared" si="145"/>
        <v>2.9998696905414128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1090">
        <f>IF(t&gt;Tmaj,'2026'!Wh/'2026'!Env_an*'2027'!Env_an,0.001*'[14]mon-tableau (2)'!$B$43)</f>
        <v>11.200425533279594</v>
      </c>
      <c r="C354" s="953"/>
      <c r="D354" s="393">
        <f t="shared" si="127"/>
        <v>12.088579316662452</v>
      </c>
      <c r="E354" s="385">
        <f t="shared" si="125"/>
        <v>12.536946763174159</v>
      </c>
      <c r="F354" s="385">
        <f t="shared" si="128"/>
        <v>12.54149468641018</v>
      </c>
      <c r="G354" s="110">
        <f t="shared" si="126"/>
        <v>0.45432466725838638</v>
      </c>
      <c r="H354" s="412" t="b">
        <f>Wh_hp&gt;='2026'!Maxi_hp</f>
        <v>0</v>
      </c>
      <c r="I354" s="390">
        <f>IF(H354,Wh_hp,'2026'!Maxi_hp)</f>
        <v>23.022498392650729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7.3470484836763217E-2</v>
      </c>
      <c r="M354" s="957"/>
      <c r="N354" s="957"/>
      <c r="O354" s="48">
        <f>IF(t&lt;Tnet,'2026'!Resal+('2026'!Salim-'2026'!Resal)*(1-EXP(('2026'!Tnet-t)/('2026'!Tau_j))),Resal+(Salim-Resal)*(1-EXP((Tnet-t)/(Tau_j))))*Salcycl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1.6386847660475553E-3</v>
      </c>
      <c r="Q354" s="305">
        <f t="shared" si="130"/>
        <v>0.7</v>
      </c>
      <c r="R354" s="177">
        <f t="shared" si="131"/>
        <v>0.47489552596195694</v>
      </c>
      <c r="S354" s="919">
        <f t="shared" si="132"/>
        <v>-1</v>
      </c>
      <c r="T354" s="176">
        <f t="shared" si="133"/>
        <v>5</v>
      </c>
      <c r="U354" s="251">
        <f t="shared" si="134"/>
        <v>-0.52510447403804306</v>
      </c>
      <c r="V354" s="383">
        <f t="shared" si="135"/>
        <v>24.621441007351539</v>
      </c>
      <c r="W354" s="402">
        <f t="shared" si="136"/>
        <v>11.200425533279594</v>
      </c>
      <c r="X354" s="157">
        <f t="shared" si="137"/>
        <v>46727</v>
      </c>
      <c r="Y354" s="385">
        <f t="shared" si="138"/>
        <v>10.767380400312481</v>
      </c>
      <c r="Z354" s="385">
        <f t="shared" si="139"/>
        <v>11.621195249689887</v>
      </c>
      <c r="AA354" s="386">
        <f t="shared" si="140"/>
        <v>12.490154535123278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6.9571539966924278E-2</v>
      </c>
      <c r="AD354" s="231">
        <f>(INDEX(Models!$BJ354:$BT354,,AH354)*(1-AF354)+INDEX(Models!$BJ354:$BT354,,AH354+1)*AF354-ERP_i)*AE354*Ramure*Pc/MaxiM</f>
        <v>1.8498624412582286E-2</v>
      </c>
      <c r="AE354" s="305">
        <f t="shared" si="142"/>
        <v>0.7</v>
      </c>
      <c r="AF354" s="177">
        <f t="shared" si="143"/>
        <v>0.99988309233593586</v>
      </c>
      <c r="AG354" s="919">
        <f t="shared" si="149"/>
        <v>2</v>
      </c>
      <c r="AH354" s="176">
        <f t="shared" si="144"/>
        <v>8</v>
      </c>
      <c r="AI354" s="225">
        <f t="shared" si="145"/>
        <v>2.9998830923359359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1090">
        <f>IF(t&gt;Tmaj,'2026'!Wh/'2026'!Env_an*'2027'!Env_an,0.001*'[14]mon-tableau (2)'!$B$44)</f>
        <v>20.120392028709364</v>
      </c>
      <c r="C355" s="953"/>
      <c r="D355" s="393">
        <f t="shared" si="127"/>
        <v>21.716342973747498</v>
      </c>
      <c r="E355" s="385">
        <f t="shared" si="125"/>
        <v>22.524196053396359</v>
      </c>
      <c r="F355" s="385">
        <f t="shared" si="128"/>
        <v>22.552178805870948</v>
      </c>
      <c r="G355" s="110">
        <f t="shared" si="126"/>
        <v>0.82165893278176183</v>
      </c>
      <c r="H355" s="412" t="b">
        <f>Wh_hp&gt;='2026'!Maxi_hp</f>
        <v>0</v>
      </c>
      <c r="I355" s="390">
        <f>IF(H355,Wh_hp,'2026'!Maxi_hp)</f>
        <v>23.615013833101326</v>
      </c>
      <c r="J355" s="85">
        <f>IF(H355,An,'2026'!An_max)</f>
        <v>2018</v>
      </c>
      <c r="K355" s="197">
        <f t="shared" si="129"/>
        <v>46728</v>
      </c>
      <c r="L355" s="147">
        <f>IF(t&lt;Tvie,1-EXP((T0-t)*PertePVj)+'2026'!Pspv,1-EXP((T0-t)*PertePVj)+Pspv)</f>
        <v>7.3490778211020569E-2</v>
      </c>
      <c r="M355" s="957"/>
      <c r="N355" s="957"/>
      <c r="O355" s="48">
        <f>IF(t&lt;Tnet,'2026'!Resal+('2026'!Salim-'2026'!Resal)*(1-EXP(('2026'!Tnet-t)/('2026'!Tau_j))),Resal+(Salim-Resal)*(1-EXP((Tnet-t)/(Tau_j))))*Salcycl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1.663885809985057E-3</v>
      </c>
      <c r="Q355" s="305">
        <f t="shared" si="130"/>
        <v>0.7</v>
      </c>
      <c r="R355" s="177">
        <f t="shared" si="131"/>
        <v>0.47490838883624198</v>
      </c>
      <c r="S355" s="919">
        <f t="shared" si="132"/>
        <v>-1</v>
      </c>
      <c r="T355" s="176">
        <f t="shared" si="133"/>
        <v>5</v>
      </c>
      <c r="U355" s="251">
        <f t="shared" si="134"/>
        <v>-0.52509161116375802</v>
      </c>
      <c r="V355" s="383">
        <f t="shared" si="135"/>
        <v>24.477149832335975</v>
      </c>
      <c r="W355" s="402">
        <f t="shared" si="136"/>
        <v>20.120392028709364</v>
      </c>
      <c r="X355" s="157">
        <f t="shared" si="137"/>
        <v>46728</v>
      </c>
      <c r="Y355" s="385">
        <f t="shared" si="138"/>
        <v>19.174553125125559</v>
      </c>
      <c r="Z355" s="385">
        <f t="shared" si="139"/>
        <v>20.695480060200342</v>
      </c>
      <c r="AA355" s="386">
        <f t="shared" si="140"/>
        <v>22.244328102919319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6.9628897557742264E-2</v>
      </c>
      <c r="AD355" s="231">
        <f>(INDEX(Models!$BJ355:$BT355,,AH355)*(1-AF355)+INDEX(Models!$BJ355:$BT355,,AH355+1)*AF355-ERP_i)*AE355*Ramure*Pc/MaxiM</f>
        <v>1.8305147669097906E-2</v>
      </c>
      <c r="AE355" s="305">
        <f t="shared" si="142"/>
        <v>0.7</v>
      </c>
      <c r="AF355" s="177">
        <f t="shared" si="143"/>
        <v>0.99989595521022112</v>
      </c>
      <c r="AG355" s="919">
        <f t="shared" si="149"/>
        <v>2</v>
      </c>
      <c r="AH355" s="176">
        <f t="shared" si="144"/>
        <v>8</v>
      </c>
      <c r="AI355" s="225">
        <f t="shared" si="145"/>
        <v>2.9998959552102211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1090">
        <f>IF(t&gt;Tmaj,'2026'!Wh/'2026'!Env_an*'2027'!Env_an,0.001*'[14]mon-tableau (2)'!$B$45)</f>
        <v>4.614423878515991</v>
      </c>
      <c r="C356" s="953"/>
      <c r="D356" s="393">
        <f t="shared" si="127"/>
        <v>4.9805493997621824</v>
      </c>
      <c r="E356" s="385">
        <f t="shared" si="125"/>
        <v>5.1663773969066753</v>
      </c>
      <c r="F356" s="385">
        <f t="shared" si="128"/>
        <v>5.1663773969066753</v>
      </c>
      <c r="G356" s="110">
        <f t="shared" si="126"/>
        <v>0.1891947887130758</v>
      </c>
      <c r="H356" s="412" t="b">
        <f>Wh_hp&gt;='2026'!Maxi_hp</f>
        <v>0</v>
      </c>
      <c r="I356" s="390">
        <f>IF(H356,Wh_hp,'2026'!Maxi_hp)</f>
        <v>18.625313050324355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7.3511071140801021E-2</v>
      </c>
      <c r="M356" s="957"/>
      <c r="N356" s="957"/>
      <c r="O356" s="48">
        <f>IF(t&lt;Tnet,'2026'!Resal+('2026'!Salim-'2026'!Resal)*(1-EXP(('2026'!Tnet-t)/('2026'!Tau_j))),Resal+(Salim-Resal)*(1-EXP((Tnet-t)/(Tau_j))))*Salcycl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1.6834328705407477E-3</v>
      </c>
      <c r="Q356" s="305">
        <f t="shared" si="130"/>
        <v>0.7</v>
      </c>
      <c r="R356" s="177">
        <f t="shared" si="131"/>
        <v>0.47492073443557614</v>
      </c>
      <c r="S356" s="919">
        <f t="shared" si="132"/>
        <v>-1</v>
      </c>
      <c r="T356" s="176">
        <f t="shared" si="133"/>
        <v>5</v>
      </c>
      <c r="U356" s="251">
        <f t="shared" si="134"/>
        <v>-0.52507926556442386</v>
      </c>
      <c r="V356" s="383">
        <f t="shared" si="135"/>
        <v>24.348745739855094</v>
      </c>
      <c r="W356" s="402">
        <f t="shared" si="136"/>
        <v>4.614423878515991</v>
      </c>
      <c r="X356" s="157">
        <f t="shared" si="137"/>
        <v>46729</v>
      </c>
      <c r="Y356" s="385">
        <f t="shared" si="138"/>
        <v>4.4530271635083238</v>
      </c>
      <c r="Z356" s="385">
        <f t="shared" si="139"/>
        <v>4.8063468702118319</v>
      </c>
      <c r="AA356" s="386">
        <f t="shared" si="140"/>
        <v>5.1663773969066753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6.9687229374766235E-2</v>
      </c>
      <c r="AD356" s="231">
        <f>(INDEX(Models!$BJ356:$BT356,,AH356)*(1-AF356)+INDEX(Models!$BJ356:$BT356,,AH356+1)*AF356-ERP_i)*AE356*Ramure*Pc/MaxiM</f>
        <v>1.8107349783193574E-2</v>
      </c>
      <c r="AE356" s="305">
        <f t="shared" si="142"/>
        <v>0.7</v>
      </c>
      <c r="AF356" s="177">
        <f t="shared" si="143"/>
        <v>0.99990830080955506</v>
      </c>
      <c r="AG356" s="919">
        <f t="shared" si="149"/>
        <v>2</v>
      </c>
      <c r="AH356" s="176">
        <f t="shared" si="144"/>
        <v>8</v>
      </c>
      <c r="AI356" s="225">
        <f t="shared" si="145"/>
        <v>2.9999083008095551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1090">
        <f>IF(t&gt;Tmaj,'2026'!Wh/'2026'!Env_an*'2027'!Env_an,0.001*'[14]mon-tableau (2)'!$B$46)</f>
        <v>5.6184631175044624</v>
      </c>
      <c r="C357" s="953"/>
      <c r="D357" s="393">
        <f t="shared" si="127"/>
        <v>6.0643856650070926</v>
      </c>
      <c r="E357" s="385">
        <f t="shared" si="125"/>
        <v>6.291325142141206</v>
      </c>
      <c r="F357" s="385">
        <f t="shared" si="128"/>
        <v>6.291325142141206</v>
      </c>
      <c r="G357" s="110">
        <f t="shared" si="126"/>
        <v>0.23141187220635351</v>
      </c>
      <c r="H357" s="412" t="b">
        <f>Wh_hp&gt;='2026'!Maxi_hp</f>
        <v>0</v>
      </c>
      <c r="I357" s="390">
        <f>IF(H357,Wh_hp,'2026'!Maxi_hp)</f>
        <v>9.4747658981708156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7.3531363626114121E-2</v>
      </c>
      <c r="M357" s="957"/>
      <c r="N357" s="957"/>
      <c r="O357" s="48">
        <f>IF(t&lt;Tnet,'2026'!Resal+('2026'!Salim-'2026'!Resal)*(1-EXP(('2026'!Tnet-t)/('2026'!Tau_j))),Resal+(Salim-Resal)*(1-EXP((Tnet-t)/(Tau_j))))*Salcycl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1.6971364699666282E-3</v>
      </c>
      <c r="Q357" s="305">
        <f t="shared" si="130"/>
        <v>0.7</v>
      </c>
      <c r="R357" s="177">
        <f t="shared" si="131"/>
        <v>0.4749325835379361</v>
      </c>
      <c r="S357" s="919">
        <f t="shared" si="132"/>
        <v>-1</v>
      </c>
      <c r="T357" s="176">
        <f t="shared" si="133"/>
        <v>5</v>
      </c>
      <c r="U357" s="251">
        <f t="shared" si="134"/>
        <v>-0.5250674164620639</v>
      </c>
      <c r="V357" s="383">
        <f t="shared" si="135"/>
        <v>24.237856793453609</v>
      </c>
      <c r="W357" s="402">
        <f t="shared" si="136"/>
        <v>5.6184631175044624</v>
      </c>
      <c r="X357" s="157">
        <f t="shared" si="137"/>
        <v>46730</v>
      </c>
      <c r="Y357" s="385">
        <f t="shared" si="138"/>
        <v>5.4221828987425491</v>
      </c>
      <c r="Z357" s="385">
        <f t="shared" si="139"/>
        <v>5.8525272047680756</v>
      </c>
      <c r="AA357" s="386">
        <f t="shared" si="140"/>
        <v>6.291325142141206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6.9746504505692863E-2</v>
      </c>
      <c r="AD357" s="231">
        <f>(INDEX(Models!$BJ357:$BT357,,AH357)*(1-AF357)+INDEX(Models!$BJ357:$BT357,,AH357+1)*AF357-ERP_i)*AE357*Ramure*Pc/MaxiM</f>
        <v>1.7904084021442689E-2</v>
      </c>
      <c r="AE357" s="305">
        <f t="shared" si="142"/>
        <v>0.7</v>
      </c>
      <c r="AF357" s="177">
        <f t="shared" si="143"/>
        <v>0.99992014991191525</v>
      </c>
      <c r="AG357" s="919">
        <f t="shared" si="149"/>
        <v>2</v>
      </c>
      <c r="AH357" s="176">
        <f t="shared" si="144"/>
        <v>8</v>
      </c>
      <c r="AI357" s="225">
        <f t="shared" si="145"/>
        <v>2.9999201499119152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1090">
        <f>IF(t&gt;Tmaj,'2026'!Wh/'2026'!Env_an*'2027'!Env_an,0.001*'[14]mon-tableau (2)'!$B$47)</f>
        <v>13.998455034979244</v>
      </c>
      <c r="C358" s="953"/>
      <c r="D358" s="393">
        <f t="shared" si="127"/>
        <v>15.109806305560435</v>
      </c>
      <c r="E358" s="385">
        <f t="shared" si="125"/>
        <v>15.676922997261185</v>
      </c>
      <c r="F358" s="385">
        <f t="shared" si="128"/>
        <v>15.687610850116204</v>
      </c>
      <c r="G358" s="110">
        <f t="shared" si="126"/>
        <v>0.57914576281001218</v>
      </c>
      <c r="H358" s="412" t="b">
        <f>Wh_hp&gt;='2026'!Maxi_hp</f>
        <v>0</v>
      </c>
      <c r="I358" s="390">
        <f>IF(H358,Wh_hp,'2026'!Maxi_hp)</f>
        <v>22.134135091685113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7.3551655666969862E-2</v>
      </c>
      <c r="M358" s="957"/>
      <c r="N358" s="957"/>
      <c r="O358" s="48">
        <f>IF(t&lt;Tnet,'2026'!Resal+('2026'!Salim-'2026'!Resal)*(1-EXP(('2026'!Tnet-t)/('2026'!Tau_j))),Resal+(Salim-Resal)*(1-EXP((Tnet-t)/(Tau_j))))*Salcycl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1.7048172620146671E-3</v>
      </c>
      <c r="Q358" s="305">
        <f t="shared" si="130"/>
        <v>0.7</v>
      </c>
      <c r="R358" s="177">
        <f t="shared" si="131"/>
        <v>0.47494395608858064</v>
      </c>
      <c r="S358" s="919">
        <f t="shared" si="132"/>
        <v>-1</v>
      </c>
      <c r="T358" s="176">
        <f t="shared" si="133"/>
        <v>5</v>
      </c>
      <c r="U358" s="251">
        <f t="shared" si="134"/>
        <v>-0.52505604391141936</v>
      </c>
      <c r="V358" s="383">
        <f t="shared" si="135"/>
        <v>24.146110358853658</v>
      </c>
      <c r="W358" s="402">
        <f t="shared" si="136"/>
        <v>13.998455034979244</v>
      </c>
      <c r="X358" s="157">
        <f t="shared" si="137"/>
        <v>46731</v>
      </c>
      <c r="Y358" s="385">
        <f t="shared" si="138"/>
        <v>13.42361139955573</v>
      </c>
      <c r="Z358" s="385">
        <f t="shared" si="139"/>
        <v>14.489325262078884</v>
      </c>
      <c r="AA358" s="386">
        <f t="shared" si="140"/>
        <v>15.576681859029993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6.9806689691152363E-2</v>
      </c>
      <c r="AD358" s="231">
        <f>(INDEX(Models!$BJ358:$BT358,,AH358)*(1-AF358)+INDEX(Models!$BJ358:$BT358,,AH358+1)*AF358-ERP_i)*AE358*Ramure*Pc/MaxiM</f>
        <v>1.7694261085641944E-2</v>
      </c>
      <c r="AE358" s="305">
        <f t="shared" si="142"/>
        <v>0.7</v>
      </c>
      <c r="AF358" s="177">
        <f t="shared" si="143"/>
        <v>0.99993152246255956</v>
      </c>
      <c r="AG358" s="919">
        <f t="shared" si="149"/>
        <v>2</v>
      </c>
      <c r="AH358" s="176">
        <f t="shared" si="144"/>
        <v>8</v>
      </c>
      <c r="AI358" s="225">
        <f t="shared" si="145"/>
        <v>2.9999315224625596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1090">
        <f>IF(t&gt;Tmaj,'2026'!Wh/'2026'!Env_an*'2027'!Env_an,0.001*'[14]mon-tableau (2)'!$B$48)</f>
        <v>17.065792909421745</v>
      </c>
      <c r="C359" s="953"/>
      <c r="D359" s="393">
        <f t="shared" si="127"/>
        <v>18.421066653811099</v>
      </c>
      <c r="E359" s="385">
        <f t="shared" si="125"/>
        <v>19.114523356962113</v>
      </c>
      <c r="F359" s="385">
        <f t="shared" si="128"/>
        <v>19.133598997959236</v>
      </c>
      <c r="G359" s="110">
        <f t="shared" si="126"/>
        <v>0.70844295540865776</v>
      </c>
      <c r="H359" s="412" t="b">
        <f>Wh_hp&gt;='2026'!Maxi_hp</f>
        <v>0</v>
      </c>
      <c r="I359" s="390">
        <f>IF(H359,Wh_hp,'2026'!Maxi_hp)</f>
        <v>23.016717284204159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7.3571947263377679E-2</v>
      </c>
      <c r="M359" s="957"/>
      <c r="N359" s="957"/>
      <c r="O359" s="48">
        <f>IF(t&lt;Tnet,'2026'!Resal+('2026'!Salim-'2026'!Resal)*(1-EXP(('2026'!Tnet-t)/('2026'!Tau_j))),Resal+(Salim-Resal)*(1-EXP((Tnet-t)/(Tau_j))))*Salcycl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1.7065303643919796E-3</v>
      </c>
      <c r="Q359" s="305">
        <f t="shared" si="130"/>
        <v>0.7</v>
      </c>
      <c r="R359" s="177">
        <f t="shared" si="131"/>
        <v>0.47495487123327207</v>
      </c>
      <c r="S359" s="919">
        <f t="shared" si="132"/>
        <v>-1</v>
      </c>
      <c r="T359" s="176">
        <f t="shared" si="133"/>
        <v>5</v>
      </c>
      <c r="U359" s="251">
        <f t="shared" si="134"/>
        <v>-0.52504512876672793</v>
      </c>
      <c r="V359" s="383">
        <f t="shared" si="135"/>
        <v>24.072046308617981</v>
      </c>
      <c r="W359" s="402">
        <f t="shared" si="136"/>
        <v>17.065792909421745</v>
      </c>
      <c r="X359" s="157">
        <f t="shared" si="137"/>
        <v>46732</v>
      </c>
      <c r="Y359" s="385">
        <f t="shared" si="138"/>
        <v>16.31907326006349</v>
      </c>
      <c r="Z359" s="385">
        <f t="shared" si="139"/>
        <v>17.615046534760861</v>
      </c>
      <c r="AA359" s="386">
        <f t="shared" si="140"/>
        <v>18.938217148270642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6.9867749595986059E-2</v>
      </c>
      <c r="AD359" s="231">
        <f>(INDEX(Models!$BJ359:$BT359,,AH359)*(1-AF359)+INDEX(Models!$BJ359:$BT359,,AH359+1)*AF359-ERP_i)*AE359*Ramure*Pc/MaxiM</f>
        <v>1.7479101184331127E-2</v>
      </c>
      <c r="AE359" s="305">
        <f t="shared" si="142"/>
        <v>0.7</v>
      </c>
      <c r="AF359" s="177">
        <f t="shared" si="143"/>
        <v>0.99994243760725077</v>
      </c>
      <c r="AG359" s="919">
        <f t="shared" si="149"/>
        <v>2</v>
      </c>
      <c r="AH359" s="176">
        <f t="shared" si="144"/>
        <v>8</v>
      </c>
      <c r="AI359" s="225">
        <f t="shared" si="145"/>
        <v>2.9999424376072508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1090">
        <f>IF(t&gt;Tmaj,'2026'!Wh/'2026'!Env_an*'2027'!Env_an,0.001*'[14]mon-tableau (2)'!$B$49)</f>
        <v>5.03939922001212</v>
      </c>
      <c r="C360" s="953"/>
      <c r="D360" s="393">
        <f t="shared" si="127"/>
        <v>5.4397204222383175</v>
      </c>
      <c r="E360" s="385">
        <f t="shared" si="125"/>
        <v>5.645107319020739</v>
      </c>
      <c r="F360" s="385">
        <f t="shared" si="128"/>
        <v>5.645107319020739</v>
      </c>
      <c r="G360" s="110">
        <f t="shared" si="126"/>
        <v>0.20950568564422903</v>
      </c>
      <c r="H360" s="412" t="b">
        <f>Wh_hp&gt;='2026'!Maxi_hp</f>
        <v>0</v>
      </c>
      <c r="I360" s="390">
        <f>IF(H360,Wh_hp,'2026'!Maxi_hp)</f>
        <v>26.632515874966092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7.3592238415347566E-2</v>
      </c>
      <c r="M360" s="957"/>
      <c r="N360" s="957"/>
      <c r="O360" s="48">
        <f>IF(t&lt;Tnet,'2026'!Resal+('2026'!Salim-'2026'!Resal)*(1-EXP(('2026'!Tnet-t)/('2026'!Tau_j))),Resal+(Salim-Resal)*(1-EXP((Tnet-t)/(Tau_j))))*Salcycl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1.7024514339822863E-3</v>
      </c>
      <c r="Q360" s="305">
        <f t="shared" si="130"/>
        <v>0.7</v>
      </c>
      <c r="R360" s="177">
        <f t="shared" si="131"/>
        <v>0.4749653473501867</v>
      </c>
      <c r="S360" s="919">
        <f t="shared" si="132"/>
        <v>-1</v>
      </c>
      <c r="T360" s="176">
        <f t="shared" si="133"/>
        <v>5</v>
      </c>
      <c r="U360" s="251">
        <f t="shared" si="134"/>
        <v>-0.5250346526498133</v>
      </c>
      <c r="V360" s="383">
        <f t="shared" si="135"/>
        <v>24.012808397604356</v>
      </c>
      <c r="W360" s="402">
        <f t="shared" si="136"/>
        <v>5.03939922001212</v>
      </c>
      <c r="X360" s="157">
        <f t="shared" si="137"/>
        <v>46733</v>
      </c>
      <c r="Y360" s="385">
        <f t="shared" si="138"/>
        <v>4.8639621714510799</v>
      </c>
      <c r="Z360" s="385">
        <f t="shared" si="139"/>
        <v>5.2503469564321277</v>
      </c>
      <c r="AA360" s="386">
        <f t="shared" si="140"/>
        <v>5.645107319020739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6.9929647087221505E-2</v>
      </c>
      <c r="AD360" s="231">
        <f>(INDEX(Models!$BJ360:$BT360,,AH360)*(1-AF360)+INDEX(Models!$BJ360:$BT360,,AH360+1)*AF360-ERP_i)*AE360*Ramure*Pc/MaxiM</f>
        <v>1.726081934833355E-2</v>
      </c>
      <c r="AE360" s="305">
        <f t="shared" si="142"/>
        <v>0.7</v>
      </c>
      <c r="AF360" s="177">
        <f t="shared" si="143"/>
        <v>0.99995291372416562</v>
      </c>
      <c r="AG360" s="919">
        <f t="shared" si="149"/>
        <v>2</v>
      </c>
      <c r="AH360" s="176">
        <f t="shared" si="144"/>
        <v>8</v>
      </c>
      <c r="AI360" s="225">
        <f t="shared" si="145"/>
        <v>2.9999529137241656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1090">
        <f>IF(t&gt;Tmaj,'2026'!Wh/'2026'!Env_an*'2027'!Env_an,0.001*'[14]mon-tableau (2)'!$B$50)</f>
        <v>5.5249033870900996</v>
      </c>
      <c r="C361" s="953"/>
      <c r="D361" s="393">
        <f t="shared" si="127"/>
        <v>5.9639228301080944</v>
      </c>
      <c r="E361" s="385">
        <f t="shared" ref="E361:E379" si="150">Wh_pvt/(1-Psa)</f>
        <v>6.1897728093220792</v>
      </c>
      <c r="F361" s="385">
        <f t="shared" si="128"/>
        <v>6.1897728093220792</v>
      </c>
      <c r="G361" s="110">
        <f t="shared" ref="G361:G379" si="151">+Wh_hp/MaxiM</f>
        <v>0.23012216788599021</v>
      </c>
      <c r="H361" s="412" t="b">
        <f>Wh_hp&gt;='2026'!Maxi_hp</f>
        <v>0</v>
      </c>
      <c r="I361" s="390">
        <f>IF(H361,Wh_hp,'2026'!Maxi_hp)</f>
        <v>27.848923412804474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7.361252912288907E-2</v>
      </c>
      <c r="M361" s="957"/>
      <c r="N361" s="957"/>
      <c r="O361" s="48">
        <f>IF(t&lt;Tnet,'2026'!Resal+('2026'!Salim-'2026'!Resal)*(1-EXP(('2026'!Tnet-t)/('2026'!Tau_j))),Resal+(Salim-Resal)*(1-EXP((Tnet-t)/(Tau_j))))*Salcycl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1.6969865289828137E-3</v>
      </c>
      <c r="Q361" s="305">
        <f t="shared" si="130"/>
        <v>0.7</v>
      </c>
      <c r="R361" s="177">
        <f t="shared" si="131"/>
        <v>0.47497540208056266</v>
      </c>
      <c r="S361" s="919">
        <f t="shared" si="132"/>
        <v>-1</v>
      </c>
      <c r="T361" s="176">
        <f t="shared" si="133"/>
        <v>5</v>
      </c>
      <c r="U361" s="251">
        <f t="shared" si="134"/>
        <v>-0.52502459791943734</v>
      </c>
      <c r="V361" s="383">
        <f t="shared" si="135"/>
        <v>23.967824356673201</v>
      </c>
      <c r="W361" s="402">
        <f t="shared" si="136"/>
        <v>5.5249033870900996</v>
      </c>
      <c r="X361" s="157">
        <f t="shared" si="137"/>
        <v>46734</v>
      </c>
      <c r="Y361" s="385">
        <f t="shared" si="138"/>
        <v>5.3327829229187307</v>
      </c>
      <c r="Z361" s="385">
        <f t="shared" si="139"/>
        <v>5.7565361045628238</v>
      </c>
      <c r="AA361" s="386">
        <f t="shared" si="140"/>
        <v>6.1897728093220792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6.9992343516515107E-2</v>
      </c>
      <c r="AD361" s="231">
        <f>(INDEX(Models!$BJ361:$BT361,,AH361)*(1-AF361)+INDEX(Models!$BJ361:$BT361,,AH361+1)*AF361-ERP_i)*AE361*Ramure*Pc/MaxiM</f>
        <v>1.7054735884141012E-2</v>
      </c>
      <c r="AE361" s="305">
        <f t="shared" si="142"/>
        <v>0.7</v>
      </c>
      <c r="AF361" s="177">
        <f t="shared" si="143"/>
        <v>0.99996296845454147</v>
      </c>
      <c r="AG361" s="919">
        <f t="shared" si="149"/>
        <v>2</v>
      </c>
      <c r="AH361" s="176">
        <f t="shared" si="144"/>
        <v>8</v>
      </c>
      <c r="AI361" s="225">
        <f t="shared" si="145"/>
        <v>2.9999629684545415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1090">
        <f>IF(t&gt;Tmaj,'2026'!Wh/'2026'!Env_an*'2027'!Env_an,0.001*'[14]mon-tableau (2)'!$B$51)</f>
        <v>16.973872879275497</v>
      </c>
      <c r="C362" s="953"/>
      <c r="D362" s="393">
        <f t="shared" si="127"/>
        <v>18.323050767002954</v>
      </c>
      <c r="E362" s="385">
        <f t="shared" si="150"/>
        <v>19.019000362846764</v>
      </c>
      <c r="F362" s="385">
        <f t="shared" si="128"/>
        <v>19.037806302434344</v>
      </c>
      <c r="G362" s="110">
        <f t="shared" si="151"/>
        <v>0.70861858619934404</v>
      </c>
      <c r="H362" s="412" t="b">
        <f>Wh_hp&gt;='2026'!Maxi_hp</f>
        <v>0</v>
      </c>
      <c r="I362" s="390">
        <f>IF(H362,Wh_hp,'2026'!Maxi_hp)</f>
        <v>27.918333223458241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7.3632819386012072E-2</v>
      </c>
      <c r="M362" s="957"/>
      <c r="N362" s="957"/>
      <c r="O362" s="48">
        <f>IF(t&lt;Tnet,'2026'!Resal+('2026'!Salim-'2026'!Resal)*(1-EXP(('2026'!Tnet-t)/('2026'!Tau_j))),Resal+(Salim-Resal)*(1-EXP((Tnet-t)/(Tau_j))))*Salcycl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1.6901627186778933E-3</v>
      </c>
      <c r="Q362" s="305">
        <f t="shared" si="130"/>
        <v>0.7</v>
      </c>
      <c r="R362" s="177">
        <f t="shared" si="131"/>
        <v>0.47498505235813204</v>
      </c>
      <c r="S362" s="919">
        <f t="shared" si="132"/>
        <v>-1</v>
      </c>
      <c r="T362" s="176">
        <f t="shared" si="133"/>
        <v>5</v>
      </c>
      <c r="U362" s="251">
        <f t="shared" si="134"/>
        <v>-0.52501494764186796</v>
      </c>
      <c r="V362" s="383">
        <f t="shared" si="135"/>
        <v>23.936628191741466</v>
      </c>
      <c r="W362" s="402">
        <f t="shared" si="136"/>
        <v>16.973872879275497</v>
      </c>
      <c r="X362" s="157">
        <f t="shared" si="137"/>
        <v>46735</v>
      </c>
      <c r="Y362" s="385">
        <f t="shared" si="138"/>
        <v>16.23887429051485</v>
      </c>
      <c r="Z362" s="385">
        <f t="shared" si="139"/>
        <v>17.529630399634698</v>
      </c>
      <c r="AA362" s="386">
        <f t="shared" si="140"/>
        <v>18.850195937428722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7.0055799004822325E-2</v>
      </c>
      <c r="AD362" s="231">
        <f>(INDEX(Models!$BJ362:$BT362,,AH362)*(1-AF362)+INDEX(Models!$BJ362:$BT362,,AH362+1)*AF362-ERP_i)*AE362*Ramure*Pc/MaxiM</f>
        <v>1.6861271041171647E-2</v>
      </c>
      <c r="AE362" s="305">
        <f t="shared" si="142"/>
        <v>0.7</v>
      </c>
      <c r="AF362" s="177">
        <f t="shared" si="143"/>
        <v>0.99997261873211096</v>
      </c>
      <c r="AG362" s="919">
        <f t="shared" si="149"/>
        <v>2</v>
      </c>
      <c r="AH362" s="176">
        <f t="shared" si="144"/>
        <v>8</v>
      </c>
      <c r="AI362" s="225">
        <f t="shared" si="145"/>
        <v>2.999972618732111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1090">
        <f>IF(t&gt;Tmaj,'2026'!Wh/'2026'!Env_an*'2027'!Env_an,0.001*'[14]mon-tableau (2)'!$B$52)</f>
        <v>7.1087424798303447</v>
      </c>
      <c r="C363" s="953"/>
      <c r="D363" s="393">
        <f t="shared" si="127"/>
        <v>7.6739529764356966</v>
      </c>
      <c r="E363" s="385">
        <f t="shared" si="150"/>
        <v>7.9662947898585363</v>
      </c>
      <c r="F363" s="385">
        <f t="shared" si="128"/>
        <v>7.9662947898585363</v>
      </c>
      <c r="G363" s="110">
        <f t="shared" si="151"/>
        <v>0.2967038104593101</v>
      </c>
      <c r="H363" s="412" t="b">
        <f>Wh_hp&gt;='2026'!Maxi_hp</f>
        <v>0</v>
      </c>
      <c r="I363" s="390">
        <f>IF(H363,Wh_hp,'2026'!Maxi_hp)</f>
        <v>27.64680505166011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7.365310920472623E-2</v>
      </c>
      <c r="M363" s="957"/>
      <c r="N363" s="957"/>
      <c r="O363" s="48">
        <f>IF(t&lt;Tnet,'2026'!Resal+('2026'!Salim-'2026'!Resal)*(1-EXP(('2026'!Tnet-t)/('2026'!Tau_j))),Resal+(Salim-Resal)*(1-EXP((Tnet-t)/(Tau_j))))*Salcycl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1.6820106082346233E-3</v>
      </c>
      <c r="Q363" s="305">
        <f t="shared" si="130"/>
        <v>0.7</v>
      </c>
      <c r="R363" s="177">
        <f t="shared" si="131"/>
        <v>0.47499431443738849</v>
      </c>
      <c r="S363" s="919">
        <f t="shared" si="132"/>
        <v>-1</v>
      </c>
      <c r="T363" s="176">
        <f t="shared" si="133"/>
        <v>5</v>
      </c>
      <c r="U363" s="251">
        <f t="shared" si="134"/>
        <v>-0.52500568556261151</v>
      </c>
      <c r="V363" s="383">
        <f t="shared" si="135"/>
        <v>23.918754156146285</v>
      </c>
      <c r="W363" s="402">
        <f t="shared" si="136"/>
        <v>7.1087424798303447</v>
      </c>
      <c r="X363" s="157">
        <f t="shared" si="137"/>
        <v>46736</v>
      </c>
      <c r="Y363" s="385">
        <f t="shared" si="138"/>
        <v>6.8620983960348223</v>
      </c>
      <c r="Z363" s="385">
        <f t="shared" si="139"/>
        <v>7.4076984164578716</v>
      </c>
      <c r="AA363" s="386">
        <f t="shared" si="140"/>
        <v>7.9662947898585363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7.0119972727068047E-2</v>
      </c>
      <c r="AD363" s="231">
        <f>(INDEX(Models!$BJ363:$BT363,,AH363)*(1-AF363)+INDEX(Models!$BJ363:$BT363,,AH363+1)*AF363-ERP_i)*AE363*Ramure*Pc/MaxiM</f>
        <v>1.6680810533061363E-2</v>
      </c>
      <c r="AE363" s="305">
        <f t="shared" si="142"/>
        <v>0.7</v>
      </c>
      <c r="AF363" s="177">
        <f t="shared" si="143"/>
        <v>0.99998188081136741</v>
      </c>
      <c r="AG363" s="919">
        <f t="shared" si="149"/>
        <v>2</v>
      </c>
      <c r="AH363" s="176">
        <f t="shared" si="144"/>
        <v>8</v>
      </c>
      <c r="AI363" s="225">
        <f t="shared" si="145"/>
        <v>2.9999818808113674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1090">
        <f>IF(t&gt;Tmaj,'2026'!Wh/'2026'!Env_an*'2027'!Env_an,0.001*'[14]mon-tableau (2)'!$B$53)</f>
        <v>4.8287764252917675</v>
      </c>
      <c r="C364" s="953"/>
      <c r="D364" s="393">
        <f t="shared" si="127"/>
        <v>5.2128227969320555</v>
      </c>
      <c r="E364" s="385">
        <f t="shared" si="150"/>
        <v>5.4119984098064133</v>
      </c>
      <c r="F364" s="385">
        <f t="shared" si="128"/>
        <v>5.4119984098064133</v>
      </c>
      <c r="G364" s="110">
        <f t="shared" si="151"/>
        <v>0.20158706434183976</v>
      </c>
      <c r="H364" s="412" t="b">
        <f>Wh_hp&gt;='2026'!Maxi_hp</f>
        <v>0</v>
      </c>
      <c r="I364" s="390">
        <f>IF(H364,Wh_hp,'2026'!Maxi_hp)</f>
        <v>27.611155388131891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7.3673398579041316E-2</v>
      </c>
      <c r="M364" s="957"/>
      <c r="N364" s="957"/>
      <c r="O364" s="48">
        <f>IF(t&lt;Tnet,'2026'!Resal+('2026'!Salim-'2026'!Resal)*(1-EXP(('2026'!Tnet-t)/('2026'!Tau_j))),Resal+(Salim-Resal)*(1-EXP((Tnet-t)/(Tau_j))))*Salcycl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1.6725640663480883E-3</v>
      </c>
      <c r="Q364" s="305">
        <f t="shared" si="130"/>
        <v>0.7</v>
      </c>
      <c r="R364" s="177">
        <f t="shared" si="131"/>
        <v>0.4750032039207337</v>
      </c>
      <c r="S364" s="919">
        <f t="shared" si="132"/>
        <v>-1</v>
      </c>
      <c r="T364" s="176">
        <f t="shared" si="133"/>
        <v>5</v>
      </c>
      <c r="U364" s="251">
        <f t="shared" si="134"/>
        <v>-0.5249967960792663</v>
      </c>
      <c r="V364" s="383">
        <f t="shared" si="135"/>
        <v>23.913736742471379</v>
      </c>
      <c r="W364" s="402">
        <f t="shared" si="136"/>
        <v>4.8287764252917675</v>
      </c>
      <c r="X364" s="157">
        <f t="shared" si="137"/>
        <v>46737</v>
      </c>
      <c r="Y364" s="385">
        <f t="shared" si="138"/>
        <v>4.661422057209176</v>
      </c>
      <c r="Z364" s="385">
        <f t="shared" si="139"/>
        <v>5.032158258284591</v>
      </c>
      <c r="AA364" s="386">
        <f t="shared" si="140"/>
        <v>5.4119984098064133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7.0184823194618953E-2</v>
      </c>
      <c r="AD364" s="231">
        <f>(INDEX(Models!$BJ364:$BT364,,AH364)*(1-AF364)+INDEX(Models!$BJ364:$BT364,,AH364+1)*AF364-ERP_i)*AE364*Ramure*Pc/MaxiM</f>
        <v>1.651370549763876E-2</v>
      </c>
      <c r="AE364" s="305">
        <f t="shared" si="142"/>
        <v>0.7</v>
      </c>
      <c r="AF364" s="177">
        <f t="shared" si="143"/>
        <v>0.99999077029471284</v>
      </c>
      <c r="AG364" s="919">
        <f t="shared" si="149"/>
        <v>2</v>
      </c>
      <c r="AH364" s="176">
        <f t="shared" si="144"/>
        <v>8</v>
      </c>
      <c r="AI364" s="225">
        <f t="shared" si="145"/>
        <v>2.9999907702947128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1090">
        <f>IF(t&gt;Tmaj,'2026'!Wh/'2026'!Env_an*'2027'!Env_an,0.001*'[14]mon-tableau (2)'!$B$54)</f>
        <v>2.7007721788419032</v>
      </c>
      <c r="C365" s="953"/>
      <c r="D365" s="393">
        <f t="shared" si="127"/>
        <v>2.9156361588198156</v>
      </c>
      <c r="E365" s="385">
        <f t="shared" si="150"/>
        <v>3.0273706556477871</v>
      </c>
      <c r="F365" s="385">
        <f t="shared" si="128"/>
        <v>3.0273706556477871</v>
      </c>
      <c r="G365" s="110">
        <f t="shared" si="151"/>
        <v>0.11271566393670585</v>
      </c>
      <c r="H365" s="412" t="b">
        <f>Wh_hp&gt;='2026'!Maxi_hp</f>
        <v>0</v>
      </c>
      <c r="I365" s="390">
        <f>IF(H365,Wh_hp,'2026'!Maxi_hp)</f>
        <v>27.969819213232515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7.3693687508966987E-2</v>
      </c>
      <c r="M365" s="957"/>
      <c r="N365" s="957"/>
      <c r="O365" s="48">
        <f>IF(t&lt;Tnet,'2026'!Resal+('2026'!Salim-'2026'!Resal)*(1-EXP(('2026'!Tnet-t)/('2026'!Tau_j))),Resal+(Salim-Resal)*(1-EXP((Tnet-t)/(Tau_j))))*Salcycl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1.6618599320075342E-3</v>
      </c>
      <c r="Q365" s="305">
        <f t="shared" si="130"/>
        <v>0.7</v>
      </c>
      <c r="R365" s="177">
        <f t="shared" si="131"/>
        <v>0.47501173578454614</v>
      </c>
      <c r="S365" s="919">
        <f t="shared" si="132"/>
        <v>-1</v>
      </c>
      <c r="T365" s="176">
        <f t="shared" si="133"/>
        <v>5</v>
      </c>
      <c r="U365" s="251">
        <f t="shared" si="134"/>
        <v>-0.52498826421545386</v>
      </c>
      <c r="V365" s="383">
        <f t="shared" si="135"/>
        <v>23.921110692179145</v>
      </c>
      <c r="W365" s="402">
        <f t="shared" si="136"/>
        <v>2.7007721788419032</v>
      </c>
      <c r="X365" s="157">
        <f t="shared" si="137"/>
        <v>46738</v>
      </c>
      <c r="Y365" s="385">
        <f t="shared" si="138"/>
        <v>2.6072715368273776</v>
      </c>
      <c r="Z365" s="385">
        <f t="shared" si="139"/>
        <v>2.8146969330435359</v>
      </c>
      <c r="AA365" s="386">
        <f t="shared" si="140"/>
        <v>3.0273706556477871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7.0250308533410785E-2</v>
      </c>
      <c r="AD365" s="231">
        <f>(INDEX(Models!$BJ365:$BT365,,AH365)*(1-AF365)+INDEX(Models!$BJ365:$BT365,,AH365+1)*AF365-ERP_i)*AE365*Ramure*Pc/MaxiM</f>
        <v>1.6360272767405953E-2</v>
      </c>
      <c r="AE365" s="305">
        <f t="shared" si="142"/>
        <v>0.7</v>
      </c>
      <c r="AF365" s="177">
        <f t="shared" si="143"/>
        <v>0.99999930215852517</v>
      </c>
      <c r="AG365" s="919">
        <f t="shared" si="149"/>
        <v>2</v>
      </c>
      <c r="AH365" s="176">
        <f t="shared" si="144"/>
        <v>8</v>
      </c>
      <c r="AI365" s="225">
        <f t="shared" si="145"/>
        <v>2.9999993021585252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1090">
        <f>IF(t&gt;Tmaj,'2026'!Wh/'2026'!Env_an*'2027'!Env_an,0.001*'[14]mon-tableau (2)'!$B$55)</f>
        <v>21.29099115136049</v>
      </c>
      <c r="C366" s="953"/>
      <c r="D366" s="393">
        <f t="shared" si="127"/>
        <v>22.985331311912756</v>
      </c>
      <c r="E366" s="385">
        <f t="shared" si="150"/>
        <v>23.868806945011322</v>
      </c>
      <c r="F366" s="385">
        <f t="shared" si="128"/>
        <v>23.90202688099879</v>
      </c>
      <c r="G366" s="110">
        <f t="shared" si="151"/>
        <v>0.88910109622597111</v>
      </c>
      <c r="H366" s="412" t="b">
        <f>Wh_hp&gt;='2026'!Maxi_hp</f>
        <v>0</v>
      </c>
      <c r="I366" s="390">
        <f>IF(H366,Wh_hp,'2026'!Maxi_hp)</f>
        <v>28.032685021410803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7.3713975994513015E-2</v>
      </c>
      <c r="M366" s="957"/>
      <c r="N366" s="957"/>
      <c r="O366" s="48">
        <f>IF(t&lt;Tnet,'2026'!Resal+('2026'!Salim-'2026'!Resal)*(1-EXP(('2026'!Tnet-t)/('2026'!Tau_j))),Resal+(Salim-Resal)*(1-EXP((Tnet-t)/(Tau_j))))*Salcycl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1.6508246855533796E-3</v>
      </c>
      <c r="Q366" s="305">
        <f t="shared" si="130"/>
        <v>0.7</v>
      </c>
      <c r="R366" s="177">
        <f t="shared" si="131"/>
        <v>0.47501992440421548</v>
      </c>
      <c r="S366" s="919">
        <f t="shared" si="132"/>
        <v>-1</v>
      </c>
      <c r="T366" s="176">
        <f t="shared" si="133"/>
        <v>5</v>
      </c>
      <c r="U366" s="251">
        <f t="shared" si="134"/>
        <v>-0.52498007559578452</v>
      </c>
      <c r="V366" s="383">
        <f t="shared" si="135"/>
        <v>23.940389720177819</v>
      </c>
      <c r="W366" s="402">
        <f t="shared" si="136"/>
        <v>21.29099115136049</v>
      </c>
      <c r="X366" s="157">
        <f t="shared" si="137"/>
        <v>46739</v>
      </c>
      <c r="Y366" s="385">
        <f t="shared" si="138"/>
        <v>20.302014025818206</v>
      </c>
      <c r="Z366" s="385">
        <f t="shared" si="139"/>
        <v>21.917651243432715</v>
      </c>
      <c r="AA366" s="386">
        <f t="shared" si="140"/>
        <v>23.575387294335457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7.0316386755650509E-2</v>
      </c>
      <c r="AD366" s="231">
        <f>(INDEX(Models!$BJ366:$BT366,,AH366)*(1-AF366)+INDEX(Models!$BJ366:$BT366,,AH366+1)*AF366-ERP_i)*AE366*Ramure*Pc/MaxiM</f>
        <v>1.6231960625877569E-2</v>
      </c>
      <c r="AE366" s="305">
        <f t="shared" si="142"/>
        <v>0.7</v>
      </c>
      <c r="AF366" s="177">
        <f t="shared" si="143"/>
        <v>7.4907781941746521E-6</v>
      </c>
      <c r="AG366" s="919">
        <f t="shared" si="149"/>
        <v>3</v>
      </c>
      <c r="AH366" s="176">
        <f t="shared" si="144"/>
        <v>9</v>
      </c>
      <c r="AI366" s="225">
        <f t="shared" si="145"/>
        <v>3.0000074907781942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1090">
        <f>IF(t&gt;Tmaj,'2026'!Wh/'2026'!Env_an*'2027'!Env_an,0.001*'[14]mon-tableau (2)'!$B$56)</f>
        <v>18.021588385309276</v>
      </c>
      <c r="C367" s="953"/>
      <c r="D367" s="393">
        <f t="shared" si="127"/>
        <v>19.456175140223095</v>
      </c>
      <c r="E367" s="385">
        <f t="shared" si="150"/>
        <v>20.206224764191663</v>
      </c>
      <c r="F367" s="385">
        <f t="shared" si="128"/>
        <v>20.227649773264467</v>
      </c>
      <c r="G367" s="110">
        <f t="shared" si="151"/>
        <v>0.75136779383758079</v>
      </c>
      <c r="H367" s="412" t="b">
        <f>Wh_hp&gt;='2026'!Maxi_hp</f>
        <v>0</v>
      </c>
      <c r="I367" s="390">
        <f>IF(H367,Wh_hp,'2026'!Maxi_hp)</f>
        <v>27.478360183893841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7.3734264035689168E-2</v>
      </c>
      <c r="M367" s="957"/>
      <c r="N367" s="957"/>
      <c r="O367" s="48">
        <f>IF(t&lt;Tnet,'2026'!Resal+('2026'!Salim-'2026'!Resal)*(1-EXP(('2026'!Tnet-t)/('2026'!Tau_j))),Resal+(Salim-Resal)*(1-EXP((Tnet-t)/(Tau_j))))*Salcycl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1.6410504131641167E-3</v>
      </c>
      <c r="Q367" s="305">
        <f t="shared" si="130"/>
        <v>0.7</v>
      </c>
      <c r="R367" s="177">
        <f t="shared" si="131"/>
        <v>0.47502778357818165</v>
      </c>
      <c r="S367" s="919">
        <f t="shared" si="132"/>
        <v>-1</v>
      </c>
      <c r="T367" s="176">
        <f t="shared" si="133"/>
        <v>5</v>
      </c>
      <c r="U367" s="251">
        <f t="shared" si="134"/>
        <v>-0.52497221642181835</v>
      </c>
      <c r="V367" s="383">
        <f t="shared" si="135"/>
        <v>23.971071745658442</v>
      </c>
      <c r="W367" s="402">
        <f t="shared" si="136"/>
        <v>18.021588385309276</v>
      </c>
      <c r="X367" s="157">
        <f t="shared" si="137"/>
        <v>46740</v>
      </c>
      <c r="Y367" s="385">
        <f t="shared" si="138"/>
        <v>17.236239399638386</v>
      </c>
      <c r="Z367" s="385">
        <f t="shared" si="139"/>
        <v>18.60830939805216</v>
      </c>
      <c r="AA367" s="386">
        <f t="shared" si="140"/>
        <v>20.017178815350217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7.0383016023100139E-2</v>
      </c>
      <c r="AD367" s="231">
        <f>(INDEX(Models!$BJ367:$BT367,,AH367)*(1-AF367)+INDEX(Models!$BJ367:$BT367,,AH367+1)*AF367-ERP_i)*AE367*Ramure*Pc/MaxiM</f>
        <v>1.6121041128644174E-2</v>
      </c>
      <c r="AE367" s="305">
        <f t="shared" si="142"/>
        <v>0.7</v>
      </c>
      <c r="AF367" s="177">
        <f t="shared" si="143"/>
        <v>1.5349952160459424E-5</v>
      </c>
      <c r="AG367" s="919">
        <f t="shared" si="149"/>
        <v>3</v>
      </c>
      <c r="AH367" s="176">
        <f t="shared" si="144"/>
        <v>9</v>
      </c>
      <c r="AI367" s="225">
        <f t="shared" si="145"/>
        <v>3.0000153499521605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1090">
        <f>IF(t&gt;Tmaj,'2026'!Wh/'2026'!Env_an*'2027'!Env_an,0.001*'[14]mon-tableau (2)'!$B$57)</f>
        <v>4.39046244718529</v>
      </c>
      <c r="C368" s="953"/>
      <c r="D368" s="393">
        <f t="shared" si="127"/>
        <v>4.7400637216878829</v>
      </c>
      <c r="E368" s="385">
        <f t="shared" si="150"/>
        <v>4.9233390721763755</v>
      </c>
      <c r="F368" s="385">
        <f t="shared" si="128"/>
        <v>4.9233390721763755</v>
      </c>
      <c r="G368" s="110">
        <f t="shared" si="151"/>
        <v>0.18254074480462373</v>
      </c>
      <c r="H368" s="412" t="b">
        <f>Wh_hp&gt;='2026'!Maxi_hp</f>
        <v>0</v>
      </c>
      <c r="I368" s="390">
        <f>IF(H368,Wh_hp,'2026'!Maxi_hp)</f>
        <v>28.081044157306998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7.3754551632505105E-2</v>
      </c>
      <c r="M368" s="957"/>
      <c r="N368" s="957"/>
      <c r="O368" s="48">
        <f>IF(t&lt;Tnet,'2026'!Resal+('2026'!Salim-'2026'!Resal)*(1-EXP(('2026'!Tnet-t)/('2026'!Tau_j))),Resal+(Salim-Resal)*(1-EXP((Tnet-t)/(Tau_j))))*Salcycl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1.6325580381913798E-3</v>
      </c>
      <c r="Q368" s="305">
        <f t="shared" si="130"/>
        <v>0.7</v>
      </c>
      <c r="R368" s="177">
        <f t="shared" si="131"/>
        <v>0.47503532655101999</v>
      </c>
      <c r="S368" s="919">
        <f t="shared" si="132"/>
        <v>-1</v>
      </c>
      <c r="T368" s="176">
        <f t="shared" si="133"/>
        <v>5</v>
      </c>
      <c r="U368" s="251">
        <f t="shared" si="134"/>
        <v>-0.52496467344898001</v>
      </c>
      <c r="V368" s="383">
        <f t="shared" si="135"/>
        <v>24.012692438158229</v>
      </c>
      <c r="W368" s="402">
        <f t="shared" si="136"/>
        <v>4.39046244718529</v>
      </c>
      <c r="X368" s="157">
        <f t="shared" si="137"/>
        <v>46741</v>
      </c>
      <c r="Y368" s="385">
        <f t="shared" si="138"/>
        <v>4.2389521723658472</v>
      </c>
      <c r="Z368" s="385">
        <f t="shared" si="139"/>
        <v>4.5764890719160771</v>
      </c>
      <c r="AA368" s="386">
        <f t="shared" si="140"/>
        <v>4.9233390721763755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7.0450154900050785E-2</v>
      </c>
      <c r="AD368" s="231">
        <f>(INDEX(Models!$BJ368:$BT368,,AH368)*(1-AF368)+INDEX(Models!$BJ368:$BT368,,AH368+1)*AF368-ERP_i)*AE368*Ramure*Pc/MaxiM</f>
        <v>1.6027693293912543E-2</v>
      </c>
      <c r="AE368" s="305">
        <f t="shared" si="142"/>
        <v>0.7</v>
      </c>
      <c r="AF368" s="177">
        <f t="shared" si="143"/>
        <v>2.289292499879636E-5</v>
      </c>
      <c r="AG368" s="919">
        <f t="shared" si="149"/>
        <v>3</v>
      </c>
      <c r="AH368" s="176">
        <f t="shared" si="144"/>
        <v>9</v>
      </c>
      <c r="AI368" s="225">
        <f t="shared" si="145"/>
        <v>3.0000228929249988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1090">
        <f>IF(t&gt;Tmaj,'2026'!Wh/'2026'!Env_an*'2027'!Env_an,0.001*'[14]mon-tableau (2)'!$B$58)</f>
        <v>22.187680055356125</v>
      </c>
      <c r="C369" s="953"/>
      <c r="D369" s="393">
        <f t="shared" si="127"/>
        <v>23.954952839167262</v>
      </c>
      <c r="E369" s="385">
        <f t="shared" si="150"/>
        <v>24.883921229833444</v>
      </c>
      <c r="F369" s="385">
        <f t="shared" si="128"/>
        <v>24.919911775139909</v>
      </c>
      <c r="G369" s="110">
        <f t="shared" si="151"/>
        <v>0.92183051767487578</v>
      </c>
      <c r="H369" s="412" t="b">
        <f>Wh_hp&gt;='2026'!Maxi_hp</f>
        <v>0</v>
      </c>
      <c r="I369" s="390">
        <f>IF(H369,Wh_hp,'2026'!Maxi_hp)</f>
        <v>24.923788835957687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7.3774838784970598E-2</v>
      </c>
      <c r="M369" s="957"/>
      <c r="N369" s="957"/>
      <c r="O369" s="48">
        <f>IF(t&lt;Tnet,'2026'!Resal+('2026'!Salim-'2026'!Resal)*(1-EXP(('2026'!Tnet-t)/('2026'!Tau_j))),Resal+(Salim-Resal)*(1-EXP((Tnet-t)/(Tau_j))))*Salcycl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1.6253659349675308E-3</v>
      </c>
      <c r="Q369" s="305">
        <f t="shared" si="130"/>
        <v>0.7</v>
      </c>
      <c r="R369" s="177">
        <f t="shared" si="131"/>
        <v>0.47504256603560691</v>
      </c>
      <c r="S369" s="919">
        <f t="shared" si="132"/>
        <v>-1</v>
      </c>
      <c r="T369" s="176">
        <f t="shared" si="133"/>
        <v>5</v>
      </c>
      <c r="U369" s="251">
        <f t="shared" si="134"/>
        <v>-0.52495743396439309</v>
      </c>
      <c r="V369" s="383">
        <f t="shared" si="135"/>
        <v>24.064787661280416</v>
      </c>
      <c r="W369" s="402">
        <f t="shared" si="136"/>
        <v>22.187680055356125</v>
      </c>
      <c r="X369" s="157">
        <f t="shared" si="137"/>
        <v>46742</v>
      </c>
      <c r="Y369" s="385">
        <f t="shared" si="138"/>
        <v>21.149700420010173</v>
      </c>
      <c r="Z369" s="385">
        <f t="shared" si="139"/>
        <v>22.834296999949593</v>
      </c>
      <c r="AA369" s="386">
        <f t="shared" si="140"/>
        <v>24.56668463474983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7.051776259421498E-2</v>
      </c>
      <c r="AD369" s="231">
        <f>(INDEX(Models!$BJ369:$BT369,,AH369)*(1-AF369)+INDEX(Models!$BJ369:$BT369,,AH369+1)*AF369-ERP_i)*AE369*Ramure*Pc/MaxiM</f>
        <v>1.5952060642795876E-2</v>
      </c>
      <c r="AE369" s="305">
        <f t="shared" si="142"/>
        <v>0.7</v>
      </c>
      <c r="AF369" s="177">
        <f t="shared" si="143"/>
        <v>3.0132409585714726E-5</v>
      </c>
      <c r="AG369" s="919">
        <f t="shared" si="149"/>
        <v>3</v>
      </c>
      <c r="AH369" s="176">
        <f t="shared" si="144"/>
        <v>9</v>
      </c>
      <c r="AI369" s="225">
        <f t="shared" si="145"/>
        <v>3.0000301324095857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1090">
        <f>IF(t&gt;Tmaj,'2026'!Wh/'2026'!Env_an*'2027'!Env_an,0.001*'[14]mon-tableau (2)'!$B$59)</f>
        <v>17.156910613806332</v>
      </c>
      <c r="C370" s="953"/>
      <c r="D370" s="393">
        <f t="shared" si="127"/>
        <v>18.523882875201206</v>
      </c>
      <c r="E370" s="385">
        <f t="shared" si="150"/>
        <v>19.24436223146845</v>
      </c>
      <c r="F370" s="385">
        <f t="shared" si="128"/>
        <v>19.26268354608581</v>
      </c>
      <c r="G370" s="110">
        <f t="shared" si="151"/>
        <v>0.71063573623144149</v>
      </c>
      <c r="H370" s="412" t="b">
        <f>Wh_hp&gt;='2026'!Maxi_hp</f>
        <v>0</v>
      </c>
      <c r="I370" s="390">
        <f>IF(H370,Wh_hp,'2026'!Maxi_hp)</f>
        <v>27.058641236912877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7.3795125493095415E-2</v>
      </c>
      <c r="M370" s="957"/>
      <c r="N370" s="957"/>
      <c r="O370" s="48">
        <f>IF(t&lt;Tnet,'2026'!Resal+('2026'!Salim-'2026'!Resal)*(1-EXP(('2026'!Tnet-t)/('2026'!Tau_j))),Resal+(Salim-Resal)*(1-EXP((Tnet-t)/(Tau_j))))*Salcycl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1.6194900785329327E-3</v>
      </c>
      <c r="Q370" s="305">
        <f t="shared" si="130"/>
        <v>0.7</v>
      </c>
      <c r="R370" s="177">
        <f t="shared" si="131"/>
        <v>0.47504951423440422</v>
      </c>
      <c r="S370" s="919">
        <f t="shared" si="132"/>
        <v>-1</v>
      </c>
      <c r="T370" s="176">
        <f t="shared" si="133"/>
        <v>5</v>
      </c>
      <c r="U370" s="251">
        <f t="shared" si="134"/>
        <v>-0.52495048576559578</v>
      </c>
      <c r="V370" s="383">
        <f t="shared" si="135"/>
        <v>24.126893466135037</v>
      </c>
      <c r="W370" s="402">
        <f t="shared" si="136"/>
        <v>17.156910613806332</v>
      </c>
      <c r="X370" s="157">
        <f t="shared" si="137"/>
        <v>46743</v>
      </c>
      <c r="Y370" s="385">
        <f t="shared" si="138"/>
        <v>16.42706951002253</v>
      </c>
      <c r="Z370" s="385">
        <f t="shared" si="139"/>
        <v>17.735891876803194</v>
      </c>
      <c r="AA370" s="386">
        <f t="shared" si="140"/>
        <v>19.082871620887229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7.058579918389711E-2</v>
      </c>
      <c r="AD370" s="231">
        <f>(INDEX(Models!$BJ370:$BT370,,AH370)*(1-AF370)+INDEX(Models!$BJ370:$BT370,,AH370+1)*AF370-ERP_i)*AE370*Ramure*Pc/MaxiM</f>
        <v>1.5894254039231743E-2</v>
      </c>
      <c r="AE370" s="305">
        <f t="shared" si="142"/>
        <v>0.7</v>
      </c>
      <c r="AF370" s="177">
        <f t="shared" si="143"/>
        <v>3.7080608382922264E-5</v>
      </c>
      <c r="AG370" s="919">
        <f t="shared" si="149"/>
        <v>3</v>
      </c>
      <c r="AH370" s="176">
        <f t="shared" si="144"/>
        <v>9</v>
      </c>
      <c r="AI370" s="225">
        <f t="shared" si="145"/>
        <v>3.0000370806083829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1090">
        <f>IF(t&gt;Tmaj,'2026'!Wh/'2026'!Env_an*'2027'!Env_an,0.001*'[14]mon-tableau (2)'!$B$60)</f>
        <v>17.697293437025358</v>
      </c>
      <c r="C371" s="953"/>
      <c r="D371" s="393">
        <f t="shared" si="127"/>
        <v>19.10773906376</v>
      </c>
      <c r="E371" s="385">
        <f t="shared" si="150"/>
        <v>19.853124073695628</v>
      </c>
      <c r="F371" s="385">
        <f t="shared" si="128"/>
        <v>19.872899848889645</v>
      </c>
      <c r="G371" s="110">
        <f t="shared" si="151"/>
        <v>0.7308832979579285</v>
      </c>
      <c r="H371" s="412" t="b">
        <f>Wh_hp&gt;='2026'!Maxi_hp</f>
        <v>0</v>
      </c>
      <c r="I371" s="390">
        <f>IF(H371,Wh_hp,'2026'!Maxi_hp)</f>
        <v>22.375250435644084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7.3815411756889326E-2</v>
      </c>
      <c r="M371" s="957"/>
      <c r="N371" s="957"/>
      <c r="O371" s="48">
        <f>IF(t&lt;Tnet,'2026'!Resal+('2026'!Salim-'2026'!Resal)*(1-EXP(('2026'!Tnet-t)/('2026'!Tau_j))),Resal+(Salim-Resal)*(1-EXP((Tnet-t)/(Tau_j))))*Salcycl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1.6149294500236251E-3</v>
      </c>
      <c r="Q371" s="305">
        <f t="shared" si="130"/>
        <v>0.7</v>
      </c>
      <c r="R371" s="177">
        <f t="shared" si="131"/>
        <v>0.47504951423440422</v>
      </c>
      <c r="S371" s="919">
        <f t="shared" si="132"/>
        <v>-1</v>
      </c>
      <c r="T371" s="176">
        <f t="shared" si="133"/>
        <v>5</v>
      </c>
      <c r="U371" s="251">
        <f t="shared" si="134"/>
        <v>-0.52495048576559578</v>
      </c>
      <c r="V371" s="383">
        <f t="shared" si="135"/>
        <v>24.198546445575733</v>
      </c>
      <c r="W371" s="402">
        <f t="shared" si="136"/>
        <v>17.697293437025358</v>
      </c>
      <c r="X371" s="157">
        <f t="shared" si="137"/>
        <v>46744</v>
      </c>
      <c r="Y371" s="385">
        <f t="shared" si="138"/>
        <v>16.938403511579114</v>
      </c>
      <c r="Z371" s="385">
        <f t="shared" si="139"/>
        <v>18.288366840253463</v>
      </c>
      <c r="AA371" s="386">
        <f t="shared" si="140"/>
        <v>19.678753967096711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7.0654225829948569E-2</v>
      </c>
      <c r="AD371" s="231">
        <f>(INDEX(Models!$BJ371:$BT371,,AH371)*(1-AF371)+INDEX(Models!$BJ371:$BT371,,AH371+1)*AF371-ERP_i)*AE371*Ramure*Pc/MaxiM</f>
        <v>1.5854341942717239E-2</v>
      </c>
      <c r="AE371" s="305">
        <f t="shared" si="142"/>
        <v>0.7</v>
      </c>
      <c r="AF371" s="177">
        <f t="shared" si="143"/>
        <v>3.7080608382922264E-5</v>
      </c>
      <c r="AG371" s="919">
        <f t="shared" si="149"/>
        <v>3</v>
      </c>
      <c r="AH371" s="176">
        <f t="shared" si="144"/>
        <v>9</v>
      </c>
      <c r="AI371" s="225">
        <f t="shared" si="145"/>
        <v>3.0000370806083829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1090">
        <f>IF(t&gt;Tmaj,'2026'!Wh/'2026'!Env_an*'2027'!Env_an,0.001*'[14]mon-tableau (2)'!$B$61)</f>
        <v>23.195309776705045</v>
      </c>
      <c r="C372" s="953"/>
      <c r="D372" s="393">
        <f t="shared" si="127"/>
        <v>25.044486940390893</v>
      </c>
      <c r="E372" s="385">
        <f t="shared" si="150"/>
        <v>26.024344742455579</v>
      </c>
      <c r="F372" s="385">
        <f t="shared" si="128"/>
        <v>26.0636725800668</v>
      </c>
      <c r="G372" s="110">
        <f t="shared" si="151"/>
        <v>0.95525564258757445</v>
      </c>
      <c r="H372" s="412" t="b">
        <f>Wh_hp&gt;='2026'!Maxi_hp</f>
        <v>0</v>
      </c>
      <c r="I372" s="390">
        <f>IF(H372,Wh_hp,'2026'!Maxi_hp)</f>
        <v>26.065976294178245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7.3835697576361881E-2</v>
      </c>
      <c r="M372" s="957"/>
      <c r="N372" s="957"/>
      <c r="O372" s="48">
        <f>IF(t&lt;Tnet,'2026'!Resal+('2026'!Salim-'2026'!Resal)*(1-EXP(('2026'!Tnet-t)/('2026'!Tau_j))),Resal+(Salim-Resal)*(1-EXP((Tnet-t)/(Tau_j))))*Salcycl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1.6117086790004779E-3</v>
      </c>
      <c r="Q372" s="305">
        <f t="shared" si="130"/>
        <v>0.7</v>
      </c>
      <c r="R372" s="177">
        <f t="shared" si="131"/>
        <v>0.47504951423440422</v>
      </c>
      <c r="S372" s="919">
        <f t="shared" si="132"/>
        <v>-1</v>
      </c>
      <c r="T372" s="176">
        <f t="shared" si="133"/>
        <v>5</v>
      </c>
      <c r="U372" s="251">
        <f t="shared" si="134"/>
        <v>-0.52495048576559578</v>
      </c>
      <c r="V372" s="383">
        <f t="shared" si="135"/>
        <v>24.279282720285618</v>
      </c>
      <c r="W372" s="402">
        <f t="shared" si="136"/>
        <v>23.195309776705045</v>
      </c>
      <c r="X372" s="157">
        <f t="shared" si="137"/>
        <v>46745</v>
      </c>
      <c r="Y372" s="385">
        <f t="shared" si="138"/>
        <v>22.099542598858395</v>
      </c>
      <c r="Z372" s="385">
        <f t="shared" si="139"/>
        <v>23.861362979578338</v>
      </c>
      <c r="AA372" s="386">
        <f t="shared" si="140"/>
        <v>25.677341747643386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7.0723004971171274E-2</v>
      </c>
      <c r="AD372" s="231">
        <f>(INDEX(Models!$BJ372:$BT372,,AH372)*(1-AF372)+INDEX(Models!$BJ372:$BT372,,AH372+1)*AF372-ERP_i)*AE372*Ramure*Pc/MaxiM</f>
        <v>1.5832366928931231E-2</v>
      </c>
      <c r="AE372" s="305">
        <f t="shared" si="142"/>
        <v>0.7</v>
      </c>
      <c r="AF372" s="177">
        <f t="shared" si="143"/>
        <v>3.7080608382922264E-5</v>
      </c>
      <c r="AG372" s="919">
        <f t="shared" si="149"/>
        <v>3</v>
      </c>
      <c r="AH372" s="176">
        <f t="shared" si="144"/>
        <v>9</v>
      </c>
      <c r="AI372" s="225">
        <f t="shared" si="145"/>
        <v>3.0000370806083829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1090">
        <f>IF(t&gt;Tmaj,'2026'!Wh/'2026'!Env_an*'2027'!Env_an,0.001*'[14]mon-tableau (2)'!$B$62)</f>
        <v>13.586648521254931</v>
      </c>
      <c r="C373" s="953"/>
      <c r="D373" s="393">
        <f t="shared" si="127"/>
        <v>14.670125024997885</v>
      </c>
      <c r="E373" s="385">
        <f t="shared" si="150"/>
        <v>15.245779408700562</v>
      </c>
      <c r="F373" s="385">
        <f t="shared" si="128"/>
        <v>15.254809579270352</v>
      </c>
      <c r="G373" s="110">
        <f t="shared" si="151"/>
        <v>0.55687807302152392</v>
      </c>
      <c r="H373" s="412" t="b">
        <f>Wh_hp&gt;='2026'!Maxi_hp</f>
        <v>0</v>
      </c>
      <c r="I373" s="390">
        <f>IF(H373,Wh_hp,'2026'!Maxi_hp)</f>
        <v>18.791308820692279</v>
      </c>
      <c r="J373" s="85">
        <f>IF(H373,An,'2026'!An_max)</f>
        <v>2019</v>
      </c>
      <c r="K373" s="197">
        <f t="shared" si="129"/>
        <v>46746</v>
      </c>
      <c r="L373" s="147">
        <f>IF(t&lt;Tvie,1-EXP((T0-t)*PertePVj)+'2026'!Pspv,1-EXP((T0-t)*PertePVj)+Pspv)</f>
        <v>7.3855982951522958E-2</v>
      </c>
      <c r="M373" s="957"/>
      <c r="N373" s="957"/>
      <c r="O373" s="48">
        <f>IF(t&lt;Tnet,'2026'!Resal+('2026'!Salim-'2026'!Resal)*(1-EXP(('2026'!Tnet-t)/('2026'!Tau_j))),Resal+(Salim-Resal)*(1-EXP((Tnet-t)/(Tau_j))))*Salcycl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1.6095394788083839E-3</v>
      </c>
      <c r="Q373" s="305">
        <f t="shared" si="130"/>
        <v>0.7</v>
      </c>
      <c r="R373" s="177">
        <f t="shared" si="131"/>
        <v>0.47504951423440422</v>
      </c>
      <c r="S373" s="919">
        <f t="shared" si="132"/>
        <v>-1</v>
      </c>
      <c r="T373" s="176">
        <f t="shared" si="133"/>
        <v>5</v>
      </c>
      <c r="U373" s="251">
        <f t="shared" si="134"/>
        <v>-0.52495048576559578</v>
      </c>
      <c r="V373" s="383">
        <f t="shared" si="135"/>
        <v>24.373045799221757</v>
      </c>
      <c r="W373" s="402">
        <f t="shared" si="136"/>
        <v>13.586648521254931</v>
      </c>
      <c r="X373" s="157">
        <f t="shared" si="137"/>
        <v>46746</v>
      </c>
      <c r="Y373" s="385">
        <f t="shared" si="138"/>
        <v>13.051580748448437</v>
      </c>
      <c r="Z373" s="385">
        <f t="shared" si="139"/>
        <v>14.09238790964978</v>
      </c>
      <c r="AA373" s="386">
        <f t="shared" si="140"/>
        <v>15.166022498585246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7.0792100502001659E-2</v>
      </c>
      <c r="AD373" s="231">
        <f>(INDEX(Models!$BJ373:$BT373,,AH373)*(1-AF373)+INDEX(Models!$BJ373:$BT373,,AH373+1)*AF373-ERP_i)*AE373*Ramure*Pc/MaxiM</f>
        <v>1.5825427711066025E-2</v>
      </c>
      <c r="AE373" s="305">
        <f t="shared" si="142"/>
        <v>0.7</v>
      </c>
      <c r="AF373" s="177">
        <f t="shared" si="143"/>
        <v>3.7080608382922264E-5</v>
      </c>
      <c r="AG373" s="919">
        <f t="shared" si="149"/>
        <v>3</v>
      </c>
      <c r="AH373" s="176">
        <f t="shared" si="144"/>
        <v>9</v>
      </c>
      <c r="AI373" s="225">
        <f t="shared" si="145"/>
        <v>3.0000370806083829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1090">
        <f>IF(t&gt;Tmaj,'2026'!Wh/'2026'!Env_an*'2027'!Env_an,0.001*'[14]mon-tableau (2)'!$B$63)</f>
        <v>22.429976800079068</v>
      </c>
      <c r="C374" s="953"/>
      <c r="D374" s="393">
        <f t="shared" si="127"/>
        <v>24.219200979540886</v>
      </c>
      <c r="E374" s="385">
        <f t="shared" si="150"/>
        <v>25.172353119086296</v>
      </c>
      <c r="F374" s="385">
        <f t="shared" si="128"/>
        <v>25.208035520627242</v>
      </c>
      <c r="G374" s="110">
        <f t="shared" si="151"/>
        <v>0.91596243520431475</v>
      </c>
      <c r="H374" s="412" t="b">
        <f>Wh_hp&gt;='2026'!Maxi_hp</f>
        <v>0</v>
      </c>
      <c r="I374" s="390">
        <f>IF(H374,Wh_hp,'2026'!Maxi_hp)</f>
        <v>26.329619230701343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7.3876267882382329E-2</v>
      </c>
      <c r="M374" s="957"/>
      <c r="N374" s="957"/>
      <c r="O374" s="48">
        <f>IF(t&lt;Tnet,'2026'!Resal+('2026'!Salim-'2026'!Resal)*(1-EXP(('2026'!Tnet-t)/('2026'!Tau_j))),Resal+(Salim-Resal)*(1-EXP((Tnet-t)/(Tau_j))))*Salcycl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1.6081786067057811E-3</v>
      </c>
      <c r="Q374" s="305">
        <f t="shared" si="130"/>
        <v>0.7</v>
      </c>
      <c r="R374" s="177">
        <f t="shared" si="131"/>
        <v>0.47504951423440422</v>
      </c>
      <c r="S374" s="919">
        <f t="shared" si="132"/>
        <v>-1</v>
      </c>
      <c r="T374" s="176">
        <f t="shared" si="133"/>
        <v>5</v>
      </c>
      <c r="U374" s="251">
        <f t="shared" si="134"/>
        <v>-0.52495048576559578</v>
      </c>
      <c r="V374" s="383">
        <f t="shared" si="135"/>
        <v>24.483153911101752</v>
      </c>
      <c r="W374" s="402">
        <f t="shared" si="136"/>
        <v>22.429976800079068</v>
      </c>
      <c r="X374" s="157">
        <f t="shared" si="137"/>
        <v>46747</v>
      </c>
      <c r="Y374" s="385">
        <f t="shared" si="138"/>
        <v>21.389186109423584</v>
      </c>
      <c r="Z374" s="385">
        <f t="shared" si="139"/>
        <v>23.095387114760989</v>
      </c>
      <c r="AA374" s="386">
        <f t="shared" si="140"/>
        <v>24.856774922370359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7.0861477931482328E-2</v>
      </c>
      <c r="AD374" s="231">
        <f>(INDEX(Models!$BJ374:$BT374,,AH374)*(1-AF374)+INDEX(Models!$BJ374:$BT374,,AH374+1)*AF374-ERP_i)*AE374*Ramure*Pc/MaxiM</f>
        <v>1.5831047101669889E-2</v>
      </c>
      <c r="AE374" s="305">
        <f t="shared" si="142"/>
        <v>0.7</v>
      </c>
      <c r="AF374" s="177">
        <f t="shared" si="143"/>
        <v>3.7080608382922264E-5</v>
      </c>
      <c r="AG374" s="919">
        <f t="shared" si="149"/>
        <v>3</v>
      </c>
      <c r="AH374" s="176">
        <f t="shared" si="144"/>
        <v>9</v>
      </c>
      <c r="AI374" s="225">
        <f t="shared" si="145"/>
        <v>3.0000370806083829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1090">
        <f>IF(t&gt;Tmaj,'2026'!Wh/'2026'!Env_an*'2027'!Env_an,0.001*'[14]mon-tableau (2)'!$B$64)</f>
        <v>6.0915583176295254</v>
      </c>
      <c r="C375" s="953"/>
      <c r="D375" s="393">
        <f t="shared" si="127"/>
        <v>6.5776218987323496</v>
      </c>
      <c r="E375" s="385">
        <f t="shared" si="150"/>
        <v>6.8372447315969307</v>
      </c>
      <c r="F375" s="385">
        <f t="shared" si="128"/>
        <v>6.8372447315969307</v>
      </c>
      <c r="G375" s="110">
        <f t="shared" si="151"/>
        <v>0.24714377226902554</v>
      </c>
      <c r="H375" s="412" t="b">
        <f>Wh_hp&gt;='2026'!Maxi_hp</f>
        <v>0</v>
      </c>
      <c r="I375" s="390">
        <f>IF(H375,Wh_hp,'2026'!Maxi_hp)</f>
        <v>27.615988001355355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7.3896552368949542E-2</v>
      </c>
      <c r="M375" s="957"/>
      <c r="N375" s="957"/>
      <c r="O375" s="48">
        <f>IF(t&lt;Tnet,'2026'!Resal+('2026'!Salim-'2026'!Resal)*(1-EXP(('2026'!Tnet-t)/('2026'!Tau_j))),Resal+(Salim-Resal)*(1-EXP((Tnet-t)/(Tau_j))))*Salcycl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1.6061874198794665E-3</v>
      </c>
      <c r="Q375" s="305">
        <f t="shared" si="130"/>
        <v>0.7</v>
      </c>
      <c r="R375" s="177">
        <f t="shared" si="131"/>
        <v>0.47504951423440422</v>
      </c>
      <c r="S375" s="919">
        <f t="shared" si="132"/>
        <v>-1</v>
      </c>
      <c r="T375" s="176">
        <f t="shared" si="133"/>
        <v>5</v>
      </c>
      <c r="U375" s="251">
        <f t="shared" si="134"/>
        <v>-0.52495048576559578</v>
      </c>
      <c r="V375" s="383">
        <f t="shared" si="135"/>
        <v>24.608243523417784</v>
      </c>
      <c r="W375" s="402">
        <f t="shared" si="136"/>
        <v>6.0915583176295254</v>
      </c>
      <c r="X375" s="157">
        <f t="shared" si="137"/>
        <v>46748</v>
      </c>
      <c r="Y375" s="385">
        <f t="shared" si="138"/>
        <v>5.8828604539158524</v>
      </c>
      <c r="Z375" s="385">
        <f t="shared" si="139"/>
        <v>6.352271410892663</v>
      </c>
      <c r="AA375" s="386">
        <f t="shared" si="140"/>
        <v>6.8372447315969307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7.0931104522712604E-2</v>
      </c>
      <c r="AD375" s="231">
        <f>(INDEX(Models!$BJ375:$BT375,,AH375)*(1-AF375)+INDEX(Models!$BJ375:$BT375,,AH375+1)*AF375-ERP_i)*AE375*Ramure*Pc/MaxiM</f>
        <v>1.5857421753210366E-2</v>
      </c>
      <c r="AE375" s="305">
        <f t="shared" si="142"/>
        <v>0.7</v>
      </c>
      <c r="AF375" s="177">
        <f t="shared" si="143"/>
        <v>3.7080608382922264E-5</v>
      </c>
      <c r="AG375" s="919">
        <f t="shared" si="149"/>
        <v>3</v>
      </c>
      <c r="AH375" s="176">
        <f t="shared" si="144"/>
        <v>9</v>
      </c>
      <c r="AI375" s="225">
        <f t="shared" si="145"/>
        <v>3.0000370806083829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1090">
        <f>IF(t&gt;Tmaj,'2026'!Wh/'2026'!Env_an*'2027'!Env_an,0.001*'[14]mon-tableau (2)'!$B$65)</f>
        <v>23.747028950174492</v>
      </c>
      <c r="C376" s="953"/>
      <c r="D376" s="393">
        <f t="shared" si="127"/>
        <v>25.642436752817968</v>
      </c>
      <c r="E376" s="385">
        <f t="shared" si="150"/>
        <v>26.657520361023209</v>
      </c>
      <c r="F376" s="385">
        <f t="shared" si="128"/>
        <v>26.697841849442675</v>
      </c>
      <c r="G376" s="110">
        <f t="shared" si="151"/>
        <v>0.95950581173138172</v>
      </c>
      <c r="H376" s="412" t="b">
        <f>Wh_hp&gt;='2026'!Maxi_hp</f>
        <v>0</v>
      </c>
      <c r="I376" s="390">
        <f>IF(H376,Wh_hp,'2026'!Maxi_hp)</f>
        <v>26.6999762014207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7.3916836411234588E-2</v>
      </c>
      <c r="M376" s="957"/>
      <c r="N376" s="957"/>
      <c r="O376" s="48">
        <f>IF(t&lt;Tnet,'2026'!Resal+('2026'!Salim-'2026'!Resal)*(1-EXP(('2026'!Tnet-t)/('2026'!Tau_j))),Resal+(Salim-Resal)*(1-EXP((Tnet-t)/(Tau_j))))*Salcycl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1.6028071291345131E-3</v>
      </c>
      <c r="Q376" s="305">
        <f t="shared" si="130"/>
        <v>0.7</v>
      </c>
      <c r="R376" s="177">
        <f t="shared" si="131"/>
        <v>0.47504951423440422</v>
      </c>
      <c r="S376" s="919">
        <f t="shared" si="132"/>
        <v>-1</v>
      </c>
      <c r="T376" s="176">
        <f t="shared" si="133"/>
        <v>5</v>
      </c>
      <c r="U376" s="251">
        <f t="shared" si="134"/>
        <v>-0.52495048576559578</v>
      </c>
      <c r="V376" s="383">
        <f t="shared" si="135"/>
        <v>24.74693569762761</v>
      </c>
      <c r="W376" s="402">
        <f t="shared" si="136"/>
        <v>23.747028950174492</v>
      </c>
      <c r="X376" s="157">
        <f t="shared" si="137"/>
        <v>46749</v>
      </c>
      <c r="Y376" s="385">
        <f t="shared" si="138"/>
        <v>22.624963231158212</v>
      </c>
      <c r="Z376" s="385">
        <f t="shared" si="139"/>
        <v>24.430811530448043</v>
      </c>
      <c r="AA376" s="386">
        <f t="shared" si="140"/>
        <v>26.297994077592357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7.1000949412155914E-2</v>
      </c>
      <c r="AD376" s="231">
        <f>(INDEX(Models!$BJ376:$BT376,,AH376)*(1-AF376)+INDEX(Models!$BJ376:$BT376,,AH376+1)*AF376-ERP_i)*AE376*Ramure*Pc/MaxiM</f>
        <v>1.5894226240439967E-2</v>
      </c>
      <c r="AE376" s="305">
        <f t="shared" si="142"/>
        <v>0.7</v>
      </c>
      <c r="AF376" s="177">
        <f t="shared" si="143"/>
        <v>3.7080608382922264E-5</v>
      </c>
      <c r="AG376" s="919">
        <f t="shared" si="149"/>
        <v>3</v>
      </c>
      <c r="AH376" s="176">
        <f t="shared" si="144"/>
        <v>9</v>
      </c>
      <c r="AI376" s="225">
        <f t="shared" si="145"/>
        <v>3.0000370806083829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1090">
        <f>IF(t&gt;Tmaj,'2026'!Wh/'2026'!Env_an*'2027'!Env_an,0.001*'[14]mon-tableau (2)'!$B$66)</f>
        <v>10.339938894937671</v>
      </c>
      <c r="C377" s="953"/>
      <c r="D377" s="393">
        <f t="shared" si="127"/>
        <v>11.165482515659106</v>
      </c>
      <c r="E377" s="385">
        <f t="shared" si="150"/>
        <v>11.608769912347579</v>
      </c>
      <c r="F377" s="385">
        <f t="shared" si="128"/>
        <v>11.611826440566126</v>
      </c>
      <c r="G377" s="110">
        <f t="shared" si="151"/>
        <v>0.41474023286730599</v>
      </c>
      <c r="H377" s="412" t="b">
        <f>Wh_hp&gt;='2026'!Maxi_hp</f>
        <v>0</v>
      </c>
      <c r="I377" s="390">
        <f>IF(H377,Wh_hp,'2026'!Maxi_hp)</f>
        <v>27.222037432287717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7.3937120009246904E-2</v>
      </c>
      <c r="M377" s="957"/>
      <c r="N377" s="957"/>
      <c r="O377" s="48">
        <f>IF(t&lt;Tnet,'2026'!Resal+('2026'!Salim-'2026'!Resal)*(1-EXP(('2026'!Tnet-t)/('2026'!Tau_j))),Resal+(Salim-Resal)*(1-EXP((Tnet-t)/(Tau_j))))*Salcycl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1.598145544937766E-3</v>
      </c>
      <c r="Q377" s="305">
        <f t="shared" si="130"/>
        <v>0.7</v>
      </c>
      <c r="R377" s="177">
        <f t="shared" si="131"/>
        <v>0.47504951423440422</v>
      </c>
      <c r="S377" s="919">
        <f t="shared" si="132"/>
        <v>-1</v>
      </c>
      <c r="T377" s="176">
        <f t="shared" si="133"/>
        <v>5</v>
      </c>
      <c r="U377" s="251">
        <f t="shared" si="134"/>
        <v>-0.52495048576559578</v>
      </c>
      <c r="V377" s="383">
        <f t="shared" si="135"/>
        <v>24.897831100354114</v>
      </c>
      <c r="W377" s="402">
        <f t="shared" si="136"/>
        <v>10.339938894937671</v>
      </c>
      <c r="X377" s="157">
        <f t="shared" si="137"/>
        <v>46750</v>
      </c>
      <c r="Y377" s="385">
        <f t="shared" si="138"/>
        <v>9.962806382964418</v>
      </c>
      <c r="Z377" s="385">
        <f t="shared" si="139"/>
        <v>10.758239638180831</v>
      </c>
      <c r="AA377" s="386">
        <f t="shared" si="140"/>
        <v>11.581336624760359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7.1070983708373198E-2</v>
      </c>
      <c r="AD377" s="231">
        <f>(INDEX(Models!$BJ377:$BT377,,AH377)*(1-AF377)+INDEX(Models!$BJ377:$BT377,,AH377+1)*AF377-ERP_i)*AE377*Ramure*Pc/MaxiM</f>
        <v>1.5941996870923923E-2</v>
      </c>
      <c r="AE377" s="305">
        <f t="shared" si="142"/>
        <v>0.7</v>
      </c>
      <c r="AF377" s="177">
        <f t="shared" si="143"/>
        <v>3.7080608382922264E-5</v>
      </c>
      <c r="AG377" s="919">
        <f t="shared" si="149"/>
        <v>3</v>
      </c>
      <c r="AH377" s="176">
        <f t="shared" si="144"/>
        <v>9</v>
      </c>
      <c r="AI377" s="225">
        <f t="shared" si="145"/>
        <v>3.0000370806083829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1090">
        <f>IF(t&gt;Tmaj,'2026'!Wh/'2026'!Env_an*'2027'!Env_an,0.001*'[14]mon-tableau (2)'!$B$67)</f>
        <v>14.850270425709152</v>
      </c>
      <c r="C378" s="953"/>
      <c r="D378" s="393">
        <f t="shared" si="127"/>
        <v>16.036271416057772</v>
      </c>
      <c r="E378" s="385">
        <f t="shared" si="150"/>
        <v>16.674789693592999</v>
      </c>
      <c r="F378" s="385">
        <f t="shared" si="128"/>
        <v>16.685895580265743</v>
      </c>
      <c r="G378" s="110">
        <f t="shared" si="151"/>
        <v>0.59205014892821306</v>
      </c>
      <c r="H378" s="412" t="b">
        <f>Wh_hp&gt;='2026'!Maxi_hp</f>
        <v>0</v>
      </c>
      <c r="I378" s="390">
        <f>IF(H378,Wh_hp,'2026'!Maxi_hp)</f>
        <v>27.784365944966957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7.3957403162996482E-2</v>
      </c>
      <c r="M378" s="957"/>
      <c r="N378" s="957"/>
      <c r="O378" s="48">
        <f>IF(t&lt;Tnet,'2026'!Resal+('2026'!Salim-'2026'!Resal)*(1-EXP(('2026'!Tnet-t)/('2026'!Tau_j))),Resal+(Salim-Resal)*(1-EXP((Tnet-t)/(Tau_j))))*Salcycl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1.5923109854742868E-3</v>
      </c>
      <c r="Q378" s="305">
        <f t="shared" si="130"/>
        <v>0.7</v>
      </c>
      <c r="R378" s="177">
        <f t="shared" si="131"/>
        <v>0.47504951423440422</v>
      </c>
      <c r="S378" s="919">
        <f t="shared" si="132"/>
        <v>-1</v>
      </c>
      <c r="T378" s="176">
        <f t="shared" si="133"/>
        <v>5</v>
      </c>
      <c r="U378" s="251">
        <f t="shared" si="134"/>
        <v>-0.52495048576559578</v>
      </c>
      <c r="V378" s="383">
        <f t="shared" si="135"/>
        <v>25.059531121528519</v>
      </c>
      <c r="W378" s="402">
        <f t="shared" si="136"/>
        <v>14.850270425709152</v>
      </c>
      <c r="X378" s="157">
        <f t="shared" si="137"/>
        <v>46751</v>
      </c>
      <c r="Y378" s="385">
        <f t="shared" si="138"/>
        <v>14.25658975063504</v>
      </c>
      <c r="Z378" s="385">
        <f t="shared" si="139"/>
        <v>15.395177067804365</v>
      </c>
      <c r="AA378" s="386">
        <f t="shared" si="140"/>
        <v>16.574291750010815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7.1141180569943813E-2</v>
      </c>
      <c r="AD378" s="231">
        <f>(INDEX(Models!$BJ378:$BT378,,AH378)*(1-AF378)+INDEX(Models!$BJ378:$BT378,,AH378+1)*AF378-ERP_i)*AE378*Ramure*Pc/MaxiM</f>
        <v>1.600124422051372E-2</v>
      </c>
      <c r="AE378" s="305">
        <f t="shared" si="142"/>
        <v>0.7</v>
      </c>
      <c r="AF378" s="177">
        <f t="shared" si="143"/>
        <v>3.7080608382922264E-5</v>
      </c>
      <c r="AG378" s="919">
        <f t="shared" si="149"/>
        <v>3</v>
      </c>
      <c r="AH378" s="176">
        <f t="shared" si="144"/>
        <v>9</v>
      </c>
      <c r="AI378" s="225">
        <f t="shared" si="145"/>
        <v>3.0000370806083829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1090">
        <f>IF(t&gt;Tmaj,'2026'!Wh/'2026'!Env_an*'2027'!Env_an,0.001*'[14]mon-tableau (2)'!$B$68)</f>
        <v>11.230064900680727</v>
      </c>
      <c r="C379" s="953"/>
      <c r="D379" s="393">
        <f t="shared" si="127"/>
        <v>12.127207659419772</v>
      </c>
      <c r="E379" s="385">
        <f t="shared" si="150"/>
        <v>12.611479647630352</v>
      </c>
      <c r="F379" s="385">
        <f t="shared" si="128"/>
        <v>12.615625455343389</v>
      </c>
      <c r="G379" s="110">
        <f t="shared" si="151"/>
        <v>0.44453677820096477</v>
      </c>
      <c r="H379" s="412" t="b">
        <f>Wh_hp&gt;='2026'!Maxi_hp</f>
        <v>0</v>
      </c>
      <c r="I379" s="390">
        <f>IF(H379,Wh_hp,'2026'!Maxi_hp)</f>
        <v>28.039920073924794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7.3977685872492871E-2</v>
      </c>
      <c r="M379" s="957"/>
      <c r="N379" s="957"/>
      <c r="O379" s="48">
        <f>IF(t&lt;Tnet,'2026'!Resal+('2026'!Salim-'2026'!Resal)*(1-EXP(('2026'!Tnet-t)/('2026'!Tau_j))),Resal+(Salim-Resal)*(1-EXP((Tnet-t)/(Tau_j))))*Salcycl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1.5854111621755771E-3</v>
      </c>
      <c r="Q379" s="306">
        <f t="shared" si="130"/>
        <v>0.7</v>
      </c>
      <c r="R379" s="177">
        <f t="shared" si="131"/>
        <v>0.47504951423440422</v>
      </c>
      <c r="S379" s="919">
        <f t="shared" si="132"/>
        <v>-1</v>
      </c>
      <c r="T379" s="176">
        <f t="shared" si="133"/>
        <v>5</v>
      </c>
      <c r="U379" s="307">
        <f t="shared" si="134"/>
        <v>-0.52495048576559578</v>
      </c>
      <c r="V379" s="383">
        <f t="shared" si="135"/>
        <v>25.230637865952247</v>
      </c>
      <c r="W379" s="402">
        <f t="shared" si="136"/>
        <v>11.230064900680727</v>
      </c>
      <c r="X379" s="157">
        <f t="shared" si="137"/>
        <v>46752</v>
      </c>
      <c r="Y379" s="385">
        <f t="shared" si="138"/>
        <v>10.814284492391156</v>
      </c>
      <c r="Z379" s="385">
        <f t="shared" si="139"/>
        <v>11.678211558627842</v>
      </c>
      <c r="AA379" s="386">
        <f t="shared" si="140"/>
        <v>12.573596411381805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7.121151526252649E-2</v>
      </c>
      <c r="AD379" s="231">
        <f>(INDEX(Models!$BJ379:$BT379,,AH379)*(1-AF379)+INDEX(Models!$BJ379:$BT379,,AH379+1)*AF379-ERP_i)*AE379*Ramure*Pc/MaxiM</f>
        <v>1.6072456815286455E-2</v>
      </c>
      <c r="AE379" s="306">
        <f t="shared" si="142"/>
        <v>0.7</v>
      </c>
      <c r="AF379" s="177">
        <f t="shared" si="143"/>
        <v>3.7080608382922264E-5</v>
      </c>
      <c r="AG379" s="919">
        <f t="shared" si="149"/>
        <v>3</v>
      </c>
      <c r="AH379" s="176">
        <f t="shared" si="144"/>
        <v>9</v>
      </c>
      <c r="AI379" s="222">
        <f t="shared" si="145"/>
        <v>3.0000370806083829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8"/>
      <c r="B380" s="912"/>
      <c r="C380" s="954"/>
      <c r="D380" s="609"/>
      <c r="E380" s="387"/>
      <c r="F380" s="387"/>
      <c r="G380" s="610"/>
      <c r="H380" s="603" t="b">
        <f>Wh_hp&gt;='2026'!Maxi_hp</f>
        <v>0</v>
      </c>
      <c r="I380" s="604">
        <f>IF(H380,Wh_hp,'2026'!Maxi_hp)</f>
        <v>18.090408885249197</v>
      </c>
      <c r="J380" s="151">
        <f>IF(H380,An,'2026'!An_max)</f>
        <v>2024</v>
      </c>
      <c r="K380" s="234"/>
      <c r="L380" s="611"/>
      <c r="M380" s="958"/>
      <c r="N380" s="958"/>
      <c r="O380" s="612"/>
      <c r="P380" s="322"/>
      <c r="Q380" s="229"/>
      <c r="R380" s="229"/>
      <c r="S380" s="229"/>
      <c r="T380" s="229"/>
      <c r="U380" s="323"/>
      <c r="V380" s="397">
        <f>(V379+V15)/2</f>
        <v>25.43686043993473</v>
      </c>
      <c r="W380" s="911"/>
      <c r="X380" s="613"/>
      <c r="Y380" s="387"/>
      <c r="Z380" s="387"/>
      <c r="AA380" s="388"/>
      <c r="AB380" s="234"/>
      <c r="AC380" s="614"/>
      <c r="AD380" s="322"/>
      <c r="AE380" s="229"/>
      <c r="AF380" s="229"/>
      <c r="AG380" s="229"/>
      <c r="AH380" s="229"/>
      <c r="AI380" s="615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6.6565351864263378E-2</v>
      </c>
      <c r="M381" s="959"/>
      <c r="N381" s="959"/>
      <c r="O381" s="47">
        <f t="shared" si="152"/>
        <v>8.0885102312609237E-3</v>
      </c>
      <c r="P381" s="168">
        <f t="shared" si="152"/>
        <v>7.4920628179779347E-5</v>
      </c>
      <c r="Q381" s="310">
        <f t="shared" si="152"/>
        <v>0.7</v>
      </c>
      <c r="R381" s="311">
        <f t="shared" si="152"/>
        <v>3.7700911916238589E-5</v>
      </c>
      <c r="S381" s="919">
        <f t="shared" si="152"/>
        <v>-2</v>
      </c>
      <c r="T381" s="176">
        <f t="shared" si="152"/>
        <v>4</v>
      </c>
      <c r="U381" s="252">
        <f>MIN(U15:U380)</f>
        <v>-1.0249492127294249</v>
      </c>
      <c r="V381" s="57">
        <f>MIN(V15:V380)</f>
        <v>23.913736742471379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5.1153422845989734E-2</v>
      </c>
      <c r="AD381" s="168">
        <f t="shared" si="153"/>
        <v>2.2321929740953548E-3</v>
      </c>
      <c r="AE381" s="310">
        <f t="shared" si="153"/>
        <v>0.7</v>
      </c>
      <c r="AF381" s="311">
        <f t="shared" si="153"/>
        <v>7.4907781941746521E-6</v>
      </c>
      <c r="AG381" s="919">
        <f t="shared" si="153"/>
        <v>2</v>
      </c>
      <c r="AH381" s="176">
        <f t="shared" si="153"/>
        <v>8</v>
      </c>
      <c r="AI381" s="226">
        <f>MIN(AI15:AI380)</f>
        <v>2.5000383536445541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29.204900871333596</v>
      </c>
      <c r="C382" s="375"/>
      <c r="D382" s="375">
        <f>AVERAGE(D15:D380)</f>
        <v>31.410545101981608</v>
      </c>
      <c r="E382" s="375">
        <f>AVERAGE(E15:E380)</f>
        <v>32.317270006136482</v>
      </c>
      <c r="F382" s="376">
        <f>AVERAGE(F15:F380)</f>
        <v>32.349177660209982</v>
      </c>
      <c r="G382" s="126">
        <f>AVERAGE(G15:G380)</f>
        <v>0.67012108058091369</v>
      </c>
      <c r="H382" s="94"/>
      <c r="I382" s="376">
        <f>AVERAGE(I15:I380)</f>
        <v>44.058562201285575</v>
      </c>
      <c r="J382" s="59">
        <f>AVERAGE(J15:J380)</f>
        <v>2020.9562841530055</v>
      </c>
      <c r="K382" s="200" t="s">
        <v>8</v>
      </c>
      <c r="L382" s="147">
        <f t="shared" ref="L382:V382" si="154">AVERAGE(L15:L380)</f>
        <v>7.0276429978384167E-2</v>
      </c>
      <c r="M382" s="957"/>
      <c r="N382" s="957"/>
      <c r="O382" s="48">
        <f t="shared" si="154"/>
        <v>3.1107637686772039E-2</v>
      </c>
      <c r="P382" s="169">
        <f t="shared" si="154"/>
        <v>1.0987442416207096E-3</v>
      </c>
      <c r="Q382" s="312">
        <f t="shared" si="154"/>
        <v>0.69999999999999529</v>
      </c>
      <c r="R382" s="177">
        <f t="shared" si="154"/>
        <v>0.49877000070807537</v>
      </c>
      <c r="S382" s="919">
        <f t="shared" si="154"/>
        <v>-1.2438356164383562</v>
      </c>
      <c r="T382" s="176">
        <f t="shared" si="154"/>
        <v>4.7561643835616438</v>
      </c>
      <c r="U382" s="251">
        <f>AVERAGE(U15:U380)</f>
        <v>-0.74506561573028107</v>
      </c>
      <c r="V382" s="59">
        <f t="shared" si="154"/>
        <v>42.033608017520095</v>
      </c>
      <c r="X382" s="112" t="s">
        <v>8</v>
      </c>
      <c r="Y382" s="375">
        <f>AVERAGE(Y15:Y380)</f>
        <v>27.957241086907395</v>
      </c>
      <c r="Z382" s="375">
        <f>AVERAGE(Z15:Z380)</f>
        <v>30.068511117654765</v>
      </c>
      <c r="AA382" s="375">
        <f>AVERAGE(AA15:AA380)</f>
        <v>32.17344959946827</v>
      </c>
      <c r="AB382" s="200" t="s">
        <v>8</v>
      </c>
      <c r="AC382" s="48">
        <f t="shared" ref="AC382:AH382" si="155">AVERAGE(AC15:AC380)</f>
        <v>6.7236864535297064E-2</v>
      </c>
      <c r="AD382" s="169">
        <f t="shared" si="155"/>
        <v>8.7317462757788063E-3</v>
      </c>
      <c r="AE382" s="312">
        <f t="shared" si="155"/>
        <v>0.69999999999999529</v>
      </c>
      <c r="AF382" s="177">
        <f t="shared" si="155"/>
        <v>0.7415657862601357</v>
      </c>
      <c r="AG382" s="919">
        <f t="shared" si="155"/>
        <v>2.0383561643835617</v>
      </c>
      <c r="AH382" s="176">
        <f t="shared" si="155"/>
        <v>8.0383561643835613</v>
      </c>
      <c r="AI382" s="225">
        <f>AVERAGE(AI15:AI380)</f>
        <v>2.7799219506436996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55.254448566590334</v>
      </c>
      <c r="C383" s="377"/>
      <c r="D383" s="377">
        <f>MAX(D15:D380)</f>
        <v>59.38696722656028</v>
      </c>
      <c r="E383" s="377">
        <f>MAX(E15:E380)</f>
        <v>60.131689264441043</v>
      </c>
      <c r="F383" s="378">
        <f>MAX(F15:F380)</f>
        <v>60.258802059722228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2027</v>
      </c>
      <c r="K383" s="200" t="s">
        <v>9</v>
      </c>
      <c r="L383" s="148">
        <f t="shared" ref="L383:T383" si="156">MAX(L15:L380)</f>
        <v>7.3977685872492871E-2</v>
      </c>
      <c r="M383" s="960"/>
      <c r="N383" s="960"/>
      <c r="O383" s="49">
        <f t="shared" si="156"/>
        <v>5.1031344623591136E-2</v>
      </c>
      <c r="P383" s="170">
        <f t="shared" si="156"/>
        <v>3.6898509356329428E-3</v>
      </c>
      <c r="Q383" s="313">
        <f t="shared" si="156"/>
        <v>0.7</v>
      </c>
      <c r="R383" s="314">
        <f t="shared" si="156"/>
        <v>0.99905457642825191</v>
      </c>
      <c r="S383" s="920">
        <f t="shared" si="156"/>
        <v>-1</v>
      </c>
      <c r="T383" s="233">
        <f t="shared" si="156"/>
        <v>5</v>
      </c>
      <c r="U383" s="253">
        <f>MAX(U15:U380)</f>
        <v>-0.52495048576559578</v>
      </c>
      <c r="V383" s="60">
        <f>MAX(V15:V380)</f>
        <v>54.938847906452402</v>
      </c>
      <c r="X383" s="112" t="s">
        <v>9</v>
      </c>
      <c r="Y383" s="377">
        <f>MAX(Y15:Y380)</f>
        <v>52.583048148752376</v>
      </c>
      <c r="Z383" s="377">
        <f>MAX(Z15:Z380)</f>
        <v>56.515770912439649</v>
      </c>
      <c r="AA383" s="377">
        <f>MAX(AA15:AA380)</f>
        <v>59.800065891179003</v>
      </c>
      <c r="AB383" s="200" t="s">
        <v>9</v>
      </c>
      <c r="AC383" s="49">
        <f t="shared" ref="AC383:AH383" si="157">MAX(AC15:AC380)</f>
        <v>8.0216649699416165E-2</v>
      </c>
      <c r="AD383" s="170">
        <f t="shared" si="157"/>
        <v>2.0088297699954519E-2</v>
      </c>
      <c r="AE383" s="313">
        <f t="shared" si="157"/>
        <v>0.7</v>
      </c>
      <c r="AF383" s="314">
        <f t="shared" si="157"/>
        <v>0.99999930215852517</v>
      </c>
      <c r="AG383" s="920">
        <f t="shared" si="157"/>
        <v>3</v>
      </c>
      <c r="AH383" s="233">
        <f t="shared" si="157"/>
        <v>9</v>
      </c>
      <c r="AI383" s="227">
        <f>MAX(AI15:AI380)</f>
        <v>3.0000370806083829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6" priority="6" stopIfTrue="1" operator="lessThan">
      <formula>0.01</formula>
    </cfRule>
    <cfRule type="cellIs" dxfId="15" priority="7" stopIfTrue="1" operator="greaterThan">
      <formula>0.05</formula>
    </cfRule>
  </conditionalFormatting>
  <conditionalFormatting sqref="G15:G379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5"/>
  <sheetViews>
    <sheetView topLeftCell="A18" zoomScaleNormal="100" workbookViewId="0">
      <selection activeCell="D7" sqref="D7"/>
    </sheetView>
  </sheetViews>
  <sheetFormatPr baseColWidth="10" defaultRowHeight="15" x14ac:dyDescent="0.25"/>
  <cols>
    <col min="1" max="1" width="23.7109375" style="15" customWidth="1"/>
    <col min="2" max="5" width="8.85546875" style="15" customWidth="1"/>
    <col min="6" max="6" width="8.85546875" style="3" customWidth="1"/>
    <col min="7" max="7" width="8.85546875" style="21" customWidth="1"/>
    <col min="8" max="8" width="8.85546875" style="20" customWidth="1"/>
    <col min="9" max="9" width="8.85546875" style="15" customWidth="1"/>
    <col min="10" max="10" width="9" style="15" customWidth="1"/>
    <col min="11" max="11" width="9" style="3" customWidth="1"/>
    <col min="12" max="12" width="9" style="15" customWidth="1"/>
    <col min="13" max="13" width="9" style="646" customWidth="1"/>
    <col min="14" max="14" width="8.140625" style="646" customWidth="1"/>
    <col min="15" max="16" width="8.140625" style="15" customWidth="1"/>
    <col min="17" max="17" width="8.140625" style="21" customWidth="1"/>
    <col min="18" max="18" width="8.140625" style="342" customWidth="1"/>
    <col min="19" max="19" width="8.140625" style="21" customWidth="1"/>
    <col min="20" max="20" width="8.140625" style="15" customWidth="1"/>
    <col min="21" max="21" width="8.140625" style="21" customWidth="1"/>
    <col min="22" max="22" width="8.140625" style="15" customWidth="1"/>
    <col min="23" max="23" width="7.5703125" style="21" customWidth="1"/>
    <col min="24" max="24" width="7.5703125" style="753" customWidth="1"/>
    <col min="25" max="25" width="7.5703125" style="21" customWidth="1"/>
    <col min="26" max="26" width="7.28515625" style="15" bestFit="1" customWidth="1"/>
    <col min="27" max="27" width="8.5703125" style="21" customWidth="1"/>
    <col min="28" max="28" width="6.7109375" style="15" bestFit="1" customWidth="1"/>
    <col min="29" max="16384" width="11.42578125" style="15"/>
  </cols>
  <sheetData>
    <row r="1" spans="1:29" ht="21.75" thickBot="1" x14ac:dyDescent="0.4">
      <c r="A1" s="687" t="str">
        <f>"Calcul Masques  "&amp;Station</f>
        <v>Calcul Masques  Aureville</v>
      </c>
      <c r="B1" s="1161" t="str">
        <f>Station</f>
        <v>Aureville</v>
      </c>
      <c r="C1" s="1162"/>
      <c r="D1" s="1162"/>
      <c r="E1" s="1162"/>
      <c r="F1" s="1163"/>
      <c r="H1" s="1168">
        <v>44547</v>
      </c>
      <c r="I1" s="1169"/>
      <c r="K1" s="875" t="s">
        <v>176</v>
      </c>
      <c r="L1" s="689"/>
      <c r="M1" s="689"/>
      <c r="N1" s="690"/>
      <c r="O1" s="690"/>
      <c r="P1" s="689"/>
      <c r="Q1" s="689"/>
      <c r="R1" s="691"/>
      <c r="S1" s="692"/>
      <c r="T1" s="691"/>
      <c r="U1" s="689"/>
      <c r="V1" s="691"/>
      <c r="W1" s="689"/>
      <c r="X1" s="15"/>
      <c r="Y1" s="15"/>
      <c r="AA1" s="15"/>
    </row>
    <row r="2" spans="1:29" s="6" customFormat="1" ht="15.75" customHeight="1" x14ac:dyDescent="0.2">
      <c r="A2" s="1069"/>
      <c r="C2" s="693"/>
      <c r="D2" s="694"/>
      <c r="E2" s="1170" t="s">
        <v>199</v>
      </c>
      <c r="F2" s="1170"/>
      <c r="G2" s="26"/>
      <c r="H2" s="25"/>
      <c r="K2" s="8"/>
      <c r="M2" s="18"/>
      <c r="N2" s="62"/>
      <c r="Q2" s="26"/>
      <c r="R2" s="695"/>
      <c r="S2" s="26"/>
      <c r="U2" s="26"/>
    </row>
    <row r="3" spans="1:29" ht="15.75" x14ac:dyDescent="0.25">
      <c r="A3" s="696" t="s">
        <v>142</v>
      </c>
      <c r="B3" s="697"/>
      <c r="C3" s="697"/>
      <c r="E3" s="1171"/>
      <c r="F3" s="1171"/>
      <c r="G3" s="20"/>
      <c r="N3" s="698"/>
      <c r="W3" s="15"/>
      <c r="X3" s="15"/>
      <c r="Y3" s="15"/>
      <c r="AA3" s="15"/>
    </row>
    <row r="4" spans="1:29" s="25" customFormat="1" ht="12" thickBot="1" x14ac:dyDescent="0.25">
      <c r="A4" s="699" t="s">
        <v>143</v>
      </c>
      <c r="B4" s="699" t="s">
        <v>144</v>
      </c>
      <c r="C4" s="699" t="s">
        <v>145</v>
      </c>
      <c r="D4" s="699" t="s">
        <v>146</v>
      </c>
      <c r="E4" s="700" t="s">
        <v>174</v>
      </c>
      <c r="F4" s="700" t="s">
        <v>198</v>
      </c>
      <c r="M4" s="18"/>
      <c r="N4" s="701"/>
      <c r="O4" s="6"/>
      <c r="P4" s="6"/>
      <c r="R4" s="695"/>
      <c r="S4" s="26"/>
      <c r="T4" s="6"/>
      <c r="U4" s="26"/>
      <c r="V4" s="6"/>
    </row>
    <row r="5" spans="1:29" ht="16.5" thickBot="1" x14ac:dyDescent="0.3">
      <c r="A5" s="702" t="s">
        <v>147</v>
      </c>
      <c r="B5" s="648">
        <v>2</v>
      </c>
      <c r="C5" s="644">
        <v>15</v>
      </c>
      <c r="D5" s="650">
        <f>+C5*B5</f>
        <v>30</v>
      </c>
      <c r="E5" s="649">
        <v>0.3</v>
      </c>
      <c r="F5" s="703">
        <f>+D5*E5</f>
        <v>9</v>
      </c>
      <c r="G5" s="646"/>
      <c r="H5" s="704" t="s">
        <v>16</v>
      </c>
      <c r="I5" s="626">
        <v>0.33</v>
      </c>
      <c r="J5" s="647">
        <f>DEGREES(ATAN(I5))</f>
        <v>18.262889942194128</v>
      </c>
      <c r="K5" s="932" t="s">
        <v>88</v>
      </c>
      <c r="N5" s="698"/>
      <c r="W5" s="15"/>
      <c r="X5" s="15"/>
      <c r="Y5" s="15"/>
      <c r="AA5" s="15"/>
    </row>
    <row r="6" spans="1:29" s="6" customFormat="1" ht="12" thickBot="1" x14ac:dyDescent="0.25">
      <c r="A6" s="561" t="s">
        <v>141</v>
      </c>
      <c r="B6" s="8">
        <f>1.776+0.002+0.01</f>
        <v>1.788</v>
      </c>
      <c r="C6" s="8">
        <f>1.052+0.002+0.01</f>
        <v>1.0640000000000001</v>
      </c>
      <c r="E6" s="645"/>
      <c r="F6" s="600"/>
      <c r="G6" s="25"/>
      <c r="H6" s="25"/>
      <c r="J6" s="8"/>
      <c r="M6" s="18"/>
      <c r="N6" s="62"/>
      <c r="Q6" s="26"/>
      <c r="R6" s="695"/>
      <c r="S6" s="26"/>
      <c r="U6" s="26"/>
    </row>
    <row r="7" spans="1:29" s="6" customFormat="1" ht="19.5" thickBot="1" x14ac:dyDescent="0.35">
      <c r="A7" s="16" t="s">
        <v>170</v>
      </c>
      <c r="D7" s="705"/>
      <c r="F7" s="8"/>
      <c r="G7" s="26"/>
      <c r="H7" s="706" t="s">
        <v>15</v>
      </c>
      <c r="I7" s="627">
        <v>20</v>
      </c>
      <c r="J7" s="929">
        <f>90-J5</f>
        <v>71.737110057805864</v>
      </c>
      <c r="K7" s="932" t="s">
        <v>88</v>
      </c>
      <c r="L7" s="707" t="s">
        <v>148</v>
      </c>
      <c r="M7" s="26"/>
      <c r="N7" s="18"/>
      <c r="O7" s="18"/>
      <c r="R7" s="707" t="s">
        <v>148</v>
      </c>
      <c r="T7" s="26"/>
      <c r="U7" s="26"/>
      <c r="X7" s="708"/>
      <c r="Y7" s="695"/>
    </row>
    <row r="8" spans="1:29" s="19" customFormat="1" ht="15.75" x14ac:dyDescent="0.25">
      <c r="A8" s="696" t="s">
        <v>177</v>
      </c>
      <c r="D8" s="105"/>
      <c r="F8" s="136" t="s">
        <v>248</v>
      </c>
      <c r="G8" s="876">
        <v>1.54</v>
      </c>
      <c r="H8" s="29"/>
      <c r="I8" s="31"/>
      <c r="K8" s="709" t="s">
        <v>178</v>
      </c>
      <c r="L8" s="29"/>
      <c r="N8" s="29"/>
      <c r="O8" s="34"/>
      <c r="Q8" s="709" t="s">
        <v>179</v>
      </c>
      <c r="R8" s="29"/>
      <c r="T8" s="29"/>
      <c r="U8" s="29"/>
      <c r="X8" s="709" t="s">
        <v>180</v>
      </c>
      <c r="Y8" s="710"/>
    </row>
    <row r="9" spans="1:29" s="19" customFormat="1" x14ac:dyDescent="0.25">
      <c r="A9" s="711" t="s">
        <v>181</v>
      </c>
      <c r="B9" s="711" t="s">
        <v>182</v>
      </c>
      <c r="C9" s="711" t="s">
        <v>183</v>
      </c>
      <c r="D9" s="711" t="s">
        <v>184</v>
      </c>
      <c r="E9" s="711" t="s">
        <v>185</v>
      </c>
      <c r="F9" s="711" t="s">
        <v>186</v>
      </c>
      <c r="G9" s="711" t="s">
        <v>187</v>
      </c>
      <c r="H9" s="712" t="s">
        <v>151</v>
      </c>
      <c r="I9" s="713" t="s">
        <v>188</v>
      </c>
      <c r="K9" s="714" t="s">
        <v>153</v>
      </c>
      <c r="L9" s="715" t="s">
        <v>154</v>
      </c>
      <c r="M9" s="715" t="s">
        <v>155</v>
      </c>
      <c r="N9" s="715" t="s">
        <v>156</v>
      </c>
      <c r="O9" s="34"/>
      <c r="Q9" s="714" t="s">
        <v>153</v>
      </c>
      <c r="R9" s="715" t="s">
        <v>154</v>
      </c>
      <c r="S9" s="715" t="s">
        <v>155</v>
      </c>
      <c r="T9" s="715" t="s">
        <v>156</v>
      </c>
      <c r="U9" s="559"/>
      <c r="V9" s="881" t="s">
        <v>263</v>
      </c>
    </row>
    <row r="10" spans="1:29" s="19" customFormat="1" x14ac:dyDescent="0.25">
      <c r="A10" s="877" t="s">
        <v>295</v>
      </c>
      <c r="B10" s="637">
        <v>-1.07</v>
      </c>
      <c r="C10" s="638">
        <v>-2.0499999999999998</v>
      </c>
      <c r="D10" s="628">
        <f>DEGREES(ATAN2(H10,F10))</f>
        <v>-1.6264944714107099</v>
      </c>
      <c r="E10" s="628">
        <f>DEGREES(ATAN2(H10,G10))</f>
        <v>-3.1139487391877281</v>
      </c>
      <c r="F10" s="638">
        <f>-Hobs1+Hrm</f>
        <v>-1.6814285714285719</v>
      </c>
      <c r="G10" s="638">
        <f>-Hobs1</f>
        <v>-3.221428571428572</v>
      </c>
      <c r="H10" s="555">
        <f>SQRT(POWER(M10-S$10,2)+POWER(L10-R$10,2))</f>
        <v>59.215006543950047</v>
      </c>
      <c r="I10" s="716">
        <f>(D10-E10)/(B10-C10)</f>
        <v>1.5178104773234884</v>
      </c>
      <c r="J10" s="43"/>
      <c r="K10" s="878" t="str">
        <f>A10</f>
        <v>Poteau vert de cloture ouest</v>
      </c>
      <c r="L10" s="629">
        <v>4861.67</v>
      </c>
      <c r="M10" s="636">
        <v>5370.05</v>
      </c>
      <c r="N10" s="630">
        <v>204.9</v>
      </c>
      <c r="O10" s="933"/>
      <c r="P10" s="933"/>
      <c r="Q10" s="879" t="s">
        <v>296</v>
      </c>
      <c r="R10" s="629">
        <v>4878.1000000000004</v>
      </c>
      <c r="S10" s="636">
        <v>5313.16</v>
      </c>
      <c r="T10" s="630">
        <v>208.9</v>
      </c>
      <c r="U10" s="717" t="s">
        <v>189</v>
      </c>
      <c r="V10" s="1001">
        <f>Hrm*C10/(C10-B10)</f>
        <v>3.221428571428572</v>
      </c>
      <c r="W10" s="43" t="s">
        <v>87</v>
      </c>
      <c r="X10" s="631" t="s">
        <v>299</v>
      </c>
      <c r="Y10" s="635"/>
      <c r="Z10" s="559"/>
      <c r="AA10" s="559"/>
      <c r="AC10" s="19">
        <v>1</v>
      </c>
    </row>
    <row r="11" spans="1:29" s="19" customFormat="1" x14ac:dyDescent="0.25">
      <c r="A11" s="877" t="s">
        <v>295</v>
      </c>
      <c r="B11" s="637">
        <v>15.42</v>
      </c>
      <c r="C11" s="638">
        <v>-5.29</v>
      </c>
      <c r="D11" s="628">
        <f>DEGREES(ATAN2(H11,F11))</f>
        <v>6.5904409726816313</v>
      </c>
      <c r="E11" s="628">
        <f>DEGREES(ATAN2(H11,G11))</f>
        <v>-2.172470965280497</v>
      </c>
      <c r="F11" s="638">
        <f>1+0.2*(0.7967)</f>
        <v>1.15934</v>
      </c>
      <c r="G11" s="638">
        <f>F11-+Hrm</f>
        <v>-0.38066</v>
      </c>
      <c r="H11" s="555">
        <f>SQRT(POWER(M11-S$11,2)+POWER(L11-R$11,2))</f>
        <v>10.034545331005114</v>
      </c>
      <c r="I11" s="716">
        <f>(D11-E11)/(B11-C11)</f>
        <v>0.42312467107494584</v>
      </c>
      <c r="J11" s="117"/>
      <c r="K11" s="878" t="str">
        <f>A11</f>
        <v>Poteau vert de cloture ouest</v>
      </c>
      <c r="L11" s="629">
        <v>4861.67</v>
      </c>
      <c r="M11" s="636">
        <v>5370.05</v>
      </c>
      <c r="N11" s="630">
        <v>204.9</v>
      </c>
      <c r="O11" s="934"/>
      <c r="P11" s="934"/>
      <c r="Q11" s="880" t="s">
        <v>297</v>
      </c>
      <c r="R11" s="629">
        <v>4870.03</v>
      </c>
      <c r="S11" s="636">
        <v>5364.5</v>
      </c>
      <c r="T11" s="630">
        <v>205.27</v>
      </c>
      <c r="U11" s="718" t="s">
        <v>190</v>
      </c>
      <c r="V11" s="632">
        <f>-G11</f>
        <v>0.38066</v>
      </c>
      <c r="W11" s="117" t="s">
        <v>87</v>
      </c>
      <c r="X11" s="633" t="s">
        <v>300</v>
      </c>
      <c r="Y11" s="635"/>
      <c r="Z11" s="559"/>
      <c r="AA11" s="559"/>
      <c r="AC11" s="19">
        <v>2</v>
      </c>
    </row>
    <row r="12" spans="1:29" s="19" customFormat="1" x14ac:dyDescent="0.25">
      <c r="A12" s="877" t="s">
        <v>295</v>
      </c>
      <c r="B12" s="637">
        <v>0.69</v>
      </c>
      <c r="C12" s="638">
        <v>-1.24</v>
      </c>
      <c r="D12" s="628">
        <f>DEGREES(ATAN2(H12,F12))</f>
        <v>1.2688352779644818</v>
      </c>
      <c r="E12" s="628">
        <f>DEGREES(ATAN2(H12,G12))</f>
        <v>-2.2793952615902566</v>
      </c>
      <c r="F12" s="638">
        <f>Hrm*B12/(B12-C12)</f>
        <v>0.55056994818652849</v>
      </c>
      <c r="G12" s="638">
        <f>F12-Hrm</f>
        <v>-0.98943005181347154</v>
      </c>
      <c r="H12" s="555">
        <f>SQRT(POWER(M12-S$12,2)+POWER(L12-R$12,2))</f>
        <v>24.857582344226568</v>
      </c>
      <c r="I12" s="716">
        <f>(D12-E12)/(B12-C12)</f>
        <v>1.8384614194584137</v>
      </c>
      <c r="J12" s="117"/>
      <c r="K12" s="878" t="str">
        <f>A12</f>
        <v>Poteau vert de cloture ouest</v>
      </c>
      <c r="L12" s="629">
        <v>4861.67</v>
      </c>
      <c r="M12" s="636">
        <v>5370.05</v>
      </c>
      <c r="N12" s="630">
        <v>204.9</v>
      </c>
      <c r="O12" s="934"/>
      <c r="P12" s="934"/>
      <c r="Q12" s="880" t="s">
        <v>298</v>
      </c>
      <c r="R12" s="629">
        <v>4881.3</v>
      </c>
      <c r="S12" s="636">
        <v>5354.8</v>
      </c>
      <c r="T12" s="630">
        <v>205.7</v>
      </c>
      <c r="U12" s="718" t="s">
        <v>249</v>
      </c>
      <c r="V12" s="632">
        <f>-G12</f>
        <v>0.98943005181347154</v>
      </c>
      <c r="W12" s="117" t="s">
        <v>87</v>
      </c>
      <c r="X12" s="633" t="s">
        <v>301</v>
      </c>
      <c r="Y12" s="635"/>
      <c r="Z12" s="559"/>
      <c r="AA12" s="559"/>
      <c r="AC12" s="19">
        <v>3</v>
      </c>
    </row>
    <row r="13" spans="1:29" s="6" customFormat="1" ht="12" thickBot="1" x14ac:dyDescent="0.25">
      <c r="A13" s="561"/>
      <c r="B13" s="1070" t="s">
        <v>311</v>
      </c>
      <c r="C13" s="895"/>
      <c r="D13" s="564"/>
      <c r="E13" s="895"/>
      <c r="F13" s="564"/>
      <c r="G13" s="895"/>
      <c r="H13" s="74"/>
      <c r="I13" s="896"/>
      <c r="N13" s="18"/>
      <c r="O13" s="18"/>
      <c r="T13" s="897"/>
      <c r="U13" s="26"/>
      <c r="X13" s="26"/>
      <c r="Y13" s="695"/>
      <c r="Z13" s="898"/>
      <c r="AA13" s="899"/>
      <c r="AB13" s="900"/>
      <c r="AC13" s="899"/>
    </row>
    <row r="14" spans="1:29" s="19" customFormat="1" ht="16.5" thickBot="1" x14ac:dyDescent="0.3">
      <c r="A14" s="696" t="s">
        <v>168</v>
      </c>
      <c r="B14" s="721"/>
      <c r="C14" s="28"/>
      <c r="D14" s="28"/>
      <c r="E14" s="28"/>
      <c r="F14" s="28"/>
      <c r="H14" s="569" t="s">
        <v>76</v>
      </c>
      <c r="I14" s="677">
        <f>+(1.65+F16)/2</f>
        <v>1.7409340182666828</v>
      </c>
      <c r="K14" s="6"/>
      <c r="L14" s="707" t="s">
        <v>148</v>
      </c>
      <c r="M14" s="71"/>
      <c r="N14" s="710"/>
      <c r="P14" s="415"/>
      <c r="V14" s="29"/>
      <c r="Y14" s="29"/>
    </row>
    <row r="15" spans="1:29" s="19" customFormat="1" ht="12.75" x14ac:dyDescent="0.2">
      <c r="A15" s="722" t="s">
        <v>153</v>
      </c>
      <c r="B15" s="723" t="s">
        <v>191</v>
      </c>
      <c r="C15" s="722" t="s">
        <v>149</v>
      </c>
      <c r="D15" s="722" t="s">
        <v>150</v>
      </c>
      <c r="E15" s="722" t="s">
        <v>151</v>
      </c>
      <c r="F15" s="722" t="s">
        <v>152</v>
      </c>
      <c r="G15" s="722" t="s">
        <v>158</v>
      </c>
      <c r="H15" s="722" t="s">
        <v>157</v>
      </c>
      <c r="I15" s="722" t="s">
        <v>159</v>
      </c>
      <c r="J15" s="724" t="s">
        <v>192</v>
      </c>
      <c r="K15" s="725" t="s">
        <v>153</v>
      </c>
      <c r="L15" s="722" t="s">
        <v>154</v>
      </c>
      <c r="M15" s="722" t="s">
        <v>155</v>
      </c>
      <c r="N15" s="722" t="s">
        <v>156</v>
      </c>
      <c r="O15" s="29"/>
      <c r="P15" s="247"/>
    </row>
    <row r="16" spans="1:29" s="19" customFormat="1" ht="12.75" x14ac:dyDescent="0.2">
      <c r="A16" s="1002" t="s">
        <v>160</v>
      </c>
      <c r="B16" s="678">
        <f>1</f>
        <v>1</v>
      </c>
      <c r="C16" s="638">
        <v>-0.92</v>
      </c>
      <c r="D16" s="1003">
        <f>C16*CHOOSE(B16,Rata1,Rata2,Rata3)</f>
        <v>-1.3963856391376095</v>
      </c>
      <c r="E16" s="1004">
        <f>SQRT(+POWER(L16-CHOOSE(B16,$R$10,$R$11,$R$12),2)+POWER(M16-CHOOSE(B16,$S$10,$S$11,$S$12),2))</f>
        <v>57.00444631780929</v>
      </c>
      <c r="F16" s="1003">
        <f>E16*TAN(RADIANS(D16))+CHOOSE(B16,Hobs1,Hobs2,Hobs3)</f>
        <v>1.8318680365333657</v>
      </c>
      <c r="G16" s="1017"/>
      <c r="H16" s="1018"/>
      <c r="I16" s="1019"/>
      <c r="J16" s="724" t="s">
        <v>193</v>
      </c>
      <c r="K16" s="1024" t="s">
        <v>160</v>
      </c>
      <c r="L16" s="629">
        <v>4872.72</v>
      </c>
      <c r="M16" s="630">
        <v>5369.91</v>
      </c>
      <c r="N16" s="630">
        <v>202.8</v>
      </c>
      <c r="O16" s="29"/>
      <c r="P16" s="726"/>
      <c r="V16" s="29"/>
    </row>
    <row r="17" spans="1:16" s="39" customFormat="1" ht="12.75" x14ac:dyDescent="0.2">
      <c r="A17" s="1005" t="s">
        <v>169</v>
      </c>
      <c r="B17" s="679"/>
      <c r="C17" s="638"/>
      <c r="D17" s="1010"/>
      <c r="E17" s="1011"/>
      <c r="F17" s="1010"/>
      <c r="G17" s="1015"/>
      <c r="H17" s="681">
        <f>-180+Azi_pv</f>
        <v>-160</v>
      </c>
      <c r="I17" s="682">
        <f>+$J$5</f>
        <v>18.262889942194128</v>
      </c>
      <c r="J17" s="1023">
        <f t="shared" ref="J17:J33" si="0">H18-H17</f>
        <v>82.709518625889586</v>
      </c>
      <c r="K17" s="1025" t="str">
        <f>A17</f>
        <v>Arrière PV</v>
      </c>
      <c r="L17" s="636"/>
      <c r="M17" s="636"/>
      <c r="N17" s="630"/>
      <c r="O17" s="728"/>
      <c r="P17" s="729"/>
    </row>
    <row r="18" spans="1:16" s="19" customFormat="1" ht="12.75" x14ac:dyDescent="0.2">
      <c r="A18" s="1009" t="s">
        <v>302</v>
      </c>
      <c r="B18" s="683">
        <v>1</v>
      </c>
      <c r="C18" s="638">
        <v>0.87</v>
      </c>
      <c r="D18" s="1010">
        <f t="shared" ref="D18:D33" si="1">C18*CHOOSE(B18,Rata1,Rata2,Rata3)</f>
        <v>1.3204951152714348</v>
      </c>
      <c r="E18" s="1011">
        <f t="shared" ref="E18:E33" si="2">SQRT(+POWER(L18-CHOOSE(B18,$R$10,$R$11,$R$12),2)+POWER(M18-CHOOSE(B18,$S$10,$S$11,$S$12),2))</f>
        <v>54.178109970724968</v>
      </c>
      <c r="F18" s="1010">
        <f t="shared" ref="F18:F33" si="3">E18*TAN(RADIANS(D18))+CHOOSE(B18,Hobs1,Hobs2,Hobs3)</f>
        <v>4.4702919204338967</v>
      </c>
      <c r="G18" s="1012">
        <f t="shared" ref="G18:G33" si="4">SQRT(POWER($M18-$M$16,2)+POWER($L18-$L$16,2))</f>
        <v>18.226587722335541</v>
      </c>
      <c r="H18" s="1013">
        <f>-90-DEGREES(ATAN2($L18-$L$16,$M18-$M$16))</f>
        <v>-77.290481374110414</v>
      </c>
      <c r="I18" s="888">
        <f>DEGREES(ATAN2(G18,$F18-I$14))</f>
        <v>8.5165300307350549</v>
      </c>
      <c r="J18" s="1023">
        <f t="shared" si="0"/>
        <v>28.290481374110414</v>
      </c>
      <c r="K18" s="1025" t="str">
        <f>A18</f>
        <v>Arbre 0</v>
      </c>
      <c r="L18" s="636">
        <v>4890.5</v>
      </c>
      <c r="M18" s="636">
        <v>5365.9</v>
      </c>
      <c r="N18" s="630">
        <v>204.5</v>
      </c>
      <c r="O18" s="29"/>
      <c r="P18" s="726"/>
    </row>
    <row r="19" spans="1:16" s="34" customFormat="1" ht="12.75" x14ac:dyDescent="0.2">
      <c r="A19" s="1020" t="s">
        <v>162</v>
      </c>
      <c r="B19" s="683">
        <f>2</f>
        <v>2</v>
      </c>
      <c r="C19" s="638">
        <v>24.62</v>
      </c>
      <c r="D19" s="1010">
        <f t="shared" si="1"/>
        <v>10.417329401865167</v>
      </c>
      <c r="E19" s="1011">
        <f t="shared" si="2"/>
        <v>30.781502562415838</v>
      </c>
      <c r="F19" s="1010">
        <f t="shared" si="3"/>
        <v>6.0397470625788072</v>
      </c>
      <c r="G19" s="1012">
        <f t="shared" si="4"/>
        <v>32.317588090697328</v>
      </c>
      <c r="H19" s="1021">
        <v>-49</v>
      </c>
      <c r="I19" s="888">
        <f>DEGREES(ATAN2(G19,$F19-I$14))</f>
        <v>7.5768772100888402</v>
      </c>
      <c r="J19" s="1023">
        <f t="shared" si="0"/>
        <v>8.2048937322280509</v>
      </c>
      <c r="K19" s="1026" t="str">
        <f>A19</f>
        <v>Arbre 2</v>
      </c>
      <c r="L19" s="636">
        <v>4895</v>
      </c>
      <c r="M19" s="636">
        <v>5346.5</v>
      </c>
      <c r="N19" s="630">
        <v>205.9</v>
      </c>
      <c r="O19" s="733"/>
      <c r="P19" s="726"/>
    </row>
    <row r="20" spans="1:16" s="34" customFormat="1" ht="12.75" x14ac:dyDescent="0.2">
      <c r="A20" s="1020" t="s">
        <v>161</v>
      </c>
      <c r="B20" s="683">
        <v>1</v>
      </c>
      <c r="C20" s="638">
        <v>0.38</v>
      </c>
      <c r="D20" s="1010">
        <f t="shared" si="1"/>
        <v>0.57676798138292562</v>
      </c>
      <c r="E20" s="1011">
        <f t="shared" si="2"/>
        <v>47.135566189449733</v>
      </c>
      <c r="F20" s="1010">
        <f t="shared" si="3"/>
        <v>3.6959347904367914</v>
      </c>
      <c r="G20" s="1012">
        <f t="shared" si="4"/>
        <v>12.826086698599948</v>
      </c>
      <c r="H20" s="1013">
        <f t="shared" ref="H20:H30" si="5">-90-DEGREES(ATAN2(($L20-$L$16),($M20-$M$16)))</f>
        <v>-40.795106267771949</v>
      </c>
      <c r="I20" s="888">
        <f>DEGREES(ATAN2(G20,$F20-I$14))</f>
        <v>8.6665342510555572</v>
      </c>
      <c r="J20" s="1023">
        <f t="shared" si="0"/>
        <v>12.276794212043619</v>
      </c>
      <c r="K20" s="1026" t="str">
        <f>A20</f>
        <v>Arbre 1</v>
      </c>
      <c r="L20" s="636">
        <v>4881.1000000000004</v>
      </c>
      <c r="M20" s="636">
        <v>5360.2</v>
      </c>
      <c r="N20" s="630">
        <v>205.21</v>
      </c>
      <c r="O20" s="733"/>
      <c r="P20" s="726"/>
    </row>
    <row r="21" spans="1:16" s="34" customFormat="1" ht="12.75" x14ac:dyDescent="0.2">
      <c r="A21" s="1009" t="s">
        <v>163</v>
      </c>
      <c r="B21" s="683">
        <f>2</f>
        <v>2</v>
      </c>
      <c r="C21" s="638">
        <v>22.05</v>
      </c>
      <c r="D21" s="1010">
        <f t="shared" si="1"/>
        <v>9.3298989972025552</v>
      </c>
      <c r="E21" s="1011">
        <f t="shared" si="2"/>
        <v>35.582705068614779</v>
      </c>
      <c r="F21" s="1010">
        <f t="shared" si="3"/>
        <v>6.2266193138683672</v>
      </c>
      <c r="G21" s="1012">
        <f t="shared" si="4"/>
        <v>38.70646586812078</v>
      </c>
      <c r="H21" s="1013">
        <f t="shared" si="5"/>
        <v>-28.51831205572833</v>
      </c>
      <c r="I21" s="888">
        <f>DEGREES(ATAN2(G21,$F21-I$14))</f>
        <v>6.610508690823294</v>
      </c>
      <c r="J21" s="1023">
        <f t="shared" si="0"/>
        <v>8.6797490353349929</v>
      </c>
      <c r="K21" s="1026" t="str">
        <f t="shared" ref="K21:K35" si="6">A21</f>
        <v>Arbre 3</v>
      </c>
      <c r="L21" s="636">
        <v>4891.2</v>
      </c>
      <c r="M21" s="636">
        <v>5335.9</v>
      </c>
      <c r="N21" s="630">
        <v>206.5</v>
      </c>
      <c r="O21" s="733"/>
      <c r="P21" s="726"/>
    </row>
    <row r="22" spans="1:16" s="34" customFormat="1" ht="12.75" x14ac:dyDescent="0.2">
      <c r="A22" s="1009" t="s">
        <v>164</v>
      </c>
      <c r="B22" s="683">
        <f>2</f>
        <v>2</v>
      </c>
      <c r="C22" s="638">
        <v>27.59</v>
      </c>
      <c r="D22" s="1010">
        <f t="shared" si="1"/>
        <v>11.674009674957755</v>
      </c>
      <c r="E22" s="1011">
        <f t="shared" si="2"/>
        <v>45.478466332980489</v>
      </c>
      <c r="F22" s="1010">
        <f t="shared" si="3"/>
        <v>9.777285103663985</v>
      </c>
      <c r="G22" s="1012">
        <f t="shared" si="4"/>
        <v>49.444398064897221</v>
      </c>
      <c r="H22" s="1013">
        <f t="shared" si="5"/>
        <v>-19.838563020393337</v>
      </c>
      <c r="I22" s="888">
        <f>DEGREES(ATAN2(G22,$F22-I$14))</f>
        <v>9.2317336967595711</v>
      </c>
      <c r="J22" s="1023">
        <f t="shared" si="0"/>
        <v>10.967018793138877</v>
      </c>
      <c r="K22" s="1026" t="str">
        <f t="shared" si="6"/>
        <v>Arbre 4</v>
      </c>
      <c r="L22" s="636">
        <v>4889.5</v>
      </c>
      <c r="M22" s="636">
        <v>5323.4</v>
      </c>
      <c r="N22" s="630">
        <v>207.4</v>
      </c>
      <c r="O22" s="733"/>
      <c r="P22" s="726"/>
    </row>
    <row r="23" spans="1:16" s="34" customFormat="1" ht="12.75" x14ac:dyDescent="0.2">
      <c r="A23" s="1009" t="s">
        <v>165</v>
      </c>
      <c r="B23" s="683">
        <f>2</f>
        <v>2</v>
      </c>
      <c r="C23" s="638">
        <v>23.99</v>
      </c>
      <c r="D23" s="1010">
        <f t="shared" si="1"/>
        <v>10.150760859087949</v>
      </c>
      <c r="E23" s="1011">
        <f t="shared" si="2"/>
        <v>51.471515423581415</v>
      </c>
      <c r="F23" s="1010">
        <f t="shared" si="3"/>
        <v>9.5961885356225132</v>
      </c>
      <c r="G23" s="1012">
        <f t="shared" si="4"/>
        <v>56.283341229887483</v>
      </c>
      <c r="H23" s="1013">
        <f t="shared" si="5"/>
        <v>-8.8715442272544607</v>
      </c>
      <c r="I23" s="888">
        <f t="shared" ref="I23:I33" si="7">DEGREES(ATAN2(G23,$F23-I$14))</f>
        <v>7.9452342810500545</v>
      </c>
      <c r="J23" s="1023">
        <f t="shared" si="0"/>
        <v>7.8715442272544607</v>
      </c>
      <c r="K23" s="1026" t="str">
        <f t="shared" si="6"/>
        <v>Arbre 5</v>
      </c>
      <c r="L23" s="636">
        <v>4881.3999999999996</v>
      </c>
      <c r="M23" s="636">
        <v>5314.3</v>
      </c>
      <c r="N23" s="630">
        <v>208.2</v>
      </c>
      <c r="O23" s="733"/>
      <c r="P23" s="726"/>
    </row>
    <row r="24" spans="1:16" s="34" customFormat="1" ht="12.75" x14ac:dyDescent="0.2">
      <c r="A24" s="1009" t="s">
        <v>303</v>
      </c>
      <c r="B24" s="683">
        <v>2</v>
      </c>
      <c r="C24" s="638">
        <v>12.52</v>
      </c>
      <c r="D24" s="1010">
        <f t="shared" si="1"/>
        <v>5.2975208818583219</v>
      </c>
      <c r="E24" s="1011">
        <f t="shared" si="2"/>
        <v>189.70958568295907</v>
      </c>
      <c r="F24" s="1010">
        <f t="shared" si="3"/>
        <v>17.97120705892646</v>
      </c>
      <c r="G24" s="1012">
        <f t="shared" si="4"/>
        <v>194.67835139018388</v>
      </c>
      <c r="H24" s="1021">
        <v>-1</v>
      </c>
      <c r="I24" s="888">
        <f t="shared" si="7"/>
        <v>4.7657101785319922</v>
      </c>
      <c r="J24" s="1023">
        <f t="shared" si="0"/>
        <v>18.03207550221515</v>
      </c>
      <c r="K24" s="1026" t="str">
        <f t="shared" si="6"/>
        <v>Creux 2 -10,4°</v>
      </c>
      <c r="L24" s="636">
        <v>4898.8999999999996</v>
      </c>
      <c r="M24" s="636">
        <v>5177</v>
      </c>
      <c r="N24" s="630">
        <v>218.4</v>
      </c>
      <c r="O24" s="733"/>
      <c r="P24" s="726"/>
    </row>
    <row r="25" spans="1:16" s="34" customFormat="1" ht="12.75" x14ac:dyDescent="0.2">
      <c r="A25" s="1009" t="s">
        <v>166</v>
      </c>
      <c r="B25" s="683">
        <v>2</v>
      </c>
      <c r="C25" s="638">
        <v>24.8</v>
      </c>
      <c r="D25" s="1010">
        <f t="shared" si="1"/>
        <v>10.493491842658656</v>
      </c>
      <c r="E25" s="1011">
        <f t="shared" si="2"/>
        <v>264.12691135134259</v>
      </c>
      <c r="F25" s="1010">
        <f t="shared" si="3"/>
        <v>49.302657711270733</v>
      </c>
      <c r="G25" s="1012">
        <f t="shared" si="4"/>
        <v>270.08570806319977</v>
      </c>
      <c r="H25" s="1013">
        <f t="shared" si="5"/>
        <v>17.03207550221515</v>
      </c>
      <c r="I25" s="888">
        <f t="shared" si="7"/>
        <v>9.9873105966891735</v>
      </c>
      <c r="J25" s="1023">
        <f t="shared" si="0"/>
        <v>9.9679244977848498</v>
      </c>
      <c r="K25" s="1026" t="str">
        <f t="shared" si="6"/>
        <v>Arbre 6</v>
      </c>
      <c r="L25" s="636">
        <v>4793.6099999999997</v>
      </c>
      <c r="M25" s="636">
        <v>5111.67</v>
      </c>
      <c r="N25" s="630">
        <v>234.77</v>
      </c>
      <c r="O25" s="733"/>
      <c r="P25" s="726"/>
    </row>
    <row r="26" spans="1:16" s="34" customFormat="1" ht="12.75" x14ac:dyDescent="0.2">
      <c r="A26" s="1009" t="s">
        <v>304</v>
      </c>
      <c r="B26" s="683">
        <v>2</v>
      </c>
      <c r="C26" s="638">
        <v>23</v>
      </c>
      <c r="D26" s="1010">
        <f t="shared" si="1"/>
        <v>9.731867434723755</v>
      </c>
      <c r="E26" s="1011">
        <f t="shared" si="2"/>
        <v>221.74440466446981</v>
      </c>
      <c r="F26" s="1010">
        <f t="shared" si="3"/>
        <v>38.411073239343217</v>
      </c>
      <c r="G26" s="1012">
        <f t="shared" si="4"/>
        <v>227.78117218067035</v>
      </c>
      <c r="H26" s="1021">
        <v>27</v>
      </c>
      <c r="I26" s="888">
        <f t="shared" si="7"/>
        <v>9.1454890980882055</v>
      </c>
      <c r="J26" s="1023">
        <f t="shared" si="0"/>
        <v>7.759981957521461</v>
      </c>
      <c r="K26" s="1026" t="str">
        <f t="shared" si="6"/>
        <v>Arbre 7</v>
      </c>
      <c r="L26" s="636">
        <v>4763.12</v>
      </c>
      <c r="M26" s="636">
        <v>5170.2299999999996</v>
      </c>
      <c r="N26" s="630">
        <v>234.34</v>
      </c>
      <c r="O26" s="733"/>
      <c r="P26" s="726"/>
    </row>
    <row r="27" spans="1:16" s="34" customFormat="1" ht="12.75" x14ac:dyDescent="0.2">
      <c r="A27" s="1009" t="s">
        <v>305</v>
      </c>
      <c r="B27" s="683">
        <v>2</v>
      </c>
      <c r="C27" s="638">
        <v>19.12</v>
      </c>
      <c r="D27" s="1010">
        <f t="shared" si="1"/>
        <v>8.0901437109529653</v>
      </c>
      <c r="E27" s="1011">
        <f t="shared" si="2"/>
        <v>215.93396884232885</v>
      </c>
      <c r="F27" s="1010">
        <f t="shared" si="3"/>
        <v>31.0747172761311</v>
      </c>
      <c r="G27" s="1012">
        <f t="shared" si="4"/>
        <v>221.91044702762403</v>
      </c>
      <c r="H27" s="1013">
        <f t="shared" si="5"/>
        <v>34.759981957521461</v>
      </c>
      <c r="I27" s="888">
        <f t="shared" si="7"/>
        <v>7.5301280426944439</v>
      </c>
      <c r="J27" s="1023">
        <f t="shared" si="0"/>
        <v>10.738124869316295</v>
      </c>
      <c r="K27" s="1026" t="str">
        <f t="shared" si="6"/>
        <v>Creux 3</v>
      </c>
      <c r="L27" s="636">
        <v>4746.2</v>
      </c>
      <c r="M27" s="636">
        <v>5187.6000000000004</v>
      </c>
      <c r="N27" s="630">
        <v>233.5</v>
      </c>
      <c r="O27" s="733"/>
      <c r="P27" s="726"/>
    </row>
    <row r="28" spans="1:16" s="34" customFormat="1" ht="12.75" x14ac:dyDescent="0.2">
      <c r="A28" s="1009" t="s">
        <v>167</v>
      </c>
      <c r="B28" s="683">
        <v>2</v>
      </c>
      <c r="C28" s="638">
        <v>23.39</v>
      </c>
      <c r="D28" s="1010">
        <f t="shared" si="1"/>
        <v>9.8968860564429839</v>
      </c>
      <c r="E28" s="1011">
        <f t="shared" si="2"/>
        <v>196.01620545250768</v>
      </c>
      <c r="F28" s="1010">
        <f t="shared" si="3"/>
        <v>34.579986735117373</v>
      </c>
      <c r="G28" s="1012">
        <f t="shared" si="4"/>
        <v>201.71690310928284</v>
      </c>
      <c r="H28" s="1013">
        <f t="shared" si="5"/>
        <v>45.498106826837756</v>
      </c>
      <c r="I28" s="888">
        <f t="shared" si="7"/>
        <v>9.2465049302300404</v>
      </c>
      <c r="J28" s="1023">
        <f t="shared" si="0"/>
        <v>7.5018931731622445</v>
      </c>
      <c r="K28" s="1026" t="str">
        <f t="shared" si="6"/>
        <v>Arbre 8</v>
      </c>
      <c r="L28" s="636">
        <v>4728.8500000000004</v>
      </c>
      <c r="M28" s="636">
        <v>5228.5200000000004</v>
      </c>
      <c r="N28" s="630">
        <v>229.3</v>
      </c>
      <c r="O28" s="733"/>
      <c r="P28" s="726"/>
    </row>
    <row r="29" spans="1:16" s="34" customFormat="1" ht="12.75" x14ac:dyDescent="0.2">
      <c r="A29" s="1009" t="s">
        <v>306</v>
      </c>
      <c r="B29" s="683">
        <v>2</v>
      </c>
      <c r="C29" s="638">
        <v>19.440000000000001</v>
      </c>
      <c r="D29" s="1010">
        <f t="shared" si="1"/>
        <v>8.2255436056969469</v>
      </c>
      <c r="E29" s="1011">
        <f t="shared" si="2"/>
        <v>122.40331245517784</v>
      </c>
      <c r="F29" s="1010">
        <f t="shared" si="3"/>
        <v>18.074953372915854</v>
      </c>
      <c r="G29" s="1012">
        <f t="shared" si="4"/>
        <v>127.89430988124518</v>
      </c>
      <c r="H29" s="1021">
        <v>53</v>
      </c>
      <c r="I29" s="888">
        <f t="shared" si="7"/>
        <v>7.2781285896789738</v>
      </c>
      <c r="J29" s="1023">
        <f t="shared" si="0"/>
        <v>17.962212947360769</v>
      </c>
      <c r="K29" s="1025" t="str">
        <f t="shared" si="6"/>
        <v>Creux 4</v>
      </c>
      <c r="L29" s="636">
        <v>4774</v>
      </c>
      <c r="M29" s="636">
        <v>5288.6</v>
      </c>
      <c r="N29" s="630">
        <v>220.6</v>
      </c>
      <c r="O29" s="733"/>
      <c r="P29" s="726"/>
    </row>
    <row r="30" spans="1:16" s="34" customFormat="1" ht="12.75" x14ac:dyDescent="0.2">
      <c r="A30" s="1009" t="s">
        <v>307</v>
      </c>
      <c r="B30" s="1022">
        <v>2</v>
      </c>
      <c r="C30" s="638">
        <v>25.68</v>
      </c>
      <c r="D30" s="1010">
        <f t="shared" si="1"/>
        <v>10.865841553204609</v>
      </c>
      <c r="E30" s="1011">
        <f t="shared" si="2"/>
        <v>86.264818437182171</v>
      </c>
      <c r="F30" s="1010">
        <f t="shared" si="3"/>
        <v>16.939315497020761</v>
      </c>
      <c r="G30" s="1012">
        <f t="shared" si="4"/>
        <v>90.468284497939322</v>
      </c>
      <c r="H30" s="1013">
        <f t="shared" si="5"/>
        <v>70.962212947360769</v>
      </c>
      <c r="I30" s="888">
        <f t="shared" si="7"/>
        <v>9.5364569405200825</v>
      </c>
      <c r="J30" s="1023">
        <f t="shared" si="0"/>
        <v>24.037787052639231</v>
      </c>
      <c r="K30" s="1026" t="str">
        <f t="shared" si="6"/>
        <v>Arbre 9</v>
      </c>
      <c r="L30" s="636">
        <v>4787.2</v>
      </c>
      <c r="M30" s="636">
        <v>5340.4</v>
      </c>
      <c r="N30" s="630">
        <v>211.6</v>
      </c>
      <c r="O30" s="733"/>
      <c r="P30" s="726"/>
    </row>
    <row r="31" spans="1:16" s="34" customFormat="1" ht="12.75" x14ac:dyDescent="0.2">
      <c r="A31" s="1016" t="s">
        <v>308</v>
      </c>
      <c r="B31" s="1022">
        <v>2</v>
      </c>
      <c r="C31" s="638">
        <v>13.34</v>
      </c>
      <c r="D31" s="1010">
        <f t="shared" si="1"/>
        <v>5.6444831121397776</v>
      </c>
      <c r="E31" s="1011">
        <f t="shared" si="2"/>
        <v>141.91438581060021</v>
      </c>
      <c r="F31" s="1010">
        <f t="shared" si="3"/>
        <v>14.406733970600733</v>
      </c>
      <c r="G31" s="1012">
        <f t="shared" si="4"/>
        <v>143.85672907445112</v>
      </c>
      <c r="H31" s="1021">
        <v>95</v>
      </c>
      <c r="I31" s="888">
        <f t="shared" si="7"/>
        <v>5.0316060795292854</v>
      </c>
      <c r="J31" s="1027">
        <f t="shared" si="0"/>
        <v>8.4180788604651866</v>
      </c>
      <c r="K31" s="1025" t="str">
        <f t="shared" si="6"/>
        <v>Creux 5</v>
      </c>
      <c r="L31" s="636">
        <v>4729.8</v>
      </c>
      <c r="M31" s="636">
        <v>5386.3</v>
      </c>
      <c r="N31" s="630">
        <v>209.8</v>
      </c>
      <c r="O31" s="733"/>
      <c r="P31" s="726"/>
    </row>
    <row r="32" spans="1:16" s="34" customFormat="1" ht="12.75" x14ac:dyDescent="0.2">
      <c r="A32" s="1016" t="s">
        <v>309</v>
      </c>
      <c r="B32" s="683">
        <v>1</v>
      </c>
      <c r="C32" s="638">
        <v>2.66</v>
      </c>
      <c r="D32" s="1010">
        <f t="shared" si="1"/>
        <v>4.0373758696804796</v>
      </c>
      <c r="E32" s="1011">
        <f t="shared" si="2"/>
        <v>62.672676662162857</v>
      </c>
      <c r="F32" s="1010">
        <f t="shared" si="3"/>
        <v>7.6450142279424842</v>
      </c>
      <c r="G32" s="1012">
        <f t="shared" si="4"/>
        <v>13.488191131504543</v>
      </c>
      <c r="H32" s="1013">
        <f>-90-DEGREES(ATAN2(($L32-$L$16),($M32-$M$16)))+360</f>
        <v>103.41807886046519</v>
      </c>
      <c r="I32" s="888">
        <f t="shared" si="7"/>
        <v>23.640060919050594</v>
      </c>
      <c r="J32" s="1027">
        <f t="shared" si="0"/>
        <v>14.668703429260233</v>
      </c>
      <c r="K32" s="1025" t="str">
        <f t="shared" si="6"/>
        <v xml:space="preserve">Arbre 10 </v>
      </c>
      <c r="L32" s="636">
        <v>4859.6000000000004</v>
      </c>
      <c r="M32" s="636">
        <v>5373.04</v>
      </c>
      <c r="N32" s="630">
        <v>204.4</v>
      </c>
      <c r="O32" s="733"/>
      <c r="P32" s="726"/>
    </row>
    <row r="33" spans="1:30" s="34" customFormat="1" ht="12.75" x14ac:dyDescent="0.2">
      <c r="A33" s="1016" t="s">
        <v>310</v>
      </c>
      <c r="B33" s="683">
        <v>1</v>
      </c>
      <c r="C33" s="638">
        <v>5.32</v>
      </c>
      <c r="D33" s="1010">
        <f t="shared" si="1"/>
        <v>8.0747517393609591</v>
      </c>
      <c r="E33" s="1011">
        <f t="shared" si="2"/>
        <v>70.957998844386736</v>
      </c>
      <c r="F33" s="1010">
        <f t="shared" si="3"/>
        <v>13.288347211867476</v>
      </c>
      <c r="G33" s="1012">
        <f t="shared" si="4"/>
        <v>21.218824189855695</v>
      </c>
      <c r="H33" s="1013">
        <f>-90-DEGREES(ATAN2(($L33-$L$16),($M33-$M$16)))+360</f>
        <v>118.08678228972542</v>
      </c>
      <c r="I33" s="888">
        <f t="shared" si="7"/>
        <v>28.555301252061604</v>
      </c>
      <c r="J33" s="1027">
        <f t="shared" si="0"/>
        <v>81.91321771027458</v>
      </c>
      <c r="K33" s="735" t="str">
        <f t="shared" si="6"/>
        <v>Arbre 11</v>
      </c>
      <c r="L33" s="629">
        <v>4854</v>
      </c>
      <c r="M33" s="636">
        <v>5379.9</v>
      </c>
      <c r="N33" s="630">
        <v>204.12</v>
      </c>
      <c r="O33" s="733"/>
      <c r="P33" s="726"/>
    </row>
    <row r="34" spans="1:30" s="34" customFormat="1" ht="12.75" x14ac:dyDescent="0.2">
      <c r="A34" s="1014" t="s">
        <v>169</v>
      </c>
      <c r="B34" s="683"/>
      <c r="C34" s="638"/>
      <c r="D34" s="1010"/>
      <c r="E34" s="1011"/>
      <c r="F34" s="1010"/>
      <c r="G34" s="1012"/>
      <c r="H34" s="681">
        <f>+H$17+360</f>
        <v>200</v>
      </c>
      <c r="I34" s="682">
        <f>+$J$5</f>
        <v>18.262889942194128</v>
      </c>
      <c r="J34" s="1027"/>
      <c r="K34" s="737" t="str">
        <f t="shared" si="6"/>
        <v>Arrière PV</v>
      </c>
      <c r="L34" s="629"/>
      <c r="M34" s="636"/>
      <c r="N34" s="630"/>
      <c r="O34" s="733"/>
      <c r="P34" s="726"/>
    </row>
    <row r="35" spans="1:30" s="34" customFormat="1" ht="12.75" x14ac:dyDescent="0.2">
      <c r="A35" s="1016"/>
      <c r="B35" s="683"/>
      <c r="C35" s="638"/>
      <c r="D35" s="1010"/>
      <c r="E35" s="1011"/>
      <c r="F35" s="1010"/>
      <c r="G35" s="1012"/>
      <c r="H35" s="681">
        <f t="shared" ref="H35:I38" si="8">H34</f>
        <v>200</v>
      </c>
      <c r="I35" s="682">
        <f t="shared" si="8"/>
        <v>18.262889942194128</v>
      </c>
      <c r="J35" s="1027"/>
      <c r="K35" s="737">
        <f t="shared" si="6"/>
        <v>0</v>
      </c>
      <c r="L35" s="629"/>
      <c r="M35" s="636"/>
      <c r="N35" s="630"/>
      <c r="O35" s="733"/>
      <c r="P35" s="726"/>
    </row>
    <row r="36" spans="1:30" s="34" customFormat="1" ht="12.75" x14ac:dyDescent="0.2">
      <c r="A36" s="1016"/>
      <c r="B36" s="683"/>
      <c r="C36" s="638"/>
      <c r="D36" s="1010"/>
      <c r="E36" s="1011"/>
      <c r="F36" s="1010"/>
      <c r="G36" s="1012"/>
      <c r="H36" s="681">
        <f t="shared" si="8"/>
        <v>200</v>
      </c>
      <c r="I36" s="682">
        <f t="shared" si="8"/>
        <v>18.262889942194128</v>
      </c>
      <c r="J36" s="1027"/>
      <c r="K36" s="737">
        <f>A36</f>
        <v>0</v>
      </c>
      <c r="L36" s="629"/>
      <c r="M36" s="636"/>
      <c r="N36" s="630"/>
      <c r="O36" s="733"/>
      <c r="P36" s="726"/>
    </row>
    <row r="37" spans="1:30" s="19" customFormat="1" ht="12.75" x14ac:dyDescent="0.2">
      <c r="A37" s="1014"/>
      <c r="B37" s="680"/>
      <c r="C37" s="638"/>
      <c r="D37" s="1010"/>
      <c r="E37" s="1011"/>
      <c r="F37" s="1010"/>
      <c r="G37" s="1015"/>
      <c r="H37" s="681">
        <f t="shared" si="8"/>
        <v>200</v>
      </c>
      <c r="I37" s="682">
        <f t="shared" si="8"/>
        <v>18.262889942194128</v>
      </c>
      <c r="J37" s="1027"/>
      <c r="K37" s="82">
        <f>A37</f>
        <v>0</v>
      </c>
      <c r="L37" s="629"/>
      <c r="M37" s="636"/>
      <c r="N37" s="630"/>
      <c r="O37" s="29"/>
      <c r="P37" s="726"/>
    </row>
    <row r="38" spans="1:30" s="19" customFormat="1" ht="12.75" x14ac:dyDescent="0.2">
      <c r="A38" s="1006"/>
      <c r="B38" s="684"/>
      <c r="C38" s="638"/>
      <c r="D38" s="1007"/>
      <c r="E38" s="1008"/>
      <c r="F38" s="1007"/>
      <c r="G38" s="933"/>
      <c r="H38" s="681">
        <f t="shared" si="8"/>
        <v>200</v>
      </c>
      <c r="I38" s="682">
        <f t="shared" si="8"/>
        <v>18.262889942194128</v>
      </c>
      <c r="J38" s="1027"/>
      <c r="K38" s="935">
        <f>A38</f>
        <v>0</v>
      </c>
      <c r="L38" s="629"/>
      <c r="M38" s="636"/>
      <c r="N38" s="630"/>
      <c r="O38" s="29"/>
      <c r="P38" s="726"/>
    </row>
    <row r="39" spans="1:30" s="19" customFormat="1" ht="12.75" x14ac:dyDescent="0.2">
      <c r="A39" s="735"/>
      <c r="B39" s="82"/>
      <c r="C39" s="736"/>
      <c r="D39" s="739"/>
      <c r="E39" s="740" t="s">
        <v>194</v>
      </c>
      <c r="F39" s="741">
        <f>AVERAGE(F16:F38)</f>
        <v>16.666584768486704</v>
      </c>
      <c r="G39" s="741">
        <f>AVERAGE(G16:G38)</f>
        <v>107.55646176378093</v>
      </c>
      <c r="H39" s="719">
        <f>AVERAGE(H16:H38)</f>
        <v>53.611055974493972</v>
      </c>
      <c r="I39" s="742">
        <f>AVERAGE(I16:I38)</f>
        <v>12.401884292761435</v>
      </c>
      <c r="J39" s="54"/>
      <c r="K39" s="82"/>
      <c r="L39" s="681"/>
      <c r="M39" s="685"/>
      <c r="N39" s="682"/>
      <c r="O39" s="29"/>
      <c r="P39" s="726"/>
    </row>
    <row r="40" spans="1:30" s="39" customFormat="1" ht="12.75" x14ac:dyDescent="0.2">
      <c r="A40" s="41" t="s">
        <v>195</v>
      </c>
      <c r="B40" s="41"/>
      <c r="C40" s="744"/>
      <c r="D40" s="744"/>
      <c r="E40" s="745"/>
      <c r="F40" s="41"/>
      <c r="G40" s="41"/>
      <c r="H40" s="265"/>
      <c r="I40" s="265"/>
      <c r="J40" s="41"/>
      <c r="K40" s="746"/>
      <c r="L40" s="634"/>
      <c r="M40" s="634"/>
      <c r="N40" s="686"/>
      <c r="O40" s="728"/>
      <c r="P40" s="729"/>
    </row>
    <row r="41" spans="1:30" s="39" customFormat="1" ht="12.75" x14ac:dyDescent="0.2">
      <c r="A41" s="1028"/>
      <c r="B41" s="1029"/>
      <c r="C41" s="1029"/>
      <c r="D41" s="1030"/>
      <c r="E41" s="634"/>
      <c r="F41" s="1030"/>
      <c r="G41" s="634"/>
      <c r="H41" s="1031"/>
      <c r="I41" s="1032"/>
      <c r="J41" s="1033"/>
      <c r="K41" s="1029"/>
      <c r="L41" s="629"/>
      <c r="M41" s="636"/>
      <c r="N41" s="630"/>
      <c r="O41" s="728"/>
      <c r="P41" s="729"/>
    </row>
    <row r="42" spans="1:30" s="39" customFormat="1" ht="12.75" x14ac:dyDescent="0.2">
      <c r="A42" s="1028"/>
      <c r="B42" s="1029"/>
      <c r="C42" s="1029"/>
      <c r="D42" s="1030"/>
      <c r="E42" s="634"/>
      <c r="F42" s="1030"/>
      <c r="G42" s="634"/>
      <c r="H42" s="1031"/>
      <c r="I42" s="1032"/>
      <c r="J42" s="1033"/>
      <c r="K42" s="1029"/>
      <c r="L42" s="629"/>
      <c r="M42" s="636"/>
      <c r="N42" s="630"/>
      <c r="O42" s="728"/>
      <c r="P42" s="729"/>
    </row>
    <row r="43" spans="1:30" s="39" customFormat="1" ht="12.75" x14ac:dyDescent="0.2">
      <c r="A43" s="1028"/>
      <c r="B43" s="1029"/>
      <c r="C43" s="1030"/>
      <c r="D43" s="1030"/>
      <c r="E43" s="634"/>
      <c r="F43" s="1030"/>
      <c r="G43" s="634"/>
      <c r="H43" s="1031"/>
      <c r="I43" s="1032"/>
      <c r="J43" s="1033"/>
      <c r="K43" s="1029"/>
      <c r="L43" s="629"/>
      <c r="M43" s="636"/>
      <c r="N43" s="630"/>
      <c r="O43" s="728"/>
      <c r="P43" s="729"/>
    </row>
    <row r="44" spans="1:30" s="34" customFormat="1" ht="12.75" x14ac:dyDescent="0.2">
      <c r="A44" s="1034"/>
      <c r="B44" s="1035"/>
      <c r="C44" s="1030"/>
      <c r="D44" s="1036"/>
      <c r="E44" s="1037"/>
      <c r="F44" s="1036"/>
      <c r="G44" s="1038"/>
      <c r="H44" s="1039"/>
      <c r="I44" s="1040"/>
      <c r="J44" s="1033"/>
      <c r="K44" s="1029"/>
      <c r="L44" s="629"/>
      <c r="M44" s="636"/>
      <c r="N44" s="630"/>
      <c r="O44" s="734"/>
      <c r="P44" s="730"/>
      <c r="Q44" s="748"/>
      <c r="R44" s="734"/>
      <c r="S44" s="730"/>
      <c r="T44" s="749"/>
      <c r="U44" s="750"/>
      <c r="V44" s="751"/>
      <c r="W44" s="751"/>
      <c r="X44" s="751"/>
      <c r="Y44" s="733"/>
    </row>
    <row r="45" spans="1:30" ht="21" x14ac:dyDescent="0.35">
      <c r="A45" s="687" t="s">
        <v>175</v>
      </c>
      <c r="F45" s="15"/>
      <c r="K45" s="15"/>
      <c r="M45" s="752"/>
      <c r="N45" s="10"/>
      <c r="O45" s="21"/>
      <c r="P45" s="21"/>
      <c r="R45" s="21"/>
      <c r="S45" s="342"/>
    </row>
    <row r="46" spans="1:30" s="36" customFormat="1" ht="15.75" x14ac:dyDescent="0.25">
      <c r="A46" s="737"/>
      <c r="B46" s="754"/>
      <c r="D46" s="737" t="s">
        <v>208</v>
      </c>
      <c r="E46" s="916">
        <v>1</v>
      </c>
      <c r="G46" s="733"/>
      <c r="I46" s="737" t="s">
        <v>196</v>
      </c>
      <c r="J46" s="755">
        <f>H1</f>
        <v>44547</v>
      </c>
      <c r="Q46" s="733"/>
      <c r="U46" s="733"/>
      <c r="W46" s="733"/>
      <c r="X46" s="756"/>
      <c r="Y46" s="733"/>
      <c r="AA46" s="733"/>
    </row>
    <row r="47" spans="1:30" s="4" customFormat="1" x14ac:dyDescent="0.25">
      <c r="A47" s="790" t="str">
        <f>Station</f>
        <v>Aureville</v>
      </c>
      <c r="B47" s="1172" t="s">
        <v>152</v>
      </c>
      <c r="C47" s="1173"/>
      <c r="D47" s="1173"/>
      <c r="E47" s="1174"/>
      <c r="F47" s="1173"/>
      <c r="G47" s="1173"/>
      <c r="H47" s="1173"/>
      <c r="I47" s="1173"/>
      <c r="J47" s="1173"/>
      <c r="K47" s="1173"/>
      <c r="L47" s="1175"/>
      <c r="P47" s="1172" t="s">
        <v>159</v>
      </c>
      <c r="Q47" s="1173"/>
      <c r="R47" s="1173"/>
      <c r="S47" s="1173"/>
      <c r="T47" s="1173"/>
      <c r="U47" s="1173"/>
      <c r="V47" s="1173"/>
      <c r="W47" s="1173"/>
      <c r="X47" s="1173"/>
      <c r="Y47" s="1173"/>
      <c r="Z47" s="1175"/>
    </row>
    <row r="48" spans="1:30" s="19" customFormat="1" ht="12.75" x14ac:dyDescent="0.2">
      <c r="A48" s="791" t="s">
        <v>207</v>
      </c>
      <c r="B48" s="757">
        <f>+C$48-$E$46</f>
        <v>-5</v>
      </c>
      <c r="C48" s="757">
        <f>+D$48-$E$46</f>
        <v>-4</v>
      </c>
      <c r="D48" s="757">
        <f>+E$48-$E$46</f>
        <v>-3</v>
      </c>
      <c r="E48" s="757">
        <f>+F$48-$E$46</f>
        <v>-2</v>
      </c>
      <c r="F48" s="757">
        <f>+G$48-$E$46</f>
        <v>-1</v>
      </c>
      <c r="G48" s="758">
        <v>0</v>
      </c>
      <c r="H48" s="757">
        <f>$E$46+G$48</f>
        <v>1</v>
      </c>
      <c r="I48" s="757">
        <f>$E$46+H$48</f>
        <v>2</v>
      </c>
      <c r="J48" s="757">
        <f>$E$46+I$48</f>
        <v>3</v>
      </c>
      <c r="K48" s="757">
        <f>$E$46+J$48</f>
        <v>4</v>
      </c>
      <c r="L48" s="757">
        <f>$E$46+K$48</f>
        <v>5</v>
      </c>
      <c r="M48" s="715" t="s">
        <v>158</v>
      </c>
      <c r="N48" s="792" t="str">
        <f>A47</f>
        <v>Aureville</v>
      </c>
      <c r="O48" s="759" t="s">
        <v>157</v>
      </c>
      <c r="P48" s="757">
        <f t="shared" ref="P48:Z48" si="9">B48</f>
        <v>-5</v>
      </c>
      <c r="Q48" s="757">
        <f t="shared" si="9"/>
        <v>-4</v>
      </c>
      <c r="R48" s="757">
        <f t="shared" si="9"/>
        <v>-3</v>
      </c>
      <c r="S48" s="757">
        <f t="shared" si="9"/>
        <v>-2</v>
      </c>
      <c r="T48" s="757">
        <f t="shared" si="9"/>
        <v>-1</v>
      </c>
      <c r="U48" s="758">
        <f t="shared" si="9"/>
        <v>0</v>
      </c>
      <c r="V48" s="757">
        <f t="shared" si="9"/>
        <v>1</v>
      </c>
      <c r="W48" s="757">
        <f t="shared" si="9"/>
        <v>2</v>
      </c>
      <c r="X48" s="757">
        <f t="shared" si="9"/>
        <v>3</v>
      </c>
      <c r="Y48" s="757">
        <f t="shared" si="9"/>
        <v>4</v>
      </c>
      <c r="Z48" s="757">
        <f t="shared" si="9"/>
        <v>5</v>
      </c>
      <c r="AA48" s="795" t="s">
        <v>207</v>
      </c>
      <c r="AD48" s="29"/>
    </row>
    <row r="49" spans="1:30" s="28" customFormat="1" ht="12.75" x14ac:dyDescent="0.2">
      <c r="A49" s="1041" t="str">
        <f t="shared" ref="A49:A70" si="10">A17</f>
        <v>Arrière PV</v>
      </c>
      <c r="B49" s="1042"/>
      <c r="C49" s="1043"/>
      <c r="D49" s="1043"/>
      <c r="E49" s="1043"/>
      <c r="F49" s="1044"/>
      <c r="G49" s="1045"/>
      <c r="H49" s="1046"/>
      <c r="I49" s="1047"/>
      <c r="J49" s="1047"/>
      <c r="K49" s="1047"/>
      <c r="L49" s="1048"/>
      <c r="M49" s="743">
        <f t="shared" ref="M49:M70" si="11">$G17</f>
        <v>0</v>
      </c>
      <c r="N49" s="760" t="str">
        <f t="shared" ref="N49:N70" si="12">K17</f>
        <v>Arrière PV</v>
      </c>
      <c r="O49" s="786">
        <f>H17</f>
        <v>-160</v>
      </c>
      <c r="P49" s="882">
        <f t="shared" ref="P49:Z49" si="13">$I17</f>
        <v>18.262889942194128</v>
      </c>
      <c r="Q49" s="883">
        <f t="shared" si="13"/>
        <v>18.262889942194128</v>
      </c>
      <c r="R49" s="883">
        <f t="shared" si="13"/>
        <v>18.262889942194128</v>
      </c>
      <c r="S49" s="883">
        <f t="shared" si="13"/>
        <v>18.262889942194128</v>
      </c>
      <c r="T49" s="884">
        <f t="shared" si="13"/>
        <v>18.262889942194128</v>
      </c>
      <c r="U49" s="885">
        <f t="shared" si="13"/>
        <v>18.262889942194128</v>
      </c>
      <c r="V49" s="882">
        <f t="shared" si="13"/>
        <v>18.262889942194128</v>
      </c>
      <c r="W49" s="883">
        <f t="shared" si="13"/>
        <v>18.262889942194128</v>
      </c>
      <c r="X49" s="883">
        <f t="shared" si="13"/>
        <v>18.262889942194128</v>
      </c>
      <c r="Y49" s="883">
        <f t="shared" si="13"/>
        <v>18.262889942194128</v>
      </c>
      <c r="Z49" s="884">
        <f t="shared" si="13"/>
        <v>18.262889942194128</v>
      </c>
      <c r="AD49" s="70"/>
    </row>
    <row r="50" spans="1:30" s="28" customFormat="1" ht="12.75" x14ac:dyDescent="0.2">
      <c r="A50" s="1052" t="str">
        <f t="shared" si="10"/>
        <v>Arbre 0</v>
      </c>
      <c r="B50" s="1053">
        <f t="shared" ref="B50:L50" si="14">MAX($F18+B$48,1)</f>
        <v>1</v>
      </c>
      <c r="C50" s="1054">
        <f t="shared" si="14"/>
        <v>1</v>
      </c>
      <c r="D50" s="1054">
        <f t="shared" si="14"/>
        <v>1.4702919204338967</v>
      </c>
      <c r="E50" s="1054">
        <f t="shared" si="14"/>
        <v>2.4702919204338967</v>
      </c>
      <c r="F50" s="1055">
        <f t="shared" si="14"/>
        <v>3.4702919204338967</v>
      </c>
      <c r="G50" s="1056">
        <f t="shared" si="14"/>
        <v>4.4702919204338967</v>
      </c>
      <c r="H50" s="1053">
        <f t="shared" si="14"/>
        <v>5.4702919204338967</v>
      </c>
      <c r="I50" s="1054">
        <f t="shared" si="14"/>
        <v>6.4702919204338967</v>
      </c>
      <c r="J50" s="1054">
        <f t="shared" si="14"/>
        <v>7.4702919204338967</v>
      </c>
      <c r="K50" s="1054">
        <f t="shared" si="14"/>
        <v>8.4702919204338976</v>
      </c>
      <c r="L50" s="1055">
        <f t="shared" si="14"/>
        <v>9.4702919204338976</v>
      </c>
      <c r="M50" s="751">
        <f t="shared" si="11"/>
        <v>18.226587722335541</v>
      </c>
      <c r="N50" s="761" t="str">
        <f>K18</f>
        <v>Arbre 0</v>
      </c>
      <c r="O50" s="720">
        <f t="shared" ref="O50:O70" si="15">$H18</f>
        <v>-77.290481374110414</v>
      </c>
      <c r="P50" s="886">
        <f t="shared" ref="P50:Z50" si="16">DEGREES(ATAN2($M50,B50-H_pv))</f>
        <v>-2.3278647318645218</v>
      </c>
      <c r="Q50" s="887">
        <f t="shared" si="16"/>
        <v>-2.3278647318645218</v>
      </c>
      <c r="R50" s="887">
        <f t="shared" si="16"/>
        <v>-0.85070835461390082</v>
      </c>
      <c r="S50" s="887">
        <f t="shared" si="16"/>
        <v>2.2915339970628024</v>
      </c>
      <c r="T50" s="888">
        <f t="shared" si="16"/>
        <v>5.4200584256745525</v>
      </c>
      <c r="U50" s="889">
        <f t="shared" si="16"/>
        <v>8.5165300307350549</v>
      </c>
      <c r="V50" s="886">
        <f t="shared" si="16"/>
        <v>11.563728053983908</v>
      </c>
      <c r="W50" s="887">
        <f t="shared" si="16"/>
        <v>14.546078373684997</v>
      </c>
      <c r="X50" s="887">
        <f t="shared" si="16"/>
        <v>17.450054352917732</v>
      </c>
      <c r="Y50" s="887">
        <f t="shared" si="16"/>
        <v>20.264427405920163</v>
      </c>
      <c r="Z50" s="888">
        <f t="shared" si="16"/>
        <v>22.980367536275452</v>
      </c>
      <c r="AD50" s="70"/>
    </row>
    <row r="51" spans="1:30" s="19" customFormat="1" ht="12.75" x14ac:dyDescent="0.2">
      <c r="A51" s="1052" t="str">
        <f t="shared" si="10"/>
        <v>Arbre 2</v>
      </c>
      <c r="B51" s="1053">
        <f t="shared" ref="B51:L51" si="17">MAX($F19+B$48,1)</f>
        <v>1.0397470625788072</v>
      </c>
      <c r="C51" s="1054">
        <f t="shared" si="17"/>
        <v>2.0397470625788072</v>
      </c>
      <c r="D51" s="1054">
        <f t="shared" si="17"/>
        <v>3.0397470625788072</v>
      </c>
      <c r="E51" s="1054">
        <f t="shared" si="17"/>
        <v>4.0397470625788072</v>
      </c>
      <c r="F51" s="1055">
        <f t="shared" si="17"/>
        <v>5.0397470625788072</v>
      </c>
      <c r="G51" s="1056">
        <f t="shared" si="17"/>
        <v>6.0397470625788072</v>
      </c>
      <c r="H51" s="1053">
        <f t="shared" si="17"/>
        <v>7.0397470625788072</v>
      </c>
      <c r="I51" s="1054">
        <f t="shared" si="17"/>
        <v>8.0397470625788081</v>
      </c>
      <c r="J51" s="1054">
        <f t="shared" si="17"/>
        <v>9.0397470625788081</v>
      </c>
      <c r="K51" s="1054">
        <f t="shared" si="17"/>
        <v>10.039747062578808</v>
      </c>
      <c r="L51" s="1055">
        <f t="shared" si="17"/>
        <v>11.039747062578808</v>
      </c>
      <c r="M51" s="751">
        <f t="shared" si="11"/>
        <v>32.317588090697328</v>
      </c>
      <c r="N51" s="761" t="str">
        <f t="shared" si="12"/>
        <v>Arbre 2</v>
      </c>
      <c r="O51" s="720">
        <f t="shared" si="15"/>
        <v>-49</v>
      </c>
      <c r="P51" s="886">
        <f t="shared" ref="P51:Z55" si="18">DEGREES(ATAN2($M51,B51-H_pv))</f>
        <v>-1.2429377696884656</v>
      </c>
      <c r="Q51" s="887">
        <f t="shared" si="18"/>
        <v>0.5297498807539196</v>
      </c>
      <c r="R51" s="887">
        <f t="shared" si="18"/>
        <v>2.3014242135928979</v>
      </c>
      <c r="S51" s="887">
        <f t="shared" si="18"/>
        <v>4.0687075098763392</v>
      </c>
      <c r="T51" s="888">
        <f t="shared" si="18"/>
        <v>5.8282720678036588</v>
      </c>
      <c r="U51" s="889">
        <f t="shared" si="18"/>
        <v>7.5768772100888402</v>
      </c>
      <c r="V51" s="886">
        <f t="shared" si="18"/>
        <v>9.3114038662676393</v>
      </c>
      <c r="W51" s="887">
        <f t="shared" si="18"/>
        <v>11.028885843968789</v>
      </c>
      <c r="X51" s="887">
        <f t="shared" si="18"/>
        <v>12.726537067985547</v>
      </c>
      <c r="Y51" s="887">
        <f t="shared" si="18"/>
        <v>14.401774258249144</v>
      </c>
      <c r="Z51" s="888">
        <f t="shared" si="18"/>
        <v>16.052234723306679</v>
      </c>
      <c r="AD51" s="29"/>
    </row>
    <row r="52" spans="1:30" s="19" customFormat="1" ht="12.75" x14ac:dyDescent="0.2">
      <c r="A52" s="1052" t="str">
        <f t="shared" si="10"/>
        <v>Arbre 1</v>
      </c>
      <c r="B52" s="1053">
        <f t="shared" ref="B52:L52" si="19">MAX($F20+B$48,1)</f>
        <v>1</v>
      </c>
      <c r="C52" s="1054">
        <f t="shared" si="19"/>
        <v>1</v>
      </c>
      <c r="D52" s="1054">
        <f t="shared" si="19"/>
        <v>1</v>
      </c>
      <c r="E52" s="1054">
        <f t="shared" si="19"/>
        <v>1.6959347904367914</v>
      </c>
      <c r="F52" s="1055">
        <f t="shared" si="19"/>
        <v>2.6959347904367914</v>
      </c>
      <c r="G52" s="1056">
        <f t="shared" si="19"/>
        <v>3.6959347904367914</v>
      </c>
      <c r="H52" s="1053">
        <f t="shared" si="19"/>
        <v>4.695934790436791</v>
      </c>
      <c r="I52" s="1054">
        <f t="shared" si="19"/>
        <v>5.695934790436791</v>
      </c>
      <c r="J52" s="1054">
        <f t="shared" si="19"/>
        <v>6.695934790436791</v>
      </c>
      <c r="K52" s="1054">
        <f t="shared" si="19"/>
        <v>7.695934790436791</v>
      </c>
      <c r="L52" s="1055">
        <f t="shared" si="19"/>
        <v>8.695934790436791</v>
      </c>
      <c r="M52" s="751">
        <f t="shared" si="11"/>
        <v>12.826086698599948</v>
      </c>
      <c r="N52" s="761" t="str">
        <f t="shared" si="12"/>
        <v>Arbre 1</v>
      </c>
      <c r="O52" s="720">
        <f t="shared" si="15"/>
        <v>-40.795106267771949</v>
      </c>
      <c r="P52" s="886">
        <f t="shared" si="18"/>
        <v>-3.306173167150432</v>
      </c>
      <c r="Q52" s="887">
        <f t="shared" si="18"/>
        <v>-3.306173167150432</v>
      </c>
      <c r="R52" s="887">
        <f t="shared" si="18"/>
        <v>-3.306173167150432</v>
      </c>
      <c r="S52" s="887">
        <f t="shared" si="18"/>
        <v>-0.20101651564224909</v>
      </c>
      <c r="T52" s="888">
        <f t="shared" si="18"/>
        <v>4.258253743357332</v>
      </c>
      <c r="U52" s="889">
        <f t="shared" si="18"/>
        <v>8.6665342510555572</v>
      </c>
      <c r="V52" s="886">
        <f t="shared" si="18"/>
        <v>12.973979684979001</v>
      </c>
      <c r="W52" s="887">
        <f t="shared" si="18"/>
        <v>17.137460379281482</v>
      </c>
      <c r="X52" s="887">
        <f t="shared" si="18"/>
        <v>21.122648466238154</v>
      </c>
      <c r="Y52" s="887">
        <f t="shared" si="18"/>
        <v>24.904886214676072</v>
      </c>
      <c r="Z52" s="888">
        <f t="shared" si="18"/>
        <v>28.468953854249847</v>
      </c>
      <c r="AD52" s="29"/>
    </row>
    <row r="53" spans="1:30" s="19" customFormat="1" ht="12.75" x14ac:dyDescent="0.2">
      <c r="A53" s="1052" t="str">
        <f t="shared" si="10"/>
        <v>Arbre 3</v>
      </c>
      <c r="B53" s="1053">
        <f t="shared" ref="B53:L53" si="20">MAX($F21+B$48,1)</f>
        <v>1.2266193138683672</v>
      </c>
      <c r="C53" s="1054">
        <f t="shared" si="20"/>
        <v>2.2266193138683672</v>
      </c>
      <c r="D53" s="1054">
        <f t="shared" si="20"/>
        <v>3.2266193138683672</v>
      </c>
      <c r="E53" s="1054">
        <f t="shared" si="20"/>
        <v>4.2266193138683672</v>
      </c>
      <c r="F53" s="1055">
        <f t="shared" si="20"/>
        <v>5.2266193138683672</v>
      </c>
      <c r="G53" s="1056">
        <f t="shared" si="20"/>
        <v>6.2266193138683672</v>
      </c>
      <c r="H53" s="1053">
        <f t="shared" si="20"/>
        <v>7.2266193138683672</v>
      </c>
      <c r="I53" s="1054">
        <f t="shared" si="20"/>
        <v>8.2266193138683672</v>
      </c>
      <c r="J53" s="1054">
        <f t="shared" si="20"/>
        <v>9.2266193138683672</v>
      </c>
      <c r="K53" s="1054">
        <f t="shared" si="20"/>
        <v>10.226619313868367</v>
      </c>
      <c r="L53" s="1055">
        <f t="shared" si="20"/>
        <v>11.226619313868367</v>
      </c>
      <c r="M53" s="751">
        <f t="shared" si="11"/>
        <v>38.70646586812078</v>
      </c>
      <c r="N53" s="761" t="str">
        <f t="shared" si="12"/>
        <v>Arbre 3</v>
      </c>
      <c r="O53" s="720">
        <f t="shared" si="15"/>
        <v>-28.51831205572833</v>
      </c>
      <c r="P53" s="886">
        <f>DEGREES(ATAN2($M53,B53-H_pv))</f>
        <v>-0.76127662752435143</v>
      </c>
      <c r="Q53" s="887">
        <f t="shared" si="18"/>
        <v>0.71890462307338099</v>
      </c>
      <c r="R53" s="887">
        <f t="shared" si="18"/>
        <v>2.1981270679199549</v>
      </c>
      <c r="S53" s="887">
        <f t="shared" si="18"/>
        <v>3.6744242717650737</v>
      </c>
      <c r="T53" s="888">
        <f t="shared" si="18"/>
        <v>5.1458530645571781</v>
      </c>
      <c r="U53" s="889">
        <f t="shared" si="18"/>
        <v>6.610508690823294</v>
      </c>
      <c r="V53" s="886">
        <f t="shared" si="18"/>
        <v>8.0665392078872653</v>
      </c>
      <c r="W53" s="887">
        <f t="shared" si="18"/>
        <v>9.5121588690676244</v>
      </c>
      <c r="X53" s="887">
        <f t="shared" si="18"/>
        <v>10.945660263845165</v>
      </c>
      <c r="Y53" s="887">
        <f t="shared" si="18"/>
        <v>12.36542502954523</v>
      </c>
      <c r="Z53" s="888">
        <f t="shared" si="18"/>
        <v>13.769932996059271</v>
      </c>
      <c r="AD53" s="29"/>
    </row>
    <row r="54" spans="1:30" s="19" customFormat="1" ht="12.75" x14ac:dyDescent="0.2">
      <c r="A54" s="1052" t="str">
        <f t="shared" si="10"/>
        <v>Arbre 4</v>
      </c>
      <c r="B54" s="1053">
        <f t="shared" ref="B54:L54" si="21">MAX($F22+B$48,1)</f>
        <v>4.777285103663985</v>
      </c>
      <c r="C54" s="1054">
        <f t="shared" si="21"/>
        <v>5.777285103663985</v>
      </c>
      <c r="D54" s="1054">
        <f t="shared" si="21"/>
        <v>6.777285103663985</v>
      </c>
      <c r="E54" s="1054">
        <f t="shared" si="21"/>
        <v>7.777285103663985</v>
      </c>
      <c r="F54" s="1055">
        <f t="shared" si="21"/>
        <v>8.777285103663985</v>
      </c>
      <c r="G54" s="1056">
        <f t="shared" si="21"/>
        <v>9.777285103663985</v>
      </c>
      <c r="H54" s="1053">
        <f t="shared" si="21"/>
        <v>10.777285103663985</v>
      </c>
      <c r="I54" s="1054">
        <f t="shared" si="21"/>
        <v>11.777285103663985</v>
      </c>
      <c r="J54" s="1054">
        <f t="shared" si="21"/>
        <v>12.777285103663985</v>
      </c>
      <c r="K54" s="1054">
        <f t="shared" si="21"/>
        <v>13.777285103663985</v>
      </c>
      <c r="L54" s="1055">
        <f t="shared" si="21"/>
        <v>14.777285103663985</v>
      </c>
      <c r="M54" s="751">
        <f t="shared" si="11"/>
        <v>49.444398064897221</v>
      </c>
      <c r="N54" s="761" t="str">
        <f t="shared" si="12"/>
        <v>Arbre 4</v>
      </c>
      <c r="O54" s="720">
        <f t="shared" si="15"/>
        <v>-19.838563020393337</v>
      </c>
      <c r="P54" s="886">
        <f t="shared" si="18"/>
        <v>3.5140868431875494</v>
      </c>
      <c r="Q54" s="887">
        <f t="shared" si="18"/>
        <v>4.6669432002478732</v>
      </c>
      <c r="R54" s="887">
        <f t="shared" si="18"/>
        <v>5.8160251654012596</v>
      </c>
      <c r="S54" s="887">
        <f t="shared" si="18"/>
        <v>6.9604321502625579</v>
      </c>
      <c r="T54" s="888">
        <f t="shared" si="18"/>
        <v>8.0992857768196558</v>
      </c>
      <c r="U54" s="889">
        <f t="shared" si="18"/>
        <v>9.2317336967595711</v>
      </c>
      <c r="V54" s="886">
        <f t="shared" si="18"/>
        <v>10.356953112563019</v>
      </c>
      <c r="W54" s="887">
        <f t="shared" si="18"/>
        <v>11.474153967945229</v>
      </c>
      <c r="X54" s="887">
        <f t="shared" si="18"/>
        <v>12.582581781900826</v>
      </c>
      <c r="Y54" s="887">
        <f t="shared" si="18"/>
        <v>13.68152010753743</v>
      </c>
      <c r="Z54" s="888">
        <f t="shared" si="18"/>
        <v>14.770292603850663</v>
      </c>
      <c r="AD54" s="29"/>
    </row>
    <row r="55" spans="1:30" s="19" customFormat="1" ht="12.75" x14ac:dyDescent="0.2">
      <c r="A55" s="1052" t="str">
        <f t="shared" si="10"/>
        <v>Arbre 5</v>
      </c>
      <c r="B55" s="1053">
        <f t="shared" ref="B55:L55" si="22">MAX($F23+B$48,1)</f>
        <v>4.5961885356225132</v>
      </c>
      <c r="C55" s="1054">
        <f t="shared" si="22"/>
        <v>5.5961885356225132</v>
      </c>
      <c r="D55" s="1054">
        <f t="shared" si="22"/>
        <v>6.5961885356225132</v>
      </c>
      <c r="E55" s="1054">
        <f t="shared" si="22"/>
        <v>7.5961885356225132</v>
      </c>
      <c r="F55" s="1055">
        <f t="shared" si="22"/>
        <v>8.5961885356225132</v>
      </c>
      <c r="G55" s="1056">
        <f t="shared" si="22"/>
        <v>9.5961885356225132</v>
      </c>
      <c r="H55" s="1053">
        <f t="shared" si="22"/>
        <v>10.596188535622513</v>
      </c>
      <c r="I55" s="1054">
        <f t="shared" si="22"/>
        <v>11.596188535622513</v>
      </c>
      <c r="J55" s="1054">
        <f t="shared" si="22"/>
        <v>12.596188535622513</v>
      </c>
      <c r="K55" s="1054">
        <f t="shared" si="22"/>
        <v>13.596188535622513</v>
      </c>
      <c r="L55" s="1055">
        <f t="shared" si="22"/>
        <v>14.596188535622513</v>
      </c>
      <c r="M55" s="751">
        <f t="shared" si="11"/>
        <v>56.283341229887483</v>
      </c>
      <c r="N55" s="761" t="str">
        <f t="shared" si="12"/>
        <v>Arbre 5</v>
      </c>
      <c r="O55" s="720">
        <f t="shared" si="15"/>
        <v>-8.8715442272544607</v>
      </c>
      <c r="P55" s="886">
        <f t="shared" si="18"/>
        <v>2.9041259410057814</v>
      </c>
      <c r="Q55" s="887">
        <f t="shared" si="18"/>
        <v>3.9184830686205552</v>
      </c>
      <c r="R55" s="887">
        <f t="shared" si="18"/>
        <v>4.9303862495148376</v>
      </c>
      <c r="S55" s="887">
        <f t="shared" si="18"/>
        <v>5.9392158029090885</v>
      </c>
      <c r="T55" s="888">
        <f t="shared" si="18"/>
        <v>6.9443634206264671</v>
      </c>
      <c r="U55" s="889">
        <f t="shared" si="18"/>
        <v>7.9452342810500545</v>
      </c>
      <c r="V55" s="886">
        <f t="shared" si="18"/>
        <v>8.9412490415770165</v>
      </c>
      <c r="W55" s="887">
        <f t="shared" si="18"/>
        <v>9.931845694058886</v>
      </c>
      <c r="X55" s="887">
        <f t="shared" si="18"/>
        <v>10.916481269927862</v>
      </c>
      <c r="Y55" s="887">
        <f t="shared" si="18"/>
        <v>11.894633384066815</v>
      </c>
      <c r="Z55" s="888">
        <f t="shared" si="18"/>
        <v>12.86580160892783</v>
      </c>
      <c r="AD55" s="29"/>
    </row>
    <row r="56" spans="1:30" s="19" customFormat="1" ht="12.75" x14ac:dyDescent="0.2">
      <c r="A56" s="1052" t="str">
        <f t="shared" si="10"/>
        <v>Creux 2 -10,4°</v>
      </c>
      <c r="B56" s="1053">
        <f t="shared" ref="B56:L56" si="23">MAX($F24+B$48,1)</f>
        <v>12.97120705892646</v>
      </c>
      <c r="C56" s="1054">
        <f t="shared" si="23"/>
        <v>13.97120705892646</v>
      </c>
      <c r="D56" s="1054">
        <f t="shared" si="23"/>
        <v>14.97120705892646</v>
      </c>
      <c r="E56" s="1054">
        <f t="shared" si="23"/>
        <v>15.97120705892646</v>
      </c>
      <c r="F56" s="1055">
        <f t="shared" si="23"/>
        <v>16.97120705892646</v>
      </c>
      <c r="G56" s="1056">
        <f t="shared" si="23"/>
        <v>17.97120705892646</v>
      </c>
      <c r="H56" s="1053">
        <f t="shared" si="23"/>
        <v>18.97120705892646</v>
      </c>
      <c r="I56" s="1054">
        <f t="shared" si="23"/>
        <v>19.97120705892646</v>
      </c>
      <c r="J56" s="1054">
        <f t="shared" si="23"/>
        <v>20.97120705892646</v>
      </c>
      <c r="K56" s="1054">
        <f t="shared" si="23"/>
        <v>21.97120705892646</v>
      </c>
      <c r="L56" s="1055">
        <f t="shared" si="23"/>
        <v>22.97120705892646</v>
      </c>
      <c r="M56" s="751">
        <f t="shared" si="11"/>
        <v>194.67835139018388</v>
      </c>
      <c r="N56" s="761" t="str">
        <f t="shared" ref="N56:N65" si="24">K24</f>
        <v>Creux 2 -10,4°</v>
      </c>
      <c r="O56" s="720">
        <f t="shared" si="15"/>
        <v>-1</v>
      </c>
      <c r="P56" s="886">
        <f t="shared" ref="P56:Z65" si="25">DEGREES(ATAN2($M56,B56-H_pv))</f>
        <v>3.3015223833880096</v>
      </c>
      <c r="Q56" s="887">
        <f t="shared" si="25"/>
        <v>3.5947670563958378</v>
      </c>
      <c r="R56" s="887">
        <f t="shared" si="25"/>
        <v>3.8878232763662468</v>
      </c>
      <c r="S56" s="887">
        <f t="shared" si="25"/>
        <v>4.1806759071069806</v>
      </c>
      <c r="T56" s="888">
        <f t="shared" si="25"/>
        <v>4.473309875994441</v>
      </c>
      <c r="U56" s="889">
        <f t="shared" si="25"/>
        <v>4.7657101785319922</v>
      </c>
      <c r="V56" s="886">
        <f t="shared" si="25"/>
        <v>5.0578618828555637</v>
      </c>
      <c r="W56" s="887">
        <f t="shared" si="25"/>
        <v>5.3497501341833118</v>
      </c>
      <c r="X56" s="887">
        <f t="shared" si="25"/>
        <v>5.641360159206072</v>
      </c>
      <c r="Y56" s="887">
        <f t="shared" si="25"/>
        <v>5.9326772704155246</v>
      </c>
      <c r="Z56" s="888">
        <f t="shared" si="25"/>
        <v>6.2236868703669792</v>
      </c>
      <c r="AD56" s="29"/>
    </row>
    <row r="57" spans="1:30" s="19" customFormat="1" ht="12.75" x14ac:dyDescent="0.2">
      <c r="A57" s="1052" t="str">
        <f t="shared" si="10"/>
        <v>Arbre 6</v>
      </c>
      <c r="B57" s="1053">
        <f t="shared" ref="B57:L57" si="26">MAX($F25+B$48,1)</f>
        <v>44.302657711270733</v>
      </c>
      <c r="C57" s="1054">
        <f t="shared" si="26"/>
        <v>45.302657711270733</v>
      </c>
      <c r="D57" s="1054">
        <f t="shared" si="26"/>
        <v>46.302657711270733</v>
      </c>
      <c r="E57" s="1054">
        <f t="shared" si="26"/>
        <v>47.302657711270733</v>
      </c>
      <c r="F57" s="1055">
        <f t="shared" si="26"/>
        <v>48.302657711270733</v>
      </c>
      <c r="G57" s="1056">
        <f t="shared" si="26"/>
        <v>49.302657711270733</v>
      </c>
      <c r="H57" s="1053">
        <f t="shared" si="26"/>
        <v>50.302657711270733</v>
      </c>
      <c r="I57" s="1054">
        <f t="shared" si="26"/>
        <v>51.302657711270733</v>
      </c>
      <c r="J57" s="1054">
        <f t="shared" si="26"/>
        <v>52.302657711270733</v>
      </c>
      <c r="K57" s="1054">
        <f t="shared" si="26"/>
        <v>53.302657711270733</v>
      </c>
      <c r="L57" s="1055">
        <f t="shared" si="26"/>
        <v>54.302657711270733</v>
      </c>
      <c r="M57" s="751">
        <f t="shared" si="11"/>
        <v>270.08570806319977</v>
      </c>
      <c r="N57" s="761" t="str">
        <f t="shared" si="24"/>
        <v>Arbre 6</v>
      </c>
      <c r="O57" s="720">
        <f t="shared" si="15"/>
        <v>17.03207550221515</v>
      </c>
      <c r="P57" s="886">
        <f t="shared" si="25"/>
        <v>8.9553661987281092</v>
      </c>
      <c r="Q57" s="887">
        <f t="shared" si="25"/>
        <v>9.1622462944338121</v>
      </c>
      <c r="R57" s="887">
        <f t="shared" si="25"/>
        <v>9.3688857096959328</v>
      </c>
      <c r="S57" s="887">
        <f t="shared" si="25"/>
        <v>9.5752794982161635</v>
      </c>
      <c r="T57" s="888">
        <f t="shared" si="25"/>
        <v>9.7814227509454632</v>
      </c>
      <c r="U57" s="889">
        <f t="shared" si="25"/>
        <v>9.9873105966891735</v>
      </c>
      <c r="V57" s="886">
        <f t="shared" si="25"/>
        <v>10.192938202698388</v>
      </c>
      <c r="W57" s="887">
        <f t="shared" si="25"/>
        <v>10.398300775247481</v>
      </c>
      <c r="X57" s="887">
        <f t="shared" si="25"/>
        <v>10.603393560197643</v>
      </c>
      <c r="Y57" s="887">
        <f t="shared" si="25"/>
        <v>10.808211843546305</v>
      </c>
      <c r="Z57" s="888">
        <f t="shared" si="25"/>
        <v>11.012750951962373</v>
      </c>
      <c r="AD57" s="29"/>
    </row>
    <row r="58" spans="1:30" s="19" customFormat="1" ht="12.75" x14ac:dyDescent="0.2">
      <c r="A58" s="1052" t="str">
        <f t="shared" si="10"/>
        <v>Arbre 7</v>
      </c>
      <c r="B58" s="1053">
        <f t="shared" ref="B58:L58" si="27">MAX($F26+B$48,1)</f>
        <v>33.411073239343217</v>
      </c>
      <c r="C58" s="1054">
        <f t="shared" si="27"/>
        <v>34.411073239343217</v>
      </c>
      <c r="D58" s="1054">
        <f t="shared" si="27"/>
        <v>35.411073239343217</v>
      </c>
      <c r="E58" s="1054">
        <f t="shared" si="27"/>
        <v>36.411073239343217</v>
      </c>
      <c r="F58" s="1055">
        <f t="shared" si="27"/>
        <v>37.411073239343217</v>
      </c>
      <c r="G58" s="1056">
        <f t="shared" si="27"/>
        <v>38.411073239343217</v>
      </c>
      <c r="H58" s="1053">
        <f t="shared" si="27"/>
        <v>39.411073239343217</v>
      </c>
      <c r="I58" s="1054">
        <f t="shared" si="27"/>
        <v>40.411073239343217</v>
      </c>
      <c r="J58" s="1054">
        <f t="shared" si="27"/>
        <v>41.411073239343217</v>
      </c>
      <c r="K58" s="1054">
        <f t="shared" si="27"/>
        <v>42.411073239343217</v>
      </c>
      <c r="L58" s="1055">
        <f t="shared" si="27"/>
        <v>43.411073239343217</v>
      </c>
      <c r="M58" s="751">
        <f t="shared" si="11"/>
        <v>227.78117218067035</v>
      </c>
      <c r="N58" s="761" t="str">
        <f t="shared" si="24"/>
        <v>Arbre 7</v>
      </c>
      <c r="O58" s="720">
        <f t="shared" si="15"/>
        <v>27</v>
      </c>
      <c r="P58" s="886">
        <f t="shared" si="25"/>
        <v>7.9155197569860212</v>
      </c>
      <c r="Q58" s="887">
        <f t="shared" si="25"/>
        <v>8.1621388620267652</v>
      </c>
      <c r="R58" s="887">
        <f t="shared" si="25"/>
        <v>8.408453839782835</v>
      </c>
      <c r="S58" s="887">
        <f t="shared" si="25"/>
        <v>8.6544561651056533</v>
      </c>
      <c r="T58" s="888">
        <f t="shared" si="25"/>
        <v>8.9001373805808655</v>
      </c>
      <c r="U58" s="889">
        <f t="shared" si="25"/>
        <v>9.1454890980882055</v>
      </c>
      <c r="V58" s="886">
        <f t="shared" si="25"/>
        <v>9.3905030003251593</v>
      </c>
      <c r="W58" s="887">
        <f t="shared" si="25"/>
        <v>9.6351708422938955</v>
      </c>
      <c r="X58" s="887">
        <f t="shared" si="25"/>
        <v>9.8794844527509227</v>
      </c>
      <c r="Y58" s="887">
        <f t="shared" si="25"/>
        <v>10.123435735618976</v>
      </c>
      <c r="Z58" s="888">
        <f t="shared" si="25"/>
        <v>10.367016671360629</v>
      </c>
      <c r="AD58" s="29"/>
    </row>
    <row r="59" spans="1:30" s="19" customFormat="1" ht="12.75" x14ac:dyDescent="0.2">
      <c r="A59" s="1052" t="str">
        <f t="shared" si="10"/>
        <v>Creux 3</v>
      </c>
      <c r="B59" s="1053">
        <f t="shared" ref="B59:L59" si="28">MAX($F27+B$48,1)</f>
        <v>26.0747172761311</v>
      </c>
      <c r="C59" s="1054">
        <f t="shared" si="28"/>
        <v>27.0747172761311</v>
      </c>
      <c r="D59" s="1054">
        <f t="shared" si="28"/>
        <v>28.0747172761311</v>
      </c>
      <c r="E59" s="1054">
        <f t="shared" si="28"/>
        <v>29.0747172761311</v>
      </c>
      <c r="F59" s="1055">
        <f t="shared" si="28"/>
        <v>30.0747172761311</v>
      </c>
      <c r="G59" s="1056">
        <f t="shared" si="28"/>
        <v>31.0747172761311</v>
      </c>
      <c r="H59" s="1053">
        <f t="shared" si="28"/>
        <v>32.074717276131096</v>
      </c>
      <c r="I59" s="1054">
        <f t="shared" si="28"/>
        <v>33.074717276131096</v>
      </c>
      <c r="J59" s="1054">
        <f t="shared" si="28"/>
        <v>34.074717276131096</v>
      </c>
      <c r="K59" s="1054">
        <f t="shared" si="28"/>
        <v>35.074717276131096</v>
      </c>
      <c r="L59" s="1055">
        <f t="shared" si="28"/>
        <v>36.074717276131096</v>
      </c>
      <c r="M59" s="751">
        <f t="shared" si="11"/>
        <v>221.91044702762403</v>
      </c>
      <c r="N59" s="761" t="str">
        <f t="shared" si="24"/>
        <v>Creux 3</v>
      </c>
      <c r="O59" s="720">
        <f t="shared" si="15"/>
        <v>34.759981957521461</v>
      </c>
      <c r="P59" s="886">
        <f t="shared" si="25"/>
        <v>6.2578163232642741</v>
      </c>
      <c r="Q59" s="887">
        <f t="shared" si="25"/>
        <v>6.5128156455153032</v>
      </c>
      <c r="R59" s="887">
        <f t="shared" si="25"/>
        <v>6.7675561084731672</v>
      </c>
      <c r="S59" s="887">
        <f t="shared" si="25"/>
        <v>7.0220280506811514</v>
      </c>
      <c r="T59" s="888">
        <f t="shared" si="25"/>
        <v>7.2762218734110498</v>
      </c>
      <c r="U59" s="889">
        <f t="shared" si="25"/>
        <v>7.5301280426944439</v>
      </c>
      <c r="V59" s="886">
        <f t="shared" si="25"/>
        <v>7.78373709131706</v>
      </c>
      <c r="W59" s="887">
        <f t="shared" si="25"/>
        <v>8.0370396207752961</v>
      </c>
      <c r="X59" s="887">
        <f t="shared" si="25"/>
        <v>8.2900263031939652</v>
      </c>
      <c r="Y59" s="887">
        <f t="shared" si="25"/>
        <v>8.5426878832044153</v>
      </c>
      <c r="Z59" s="888">
        <f t="shared" si="25"/>
        <v>8.7950151797821938</v>
      </c>
      <c r="AD59" s="29"/>
    </row>
    <row r="60" spans="1:30" s="19" customFormat="1" ht="12.75" x14ac:dyDescent="0.2">
      <c r="A60" s="1052" t="str">
        <f t="shared" si="10"/>
        <v>Arbre 8</v>
      </c>
      <c r="B60" s="1053">
        <f t="shared" ref="B60:L60" si="29">MAX($F28+B$48,1)</f>
        <v>29.579986735117373</v>
      </c>
      <c r="C60" s="1054">
        <f t="shared" si="29"/>
        <v>30.579986735117373</v>
      </c>
      <c r="D60" s="1054">
        <f t="shared" si="29"/>
        <v>31.579986735117373</v>
      </c>
      <c r="E60" s="1054">
        <f t="shared" si="29"/>
        <v>32.579986735117373</v>
      </c>
      <c r="F60" s="1055">
        <f t="shared" si="29"/>
        <v>33.579986735117373</v>
      </c>
      <c r="G60" s="1056">
        <f t="shared" si="29"/>
        <v>34.579986735117373</v>
      </c>
      <c r="H60" s="1053">
        <f t="shared" si="29"/>
        <v>35.579986735117373</v>
      </c>
      <c r="I60" s="1054">
        <f t="shared" si="29"/>
        <v>36.579986735117373</v>
      </c>
      <c r="J60" s="1054">
        <f t="shared" si="29"/>
        <v>37.579986735117373</v>
      </c>
      <c r="K60" s="1054">
        <f t="shared" si="29"/>
        <v>38.579986735117373</v>
      </c>
      <c r="L60" s="1055">
        <f t="shared" si="29"/>
        <v>39.579986735117373</v>
      </c>
      <c r="M60" s="751">
        <f t="shared" si="11"/>
        <v>201.71690310928284</v>
      </c>
      <c r="N60" s="761" t="str">
        <f t="shared" si="24"/>
        <v>Arbre 8</v>
      </c>
      <c r="O60" s="720">
        <f t="shared" si="15"/>
        <v>45.498106826837756</v>
      </c>
      <c r="P60" s="886">
        <f t="shared" si="25"/>
        <v>7.8577818627086105</v>
      </c>
      <c r="Q60" s="887">
        <f t="shared" si="25"/>
        <v>8.1363242303306205</v>
      </c>
      <c r="R60" s="887">
        <f t="shared" si="25"/>
        <v>8.4144799444983125</v>
      </c>
      <c r="S60" s="887">
        <f t="shared" si="25"/>
        <v>8.6922367262256799</v>
      </c>
      <c r="T60" s="888">
        <f t="shared" si="25"/>
        <v>8.9695824067180503</v>
      </c>
      <c r="U60" s="889">
        <f t="shared" si="25"/>
        <v>9.2465049302300404</v>
      </c>
      <c r="V60" s="886">
        <f t="shared" si="25"/>
        <v>9.5229923568483699</v>
      </c>
      <c r="W60" s="887">
        <f t="shared" si="25"/>
        <v>9.799032865198166</v>
      </c>
      <c r="X60" s="887">
        <f t="shared" si="25"/>
        <v>10.074614755071547</v>
      </c>
      <c r="Y60" s="887">
        <f t="shared" si="25"/>
        <v>10.34972644997737</v>
      </c>
      <c r="Z60" s="888">
        <f t="shared" si="25"/>
        <v>10.624356499611052</v>
      </c>
      <c r="AD60" s="29"/>
    </row>
    <row r="61" spans="1:30" s="19" customFormat="1" ht="12.75" x14ac:dyDescent="0.2">
      <c r="A61" s="1052" t="str">
        <f t="shared" si="10"/>
        <v>Creux 4</v>
      </c>
      <c r="B61" s="1053">
        <f t="shared" ref="B61:L61" si="30">MAX($F29+B$48,1)</f>
        <v>13.074953372915854</v>
      </c>
      <c r="C61" s="1054">
        <f t="shared" si="30"/>
        <v>14.074953372915854</v>
      </c>
      <c r="D61" s="1054">
        <f t="shared" si="30"/>
        <v>15.074953372915854</v>
      </c>
      <c r="E61" s="1054">
        <f t="shared" si="30"/>
        <v>16.074953372915854</v>
      </c>
      <c r="F61" s="1055">
        <f t="shared" si="30"/>
        <v>17.074953372915854</v>
      </c>
      <c r="G61" s="1056">
        <f t="shared" si="30"/>
        <v>18.074953372915854</v>
      </c>
      <c r="H61" s="1053">
        <f t="shared" si="30"/>
        <v>19.074953372915854</v>
      </c>
      <c r="I61" s="1054">
        <f t="shared" si="30"/>
        <v>20.074953372915854</v>
      </c>
      <c r="J61" s="1054">
        <f t="shared" si="30"/>
        <v>21.074953372915854</v>
      </c>
      <c r="K61" s="1054">
        <f t="shared" si="30"/>
        <v>22.074953372915854</v>
      </c>
      <c r="L61" s="1055">
        <f t="shared" si="30"/>
        <v>23.074953372915854</v>
      </c>
      <c r="M61" s="743">
        <f t="shared" si="11"/>
        <v>127.89430988124518</v>
      </c>
      <c r="N61" s="936" t="str">
        <f t="shared" si="24"/>
        <v>Creux 4</v>
      </c>
      <c r="O61" s="937">
        <f t="shared" si="15"/>
        <v>53</v>
      </c>
      <c r="P61" s="886">
        <f t="shared" si="25"/>
        <v>5.0643334581523254</v>
      </c>
      <c r="Q61" s="887">
        <f t="shared" si="25"/>
        <v>5.5085214366535569</v>
      </c>
      <c r="R61" s="887">
        <f t="shared" si="25"/>
        <v>5.952046226973164</v>
      </c>
      <c r="S61" s="887">
        <f t="shared" si="25"/>
        <v>6.3948562841252219</v>
      </c>
      <c r="T61" s="888">
        <f t="shared" si="25"/>
        <v>6.8369005705640733</v>
      </c>
      <c r="U61" s="889">
        <f t="shared" si="25"/>
        <v>7.2781285896789738</v>
      </c>
      <c r="V61" s="886">
        <f t="shared" si="25"/>
        <v>7.7184904183501182</v>
      </c>
      <c r="W61" s="887">
        <f t="shared" si="25"/>
        <v>8.1579367385175114</v>
      </c>
      <c r="X61" s="887">
        <f t="shared" si="25"/>
        <v>8.5964188677172331</v>
      </c>
      <c r="Y61" s="887">
        <f t="shared" si="25"/>
        <v>9.0338887885428516</v>
      </c>
      <c r="Z61" s="888">
        <f t="shared" si="25"/>
        <v>9.4702991769930662</v>
      </c>
      <c r="AD61" s="29"/>
    </row>
    <row r="62" spans="1:30" s="19" customFormat="1" ht="12.75" x14ac:dyDescent="0.2">
      <c r="A62" s="1052" t="str">
        <f t="shared" si="10"/>
        <v>Arbre 9</v>
      </c>
      <c r="B62" s="1053">
        <f t="shared" ref="B62:L62" si="31">MAX($F30+B$48,1)</f>
        <v>11.939315497020761</v>
      </c>
      <c r="C62" s="1054">
        <f t="shared" si="31"/>
        <v>12.939315497020761</v>
      </c>
      <c r="D62" s="1054">
        <f t="shared" si="31"/>
        <v>13.939315497020761</v>
      </c>
      <c r="E62" s="1054">
        <f t="shared" si="31"/>
        <v>14.939315497020761</v>
      </c>
      <c r="F62" s="1055">
        <f t="shared" si="31"/>
        <v>15.939315497020761</v>
      </c>
      <c r="G62" s="1056">
        <f t="shared" si="31"/>
        <v>16.939315497020761</v>
      </c>
      <c r="H62" s="1053">
        <f t="shared" si="31"/>
        <v>17.939315497020761</v>
      </c>
      <c r="I62" s="1054">
        <f t="shared" si="31"/>
        <v>18.939315497020761</v>
      </c>
      <c r="J62" s="1054">
        <f t="shared" si="31"/>
        <v>19.939315497020761</v>
      </c>
      <c r="K62" s="1054">
        <f t="shared" si="31"/>
        <v>20.939315497020761</v>
      </c>
      <c r="L62" s="1055">
        <f t="shared" si="31"/>
        <v>21.939315497020761</v>
      </c>
      <c r="M62" s="751">
        <f t="shared" si="11"/>
        <v>90.468284497939322</v>
      </c>
      <c r="N62" s="761" t="str">
        <f t="shared" si="24"/>
        <v>Arbre 9</v>
      </c>
      <c r="O62" s="720">
        <f t="shared" si="15"/>
        <v>70.962212947360769</v>
      </c>
      <c r="P62" s="886">
        <f t="shared" si="25"/>
        <v>6.43173204058417</v>
      </c>
      <c r="Q62" s="887">
        <f t="shared" si="25"/>
        <v>7.0563160897321611</v>
      </c>
      <c r="R62" s="887">
        <f t="shared" si="25"/>
        <v>7.6792191668987844</v>
      </c>
      <c r="S62" s="887">
        <f t="shared" si="25"/>
        <v>8.3003014293219071</v>
      </c>
      <c r="T62" s="888">
        <f t="shared" si="25"/>
        <v>8.919425561449934</v>
      </c>
      <c r="U62" s="889">
        <f t="shared" si="25"/>
        <v>9.5364569405200825</v>
      </c>
      <c r="V62" s="886">
        <f t="shared" si="25"/>
        <v>10.151263793157824</v>
      </c>
      <c r="W62" s="887">
        <f t="shared" si="25"/>
        <v>10.763717342616772</v>
      </c>
      <c r="X62" s="887">
        <f t="shared" si="25"/>
        <v>11.373691946333544</v>
      </c>
      <c r="Y62" s="887">
        <f t="shared" si="25"/>
        <v>11.981065223527819</v>
      </c>
      <c r="Z62" s="888">
        <f t="shared" si="25"/>
        <v>12.585718172633785</v>
      </c>
      <c r="AD62" s="29"/>
    </row>
    <row r="63" spans="1:30" s="28" customFormat="1" ht="12.75" x14ac:dyDescent="0.2">
      <c r="A63" s="1052" t="str">
        <f t="shared" si="10"/>
        <v>Creux 5</v>
      </c>
      <c r="B63" s="1053">
        <f t="shared" ref="B63:L63" si="32">MAX($F31+B$48,1)</f>
        <v>9.4067339706007331</v>
      </c>
      <c r="C63" s="1054">
        <f t="shared" si="32"/>
        <v>10.406733970600733</v>
      </c>
      <c r="D63" s="1054">
        <f t="shared" si="32"/>
        <v>11.406733970600733</v>
      </c>
      <c r="E63" s="1054">
        <f t="shared" si="32"/>
        <v>12.406733970600733</v>
      </c>
      <c r="F63" s="1055">
        <f t="shared" si="32"/>
        <v>13.406733970600733</v>
      </c>
      <c r="G63" s="1056">
        <f t="shared" si="32"/>
        <v>14.406733970600733</v>
      </c>
      <c r="H63" s="1053">
        <f t="shared" si="32"/>
        <v>15.406733970600733</v>
      </c>
      <c r="I63" s="1054">
        <f t="shared" si="32"/>
        <v>16.406733970600733</v>
      </c>
      <c r="J63" s="1054">
        <f t="shared" si="32"/>
        <v>17.406733970600733</v>
      </c>
      <c r="K63" s="1054">
        <f t="shared" si="32"/>
        <v>18.406733970600733</v>
      </c>
      <c r="L63" s="1055">
        <f t="shared" si="32"/>
        <v>19.406733970600733</v>
      </c>
      <c r="M63" s="743">
        <f t="shared" si="11"/>
        <v>143.85672907445112</v>
      </c>
      <c r="N63" s="936" t="str">
        <f t="shared" si="24"/>
        <v>Creux 5</v>
      </c>
      <c r="O63" s="937">
        <f t="shared" si="15"/>
        <v>95</v>
      </c>
      <c r="P63" s="886">
        <f t="shared" si="25"/>
        <v>3.0502776029197713</v>
      </c>
      <c r="Q63" s="887">
        <f t="shared" si="25"/>
        <v>3.4472804723209003</v>
      </c>
      <c r="R63" s="887">
        <f t="shared" si="25"/>
        <v>3.843952207704354</v>
      </c>
      <c r="S63" s="887">
        <f t="shared" si="25"/>
        <v>4.2402552485420104</v>
      </c>
      <c r="T63" s="888">
        <f t="shared" si="25"/>
        <v>4.6361522451820907</v>
      </c>
      <c r="U63" s="889">
        <f t="shared" si="25"/>
        <v>5.0316060795292854</v>
      </c>
      <c r="V63" s="886">
        <f t="shared" si="25"/>
        <v>5.4265798853972802</v>
      </c>
      <c r="W63" s="887">
        <f t="shared" si="25"/>
        <v>5.8210370685065502</v>
      </c>
      <c r="X63" s="887">
        <f t="shared" si="25"/>
        <v>6.2149413261012443</v>
      </c>
      <c r="Y63" s="887">
        <f t="shared" si="25"/>
        <v>6.6082566661599413</v>
      </c>
      <c r="Z63" s="888">
        <f t="shared" si="25"/>
        <v>7.0009474261761024</v>
      </c>
      <c r="AD63" s="70"/>
    </row>
    <row r="64" spans="1:30" s="28" customFormat="1" ht="12.75" x14ac:dyDescent="0.2">
      <c r="A64" s="1052" t="str">
        <f t="shared" si="10"/>
        <v xml:space="preserve">Arbre 10 </v>
      </c>
      <c r="B64" s="1053">
        <f t="shared" ref="B64:L64" si="33">MAX($F32+B$48,1)</f>
        <v>2.6450142279424842</v>
      </c>
      <c r="C64" s="1054">
        <f t="shared" si="33"/>
        <v>3.6450142279424842</v>
      </c>
      <c r="D64" s="1054">
        <f t="shared" si="33"/>
        <v>4.6450142279424842</v>
      </c>
      <c r="E64" s="1054">
        <f t="shared" si="33"/>
        <v>5.6450142279424842</v>
      </c>
      <c r="F64" s="1055">
        <f t="shared" si="33"/>
        <v>6.6450142279424842</v>
      </c>
      <c r="G64" s="1056">
        <f t="shared" si="33"/>
        <v>7.6450142279424842</v>
      </c>
      <c r="H64" s="1053">
        <f t="shared" si="33"/>
        <v>8.6450142279424842</v>
      </c>
      <c r="I64" s="1054">
        <f t="shared" si="33"/>
        <v>9.6450142279424842</v>
      </c>
      <c r="J64" s="1054">
        <f t="shared" si="33"/>
        <v>10.645014227942484</v>
      </c>
      <c r="K64" s="1054">
        <f t="shared" si="33"/>
        <v>11.645014227942484</v>
      </c>
      <c r="L64" s="1055">
        <f t="shared" si="33"/>
        <v>12.645014227942484</v>
      </c>
      <c r="M64" s="743">
        <f t="shared" si="11"/>
        <v>13.488191131504543</v>
      </c>
      <c r="N64" s="936" t="str">
        <f t="shared" si="24"/>
        <v xml:space="preserve">Arbre 10 </v>
      </c>
      <c r="O64" s="937">
        <f t="shared" si="15"/>
        <v>103.41807886046519</v>
      </c>
      <c r="P64" s="886">
        <f t="shared" si="25"/>
        <v>3.8346591126693546</v>
      </c>
      <c r="Q64" s="887">
        <f t="shared" si="25"/>
        <v>8.0351484194693761</v>
      </c>
      <c r="R64" s="887">
        <f t="shared" si="25"/>
        <v>12.150603418462989</v>
      </c>
      <c r="S64" s="887">
        <f t="shared" si="25"/>
        <v>16.142786009649384</v>
      </c>
      <c r="T64" s="888">
        <f t="shared" si="25"/>
        <v>19.980418102763387</v>
      </c>
      <c r="U64" s="889">
        <f t="shared" si="25"/>
        <v>23.640060919050594</v>
      </c>
      <c r="V64" s="886">
        <f t="shared" si="25"/>
        <v>27.106140153427113</v>
      </c>
      <c r="W64" s="887">
        <f t="shared" si="25"/>
        <v>30.370303332353703</v>
      </c>
      <c r="X64" s="887">
        <f t="shared" si="25"/>
        <v>33.430356059247728</v>
      </c>
      <c r="Y64" s="887">
        <f t="shared" si="25"/>
        <v>36.289014083663488</v>
      </c>
      <c r="Z64" s="888">
        <f t="shared" si="25"/>
        <v>38.952656186642685</v>
      </c>
      <c r="AD64" s="70"/>
    </row>
    <row r="65" spans="1:30" s="28" customFormat="1" ht="12.75" x14ac:dyDescent="0.2">
      <c r="A65" s="1052" t="str">
        <f t="shared" si="10"/>
        <v>Arbre 11</v>
      </c>
      <c r="B65" s="1053">
        <f t="shared" ref="B65:L65" si="34">MAX($F33+B$48,1)</f>
        <v>8.2883472118674764</v>
      </c>
      <c r="C65" s="1054">
        <f t="shared" si="34"/>
        <v>9.2883472118674764</v>
      </c>
      <c r="D65" s="1054">
        <f t="shared" si="34"/>
        <v>10.288347211867476</v>
      </c>
      <c r="E65" s="1054">
        <f t="shared" si="34"/>
        <v>11.288347211867476</v>
      </c>
      <c r="F65" s="1055">
        <f t="shared" si="34"/>
        <v>12.288347211867476</v>
      </c>
      <c r="G65" s="1056">
        <f t="shared" si="34"/>
        <v>13.288347211867476</v>
      </c>
      <c r="H65" s="1053">
        <f t="shared" si="34"/>
        <v>14.288347211867476</v>
      </c>
      <c r="I65" s="1054">
        <f t="shared" si="34"/>
        <v>15.288347211867476</v>
      </c>
      <c r="J65" s="1054">
        <f t="shared" si="34"/>
        <v>16.288347211867475</v>
      </c>
      <c r="K65" s="1054">
        <f t="shared" si="34"/>
        <v>17.288347211867475</v>
      </c>
      <c r="L65" s="1055">
        <f t="shared" si="34"/>
        <v>18.288347211867475</v>
      </c>
      <c r="M65" s="743">
        <f t="shared" si="11"/>
        <v>21.218824189855695</v>
      </c>
      <c r="N65" s="936" t="str">
        <f t="shared" si="24"/>
        <v>Arbre 11</v>
      </c>
      <c r="O65" s="937">
        <f t="shared" si="15"/>
        <v>118.08678228972542</v>
      </c>
      <c r="P65" s="886">
        <f t="shared" si="25"/>
        <v>17.148460729111125</v>
      </c>
      <c r="Q65" s="887">
        <f t="shared" si="25"/>
        <v>19.580178920202783</v>
      </c>
      <c r="R65" s="887">
        <f t="shared" si="25"/>
        <v>21.940669791028864</v>
      </c>
      <c r="S65" s="887">
        <f t="shared" si="25"/>
        <v>24.225370209281802</v>
      </c>
      <c r="T65" s="888">
        <f t="shared" si="25"/>
        <v>26.430965501225863</v>
      </c>
      <c r="U65" s="889">
        <f t="shared" si="25"/>
        <v>28.555301252061604</v>
      </c>
      <c r="V65" s="886">
        <f t="shared" si="25"/>
        <v>30.597270283857156</v>
      </c>
      <c r="W65" s="887">
        <f t="shared" si="25"/>
        <v>32.556685084238531</v>
      </c>
      <c r="X65" s="887">
        <f t="shared" si="25"/>
        <v>34.434144564197112</v>
      </c>
      <c r="Y65" s="887">
        <f t="shared" si="25"/>
        <v>36.230902258032792</v>
      </c>
      <c r="Z65" s="888">
        <f t="shared" si="25"/>
        <v>37.9487412305728</v>
      </c>
      <c r="AD65" s="70"/>
    </row>
    <row r="66" spans="1:30" s="28" customFormat="1" ht="12.75" x14ac:dyDescent="0.2">
      <c r="A66" s="1057" t="str">
        <f t="shared" si="10"/>
        <v>Arrière PV</v>
      </c>
      <c r="B66" s="1058"/>
      <c r="C66" s="1059"/>
      <c r="D66" s="1059"/>
      <c r="E66" s="1059"/>
      <c r="F66" s="979"/>
      <c r="G66" s="1045"/>
      <c r="H66" s="1049"/>
      <c r="I66" s="1060"/>
      <c r="J66" s="1050"/>
      <c r="K66" s="1060"/>
      <c r="L66" s="1051"/>
      <c r="M66" s="743">
        <f t="shared" si="11"/>
        <v>0</v>
      </c>
      <c r="N66" s="724" t="str">
        <f t="shared" si="12"/>
        <v>Arrière PV</v>
      </c>
      <c r="O66" s="743">
        <f t="shared" si="15"/>
        <v>200</v>
      </c>
      <c r="P66" s="681">
        <f t="shared" ref="P66:Z66" si="35">$I34</f>
        <v>18.262889942194128</v>
      </c>
      <c r="Q66" s="685">
        <f t="shared" si="35"/>
        <v>18.262889942194128</v>
      </c>
      <c r="R66" s="685">
        <f t="shared" si="35"/>
        <v>18.262889942194128</v>
      </c>
      <c r="S66" s="685">
        <f t="shared" si="35"/>
        <v>18.262889942194128</v>
      </c>
      <c r="T66" s="682">
        <f t="shared" si="35"/>
        <v>18.262889942194128</v>
      </c>
      <c r="U66" s="890">
        <f t="shared" si="35"/>
        <v>18.262889942194128</v>
      </c>
      <c r="V66" s="681">
        <f t="shared" si="35"/>
        <v>18.262889942194128</v>
      </c>
      <c r="W66" s="685">
        <f t="shared" si="35"/>
        <v>18.262889942194128</v>
      </c>
      <c r="X66" s="685">
        <f t="shared" si="35"/>
        <v>18.262889942194128</v>
      </c>
      <c r="Y66" s="685">
        <f t="shared" si="35"/>
        <v>18.262889942194128</v>
      </c>
      <c r="Z66" s="682">
        <f t="shared" si="35"/>
        <v>18.262889942194128</v>
      </c>
      <c r="AD66" s="70"/>
    </row>
    <row r="67" spans="1:30" s="28" customFormat="1" ht="12.75" x14ac:dyDescent="0.2">
      <c r="A67" s="1057">
        <f t="shared" si="10"/>
        <v>0</v>
      </c>
      <c r="B67" s="1058"/>
      <c r="C67" s="1059"/>
      <c r="D67" s="1059"/>
      <c r="E67" s="1059"/>
      <c r="F67" s="979"/>
      <c r="G67" s="1045"/>
      <c r="H67" s="1049"/>
      <c r="I67" s="1060"/>
      <c r="J67" s="1050"/>
      <c r="K67" s="1060"/>
      <c r="L67" s="1051"/>
      <c r="M67" s="743">
        <f t="shared" si="11"/>
        <v>0</v>
      </c>
      <c r="N67" s="724">
        <f t="shared" si="12"/>
        <v>0</v>
      </c>
      <c r="O67" s="743">
        <f t="shared" si="15"/>
        <v>200</v>
      </c>
      <c r="P67" s="681">
        <f t="shared" ref="P67:Z70" si="36">P66</f>
        <v>18.262889942194128</v>
      </c>
      <c r="Q67" s="685">
        <f t="shared" si="36"/>
        <v>18.262889942194128</v>
      </c>
      <c r="R67" s="685">
        <f t="shared" si="36"/>
        <v>18.262889942194128</v>
      </c>
      <c r="S67" s="685">
        <f t="shared" si="36"/>
        <v>18.262889942194128</v>
      </c>
      <c r="T67" s="682">
        <f t="shared" si="36"/>
        <v>18.262889942194128</v>
      </c>
      <c r="U67" s="890">
        <f t="shared" si="36"/>
        <v>18.262889942194128</v>
      </c>
      <c r="V67" s="681">
        <f t="shared" si="36"/>
        <v>18.262889942194128</v>
      </c>
      <c r="W67" s="685">
        <f t="shared" si="36"/>
        <v>18.262889942194128</v>
      </c>
      <c r="X67" s="685">
        <f t="shared" si="36"/>
        <v>18.262889942194128</v>
      </c>
      <c r="Y67" s="685">
        <f t="shared" si="36"/>
        <v>18.262889942194128</v>
      </c>
      <c r="Z67" s="682">
        <f t="shared" si="36"/>
        <v>18.262889942194128</v>
      </c>
      <c r="AD67" s="70"/>
    </row>
    <row r="68" spans="1:30" s="28" customFormat="1" ht="12.75" x14ac:dyDescent="0.2">
      <c r="A68" s="1057">
        <f t="shared" si="10"/>
        <v>0</v>
      </c>
      <c r="B68" s="1058"/>
      <c r="C68" s="1059"/>
      <c r="D68" s="1059"/>
      <c r="E68" s="1059"/>
      <c r="F68" s="979"/>
      <c r="G68" s="1045"/>
      <c r="H68" s="1049"/>
      <c r="I68" s="1060"/>
      <c r="J68" s="1050"/>
      <c r="K68" s="1060"/>
      <c r="L68" s="1051"/>
      <c r="M68" s="743">
        <f t="shared" si="11"/>
        <v>0</v>
      </c>
      <c r="N68" s="724">
        <f t="shared" si="12"/>
        <v>0</v>
      </c>
      <c r="O68" s="743">
        <f t="shared" si="15"/>
        <v>200</v>
      </c>
      <c r="P68" s="681">
        <f t="shared" si="36"/>
        <v>18.262889942194128</v>
      </c>
      <c r="Q68" s="685">
        <f t="shared" si="36"/>
        <v>18.262889942194128</v>
      </c>
      <c r="R68" s="685">
        <f t="shared" si="36"/>
        <v>18.262889942194128</v>
      </c>
      <c r="S68" s="685">
        <f t="shared" si="36"/>
        <v>18.262889942194128</v>
      </c>
      <c r="T68" s="682">
        <f t="shared" si="36"/>
        <v>18.262889942194128</v>
      </c>
      <c r="U68" s="890">
        <f t="shared" si="36"/>
        <v>18.262889942194128</v>
      </c>
      <c r="V68" s="681">
        <f t="shared" si="36"/>
        <v>18.262889942194128</v>
      </c>
      <c r="W68" s="685">
        <f t="shared" si="36"/>
        <v>18.262889942194128</v>
      </c>
      <c r="X68" s="685">
        <f t="shared" si="36"/>
        <v>18.262889942194128</v>
      </c>
      <c r="Y68" s="685">
        <f t="shared" si="36"/>
        <v>18.262889942194128</v>
      </c>
      <c r="Z68" s="682">
        <f t="shared" si="36"/>
        <v>18.262889942194128</v>
      </c>
      <c r="AD68" s="70"/>
    </row>
    <row r="69" spans="1:30" s="28" customFormat="1" ht="12.75" x14ac:dyDescent="0.2">
      <c r="A69" s="1057">
        <f t="shared" si="10"/>
        <v>0</v>
      </c>
      <c r="B69" s="1058"/>
      <c r="C69" s="1059"/>
      <c r="D69" s="1059"/>
      <c r="E69" s="1059"/>
      <c r="F69" s="979"/>
      <c r="G69" s="1045"/>
      <c r="H69" s="1049"/>
      <c r="I69" s="1060"/>
      <c r="J69" s="1050"/>
      <c r="K69" s="1060"/>
      <c r="L69" s="1051"/>
      <c r="M69" s="743">
        <f t="shared" si="11"/>
        <v>0</v>
      </c>
      <c r="N69" s="724">
        <f t="shared" si="12"/>
        <v>0</v>
      </c>
      <c r="O69" s="743">
        <f t="shared" si="15"/>
        <v>200</v>
      </c>
      <c r="P69" s="681">
        <f t="shared" si="36"/>
        <v>18.262889942194128</v>
      </c>
      <c r="Q69" s="685">
        <f t="shared" si="36"/>
        <v>18.262889942194128</v>
      </c>
      <c r="R69" s="685">
        <f t="shared" si="36"/>
        <v>18.262889942194128</v>
      </c>
      <c r="S69" s="685">
        <f t="shared" si="36"/>
        <v>18.262889942194128</v>
      </c>
      <c r="T69" s="682">
        <f t="shared" si="36"/>
        <v>18.262889942194128</v>
      </c>
      <c r="U69" s="890">
        <f t="shared" si="36"/>
        <v>18.262889942194128</v>
      </c>
      <c r="V69" s="681">
        <f t="shared" si="36"/>
        <v>18.262889942194128</v>
      </c>
      <c r="W69" s="685">
        <f t="shared" si="36"/>
        <v>18.262889942194128</v>
      </c>
      <c r="X69" s="685">
        <f t="shared" si="36"/>
        <v>18.262889942194128</v>
      </c>
      <c r="Y69" s="685">
        <f t="shared" si="36"/>
        <v>18.262889942194128</v>
      </c>
      <c r="Z69" s="682">
        <f t="shared" si="36"/>
        <v>18.262889942194128</v>
      </c>
      <c r="AD69" s="70"/>
    </row>
    <row r="70" spans="1:30" s="28" customFormat="1" ht="12.75" x14ac:dyDescent="0.2">
      <c r="A70" s="1061">
        <f t="shared" si="10"/>
        <v>0</v>
      </c>
      <c r="B70" s="1062"/>
      <c r="C70" s="1063"/>
      <c r="D70" s="1063"/>
      <c r="E70" s="1063"/>
      <c r="F70" s="981"/>
      <c r="G70" s="1064"/>
      <c r="H70" s="1065"/>
      <c r="I70" s="1066"/>
      <c r="J70" s="1067"/>
      <c r="K70" s="1066"/>
      <c r="L70" s="1068"/>
      <c r="M70" s="763">
        <f t="shared" si="11"/>
        <v>0</v>
      </c>
      <c r="N70" s="762">
        <f t="shared" si="12"/>
        <v>0</v>
      </c>
      <c r="O70" s="763">
        <f t="shared" si="15"/>
        <v>200</v>
      </c>
      <c r="P70" s="891">
        <f t="shared" si="36"/>
        <v>18.262889942194128</v>
      </c>
      <c r="Q70" s="892">
        <f t="shared" si="36"/>
        <v>18.262889942194128</v>
      </c>
      <c r="R70" s="892">
        <f t="shared" si="36"/>
        <v>18.262889942194128</v>
      </c>
      <c r="S70" s="892">
        <f t="shared" si="36"/>
        <v>18.262889942194128</v>
      </c>
      <c r="T70" s="893">
        <f t="shared" si="36"/>
        <v>18.262889942194128</v>
      </c>
      <c r="U70" s="894">
        <f t="shared" si="36"/>
        <v>18.262889942194128</v>
      </c>
      <c r="V70" s="891">
        <f t="shared" si="36"/>
        <v>18.262889942194128</v>
      </c>
      <c r="W70" s="892">
        <f t="shared" si="36"/>
        <v>18.262889942194128</v>
      </c>
      <c r="X70" s="892">
        <f t="shared" si="36"/>
        <v>18.262889942194128</v>
      </c>
      <c r="Y70" s="892">
        <f t="shared" si="36"/>
        <v>18.262889942194128</v>
      </c>
      <c r="Z70" s="893">
        <f t="shared" si="36"/>
        <v>18.262889942194128</v>
      </c>
      <c r="AD70" s="70"/>
    </row>
    <row r="71" spans="1:30" s="19" customFormat="1" ht="12.75" x14ac:dyDescent="0.2">
      <c r="G71" s="31"/>
      <c r="H71" s="31"/>
      <c r="U71" s="29"/>
      <c r="W71" s="29"/>
      <c r="X71" s="764"/>
      <c r="Y71" s="29"/>
      <c r="AA71" s="29"/>
    </row>
    <row r="72" spans="1:30" s="19" customFormat="1" ht="15.75" x14ac:dyDescent="0.25">
      <c r="A72" s="688" t="s">
        <v>205</v>
      </c>
      <c r="F72" s="30"/>
      <c r="G72" s="29"/>
      <c r="H72" s="31"/>
      <c r="K72" s="30"/>
      <c r="Q72" s="29"/>
      <c r="R72" s="710"/>
      <c r="S72" s="29"/>
      <c r="U72" s="29"/>
      <c r="W72" s="29"/>
      <c r="X72" s="764"/>
      <c r="Y72" s="29"/>
      <c r="AA72" s="29"/>
    </row>
    <row r="73" spans="1:30" s="19" customFormat="1" ht="12.75" x14ac:dyDescent="0.2">
      <c r="A73" s="765" t="str">
        <f t="array" ref="A73:W85">+TRANSPOSE(N48:Z70)</f>
        <v>Aureville</v>
      </c>
      <c r="B73" s="785" t="str">
        <v>Arrière PV</v>
      </c>
      <c r="C73" s="766" t="str">
        <v>Arbre 0</v>
      </c>
      <c r="D73" s="766" t="str">
        <v>Arbre 2</v>
      </c>
      <c r="E73" s="766" t="str">
        <v>Arbre 1</v>
      </c>
      <c r="F73" s="766" t="str">
        <v>Arbre 3</v>
      </c>
      <c r="G73" s="766" t="str">
        <v>Arbre 4</v>
      </c>
      <c r="H73" s="766" t="str">
        <v>Arbre 5</v>
      </c>
      <c r="I73" s="766" t="str">
        <v>Creux 2 -10,4°</v>
      </c>
      <c r="J73" s="766" t="str">
        <v>Arbre 6</v>
      </c>
      <c r="K73" s="766" t="str">
        <v>Arbre 7</v>
      </c>
      <c r="L73" s="766" t="str">
        <v>Creux 3</v>
      </c>
      <c r="M73" s="766" t="str">
        <v>Arbre 8</v>
      </c>
      <c r="N73" s="766" t="str">
        <v>Creux 4</v>
      </c>
      <c r="O73" s="766" t="str">
        <v>Arbre 9</v>
      </c>
      <c r="P73" s="766" t="str">
        <v>Creux 5</v>
      </c>
      <c r="Q73" s="766" t="str">
        <v xml:space="preserve">Arbre 10 </v>
      </c>
      <c r="R73" s="766" t="str">
        <v>Arbre 11</v>
      </c>
      <c r="S73" s="785" t="str">
        <v>Arrière PV</v>
      </c>
      <c r="T73" s="785">
        <v>0</v>
      </c>
      <c r="U73" s="785">
        <v>0</v>
      </c>
      <c r="V73" s="785">
        <v>0</v>
      </c>
      <c r="W73" s="785">
        <v>0</v>
      </c>
      <c r="Y73" s="29"/>
    </row>
    <row r="74" spans="1:30" s="19" customFormat="1" ht="12.75" x14ac:dyDescent="0.2">
      <c r="A74" s="767" t="str">
        <v>Azi.S / PV</v>
      </c>
      <c r="B74" s="789">
        <v>-160</v>
      </c>
      <c r="C74" s="768">
        <v>-77.290481374110414</v>
      </c>
      <c r="D74" s="769">
        <v>-49</v>
      </c>
      <c r="E74" s="769">
        <v>-40.795106267771949</v>
      </c>
      <c r="F74" s="768">
        <v>-28.51831205572833</v>
      </c>
      <c r="G74" s="768">
        <v>-19.838563020393337</v>
      </c>
      <c r="H74" s="768">
        <v>-8.8715442272544607</v>
      </c>
      <c r="I74" s="769">
        <v>-1</v>
      </c>
      <c r="J74" s="768">
        <v>17.03207550221515</v>
      </c>
      <c r="K74" s="768">
        <v>27</v>
      </c>
      <c r="L74" s="768">
        <v>34.759981957521461</v>
      </c>
      <c r="M74" s="768">
        <v>45.498106826837756</v>
      </c>
      <c r="N74" s="768">
        <v>53</v>
      </c>
      <c r="O74" s="769">
        <v>70.962212947360769</v>
      </c>
      <c r="P74" s="769">
        <v>95</v>
      </c>
      <c r="Q74" s="769">
        <v>103.41807886046519</v>
      </c>
      <c r="R74" s="769">
        <v>118.08678228972542</v>
      </c>
      <c r="S74" s="786">
        <v>200</v>
      </c>
      <c r="T74" s="786">
        <v>200</v>
      </c>
      <c r="U74" s="786">
        <v>200</v>
      </c>
      <c r="V74" s="786">
        <v>200</v>
      </c>
      <c r="W74" s="787">
        <v>200</v>
      </c>
      <c r="Y74" s="29"/>
    </row>
    <row r="75" spans="1:30" s="19" customFormat="1" ht="12.75" x14ac:dyDescent="0.2">
      <c r="A75" s="757">
        <v>-5</v>
      </c>
      <c r="B75" s="901">
        <v>18.262889942194128</v>
      </c>
      <c r="C75" s="770">
        <v>-2.3278647318645218</v>
      </c>
      <c r="D75" s="771">
        <v>-1.2429377696884656</v>
      </c>
      <c r="E75" s="771">
        <v>-3.306173167150432</v>
      </c>
      <c r="F75" s="770">
        <v>-0.76127662752435143</v>
      </c>
      <c r="G75" s="770">
        <v>3.5140868431875494</v>
      </c>
      <c r="H75" s="770">
        <v>2.9041259410057814</v>
      </c>
      <c r="I75" s="771">
        <v>3.3015223833880096</v>
      </c>
      <c r="J75" s="770">
        <v>8.9553661987281092</v>
      </c>
      <c r="K75" s="770">
        <v>7.9155197569860212</v>
      </c>
      <c r="L75" s="770">
        <v>6.2578163232642741</v>
      </c>
      <c r="M75" s="770">
        <v>7.8577818627086105</v>
      </c>
      <c r="N75" s="770">
        <v>5.0643334581523254</v>
      </c>
      <c r="O75" s="771">
        <v>6.43173204058417</v>
      </c>
      <c r="P75" s="771">
        <v>3.0502776029197713</v>
      </c>
      <c r="Q75" s="771">
        <v>3.8346591126693546</v>
      </c>
      <c r="R75" s="771">
        <v>17.148460729111125</v>
      </c>
      <c r="S75" s="788">
        <v>18.262889942194128</v>
      </c>
      <c r="T75" s="788">
        <v>18.262889942194128</v>
      </c>
      <c r="U75" s="788">
        <v>18.262889942194128</v>
      </c>
      <c r="V75" s="788">
        <v>18.262889942194128</v>
      </c>
      <c r="W75" s="727">
        <v>18.262889942194128</v>
      </c>
      <c r="Y75" s="29"/>
    </row>
    <row r="76" spans="1:30" s="19" customFormat="1" ht="12.75" x14ac:dyDescent="0.2">
      <c r="A76" s="757">
        <v>-4</v>
      </c>
      <c r="B76" s="731">
        <v>18.262889942194128</v>
      </c>
      <c r="C76" s="772">
        <v>-2.3278647318645218</v>
      </c>
      <c r="D76" s="751">
        <v>0.5297498807539196</v>
      </c>
      <c r="E76" s="751">
        <v>-3.306173167150432</v>
      </c>
      <c r="F76" s="772">
        <v>0.71890462307338099</v>
      </c>
      <c r="G76" s="772">
        <v>4.6669432002478732</v>
      </c>
      <c r="H76" s="772">
        <v>3.9184830686205552</v>
      </c>
      <c r="I76" s="751">
        <v>3.5947670563958378</v>
      </c>
      <c r="J76" s="772">
        <v>9.1622462944338121</v>
      </c>
      <c r="K76" s="772">
        <v>8.1621388620267652</v>
      </c>
      <c r="L76" s="772">
        <v>6.5128156455153032</v>
      </c>
      <c r="M76" s="772">
        <v>8.1363242303306205</v>
      </c>
      <c r="N76" s="772">
        <v>5.5085214366535569</v>
      </c>
      <c r="O76" s="751">
        <v>7.0563160897321611</v>
      </c>
      <c r="P76" s="751">
        <v>3.4472804723209003</v>
      </c>
      <c r="Q76" s="751">
        <v>8.0351484194693761</v>
      </c>
      <c r="R76" s="751">
        <v>19.580178920202783</v>
      </c>
      <c r="S76" s="743">
        <v>18.262889942194128</v>
      </c>
      <c r="T76" s="743">
        <v>18.262889942194128</v>
      </c>
      <c r="U76" s="743">
        <v>18.262889942194128</v>
      </c>
      <c r="V76" s="743">
        <v>18.262889942194128</v>
      </c>
      <c r="W76" s="732">
        <v>18.262889942194128</v>
      </c>
      <c r="Y76" s="29"/>
    </row>
    <row r="77" spans="1:30" s="19" customFormat="1" ht="12.75" x14ac:dyDescent="0.2">
      <c r="A77" s="757">
        <v>-3</v>
      </c>
      <c r="B77" s="731">
        <v>18.262889942194128</v>
      </c>
      <c r="C77" s="772">
        <v>-0.85070835461390082</v>
      </c>
      <c r="D77" s="751">
        <v>2.3014242135928979</v>
      </c>
      <c r="E77" s="751">
        <v>-3.306173167150432</v>
      </c>
      <c r="F77" s="772">
        <v>2.1981270679199549</v>
      </c>
      <c r="G77" s="772">
        <v>5.8160251654012596</v>
      </c>
      <c r="H77" s="772">
        <v>4.9303862495148376</v>
      </c>
      <c r="I77" s="751">
        <v>3.8878232763662468</v>
      </c>
      <c r="J77" s="772">
        <v>9.3688857096959328</v>
      </c>
      <c r="K77" s="772">
        <v>8.408453839782835</v>
      </c>
      <c r="L77" s="772">
        <v>6.7675561084731672</v>
      </c>
      <c r="M77" s="772">
        <v>8.4144799444983125</v>
      </c>
      <c r="N77" s="772">
        <v>5.952046226973164</v>
      </c>
      <c r="O77" s="751">
        <v>7.6792191668987844</v>
      </c>
      <c r="P77" s="751">
        <v>3.843952207704354</v>
      </c>
      <c r="Q77" s="751">
        <v>12.150603418462989</v>
      </c>
      <c r="R77" s="751">
        <v>21.940669791028864</v>
      </c>
      <c r="S77" s="743">
        <v>18.262889942194128</v>
      </c>
      <c r="T77" s="743">
        <v>18.262889942194128</v>
      </c>
      <c r="U77" s="743">
        <v>18.262889942194128</v>
      </c>
      <c r="V77" s="743">
        <v>18.262889942194128</v>
      </c>
      <c r="W77" s="732">
        <v>18.262889942194128</v>
      </c>
      <c r="Y77" s="29"/>
    </row>
    <row r="78" spans="1:30" s="19" customFormat="1" ht="12.75" x14ac:dyDescent="0.2">
      <c r="A78" s="757">
        <v>-2</v>
      </c>
      <c r="B78" s="731">
        <v>18.262889942194128</v>
      </c>
      <c r="C78" s="772">
        <v>2.2915339970628024</v>
      </c>
      <c r="D78" s="751">
        <v>4.0687075098763392</v>
      </c>
      <c r="E78" s="751">
        <v>-0.20101651564224909</v>
      </c>
      <c r="F78" s="772">
        <v>3.6744242717650737</v>
      </c>
      <c r="G78" s="772">
        <v>6.9604321502625579</v>
      </c>
      <c r="H78" s="772">
        <v>5.9392158029090885</v>
      </c>
      <c r="I78" s="751">
        <v>4.1806759071069806</v>
      </c>
      <c r="J78" s="772">
        <v>9.5752794982161635</v>
      </c>
      <c r="K78" s="772">
        <v>8.6544561651056533</v>
      </c>
      <c r="L78" s="772">
        <v>7.0220280506811514</v>
      </c>
      <c r="M78" s="772">
        <v>8.6922367262256799</v>
      </c>
      <c r="N78" s="772">
        <v>6.3948562841252219</v>
      </c>
      <c r="O78" s="751">
        <v>8.3003014293219071</v>
      </c>
      <c r="P78" s="751">
        <v>4.2402552485420104</v>
      </c>
      <c r="Q78" s="751">
        <v>16.142786009649384</v>
      </c>
      <c r="R78" s="751">
        <v>24.225370209281802</v>
      </c>
      <c r="S78" s="743">
        <v>18.262889942194128</v>
      </c>
      <c r="T78" s="743">
        <v>18.262889942194128</v>
      </c>
      <c r="U78" s="743">
        <v>18.262889942194128</v>
      </c>
      <c r="V78" s="743">
        <v>18.262889942194128</v>
      </c>
      <c r="W78" s="732">
        <v>18.262889942194128</v>
      </c>
      <c r="Y78" s="29"/>
    </row>
    <row r="79" spans="1:30" s="19" customFormat="1" ht="12.75" x14ac:dyDescent="0.2">
      <c r="A79" s="807">
        <v>-1</v>
      </c>
      <c r="B79" s="731">
        <v>18.262889942194128</v>
      </c>
      <c r="C79" s="772">
        <v>5.4200584256745525</v>
      </c>
      <c r="D79" s="751">
        <v>5.8282720678036588</v>
      </c>
      <c r="E79" s="751">
        <v>4.258253743357332</v>
      </c>
      <c r="F79" s="772">
        <v>5.1458530645571781</v>
      </c>
      <c r="G79" s="772">
        <v>8.0992857768196558</v>
      </c>
      <c r="H79" s="772">
        <v>6.9443634206264671</v>
      </c>
      <c r="I79" s="751">
        <v>4.473309875994441</v>
      </c>
      <c r="J79" s="772">
        <v>9.7814227509454632</v>
      </c>
      <c r="K79" s="772">
        <v>8.9001373805808655</v>
      </c>
      <c r="L79" s="772">
        <v>7.2762218734110498</v>
      </c>
      <c r="M79" s="772">
        <v>8.9695824067180503</v>
      </c>
      <c r="N79" s="772">
        <v>6.8369005705640733</v>
      </c>
      <c r="O79" s="751">
        <v>8.919425561449934</v>
      </c>
      <c r="P79" s="751">
        <v>4.6361522451820907</v>
      </c>
      <c r="Q79" s="751">
        <v>19.980418102763387</v>
      </c>
      <c r="R79" s="751">
        <v>26.430965501225863</v>
      </c>
      <c r="S79" s="743">
        <v>18.262889942194128</v>
      </c>
      <c r="T79" s="743">
        <v>18.262889942194128</v>
      </c>
      <c r="U79" s="743">
        <v>18.262889942194128</v>
      </c>
      <c r="V79" s="743">
        <v>18.262889942194128</v>
      </c>
      <c r="W79" s="732">
        <v>18.262889942194128</v>
      </c>
      <c r="Y79" s="29"/>
    </row>
    <row r="80" spans="1:30" s="19" customFormat="1" ht="12.75" x14ac:dyDescent="0.2">
      <c r="A80" s="757">
        <v>0</v>
      </c>
      <c r="B80" s="902">
        <v>18.262889942194128</v>
      </c>
      <c r="C80" s="810">
        <v>8.5165300307350549</v>
      </c>
      <c r="D80" s="719">
        <v>7.5768772100888402</v>
      </c>
      <c r="E80" s="719">
        <v>8.6665342510555572</v>
      </c>
      <c r="F80" s="810">
        <v>6.610508690823294</v>
      </c>
      <c r="G80" s="810">
        <v>9.2317336967595711</v>
      </c>
      <c r="H80" s="810">
        <v>7.9452342810500545</v>
      </c>
      <c r="I80" s="719">
        <v>4.7657101785319922</v>
      </c>
      <c r="J80" s="810">
        <v>9.9873105966891735</v>
      </c>
      <c r="K80" s="810">
        <v>9.1454890980882055</v>
      </c>
      <c r="L80" s="810">
        <v>7.5301280426944439</v>
      </c>
      <c r="M80" s="810">
        <v>9.2465049302300404</v>
      </c>
      <c r="N80" s="810">
        <v>7.2781285896789738</v>
      </c>
      <c r="O80" s="719">
        <v>9.5364569405200825</v>
      </c>
      <c r="P80" s="719">
        <v>5.0316060795292854</v>
      </c>
      <c r="Q80" s="719">
        <v>23.640060919050594</v>
      </c>
      <c r="R80" s="719">
        <v>28.555301252061604</v>
      </c>
      <c r="S80" s="809">
        <v>18.262889942194128</v>
      </c>
      <c r="T80" s="809">
        <v>18.262889942194128</v>
      </c>
      <c r="U80" s="809">
        <v>18.262889942194128</v>
      </c>
      <c r="V80" s="809">
        <v>18.262889942194128</v>
      </c>
      <c r="W80" s="811">
        <v>18.262889942194128</v>
      </c>
      <c r="Y80" s="29"/>
    </row>
    <row r="81" spans="1:25" s="19" customFormat="1" ht="12.75" x14ac:dyDescent="0.2">
      <c r="A81" s="808">
        <v>1</v>
      </c>
      <c r="B81" s="731">
        <v>18.262889942194128</v>
      </c>
      <c r="C81" s="772">
        <v>11.563728053983908</v>
      </c>
      <c r="D81" s="751">
        <v>9.3114038662676393</v>
      </c>
      <c r="E81" s="751">
        <v>12.973979684979001</v>
      </c>
      <c r="F81" s="772">
        <v>8.0665392078872653</v>
      </c>
      <c r="G81" s="772">
        <v>10.356953112563019</v>
      </c>
      <c r="H81" s="772">
        <v>8.9412490415770165</v>
      </c>
      <c r="I81" s="751">
        <v>5.0578618828555637</v>
      </c>
      <c r="J81" s="772">
        <v>10.192938202698388</v>
      </c>
      <c r="K81" s="772">
        <v>9.3905030003251593</v>
      </c>
      <c r="L81" s="772">
        <v>7.78373709131706</v>
      </c>
      <c r="M81" s="772">
        <v>9.5229923568483699</v>
      </c>
      <c r="N81" s="772">
        <v>7.7184904183501182</v>
      </c>
      <c r="O81" s="751">
        <v>10.151263793157824</v>
      </c>
      <c r="P81" s="751">
        <v>5.4265798853972802</v>
      </c>
      <c r="Q81" s="751">
        <v>27.106140153427113</v>
      </c>
      <c r="R81" s="751">
        <v>30.597270283857156</v>
      </c>
      <c r="S81" s="743">
        <v>18.262889942194128</v>
      </c>
      <c r="T81" s="743">
        <v>18.262889942194128</v>
      </c>
      <c r="U81" s="743">
        <v>18.262889942194128</v>
      </c>
      <c r="V81" s="743">
        <v>18.262889942194128</v>
      </c>
      <c r="W81" s="732">
        <v>18.262889942194128</v>
      </c>
      <c r="Y81" s="29"/>
    </row>
    <row r="82" spans="1:25" s="19" customFormat="1" ht="12.75" x14ac:dyDescent="0.2">
      <c r="A82" s="757">
        <v>2</v>
      </c>
      <c r="B82" s="731">
        <v>18.262889942194128</v>
      </c>
      <c r="C82" s="772">
        <v>14.546078373684997</v>
      </c>
      <c r="D82" s="751">
        <v>11.028885843968789</v>
      </c>
      <c r="E82" s="751">
        <v>17.137460379281482</v>
      </c>
      <c r="F82" s="772">
        <v>9.5121588690676244</v>
      </c>
      <c r="G82" s="772">
        <v>11.474153967945229</v>
      </c>
      <c r="H82" s="772">
        <v>9.931845694058886</v>
      </c>
      <c r="I82" s="751">
        <v>5.3497501341833118</v>
      </c>
      <c r="J82" s="772">
        <v>10.398300775247481</v>
      </c>
      <c r="K82" s="772">
        <v>9.6351708422938955</v>
      </c>
      <c r="L82" s="772">
        <v>8.0370396207752961</v>
      </c>
      <c r="M82" s="772">
        <v>9.799032865198166</v>
      </c>
      <c r="N82" s="772">
        <v>8.1579367385175114</v>
      </c>
      <c r="O82" s="751">
        <v>10.763717342616772</v>
      </c>
      <c r="P82" s="751">
        <v>5.8210370685065502</v>
      </c>
      <c r="Q82" s="751">
        <v>30.370303332353703</v>
      </c>
      <c r="R82" s="751">
        <v>32.556685084238531</v>
      </c>
      <c r="S82" s="743">
        <v>18.262889942194128</v>
      </c>
      <c r="T82" s="743">
        <v>18.262889942194128</v>
      </c>
      <c r="U82" s="743">
        <v>18.262889942194128</v>
      </c>
      <c r="V82" s="743">
        <v>18.262889942194128</v>
      </c>
      <c r="W82" s="732">
        <v>18.262889942194128</v>
      </c>
      <c r="Y82" s="29"/>
    </row>
    <row r="83" spans="1:25" s="19" customFormat="1" ht="12.75" x14ac:dyDescent="0.2">
      <c r="A83" s="757">
        <v>3</v>
      </c>
      <c r="B83" s="731">
        <v>18.262889942194128</v>
      </c>
      <c r="C83" s="772">
        <v>17.450054352917732</v>
      </c>
      <c r="D83" s="751">
        <v>12.726537067985547</v>
      </c>
      <c r="E83" s="751">
        <v>21.122648466238154</v>
      </c>
      <c r="F83" s="772">
        <v>10.945660263845165</v>
      </c>
      <c r="G83" s="772">
        <v>12.582581781900826</v>
      </c>
      <c r="H83" s="772">
        <v>10.916481269927862</v>
      </c>
      <c r="I83" s="751">
        <v>5.641360159206072</v>
      </c>
      <c r="J83" s="772">
        <v>10.603393560197643</v>
      </c>
      <c r="K83" s="772">
        <v>9.8794844527509227</v>
      </c>
      <c r="L83" s="772">
        <v>8.2900263031939652</v>
      </c>
      <c r="M83" s="772">
        <v>10.074614755071547</v>
      </c>
      <c r="N83" s="772">
        <v>8.5964188677172331</v>
      </c>
      <c r="O83" s="751">
        <v>11.373691946333544</v>
      </c>
      <c r="P83" s="751">
        <v>6.2149413261012443</v>
      </c>
      <c r="Q83" s="751">
        <v>33.430356059247728</v>
      </c>
      <c r="R83" s="751">
        <v>34.434144564197112</v>
      </c>
      <c r="S83" s="743">
        <v>18.262889942194128</v>
      </c>
      <c r="T83" s="743">
        <v>18.262889942194128</v>
      </c>
      <c r="U83" s="743">
        <v>18.262889942194128</v>
      </c>
      <c r="V83" s="743">
        <v>18.262889942194128</v>
      </c>
      <c r="W83" s="732">
        <v>18.262889942194128</v>
      </c>
      <c r="Y83" s="29"/>
    </row>
    <row r="84" spans="1:25" s="19" customFormat="1" ht="12.75" x14ac:dyDescent="0.2">
      <c r="A84" s="757">
        <v>4</v>
      </c>
      <c r="B84" s="731">
        <v>18.262889942194128</v>
      </c>
      <c r="C84" s="772">
        <v>20.264427405920163</v>
      </c>
      <c r="D84" s="751">
        <v>14.401774258249144</v>
      </c>
      <c r="E84" s="751">
        <v>24.904886214676072</v>
      </c>
      <c r="F84" s="772">
        <v>12.36542502954523</v>
      </c>
      <c r="G84" s="772">
        <v>13.68152010753743</v>
      </c>
      <c r="H84" s="772">
        <v>11.894633384066815</v>
      </c>
      <c r="I84" s="751">
        <v>5.9326772704155246</v>
      </c>
      <c r="J84" s="772">
        <v>10.808211843546305</v>
      </c>
      <c r="K84" s="772">
        <v>10.123435735618976</v>
      </c>
      <c r="L84" s="772">
        <v>8.5426878832044153</v>
      </c>
      <c r="M84" s="772">
        <v>10.34972644997737</v>
      </c>
      <c r="N84" s="772">
        <v>9.0338887885428516</v>
      </c>
      <c r="O84" s="751">
        <v>11.981065223527819</v>
      </c>
      <c r="P84" s="751">
        <v>6.6082566661599413</v>
      </c>
      <c r="Q84" s="751">
        <v>36.289014083663488</v>
      </c>
      <c r="R84" s="751">
        <v>36.230902258032792</v>
      </c>
      <c r="S84" s="743">
        <v>18.262889942194128</v>
      </c>
      <c r="T84" s="743">
        <v>18.262889942194128</v>
      </c>
      <c r="U84" s="743">
        <v>18.262889942194128</v>
      </c>
      <c r="V84" s="743">
        <v>18.262889942194128</v>
      </c>
      <c r="W84" s="732">
        <v>18.262889942194128</v>
      </c>
      <c r="Y84" s="29"/>
    </row>
    <row r="85" spans="1:25" s="19" customFormat="1" ht="12.75" x14ac:dyDescent="0.2">
      <c r="A85" s="757">
        <v>5</v>
      </c>
      <c r="B85" s="903">
        <v>18.262889942194128</v>
      </c>
      <c r="C85" s="773">
        <v>22.980367536275452</v>
      </c>
      <c r="D85" s="774">
        <v>16.052234723306679</v>
      </c>
      <c r="E85" s="774">
        <v>28.468953854249847</v>
      </c>
      <c r="F85" s="773">
        <v>13.769932996059271</v>
      </c>
      <c r="G85" s="773">
        <v>14.770292603850663</v>
      </c>
      <c r="H85" s="773">
        <v>12.86580160892783</v>
      </c>
      <c r="I85" s="774">
        <v>6.2236868703669792</v>
      </c>
      <c r="J85" s="773">
        <v>11.012750951962373</v>
      </c>
      <c r="K85" s="773">
        <v>10.367016671360629</v>
      </c>
      <c r="L85" s="773">
        <v>8.7950151797821938</v>
      </c>
      <c r="M85" s="773">
        <v>10.624356499611052</v>
      </c>
      <c r="N85" s="773">
        <v>9.4702991769930662</v>
      </c>
      <c r="O85" s="774">
        <v>12.585718172633785</v>
      </c>
      <c r="P85" s="774">
        <v>7.0009474261761024</v>
      </c>
      <c r="Q85" s="774">
        <v>38.952656186642685</v>
      </c>
      <c r="R85" s="774">
        <v>37.9487412305728</v>
      </c>
      <c r="S85" s="763">
        <v>18.262889942194128</v>
      </c>
      <c r="T85" s="763">
        <v>18.262889942194128</v>
      </c>
      <c r="U85" s="763">
        <v>18.262889942194128</v>
      </c>
      <c r="V85" s="763">
        <v>18.262889942194128</v>
      </c>
      <c r="W85" s="738">
        <v>18.262889942194128</v>
      </c>
      <c r="Y85" s="29"/>
    </row>
  </sheetData>
  <sheetProtection sheet="1" formatCells="0" formatColumns="0" formatRows="0"/>
  <mergeCells count="5">
    <mergeCell ref="B1:F1"/>
    <mergeCell ref="H1:I1"/>
    <mergeCell ref="E2:F3"/>
    <mergeCell ref="B47:L47"/>
    <mergeCell ref="P47:Z47"/>
  </mergeCells>
  <conditionalFormatting sqref="J17:J38">
    <cfRule type="cellIs" dxfId="51" priority="1" stopIfTrue="1" operator="lessThanOrEqual">
      <formula>8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C380" sqref="B15:C380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61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.7109375" style="6" customWidth="1"/>
    <col min="62" max="64" width="10.140625" style="6" customWidth="1"/>
    <col min="65" max="65" width="10.140625" style="573" customWidth="1"/>
    <col min="66" max="69" width="10.140625" style="6" customWidth="1"/>
    <col min="70" max="70" width="10.140625" style="573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74" t="s">
        <v>204</v>
      </c>
      <c r="B1" s="90"/>
      <c r="K1" s="4"/>
      <c r="L1" s="4"/>
      <c r="M1" s="4"/>
      <c r="N1" s="273" t="s">
        <v>253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904">
        <v>0.98499999999999999</v>
      </c>
      <c r="Z1" s="710" t="s">
        <v>238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68" t="s">
        <v>77</v>
      </c>
      <c r="AN1" s="4"/>
      <c r="AO1" s="4"/>
      <c r="AT1" s="849"/>
      <c r="AY1" s="849"/>
      <c r="BC1" s="1185" t="s">
        <v>219</v>
      </c>
      <c r="BD1" s="1185"/>
      <c r="BE1" s="1185"/>
      <c r="BF1" s="917"/>
      <c r="BH1" s="816" t="s">
        <v>210</v>
      </c>
      <c r="BJ1" s="793"/>
      <c r="BK1" s="793"/>
      <c r="BL1" s="793"/>
      <c r="BM1" s="793"/>
      <c r="BN1" s="793"/>
      <c r="BO1" s="793"/>
      <c r="BP1" s="793"/>
      <c r="BQ1" s="793"/>
      <c r="BR1" s="574"/>
      <c r="BS1" s="575"/>
      <c r="BT1" s="461"/>
    </row>
    <row r="2" spans="1:84" s="4" customFormat="1" ht="12.75" customHeight="1" thickBot="1" x14ac:dyDescent="0.3">
      <c r="A2" s="1176" t="str">
        <f>'Réglage perte'!B2</f>
        <v>Aureville</v>
      </c>
      <c r="B2" s="1177"/>
      <c r="C2" s="1177"/>
      <c r="D2" s="1178"/>
      <c r="I2" s="1140" t="s">
        <v>326</v>
      </c>
      <c r="J2" s="1141">
        <f>AVERAGEIF($BW$15:$CF$380,"&gt;0,97")</f>
        <v>0.99885155631095213</v>
      </c>
      <c r="L2" s="175">
        <v>43079</v>
      </c>
      <c r="M2" s="175">
        <v>43093</v>
      </c>
      <c r="N2" s="846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814"/>
      <c r="BC2" s="1185"/>
      <c r="BD2" s="1185"/>
      <c r="BE2" s="1185"/>
      <c r="BF2" s="917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179"/>
      <c r="B3" s="1180"/>
      <c r="C3" s="1180"/>
      <c r="D3" s="1181"/>
      <c r="E3" s="3"/>
      <c r="L3" s="841">
        <f>AL3</f>
        <v>275</v>
      </c>
      <c r="M3" s="845">
        <f>+AM3</f>
        <v>277</v>
      </c>
      <c r="N3" s="171">
        <v>306</v>
      </c>
      <c r="O3" s="171">
        <v>342</v>
      </c>
      <c r="P3" s="171">
        <v>390</v>
      </c>
      <c r="Q3" s="171">
        <v>439</v>
      </c>
      <c r="R3" s="171">
        <v>484</v>
      </c>
      <c r="S3" s="171">
        <v>526</v>
      </c>
      <c r="T3" s="171">
        <v>562</v>
      </c>
      <c r="U3" s="171">
        <v>585</v>
      </c>
      <c r="V3" s="171">
        <v>600</v>
      </c>
      <c r="W3" s="171">
        <v>606</v>
      </c>
      <c r="X3" s="171">
        <v>606</v>
      </c>
      <c r="Y3" s="171">
        <v>601</v>
      </c>
      <c r="Z3" s="171">
        <v>590</v>
      </c>
      <c r="AA3" s="171">
        <v>577</v>
      </c>
      <c r="AB3" s="171">
        <v>562</v>
      </c>
      <c r="AC3" s="171">
        <v>547</v>
      </c>
      <c r="AD3" s="171">
        <v>531</v>
      </c>
      <c r="AE3" s="171">
        <v>514.82586085186654</v>
      </c>
      <c r="AF3" s="171">
        <v>493.83188240669574</v>
      </c>
      <c r="AG3" s="171">
        <v>465</v>
      </c>
      <c r="AH3" s="171">
        <v>429</v>
      </c>
      <c r="AI3" s="171">
        <v>388</v>
      </c>
      <c r="AJ3" s="171">
        <v>341</v>
      </c>
      <c r="AK3" s="171">
        <v>302</v>
      </c>
      <c r="AL3" s="171">
        <v>275</v>
      </c>
      <c r="AM3" s="171">
        <v>277</v>
      </c>
      <c r="AN3" s="841">
        <f>+N3</f>
        <v>306</v>
      </c>
      <c r="AO3" s="842">
        <f>+O3</f>
        <v>342</v>
      </c>
      <c r="BC3" s="1185"/>
      <c r="BD3" s="1185"/>
      <c r="BE3" s="1185"/>
      <c r="BF3" s="917"/>
      <c r="BH3" s="28"/>
      <c r="BI3" s="6"/>
      <c r="BJ3" s="6"/>
      <c r="BK3" s="6"/>
      <c r="BL3" s="6"/>
      <c r="BM3" s="6"/>
      <c r="BN3" s="6"/>
      <c r="BO3" s="905" t="s">
        <v>250</v>
      </c>
      <c r="BP3" s="906">
        <v>0.3</v>
      </c>
      <c r="BQ3" s="907" t="s">
        <v>251</v>
      </c>
      <c r="BR3" s="908" t="s">
        <v>256</v>
      </c>
      <c r="BS3" s="566"/>
    </row>
    <row r="4" spans="1:84" s="4" customFormat="1" ht="12.75" customHeight="1" x14ac:dyDescent="0.25">
      <c r="A4" s="2"/>
      <c r="B4" s="417"/>
      <c r="E4" s="33"/>
      <c r="F4" s="570"/>
      <c r="K4" s="2"/>
      <c r="M4" s="652" t="s">
        <v>201</v>
      </c>
      <c r="N4" s="847">
        <f>MAX($BA15:$BA28)-1</f>
        <v>4.3275230256337061E-2</v>
      </c>
      <c r="O4" s="669">
        <f>MAX($BA29:$BA42)-1</f>
        <v>5.1223192451279598E-3</v>
      </c>
      <c r="P4" s="669">
        <f>MAX($BA43:$BA56)-1</f>
        <v>2.5548809449648324E-2</v>
      </c>
      <c r="Q4" s="669">
        <f>MAX(BA57:BA70)-1</f>
        <v>4.2120241415534609E-2</v>
      </c>
      <c r="R4" s="669">
        <f>MAX(BA71:BA84)-1</f>
        <v>5.3873048316821492E-3</v>
      </c>
      <c r="S4" s="669">
        <f>MAX(BA85:BA98)-1</f>
        <v>2.5637938110121494E-2</v>
      </c>
      <c r="T4" s="669">
        <f>MAX(BA99:BA112)-1</f>
        <v>4.4335716487160948E-2</v>
      </c>
      <c r="U4" s="669">
        <f>MAX(BA113:BA126)-1</f>
        <v>2.9767069580088901E-2</v>
      </c>
      <c r="V4" s="669">
        <f>MAX(BA127:BA140)-1</f>
        <v>3.9374943200989554E-2</v>
      </c>
      <c r="W4" s="669">
        <f>MAX(BA141:BA154)-1</f>
        <v>3.8861368577936872E-2</v>
      </c>
      <c r="X4" s="669">
        <f>MAX(BA155:BA168)-1</f>
        <v>1.4173658109653431E-2</v>
      </c>
      <c r="Y4" s="669">
        <f>MAX(BA169:BA182)-1</f>
        <v>4.8208038888630789E-2</v>
      </c>
      <c r="Z4" s="669">
        <f>MAX(BA183:BA196)-1</f>
        <v>2.0103908868800202E-2</v>
      </c>
      <c r="AA4" s="669">
        <f>MAX(BA197:BA210)-1</f>
        <v>4.6965153328257347E-2</v>
      </c>
      <c r="AB4" s="669">
        <f>MAX(BA211:BA224)-1</f>
        <v>4.5465936328315637E-2</v>
      </c>
      <c r="AC4" s="669">
        <f>MAX(BA225:BA238)-1</f>
        <v>1.7867168160538904E-2</v>
      </c>
      <c r="AD4" s="669">
        <f>MAX(BA239:BA252)-1</f>
        <v>3.8537518800648707E-2</v>
      </c>
      <c r="AE4" s="669">
        <f>MAX(BA253:BA266)-1</f>
        <v>3.7257068618868905E-2</v>
      </c>
      <c r="AF4" s="669">
        <f>MAX(BA267:BA280)-1</f>
        <v>3.2737440572373266E-2</v>
      </c>
      <c r="AG4" s="669">
        <f>MAX(BA281:BA294)-1</f>
        <v>4.55493472194759E-2</v>
      </c>
      <c r="AH4" s="669">
        <f>MAX(BA295:BA308)-1</f>
        <v>4.5140756081118338E-2</v>
      </c>
      <c r="AI4" s="669">
        <f>MAX(BA309:BA322)-1</f>
        <v>4.6944592334525526E-2</v>
      </c>
      <c r="AJ4" s="669">
        <f>MAX(BA323:BA336)-1</f>
        <v>-1.9530079892907115E-2</v>
      </c>
      <c r="AK4" s="669">
        <f>MAX(BA337:BA350)-1</f>
        <v>3.5289458527194562E-2</v>
      </c>
      <c r="AL4" s="669">
        <f>MAX(BA351:BA364)-1</f>
        <v>3.9166461911079864E-2</v>
      </c>
      <c r="AM4" s="669">
        <f>MAX(BA365:BA380)-1</f>
        <v>4.275219448051315E-2</v>
      </c>
      <c r="AN4" s="657"/>
      <c r="AP4" s="570"/>
      <c r="AU4" s="570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252</v>
      </c>
      <c r="BP4" s="909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182" t="s">
        <v>200</v>
      </c>
      <c r="B5" s="1183"/>
      <c r="C5" s="1183"/>
      <c r="D5" s="1183"/>
      <c r="E5" s="1183"/>
      <c r="F5" s="1183"/>
      <c r="G5" s="1183"/>
      <c r="H5" s="1183"/>
      <c r="I5" s="1183"/>
      <c r="J5" s="1184"/>
      <c r="K5" s="89"/>
      <c r="N5" s="88"/>
      <c r="O5" s="88"/>
      <c r="P5" s="19"/>
      <c r="Q5" s="70"/>
      <c r="R5" s="70"/>
      <c r="S5" s="70"/>
      <c r="T5" s="70"/>
      <c r="U5" s="70"/>
      <c r="V5" s="653"/>
      <c r="W5" s="70"/>
      <c r="X5" s="70"/>
      <c r="Y5" s="70"/>
      <c r="Z5" s="70"/>
      <c r="AA5" s="70"/>
      <c r="AB5" s="70"/>
      <c r="AC5" s="70"/>
      <c r="AD5" s="70"/>
      <c r="AE5" s="654"/>
      <c r="AF5" s="19"/>
      <c r="AG5" s="19"/>
      <c r="AH5" s="71"/>
      <c r="AI5" s="668"/>
      <c r="AJ5" s="668"/>
      <c r="AK5" s="668"/>
      <c r="AL5" s="668"/>
      <c r="AM5" s="88"/>
      <c r="AN5" s="667"/>
      <c r="AP5" s="843"/>
      <c r="AQ5" s="843"/>
      <c r="AR5" s="843"/>
      <c r="AS5" s="843"/>
      <c r="AT5" s="850"/>
      <c r="AU5" s="843"/>
      <c r="AV5" s="843"/>
      <c r="AW5" s="843"/>
      <c r="AX5" s="843"/>
      <c r="AY5" s="850"/>
      <c r="AZ5" s="843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68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4.55493472194759E-2</v>
      </c>
      <c r="B7" s="269">
        <f>'2019'!Dépas_env</f>
        <v>4.8208038888630789E-2</v>
      </c>
      <c r="C7" s="269">
        <f>'2020'!Dépas_env</f>
        <v>4.6965153328257347E-2</v>
      </c>
      <c r="D7" s="269">
        <f>'2021'!Dépas_env</f>
        <v>4.6944592334525526E-2</v>
      </c>
      <c r="E7" s="269">
        <f>'2022'!Dépas_env</f>
        <v>4.5465936328315415E-2</v>
      </c>
      <c r="F7" s="269">
        <f>'2023'!Dépas_env</f>
        <v>4.5465936328315637E-2</v>
      </c>
      <c r="G7" s="601">
        <f>'2024'!Dépas_env</f>
        <v>4.5465936328315415E-2</v>
      </c>
      <c r="H7" s="601">
        <f>'2025'!Dépas_env</f>
        <v>4.5465936328315415E-2</v>
      </c>
      <c r="I7" s="601">
        <f>'2026'!Dépas_env</f>
        <v>4.5465936328315415E-2</v>
      </c>
      <c r="J7" s="601">
        <f>'2027'!Dépas_env</f>
        <v>4.5465936328315415E-2</v>
      </c>
      <c r="K7" s="2"/>
      <c r="BA7" s="658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58"/>
      <c r="BC8" s="6"/>
      <c r="BD8" s="282"/>
      <c r="BE8" s="282"/>
      <c r="BF8" s="282"/>
      <c r="BJ8" s="6"/>
      <c r="BK8" s="6"/>
      <c r="BL8" s="6"/>
      <c r="BM8" s="6"/>
      <c r="BN8" s="6"/>
      <c r="BO8" s="571"/>
      <c r="BP8" s="571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58"/>
      <c r="BB9" s="19"/>
      <c r="BC9" s="19"/>
      <c r="BD9" s="283"/>
      <c r="BE9" s="283"/>
      <c r="BF9" s="283"/>
      <c r="BH9" s="1072">
        <f>PousHci*($A$6-BP13-INDEX(Croivg,MIN(MAX(BO13-DATE(BP13,1,1)+1,0),366)))</f>
        <v>-1.9999621440122004</v>
      </c>
      <c r="BI9" s="1071" t="s">
        <v>312</v>
      </c>
      <c r="BJ9" s="6"/>
      <c r="BK9" s="6"/>
      <c r="BL9" s="6"/>
      <c r="BM9" s="6"/>
      <c r="BN9" s="6"/>
      <c r="BO9" s="571"/>
      <c r="BP9" s="571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67"/>
      <c r="BD10" s="282"/>
      <c r="BE10" s="282"/>
      <c r="BF10" s="282"/>
      <c r="BH10" s="1073">
        <f>MIN(MATCH(H_i,Echel_vg),10)</f>
        <v>4</v>
      </c>
      <c r="BI10" s="561"/>
      <c r="BO10" s="815"/>
      <c r="BP10" s="815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A11" s="6" t="s">
        <v>236</v>
      </c>
      <c r="B11" s="418">
        <f>B13/Pc</f>
        <v>6.8875452775753603</v>
      </c>
      <c r="C11" s="8" t="s">
        <v>94</v>
      </c>
      <c r="D11" s="1083">
        <v>0.97</v>
      </c>
      <c r="E11" s="8"/>
      <c r="J11" s="9"/>
      <c r="K11" s="7"/>
      <c r="L11" s="844" t="s">
        <v>239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721" t="s">
        <v>242</v>
      </c>
      <c r="AT11" s="27"/>
      <c r="AU11" s="721" t="s">
        <v>243</v>
      </c>
      <c r="AY11" s="27"/>
      <c r="AZ11" s="855" t="s">
        <v>246</v>
      </c>
      <c r="BA11" s="658"/>
      <c r="BB11" s="19"/>
      <c r="BC11" s="15"/>
      <c r="BD11" s="1186" t="s">
        <v>262</v>
      </c>
      <c r="BE11" s="1187"/>
      <c r="BF11" s="1190" t="s">
        <v>257</v>
      </c>
      <c r="BH11" s="1074">
        <f>INDEX(Echel_vg,$BH$10)</f>
        <v>-2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9.4747658981708156</v>
      </c>
      <c r="C12" s="12">
        <f>+MIN(C15:C379)</f>
        <v>2018</v>
      </c>
      <c r="D12" s="1084">
        <f>+MIN(D15:D379)</f>
        <v>0.9708625193879693</v>
      </c>
      <c r="E12" s="12">
        <f t="shared" ref="E12:J12" si="1">+MIN(E15:E379)</f>
        <v>27.087499999999999</v>
      </c>
      <c r="F12" s="416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26.84695284132447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6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26.952252605043611</v>
      </c>
      <c r="AU12" s="416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27.133904655118073</v>
      </c>
      <c r="AZ12" s="391">
        <f t="shared" si="3"/>
        <v>27.084946199554238</v>
      </c>
      <c r="BA12" s="656"/>
      <c r="BC12" s="15"/>
      <c r="BD12" s="1188"/>
      <c r="BE12" s="1189"/>
      <c r="BF12" s="1191"/>
      <c r="BH12" s="1075">
        <f>(H_i-BH11)/(INDEX(Echel_vg,$BH$10+1)-BH$11)</f>
        <v>3.7855987799595425E-5</v>
      </c>
      <c r="BJ12" s="6"/>
      <c r="BK12" s="6"/>
      <c r="BL12" s="6"/>
      <c r="BN12" s="356" t="str">
        <f>Masques!D46</f>
        <v>Pas de calcul pousse en hauteur:</v>
      </c>
      <c r="BO12" s="796">
        <f>Masques!E46</f>
        <v>1</v>
      </c>
      <c r="BP12" s="571"/>
      <c r="BQ12" s="571"/>
      <c r="BR12" s="572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61.987907498178245</v>
      </c>
      <c r="C13" s="12">
        <f>+MAX(C15:C379)</f>
        <v>2023</v>
      </c>
      <c r="D13" s="1084">
        <f>+MAX(D15:D379)</f>
        <v>1.0482080388886308</v>
      </c>
      <c r="E13" s="12">
        <f t="shared" ref="E13:J13" si="4">+MAX(E15:E379)</f>
        <v>59.690999999999995</v>
      </c>
      <c r="F13" s="416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59.758718750439584</v>
      </c>
      <c r="K13" s="6"/>
      <c r="L13" s="858">
        <f>AL13</f>
        <v>270.875</v>
      </c>
      <c r="M13" s="858">
        <f>+AM13</f>
        <v>272.84499999999997</v>
      </c>
      <c r="N13" s="857">
        <f t="shared" ref="N13:AM13" si="5">Ajust_M*N3</f>
        <v>301.40999999999997</v>
      </c>
      <c r="O13" s="848">
        <f t="shared" si="5"/>
        <v>336.87</v>
      </c>
      <c r="P13" s="848">
        <f t="shared" si="5"/>
        <v>384.15</v>
      </c>
      <c r="Q13" s="848">
        <f t="shared" si="5"/>
        <v>432.41500000000002</v>
      </c>
      <c r="R13" s="848">
        <f t="shared" si="5"/>
        <v>476.74</v>
      </c>
      <c r="S13" s="848">
        <f t="shared" si="5"/>
        <v>518.11</v>
      </c>
      <c r="T13" s="848">
        <f t="shared" si="5"/>
        <v>553.56999999999994</v>
      </c>
      <c r="U13" s="848">
        <f t="shared" si="5"/>
        <v>576.22500000000002</v>
      </c>
      <c r="V13" s="848">
        <f t="shared" si="5"/>
        <v>591</v>
      </c>
      <c r="W13" s="848">
        <f t="shared" si="5"/>
        <v>596.91</v>
      </c>
      <c r="X13" s="848">
        <f t="shared" si="5"/>
        <v>596.91</v>
      </c>
      <c r="Y13" s="848">
        <f t="shared" si="5"/>
        <v>591.98500000000001</v>
      </c>
      <c r="Z13" s="848">
        <f t="shared" si="5"/>
        <v>581.15</v>
      </c>
      <c r="AA13" s="848">
        <f t="shared" si="5"/>
        <v>568.34500000000003</v>
      </c>
      <c r="AB13" s="848">
        <f t="shared" si="5"/>
        <v>553.56999999999994</v>
      </c>
      <c r="AC13" s="848">
        <f t="shared" si="5"/>
        <v>538.79499999999996</v>
      </c>
      <c r="AD13" s="848">
        <f t="shared" si="5"/>
        <v>523.03499999999997</v>
      </c>
      <c r="AE13" s="848">
        <f t="shared" si="5"/>
        <v>507.10347293908853</v>
      </c>
      <c r="AF13" s="848">
        <f t="shared" si="5"/>
        <v>486.42440417059532</v>
      </c>
      <c r="AG13" s="848">
        <f t="shared" si="5"/>
        <v>458.02499999999998</v>
      </c>
      <c r="AH13" s="848">
        <f t="shared" si="5"/>
        <v>422.565</v>
      </c>
      <c r="AI13" s="848">
        <f t="shared" si="5"/>
        <v>382.18</v>
      </c>
      <c r="AJ13" s="848">
        <f t="shared" si="5"/>
        <v>335.88499999999999</v>
      </c>
      <c r="AK13" s="848">
        <f t="shared" si="5"/>
        <v>297.46999999999997</v>
      </c>
      <c r="AL13" s="848">
        <f t="shared" si="5"/>
        <v>270.875</v>
      </c>
      <c r="AM13" s="848">
        <f t="shared" si="5"/>
        <v>272.84499999999997</v>
      </c>
      <c r="AN13" s="858">
        <f>+N13</f>
        <v>301.40999999999997</v>
      </c>
      <c r="AO13" s="858">
        <f>+O13</f>
        <v>336.87</v>
      </c>
      <c r="AP13" s="416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59.771982507620542</v>
      </c>
      <c r="AU13" s="416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59.791808593366298</v>
      </c>
      <c r="AZ13" s="391">
        <f t="shared" si="6"/>
        <v>59.780650390638044</v>
      </c>
      <c r="BA13" s="656"/>
      <c r="BC13" s="37"/>
      <c r="BD13" s="285" t="s">
        <v>50</v>
      </c>
      <c r="BE13" s="285" t="s">
        <v>49</v>
      </c>
      <c r="BF13" s="285" t="s">
        <v>260</v>
      </c>
      <c r="BH13" s="1076" t="s">
        <v>91</v>
      </c>
      <c r="BJ13" s="6"/>
      <c r="BN13" s="33" t="s">
        <v>217</v>
      </c>
      <c r="BO13" s="812">
        <f>Masques!H1</f>
        <v>44547</v>
      </c>
      <c r="BP13" s="908">
        <f>YEAR(BO13)</f>
        <v>2021</v>
      </c>
      <c r="BW13" s="709" t="s">
        <v>325</v>
      </c>
    </row>
    <row r="14" spans="1:84" ht="37.5" customHeight="1" thickBot="1" x14ac:dyDescent="0.3">
      <c r="A14" s="356" t="s">
        <v>117</v>
      </c>
      <c r="B14" s="79" t="s">
        <v>3</v>
      </c>
      <c r="C14" s="79" t="s">
        <v>13</v>
      </c>
      <c r="D14" s="1085" t="s">
        <v>313</v>
      </c>
      <c r="E14" s="174" t="s">
        <v>235</v>
      </c>
      <c r="F14" s="174" t="s">
        <v>231</v>
      </c>
      <c r="G14" s="174" t="s">
        <v>232</v>
      </c>
      <c r="H14" s="174" t="s">
        <v>233</v>
      </c>
      <c r="I14" s="825" t="s">
        <v>234</v>
      </c>
      <c r="J14" s="78" t="s">
        <v>0</v>
      </c>
      <c r="L14" s="2"/>
      <c r="M14" s="4" t="s">
        <v>237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231</v>
      </c>
      <c r="AQ14" s="174" t="s">
        <v>232</v>
      </c>
      <c r="AR14" s="174" t="s">
        <v>233</v>
      </c>
      <c r="AS14" s="825" t="s">
        <v>234</v>
      </c>
      <c r="AT14" s="851" t="s">
        <v>244</v>
      </c>
      <c r="AU14" s="174" t="s">
        <v>231</v>
      </c>
      <c r="AV14" s="174" t="s">
        <v>232</v>
      </c>
      <c r="AW14" s="174" t="s">
        <v>233</v>
      </c>
      <c r="AX14" s="825" t="s">
        <v>234</v>
      </c>
      <c r="AY14" s="851" t="s">
        <v>245</v>
      </c>
      <c r="AZ14" s="78" t="s">
        <v>247</v>
      </c>
      <c r="BA14" s="659" t="s">
        <v>202</v>
      </c>
      <c r="BB14" s="72"/>
      <c r="BC14" s="356" t="s">
        <v>117</v>
      </c>
      <c r="BD14" s="286" t="s">
        <v>20</v>
      </c>
      <c r="BE14" s="287" t="s">
        <v>22</v>
      </c>
      <c r="BF14" s="922" t="s">
        <v>261</v>
      </c>
      <c r="BH14" s="1077" t="s">
        <v>92</v>
      </c>
      <c r="BI14" s="1081" t="s">
        <v>209</v>
      </c>
      <c r="BJ14" s="794">
        <f>Masques!B48</f>
        <v>-5</v>
      </c>
      <c r="BK14" s="794">
        <f>Masques!C48</f>
        <v>-4</v>
      </c>
      <c r="BL14" s="794">
        <f>Masques!D48</f>
        <v>-3</v>
      </c>
      <c r="BM14" s="797">
        <f>Masques!E48</f>
        <v>-2</v>
      </c>
      <c r="BN14" s="797">
        <f>Masques!F48</f>
        <v>-1</v>
      </c>
      <c r="BO14" s="798">
        <f>Masques!G48</f>
        <v>0</v>
      </c>
      <c r="BP14" s="794">
        <f>Masques!H48</f>
        <v>1</v>
      </c>
      <c r="BQ14" s="794">
        <f>Masques!I48</f>
        <v>2</v>
      </c>
      <c r="BR14" s="794">
        <f>Masques!J48</f>
        <v>3</v>
      </c>
      <c r="BS14" s="794">
        <f>Masques!K48</f>
        <v>4</v>
      </c>
      <c r="BT14" s="794">
        <f>Masques!L48</f>
        <v>5</v>
      </c>
      <c r="BU14" s="1081" t="s">
        <v>209</v>
      </c>
      <c r="BW14" s="1132">
        <v>2018</v>
      </c>
      <c r="BX14" s="1132">
        <v>2019</v>
      </c>
      <c r="BY14" s="1132">
        <v>2020</v>
      </c>
      <c r="BZ14" s="1132">
        <v>2021</v>
      </c>
      <c r="CA14" s="1132">
        <v>2022</v>
      </c>
      <c r="CB14" s="1132">
        <v>2023</v>
      </c>
      <c r="CC14" s="1132">
        <v>2024</v>
      </c>
      <c r="CD14" s="1132">
        <v>2025</v>
      </c>
      <c r="CE14" s="1132">
        <v>2026</v>
      </c>
      <c r="CF14" s="1132">
        <v>2027</v>
      </c>
    </row>
    <row r="15" spans="1:84" s="6" customFormat="1" ht="11.25" x14ac:dyDescent="0.2">
      <c r="A15" s="11">
        <v>43101</v>
      </c>
      <c r="B15" s="379">
        <f>'2023'!Maxi_hp</f>
        <v>28.078120973122783</v>
      </c>
      <c r="C15" s="84">
        <f>'2023'!An_max</f>
        <v>2022</v>
      </c>
      <c r="D15" s="1086">
        <f t="shared" ref="D15:D78" si="7">IF($BA15&gt;$D$11,BA15,"")</f>
        <v>0.98229145359971426</v>
      </c>
      <c r="E15" s="831"/>
      <c r="F15" s="832">
        <f>INT(MATCH($A15,x.2m)/2)*2+1</f>
        <v>1</v>
      </c>
      <c r="G15" s="832">
        <f>INT((MATCH($A15,x.2m)+1)/2)*2</f>
        <v>2</v>
      </c>
      <c r="H15" s="833">
        <f t="shared" ref="H15:H78" si="8">INDEX(x.2m,F15)</f>
        <v>43093</v>
      </c>
      <c r="I15" s="834">
        <f t="shared" ref="I15:I78" si="9">($A15-H15)/(INDEX(x.2m,G15)-H15)</f>
        <v>0.53333333333333333</v>
      </c>
      <c r="J15" s="826">
        <f>((1-I15)*(INDEX(a.m,F15)*$A15*$A15+INDEX(b.m,F15)*$A15+INDEX(c.m,F15))+I15*(INDEX(a.m,G15)*$A15*$A15+INDEX(b.m,G15)*$A15+INDEX(c.m,G15)))/10</f>
        <v>28.584307508965331</v>
      </c>
      <c r="L15" s="838" t="s">
        <v>220</v>
      </c>
      <c r="M15" s="868">
        <f t="shared" ref="M15:AN15" si="10">L12</f>
        <v>43079</v>
      </c>
      <c r="N15" s="869">
        <f t="shared" si="10"/>
        <v>43093</v>
      </c>
      <c r="O15" s="859">
        <f t="shared" si="10"/>
        <v>43108</v>
      </c>
      <c r="P15" s="859">
        <f t="shared" si="10"/>
        <v>43122</v>
      </c>
      <c r="Q15" s="859">
        <f t="shared" si="10"/>
        <v>43136</v>
      </c>
      <c r="R15" s="859">
        <f t="shared" si="10"/>
        <v>43150</v>
      </c>
      <c r="S15" s="859">
        <f t="shared" si="10"/>
        <v>43164</v>
      </c>
      <c r="T15" s="859">
        <f t="shared" si="10"/>
        <v>43178</v>
      </c>
      <c r="U15" s="859">
        <f t="shared" si="10"/>
        <v>43192</v>
      </c>
      <c r="V15" s="859">
        <f t="shared" si="10"/>
        <v>43206</v>
      </c>
      <c r="W15" s="859">
        <f t="shared" si="10"/>
        <v>43220</v>
      </c>
      <c r="X15" s="859">
        <f t="shared" si="10"/>
        <v>43234</v>
      </c>
      <c r="Y15" s="859">
        <f t="shared" si="10"/>
        <v>43248</v>
      </c>
      <c r="Z15" s="859">
        <f t="shared" si="10"/>
        <v>43262</v>
      </c>
      <c r="AA15" s="859">
        <f t="shared" si="10"/>
        <v>43276</v>
      </c>
      <c r="AB15" s="859">
        <f t="shared" si="10"/>
        <v>43290</v>
      </c>
      <c r="AC15" s="859">
        <f t="shared" si="10"/>
        <v>43304</v>
      </c>
      <c r="AD15" s="859">
        <f t="shared" si="10"/>
        <v>43318</v>
      </c>
      <c r="AE15" s="859">
        <f t="shared" si="10"/>
        <v>43332</v>
      </c>
      <c r="AF15" s="859">
        <f t="shared" si="10"/>
        <v>43346</v>
      </c>
      <c r="AG15" s="859">
        <f t="shared" si="10"/>
        <v>43360</v>
      </c>
      <c r="AH15" s="859">
        <f t="shared" si="10"/>
        <v>43374</v>
      </c>
      <c r="AI15" s="859">
        <f t="shared" si="10"/>
        <v>43388</v>
      </c>
      <c r="AJ15" s="859">
        <f t="shared" si="10"/>
        <v>43402</v>
      </c>
      <c r="AK15" s="859">
        <f t="shared" si="10"/>
        <v>43416</v>
      </c>
      <c r="AL15" s="859">
        <f t="shared" si="10"/>
        <v>43430</v>
      </c>
      <c r="AM15" s="859">
        <f t="shared" si="10"/>
        <v>43444</v>
      </c>
      <c r="AN15" s="861">
        <f t="shared" si="10"/>
        <v>43458</v>
      </c>
      <c r="AP15" s="832">
        <f t="shared" ref="AP15:AP78" si="11">INT(MATCH($A15,x.2lg)/2)*2+1</f>
        <v>1</v>
      </c>
      <c r="AQ15" s="832">
        <f t="shared" ref="AQ15:AQ78" si="12">INT((MATCH($A15,x.2lg)+1)/2)*2</f>
        <v>2</v>
      </c>
      <c r="AR15" s="833">
        <f t="shared" ref="AR15:AR78" si="13">INDEX(x.2lg,AP15)</f>
        <v>43079</v>
      </c>
      <c r="AS15" s="834">
        <f t="shared" ref="AS15:AS78" si="14">($A15-AR15)/(INDEX(x.2lg,AQ15)-AR15)</f>
        <v>0.75862068965517238</v>
      </c>
      <c r="AT15" s="852">
        <f t="shared" ref="AT15:AT78" si="15">((1-AS15)*(INDEX(a.lg,AP15)*$A15*$A15+INDEX(b.lg,AP15)*$A15+INDEX(c.lg,AP15))+AS15*(INDEX(a.lg,AQ15)*$A15*$A15+INDEX(b.lg,AQ15)*$A15+INDEX(c.lg,AQ15)))/10</f>
        <v>28.794017586934153</v>
      </c>
      <c r="AU15" s="832">
        <f t="shared" ref="AU15:AU78" si="16">INT(MATCH($A15,x.2ld)/2)*2+1</f>
        <v>1</v>
      </c>
      <c r="AV15" s="832">
        <f t="shared" ref="AV15:AV78" si="17">INT((MATCH($A15,x.2ld)+1)/2)*2</f>
        <v>2</v>
      </c>
      <c r="AW15" s="833">
        <f t="shared" ref="AW15:AW78" si="18">INDEX(x.2ld,AU15)</f>
        <v>43093</v>
      </c>
      <c r="AX15" s="834">
        <f t="shared" ref="AX15:AX78" si="19">($A15-AW15)/(INDEX(x.2ld,AV15)-AW15)</f>
        <v>0.27586206896551724</v>
      </c>
      <c r="AY15" s="852">
        <f t="shared" ref="AY15:AY78" si="20">((1-AX15)*(INDEX(a.ld,AU15)*$A15*$A15+INDEX(b.ld,AU15)*$A15+INDEX(c.ld,AU15))+AX15*(INDEX(a.ld,AV15)*$A15*$A15+INDEX(b.ld,AV15)*$A15+INDEX(c.ld,AV15)))/10</f>
        <v>28.293861475073061</v>
      </c>
      <c r="AZ15" s="826">
        <f>(AY15+AT15)/2</f>
        <v>28.543939531003609</v>
      </c>
      <c r="BA15" s="660">
        <f t="shared" ref="BA15:BA78" si="21">+B15/J15</f>
        <v>0.98229145359971426</v>
      </c>
      <c r="BB15" s="655">
        <v>43101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923">
        <f>1+[2]!Salcycl*Ksac</f>
        <v>1.0005722874285767</v>
      </c>
      <c r="BH15" s="1079">
        <f t="shared" ref="BH15:BH78" si="22">INDEX($BJ15:$BT15,,$BH$10)*(1-Ratini)+INDEX($BJ15:$BT15,,$BH$10+1)*Ratini</f>
        <v>1.3472260360404432E-2</v>
      </c>
      <c r="BI15" s="11">
        <v>44197</v>
      </c>
      <c r="BJ15" s="930">
        <v>8.8791016788630356E-3</v>
      </c>
      <c r="BK15" s="799">
        <v>1.0027081438078282E-2</v>
      </c>
      <c r="BL15" s="799">
        <v>1.1379781819019974E-2</v>
      </c>
      <c r="BM15" s="799">
        <v>1.3472134343648646E-2</v>
      </c>
      <c r="BN15" s="799">
        <v>1.6800980402347638E-2</v>
      </c>
      <c r="BO15" s="800">
        <v>3.4715680900661836E-2</v>
      </c>
      <c r="BP15" s="799">
        <v>6.4399420629365725E-2</v>
      </c>
      <c r="BQ15" s="799">
        <v>0.10282395007787799</v>
      </c>
      <c r="BR15" s="799">
        <v>0.13471835728104828</v>
      </c>
      <c r="BS15" s="799">
        <v>0.16093887786559072</v>
      </c>
      <c r="BT15" s="799">
        <v>0.18397248513498288</v>
      </c>
      <c r="BW15" s="1133">
        <f>'2018'!R\Max</f>
        <v>0</v>
      </c>
      <c r="BX15" s="1134">
        <f>'2019'!R\Max</f>
        <v>7.2282143501937804E-2</v>
      </c>
      <c r="BY15" s="1134">
        <f>'2020'!R\Max</f>
        <v>0.45659462845878868</v>
      </c>
      <c r="BZ15" s="1134">
        <f>'2021'!R\Max</f>
        <v>0.45858768910712217</v>
      </c>
      <c r="CA15" s="1134">
        <f>'2022'!R\Max</f>
        <v>0.98229145359971426</v>
      </c>
      <c r="CB15" s="1134">
        <f>'2023'!R\Max</f>
        <v>0.33326671553492132</v>
      </c>
      <c r="CC15" s="1134">
        <f>'2024'!R\Max</f>
        <v>0.33263713416134832</v>
      </c>
      <c r="CD15" s="1134">
        <f>'2025'!R\Max</f>
        <v>0.33182199840698423</v>
      </c>
      <c r="CE15" s="1134">
        <f>'2026'!R\Max</f>
        <v>0.3347298893750002</v>
      </c>
      <c r="CF15" s="1135">
        <f>'2027'!R\Max</f>
        <v>0.33465932579083663</v>
      </c>
    </row>
    <row r="16" spans="1:84" s="6" customFormat="1" ht="11.25" x14ac:dyDescent="0.2">
      <c r="A16" s="11">
        <v>43102</v>
      </c>
      <c r="B16" s="380">
        <f>'2023'!Maxi_hp</f>
        <v>25.967841110496515</v>
      </c>
      <c r="C16" s="85">
        <f>'2023'!An_max</f>
        <v>2020</v>
      </c>
      <c r="D16" s="1087" t="str">
        <f t="shared" si="7"/>
        <v/>
      </c>
      <c r="E16" s="835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836">
        <f t="shared" si="9"/>
        <v>0.6</v>
      </c>
      <c r="J16" s="827">
        <f>((1-I16)*(INDEX(a.m,F16)*$A16*$A16+INDEX(b.m,F16)*$A16+INDEX(c.m,F16))+I16*(INDEX(a.m,G16)*$A16*$A16+INDEX(b.m,G16)*$A16+INDEX(c.m,G16)))/10</f>
        <v>28.796819506734607</v>
      </c>
      <c r="L16" s="839" t="s">
        <v>221</v>
      </c>
      <c r="M16" s="822">
        <f t="shared" ref="M16:AN16" si="25">L13</f>
        <v>270.875</v>
      </c>
      <c r="N16" s="864">
        <f t="shared" si="25"/>
        <v>272.84499999999997</v>
      </c>
      <c r="O16" s="823">
        <f t="shared" si="25"/>
        <v>301.40999999999997</v>
      </c>
      <c r="P16" s="823">
        <f t="shared" si="25"/>
        <v>336.87</v>
      </c>
      <c r="Q16" s="823">
        <f t="shared" si="25"/>
        <v>384.15</v>
      </c>
      <c r="R16" s="823">
        <f t="shared" si="25"/>
        <v>432.41500000000002</v>
      </c>
      <c r="S16" s="823">
        <f t="shared" si="25"/>
        <v>476.74</v>
      </c>
      <c r="T16" s="823">
        <f t="shared" si="25"/>
        <v>518.11</v>
      </c>
      <c r="U16" s="823">
        <f t="shared" si="25"/>
        <v>553.56999999999994</v>
      </c>
      <c r="V16" s="823">
        <f t="shared" si="25"/>
        <v>576.22500000000002</v>
      </c>
      <c r="W16" s="823">
        <f t="shared" si="25"/>
        <v>591</v>
      </c>
      <c r="X16" s="823">
        <f t="shared" si="25"/>
        <v>596.91</v>
      </c>
      <c r="Y16" s="823">
        <f t="shared" si="25"/>
        <v>596.91</v>
      </c>
      <c r="Z16" s="823">
        <f t="shared" si="25"/>
        <v>591.98500000000001</v>
      </c>
      <c r="AA16" s="823">
        <f t="shared" si="25"/>
        <v>581.15</v>
      </c>
      <c r="AB16" s="823">
        <f t="shared" si="25"/>
        <v>568.34500000000003</v>
      </c>
      <c r="AC16" s="823">
        <f t="shared" si="25"/>
        <v>553.56999999999994</v>
      </c>
      <c r="AD16" s="823">
        <f t="shared" si="25"/>
        <v>538.79499999999996</v>
      </c>
      <c r="AE16" s="823">
        <f t="shared" si="25"/>
        <v>523.03499999999997</v>
      </c>
      <c r="AF16" s="823">
        <f t="shared" si="25"/>
        <v>507.10347293908853</v>
      </c>
      <c r="AG16" s="823">
        <f t="shared" si="25"/>
        <v>486.42440417059532</v>
      </c>
      <c r="AH16" s="823">
        <f t="shared" si="25"/>
        <v>458.02499999999998</v>
      </c>
      <c r="AI16" s="823">
        <f t="shared" si="25"/>
        <v>422.565</v>
      </c>
      <c r="AJ16" s="823">
        <f t="shared" si="25"/>
        <v>382.18</v>
      </c>
      <c r="AK16" s="823">
        <f t="shared" si="25"/>
        <v>335.88499999999999</v>
      </c>
      <c r="AL16" s="823">
        <f t="shared" si="25"/>
        <v>297.46999999999997</v>
      </c>
      <c r="AM16" s="823">
        <f t="shared" si="25"/>
        <v>270.875</v>
      </c>
      <c r="AN16" s="862">
        <f t="shared" si="25"/>
        <v>272.84499999999997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836">
        <f t="shared" si="14"/>
        <v>0.7931034482758621</v>
      </c>
      <c r="AT16" s="853">
        <f t="shared" si="15"/>
        <v>28.974974450751624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836">
        <f t="shared" si="19"/>
        <v>0.31034482758620691</v>
      </c>
      <c r="AY16" s="853">
        <f t="shared" si="20"/>
        <v>28.481077785455977</v>
      </c>
      <c r="AZ16" s="827">
        <f t="shared" ref="AZ16:AZ79" si="26">(AY16+AT16)/2</f>
        <v>28.728026118103799</v>
      </c>
      <c r="BA16" s="660">
        <f t="shared" si="21"/>
        <v>0.90176073452915562</v>
      </c>
      <c r="BB16" s="655">
        <v>43102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924">
        <f>1+[2]!Salcycl*Ksac</f>
        <v>1.00053228158138</v>
      </c>
      <c r="BH16" s="1080">
        <f t="shared" si="22"/>
        <v>1.2922103942942643E-2</v>
      </c>
      <c r="BI16" s="11">
        <v>44198</v>
      </c>
      <c r="BJ16" s="801">
        <v>8.4111513235046245E-3</v>
      </c>
      <c r="BK16" s="801">
        <v>9.5272079119239905E-3</v>
      </c>
      <c r="BL16" s="801">
        <v>1.0846271542251687E-2</v>
      </c>
      <c r="BM16" s="801">
        <v>1.2921978259700035E-2</v>
      </c>
      <c r="BN16" s="801">
        <v>1.6242014267559796E-2</v>
      </c>
      <c r="BO16" s="802">
        <v>3.4171012836370994E-2</v>
      </c>
      <c r="BP16" s="801">
        <v>6.4273599255061528E-2</v>
      </c>
      <c r="BQ16" s="801">
        <v>0.10324112619074118</v>
      </c>
      <c r="BR16" s="801">
        <v>0.13576140356133229</v>
      </c>
      <c r="BS16" s="801">
        <v>0.16227666536105659</v>
      </c>
      <c r="BT16" s="801">
        <v>0.18556273552766922</v>
      </c>
      <c r="BW16" s="1136">
        <f>'2018'!R\Max</f>
        <v>0</v>
      </c>
      <c r="BX16" s="1134">
        <f>'2019'!R\Max</f>
        <v>0.19012440406471373</v>
      </c>
      <c r="BY16" s="1134">
        <f>'2020'!R\Max</f>
        <v>0.90176073452915562</v>
      </c>
      <c r="BZ16" s="1134">
        <f>'2021'!R\Max</f>
        <v>0.16960102495253082</v>
      </c>
      <c r="CA16" s="1134">
        <f>'2022'!R\Max</f>
        <v>0.68065275063042041</v>
      </c>
      <c r="CB16" s="1134">
        <f>'2023'!R\Max</f>
        <v>0.11160525226588744</v>
      </c>
      <c r="CC16" s="1134">
        <f>'2024'!R\Max</f>
        <v>0.11138210912423445</v>
      </c>
      <c r="CD16" s="1134">
        <f>'2025'!R\Max</f>
        <v>0.11109326387218194</v>
      </c>
      <c r="CE16" s="1134">
        <f>'2026'!R\Max</f>
        <v>0.11212004903017078</v>
      </c>
      <c r="CF16" s="1135">
        <f>'2027'!R\Max</f>
        <v>0.11209543939458638</v>
      </c>
    </row>
    <row r="17" spans="1:84" s="6" customFormat="1" ht="11.25" x14ac:dyDescent="0.2">
      <c r="A17" s="11">
        <v>43103</v>
      </c>
      <c r="B17" s="380">
        <f>'2023'!Maxi_hp</f>
        <v>30.270872638205173</v>
      </c>
      <c r="C17" s="85">
        <f>'2023'!An_max</f>
        <v>2019</v>
      </c>
      <c r="D17" s="1087">
        <f t="shared" si="7"/>
        <v>1.0432752302563371</v>
      </c>
      <c r="E17" s="835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836">
        <f t="shared" si="9"/>
        <v>0.66666666666666663</v>
      </c>
      <c r="J17" s="827">
        <f t="shared" ref="J17:J78" si="27">((1-I17)*(INDEX(a.m,F17)*$A17*$A17+INDEX(b.m,F17)*$A17+INDEX(c.m,F17))+I17*(INDEX(a.m,G17)*$A17*$A17+INDEX(b.m,G17)*$A17+INDEX(c.m,G17)))/10</f>
        <v>29.015231801072758</v>
      </c>
      <c r="L17" s="839" t="s">
        <v>222</v>
      </c>
      <c r="M17" s="865">
        <f t="shared" ref="M17:AN17" si="28">M12</f>
        <v>43093</v>
      </c>
      <c r="N17" s="818">
        <f t="shared" si="28"/>
        <v>43108</v>
      </c>
      <c r="O17" s="818">
        <f t="shared" si="28"/>
        <v>43122</v>
      </c>
      <c r="P17" s="818">
        <f t="shared" si="28"/>
        <v>43136</v>
      </c>
      <c r="Q17" s="818">
        <f t="shared" si="28"/>
        <v>43150</v>
      </c>
      <c r="R17" s="818">
        <f t="shared" si="28"/>
        <v>43164</v>
      </c>
      <c r="S17" s="818">
        <f t="shared" si="28"/>
        <v>43178</v>
      </c>
      <c r="T17" s="818">
        <f t="shared" si="28"/>
        <v>43192</v>
      </c>
      <c r="U17" s="818">
        <f t="shared" si="28"/>
        <v>43206</v>
      </c>
      <c r="V17" s="818">
        <f t="shared" si="28"/>
        <v>43220</v>
      </c>
      <c r="W17" s="818">
        <f t="shared" si="28"/>
        <v>43234</v>
      </c>
      <c r="X17" s="818">
        <f t="shared" si="28"/>
        <v>43248</v>
      </c>
      <c r="Y17" s="818">
        <f t="shared" si="28"/>
        <v>43262</v>
      </c>
      <c r="Z17" s="818">
        <f t="shared" si="28"/>
        <v>43276</v>
      </c>
      <c r="AA17" s="818">
        <f t="shared" si="28"/>
        <v>43290</v>
      </c>
      <c r="AB17" s="818">
        <f t="shared" si="28"/>
        <v>43304</v>
      </c>
      <c r="AC17" s="818">
        <f t="shared" si="28"/>
        <v>43318</v>
      </c>
      <c r="AD17" s="818">
        <f t="shared" si="28"/>
        <v>43332</v>
      </c>
      <c r="AE17" s="818">
        <f t="shared" si="28"/>
        <v>43346</v>
      </c>
      <c r="AF17" s="818">
        <f t="shared" si="28"/>
        <v>43360</v>
      </c>
      <c r="AG17" s="818">
        <f t="shared" si="28"/>
        <v>43374</v>
      </c>
      <c r="AH17" s="818">
        <f t="shared" si="28"/>
        <v>43388</v>
      </c>
      <c r="AI17" s="818">
        <f t="shared" si="28"/>
        <v>43402</v>
      </c>
      <c r="AJ17" s="818">
        <f t="shared" si="28"/>
        <v>43416</v>
      </c>
      <c r="AK17" s="818">
        <f t="shared" si="28"/>
        <v>43430</v>
      </c>
      <c r="AL17" s="818">
        <f t="shared" si="28"/>
        <v>43444</v>
      </c>
      <c r="AM17" s="863">
        <f t="shared" si="28"/>
        <v>43458</v>
      </c>
      <c r="AN17" s="870">
        <f t="shared" si="28"/>
        <v>43473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836">
        <f t="shared" si="14"/>
        <v>0.82758620689655171</v>
      </c>
      <c r="AT17" s="853">
        <f t="shared" si="15"/>
        <v>29.160645271940478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836">
        <f t="shared" si="19"/>
        <v>0.34482758620689657</v>
      </c>
      <c r="AY17" s="853">
        <f t="shared" si="20"/>
        <v>28.679582030660118</v>
      </c>
      <c r="AZ17" s="827">
        <f t="shared" si="26"/>
        <v>28.920113651300298</v>
      </c>
      <c r="BA17" s="660">
        <f t="shared" si="21"/>
        <v>1.0432752302563371</v>
      </c>
      <c r="BB17" s="655">
        <v>43103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924">
        <f>1+[2]!Salcycl*Ksac</f>
        <v>1.0004945268230359</v>
      </c>
      <c r="BH17" s="1080">
        <f t="shared" si="22"/>
        <v>1.2371414250094574E-2</v>
      </c>
      <c r="BI17" s="11">
        <v>44199</v>
      </c>
      <c r="BJ17" s="801">
        <v>7.9394884766269616E-3</v>
      </c>
      <c r="BK17" s="801">
        <v>9.0245353854112691E-3</v>
      </c>
      <c r="BL17" s="801">
        <v>1.0310903684875387E-2</v>
      </c>
      <c r="BM17" s="801">
        <v>1.2371288750774492E-2</v>
      </c>
      <c r="BN17" s="801">
        <v>1.5686466279495326E-2</v>
      </c>
      <c r="BO17" s="802">
        <v>3.3547535787732848E-2</v>
      </c>
      <c r="BP17" s="801">
        <v>6.4069731745978645E-2</v>
      </c>
      <c r="BQ17" s="801">
        <v>0.10358802662396177</v>
      </c>
      <c r="BR17" s="801">
        <v>0.13683654304092155</v>
      </c>
      <c r="BS17" s="801">
        <v>0.16367243553296787</v>
      </c>
      <c r="BT17" s="801">
        <v>0.18723399364670607</v>
      </c>
      <c r="BW17" s="1136">
        <f>'2018'!R\Max</f>
        <v>0</v>
      </c>
      <c r="BX17" s="1134">
        <f>'2019'!R\Max</f>
        <v>1.0432752302563371</v>
      </c>
      <c r="BY17" s="1134">
        <f>'2020'!R\Max</f>
        <v>0.32783697361463199</v>
      </c>
      <c r="BZ17" s="1134">
        <f>'2021'!R\Max</f>
        <v>0.98174830566591575</v>
      </c>
      <c r="CA17" s="1134">
        <f>'2022'!R\Max</f>
        <v>0.71576280675400228</v>
      </c>
      <c r="CB17" s="1134">
        <f>'2023'!R\Max</f>
        <v>0.61027126914541985</v>
      </c>
      <c r="CC17" s="1134">
        <f>'2024'!R\Max</f>
        <v>0.60958877616011542</v>
      </c>
      <c r="CD17" s="1134">
        <f>'2025'!R\Max</f>
        <v>0.60870336099491029</v>
      </c>
      <c r="CE17" s="1134">
        <f>'2026'!R\Max</f>
        <v>0.61182582514909001</v>
      </c>
      <c r="CF17" s="1135">
        <f>'2027'!R\Max</f>
        <v>0.61175206081550526</v>
      </c>
    </row>
    <row r="18" spans="1:84" s="6" customFormat="1" ht="11.25" x14ac:dyDescent="0.2">
      <c r="A18" s="11">
        <v>43104</v>
      </c>
      <c r="B18" s="380">
        <f>'2023'!Maxi_hp</f>
        <v>27.195397538007867</v>
      </c>
      <c r="C18" s="85">
        <f>'2023'!An_max</f>
        <v>2023</v>
      </c>
      <c r="D18" s="1087" t="str">
        <f t="shared" si="7"/>
        <v/>
      </c>
      <c r="E18" s="835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836">
        <f t="shared" si="9"/>
        <v>0.73333333333333328</v>
      </c>
      <c r="J18" s="827">
        <f t="shared" si="27"/>
        <v>29.237978740930554</v>
      </c>
      <c r="L18" s="839" t="s">
        <v>223</v>
      </c>
      <c r="M18" s="864">
        <f t="shared" ref="M18:AN18" si="29">M13</f>
        <v>272.84499999999997</v>
      </c>
      <c r="N18" s="824">
        <f t="shared" si="29"/>
        <v>301.40999999999997</v>
      </c>
      <c r="O18" s="824">
        <f t="shared" si="29"/>
        <v>336.87</v>
      </c>
      <c r="P18" s="824">
        <f t="shared" si="29"/>
        <v>384.15</v>
      </c>
      <c r="Q18" s="824">
        <f t="shared" si="29"/>
        <v>432.41500000000002</v>
      </c>
      <c r="R18" s="824">
        <f t="shared" si="29"/>
        <v>476.74</v>
      </c>
      <c r="S18" s="824">
        <f t="shared" si="29"/>
        <v>518.11</v>
      </c>
      <c r="T18" s="824">
        <f t="shared" si="29"/>
        <v>553.56999999999994</v>
      </c>
      <c r="U18" s="824">
        <f t="shared" si="29"/>
        <v>576.22500000000002</v>
      </c>
      <c r="V18" s="824">
        <f t="shared" si="29"/>
        <v>591</v>
      </c>
      <c r="W18" s="824">
        <f t="shared" si="29"/>
        <v>596.91</v>
      </c>
      <c r="X18" s="824">
        <f t="shared" si="29"/>
        <v>596.91</v>
      </c>
      <c r="Y18" s="824">
        <f t="shared" si="29"/>
        <v>591.98500000000001</v>
      </c>
      <c r="Z18" s="824">
        <f t="shared" si="29"/>
        <v>581.15</v>
      </c>
      <c r="AA18" s="824">
        <f t="shared" si="29"/>
        <v>568.34500000000003</v>
      </c>
      <c r="AB18" s="824">
        <f t="shared" si="29"/>
        <v>553.56999999999994</v>
      </c>
      <c r="AC18" s="824">
        <f t="shared" si="29"/>
        <v>538.79499999999996</v>
      </c>
      <c r="AD18" s="824">
        <f t="shared" si="29"/>
        <v>523.03499999999997</v>
      </c>
      <c r="AE18" s="824">
        <f t="shared" si="29"/>
        <v>507.10347293908853</v>
      </c>
      <c r="AF18" s="824">
        <f t="shared" si="29"/>
        <v>486.42440417059532</v>
      </c>
      <c r="AG18" s="824">
        <f t="shared" si="29"/>
        <v>458.02499999999998</v>
      </c>
      <c r="AH18" s="824">
        <f t="shared" si="29"/>
        <v>422.565</v>
      </c>
      <c r="AI18" s="824">
        <f t="shared" si="29"/>
        <v>382.18</v>
      </c>
      <c r="AJ18" s="824">
        <f t="shared" si="29"/>
        <v>335.88499999999999</v>
      </c>
      <c r="AK18" s="824">
        <f t="shared" si="29"/>
        <v>297.46999999999997</v>
      </c>
      <c r="AL18" s="824">
        <f t="shared" si="29"/>
        <v>270.875</v>
      </c>
      <c r="AM18" s="862">
        <f t="shared" si="29"/>
        <v>272.84499999999997</v>
      </c>
      <c r="AN18" s="860">
        <f t="shared" si="29"/>
        <v>301.40999999999997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836">
        <f t="shared" si="14"/>
        <v>0.86206896551724133</v>
      </c>
      <c r="AT18" s="853">
        <f t="shared" si="15"/>
        <v>29.350495516919882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836">
        <f t="shared" si="19"/>
        <v>0.37931034482758619</v>
      </c>
      <c r="AY18" s="853">
        <f t="shared" si="20"/>
        <v>28.888690852065544</v>
      </c>
      <c r="AZ18" s="827">
        <f t="shared" si="26"/>
        <v>29.119593184492714</v>
      </c>
      <c r="BA18" s="660">
        <f t="shared" si="21"/>
        <v>0.93013945249015262</v>
      </c>
      <c r="BB18" s="655">
        <v>43104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924">
        <f>1+[2]!Salcycl*Ksac</f>
        <v>1.0004587890252081</v>
      </c>
      <c r="BH18" s="1080">
        <f t="shared" si="22"/>
        <v>1.1820150993504881E-2</v>
      </c>
      <c r="BI18" s="11">
        <v>44200</v>
      </c>
      <c r="BJ18" s="801">
        <v>7.4640807895244073E-3</v>
      </c>
      <c r="BK18" s="801">
        <v>8.5190295947924766E-3</v>
      </c>
      <c r="BL18" s="801">
        <v>9.7736415675955517E-3</v>
      </c>
      <c r="BM18" s="801">
        <v>1.1820025528627256E-2</v>
      </c>
      <c r="BN18" s="801">
        <v>1.5134293228881325E-2</v>
      </c>
      <c r="BO18" s="802">
        <v>3.284504205660696E-2</v>
      </c>
      <c r="BP18" s="801">
        <v>6.3787539085871134E-2</v>
      </c>
      <c r="BQ18" s="801">
        <v>0.10386428983661078</v>
      </c>
      <c r="BR18" s="801">
        <v>0.1379434856478311</v>
      </c>
      <c r="BS18" s="801">
        <v>0.16512587101792206</v>
      </c>
      <c r="BT18" s="801">
        <v>0.18898591850359334</v>
      </c>
      <c r="BW18" s="1136">
        <f>'2018'!R\Max</f>
        <v>0</v>
      </c>
      <c r="BX18" s="1134">
        <f>'2019'!R\Max</f>
        <v>0.88620799154756658</v>
      </c>
      <c r="BY18" s="1134">
        <f>'2020'!R\Max</f>
        <v>0.23797506835281279</v>
      </c>
      <c r="BZ18" s="1134">
        <f>'2021'!R\Max</f>
        <v>0.71939601992641411</v>
      </c>
      <c r="CA18" s="1134">
        <f>'2022'!R\Max</f>
        <v>0.74280368702646804</v>
      </c>
      <c r="CB18" s="1134">
        <f>'2023'!R\Max</f>
        <v>0.93013945249015262</v>
      </c>
      <c r="CC18" s="1134">
        <f>'2024'!R\Max</f>
        <v>0.92995177630582171</v>
      </c>
      <c r="CD18" s="1134">
        <f>'2025'!R\Max</f>
        <v>0.92970769661381003</v>
      </c>
      <c r="CE18" s="1134">
        <f>'2026'!R\Max</f>
        <v>0.930560587092226</v>
      </c>
      <c r="CF18" s="1135">
        <f>'2027'!R\Max</f>
        <v>0.9305406831826083</v>
      </c>
    </row>
    <row r="19" spans="1:84" s="6" customFormat="1" ht="11.25" x14ac:dyDescent="0.2">
      <c r="A19" s="11">
        <v>43105</v>
      </c>
      <c r="B19" s="380">
        <f>'2023'!Maxi_hp</f>
        <v>29.868700088933423</v>
      </c>
      <c r="C19" s="85">
        <f>'2023'!An_max</f>
        <v>2019</v>
      </c>
      <c r="D19" s="1087">
        <f t="shared" si="7"/>
        <v>1.0137527952270253</v>
      </c>
      <c r="E19" s="835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836">
        <f t="shared" si="9"/>
        <v>0.8</v>
      </c>
      <c r="J19" s="827">
        <f t="shared" si="27"/>
        <v>29.463494679927827</v>
      </c>
      <c r="L19" s="839" t="s">
        <v>224</v>
      </c>
      <c r="M19" s="866">
        <f t="shared" ref="M19:AN19" si="30">N12</f>
        <v>43108</v>
      </c>
      <c r="N19" s="819">
        <f t="shared" si="30"/>
        <v>43122</v>
      </c>
      <c r="O19" s="819">
        <f t="shared" si="30"/>
        <v>43136</v>
      </c>
      <c r="P19" s="819">
        <f t="shared" si="30"/>
        <v>43150</v>
      </c>
      <c r="Q19" s="819">
        <f t="shared" si="30"/>
        <v>43164</v>
      </c>
      <c r="R19" s="819">
        <f t="shared" si="30"/>
        <v>43178</v>
      </c>
      <c r="S19" s="819">
        <f t="shared" si="30"/>
        <v>43192</v>
      </c>
      <c r="T19" s="819">
        <f t="shared" si="30"/>
        <v>43206</v>
      </c>
      <c r="U19" s="819">
        <f t="shared" si="30"/>
        <v>43220</v>
      </c>
      <c r="V19" s="819">
        <f t="shared" si="30"/>
        <v>43234</v>
      </c>
      <c r="W19" s="819">
        <f t="shared" si="30"/>
        <v>43248</v>
      </c>
      <c r="X19" s="819">
        <f t="shared" si="30"/>
        <v>43262</v>
      </c>
      <c r="Y19" s="819">
        <f t="shared" si="30"/>
        <v>43276</v>
      </c>
      <c r="Z19" s="819">
        <f t="shared" si="30"/>
        <v>43290</v>
      </c>
      <c r="AA19" s="819">
        <f t="shared" si="30"/>
        <v>43304</v>
      </c>
      <c r="AB19" s="819">
        <f t="shared" si="30"/>
        <v>43318</v>
      </c>
      <c r="AC19" s="819">
        <f t="shared" si="30"/>
        <v>43332</v>
      </c>
      <c r="AD19" s="819">
        <f t="shared" si="30"/>
        <v>43346</v>
      </c>
      <c r="AE19" s="819">
        <f t="shared" si="30"/>
        <v>43360</v>
      </c>
      <c r="AF19" s="819">
        <f t="shared" si="30"/>
        <v>43374</v>
      </c>
      <c r="AG19" s="819">
        <f t="shared" si="30"/>
        <v>43388</v>
      </c>
      <c r="AH19" s="819">
        <f t="shared" si="30"/>
        <v>43402</v>
      </c>
      <c r="AI19" s="819">
        <f t="shared" si="30"/>
        <v>43416</v>
      </c>
      <c r="AJ19" s="819">
        <f t="shared" si="30"/>
        <v>43430</v>
      </c>
      <c r="AK19" s="819">
        <f t="shared" si="30"/>
        <v>43444</v>
      </c>
      <c r="AL19" s="863">
        <f t="shared" si="30"/>
        <v>43458</v>
      </c>
      <c r="AM19" s="820">
        <f t="shared" si="30"/>
        <v>43473</v>
      </c>
      <c r="AN19" s="820">
        <f t="shared" si="30"/>
        <v>43487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836">
        <f t="shared" si="14"/>
        <v>0.89655172413793105</v>
      </c>
      <c r="AT19" s="853">
        <f t="shared" si="15"/>
        <v>29.54399064959123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836">
        <f t="shared" si="19"/>
        <v>0.41379310344827586</v>
      </c>
      <c r="AY19" s="853">
        <f t="shared" si="20"/>
        <v>29.10772088283095</v>
      </c>
      <c r="AZ19" s="827">
        <f t="shared" si="26"/>
        <v>29.325855766211092</v>
      </c>
      <c r="BA19" s="660">
        <f t="shared" si="21"/>
        <v>1.0137527952270253</v>
      </c>
      <c r="BB19" s="655">
        <v>43105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924">
        <f>1+[2]!Salcycl*Ksac</f>
        <v>1.0004248642610547</v>
      </c>
      <c r="BH19" s="1080">
        <f t="shared" si="22"/>
        <v>1.1268279566017468E-2</v>
      </c>
      <c r="BI19" s="11">
        <v>44201</v>
      </c>
      <c r="BJ19" s="801">
        <v>6.9849007158065959E-3</v>
      </c>
      <c r="BK19" s="801">
        <v>8.0106614151529299E-3</v>
      </c>
      <c r="BL19" s="801">
        <v>9.2344540051018578E-3</v>
      </c>
      <c r="BM19" s="801">
        <v>1.1268153986207985E-2</v>
      </c>
      <c r="BN19" s="801">
        <v>1.458545771494328E-2</v>
      </c>
      <c r="BO19" s="802">
        <v>3.2063329248231902E-2</v>
      </c>
      <c r="BP19" s="801">
        <v>6.3426743429782037E-2</v>
      </c>
      <c r="BQ19" s="801">
        <v>0.10406955013857093</v>
      </c>
      <c r="BR19" s="801">
        <v>0.13908193147440395</v>
      </c>
      <c r="BS19" s="801">
        <v>0.16663664187178467</v>
      </c>
      <c r="BT19" s="801">
        <v>0.19081815418513931</v>
      </c>
      <c r="BW19" s="1136">
        <f>'2018'!R\Max</f>
        <v>0</v>
      </c>
      <c r="BX19" s="1134">
        <f>'2019'!R\Max</f>
        <v>1.0137527952270253</v>
      </c>
      <c r="BY19" s="1134">
        <f>'2020'!R\Max</f>
        <v>0.51818065097548172</v>
      </c>
      <c r="BZ19" s="1134">
        <f>'2021'!R\Max</f>
        <v>0.11457606509077038</v>
      </c>
      <c r="CA19" s="1134">
        <f>'2022'!R\Max</f>
        <v>0.52028151250931198</v>
      </c>
      <c r="CB19" s="1134">
        <f>'2023'!R\Max</f>
        <v>0.38592480604307966</v>
      </c>
      <c r="CC19" s="1134">
        <f>'2024'!R\Max</f>
        <v>0.38523772818883678</v>
      </c>
      <c r="CD19" s="1134">
        <f>'2025'!R\Max</f>
        <v>0.38434693498930267</v>
      </c>
      <c r="CE19" s="1134">
        <f>'2026'!R\Max</f>
        <v>0.38745276793858757</v>
      </c>
      <c r="CF19" s="1135">
        <f>'2027'!R\Max</f>
        <v>0.38738020106736526</v>
      </c>
    </row>
    <row r="20" spans="1:84" s="6" customFormat="1" ht="11.25" x14ac:dyDescent="0.2">
      <c r="A20" s="11">
        <v>43106</v>
      </c>
      <c r="B20" s="380">
        <f>'2023'!Maxi_hp</f>
        <v>28.521480989437787</v>
      </c>
      <c r="C20" s="85">
        <f>'2023'!An_max</f>
        <v>2020</v>
      </c>
      <c r="D20" s="1087" t="str">
        <f t="shared" si="7"/>
        <v/>
      </c>
      <c r="E20" s="835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836">
        <f t="shared" si="9"/>
        <v>0.8666666666666667</v>
      </c>
      <c r="J20" s="827">
        <f t="shared" si="27"/>
        <v>29.690213968406123</v>
      </c>
      <c r="L20" s="839" t="s">
        <v>225</v>
      </c>
      <c r="M20" s="867">
        <f>N13</f>
        <v>301.40999999999997</v>
      </c>
      <c r="N20" s="824">
        <f t="shared" ref="N20:AN20" si="31">O13</f>
        <v>336.87</v>
      </c>
      <c r="O20" s="824">
        <f t="shared" si="31"/>
        <v>384.15</v>
      </c>
      <c r="P20" s="824">
        <f t="shared" si="31"/>
        <v>432.41500000000002</v>
      </c>
      <c r="Q20" s="824">
        <f t="shared" si="31"/>
        <v>476.74</v>
      </c>
      <c r="R20" s="824">
        <f t="shared" si="31"/>
        <v>518.11</v>
      </c>
      <c r="S20" s="824">
        <f t="shared" si="31"/>
        <v>553.56999999999994</v>
      </c>
      <c r="T20" s="824">
        <f t="shared" si="31"/>
        <v>576.22500000000002</v>
      </c>
      <c r="U20" s="824">
        <f t="shared" si="31"/>
        <v>591</v>
      </c>
      <c r="V20" s="824">
        <f t="shared" si="31"/>
        <v>596.91</v>
      </c>
      <c r="W20" s="824">
        <f t="shared" si="31"/>
        <v>596.91</v>
      </c>
      <c r="X20" s="824">
        <f t="shared" si="31"/>
        <v>591.98500000000001</v>
      </c>
      <c r="Y20" s="824">
        <f t="shared" si="31"/>
        <v>581.15</v>
      </c>
      <c r="Z20" s="824">
        <f t="shared" si="31"/>
        <v>568.34500000000003</v>
      </c>
      <c r="AA20" s="824">
        <f t="shared" si="31"/>
        <v>553.56999999999994</v>
      </c>
      <c r="AB20" s="824">
        <f t="shared" si="31"/>
        <v>538.79499999999996</v>
      </c>
      <c r="AC20" s="824">
        <f t="shared" si="31"/>
        <v>523.03499999999997</v>
      </c>
      <c r="AD20" s="824">
        <f t="shared" si="31"/>
        <v>507.10347293908853</v>
      </c>
      <c r="AE20" s="824">
        <f t="shared" si="31"/>
        <v>486.42440417059532</v>
      </c>
      <c r="AF20" s="824">
        <f t="shared" si="31"/>
        <v>458.02499999999998</v>
      </c>
      <c r="AG20" s="824">
        <f t="shared" si="31"/>
        <v>422.565</v>
      </c>
      <c r="AH20" s="824">
        <f t="shared" si="31"/>
        <v>382.18</v>
      </c>
      <c r="AI20" s="824">
        <f t="shared" si="31"/>
        <v>335.88499999999999</v>
      </c>
      <c r="AJ20" s="824">
        <f t="shared" si="31"/>
        <v>297.46999999999997</v>
      </c>
      <c r="AK20" s="824">
        <f t="shared" si="31"/>
        <v>270.875</v>
      </c>
      <c r="AL20" s="862">
        <f t="shared" si="31"/>
        <v>272.84499999999997</v>
      </c>
      <c r="AM20" s="860">
        <f t="shared" si="31"/>
        <v>301.40999999999997</v>
      </c>
      <c r="AN20" s="860">
        <f t="shared" si="31"/>
        <v>336.87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836">
        <f t="shared" si="14"/>
        <v>0.93103448275862066</v>
      </c>
      <c r="AT20" s="853">
        <f>((1-AS20)*(INDEX(a.lg,AP20)*$A20*$A20+INDEX(b.lg,AP20)*$A20+INDEX(c.lg,AP20))+AS20*(INDEX(a.lg,AQ20)*$A20*$A20+INDEX(b.lg,AQ20)*$A20+INDEX(c.lg,AQ20)))/10</f>
        <v>29.740596131903345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836">
        <f t="shared" si="19"/>
        <v>0.44827586206896552</v>
      </c>
      <c r="AY20" s="853">
        <f t="shared" si="20"/>
        <v>29.335988768678284</v>
      </c>
      <c r="AZ20" s="827">
        <f t="shared" si="26"/>
        <v>29.538292450290815</v>
      </c>
      <c r="BA20" s="660">
        <f t="shared" si="21"/>
        <v>0.96063575088370856</v>
      </c>
      <c r="BB20" s="655">
        <v>43106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924">
        <f>1+[2]!Salcycl*Ksac</f>
        <v>1.00039257782641</v>
      </c>
      <c r="BH20" s="1080">
        <f t="shared" si="22"/>
        <v>1.071577104375868E-2</v>
      </c>
      <c r="BI20" s="11">
        <v>44202</v>
      </c>
      <c r="BJ20" s="801">
        <v>6.501925595948913E-3</v>
      </c>
      <c r="BK20" s="801">
        <v>7.4994069210396657E-3</v>
      </c>
      <c r="BL20" s="801">
        <v>8.6933153420505494E-3</v>
      </c>
      <c r="BM20" s="801">
        <v>1.0715645199747775E-2</v>
      </c>
      <c r="BN20" s="801">
        <v>1.4039928046932507E-2</v>
      </c>
      <c r="BO20" s="802">
        <v>3.1202202273317298E-2</v>
      </c>
      <c r="BP20" s="801">
        <v>6.298707010101913E-2</v>
      </c>
      <c r="BQ20" s="801">
        <v>0.10420343950786737</v>
      </c>
      <c r="BR20" s="801">
        <v>0.14025157000278107</v>
      </c>
      <c r="BS20" s="801">
        <v>0.16820440414552526</v>
      </c>
      <c r="BT20" s="801">
        <v>0.19273032785126307</v>
      </c>
      <c r="BW20" s="1136">
        <f>'2018'!R\Max</f>
        <v>0</v>
      </c>
      <c r="BX20" s="1134">
        <f>'2019'!R\Max</f>
        <v>0.17733617567110374</v>
      </c>
      <c r="BY20" s="1134">
        <f>'2020'!R\Max</f>
        <v>0.96063575088370856</v>
      </c>
      <c r="BZ20" s="1134">
        <f>'2021'!R\Max</f>
        <v>0.31661929535507671</v>
      </c>
      <c r="CA20" s="1134">
        <f>'2022'!R\Max</f>
        <v>0.95122768878725117</v>
      </c>
      <c r="CB20" s="1134">
        <f>'2023'!R\Max</f>
        <v>0.2263254522551949</v>
      </c>
      <c r="CC20" s="1134">
        <f>'2024'!R\Max</f>
        <v>0.22586291418622603</v>
      </c>
      <c r="CD20" s="1134">
        <f>'2025'!R\Max</f>
        <v>0.22526319777564352</v>
      </c>
      <c r="CE20" s="1134">
        <f>'2026'!R\Max</f>
        <v>0.2273383243196242</v>
      </c>
      <c r="CF20" s="1135">
        <f>'2027'!R\Max</f>
        <v>0.22728995453340664</v>
      </c>
    </row>
    <row r="21" spans="1:84" s="6" customFormat="1" ht="11.25" x14ac:dyDescent="0.2">
      <c r="A21" s="11">
        <v>43107</v>
      </c>
      <c r="B21" s="380">
        <f>'2023'!Maxi_hp</f>
        <v>18.408769498568571</v>
      </c>
      <c r="C21" s="85">
        <f>'2023'!An_max</f>
        <v>2023</v>
      </c>
      <c r="D21" s="1087" t="str">
        <f t="shared" si="7"/>
        <v/>
      </c>
      <c r="E21" s="835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836">
        <f t="shared" si="9"/>
        <v>0.93333333333333335</v>
      </c>
      <c r="J21" s="827">
        <f t="shared" si="27"/>
        <v>29.916570957700412</v>
      </c>
      <c r="L21" s="840" t="s">
        <v>226</v>
      </c>
      <c r="M21" s="821">
        <f>x.1m*x.1m-x.2m*x.2m</f>
        <v>-1206408</v>
      </c>
      <c r="N21" s="821">
        <f t="shared" ref="N21:AM21" si="32">x.1m*x.1m-x.2m*x.2m</f>
        <v>-1293015</v>
      </c>
      <c r="O21" s="821">
        <f t="shared" si="32"/>
        <v>-1207220</v>
      </c>
      <c r="P21" s="821">
        <f t="shared" si="32"/>
        <v>-1207612</v>
      </c>
      <c r="Q21" s="821">
        <f t="shared" si="32"/>
        <v>-1208004</v>
      </c>
      <c r="R21" s="821">
        <f t="shared" si="32"/>
        <v>-1208396</v>
      </c>
      <c r="S21" s="821">
        <f t="shared" si="32"/>
        <v>-1208788</v>
      </c>
      <c r="T21" s="821">
        <f t="shared" si="32"/>
        <v>-1209180</v>
      </c>
      <c r="U21" s="821">
        <f t="shared" si="32"/>
        <v>-1209572</v>
      </c>
      <c r="V21" s="821">
        <f t="shared" si="32"/>
        <v>-1209964</v>
      </c>
      <c r="W21" s="821">
        <f t="shared" si="32"/>
        <v>-1210356</v>
      </c>
      <c r="X21" s="821">
        <f t="shared" si="32"/>
        <v>-1210748</v>
      </c>
      <c r="Y21" s="821">
        <f t="shared" si="32"/>
        <v>-1211140</v>
      </c>
      <c r="Z21" s="821">
        <f t="shared" si="32"/>
        <v>-1211532</v>
      </c>
      <c r="AA21" s="821">
        <f t="shared" si="32"/>
        <v>-1211924</v>
      </c>
      <c r="AB21" s="821">
        <f t="shared" si="32"/>
        <v>-1212316</v>
      </c>
      <c r="AC21" s="821">
        <f t="shared" si="32"/>
        <v>-1212708</v>
      </c>
      <c r="AD21" s="821">
        <f t="shared" si="32"/>
        <v>-1213100</v>
      </c>
      <c r="AE21" s="821">
        <f t="shared" si="32"/>
        <v>-1213492</v>
      </c>
      <c r="AF21" s="821">
        <f t="shared" si="32"/>
        <v>-1213884</v>
      </c>
      <c r="AG21" s="821">
        <f t="shared" si="32"/>
        <v>-1214276</v>
      </c>
      <c r="AH21" s="821">
        <f t="shared" si="32"/>
        <v>-1214668</v>
      </c>
      <c r="AI21" s="821">
        <f t="shared" si="32"/>
        <v>-1215060</v>
      </c>
      <c r="AJ21" s="821">
        <f t="shared" si="32"/>
        <v>-1215452</v>
      </c>
      <c r="AK21" s="821">
        <f t="shared" si="32"/>
        <v>-1215844</v>
      </c>
      <c r="AL21" s="821">
        <f t="shared" si="32"/>
        <v>-1216236</v>
      </c>
      <c r="AM21" s="821">
        <f t="shared" si="32"/>
        <v>-1216628</v>
      </c>
      <c r="AN21" s="821">
        <f>x.1m*x.1m-x.2m*x.2m</f>
        <v>-1303965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836">
        <f t="shared" si="14"/>
        <v>0.96551724137931039</v>
      </c>
      <c r="AT21" s="853">
        <f t="shared" si="15"/>
        <v>29.939777427552077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836">
        <f t="shared" si="19"/>
        <v>0.48275862068965519</v>
      </c>
      <c r="AY21" s="853">
        <f t="shared" si="20"/>
        <v>29.572811143254409</v>
      </c>
      <c r="AZ21" s="827">
        <f t="shared" si="26"/>
        <v>29.756294285403243</v>
      </c>
      <c r="BA21" s="660">
        <f t="shared" si="21"/>
        <v>0.61533688217800986</v>
      </c>
      <c r="BB21" s="655">
        <v>43107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924">
        <f>1+[2]!Salcycl*Ksac</f>
        <v>1.0003617830409</v>
      </c>
      <c r="BH21" s="1080">
        <f t="shared" si="22"/>
        <v>1.0162602188357952E-2</v>
      </c>
      <c r="BI21" s="11">
        <v>44203</v>
      </c>
      <c r="BJ21" s="801">
        <v>6.0151377419265144E-3</v>
      </c>
      <c r="BK21" s="801">
        <v>6.9852474471864918E-3</v>
      </c>
      <c r="BL21" s="801">
        <v>8.150205489157401E-3</v>
      </c>
      <c r="BM21" s="801">
        <v>1.0162475930983598E-2</v>
      </c>
      <c r="BN21" s="801">
        <v>1.3497678145833436E-2</v>
      </c>
      <c r="BO21" s="802">
        <v>3.0261475350536388E-2</v>
      </c>
      <c r="BP21" s="801">
        <v>6.2468249588937368E-2</v>
      </c>
      <c r="BQ21" s="801">
        <v>0.10426558940933134</v>
      </c>
      <c r="BR21" s="801">
        <v>0.14145207933216256</v>
      </c>
      <c r="BS21" s="801">
        <v>0.16982879846320084</v>
      </c>
      <c r="BT21" s="801">
        <v>0.19472204773525759</v>
      </c>
      <c r="BW21" s="1136">
        <f>'2018'!R\Max</f>
        <v>0</v>
      </c>
      <c r="BX21" s="1134">
        <f>'2019'!R\Max</f>
        <v>9.7445924108427187E-2</v>
      </c>
      <c r="BY21" s="1134">
        <f>'2020'!R\Max</f>
        <v>0.26441097425760601</v>
      </c>
      <c r="BZ21" s="1134">
        <f>'2021'!R\Max</f>
        <v>0.51256968092628563</v>
      </c>
      <c r="CA21" s="1134">
        <f>'2022'!R\Max</f>
        <v>0.34237770332776762</v>
      </c>
      <c r="CB21" s="1134">
        <f>'2023'!R\Max</f>
        <v>0.61533688217800986</v>
      </c>
      <c r="CC21" s="1134">
        <f>'2024'!R\Max</f>
        <v>0.61464298965264497</v>
      </c>
      <c r="CD21" s="1134">
        <f>'2025'!R\Max</f>
        <v>0.61374067110248898</v>
      </c>
      <c r="CE21" s="1134">
        <f>'2026'!R\Max</f>
        <v>0.61682430518543263</v>
      </c>
      <c r="CF21" s="1135">
        <f>'2027'!R\Max</f>
        <v>0.61675280371610808</v>
      </c>
    </row>
    <row r="22" spans="1:84" s="6" customFormat="1" ht="11.25" x14ac:dyDescent="0.2">
      <c r="A22" s="11">
        <v>43108</v>
      </c>
      <c r="B22" s="380">
        <f>'2023'!Maxi_hp</f>
        <v>20.926751067686602</v>
      </c>
      <c r="C22" s="85">
        <f>'2023'!An_max</f>
        <v>2021</v>
      </c>
      <c r="D22" s="1087" t="str">
        <f t="shared" si="7"/>
        <v/>
      </c>
      <c r="E22" s="835">
        <f>N$13/10</f>
        <v>30.140999999999998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836">
        <f t="shared" si="9"/>
        <v>1</v>
      </c>
      <c r="J22" s="827">
        <f t="shared" si="27"/>
        <v>30.140999998897314</v>
      </c>
      <c r="L22" s="840" t="s">
        <v>227</v>
      </c>
      <c r="M22" s="821">
        <f t="shared" ref="M22:AM22" si="33">x.2m*x.2m-x.3m*x.3m</f>
        <v>-1293015</v>
      </c>
      <c r="N22" s="821">
        <f>x.2m*x.2m-x.3m*x.3m</f>
        <v>-1207220</v>
      </c>
      <c r="O22" s="821">
        <f t="shared" si="33"/>
        <v>-1207612</v>
      </c>
      <c r="P22" s="821">
        <f t="shared" si="33"/>
        <v>-1208004</v>
      </c>
      <c r="Q22" s="821">
        <f t="shared" si="33"/>
        <v>-1208396</v>
      </c>
      <c r="R22" s="821">
        <f t="shared" si="33"/>
        <v>-1208788</v>
      </c>
      <c r="S22" s="821">
        <f t="shared" si="33"/>
        <v>-1209180</v>
      </c>
      <c r="T22" s="821">
        <f t="shared" si="33"/>
        <v>-1209572</v>
      </c>
      <c r="U22" s="821">
        <f t="shared" si="33"/>
        <v>-1209964</v>
      </c>
      <c r="V22" s="821">
        <f t="shared" si="33"/>
        <v>-1210356</v>
      </c>
      <c r="W22" s="821">
        <f t="shared" si="33"/>
        <v>-1210748</v>
      </c>
      <c r="X22" s="821">
        <f t="shared" si="33"/>
        <v>-1211140</v>
      </c>
      <c r="Y22" s="821">
        <f t="shared" si="33"/>
        <v>-1211532</v>
      </c>
      <c r="Z22" s="821">
        <f t="shared" si="33"/>
        <v>-1211924</v>
      </c>
      <c r="AA22" s="821">
        <f t="shared" si="33"/>
        <v>-1212316</v>
      </c>
      <c r="AB22" s="821">
        <f t="shared" si="33"/>
        <v>-1212708</v>
      </c>
      <c r="AC22" s="821">
        <f t="shared" si="33"/>
        <v>-1213100</v>
      </c>
      <c r="AD22" s="821">
        <f t="shared" si="33"/>
        <v>-1213492</v>
      </c>
      <c r="AE22" s="821">
        <f t="shared" si="33"/>
        <v>-1213884</v>
      </c>
      <c r="AF22" s="821">
        <f t="shared" si="33"/>
        <v>-1214276</v>
      </c>
      <c r="AG22" s="821">
        <f t="shared" si="33"/>
        <v>-1214668</v>
      </c>
      <c r="AH22" s="821">
        <f t="shared" si="33"/>
        <v>-1215060</v>
      </c>
      <c r="AI22" s="821">
        <f t="shared" si="33"/>
        <v>-1215452</v>
      </c>
      <c r="AJ22" s="821">
        <f t="shared" si="33"/>
        <v>-1215844</v>
      </c>
      <c r="AK22" s="821">
        <f t="shared" si="33"/>
        <v>-1216236</v>
      </c>
      <c r="AL22" s="821">
        <f t="shared" si="33"/>
        <v>-1216628</v>
      </c>
      <c r="AM22" s="821">
        <f t="shared" si="33"/>
        <v>-1303965</v>
      </c>
      <c r="AN22" s="821">
        <f>x.2m*x.2m-x.3m*x.3m</f>
        <v>-1217440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836">
        <f t="shared" si="14"/>
        <v>1</v>
      </c>
      <c r="AT22" s="853">
        <f t="shared" si="15"/>
        <v>30.14100000113249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836">
        <f t="shared" si="19"/>
        <v>0.51724137931034486</v>
      </c>
      <c r="AY22" s="853">
        <f t="shared" si="20"/>
        <v>29.817504647553996</v>
      </c>
      <c r="AZ22" s="827">
        <f t="shared" si="26"/>
        <v>29.979252324343243</v>
      </c>
      <c r="BA22" s="660">
        <f t="shared" si="21"/>
        <v>0.69429518159491033</v>
      </c>
      <c r="BB22" s="655">
        <v>43108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924">
        <f>1+[2]!Salcycl*Ksac</f>
        <v>1.0003323598481093</v>
      </c>
      <c r="BH22" s="1080">
        <f t="shared" si="22"/>
        <v>9.6087554489171847E-3</v>
      </c>
      <c r="BI22" s="11">
        <v>44204</v>
      </c>
      <c r="BJ22" s="801">
        <v>5.5245245216931594E-3</v>
      </c>
      <c r="BK22" s="801">
        <v>6.4681696490609215E-3</v>
      </c>
      <c r="BL22" s="801">
        <v>7.6051099590850983E-3</v>
      </c>
      <c r="BM22" s="801">
        <v>9.6086286291314944E-3</v>
      </c>
      <c r="BN22" s="801">
        <v>1.2958687445745005E-2</v>
      </c>
      <c r="BO22" s="802">
        <v>2.9240974008299576E-2</v>
      </c>
      <c r="BP22" s="801">
        <v>6.1870019545294135E-2</v>
      </c>
      <c r="BQ22" s="801">
        <v>0.10425563261091948</v>
      </c>
      <c r="BR22" s="801">
        <v>0.14268312540293324</v>
      </c>
      <c r="BS22" s="801">
        <v>0.17150944859618256</v>
      </c>
      <c r="BT22" s="801">
        <v>0.1967929011397497</v>
      </c>
      <c r="BW22" s="1136">
        <f>'2018'!R\Max</f>
        <v>0</v>
      </c>
      <c r="BX22" s="1134">
        <f>'2019'!R\Max</f>
        <v>0.19483553251971331</v>
      </c>
      <c r="BY22" s="1134">
        <f>'2020'!R\Max</f>
        <v>0.41595268532259289</v>
      </c>
      <c r="BZ22" s="1134">
        <f>'2021'!R\Max</f>
        <v>0.69429518159491033</v>
      </c>
      <c r="CA22" s="1134">
        <f>'2022'!R\Max</f>
        <v>0.19698904517809962</v>
      </c>
      <c r="CB22" s="1134">
        <f>'2023'!R\Max</f>
        <v>0.24932511169428642</v>
      </c>
      <c r="CC22" s="1134">
        <f>'2024'!R\Max</f>
        <v>0.24881031407590395</v>
      </c>
      <c r="CD22" s="1134">
        <f>'2025'!R\Max</f>
        <v>0.24814169255519133</v>
      </c>
      <c r="CE22" s="1134">
        <f>'2026'!R\Max</f>
        <v>0.25040926080339154</v>
      </c>
      <c r="CF22" s="1135">
        <f>'2027'!R\Max</f>
        <v>0.25035641453649971</v>
      </c>
    </row>
    <row r="23" spans="1:84" s="6" customFormat="1" ht="11.25" x14ac:dyDescent="0.2">
      <c r="A23" s="11">
        <v>43109</v>
      </c>
      <c r="B23" s="380">
        <f>'2023'!Maxi_hp</f>
        <v>27.858667670277544</v>
      </c>
      <c r="C23" s="85">
        <f>'2023'!An_max</f>
        <v>2020</v>
      </c>
      <c r="D23" s="1087" t="str">
        <f t="shared" si="7"/>
        <v/>
      </c>
      <c r="E23" s="835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836">
        <f t="shared" si="9"/>
        <v>0.9285714285714286</v>
      </c>
      <c r="J23" s="827">
        <f t="shared" si="27"/>
        <v>30.36532309709915</v>
      </c>
      <c r="L23" s="840" t="s">
        <v>228</v>
      </c>
      <c r="M23" s="821">
        <f t="shared" ref="M23:AM23" si="34">(y.1m-y.2m-b.m*(x.1m-x.2m))/D2x12</f>
        <v>6.0814449917878696E-2</v>
      </c>
      <c r="N23" s="821">
        <f>(y.1m-y.2m-b.m*(x.1m-x.2m))/D2x12</f>
        <v>2.1673234811159528E-2</v>
      </c>
      <c r="O23" s="821">
        <f t="shared" si="34"/>
        <v>3.0153061224492031E-2</v>
      </c>
      <c r="P23" s="821">
        <f t="shared" si="34"/>
        <v>2.5127551020416058E-3</v>
      </c>
      <c r="Q23" s="821">
        <f t="shared" si="34"/>
        <v>-1.0051020408164813E-2</v>
      </c>
      <c r="R23" s="821">
        <f t="shared" si="34"/>
        <v>-7.5382653061214907E-3</v>
      </c>
      <c r="S23" s="821">
        <f t="shared" si="34"/>
        <v>-1.5076530612242881E-2</v>
      </c>
      <c r="T23" s="821">
        <f t="shared" si="34"/>
        <v>-3.2665816326531108E-2</v>
      </c>
      <c r="U23" s="821">
        <f t="shared" si="34"/>
        <v>-2.0102040816325949E-2</v>
      </c>
      <c r="V23" s="821">
        <f t="shared" si="34"/>
        <v>-2.2614795918370512E-2</v>
      </c>
      <c r="W23" s="821">
        <f t="shared" si="34"/>
        <v>-1.5076530612244331E-2</v>
      </c>
      <c r="X23" s="821">
        <f t="shared" si="34"/>
        <v>-1.2563775510201297E-2</v>
      </c>
      <c r="Y23" s="821">
        <f t="shared" si="34"/>
        <v>-1.5076530612248231E-2</v>
      </c>
      <c r="Z23" s="821">
        <f t="shared" si="34"/>
        <v>-5.0255102040816175E-3</v>
      </c>
      <c r="AA23" s="821">
        <f t="shared" si="34"/>
        <v>-5.0255102040806772E-3</v>
      </c>
      <c r="AB23" s="821">
        <f t="shared" si="34"/>
        <v>2.8974469568456057E-16</v>
      </c>
      <c r="AC23" s="821">
        <f t="shared" si="34"/>
        <v>-2.5127551020402892E-3</v>
      </c>
      <c r="AD23" s="821">
        <f t="shared" si="34"/>
        <v>-4.375690329374715E-4</v>
      </c>
      <c r="AE23" s="821">
        <f t="shared" si="34"/>
        <v>-1.2111075784650493E-2</v>
      </c>
      <c r="AF23" s="821">
        <f t="shared" si="34"/>
        <v>-1.9694733168630105E-2</v>
      </c>
      <c r="AG23" s="821">
        <f t="shared" si="34"/>
        <v>-1.8011724054600116E-2</v>
      </c>
      <c r="AH23" s="821">
        <f t="shared" si="34"/>
        <v>-1.2563775510207162E-2</v>
      </c>
      <c r="AI23" s="821">
        <f t="shared" si="34"/>
        <v>-1.50765306122427E-2</v>
      </c>
      <c r="AJ23" s="821">
        <f t="shared" si="34"/>
        <v>2.0102040816327701E-2</v>
      </c>
      <c r="AK23" s="821">
        <f t="shared" si="34"/>
        <v>3.0153061224484183E-2</v>
      </c>
      <c r="AL23" s="821">
        <f t="shared" si="34"/>
        <v>7.2869897959160185E-2</v>
      </c>
      <c r="AM23" s="821">
        <f t="shared" si="34"/>
        <v>6.081444991790156E-2</v>
      </c>
      <c r="AN23" s="821">
        <f>(y.1m-y.2m-b.m*(x.1m-x.2m))/D2x12</f>
        <v>2.1673234811166876E-2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836">
        <f t="shared" si="14"/>
        <v>0.9642857142857143</v>
      </c>
      <c r="AT23" s="853">
        <f t="shared" si="15"/>
        <v>30.349014029991149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836">
        <f t="shared" si="19"/>
        <v>0.55172413793103448</v>
      </c>
      <c r="AY23" s="853">
        <f t="shared" si="20"/>
        <v>30.069385919642862</v>
      </c>
      <c r="AZ23" s="827">
        <f t="shared" si="26"/>
        <v>30.209199974817004</v>
      </c>
      <c r="BA23" s="660">
        <f t="shared" si="21"/>
        <v>0.91745006569480336</v>
      </c>
      <c r="BB23" s="655">
        <v>43109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924">
        <f>1+[2]!Salcycl*Ksac</f>
        <v>1.000304213235335</v>
      </c>
      <c r="BH23" s="1080">
        <f t="shared" si="22"/>
        <v>9.0542189641466715E-3</v>
      </c>
      <c r="BI23" s="11">
        <v>44205</v>
      </c>
      <c r="BJ23" s="801">
        <v>5.0300784437656261E-3</v>
      </c>
      <c r="BK23" s="801">
        <v>5.9481655635314499E-3</v>
      </c>
      <c r="BL23" s="801">
        <v>7.0580199024686194E-3</v>
      </c>
      <c r="BM23" s="801">
        <v>9.0540914330263077E-3</v>
      </c>
      <c r="BN23" s="801">
        <v>1.2422940795474832E-2</v>
      </c>
      <c r="BO23" s="802">
        <v>2.8140537086992101E-2</v>
      </c>
      <c r="BP23" s="801">
        <v>6.1192126781501044E-2</v>
      </c>
      <c r="BQ23" s="801">
        <v>0.10417320500148902</v>
      </c>
      <c r="BR23" s="801">
        <v>0.14394436122271562</v>
      </c>
      <c r="BS23" s="801">
        <v>0.1732459600396882</v>
      </c>
      <c r="BT23" s="801">
        <v>0.19894245243529912</v>
      </c>
      <c r="BW23" s="1136">
        <f>'2018'!R\Max</f>
        <v>0</v>
      </c>
      <c r="BX23" s="1134">
        <f>'2019'!R\Max</f>
        <v>0.29434792678533478</v>
      </c>
      <c r="BY23" s="1134">
        <f>'2020'!R\Max</f>
        <v>0.91745006569480336</v>
      </c>
      <c r="BZ23" s="1134">
        <f>'2021'!R\Max</f>
        <v>0.19549506868038977</v>
      </c>
      <c r="CA23" s="1134">
        <f>'2022'!R\Max</f>
        <v>5.8146174981703609E-2</v>
      </c>
      <c r="CB23" s="1134">
        <f>'2023'!R\Max</f>
        <v>0.25048107875936237</v>
      </c>
      <c r="CC23" s="1134">
        <f>'2024'!R\Max</f>
        <v>0.24996128883971244</v>
      </c>
      <c r="CD23" s="1134">
        <f>'2025'!R\Max</f>
        <v>0.24928546727623607</v>
      </c>
      <c r="CE23" s="1134">
        <f>'2026'!R\Max</f>
        <v>0.25155095673795846</v>
      </c>
      <c r="CF23" s="1135">
        <f>'2027'!R\Max</f>
        <v>0.25149798596250245</v>
      </c>
    </row>
    <row r="24" spans="1:84" s="6" customFormat="1" ht="11.25" x14ac:dyDescent="0.2">
      <c r="A24" s="11">
        <v>43110</v>
      </c>
      <c r="B24" s="380">
        <f>'2023'!Maxi_hp</f>
        <v>26.245078874612297</v>
      </c>
      <c r="C24" s="85">
        <f>'2023'!An_max</f>
        <v>2023</v>
      </c>
      <c r="D24" s="1087" t="str">
        <f t="shared" si="7"/>
        <v/>
      </c>
      <c r="E24" s="835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836">
        <f t="shared" si="9"/>
        <v>0.8571428571428571</v>
      </c>
      <c r="J24" s="827">
        <f t="shared" si="27"/>
        <v>30.592648296058179</v>
      </c>
      <c r="L24" s="840" t="s">
        <v>229</v>
      </c>
      <c r="M24" s="821">
        <f t="shared" ref="M24:AM24" si="35">(y.2m-y.3m-(y.1m-y.2m)*D2x23/D2x12)/(x.2m-x.3m)/(1-(x.2m+x.3m)/(x.1m+x.2m))</f>
        <v>-5240.3620640377285</v>
      </c>
      <c r="N24" s="821">
        <f>(y.2m-y.3m-(y.1m-y.2m)*D2x23/D2x12)/(x.2m-x.3m)/(1-(x.2m+x.3m)/(x.1m+x.2m))</f>
        <v>-1866.350180623429</v>
      </c>
      <c r="O24" s="821">
        <f t="shared" si="35"/>
        <v>-2597.5656122450905</v>
      </c>
      <c r="P24" s="821">
        <f t="shared" si="35"/>
        <v>-213.36808673476202</v>
      </c>
      <c r="Q24" s="821">
        <f t="shared" si="35"/>
        <v>870.7098469389091</v>
      </c>
      <c r="R24" s="821">
        <f t="shared" si="35"/>
        <v>653.82390306114189</v>
      </c>
      <c r="S24" s="821">
        <f t="shared" si="35"/>
        <v>1304.6928061222748</v>
      </c>
      <c r="T24" s="821">
        <f t="shared" si="35"/>
        <v>2823.8794132653488</v>
      </c>
      <c r="U24" s="821">
        <f t="shared" si="35"/>
        <v>1738.3943367346435</v>
      </c>
      <c r="V24" s="821">
        <f t="shared" si="35"/>
        <v>1955.561709183947</v>
      </c>
      <c r="W24" s="821">
        <f t="shared" si="35"/>
        <v>1303.8485204081142</v>
      </c>
      <c r="X24" s="821">
        <f t="shared" si="35"/>
        <v>1086.5404336732286</v>
      </c>
      <c r="Y24" s="821">
        <f t="shared" si="35"/>
        <v>1303.9188775513087</v>
      </c>
      <c r="Z24" s="821">
        <f t="shared" si="35"/>
        <v>434.12367346938646</v>
      </c>
      <c r="AA24" s="821">
        <f t="shared" si="35"/>
        <v>434.12367346930506</v>
      </c>
      <c r="AB24" s="821">
        <f t="shared" si="35"/>
        <v>-1.0553571428822395</v>
      </c>
      <c r="AC24" s="821">
        <f t="shared" si="35"/>
        <v>216.60451530607679</v>
      </c>
      <c r="AD24" s="821">
        <f t="shared" si="35"/>
        <v>36.789642418317619</v>
      </c>
      <c r="AE24" s="821">
        <f t="shared" si="35"/>
        <v>1048.6258606432989</v>
      </c>
      <c r="AF24" s="821">
        <f t="shared" si="35"/>
        <v>1706.1744577786355</v>
      </c>
      <c r="AG24" s="821">
        <f t="shared" si="35"/>
        <v>1560.2003452823581</v>
      </c>
      <c r="AH24" s="821">
        <f t="shared" si="35"/>
        <v>1087.5254336737366</v>
      </c>
      <c r="AI24" s="821">
        <f t="shared" si="35"/>
        <v>1305.6074489794012</v>
      </c>
      <c r="AJ24" s="821">
        <f t="shared" si="35"/>
        <v>-1748.525765306224</v>
      </c>
      <c r="AK24" s="821">
        <f t="shared" si="35"/>
        <v>-2621.4166836729819</v>
      </c>
      <c r="AL24" s="821">
        <f t="shared" si="35"/>
        <v>-6332.3991581612245</v>
      </c>
      <c r="AM24" s="821">
        <f t="shared" si="35"/>
        <v>-5284.7566124797668</v>
      </c>
      <c r="AN24" s="821">
        <f>(y.2m-y.3m-(y.1m-y.2m)*D2x23/D2x12)/(x.2m-x.3m)/(1-(x.2m+x.3m)/(x.1m+x.2m))</f>
        <v>-1882.1716420362145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836">
        <f t="shared" si="14"/>
        <v>0.9285714285714286</v>
      </c>
      <c r="AT24" s="853">
        <f t="shared" si="15"/>
        <v>30.568539081966243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836">
        <f t="shared" si="19"/>
        <v>0.58620689655172409</v>
      </c>
      <c r="AY24" s="853">
        <f t="shared" si="20"/>
        <v>30.32777159697023</v>
      </c>
      <c r="AZ24" s="827">
        <f t="shared" si="26"/>
        <v>30.448155339468236</v>
      </c>
      <c r="BA24" s="660">
        <f t="shared" si="21"/>
        <v>0.85788842537028542</v>
      </c>
      <c r="BB24" s="655">
        <v>43110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924">
        <f>1+[2]!Salcycl*Ksac</f>
        <v>1.0002772714946573</v>
      </c>
      <c r="BH24" s="1080">
        <f t="shared" si="22"/>
        <v>8.5265748514564959E-3</v>
      </c>
      <c r="BI24" s="1082">
        <v>44206</v>
      </c>
      <c r="BJ24" s="801">
        <v>4.5576343572666213E-3</v>
      </c>
      <c r="BK24" s="801">
        <v>5.4524486120592431E-3</v>
      </c>
      <c r="BL24" s="801">
        <v>6.5376899962019501E-3</v>
      </c>
      <c r="BM24" s="801">
        <v>8.5264466263598026E-3</v>
      </c>
      <c r="BN24" s="801">
        <v>1.1913627998321139E-2</v>
      </c>
      <c r="BO24" s="802">
        <v>2.7004446567575936E-2</v>
      </c>
      <c r="BP24" s="801">
        <v>6.0401269161115968E-2</v>
      </c>
      <c r="BQ24" s="801">
        <v>0.10399357141779413</v>
      </c>
      <c r="BR24" s="801">
        <v>0.14519451667348929</v>
      </c>
      <c r="BS24" s="801">
        <v>0.17508153450261407</v>
      </c>
      <c r="BT24" s="801">
        <v>0.2012151184822234</v>
      </c>
      <c r="BW24" s="1136">
        <f>'2018'!R\Max</f>
        <v>0</v>
      </c>
      <c r="BX24" s="1134">
        <f>'2019'!R\Max</f>
        <v>0.35377590601962383</v>
      </c>
      <c r="BY24" s="1134">
        <f>'2020'!R\Max</f>
        <v>0.29013712012368625</v>
      </c>
      <c r="BZ24" s="1134">
        <f>'2021'!R\Max</f>
        <v>0.20622519284775351</v>
      </c>
      <c r="CA24" s="1134">
        <f>'2022'!R\Max</f>
        <v>5.3411912289260337E-2</v>
      </c>
      <c r="CB24" s="1134">
        <f>'2023'!R\Max</f>
        <v>0.85788842537028542</v>
      </c>
      <c r="CC24" s="1134">
        <f>'2024'!R\Max</f>
        <v>0.85752616873439147</v>
      </c>
      <c r="CD24" s="1134">
        <f>'2025'!R\Max</f>
        <v>0.85705160784822687</v>
      </c>
      <c r="CE24" s="1134">
        <f>'2026'!R\Max</f>
        <v>0.85861308804003178</v>
      </c>
      <c r="CF24" s="1135">
        <f>'2027'!R\Max</f>
        <v>0.85857665320816967</v>
      </c>
    </row>
    <row r="25" spans="1:84" s="6" customFormat="1" ht="11.25" x14ac:dyDescent="0.2">
      <c r="A25" s="11">
        <v>43111</v>
      </c>
      <c r="B25" s="380">
        <f>'2023'!Maxi_hp</f>
        <v>30.384642936610089</v>
      </c>
      <c r="C25" s="85">
        <f>'2023'!An_max</f>
        <v>2022</v>
      </c>
      <c r="D25" s="1087">
        <f t="shared" si="7"/>
        <v>0.98576740561199583</v>
      </c>
      <c r="E25" s="835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836">
        <f t="shared" si="9"/>
        <v>0.7857142857142857</v>
      </c>
      <c r="J25" s="827">
        <f t="shared" si="27"/>
        <v>30.823339018544981</v>
      </c>
      <c r="L25" s="840" t="s">
        <v>230</v>
      </c>
      <c r="M25" s="821">
        <f t="shared" ref="M25:AM25" si="36">(y.1m+y.2m+y.3m-a.m*(x.3m*x.3m+x.2m*x.2m+x.1m*x.1m)-b.m*(x.3m+x.2m+x.1m))/3</f>
        <v>112890357.41779959</v>
      </c>
      <c r="N25" s="821">
        <f>(y.1m+y.2m+y.3m-a.m*(x.3m*x.3m+x.2m*x.2m+x.1m*x.1m)-b.m*(x.3m+x.2m+x.1m))/3</f>
        <v>40179560.028943919</v>
      </c>
      <c r="O25" s="821">
        <f t="shared" si="36"/>
        <v>55942736.28061638</v>
      </c>
      <c r="P25" s="821">
        <f t="shared" si="36"/>
        <v>4528710.0961239198</v>
      </c>
      <c r="Q25" s="821">
        <f t="shared" si="36"/>
        <v>-18856476.434492674</v>
      </c>
      <c r="R25" s="821">
        <f t="shared" si="36"/>
        <v>-14176403.217651283</v>
      </c>
      <c r="S25" s="821">
        <f t="shared" si="36"/>
        <v>-28225733.555302355</v>
      </c>
      <c r="T25" s="821">
        <f t="shared" si="36"/>
        <v>-61028769.508164175</v>
      </c>
      <c r="U25" s="821">
        <f t="shared" si="36"/>
        <v>-37582835.213264212</v>
      </c>
      <c r="V25" s="821">
        <f t="shared" si="36"/>
        <v>-42275061.922965087</v>
      </c>
      <c r="W25" s="821">
        <f t="shared" si="36"/>
        <v>-28189259.286733627</v>
      </c>
      <c r="X25" s="821">
        <f t="shared" si="36"/>
        <v>-23490949.920607034</v>
      </c>
      <c r="Y25" s="821">
        <f t="shared" si="36"/>
        <v>-28192302.092455212</v>
      </c>
      <c r="Z25" s="821">
        <f t="shared" si="36"/>
        <v>-9374718.2422448713</v>
      </c>
      <c r="AA25" s="821">
        <f t="shared" si="36"/>
        <v>-9374718.2422431074</v>
      </c>
      <c r="AB25" s="821">
        <f t="shared" si="36"/>
        <v>46254.75571482916</v>
      </c>
      <c r="AC25" s="821">
        <f t="shared" si="36"/>
        <v>-4667278.4889786039</v>
      </c>
      <c r="AD25" s="821">
        <f t="shared" si="36"/>
        <v>-772038.90673163708</v>
      </c>
      <c r="AE25" s="821">
        <f t="shared" si="36"/>
        <v>-22698023.265556037</v>
      </c>
      <c r="AF25" s="821">
        <f t="shared" si="36"/>
        <v>-36951375.059760951</v>
      </c>
      <c r="AG25" s="821">
        <f t="shared" si="36"/>
        <v>-33786145.473915361</v>
      </c>
      <c r="AH25" s="821">
        <f t="shared" si="36"/>
        <v>-23533590.570618045</v>
      </c>
      <c r="AI25" s="821">
        <f t="shared" si="36"/>
        <v>-28265424.974587709</v>
      </c>
      <c r="AJ25" s="821">
        <f t="shared" si="36"/>
        <v>38023007.651124649</v>
      </c>
      <c r="AK25" s="821">
        <f t="shared" si="36"/>
        <v>56974778.332744516</v>
      </c>
      <c r="AL25" s="821">
        <f t="shared" si="36"/>
        <v>137571749.11179242</v>
      </c>
      <c r="AM25" s="821">
        <f t="shared" si="36"/>
        <v>114811191.57630683</v>
      </c>
      <c r="AN25" s="821">
        <f>(y.1m+y.2m+y.3m-a.m*(x.3m*x.3m+x.2m*x.2m+x.1m*x.1m)-b.m*(x.3m+x.2m+x.1m))/3</f>
        <v>40863665.261593089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836">
        <f t="shared" si="14"/>
        <v>0.8928571428571429</v>
      </c>
      <c r="AT25" s="853">
        <f>((1-AS25)*(INDEX(a.lg,AP25)*$A25*$A25+INDEX(b.lg,AP25)*$A25+INDEX(c.lg,AP25))+AS25*(INDEX(a.lg,AQ25)*$A25*$A25+INDEX(b.lg,AQ25)*$A25+INDEX(c.lg,AQ25)))/10</f>
        <v>30.798994706098789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836">
        <f t="shared" si="19"/>
        <v>0.62068965517241381</v>
      </c>
      <c r="AY25" s="853">
        <f t="shared" si="20"/>
        <v>30.591978322637495</v>
      </c>
      <c r="AZ25" s="827">
        <f t="shared" si="26"/>
        <v>30.695486514368142</v>
      </c>
      <c r="BA25" s="660">
        <f t="shared" si="21"/>
        <v>0.98576740561199583</v>
      </c>
      <c r="BB25" s="655">
        <v>43111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924">
        <f>1+[2]!Salcycl*Ksac</f>
        <v>1.0002514843480341</v>
      </c>
      <c r="BH25" s="1080">
        <f t="shared" si="22"/>
        <v>8.0547800050459941E-3</v>
      </c>
      <c r="BI25" s="11">
        <v>44207</v>
      </c>
      <c r="BJ25" s="801">
        <v>4.1320726907236264E-3</v>
      </c>
      <c r="BK25" s="801">
        <v>5.0075210535336021E-3</v>
      </c>
      <c r="BL25" s="801">
        <v>6.0722059867598212E-3</v>
      </c>
      <c r="BM25" s="801">
        <v>8.0546511612444097E-3</v>
      </c>
      <c r="BN25" s="801">
        <v>1.1458176179960153E-2</v>
      </c>
      <c r="BO25" s="802">
        <v>2.5886347418873301E-2</v>
      </c>
      <c r="BP25" s="801">
        <v>5.9537789407732404E-2</v>
      </c>
      <c r="BQ25" s="801">
        <v>0.10373994868774961</v>
      </c>
      <c r="BR25" s="801">
        <v>0.14640644528220612</v>
      </c>
      <c r="BS25" s="801">
        <v>0.17697419839372572</v>
      </c>
      <c r="BT25" s="801">
        <v>0.20355569165284632</v>
      </c>
      <c r="BW25" s="1136">
        <f>'2018'!R\Max</f>
        <v>0</v>
      </c>
      <c r="BX25" s="1134">
        <f>'2019'!R\Max</f>
        <v>0.93898230185671927</v>
      </c>
      <c r="BY25" s="1134">
        <f>'2020'!R\Max</f>
        <v>0.97902544310300832</v>
      </c>
      <c r="BZ25" s="1134">
        <f>'2021'!R\Max</f>
        <v>0.18507538818954117</v>
      </c>
      <c r="CA25" s="1134">
        <f>'2022'!R\Max</f>
        <v>0.98576740561199583</v>
      </c>
      <c r="CB25" s="1134">
        <f>'2023'!R\Max</f>
        <v>0.17133488598870505</v>
      </c>
      <c r="CC25" s="1134">
        <f>'2024'!R\Max</f>
        <v>0.17097855889397515</v>
      </c>
      <c r="CD25" s="1134">
        <f>'2025'!R\Max</f>
        <v>0.17051062787911922</v>
      </c>
      <c r="CE25" s="1134">
        <f>'2026'!R\Max</f>
        <v>0.17203468551322301</v>
      </c>
      <c r="CF25" s="1135">
        <f>'2027'!R\Max</f>
        <v>0.17199865526171412</v>
      </c>
    </row>
    <row r="26" spans="1:84" s="6" customFormat="1" ht="11.25" x14ac:dyDescent="0.2">
      <c r="A26" s="11">
        <v>43112</v>
      </c>
      <c r="B26" s="380">
        <f>'2023'!Maxi_hp</f>
        <v>30.267889314428743</v>
      </c>
      <c r="C26" s="85">
        <f>'2023'!An_max</f>
        <v>2020</v>
      </c>
      <c r="D26" s="1087">
        <f t="shared" si="7"/>
        <v>0.97456772779860557</v>
      </c>
      <c r="E26" s="835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836">
        <f t="shared" si="9"/>
        <v>0.7142857142857143</v>
      </c>
      <c r="J26" s="827">
        <f t="shared" si="27"/>
        <v>31.057758687330146</v>
      </c>
      <c r="L26" s="10"/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836">
        <f t="shared" si="14"/>
        <v>0.8571428571428571</v>
      </c>
      <c r="AT26" s="853">
        <f>((1-AS26)*(INDEX(a.lg,AP26)*$A26*$A26+INDEX(b.lg,AP26)*$A26+INDEX(c.lg,AP26))+AS26*(INDEX(a.lg,AQ26)*$A26*$A26+INDEX(b.lg,AQ26)*$A26+INDEX(c.lg,AQ26)))/10</f>
        <v>31.039800449327696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836">
        <f t="shared" si="19"/>
        <v>0.65517241379310343</v>
      </c>
      <c r="AY26" s="853">
        <f t="shared" si="20"/>
        <v>30.861322731447633</v>
      </c>
      <c r="AZ26" s="827">
        <f t="shared" si="26"/>
        <v>30.950561590387665</v>
      </c>
      <c r="BA26" s="660">
        <f t="shared" si="21"/>
        <v>0.97456772779860557</v>
      </c>
      <c r="BB26" s="655">
        <v>43112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924">
        <f>1+[2]!Salcycl*Ksac</f>
        <v>1.0002268209598479</v>
      </c>
      <c r="BH26" s="1080">
        <f t="shared" si="22"/>
        <v>7.6389086461766467E-3</v>
      </c>
      <c r="BI26" s="11">
        <v>44208</v>
      </c>
      <c r="BJ26" s="801">
        <v>3.7534637105510172E-3</v>
      </c>
      <c r="BK26" s="801">
        <v>4.6134569278275797E-3</v>
      </c>
      <c r="BL26" s="801">
        <v>5.6616454631426777E-3</v>
      </c>
      <c r="BM26" s="801">
        <v>7.638779259390484E-3</v>
      </c>
      <c r="BN26" s="801">
        <v>1.1056647704608111E-2</v>
      </c>
      <c r="BO26" s="802">
        <v>2.4786250443026736E-2</v>
      </c>
      <c r="BP26" s="801">
        <v>5.860148486267136E-2</v>
      </c>
      <c r="BQ26" s="801">
        <v>0.10341199322671153</v>
      </c>
      <c r="BR26" s="801">
        <v>0.14757967443409717</v>
      </c>
      <c r="BS26" s="801">
        <v>0.17892349416831588</v>
      </c>
      <c r="BT26" s="801">
        <v>0.20596364092994834</v>
      </c>
      <c r="BW26" s="1136">
        <f>'2018'!R\Max</f>
        <v>0</v>
      </c>
      <c r="BX26" s="1134">
        <f>'2019'!R\Max</f>
        <v>0.26897074176535524</v>
      </c>
      <c r="BY26" s="1134">
        <f>'2020'!R\Max</f>
        <v>0.97456772779860557</v>
      </c>
      <c r="BZ26" s="1134">
        <f>'2021'!R\Max</f>
        <v>0.45032495210372803</v>
      </c>
      <c r="CA26" s="1134">
        <f>'2022'!R\Max</f>
        <v>0.7930351917057854</v>
      </c>
      <c r="CB26" s="1134">
        <f>'2023'!R\Max</f>
        <v>0.82055259901586963</v>
      </c>
      <c r="CC26" s="1134">
        <f>'2024'!R\Max</f>
        <v>0.82011659412618754</v>
      </c>
      <c r="CD26" s="1134">
        <f>'2025'!R\Max</f>
        <v>0.81953690387953826</v>
      </c>
      <c r="CE26" s="1134">
        <f>'2026'!R\Max</f>
        <v>0.82138527746902745</v>
      </c>
      <c r="CF26" s="1135">
        <f>'2027'!R\Max</f>
        <v>0.82134154124518199</v>
      </c>
    </row>
    <row r="27" spans="1:84" s="6" customFormat="1" ht="11.25" x14ac:dyDescent="0.2">
      <c r="A27" s="11">
        <v>43113</v>
      </c>
      <c r="B27" s="380">
        <f>'2023'!Maxi_hp</f>
        <v>17.075177344016367</v>
      </c>
      <c r="C27" s="85">
        <f>'2023'!An_max</f>
        <v>2020</v>
      </c>
      <c r="D27" s="1087" t="str">
        <f t="shared" si="7"/>
        <v/>
      </c>
      <c r="E27" s="835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836">
        <f t="shared" si="9"/>
        <v>0.6428571428571429</v>
      </c>
      <c r="J27" s="827">
        <f t="shared" si="27"/>
        <v>31.296270721671835</v>
      </c>
      <c r="L27" s="10"/>
      <c r="M27" s="6" t="s">
        <v>240</v>
      </c>
      <c r="AC27" s="69"/>
      <c r="AE27" s="69"/>
      <c r="AG27" s="69"/>
      <c r="AI27" s="69"/>
      <c r="AK27" s="69"/>
      <c r="AM27" s="69"/>
      <c r="AO27" s="175"/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836">
        <f t="shared" si="14"/>
        <v>0.8214285714285714</v>
      </c>
      <c r="AT27" s="853">
        <f>((1-AS27)*(INDEX(a.lg,AP27)*$A27*$A27+INDEX(b.lg,AP27)*$A27+INDEX(c.lg,AP27))+AS27*(INDEX(a.lg,AQ27)*$A27*$A27+INDEX(b.lg,AQ27)*$A27+INDEX(c.lg,AQ27)))/10</f>
        <v>31.290375860793784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836">
        <f t="shared" si="19"/>
        <v>0.68965517241379315</v>
      </c>
      <c r="AY27" s="853">
        <f t="shared" si="20"/>
        <v>31.135121462776745</v>
      </c>
      <c r="AZ27" s="827">
        <f t="shared" si="26"/>
        <v>31.212748661785263</v>
      </c>
      <c r="BA27" s="660">
        <f t="shared" si="21"/>
        <v>0.54559782844005955</v>
      </c>
      <c r="BB27" s="655">
        <v>43113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924">
        <f>1+[2]!Salcycl*Ksac</f>
        <v>1.0002032678608435</v>
      </c>
      <c r="BH27" s="1080">
        <f t="shared" si="22"/>
        <v>7.279033822614839E-3</v>
      </c>
      <c r="BI27" s="11">
        <v>44209</v>
      </c>
      <c r="BJ27" s="801">
        <v>3.421876988041311E-3</v>
      </c>
      <c r="BK27" s="801">
        <v>4.2703293610590757E-3</v>
      </c>
      <c r="BL27" s="801">
        <v>5.3060848785625976E-3</v>
      </c>
      <c r="BM27" s="801">
        <v>7.2789039690111385E-3</v>
      </c>
      <c r="BN27" s="801">
        <v>1.0709103819757523E-2</v>
      </c>
      <c r="BO27" s="802">
        <v>2.3704175864327198E-2</v>
      </c>
      <c r="BP27" s="801">
        <v>5.7592169472596301E-2</v>
      </c>
      <c r="BQ27" s="801">
        <v>0.10300937218110995</v>
      </c>
      <c r="BR27" s="801">
        <v>0.14871372378944744</v>
      </c>
      <c r="BS27" s="801">
        <v>0.18092893962952683</v>
      </c>
      <c r="BT27" s="801">
        <v>0.20843840505374642</v>
      </c>
      <c r="BW27" s="1136">
        <f>'2018'!R\Max</f>
        <v>0</v>
      </c>
      <c r="BX27" s="1134">
        <f>'2019'!R\Max</f>
        <v>0.10312440318117429</v>
      </c>
      <c r="BY27" s="1134">
        <f>'2020'!R\Max</f>
        <v>0.54559782844005955</v>
      </c>
      <c r="BZ27" s="1134">
        <f>'2021'!R\Max</f>
        <v>0.32543326478516044</v>
      </c>
      <c r="CA27" s="1134">
        <f>'2022'!R\Max</f>
        <v>0.18363341622384144</v>
      </c>
      <c r="CB27" s="1134">
        <f>'2023'!R\Max</f>
        <v>0.44919007994099064</v>
      </c>
      <c r="CC27" s="1134">
        <f>'2024'!R\Max</f>
        <v>0.44846252393450903</v>
      </c>
      <c r="CD27" s="1134">
        <f>'2025'!R\Max</f>
        <v>0.44748675282622452</v>
      </c>
      <c r="CE27" s="1134">
        <f>'2026'!R\Max</f>
        <v>0.45055140811057642</v>
      </c>
      <c r="CF27" s="1135">
        <f>'2027'!R\Max</f>
        <v>0.45047793882186432</v>
      </c>
    </row>
    <row r="28" spans="1:84" s="6" customFormat="1" ht="11.25" x14ac:dyDescent="0.2">
      <c r="A28" s="11">
        <v>43114</v>
      </c>
      <c r="B28" s="380">
        <f>'2023'!Maxi_hp</f>
        <v>31.541619457007879</v>
      </c>
      <c r="C28" s="85">
        <f>'2023'!An_max</f>
        <v>2022</v>
      </c>
      <c r="D28" s="1087">
        <f t="shared" si="7"/>
        <v>1.0000754905267712</v>
      </c>
      <c r="E28" s="835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836">
        <f t="shared" si="9"/>
        <v>0.5714285714285714</v>
      </c>
      <c r="J28" s="827">
        <f t="shared" si="27"/>
        <v>31.53923854327628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836">
        <f t="shared" si="14"/>
        <v>0.7857142857142857</v>
      </c>
      <c r="AT28" s="853">
        <f t="shared" si="15"/>
        <v>31.550140489478196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836">
        <f t="shared" si="19"/>
        <v>0.72413793103448276</v>
      </c>
      <c r="AY28" s="853">
        <f t="shared" si="20"/>
        <v>31.412691158030565</v>
      </c>
      <c r="AZ28" s="827">
        <f t="shared" si="26"/>
        <v>31.481415823754382</v>
      </c>
      <c r="BA28" s="660">
        <f t="shared" si="21"/>
        <v>1.0000754905267712</v>
      </c>
      <c r="BB28" s="655">
        <v>43114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924">
        <f>1+[2]!Salcycl*Ksac</f>
        <v>1.0001808268076406</v>
      </c>
      <c r="BH28" s="1080">
        <f t="shared" si="22"/>
        <v>6.9752259741662848E-3</v>
      </c>
      <c r="BI28" s="11">
        <v>44210</v>
      </c>
      <c r="BJ28" s="801">
        <v>3.1373801955196742E-3</v>
      </c>
      <c r="BK28" s="801">
        <v>3.9782092615899779E-3</v>
      </c>
      <c r="BL28" s="801">
        <v>5.0055981423854749E-3</v>
      </c>
      <c r="BM28" s="801">
        <v>6.9750957303547868E-3</v>
      </c>
      <c r="BN28" s="801">
        <v>1.0415603271392593E-2</v>
      </c>
      <c r="BO28" s="802">
        <v>2.2640152836458968E-2</v>
      </c>
      <c r="BP28" s="801">
        <v>5.6509675595080806E-2</v>
      </c>
      <c r="BQ28" s="801">
        <v>0.10253176526615987</v>
      </c>
      <c r="BR28" s="801">
        <v>0.1498081062289521</v>
      </c>
      <c r="BS28" s="801">
        <v>0.18299002645304949</v>
      </c>
      <c r="BT28" s="801">
        <v>0.21097939077166694</v>
      </c>
      <c r="BW28" s="1136">
        <f>'2018'!R\Max</f>
        <v>0</v>
      </c>
      <c r="BX28" s="1134">
        <f>'2019'!R\Max</f>
        <v>0.21785560218362265</v>
      </c>
      <c r="BY28" s="1134">
        <f>'2020'!R\Max</f>
        <v>0.92683853232836433</v>
      </c>
      <c r="BZ28" s="1134">
        <f>'2021'!R\Max</f>
        <v>0.34343606490087292</v>
      </c>
      <c r="CA28" s="1134">
        <f>'2022'!R\Max</f>
        <v>1.0000754905267712</v>
      </c>
      <c r="CB28" s="1134">
        <f>'2023'!R\Max</f>
        <v>0.63859727442331948</v>
      </c>
      <c r="CC28" s="1134">
        <f>'2024'!R\Max</f>
        <v>0.63792405339731484</v>
      </c>
      <c r="CD28" s="1134">
        <f>'2025'!R\Max</f>
        <v>0.63700748453616551</v>
      </c>
      <c r="CE28" s="1134">
        <f>'2026'!R\Max</f>
        <v>0.63982500293459166</v>
      </c>
      <c r="CF28" s="1135">
        <f>'2027'!R\Max</f>
        <v>0.63975694982348585</v>
      </c>
    </row>
    <row r="29" spans="1:84" s="6" customFormat="1" ht="11.25" x14ac:dyDescent="0.2">
      <c r="A29" s="11">
        <v>43115</v>
      </c>
      <c r="B29" s="380">
        <f>'2023'!Maxi_hp</f>
        <v>31.364833627737337</v>
      </c>
      <c r="C29" s="85">
        <f>'2023'!An_max</f>
        <v>2022</v>
      </c>
      <c r="D29" s="1087">
        <f t="shared" si="7"/>
        <v>0.98671810467138366</v>
      </c>
      <c r="E29" s="835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836">
        <f t="shared" si="9"/>
        <v>0.5</v>
      </c>
      <c r="J29" s="827">
        <f t="shared" si="27"/>
        <v>31.787025574222206</v>
      </c>
      <c r="L29" s="858">
        <f>AJ13</f>
        <v>335.88499999999999</v>
      </c>
      <c r="M29" s="858">
        <f>L13</f>
        <v>270.875</v>
      </c>
      <c r="N29" s="848">
        <f>N13</f>
        <v>301.40999999999997</v>
      </c>
      <c r="O29" s="848">
        <f>P13</f>
        <v>384.15</v>
      </c>
      <c r="P29" s="848">
        <f>R13</f>
        <v>476.74</v>
      </c>
      <c r="Q29" s="848">
        <f>T13</f>
        <v>553.56999999999994</v>
      </c>
      <c r="R29" s="848">
        <f>V13</f>
        <v>591</v>
      </c>
      <c r="S29" s="848">
        <f>X13</f>
        <v>596.91</v>
      </c>
      <c r="T29" s="848">
        <f>Z13</f>
        <v>581.15</v>
      </c>
      <c r="U29" s="848">
        <f>AB13</f>
        <v>553.56999999999994</v>
      </c>
      <c r="V29" s="848">
        <f>AD13</f>
        <v>523.03499999999997</v>
      </c>
      <c r="W29" s="848">
        <f>AF13</f>
        <v>486.42440417059532</v>
      </c>
      <c r="X29" s="848">
        <f>AH13</f>
        <v>422.565</v>
      </c>
      <c r="Y29" s="848">
        <f>AJ13</f>
        <v>335.88499999999999</v>
      </c>
      <c r="Z29" s="848">
        <f>AL13</f>
        <v>270.875</v>
      </c>
      <c r="AA29" s="856">
        <f>AN13</f>
        <v>301.40999999999997</v>
      </c>
      <c r="AB29" s="856">
        <f>P13</f>
        <v>384.15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836">
        <f t="shared" si="14"/>
        <v>0.75</v>
      </c>
      <c r="AT29" s="853">
        <f t="shared" si="15"/>
        <v>31.818513881927355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836">
        <f t="shared" si="19"/>
        <v>0.75862068965517238</v>
      </c>
      <c r="AY29" s="853">
        <f t="shared" si="20"/>
        <v>31.693348451164262</v>
      </c>
      <c r="AZ29" s="827">
        <f t="shared" si="26"/>
        <v>31.755931166545807</v>
      </c>
      <c r="BA29" s="660">
        <f t="shared" si="21"/>
        <v>0.98671810467138366</v>
      </c>
      <c r="BB29" s="655">
        <v>43115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924">
        <f>1+[2]!Salcycl*Ksac</f>
        <v>1.0001595126020331</v>
      </c>
      <c r="BH29" s="1080">
        <f t="shared" si="22"/>
        <v>6.7275514980935135E-3</v>
      </c>
      <c r="BI29" s="11">
        <v>44211</v>
      </c>
      <c r="BJ29" s="801">
        <v>2.900037902446998E-3</v>
      </c>
      <c r="BK29" s="801">
        <v>3.7371640159595235E-3</v>
      </c>
      <c r="BL29" s="801">
        <v>4.76025521198996E-3</v>
      </c>
      <c r="BM29" s="801">
        <v>6.727420941120746E-3</v>
      </c>
      <c r="BN29" s="801">
        <v>1.017620091902866E-2</v>
      </c>
      <c r="BO29" s="802">
        <v>2.1594218949364325E-2</v>
      </c>
      <c r="BP29" s="801">
        <v>5.5353855803216008E-2</v>
      </c>
      <c r="BQ29" s="801">
        <v>0.10197886660182016</v>
      </c>
      <c r="BR29" s="801">
        <v>0.15086232879650172</v>
      </c>
      <c r="BS29" s="801">
        <v>0.18510621870867663</v>
      </c>
      <c r="BT29" s="801">
        <v>0.21358597108449093</v>
      </c>
      <c r="BW29" s="1136">
        <f>'2018'!R\Max</f>
        <v>0</v>
      </c>
      <c r="BX29" s="1134">
        <f>'2019'!R\Max</f>
        <v>0.9829119225457682</v>
      </c>
      <c r="BY29" s="1134">
        <f>'2020'!R\Max</f>
        <v>0.76156827437243435</v>
      </c>
      <c r="BZ29" s="1134">
        <f>'2021'!R\Max</f>
        <v>0.54631966381071706</v>
      </c>
      <c r="CA29" s="1134">
        <f>'2022'!R\Max</f>
        <v>0.98671810467138366</v>
      </c>
      <c r="CB29" s="1134">
        <f>'2023'!R\Max</f>
        <v>0.22490475533245596</v>
      </c>
      <c r="CC29" s="1134">
        <f>'2024'!R\Max</f>
        <v>0.22445042689351041</v>
      </c>
      <c r="CD29" s="1134">
        <f>'2025'!R\Max</f>
        <v>0.22382323667033402</v>
      </c>
      <c r="CE29" s="1134">
        <f>'2026'!R\Max</f>
        <v>0.22571525252610439</v>
      </c>
      <c r="CF29" s="1135">
        <f>'2027'!R\Max</f>
        <v>0.22566886023477878</v>
      </c>
    </row>
    <row r="30" spans="1:84" s="6" customFormat="1" ht="11.25" x14ac:dyDescent="0.2">
      <c r="A30" s="11">
        <v>43116</v>
      </c>
      <c r="B30" s="380">
        <f>'2023'!Maxi_hp</f>
        <v>32.204114318448951</v>
      </c>
      <c r="C30" s="85">
        <f>'2023'!An_max</f>
        <v>2019</v>
      </c>
      <c r="D30" s="1087">
        <f t="shared" si="7"/>
        <v>1.005122319245128</v>
      </c>
      <c r="E30" s="835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836">
        <f t="shared" si="9"/>
        <v>0.42857142857142855</v>
      </c>
      <c r="J30" s="827">
        <f t="shared" si="27"/>
        <v>32.03999523424676</v>
      </c>
      <c r="L30" s="838" t="s">
        <v>220</v>
      </c>
      <c r="M30" s="868">
        <f t="shared" ref="M30:AA30" si="37">L28</f>
        <v>43051</v>
      </c>
      <c r="N30" s="869">
        <f t="shared" si="37"/>
        <v>43079</v>
      </c>
      <c r="O30" s="817">
        <f t="shared" si="37"/>
        <v>43108</v>
      </c>
      <c r="P30" s="817">
        <f t="shared" si="37"/>
        <v>43136</v>
      </c>
      <c r="Q30" s="817">
        <f t="shared" si="37"/>
        <v>43164</v>
      </c>
      <c r="R30" s="817">
        <f t="shared" si="37"/>
        <v>43192</v>
      </c>
      <c r="S30" s="817">
        <f t="shared" si="37"/>
        <v>43220</v>
      </c>
      <c r="T30" s="817">
        <f t="shared" si="37"/>
        <v>43248</v>
      </c>
      <c r="U30" s="817">
        <f t="shared" si="37"/>
        <v>43276</v>
      </c>
      <c r="V30" s="817">
        <f t="shared" si="37"/>
        <v>43304</v>
      </c>
      <c r="W30" s="817">
        <f t="shared" si="37"/>
        <v>43332</v>
      </c>
      <c r="X30" s="817">
        <f t="shared" si="37"/>
        <v>43360</v>
      </c>
      <c r="Y30" s="817">
        <f t="shared" si="37"/>
        <v>43388</v>
      </c>
      <c r="Z30" s="817">
        <f t="shared" si="37"/>
        <v>43416</v>
      </c>
      <c r="AA30" s="861">
        <f t="shared" si="37"/>
        <v>43444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836">
        <f t="shared" si="14"/>
        <v>0.7142857142857143</v>
      </c>
      <c r="AT30" s="853">
        <f t="shared" si="15"/>
        <v>32.094915588306527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836">
        <f t="shared" si="19"/>
        <v>0.7931034482758621</v>
      </c>
      <c r="AY30" s="853">
        <f t="shared" si="20"/>
        <v>31.976409987051937</v>
      </c>
      <c r="AZ30" s="827">
        <f t="shared" si="26"/>
        <v>32.035662787679229</v>
      </c>
      <c r="BA30" s="660">
        <f t="shared" si="21"/>
        <v>1.005122319245128</v>
      </c>
      <c r="BB30" s="655">
        <v>43116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924">
        <f>1+[2]!Salcycl*Ksac</f>
        <v>1.0001393508940681</v>
      </c>
      <c r="BH30" s="1080">
        <f t="shared" si="22"/>
        <v>6.5361002995900329E-3</v>
      </c>
      <c r="BI30" s="11">
        <v>44212</v>
      </c>
      <c r="BJ30" s="801">
        <v>2.712987292004585E-3</v>
      </c>
      <c r="BK30" s="801">
        <v>3.5497304309762383E-3</v>
      </c>
      <c r="BL30" s="801">
        <v>4.5717048068624607E-3</v>
      </c>
      <c r="BM30" s="801">
        <v>6.5359695331472815E-3</v>
      </c>
      <c r="BN30" s="801">
        <v>9.9902828492606059E-3</v>
      </c>
      <c r="BO30" s="802">
        <v>2.0607903265790987E-2</v>
      </c>
      <c r="BP30" s="801">
        <v>5.4093503798668036E-2</v>
      </c>
      <c r="BQ30" s="801">
        <v>0.10123985030151424</v>
      </c>
      <c r="BR30" s="801">
        <v>0.15170623787822643</v>
      </c>
      <c r="BS30" s="801">
        <v>0.18721759961367734</v>
      </c>
      <c r="BT30" s="801">
        <v>0.21636876529759552</v>
      </c>
      <c r="BW30" s="1136">
        <f>'2018'!R\Max</f>
        <v>0</v>
      </c>
      <c r="BX30" s="1134">
        <f>'2019'!R\Max</f>
        <v>1.005122319245128</v>
      </c>
      <c r="BY30" s="1134">
        <f>'2020'!R\Max</f>
        <v>0.93162359386429205</v>
      </c>
      <c r="BZ30" s="1134">
        <f>'2021'!R\Max</f>
        <v>0.62017239018598502</v>
      </c>
      <c r="CA30" s="1134">
        <f>'2022'!R\Max</f>
        <v>0.96826598298582089</v>
      </c>
      <c r="CB30" s="1134">
        <f>'2023'!R\Max</f>
        <v>0.11273389543155955</v>
      </c>
      <c r="CC30" s="1134">
        <f>'2024'!R\Max</f>
        <v>0.11250986989194392</v>
      </c>
      <c r="CD30" s="1134">
        <f>'2025'!R\Max</f>
        <v>0.11219461358359106</v>
      </c>
      <c r="CE30" s="1134">
        <f>'2026'!R\Max</f>
        <v>0.11312430677875425</v>
      </c>
      <c r="CF30" s="1135">
        <f>'2027'!R\Max</f>
        <v>0.11310120861432137</v>
      </c>
    </row>
    <row r="31" spans="1:84" s="6" customFormat="1" ht="11.25" x14ac:dyDescent="0.2">
      <c r="A31" s="11">
        <v>43117</v>
      </c>
      <c r="B31" s="380">
        <f>'2023'!Maxi_hp</f>
        <v>21.487958895001182</v>
      </c>
      <c r="C31" s="85">
        <f>'2023'!An_max</f>
        <v>2022</v>
      </c>
      <c r="D31" s="1087" t="str">
        <f t="shared" si="7"/>
        <v/>
      </c>
      <c r="E31" s="835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836">
        <f t="shared" si="9"/>
        <v>0.35714285714285715</v>
      </c>
      <c r="J31" s="827">
        <f t="shared" si="27"/>
        <v>32.298510944843294</v>
      </c>
      <c r="L31" s="839" t="s">
        <v>221</v>
      </c>
      <c r="M31" s="860">
        <f t="shared" ref="M31:AA31" si="38">L29</f>
        <v>335.88499999999999</v>
      </c>
      <c r="N31" s="864">
        <f t="shared" si="38"/>
        <v>270.875</v>
      </c>
      <c r="O31" s="823">
        <f t="shared" si="38"/>
        <v>301.40999999999997</v>
      </c>
      <c r="P31" s="823">
        <f t="shared" si="38"/>
        <v>384.15</v>
      </c>
      <c r="Q31" s="823">
        <f t="shared" si="38"/>
        <v>476.74</v>
      </c>
      <c r="R31" s="823">
        <f t="shared" si="38"/>
        <v>553.56999999999994</v>
      </c>
      <c r="S31" s="823">
        <f t="shared" si="38"/>
        <v>591</v>
      </c>
      <c r="T31" s="823">
        <f t="shared" si="38"/>
        <v>596.91</v>
      </c>
      <c r="U31" s="823">
        <f t="shared" si="38"/>
        <v>581.15</v>
      </c>
      <c r="V31" s="823">
        <f t="shared" si="38"/>
        <v>553.56999999999994</v>
      </c>
      <c r="W31" s="823">
        <f t="shared" si="38"/>
        <v>523.03499999999997</v>
      </c>
      <c r="X31" s="823">
        <f t="shared" si="38"/>
        <v>486.42440417059532</v>
      </c>
      <c r="Y31" s="823">
        <f t="shared" si="38"/>
        <v>422.565</v>
      </c>
      <c r="Z31" s="823">
        <f t="shared" si="38"/>
        <v>335.88499999999999</v>
      </c>
      <c r="AA31" s="862">
        <f t="shared" si="38"/>
        <v>270.875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836">
        <f t="shared" si="14"/>
        <v>0.6785714285714286</v>
      </c>
      <c r="AT31" s="853">
        <f t="shared" si="15"/>
        <v>32.37876515685182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836">
        <f t="shared" si="19"/>
        <v>0.82758620689655171</v>
      </c>
      <c r="AY31" s="853">
        <f t="shared" si="20"/>
        <v>32.261192399212</v>
      </c>
      <c r="AZ31" s="827">
        <f t="shared" si="26"/>
        <v>32.31997877803191</v>
      </c>
      <c r="BA31" s="660">
        <f t="shared" si="21"/>
        <v>0.6652925557991366</v>
      </c>
      <c r="BB31" s="655">
        <v>43117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924">
        <f>1+[2]!Salcycl*Ksac</f>
        <v>1.0001203759924562</v>
      </c>
      <c r="BH31" s="1080">
        <f t="shared" si="22"/>
        <v>6.3720256825254389E-3</v>
      </c>
      <c r="BI31" s="11">
        <v>44213</v>
      </c>
      <c r="BJ31" s="801">
        <v>2.5547228116979616E-3</v>
      </c>
      <c r="BK31" s="801">
        <v>3.391837389665437E-3</v>
      </c>
      <c r="BL31" s="801">
        <v>4.4133193691493671E-3</v>
      </c>
      <c r="BM31" s="801">
        <v>6.3718949031689428E-3</v>
      </c>
      <c r="BN31" s="801">
        <v>9.8265493474901881E-3</v>
      </c>
      <c r="BO31" s="802">
        <v>1.9706407365429036E-2</v>
      </c>
      <c r="BP31" s="801">
        <v>5.2766533757918212E-2</v>
      </c>
      <c r="BQ31" s="801">
        <v>0.10036236163196177</v>
      </c>
      <c r="BR31" s="801">
        <v>0.15233543227303251</v>
      </c>
      <c r="BS31" s="801">
        <v>0.18930906737555531</v>
      </c>
      <c r="BT31" s="801">
        <v>0.21930313960397679</v>
      </c>
      <c r="BW31" s="1136">
        <f>'2018'!R\Max</f>
        <v>0</v>
      </c>
      <c r="BX31" s="1134">
        <f>'2019'!R\Max</f>
        <v>0.28392458948609361</v>
      </c>
      <c r="BY31" s="1134">
        <f>'2020'!R\Max</f>
        <v>0.14844510028850857</v>
      </c>
      <c r="BZ31" s="1134">
        <f>'2021'!R\Max</f>
        <v>0.15991798015257241</v>
      </c>
      <c r="CA31" s="1134">
        <f>'2022'!R\Max</f>
        <v>0.6652925557991366</v>
      </c>
      <c r="CB31" s="1134">
        <f>'2023'!R\Max</f>
        <v>0.20264320184832907</v>
      </c>
      <c r="CC31" s="1134">
        <f>'2024'!R\Max</f>
        <v>0.20224892784593326</v>
      </c>
      <c r="CD31" s="1134">
        <f>'2025'!R\Max</f>
        <v>0.2016816434619392</v>
      </c>
      <c r="CE31" s="1134">
        <f>'2026'!R\Max</f>
        <v>0.20331646706123627</v>
      </c>
      <c r="CF31" s="1135">
        <f>'2027'!R\Max</f>
        <v>0.20327529178168144</v>
      </c>
    </row>
    <row r="32" spans="1:84" s="6" customFormat="1" ht="11.25" x14ac:dyDescent="0.2">
      <c r="A32" s="11">
        <v>43118</v>
      </c>
      <c r="B32" s="380">
        <f>'2023'!Maxi_hp</f>
        <v>30.961638796552403</v>
      </c>
      <c r="C32" s="85">
        <f>'2023'!An_max</f>
        <v>2021</v>
      </c>
      <c r="D32" s="1087" t="str">
        <f t="shared" si="7"/>
        <v/>
      </c>
      <c r="E32" s="835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836">
        <f t="shared" si="9"/>
        <v>0.2857142857142857</v>
      </c>
      <c r="J32" s="827">
        <f t="shared" si="27"/>
        <v>32.562936126760079</v>
      </c>
      <c r="L32" s="839" t="s">
        <v>222</v>
      </c>
      <c r="M32" s="871">
        <f t="shared" ref="M32:AA32" si="39">M28</f>
        <v>43079</v>
      </c>
      <c r="N32" s="818">
        <f t="shared" si="39"/>
        <v>43108</v>
      </c>
      <c r="O32" s="818">
        <f t="shared" si="39"/>
        <v>43136</v>
      </c>
      <c r="P32" s="818">
        <f t="shared" si="39"/>
        <v>43164</v>
      </c>
      <c r="Q32" s="818">
        <f t="shared" si="39"/>
        <v>43192</v>
      </c>
      <c r="R32" s="818">
        <f t="shared" si="39"/>
        <v>43220</v>
      </c>
      <c r="S32" s="818">
        <f t="shared" si="39"/>
        <v>43248</v>
      </c>
      <c r="T32" s="818">
        <f t="shared" si="39"/>
        <v>43276</v>
      </c>
      <c r="U32" s="818">
        <f t="shared" si="39"/>
        <v>43304</v>
      </c>
      <c r="V32" s="818">
        <f t="shared" si="39"/>
        <v>43332</v>
      </c>
      <c r="W32" s="818">
        <f t="shared" si="39"/>
        <v>43360</v>
      </c>
      <c r="X32" s="818">
        <f t="shared" si="39"/>
        <v>43388</v>
      </c>
      <c r="Y32" s="818">
        <f t="shared" si="39"/>
        <v>43416</v>
      </c>
      <c r="Z32" s="863">
        <f t="shared" si="39"/>
        <v>43444</v>
      </c>
      <c r="AA32" s="870">
        <f t="shared" si="39"/>
        <v>43473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836">
        <f t="shared" si="14"/>
        <v>0.6428571428571429</v>
      </c>
      <c r="AT32" s="853">
        <f t="shared" si="15"/>
        <v>32.669482135426783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836">
        <f t="shared" si="19"/>
        <v>0.86206896551724133</v>
      </c>
      <c r="AY32" s="853">
        <f t="shared" si="20"/>
        <v>32.547012330925675</v>
      </c>
      <c r="AZ32" s="827">
        <f t="shared" si="26"/>
        <v>32.608247233176229</v>
      </c>
      <c r="BA32" s="660">
        <f t="shared" si="21"/>
        <v>0.95082454100655456</v>
      </c>
      <c r="BB32" s="655">
        <v>43118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924">
        <f>1+[2]!Salcycl*Ksac</f>
        <v>1.0001026287051979</v>
      </c>
      <c r="BH32" s="1080">
        <f t="shared" si="22"/>
        <v>6.2353507972194109E-3</v>
      </c>
      <c r="BI32" s="11">
        <v>44214</v>
      </c>
      <c r="BJ32" s="801">
        <v>2.4252777912153883E-3</v>
      </c>
      <c r="BK32" s="801">
        <v>3.2635167678583383E-3</v>
      </c>
      <c r="BL32" s="801">
        <v>4.2851288285839515E-3</v>
      </c>
      <c r="BM32" s="801">
        <v>6.2352202020031612E-3</v>
      </c>
      <c r="BN32" s="801">
        <v>9.6850104159386437E-3</v>
      </c>
      <c r="BO32" s="802">
        <v>1.8889839129947551E-2</v>
      </c>
      <c r="BP32" s="801">
        <v>5.137287814901853E-2</v>
      </c>
      <c r="BQ32" s="801">
        <v>9.9346110825966602E-2</v>
      </c>
      <c r="BR32" s="801">
        <v>0.1527492882863484</v>
      </c>
      <c r="BS32" s="801">
        <v>0.19137994255838753</v>
      </c>
      <c r="BT32" s="801">
        <v>0.222388412611978</v>
      </c>
      <c r="BW32" s="1136">
        <f>'2018'!R\Max</f>
        <v>0</v>
      </c>
      <c r="BX32" s="1134">
        <f>'2019'!R\Max</f>
        <v>0.50463995197490386</v>
      </c>
      <c r="BY32" s="1134">
        <f>'2020'!R\Max</f>
        <v>0.6924231461736774</v>
      </c>
      <c r="BZ32" s="1134">
        <f>'2021'!R\Max</f>
        <v>0.95082454100655456</v>
      </c>
      <c r="CA32" s="1134">
        <f>'2022'!R\Max</f>
        <v>0.1410900079454743</v>
      </c>
      <c r="CB32" s="1134">
        <f>'2023'!R\Max</f>
        <v>0.70227637515421748</v>
      </c>
      <c r="CC32" s="1134">
        <f>'2024'!R\Max</f>
        <v>0.70171035722962583</v>
      </c>
      <c r="CD32" s="1134">
        <f>'2025'!R\Max</f>
        <v>0.70087275156067541</v>
      </c>
      <c r="CE32" s="1134">
        <f>'2026'!R\Max</f>
        <v>0.70322360761233882</v>
      </c>
      <c r="CF32" s="1135">
        <f>'2027'!R\Max</f>
        <v>0.70316381506992198</v>
      </c>
    </row>
    <row r="33" spans="1:84" s="6" customFormat="1" ht="11.25" x14ac:dyDescent="0.2">
      <c r="A33" s="11">
        <v>43119</v>
      </c>
      <c r="B33" s="380">
        <f>'2023'!Maxi_hp</f>
        <v>32.578902251016416</v>
      </c>
      <c r="C33" s="85">
        <f>'2023'!An_max</f>
        <v>2021</v>
      </c>
      <c r="D33" s="1087">
        <f t="shared" si="7"/>
        <v>0.99224173754689116</v>
      </c>
      <c r="E33" s="835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836">
        <f t="shared" si="9"/>
        <v>0.21428571428571427</v>
      </c>
      <c r="J33" s="827">
        <f t="shared" si="27"/>
        <v>32.83363420244838</v>
      </c>
      <c r="L33" s="839" t="s">
        <v>223</v>
      </c>
      <c r="M33" s="864">
        <f t="shared" ref="M33:AA33" si="40">M29</f>
        <v>270.875</v>
      </c>
      <c r="N33" s="824">
        <f t="shared" si="40"/>
        <v>301.40999999999997</v>
      </c>
      <c r="O33" s="824">
        <f t="shared" si="40"/>
        <v>384.15</v>
      </c>
      <c r="P33" s="824">
        <f t="shared" si="40"/>
        <v>476.74</v>
      </c>
      <c r="Q33" s="824">
        <f t="shared" si="40"/>
        <v>553.56999999999994</v>
      </c>
      <c r="R33" s="824">
        <f t="shared" si="40"/>
        <v>591</v>
      </c>
      <c r="S33" s="824">
        <f t="shared" si="40"/>
        <v>596.91</v>
      </c>
      <c r="T33" s="824">
        <f t="shared" si="40"/>
        <v>581.15</v>
      </c>
      <c r="U33" s="824">
        <f t="shared" si="40"/>
        <v>553.56999999999994</v>
      </c>
      <c r="V33" s="824">
        <f t="shared" si="40"/>
        <v>523.03499999999997</v>
      </c>
      <c r="W33" s="824">
        <f t="shared" si="40"/>
        <v>486.42440417059532</v>
      </c>
      <c r="X33" s="824">
        <f t="shared" si="40"/>
        <v>422.565</v>
      </c>
      <c r="Y33" s="824">
        <f t="shared" si="40"/>
        <v>335.88499999999999</v>
      </c>
      <c r="Z33" s="862">
        <f t="shared" si="40"/>
        <v>270.875</v>
      </c>
      <c r="AA33" s="860">
        <f t="shared" si="40"/>
        <v>301.40999999999997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836">
        <f t="shared" si="14"/>
        <v>0.6071428571428571</v>
      </c>
      <c r="AT33" s="853">
        <f t="shared" si="15"/>
        <v>32.966486072407235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836">
        <f t="shared" si="19"/>
        <v>0.89655172413793105</v>
      </c>
      <c r="AY33" s="853">
        <f t="shared" si="20"/>
        <v>32.833186416533486</v>
      </c>
      <c r="AZ33" s="827">
        <f t="shared" si="26"/>
        <v>32.899836244470364</v>
      </c>
      <c r="BA33" s="660">
        <f t="shared" si="21"/>
        <v>0.99224173754689116</v>
      </c>
      <c r="BB33" s="655">
        <v>43119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924">
        <f>1+[2]!Salcycl*Ksac</f>
        <v>1.0000861542324466</v>
      </c>
      <c r="BH33" s="1080">
        <f t="shared" si="22"/>
        <v>6.1260950088017517E-3</v>
      </c>
      <c r="BI33" s="11">
        <v>44215</v>
      </c>
      <c r="BJ33" s="801">
        <v>2.3246814494286869E-3</v>
      </c>
      <c r="BK33" s="801">
        <v>3.1647961752958565E-3</v>
      </c>
      <c r="BL33" s="801">
        <v>4.1871587273427024E-3</v>
      </c>
      <c r="BM33" s="801">
        <v>6.1259647952391577E-3</v>
      </c>
      <c r="BN33" s="801">
        <v>9.5656732842469162E-3</v>
      </c>
      <c r="BO33" s="802">
        <v>1.8158298653220214E-2</v>
      </c>
      <c r="BP33" s="801">
        <v>4.9912495748879161E-2</v>
      </c>
      <c r="BQ33" s="801">
        <v>9.819084398294492E-2</v>
      </c>
      <c r="BR33" s="801">
        <v>0.15294721790857813</v>
      </c>
      <c r="BS33" s="801">
        <v>0.19342952814984007</v>
      </c>
      <c r="BT33" s="801">
        <v>0.22562384292563148</v>
      </c>
      <c r="BW33" s="1136">
        <f>'2018'!R\Max</f>
        <v>0</v>
      </c>
      <c r="BX33" s="1134">
        <f>'2019'!R\Max</f>
        <v>0.53745461933360528</v>
      </c>
      <c r="BY33" s="1134">
        <f>'2020'!R\Max</f>
        <v>0.92453300542930072</v>
      </c>
      <c r="BZ33" s="1134">
        <f>'2021'!R\Max</f>
        <v>0.99224173754689116</v>
      </c>
      <c r="CA33" s="1134">
        <f>'2022'!R\Max</f>
        <v>0.33904148225090924</v>
      </c>
      <c r="CB33" s="1134">
        <f>'2023'!R\Max</f>
        <v>0.31275470141845202</v>
      </c>
      <c r="CC33" s="1134">
        <f>'2024'!R\Max</f>
        <v>0.31219127270250513</v>
      </c>
      <c r="CD33" s="1134">
        <f>'2025'!R\Max</f>
        <v>0.31133528400142829</v>
      </c>
      <c r="CE33" s="1134">
        <f>'2026'!R\Max</f>
        <v>0.31368707666157741</v>
      </c>
      <c r="CF33" s="1135">
        <f>'2027'!R\Max</f>
        <v>0.31362610440186028</v>
      </c>
    </row>
    <row r="34" spans="1:84" s="6" customFormat="1" ht="11.25" x14ac:dyDescent="0.2">
      <c r="A34" s="11">
        <v>43120</v>
      </c>
      <c r="B34" s="380">
        <f>'2023'!Maxi_hp</f>
        <v>19.774595283033769</v>
      </c>
      <c r="C34" s="85">
        <f>'2023'!An_max</f>
        <v>2023</v>
      </c>
      <c r="D34" s="1087" t="str">
        <f t="shared" si="7"/>
        <v/>
      </c>
      <c r="E34" s="747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836">
        <f t="shared" si="9"/>
        <v>0.14285714285714285</v>
      </c>
      <c r="J34" s="827">
        <f t="shared" si="27"/>
        <v>33.110968592550073</v>
      </c>
      <c r="L34" s="839" t="s">
        <v>224</v>
      </c>
      <c r="M34" s="866">
        <f t="shared" ref="M34:AA34" si="41">N28</f>
        <v>43108</v>
      </c>
      <c r="N34" s="819">
        <f t="shared" si="41"/>
        <v>43136</v>
      </c>
      <c r="O34" s="819">
        <f t="shared" si="41"/>
        <v>43164</v>
      </c>
      <c r="P34" s="819">
        <f t="shared" si="41"/>
        <v>43192</v>
      </c>
      <c r="Q34" s="819">
        <f t="shared" si="41"/>
        <v>43220</v>
      </c>
      <c r="R34" s="819">
        <f t="shared" si="41"/>
        <v>43248</v>
      </c>
      <c r="S34" s="819">
        <f t="shared" si="41"/>
        <v>43276</v>
      </c>
      <c r="T34" s="819">
        <f t="shared" si="41"/>
        <v>43304</v>
      </c>
      <c r="U34" s="819">
        <f t="shared" si="41"/>
        <v>43332</v>
      </c>
      <c r="V34" s="819">
        <f t="shared" si="41"/>
        <v>43360</v>
      </c>
      <c r="W34" s="819">
        <f t="shared" si="41"/>
        <v>43388</v>
      </c>
      <c r="X34" s="819">
        <f t="shared" si="41"/>
        <v>43416</v>
      </c>
      <c r="Y34" s="819">
        <f t="shared" si="41"/>
        <v>43444</v>
      </c>
      <c r="Z34" s="872">
        <f t="shared" si="41"/>
        <v>43473</v>
      </c>
      <c r="AA34" s="870">
        <f t="shared" si="41"/>
        <v>43501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836">
        <f t="shared" si="14"/>
        <v>0.5714285714285714</v>
      </c>
      <c r="AT34" s="853">
        <f t="shared" si="15"/>
        <v>33.269196516089139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836">
        <f t="shared" si="19"/>
        <v>0.93103448275862066</v>
      </c>
      <c r="AY34" s="853">
        <f t="shared" si="20"/>
        <v>33.119031298314709</v>
      </c>
      <c r="AZ34" s="827">
        <f t="shared" si="26"/>
        <v>33.194113907201924</v>
      </c>
      <c r="BA34" s="660">
        <f t="shared" si="21"/>
        <v>0.5972218912219629</v>
      </c>
      <c r="BB34" s="655">
        <v>43120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924">
        <f>1+[2]!Salcycl*Ksac</f>
        <v>1.0000710001325459</v>
      </c>
      <c r="BH34" s="1080">
        <f t="shared" si="22"/>
        <v>6.0443069094057566E-3</v>
      </c>
      <c r="BI34" s="11">
        <v>44216</v>
      </c>
      <c r="BJ34" s="801">
        <v>2.2529707261711822E-3</v>
      </c>
      <c r="BK34" s="801">
        <v>3.0957154683649338E-3</v>
      </c>
      <c r="BL34" s="801">
        <v>4.1194524264386283E-3</v>
      </c>
      <c r="BM34" s="801">
        <v>6.0441772747033351E-3</v>
      </c>
      <c r="BN34" s="801">
        <v>9.4685946510959084E-3</v>
      </c>
      <c r="BO34" s="802">
        <v>1.7511973738976578E-2</v>
      </c>
      <c r="BP34" s="801">
        <v>4.8385643161827918E-2</v>
      </c>
      <c r="BQ34" s="801">
        <v>9.6896886972274818E-2</v>
      </c>
      <c r="BR34" s="801">
        <v>0.15292952718191657</v>
      </c>
      <c r="BS34" s="801">
        <v>0.19545820020007917</v>
      </c>
      <c r="BT34" s="801">
        <v>0.22900990256991222</v>
      </c>
      <c r="BW34" s="1136">
        <f>'2018'!R\Max</f>
        <v>0</v>
      </c>
      <c r="BX34" s="1134">
        <f>'2019'!R\Max</f>
        <v>0.18481300094804679</v>
      </c>
      <c r="BY34" s="1134">
        <f>'2020'!R\Max</f>
        <v>0.36195145517324456</v>
      </c>
      <c r="BZ34" s="1134">
        <f>'2021'!R\Max</f>
        <v>0.19535439797574627</v>
      </c>
      <c r="CA34" s="1134">
        <f>'2022'!R\Max</f>
        <v>0.18559815647923777</v>
      </c>
      <c r="CB34" s="1134">
        <f>'2023'!R\Max</f>
        <v>0.5972218912219629</v>
      </c>
      <c r="CC34" s="1134">
        <f>'2024'!R\Max</f>
        <v>0.5966135976788226</v>
      </c>
      <c r="CD34" s="1134">
        <f>'2025'!R\Max</f>
        <v>0.59565688440399844</v>
      </c>
      <c r="CE34" s="1134">
        <f>'2026'!R\Max</f>
        <v>0.59821595376561154</v>
      </c>
      <c r="CF34" s="1135">
        <f>'2027'!R\Max</f>
        <v>0.5981487609948225</v>
      </c>
    </row>
    <row r="35" spans="1:84" s="6" customFormat="1" ht="11.25" x14ac:dyDescent="0.2">
      <c r="A35" s="11">
        <v>43121</v>
      </c>
      <c r="B35" s="380">
        <f>'2023'!Maxi_hp</f>
        <v>18.089681774090039</v>
      </c>
      <c r="C35" s="85">
        <f>'2023'!An_max</f>
        <v>2022</v>
      </c>
      <c r="D35" s="1087" t="str">
        <f t="shared" si="7"/>
        <v/>
      </c>
      <c r="E35" s="747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836">
        <f t="shared" si="9"/>
        <v>7.1428571428571425E-2</v>
      </c>
      <c r="J35" s="827">
        <f t="shared" si="27"/>
        <v>33.395302717547331</v>
      </c>
      <c r="L35" s="839" t="s">
        <v>225</v>
      </c>
      <c r="M35" s="867">
        <f t="shared" ref="M35:AA35" si="42">N29</f>
        <v>301.40999999999997</v>
      </c>
      <c r="N35" s="824">
        <f t="shared" si="42"/>
        <v>384.15</v>
      </c>
      <c r="O35" s="824">
        <f t="shared" si="42"/>
        <v>476.74</v>
      </c>
      <c r="P35" s="824">
        <f t="shared" si="42"/>
        <v>553.56999999999994</v>
      </c>
      <c r="Q35" s="824">
        <f t="shared" si="42"/>
        <v>591</v>
      </c>
      <c r="R35" s="824">
        <f t="shared" si="42"/>
        <v>596.91</v>
      </c>
      <c r="S35" s="824">
        <f t="shared" si="42"/>
        <v>581.15</v>
      </c>
      <c r="T35" s="824">
        <f t="shared" si="42"/>
        <v>553.56999999999994</v>
      </c>
      <c r="U35" s="824">
        <f t="shared" si="42"/>
        <v>523.03499999999997</v>
      </c>
      <c r="V35" s="824">
        <f t="shared" si="42"/>
        <v>486.42440417059532</v>
      </c>
      <c r="W35" s="824">
        <f t="shared" si="42"/>
        <v>422.565</v>
      </c>
      <c r="X35" s="824">
        <f t="shared" si="42"/>
        <v>335.88499999999999</v>
      </c>
      <c r="Y35" s="824">
        <f t="shared" si="42"/>
        <v>270.875</v>
      </c>
      <c r="Z35" s="873">
        <f t="shared" si="42"/>
        <v>301.40999999999997</v>
      </c>
      <c r="AA35" s="860">
        <f t="shared" si="42"/>
        <v>384.15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836">
        <f t="shared" si="14"/>
        <v>0.5357142857142857</v>
      </c>
      <c r="AT35" s="853">
        <f t="shared" si="15"/>
        <v>33.577033015140998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836">
        <f t="shared" si="19"/>
        <v>0.96551724137931039</v>
      </c>
      <c r="AY35" s="853">
        <f t="shared" si="20"/>
        <v>33.403863612022896</v>
      </c>
      <c r="AZ35" s="827">
        <f t="shared" si="26"/>
        <v>33.49044831358195</v>
      </c>
      <c r="BA35" s="660">
        <f t="shared" si="21"/>
        <v>0.5416834195841842</v>
      </c>
      <c r="BB35" s="655">
        <v>43121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924">
        <f>1+[2]!Salcycl*Ksac</f>
        <v>1.000057214380933</v>
      </c>
      <c r="BH35" s="1080">
        <f t="shared" si="22"/>
        <v>5.9900437828540572E-3</v>
      </c>
      <c r="BI35" s="11">
        <v>44217</v>
      </c>
      <c r="BJ35" s="801">
        <v>2.2101815943121462E-3</v>
      </c>
      <c r="BK35" s="801">
        <v>3.056315549142128E-3</v>
      </c>
      <c r="BL35" s="801">
        <v>4.0820568069513882E-3</v>
      </c>
      <c r="BM35" s="801">
        <v>5.9899149235559555E-3</v>
      </c>
      <c r="BN35" s="801">
        <v>9.3938492967511143E-3</v>
      </c>
      <c r="BO35" s="802">
        <v>1.6951070232990546E-2</v>
      </c>
      <c r="BP35" s="801">
        <v>4.6792688913398835E-2</v>
      </c>
      <c r="BQ35" s="801">
        <v>9.5464816952018972E-2</v>
      </c>
      <c r="BR35" s="801">
        <v>0.15269694805577483</v>
      </c>
      <c r="BS35" s="801">
        <v>0.19746686031367502</v>
      </c>
      <c r="BT35" s="801">
        <v>0.23254766047744468</v>
      </c>
      <c r="BW35" s="1136">
        <f>'2018'!R\Max</f>
        <v>0</v>
      </c>
      <c r="BX35" s="1134">
        <f>'2019'!R\Max</f>
        <v>0.27851722209758545</v>
      </c>
      <c r="BY35" s="1134">
        <f>'2020'!R\Max</f>
        <v>0.13022246986716979</v>
      </c>
      <c r="BZ35" s="1134">
        <f>'2021'!R\Max</f>
        <v>0.42303561988540139</v>
      </c>
      <c r="CA35" s="1134">
        <f>'2022'!R\Max</f>
        <v>0.5416834195841842</v>
      </c>
      <c r="CB35" s="1134">
        <f>'2023'!R\Max</f>
        <v>0.16468514710071011</v>
      </c>
      <c r="CC35" s="1134">
        <f>'2024'!R\Max</f>
        <v>0.16440565634943585</v>
      </c>
      <c r="CD35" s="1134">
        <f>'2025'!R\Max</f>
        <v>0.16395033418705049</v>
      </c>
      <c r="CE35" s="1134">
        <f>'2026'!R\Max</f>
        <v>0.16513959826826172</v>
      </c>
      <c r="CF35" s="1135">
        <f>'2027'!R\Max</f>
        <v>0.16510775485352153</v>
      </c>
    </row>
    <row r="36" spans="1:84" s="6" customFormat="1" ht="11.25" x14ac:dyDescent="0.2">
      <c r="A36" s="11">
        <v>43122</v>
      </c>
      <c r="B36" s="380">
        <f>'2023'!Maxi_hp</f>
        <v>32.705445690362119</v>
      </c>
      <c r="C36" s="85">
        <f>'2023'!An_max</f>
        <v>2022</v>
      </c>
      <c r="D36" s="1087">
        <f t="shared" si="7"/>
        <v>0.9708625193879693</v>
      </c>
      <c r="E36" s="835">
        <f>O$13/10</f>
        <v>33.686999999999998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836">
        <f t="shared" si="9"/>
        <v>0</v>
      </c>
      <c r="J36" s="827">
        <f t="shared" si="27"/>
        <v>33.686999999731782</v>
      </c>
      <c r="L36" s="840" t="s">
        <v>226</v>
      </c>
      <c r="M36" s="821">
        <f t="shared" ref="M36:AA36" si="43">x.1lg*x.1lg-x.2lg*x.2lg</f>
        <v>-2411640</v>
      </c>
      <c r="N36" s="821">
        <f t="shared" si="43"/>
        <v>-2499423</v>
      </c>
      <c r="O36" s="821">
        <f t="shared" si="43"/>
        <v>-2414832</v>
      </c>
      <c r="P36" s="821">
        <f t="shared" si="43"/>
        <v>-2416400</v>
      </c>
      <c r="Q36" s="821">
        <f t="shared" si="43"/>
        <v>-2417968</v>
      </c>
      <c r="R36" s="821">
        <f t="shared" si="43"/>
        <v>-2419536</v>
      </c>
      <c r="S36" s="821">
        <f t="shared" si="43"/>
        <v>-2421104</v>
      </c>
      <c r="T36" s="821">
        <f t="shared" si="43"/>
        <v>-2422672</v>
      </c>
      <c r="U36" s="821">
        <f t="shared" si="43"/>
        <v>-2424240</v>
      </c>
      <c r="V36" s="821">
        <f t="shared" si="43"/>
        <v>-2425808</v>
      </c>
      <c r="W36" s="821">
        <f t="shared" si="43"/>
        <v>-2427376</v>
      </c>
      <c r="X36" s="821">
        <f t="shared" si="43"/>
        <v>-2428944</v>
      </c>
      <c r="Y36" s="821">
        <f t="shared" si="43"/>
        <v>-2430512</v>
      </c>
      <c r="Z36" s="821">
        <f t="shared" si="43"/>
        <v>-2432080</v>
      </c>
      <c r="AA36" s="821">
        <f t="shared" si="43"/>
        <v>-2520593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836">
        <f t="shared" si="14"/>
        <v>0.5</v>
      </c>
      <c r="AT36" s="853">
        <f t="shared" si="15"/>
        <v>33.889415117260071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836">
        <f t="shared" si="19"/>
        <v>1</v>
      </c>
      <c r="AY36" s="853">
        <f t="shared" si="20"/>
        <v>33.687000000476836</v>
      </c>
      <c r="AZ36" s="827">
        <f t="shared" si="26"/>
        <v>33.78820755886845</v>
      </c>
      <c r="BA36" s="660">
        <f t="shared" si="21"/>
        <v>0.9708625193879693</v>
      </c>
      <c r="BB36" s="655">
        <v>43122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924">
        <f>1+[2]!Salcycl*Ksac</f>
        <v>1.0000448435401721</v>
      </c>
      <c r="BH36" s="1080">
        <f t="shared" si="22"/>
        <v>5.9633313253240304E-3</v>
      </c>
      <c r="BI36" s="11">
        <v>44218</v>
      </c>
      <c r="BJ36" s="801">
        <v>2.1963347460880402E-3</v>
      </c>
      <c r="BK36" s="801">
        <v>3.0466183123944459E-3</v>
      </c>
      <c r="BL36" s="801">
        <v>4.0749952367697857E-3</v>
      </c>
      <c r="BM36" s="801">
        <v>5.9632034378493516E-3</v>
      </c>
      <c r="BN36" s="801">
        <v>9.3414662203762048E-3</v>
      </c>
      <c r="BO36" s="802">
        <v>1.6475695962153928E-2</v>
      </c>
      <c r="BP36" s="801">
        <v>4.5133781877292244E-2</v>
      </c>
      <c r="BQ36" s="801">
        <v>9.389479626624142E-2</v>
      </c>
      <c r="BR36" s="801">
        <v>0.15224958503066979</v>
      </c>
      <c r="BS36" s="801">
        <v>0.19945559610844468</v>
      </c>
      <c r="BT36" s="801">
        <v>0.23623721807791567</v>
      </c>
      <c r="BW36" s="1136">
        <f>'2018'!R\Max</f>
        <v>0</v>
      </c>
      <c r="BX36" s="1134">
        <f>'2019'!R\Max</f>
        <v>0.35471417387370752</v>
      </c>
      <c r="BY36" s="1134">
        <f>'2020'!R\Max</f>
        <v>6.3859459612742933E-2</v>
      </c>
      <c r="BZ36" s="1134">
        <f>'2021'!R\Max</f>
        <v>0.18322060875165791</v>
      </c>
      <c r="CA36" s="1134">
        <f>'2022'!R\Max</f>
        <v>0.9708625193879693</v>
      </c>
      <c r="CB36" s="1134">
        <f>'2023'!R\Max</f>
        <v>0.97079735911849574</v>
      </c>
      <c r="CC36" s="1134">
        <f>'2024'!R\Max</f>
        <v>0.97073190602702608</v>
      </c>
      <c r="CD36" s="1134">
        <f>'2025'!R\Max</f>
        <v>0.9706202271720934</v>
      </c>
      <c r="CE36" s="1134">
        <f>'2026'!R\Max</f>
        <v>0.97090303910156128</v>
      </c>
      <c r="CF36" s="1135">
        <f>'2027'!R\Max</f>
        <v>0.97089538310647494</v>
      </c>
    </row>
    <row r="37" spans="1:84" s="6" customFormat="1" ht="11.25" x14ac:dyDescent="0.2">
      <c r="A37" s="11">
        <v>43123</v>
      </c>
      <c r="B37" s="380">
        <f>'2023'!Maxi_hp</f>
        <v>32.772948392052989</v>
      </c>
      <c r="C37" s="85">
        <f>'2023'!An_max</f>
        <v>2022</v>
      </c>
      <c r="D37" s="1087" t="str">
        <f t="shared" si="7"/>
        <v/>
      </c>
      <c r="E37" s="747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836">
        <f t="shared" si="9"/>
        <v>7.1428571428571425E-2</v>
      </c>
      <c r="J37" s="827">
        <f>((1-I37)*(INDEX(a.m,F37)*$A37*$A37+INDEX(b.m,F37)*$A37+INDEX(c.m,F37))+I37*(INDEX(a.m,G37)*$A37*$A37+INDEX(b.m,G37)*$A37+INDEX(c.m,G37)))/10</f>
        <v>33.988081904620472</v>
      </c>
      <c r="L37" s="840" t="s">
        <v>227</v>
      </c>
      <c r="M37" s="821">
        <f t="shared" ref="M37:AA37" si="44">x.2lg*x.2lg-x.3lg*x.3lg</f>
        <v>-2499423</v>
      </c>
      <c r="N37" s="821">
        <f t="shared" si="44"/>
        <v>-2414832</v>
      </c>
      <c r="O37" s="821">
        <f t="shared" si="44"/>
        <v>-2416400</v>
      </c>
      <c r="P37" s="821">
        <f t="shared" si="44"/>
        <v>-2417968</v>
      </c>
      <c r="Q37" s="821">
        <f t="shared" si="44"/>
        <v>-2419536</v>
      </c>
      <c r="R37" s="821">
        <f t="shared" si="44"/>
        <v>-2421104</v>
      </c>
      <c r="S37" s="821">
        <f t="shared" si="44"/>
        <v>-2422672</v>
      </c>
      <c r="T37" s="821">
        <f t="shared" si="44"/>
        <v>-2424240</v>
      </c>
      <c r="U37" s="821">
        <f t="shared" si="44"/>
        <v>-2425808</v>
      </c>
      <c r="V37" s="821">
        <f t="shared" si="44"/>
        <v>-2427376</v>
      </c>
      <c r="W37" s="821">
        <f t="shared" si="44"/>
        <v>-2428944</v>
      </c>
      <c r="X37" s="821">
        <f t="shared" si="44"/>
        <v>-2430512</v>
      </c>
      <c r="Y37" s="821">
        <f t="shared" si="44"/>
        <v>-2432080</v>
      </c>
      <c r="Z37" s="821">
        <f t="shared" si="44"/>
        <v>-2520593</v>
      </c>
      <c r="AA37" s="821">
        <f t="shared" si="44"/>
        <v>-2435272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836">
        <f t="shared" si="14"/>
        <v>0.4642857142857143</v>
      </c>
      <c r="AT37" s="853">
        <f t="shared" si="15"/>
        <v>34.20576237144747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836">
        <f t="shared" si="19"/>
        <v>0.9642857142857143</v>
      </c>
      <c r="AY37" s="853">
        <f t="shared" si="20"/>
        <v>33.973817452515604</v>
      </c>
      <c r="AZ37" s="827">
        <f t="shared" si="26"/>
        <v>34.089789911981541</v>
      </c>
      <c r="BA37" s="660">
        <f t="shared" si="21"/>
        <v>0.96424824690085575</v>
      </c>
      <c r="BB37" s="655">
        <v>43123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924">
        <f>1+[2]!Salcycl*Ksac</f>
        <v>1.0000339310578057</v>
      </c>
      <c r="BH37" s="1080">
        <f t="shared" si="22"/>
        <v>5.9641909154514909E-3</v>
      </c>
      <c r="BI37" s="11">
        <v>44219</v>
      </c>
      <c r="BJ37" s="801">
        <v>2.2114464279610396E-3</v>
      </c>
      <c r="BK37" s="801">
        <v>3.0666411096114538E-3</v>
      </c>
      <c r="BL37" s="801">
        <v>4.0982864540274428E-3</v>
      </c>
      <c r="BM37" s="801">
        <v>5.9640641960701435E-3</v>
      </c>
      <c r="BN37" s="801">
        <v>9.3114707415948798E-3</v>
      </c>
      <c r="BO37" s="802">
        <v>1.6085943375523808E-2</v>
      </c>
      <c r="BP37" s="801">
        <v>4.3409072292935981E-2</v>
      </c>
      <c r="BQ37" s="801">
        <v>9.2186999719244975E-2</v>
      </c>
      <c r="BR37" s="801">
        <v>0.15158757207324966</v>
      </c>
      <c r="BS37" s="801">
        <v>0.20142450737533868</v>
      </c>
      <c r="BT37" s="801">
        <v>0.24007867150149786</v>
      </c>
      <c r="BW37" s="1136">
        <f>'2018'!R\Max</f>
        <v>0</v>
      </c>
      <c r="BX37" s="1134">
        <f>'2019'!R\Max</f>
        <v>0.28264643366012582</v>
      </c>
      <c r="BY37" s="1134">
        <f>'2020'!R\Max</f>
        <v>0.45353747687294826</v>
      </c>
      <c r="BZ37" s="1134">
        <f>'2021'!R\Max</f>
        <v>0.22431848598526638</v>
      </c>
      <c r="CA37" s="1134">
        <f>'2022'!R\Max</f>
        <v>0.96424824690085575</v>
      </c>
      <c r="CB37" s="1134">
        <f>'2023'!R\Max</f>
        <v>0.96417323013415002</v>
      </c>
      <c r="CC37" s="1134">
        <f>'2024'!R\Max</f>
        <v>0.96409787064886887</v>
      </c>
      <c r="CD37" s="1134">
        <f>'2025'!R\Max</f>
        <v>0.96396301711174537</v>
      </c>
      <c r="CE37" s="1134">
        <f>'2026'!R\Max</f>
        <v>0.96429512515095783</v>
      </c>
      <c r="CF37" s="1135">
        <f>'2027'!R\Max</f>
        <v>0.96428596294172808</v>
      </c>
    </row>
    <row r="38" spans="1:84" s="6" customFormat="1" ht="11.25" x14ac:dyDescent="0.2">
      <c r="A38" s="11">
        <v>43124</v>
      </c>
      <c r="B38" s="380">
        <f>'2023'!Maxi_hp</f>
        <v>33.084036887792983</v>
      </c>
      <c r="C38" s="85">
        <f>'2023'!An_max</f>
        <v>2022</v>
      </c>
      <c r="D38" s="1087" t="str">
        <f t="shared" si="7"/>
        <v/>
      </c>
      <c r="E38" s="747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836">
        <f t="shared" si="9"/>
        <v>0.14285714285714285</v>
      </c>
      <c r="J38" s="827">
        <f t="shared" si="27"/>
        <v>34.299537900050311</v>
      </c>
      <c r="L38" s="840" t="s">
        <v>228</v>
      </c>
      <c r="M38" s="821">
        <f t="shared" ref="M38:AA38" si="45">(y.1lg-y.2lg-b.lg*(x.1lg-x.2lg))/D2x12Lg</f>
        <v>5.9205556995933266E-2</v>
      </c>
      <c r="N38" s="821">
        <f t="shared" si="45"/>
        <v>3.3369630973989803E-2</v>
      </c>
      <c r="O38" s="821">
        <f t="shared" si="45"/>
        <v>6.281887755101136E-3</v>
      </c>
      <c r="P38" s="821">
        <f t="shared" si="45"/>
        <v>-1.0051020408163443E-2</v>
      </c>
      <c r="Q38" s="821">
        <f t="shared" si="45"/>
        <v>-2.5127551020411101E-2</v>
      </c>
      <c r="R38" s="821">
        <f t="shared" si="45"/>
        <v>-2.0102040816325217E-2</v>
      </c>
      <c r="S38" s="821">
        <f t="shared" si="45"/>
        <v>-1.3820153061224718E-2</v>
      </c>
      <c r="T38" s="821">
        <f t="shared" si="45"/>
        <v>-7.5382653061228317E-3</v>
      </c>
      <c r="U38" s="821">
        <f t="shared" si="45"/>
        <v>-1.884566326530817E-3</v>
      </c>
      <c r="V38" s="821">
        <f t="shared" si="45"/>
        <v>-3.8747422381413062E-3</v>
      </c>
      <c r="W38" s="821">
        <f t="shared" si="45"/>
        <v>-1.7378066544127355E-2</v>
      </c>
      <c r="X38" s="821">
        <f t="shared" si="45"/>
        <v>-1.4553951421816581E-2</v>
      </c>
      <c r="Y38" s="821">
        <f t="shared" si="45"/>
        <v>1.3820153061223228E-2</v>
      </c>
      <c r="Z38" s="821">
        <f t="shared" si="45"/>
        <v>5.9205556995944097E-2</v>
      </c>
      <c r="AA38" s="821">
        <f t="shared" si="45"/>
        <v>3.3369630973983808E-2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836">
        <f t="shared" si="14"/>
        <v>0.42857142857142855</v>
      </c>
      <c r="AT38" s="853">
        <f t="shared" si="15"/>
        <v>34.52549432569316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836">
        <f t="shared" si="19"/>
        <v>0.9285714285714286</v>
      </c>
      <c r="AY38" s="853">
        <f t="shared" si="20"/>
        <v>34.269756900239734</v>
      </c>
      <c r="AZ38" s="827">
        <f t="shared" si="26"/>
        <v>34.397625612966451</v>
      </c>
      <c r="BA38" s="660">
        <f t="shared" si="21"/>
        <v>0.96456217527480026</v>
      </c>
      <c r="BB38" s="655">
        <v>43124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924">
        <f>1+[2]!Salcycl*Ksac</f>
        <v>1.0000245157070107</v>
      </c>
      <c r="BH38" s="1080">
        <f t="shared" si="22"/>
        <v>5.9976322822013015E-3</v>
      </c>
      <c r="BI38" s="11">
        <v>44220</v>
      </c>
      <c r="BJ38" s="801">
        <v>2.2549513078918173E-3</v>
      </c>
      <c r="BK38" s="801">
        <v>3.1173223883068425E-3</v>
      </c>
      <c r="BL38" s="801">
        <v>4.1544320463612295E-3</v>
      </c>
      <c r="BM38" s="801">
        <v>5.9975068105300343E-3</v>
      </c>
      <c r="BN38" s="801">
        <v>9.3119539709548716E-3</v>
      </c>
      <c r="BO38" s="802">
        <v>1.5793913660103145E-2</v>
      </c>
      <c r="BP38" s="801">
        <v>4.1693393794366852E-2</v>
      </c>
      <c r="BQ38" s="801">
        <v>9.0279615874329464E-2</v>
      </c>
      <c r="BR38" s="801">
        <v>0.15054042325343558</v>
      </c>
      <c r="BS38" s="801">
        <v>0.20308480060557801</v>
      </c>
      <c r="BT38" s="801">
        <v>0.24391364002120838</v>
      </c>
      <c r="BW38" s="1136">
        <f>'2018'!R\Max</f>
        <v>0</v>
      </c>
      <c r="BX38" s="1134">
        <f>'2019'!R\Max</f>
        <v>0.3407146598188483</v>
      </c>
      <c r="BY38" s="1134">
        <f>'2020'!R\Max</f>
        <v>0.48864512367528057</v>
      </c>
      <c r="BZ38" s="1134">
        <f>'2021'!R\Max</f>
        <v>0.45348326715100934</v>
      </c>
      <c r="CA38" s="1134">
        <f>'2022'!R\Max</f>
        <v>0.96456217527480026</v>
      </c>
      <c r="CB38" s="1134">
        <f>'2023'!R\Max</f>
        <v>0.96449232558624565</v>
      </c>
      <c r="CC38" s="1134">
        <f>'2024'!R\Max</f>
        <v>0.9644221467563513</v>
      </c>
      <c r="CD38" s="1134">
        <f>'2025'!R\Max</f>
        <v>0.96429023929682822</v>
      </c>
      <c r="CE38" s="1134">
        <f>'2026'!R\Max</f>
        <v>0.9646065631950298</v>
      </c>
      <c r="CF38" s="1135">
        <f>'2027'!R\Max</f>
        <v>0.96459765027632882</v>
      </c>
    </row>
    <row r="39" spans="1:84" s="6" customFormat="1" ht="11.25" x14ac:dyDescent="0.2">
      <c r="A39" s="11">
        <v>43125</v>
      </c>
      <c r="B39" s="380">
        <f>'2023'!Maxi_hp</f>
        <v>32.588227286146612</v>
      </c>
      <c r="C39" s="85">
        <f>'2023'!An_max</f>
        <v>2022</v>
      </c>
      <c r="D39" s="1087" t="str">
        <f t="shared" si="7"/>
        <v/>
      </c>
      <c r="E39" s="747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836">
        <f t="shared" si="9"/>
        <v>0.21428571428571427</v>
      </c>
      <c r="J39" s="827">
        <f t="shared" si="27"/>
        <v>34.620183399326301</v>
      </c>
      <c r="L39" s="840" t="s">
        <v>229</v>
      </c>
      <c r="M39" s="821">
        <f t="shared" ref="M39:AA39" si="46">(y.2lg-y.3lg-(y.1lg-y.2lg)*D2x23Lg/D2x12Lg)/(x.2lg-x.3lg)/(1-(x.2lg+x.3lg)/(x.1lg+x.2lg))</f>
        <v>-5101.6964097740183</v>
      </c>
      <c r="N39" s="821">
        <f t="shared" si="46"/>
        <v>-2874.9754537207764</v>
      </c>
      <c r="O39" s="821">
        <f t="shared" si="46"/>
        <v>-538.8201275509424</v>
      </c>
      <c r="P39" s="821">
        <f t="shared" si="46"/>
        <v>870.70984693879086</v>
      </c>
      <c r="Q39" s="821">
        <f t="shared" si="46"/>
        <v>2172.6587244900497</v>
      </c>
      <c r="R39" s="821">
        <f t="shared" si="46"/>
        <v>1738.3943367345803</v>
      </c>
      <c r="S39" s="821">
        <f t="shared" si="46"/>
        <v>1195.2120663265505</v>
      </c>
      <c r="T39" s="821">
        <f t="shared" si="46"/>
        <v>651.6780102041148</v>
      </c>
      <c r="U39" s="821">
        <f t="shared" si="46"/>
        <v>162.18075255103813</v>
      </c>
      <c r="V39" s="821">
        <f t="shared" si="46"/>
        <v>334.6016328293245</v>
      </c>
      <c r="W39" s="821">
        <f t="shared" si="46"/>
        <v>1505.231823563867</v>
      </c>
      <c r="X39" s="821">
        <f t="shared" si="46"/>
        <v>1260.2454849336521</v>
      </c>
      <c r="Y39" s="821">
        <f t="shared" si="46"/>
        <v>-1202.7402806121354</v>
      </c>
      <c r="Z39" s="821">
        <f t="shared" si="46"/>
        <v>-5144.9164663819902</v>
      </c>
      <c r="AA39" s="821">
        <f t="shared" si="46"/>
        <v>-2899.3352843312673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836">
        <f t="shared" si="14"/>
        <v>0.39285714285714285</v>
      </c>
      <c r="AT39" s="853">
        <f t="shared" si="15"/>
        <v>34.848030528672311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836">
        <f t="shared" si="19"/>
        <v>0.8928571428571429</v>
      </c>
      <c r="AY39" s="853">
        <f t="shared" si="20"/>
        <v>34.574230886510179</v>
      </c>
      <c r="AZ39" s="827">
        <f t="shared" si="26"/>
        <v>34.711130707591245</v>
      </c>
      <c r="BA39" s="660">
        <f t="shared" si="21"/>
        <v>0.94130718229472954</v>
      </c>
      <c r="BB39" s="655">
        <v>43125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924">
        <f>1+[2]!Salcycl*Ksac</f>
        <v>1.0000166301832119</v>
      </c>
      <c r="BH39" s="1080">
        <f t="shared" si="22"/>
        <v>6.0359753576860412E-3</v>
      </c>
      <c r="BI39" s="11">
        <v>44221</v>
      </c>
      <c r="BJ39" s="801">
        <v>2.3009206500066337E-3</v>
      </c>
      <c r="BK39" s="801">
        <v>3.1713505352088979E-3</v>
      </c>
      <c r="BL39" s="801">
        <v>4.2145741221638966E-3</v>
      </c>
      <c r="BM39" s="801">
        <v>6.0358510463392077E-3</v>
      </c>
      <c r="BN39" s="801">
        <v>9.3196471921906613E-3</v>
      </c>
      <c r="BO39" s="802">
        <v>1.5555074824553974E-2</v>
      </c>
      <c r="BP39" s="801">
        <v>4.0020101976030988E-2</v>
      </c>
      <c r="BQ39" s="801">
        <v>8.819729548598243E-2</v>
      </c>
      <c r="BR39" s="801">
        <v>0.14914935220233971</v>
      </c>
      <c r="BS39" s="801">
        <v>0.20439274871480886</v>
      </c>
      <c r="BT39" s="801">
        <v>0.24769712781711867</v>
      </c>
      <c r="BW39" s="1136">
        <f>'2018'!R\Max</f>
        <v>0</v>
      </c>
      <c r="BX39" s="1134">
        <f>'2019'!R\Max</f>
        <v>0.10585807720958634</v>
      </c>
      <c r="BY39" s="1134">
        <f>'2020'!R\Max</f>
        <v>0.53644650230255897</v>
      </c>
      <c r="BZ39" s="1134">
        <f>'2021'!R\Max</f>
        <v>0.21215109719045341</v>
      </c>
      <c r="CA39" s="1134">
        <f>'2022'!R\Max</f>
        <v>0.94130718229472954</v>
      </c>
      <c r="CB39" s="1134">
        <f>'2023'!R\Max</f>
        <v>0.94120155305479303</v>
      </c>
      <c r="CC39" s="1134">
        <f>'2024'!R\Max</f>
        <v>0.9410954163392673</v>
      </c>
      <c r="CD39" s="1134">
        <f>'2025'!R\Max</f>
        <v>0.94088613392684195</v>
      </c>
      <c r="CE39" s="1134">
        <f>'2026'!R\Max</f>
        <v>0.94137599375631575</v>
      </c>
      <c r="CF39" s="1135">
        <f>'2027'!R\Max</f>
        <v>0.94136185343822221</v>
      </c>
    </row>
    <row r="40" spans="1:84" s="6" customFormat="1" ht="11.25" x14ac:dyDescent="0.2">
      <c r="A40" s="11">
        <v>43126</v>
      </c>
      <c r="B40" s="380">
        <f>'2023'!Maxi_hp</f>
        <v>33.431556002273844</v>
      </c>
      <c r="C40" s="85">
        <f>'2023'!An_max</f>
        <v>2022</v>
      </c>
      <c r="D40" s="1087" t="str">
        <f t="shared" si="7"/>
        <v/>
      </c>
      <c r="E40" s="747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836">
        <f t="shared" si="9"/>
        <v>0.2857142857142857</v>
      </c>
      <c r="J40" s="827">
        <f t="shared" si="27"/>
        <v>34.94883381913283</v>
      </c>
      <c r="L40" s="840" t="s">
        <v>230</v>
      </c>
      <c r="M40" s="821">
        <f t="shared" ref="M40:AA40" si="47">(y.1lg+y.2lg+y.3lg-a.lg*(x.3lg*x.3lg+x.2lg*x.2lg+x.1lg*x.1lg)-b.lg*(x.3lg+x.2lg+x.1lg))/3</f>
        <v>109902563.57006276</v>
      </c>
      <c r="N40" s="821">
        <f t="shared" si="47"/>
        <v>61923969.242225997</v>
      </c>
      <c r="O40" s="821">
        <f t="shared" si="47"/>
        <v>11554129.563875869</v>
      </c>
      <c r="P40" s="821">
        <f t="shared" si="47"/>
        <v>-18856476.434490129</v>
      </c>
      <c r="Q40" s="821">
        <f t="shared" si="47"/>
        <v>-46964247.796944253</v>
      </c>
      <c r="R40" s="821">
        <f t="shared" si="47"/>
        <v>-37582835.213262849</v>
      </c>
      <c r="S40" s="821">
        <f t="shared" si="47"/>
        <v>-25840865.305102468</v>
      </c>
      <c r="T40" s="821">
        <f t="shared" si="47"/>
        <v>-14083681.368368065</v>
      </c>
      <c r="U40" s="821">
        <f t="shared" si="47"/>
        <v>-3488514.3345922194</v>
      </c>
      <c r="V40" s="821">
        <f t="shared" si="47"/>
        <v>-7222977.7904651463</v>
      </c>
      <c r="W40" s="821">
        <f t="shared" si="47"/>
        <v>-32594043.267603319</v>
      </c>
      <c r="X40" s="821">
        <f t="shared" si="47"/>
        <v>-27281025.095256414</v>
      </c>
      <c r="Y40" s="821">
        <f t="shared" si="47"/>
        <v>26168223.441528235</v>
      </c>
      <c r="Z40" s="821">
        <f t="shared" si="47"/>
        <v>111772570.41998148</v>
      </c>
      <c r="AA40" s="821">
        <f t="shared" si="47"/>
        <v>62977780.951909237</v>
      </c>
      <c r="AB40" s="7"/>
      <c r="AC40" s="7"/>
      <c r="AD40" s="7"/>
      <c r="AE40" s="7"/>
      <c r="AF40" s="7"/>
      <c r="AH40" s="7"/>
      <c r="AI40" s="74"/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836">
        <f t="shared" si="14"/>
        <v>0.35714285714285715</v>
      </c>
      <c r="AT40" s="853">
        <f t="shared" si="15"/>
        <v>35.172790528275073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836">
        <f t="shared" si="19"/>
        <v>0.8571428571428571</v>
      </c>
      <c r="AY40" s="853">
        <f t="shared" si="20"/>
        <v>34.886651957726905</v>
      </c>
      <c r="AZ40" s="827">
        <f t="shared" si="26"/>
        <v>35.029721243000992</v>
      </c>
      <c r="BA40" s="660">
        <f t="shared" si="21"/>
        <v>0.95658573831930416</v>
      </c>
      <c r="BB40" s="655">
        <v>43126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924">
        <f>1+[2]!Salcycl*Ksac</f>
        <v>1.000010299867905</v>
      </c>
      <c r="BH40" s="1080">
        <f t="shared" si="22"/>
        <v>6.0792265072231134E-3</v>
      </c>
      <c r="BI40" s="11">
        <v>44222</v>
      </c>
      <c r="BJ40" s="801">
        <v>2.349355083908477E-3</v>
      </c>
      <c r="BK40" s="801">
        <v>3.2287269821667576E-3</v>
      </c>
      <c r="BL40" s="801">
        <v>4.2787151996790925E-3</v>
      </c>
      <c r="BM40" s="801">
        <v>6.079103268566817E-3</v>
      </c>
      <c r="BN40" s="801">
        <v>9.334563328114184E-3</v>
      </c>
      <c r="BO40" s="802">
        <v>1.5369473417750842E-2</v>
      </c>
      <c r="BP40" s="801">
        <v>3.8389360199148279E-2</v>
      </c>
      <c r="BQ40" s="801">
        <v>8.5940237900867036E-2</v>
      </c>
      <c r="BR40" s="801">
        <v>0.14741455358905037</v>
      </c>
      <c r="BS40" s="801">
        <v>0.20534844756038262</v>
      </c>
      <c r="BT40" s="801">
        <v>0.25142920174415784</v>
      </c>
      <c r="BW40" s="1136">
        <f>'2018'!R\Max</f>
        <v>0</v>
      </c>
      <c r="BX40" s="1134">
        <f>'2019'!R\Max</f>
        <v>0.50089514423469028</v>
      </c>
      <c r="BY40" s="1134">
        <f>'2020'!R\Max</f>
        <v>0.22668545977735755</v>
      </c>
      <c r="BZ40" s="1134">
        <f>'2021'!R\Max</f>
        <v>0.60964675010089042</v>
      </c>
      <c r="CA40" s="1134">
        <f>'2022'!R\Max</f>
        <v>0.95658573831930416</v>
      </c>
      <c r="CB40" s="1134">
        <f>'2023'!R\Max</f>
        <v>0.95651174225585855</v>
      </c>
      <c r="CC40" s="1134">
        <f>'2024'!R\Max</f>
        <v>0.95643736945532642</v>
      </c>
      <c r="CD40" s="1134">
        <f>'2025'!R\Max</f>
        <v>0.95628360906346566</v>
      </c>
      <c r="CE40" s="1134">
        <f>'2026'!R\Max</f>
        <v>0.95663558903084045</v>
      </c>
      <c r="CF40" s="1135">
        <f>'2027'!R\Max</f>
        <v>0.95662515153339589</v>
      </c>
    </row>
    <row r="41" spans="1:84" s="6" customFormat="1" ht="11.25" x14ac:dyDescent="0.2">
      <c r="A41" s="11">
        <v>43127</v>
      </c>
      <c r="B41" s="380">
        <f>'2023'!Maxi_hp</f>
        <v>33.12688956731003</v>
      </c>
      <c r="C41" s="85">
        <f>'2023'!An_max</f>
        <v>2022</v>
      </c>
      <c r="D41" s="1087" t="str">
        <f t="shared" si="7"/>
        <v/>
      </c>
      <c r="E41" s="747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836">
        <f t="shared" si="9"/>
        <v>0.35714285714285715</v>
      </c>
      <c r="J41" s="827">
        <f t="shared" si="27"/>
        <v>35.28430457232254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836">
        <f t="shared" si="14"/>
        <v>0.32142857142857145</v>
      </c>
      <c r="AT41" s="853">
        <f t="shared" si="15"/>
        <v>35.499193873655585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836">
        <f t="shared" si="19"/>
        <v>0.8214285714285714</v>
      </c>
      <c r="AY41" s="853">
        <f t="shared" si="20"/>
        <v>35.206432659970595</v>
      </c>
      <c r="AZ41" s="827">
        <f t="shared" si="26"/>
        <v>35.352813266813087</v>
      </c>
      <c r="BA41" s="660">
        <f t="shared" si="21"/>
        <v>0.93885624129021905</v>
      </c>
      <c r="BB41" s="655">
        <v>43127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924">
        <f>1+[2]!Salcycl*Ksac</f>
        <v>1.0000055417689426</v>
      </c>
      <c r="BH41" s="1080">
        <f t="shared" si="22"/>
        <v>6.1273917043313314E-3</v>
      </c>
      <c r="BI41" s="11">
        <v>44223</v>
      </c>
      <c r="BJ41" s="801">
        <v>2.4002551783669735E-3</v>
      </c>
      <c r="BK41" s="801">
        <v>3.2894530360799705E-3</v>
      </c>
      <c r="BL41" s="801">
        <v>4.346857624780695E-3</v>
      </c>
      <c r="BM41" s="801">
        <v>6.1272694504997212E-3</v>
      </c>
      <c r="BN41" s="801">
        <v>9.3567144793017688E-3</v>
      </c>
      <c r="BO41" s="802">
        <v>1.5237148586793115E-2</v>
      </c>
      <c r="BP41" s="801">
        <v>3.6801318398829642E-2</v>
      </c>
      <c r="BQ41" s="801">
        <v>8.3508652010333029E-2</v>
      </c>
      <c r="BR41" s="801">
        <v>0.1453362544936822</v>
      </c>
      <c r="BS41" s="801">
        <v>0.20595203979056156</v>
      </c>
      <c r="BT41" s="801">
        <v>0.25510995293069189</v>
      </c>
      <c r="BW41" s="1136">
        <f>'2018'!R\Max</f>
        <v>0</v>
      </c>
      <c r="BX41" s="1134">
        <f>'2019'!R\Max</f>
        <v>0.42523096824498219</v>
      </c>
      <c r="BY41" s="1134">
        <f>'2020'!R\Max</f>
        <v>0.31594359145782985</v>
      </c>
      <c r="BZ41" s="1134">
        <f>'2021'!R\Max</f>
        <v>0.18983039069887772</v>
      </c>
      <c r="CA41" s="1134">
        <f>'2022'!R\Max</f>
        <v>0.93885624129021905</v>
      </c>
      <c r="CB41" s="1134">
        <f>'2023'!R\Max</f>
        <v>0.93876135575542718</v>
      </c>
      <c r="CC41" s="1134">
        <f>'2024'!R\Max</f>
        <v>0.93866596633182686</v>
      </c>
      <c r="CD41" s="1134">
        <f>'2025'!R\Max</f>
        <v>0.9384593198950606</v>
      </c>
      <c r="CE41" s="1134">
        <f>'2026'!R\Max</f>
        <v>0.93892301120122301</v>
      </c>
      <c r="CF41" s="1135">
        <f>'2027'!R\Max</f>
        <v>0.93890883502112676</v>
      </c>
    </row>
    <row r="42" spans="1:84" s="6" customFormat="1" ht="11.25" x14ac:dyDescent="0.2">
      <c r="A42" s="11">
        <v>43128</v>
      </c>
      <c r="B42" s="380">
        <f>'2023'!Maxi_hp</f>
        <v>17.427879917759782</v>
      </c>
      <c r="C42" s="85">
        <f>'2023'!An_max</f>
        <v>2021</v>
      </c>
      <c r="D42" s="1087" t="str">
        <f t="shared" si="7"/>
        <v/>
      </c>
      <c r="E42" s="747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836">
        <f t="shared" si="9"/>
        <v>0.42857142857142855</v>
      </c>
      <c r="J42" s="827">
        <f t="shared" si="27"/>
        <v>35.625411078280635</v>
      </c>
      <c r="M42" s="6" t="s">
        <v>241</v>
      </c>
      <c r="AC42" s="7"/>
      <c r="AD42" s="7"/>
      <c r="AE42" s="7"/>
      <c r="AF42" s="7"/>
      <c r="AH42" s="7"/>
      <c r="AI42" s="74"/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836">
        <f t="shared" si="14"/>
        <v>0.2857142857142857</v>
      </c>
      <c r="AT42" s="853">
        <f t="shared" si="15"/>
        <v>35.826660112850369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836">
        <f t="shared" si="19"/>
        <v>0.7857142857142857</v>
      </c>
      <c r="AY42" s="853">
        <f t="shared" si="20"/>
        <v>35.53298553525071</v>
      </c>
      <c r="AZ42" s="827">
        <f t="shared" si="26"/>
        <v>35.67982282405054</v>
      </c>
      <c r="BA42" s="660">
        <f t="shared" si="21"/>
        <v>0.48919800193926327</v>
      </c>
      <c r="BB42" s="655">
        <v>43128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924">
        <f>1+[2]!Salcycl*Ksac</f>
        <v>1.0000023636445017</v>
      </c>
      <c r="BH42" s="1080">
        <f t="shared" si="22"/>
        <v>6.180476593453877E-3</v>
      </c>
      <c r="BI42" s="11">
        <v>44224</v>
      </c>
      <c r="BJ42" s="801">
        <v>2.4536214726039304E-3</v>
      </c>
      <c r="BK42" s="801">
        <v>3.353529921418115E-3</v>
      </c>
      <c r="BL42" s="801">
        <v>4.4190036218638299E-3</v>
      </c>
      <c r="BM42" s="801">
        <v>6.1803552363643164E-3</v>
      </c>
      <c r="BN42" s="801">
        <v>9.3861120165842048E-3</v>
      </c>
      <c r="BO42" s="802">
        <v>1.5158132746648812E-2</v>
      </c>
      <c r="BP42" s="801">
        <v>3.5256113628280961E-2</v>
      </c>
      <c r="BQ42" s="801">
        <v>8.0902754090183826E-2</v>
      </c>
      <c r="BR42" s="801">
        <v>0.14291471014769527</v>
      </c>
      <c r="BS42" s="801">
        <v>0.20620371048685915</v>
      </c>
      <c r="BT42" s="801">
        <v>0.25873949618798842</v>
      </c>
      <c r="BW42" s="1136">
        <f>'2018'!R\Max</f>
        <v>0</v>
      </c>
      <c r="BX42" s="1134">
        <f>'2019'!R\Max</f>
        <v>0.37341212380892802</v>
      </c>
      <c r="BY42" s="1134">
        <f>'2020'!R\Max</f>
        <v>0.46305995298897962</v>
      </c>
      <c r="BZ42" s="1134">
        <f>'2021'!R\Max</f>
        <v>0.48919800193926327</v>
      </c>
      <c r="CA42" s="1134">
        <f>'2022'!R\Max</f>
        <v>0.12587441924547363</v>
      </c>
      <c r="CB42" s="1134">
        <f>'2023'!R\Max</f>
        <v>0.12574007449631647</v>
      </c>
      <c r="CC42" s="1134">
        <f>'2024'!R\Max</f>
        <v>0.12560523431715165</v>
      </c>
      <c r="CD42" s="1134">
        <f>'2025'!R\Max</f>
        <v>0.12530010981241471</v>
      </c>
      <c r="CE42" s="1134">
        <f>'2026'!R\Max</f>
        <v>0.12597441266305126</v>
      </c>
      <c r="CF42" s="1135">
        <f>'2027'!R\Max</f>
        <v>0.12595298381440054</v>
      </c>
    </row>
    <row r="43" spans="1:84" s="6" customFormat="1" ht="11.25" x14ac:dyDescent="0.2">
      <c r="A43" s="11">
        <v>43129</v>
      </c>
      <c r="B43" s="380">
        <f>'2023'!Maxi_hp</f>
        <v>22.511927090396647</v>
      </c>
      <c r="C43" s="85">
        <f>'2023'!An_max</f>
        <v>2020</v>
      </c>
      <c r="D43" s="1087" t="str">
        <f t="shared" si="7"/>
        <v/>
      </c>
      <c r="E43" s="747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836">
        <f t="shared" si="9"/>
        <v>0.5</v>
      </c>
      <c r="J43" s="827">
        <f t="shared" si="27"/>
        <v>35.970968749606982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836">
        <f t="shared" si="14"/>
        <v>0.25</v>
      </c>
      <c r="AT43" s="853">
        <f t="shared" si="15"/>
        <v>36.15460879355669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836">
        <f t="shared" si="19"/>
        <v>0.75</v>
      </c>
      <c r="AY43" s="853">
        <f t="shared" si="20"/>
        <v>35.865723131457344</v>
      </c>
      <c r="AZ43" s="827">
        <f t="shared" si="26"/>
        <v>36.010165962507017</v>
      </c>
      <c r="BA43" s="660">
        <f t="shared" si="21"/>
        <v>0.62583599699806836</v>
      </c>
      <c r="BB43" s="655">
        <v>43129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924">
        <f>1+[2]!Salcycl*Ksac</f>
        <v>1.0000007633158847</v>
      </c>
      <c r="BH43" s="1080">
        <f t="shared" si="22"/>
        <v>6.2384865528126304E-3</v>
      </c>
      <c r="BI43" s="11">
        <v>44225</v>
      </c>
      <c r="BJ43" s="801">
        <v>2.5094545076297724E-3</v>
      </c>
      <c r="BK43" s="801">
        <v>3.4209588228103333E-3</v>
      </c>
      <c r="BL43" s="801">
        <v>4.4951553448284642E-3</v>
      </c>
      <c r="BM43" s="801">
        <v>6.2383660041797351E-3</v>
      </c>
      <c r="BN43" s="801">
        <v>9.422766673738309E-3</v>
      </c>
      <c r="BO43" s="802">
        <v>1.5132452250129972E-2</v>
      </c>
      <c r="BP43" s="801">
        <v>3.375387060382997E-2</v>
      </c>
      <c r="BQ43" s="801">
        <v>7.8122765642287637E-2</v>
      </c>
      <c r="BR43" s="801">
        <v>0.14015019967738396</v>
      </c>
      <c r="BS43" s="801">
        <v>0.2061036828108089</v>
      </c>
      <c r="BT43" s="801">
        <v>0.26231796942511909</v>
      </c>
      <c r="BW43" s="1136">
        <f>'2018'!R\Max</f>
        <v>0</v>
      </c>
      <c r="BX43" s="1134">
        <f>'2019'!R\Max</f>
        <v>0.15065700335483179</v>
      </c>
      <c r="BY43" s="1134">
        <f>'2020'!R\Max</f>
        <v>0.62583599699806836</v>
      </c>
      <c r="BZ43" s="1134">
        <f>'2021'!R\Max</f>
        <v>0.43014064214588299</v>
      </c>
      <c r="CA43" s="1134">
        <f>'2022'!R\Max</f>
        <v>0.18535006282876976</v>
      </c>
      <c r="CB43" s="1134">
        <f>'2023'!R\Max</f>
        <v>0.18516854180984571</v>
      </c>
      <c r="CC43" s="1134">
        <f>'2024'!R\Max</f>
        <v>0.18498624846040179</v>
      </c>
      <c r="CD43" s="1134">
        <f>'2025'!R\Max</f>
        <v>0.18455374182299439</v>
      </c>
      <c r="CE43" s="1134">
        <f>'2026'!R\Max</f>
        <v>0.18549443439434771</v>
      </c>
      <c r="CF43" s="1135">
        <f>'2027'!R\Max</f>
        <v>0.18546339295361422</v>
      </c>
    </row>
    <row r="44" spans="1:84" s="6" customFormat="1" ht="11.25" x14ac:dyDescent="0.2">
      <c r="A44" s="11">
        <v>43130</v>
      </c>
      <c r="B44" s="380">
        <f>'2023'!Maxi_hp</f>
        <v>10.423685229998675</v>
      </c>
      <c r="C44" s="85">
        <f>'2023'!An_max</f>
        <v>2020</v>
      </c>
      <c r="D44" s="1087" t="str">
        <f t="shared" si="7"/>
        <v/>
      </c>
      <c r="E44" s="747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836">
        <f t="shared" si="9"/>
        <v>0.5714285714285714</v>
      </c>
      <c r="J44" s="827">
        <f t="shared" si="27"/>
        <v>36.319793002360633</v>
      </c>
      <c r="L44" s="858">
        <f>AK13</f>
        <v>297.46999999999997</v>
      </c>
      <c r="M44" s="858">
        <f>M13</f>
        <v>272.84499999999997</v>
      </c>
      <c r="N44" s="848">
        <f>O13</f>
        <v>336.87</v>
      </c>
      <c r="O44" s="848">
        <f>Q13</f>
        <v>432.41500000000002</v>
      </c>
      <c r="P44" s="848">
        <f>S13</f>
        <v>518.11</v>
      </c>
      <c r="Q44" s="848">
        <f>U13</f>
        <v>576.22500000000002</v>
      </c>
      <c r="R44" s="848">
        <f>W13</f>
        <v>596.91</v>
      </c>
      <c r="S44" s="848">
        <f>Y13</f>
        <v>591.98500000000001</v>
      </c>
      <c r="T44" s="848">
        <f>AA13</f>
        <v>568.34500000000003</v>
      </c>
      <c r="U44" s="848">
        <f>AC13</f>
        <v>538.79499999999996</v>
      </c>
      <c r="V44" s="848">
        <f>AE13</f>
        <v>507.10347293908853</v>
      </c>
      <c r="W44" s="848">
        <f>AG13</f>
        <v>458.02499999999998</v>
      </c>
      <c r="X44" s="848">
        <f>AI13</f>
        <v>382.18</v>
      </c>
      <c r="Y44" s="848">
        <f>AK13</f>
        <v>297.46999999999997</v>
      </c>
      <c r="Z44" s="848">
        <f>AM13</f>
        <v>272.84499999999997</v>
      </c>
      <c r="AA44" s="856">
        <f>AO13</f>
        <v>336.87</v>
      </c>
      <c r="AB44" s="856">
        <f>Q13</f>
        <v>432.41500000000002</v>
      </c>
      <c r="AD44" s="7"/>
      <c r="AE44" s="7"/>
      <c r="AF44" s="7"/>
      <c r="AH44" s="7"/>
      <c r="AI44" s="74"/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836">
        <f t="shared" si="14"/>
        <v>0.21428571428571427</v>
      </c>
      <c r="AT44" s="853">
        <f t="shared" si="15"/>
        <v>36.482459464948626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836">
        <f t="shared" si="19"/>
        <v>0.7142857142857143</v>
      </c>
      <c r="AY44" s="853">
        <f t="shared" si="20"/>
        <v>36.204057991185358</v>
      </c>
      <c r="AZ44" s="827">
        <f t="shared" si="26"/>
        <v>36.343258728066992</v>
      </c>
      <c r="BA44" s="660">
        <f t="shared" si="21"/>
        <v>0.28699737438815193</v>
      </c>
      <c r="BB44" s="655">
        <v>43130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924">
        <f>1+[2]!Salcycl*Ksac</f>
        <v>1.0000007281722267</v>
      </c>
      <c r="BH44" s="1080">
        <f t="shared" si="22"/>
        <v>6.3025344205191883E-3</v>
      </c>
      <c r="BI44" s="11">
        <v>44226</v>
      </c>
      <c r="BJ44" s="801">
        <v>2.5648676590492602E-3</v>
      </c>
      <c r="BK44" s="801">
        <v>3.4893325460873194E-3</v>
      </c>
      <c r="BL44" s="801">
        <v>4.5741250651333502E-3</v>
      </c>
      <c r="BM44" s="801">
        <v>6.3024145554440233E-3</v>
      </c>
      <c r="BN44" s="801">
        <v>9.4687584321100759E-3</v>
      </c>
      <c r="BO44" s="802">
        <v>1.5164011343271703E-2</v>
      </c>
      <c r="BP44" s="801">
        <v>3.2368786829336832E-2</v>
      </c>
      <c r="BQ44" s="801">
        <v>7.5293541197385294E-2</v>
      </c>
      <c r="BR44" s="801">
        <v>0.13706974134902361</v>
      </c>
      <c r="BS44" s="801">
        <v>0.20545452556281929</v>
      </c>
      <c r="BT44" s="801">
        <v>0.26538692593736429</v>
      </c>
      <c r="BW44" s="1136">
        <f>'2018'!R\Max</f>
        <v>0</v>
      </c>
      <c r="BX44" s="1134">
        <f>'2019'!R\Max</f>
        <v>0.22146315290850718</v>
      </c>
      <c r="BY44" s="1134">
        <f>'2020'!R\Max</f>
        <v>0.28699737438815193</v>
      </c>
      <c r="BZ44" s="1134">
        <f>'2021'!R\Max</f>
        <v>0.21573453301230239</v>
      </c>
      <c r="CA44" s="1134">
        <f>'2022'!R\Max</f>
        <v>0.15053813277011782</v>
      </c>
      <c r="CB44" s="1134">
        <f>'2023'!R\Max</f>
        <v>0.15040323023392299</v>
      </c>
      <c r="CC44" s="1134">
        <f>'2024'!R\Max</f>
        <v>0.15026767010798264</v>
      </c>
      <c r="CD44" s="1134">
        <f>'2025'!R\Max</f>
        <v>0.1499310973794119</v>
      </c>
      <c r="CE44" s="1134">
        <f>'2026'!R\Max</f>
        <v>0.15065387267549127</v>
      </c>
      <c r="CF44" s="1135">
        <f>'2027'!R\Max</f>
        <v>0.15062904539310257</v>
      </c>
    </row>
    <row r="45" spans="1:84" s="6" customFormat="1" ht="11.25" x14ac:dyDescent="0.2">
      <c r="A45" s="11">
        <v>43131</v>
      </c>
      <c r="B45" s="380">
        <f>'2023'!Maxi_hp</f>
        <v>26.210661022055326</v>
      </c>
      <c r="C45" s="85">
        <f>'2023'!An_max</f>
        <v>2020</v>
      </c>
      <c r="D45" s="1087" t="str">
        <f t="shared" si="7"/>
        <v/>
      </c>
      <c r="E45" s="747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836">
        <f t="shared" si="9"/>
        <v>0.6428571428571429</v>
      </c>
      <c r="J45" s="827">
        <f t="shared" si="27"/>
        <v>36.670699252327907</v>
      </c>
      <c r="L45" s="838" t="s">
        <v>220</v>
      </c>
      <c r="M45" s="868">
        <f t="shared" ref="M45:AA45" si="48">L43</f>
        <v>43065</v>
      </c>
      <c r="N45" s="869">
        <f t="shared" si="48"/>
        <v>43093</v>
      </c>
      <c r="O45" s="817">
        <f t="shared" si="48"/>
        <v>43122</v>
      </c>
      <c r="P45" s="817">
        <f t="shared" si="48"/>
        <v>43150</v>
      </c>
      <c r="Q45" s="817">
        <f t="shared" si="48"/>
        <v>43178</v>
      </c>
      <c r="R45" s="817">
        <f t="shared" si="48"/>
        <v>43206</v>
      </c>
      <c r="S45" s="817">
        <f t="shared" si="48"/>
        <v>43234</v>
      </c>
      <c r="T45" s="817">
        <f t="shared" si="48"/>
        <v>43262</v>
      </c>
      <c r="U45" s="817">
        <f t="shared" si="48"/>
        <v>43290</v>
      </c>
      <c r="V45" s="817">
        <f t="shared" si="48"/>
        <v>43318</v>
      </c>
      <c r="W45" s="817">
        <f t="shared" si="48"/>
        <v>43346</v>
      </c>
      <c r="X45" s="817">
        <f t="shared" si="48"/>
        <v>43374</v>
      </c>
      <c r="Y45" s="817">
        <f t="shared" si="48"/>
        <v>43402</v>
      </c>
      <c r="Z45" s="817">
        <f t="shared" si="48"/>
        <v>43430</v>
      </c>
      <c r="AA45" s="861">
        <f t="shared" si="48"/>
        <v>43458</v>
      </c>
      <c r="AD45" s="7"/>
      <c r="AE45" s="7"/>
      <c r="AF45" s="7"/>
      <c r="AH45" s="7"/>
      <c r="AI45" s="74"/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836">
        <f t="shared" si="14"/>
        <v>0.17857142857142858</v>
      </c>
      <c r="AT45" s="853">
        <f t="shared" si="15"/>
        <v>36.809631675268925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836">
        <f t="shared" si="19"/>
        <v>0.6785714285714286</v>
      </c>
      <c r="AY45" s="853">
        <f t="shared" si="20"/>
        <v>36.547402661652974</v>
      </c>
      <c r="AZ45" s="827">
        <f t="shared" si="26"/>
        <v>36.678517168460949</v>
      </c>
      <c r="BA45" s="660">
        <f t="shared" si="21"/>
        <v>0.71475760093097862</v>
      </c>
      <c r="BB45" s="655">
        <v>43131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924">
        <f>1+[2]!Salcycl*Ksac</f>
        <v>1.000002234868119</v>
      </c>
      <c r="BH45" s="1080">
        <f t="shared" si="22"/>
        <v>6.3725961201461E-3</v>
      </c>
      <c r="BI45" s="11">
        <v>44227</v>
      </c>
      <c r="BJ45" s="801">
        <v>2.6167797335191205E-3</v>
      </c>
      <c r="BK45" s="801">
        <v>3.5561741344220382E-3</v>
      </c>
      <c r="BL45" s="801">
        <v>4.6543282770211214E-3</v>
      </c>
      <c r="BM45" s="801">
        <v>6.3724767872949022E-3</v>
      </c>
      <c r="BN45" s="801">
        <v>9.5247614887177898E-3</v>
      </c>
      <c r="BO45" s="802">
        <v>1.5211273520336405E-2</v>
      </c>
      <c r="BP45" s="801">
        <v>3.1132091341894975E-2</v>
      </c>
      <c r="BQ45" s="801">
        <v>7.2526017459657588E-2</v>
      </c>
      <c r="BR45" s="801">
        <v>0.13384358515809183</v>
      </c>
      <c r="BS45" s="801">
        <v>0.20431598925131658</v>
      </c>
      <c r="BT45" s="801">
        <v>0.26783511343346506</v>
      </c>
      <c r="BW45" s="1136">
        <f>'2018'!R\Max</f>
        <v>0</v>
      </c>
      <c r="BX45" s="1134">
        <f>'2019'!R\Max</f>
        <v>0.22422842088570832</v>
      </c>
      <c r="BY45" s="1134">
        <f>'2020'!R\Max</f>
        <v>0.71475760093097862</v>
      </c>
      <c r="BZ45" s="1134">
        <f>'2021'!R\Max</f>
        <v>0.19523114429310459</v>
      </c>
      <c r="CA45" s="1134">
        <f>'2022'!R\Max</f>
        <v>0.20460239989563717</v>
      </c>
      <c r="CB45" s="1134">
        <f>'2023'!R\Max</f>
        <v>0.2044343536994376</v>
      </c>
      <c r="CC45" s="1134">
        <f>'2024'!R\Max</f>
        <v>0.20426537939155709</v>
      </c>
      <c r="CD45" s="1134">
        <f>'2025'!R\Max</f>
        <v>0.20382846139476685</v>
      </c>
      <c r="CE45" s="1134">
        <f>'2026'!R\Max</f>
        <v>0.20475784443934192</v>
      </c>
      <c r="CF45" s="1135">
        <f>'2027'!R\Max</f>
        <v>0.20472457168543251</v>
      </c>
    </row>
    <row r="46" spans="1:84" s="6" customFormat="1" ht="11.25" x14ac:dyDescent="0.2">
      <c r="A46" s="11">
        <v>43132</v>
      </c>
      <c r="B46" s="380">
        <f>'2023'!Maxi_hp</f>
        <v>29.47119267155292</v>
      </c>
      <c r="C46" s="85">
        <f>'2023'!An_max</f>
        <v>2019</v>
      </c>
      <c r="D46" s="1087" t="str">
        <f t="shared" si="7"/>
        <v/>
      </c>
      <c r="E46" s="747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836">
        <f t="shared" si="9"/>
        <v>0.7142857142857143</v>
      </c>
      <c r="J46" s="827">
        <f t="shared" si="27"/>
        <v>37.022502914909275</v>
      </c>
      <c r="L46" s="839" t="s">
        <v>221</v>
      </c>
      <c r="M46" s="860">
        <f t="shared" ref="M46:AA46" si="49">L44</f>
        <v>297.46999999999997</v>
      </c>
      <c r="N46" s="864">
        <f t="shared" si="49"/>
        <v>272.84499999999997</v>
      </c>
      <c r="O46" s="823">
        <f t="shared" si="49"/>
        <v>336.87</v>
      </c>
      <c r="P46" s="823">
        <f t="shared" si="49"/>
        <v>432.41500000000002</v>
      </c>
      <c r="Q46" s="823">
        <f t="shared" si="49"/>
        <v>518.11</v>
      </c>
      <c r="R46" s="823">
        <f t="shared" si="49"/>
        <v>576.22500000000002</v>
      </c>
      <c r="S46" s="823">
        <f t="shared" si="49"/>
        <v>596.91</v>
      </c>
      <c r="T46" s="823">
        <f t="shared" si="49"/>
        <v>591.98500000000001</v>
      </c>
      <c r="U46" s="823">
        <f t="shared" si="49"/>
        <v>568.34500000000003</v>
      </c>
      <c r="V46" s="823">
        <f t="shared" si="49"/>
        <v>538.79499999999996</v>
      </c>
      <c r="W46" s="823">
        <f t="shared" si="49"/>
        <v>507.10347293908853</v>
      </c>
      <c r="X46" s="823">
        <f t="shared" si="49"/>
        <v>458.02499999999998</v>
      </c>
      <c r="Y46" s="823">
        <f t="shared" si="49"/>
        <v>382.18</v>
      </c>
      <c r="Z46" s="823">
        <f t="shared" si="49"/>
        <v>297.46999999999997</v>
      </c>
      <c r="AA46" s="862">
        <f t="shared" si="49"/>
        <v>272.84499999999997</v>
      </c>
      <c r="AD46" s="7"/>
      <c r="AE46" s="7"/>
      <c r="AF46" s="7"/>
      <c r="AH46" s="7"/>
      <c r="AI46" s="74"/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836">
        <f t="shared" si="14"/>
        <v>0.14285714285714285</v>
      </c>
      <c r="AT46" s="853">
        <f t="shared" si="15"/>
        <v>37.135544972441025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836">
        <f t="shared" si="19"/>
        <v>0.6428571428571429</v>
      </c>
      <c r="AY46" s="853">
        <f t="shared" si="20"/>
        <v>36.895169685674567</v>
      </c>
      <c r="AZ46" s="827">
        <f t="shared" si="26"/>
        <v>37.015357329057792</v>
      </c>
      <c r="BA46" s="660">
        <f t="shared" si="21"/>
        <v>0.79603458305582631</v>
      </c>
      <c r="BB46" s="655">
        <v>43132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924">
        <f>1+[2]!Salcycl*Ksac</f>
        <v>1.0000052492131288</v>
      </c>
      <c r="BH46" s="1080">
        <f t="shared" si="22"/>
        <v>6.4486764522646445E-3</v>
      </c>
      <c r="BI46" s="11">
        <v>44228</v>
      </c>
      <c r="BJ46" s="801">
        <v>2.6651922075034344E-3</v>
      </c>
      <c r="BK46" s="801">
        <v>3.6214855174829265E-3</v>
      </c>
      <c r="BL46" s="801">
        <v>4.7357675680996031E-3</v>
      </c>
      <c r="BM46" s="801">
        <v>6.4485575001442677E-3</v>
      </c>
      <c r="BN46" s="801">
        <v>9.5907848541323532E-3</v>
      </c>
      <c r="BO46" s="802">
        <v>1.5274254841012073E-2</v>
      </c>
      <c r="BP46" s="801">
        <v>3.0043861181073356E-2</v>
      </c>
      <c r="BQ46" s="801">
        <v>6.9820388990395041E-2</v>
      </c>
      <c r="BR46" s="801">
        <v>0.13047203441390215</v>
      </c>
      <c r="BS46" s="801">
        <v>0.20268840712103398</v>
      </c>
      <c r="BT46" s="801">
        <v>0.26966281316846535</v>
      </c>
      <c r="BW46" s="1136">
        <f>'2018'!R\Max</f>
        <v>0</v>
      </c>
      <c r="BX46" s="1134">
        <f>'2019'!R\Max</f>
        <v>0.79603458305582631</v>
      </c>
      <c r="BY46" s="1134">
        <f>'2020'!R\Max</f>
        <v>0.43652693838793288</v>
      </c>
      <c r="BZ46" s="1134">
        <f>'2021'!R\Max</f>
        <v>0.24013370101559736</v>
      </c>
      <c r="CA46" s="1134">
        <f>'2022'!R\Max</f>
        <v>0.41937650313110786</v>
      </c>
      <c r="CB46" s="1134">
        <f>'2023'!R\Max</f>
        <v>0.41911403506278566</v>
      </c>
      <c r="CC46" s="1134">
        <f>'2024'!R\Max</f>
        <v>0.4188498761882159</v>
      </c>
      <c r="CD46" s="1134">
        <f>'2025'!R\Max</f>
        <v>0.41814249413100252</v>
      </c>
      <c r="CE46" s="1134">
        <f>'2026'!R\Max</f>
        <v>0.41963782086177681</v>
      </c>
      <c r="CF46" s="1135">
        <f>'2027'!R\Max</f>
        <v>0.41958200090058179</v>
      </c>
    </row>
    <row r="47" spans="1:84" s="6" customFormat="1" ht="11.25" x14ac:dyDescent="0.2">
      <c r="A47" s="11">
        <v>43133</v>
      </c>
      <c r="B47" s="380">
        <f>'2023'!Maxi_hp</f>
        <v>31.55257955620117</v>
      </c>
      <c r="C47" s="85">
        <f>'2023'!An_max</f>
        <v>2021</v>
      </c>
      <c r="D47" s="1087" t="str">
        <f t="shared" si="7"/>
        <v/>
      </c>
      <c r="E47" s="747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836">
        <f t="shared" si="9"/>
        <v>0.7857142857142857</v>
      </c>
      <c r="J47" s="827">
        <f t="shared" si="27"/>
        <v>37.374019405738053</v>
      </c>
      <c r="L47" s="839" t="s">
        <v>222</v>
      </c>
      <c r="M47" s="871">
        <f t="shared" ref="M47:AA47" si="50">M43</f>
        <v>43093</v>
      </c>
      <c r="N47" s="818">
        <f t="shared" si="50"/>
        <v>43122</v>
      </c>
      <c r="O47" s="818">
        <f t="shared" si="50"/>
        <v>43150</v>
      </c>
      <c r="P47" s="818">
        <f t="shared" si="50"/>
        <v>43178</v>
      </c>
      <c r="Q47" s="818">
        <f t="shared" si="50"/>
        <v>43206</v>
      </c>
      <c r="R47" s="818">
        <f t="shared" si="50"/>
        <v>43234</v>
      </c>
      <c r="S47" s="818">
        <f t="shared" si="50"/>
        <v>43262</v>
      </c>
      <c r="T47" s="818">
        <f t="shared" si="50"/>
        <v>43290</v>
      </c>
      <c r="U47" s="818">
        <f t="shared" si="50"/>
        <v>43318</v>
      </c>
      <c r="V47" s="818">
        <f t="shared" si="50"/>
        <v>43346</v>
      </c>
      <c r="W47" s="818">
        <f t="shared" si="50"/>
        <v>43374</v>
      </c>
      <c r="X47" s="818">
        <f t="shared" si="50"/>
        <v>43402</v>
      </c>
      <c r="Y47" s="818">
        <f t="shared" si="50"/>
        <v>43430</v>
      </c>
      <c r="Z47" s="863">
        <f t="shared" si="50"/>
        <v>43458</v>
      </c>
      <c r="AA47" s="870">
        <f t="shared" si="50"/>
        <v>43487</v>
      </c>
      <c r="AD47" s="7"/>
      <c r="AE47" s="7"/>
      <c r="AF47" s="7"/>
      <c r="AH47" s="7"/>
      <c r="AI47" s="74"/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836">
        <f t="shared" si="14"/>
        <v>0.10714285714285714</v>
      </c>
      <c r="AT47" s="853">
        <f t="shared" si="15"/>
        <v>37.459618905392873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836">
        <f t="shared" si="19"/>
        <v>0.6071428571428571</v>
      </c>
      <c r="AY47" s="853">
        <f t="shared" si="20"/>
        <v>37.246771610375227</v>
      </c>
      <c r="AZ47" s="827">
        <f t="shared" si="26"/>
        <v>37.353195257884053</v>
      </c>
      <c r="BA47" s="660">
        <f t="shared" si="21"/>
        <v>0.84423832539020105</v>
      </c>
      <c r="BB47" s="655">
        <v>43133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924">
        <f>1+[2]!Salcycl*Ksac</f>
        <v>1.0000097262502217</v>
      </c>
      <c r="BH47" s="1080">
        <f t="shared" si="22"/>
        <v>6.5307801369602911E-3</v>
      </c>
      <c r="BI47" s="11">
        <v>44229</v>
      </c>
      <c r="BJ47" s="801">
        <v>2.7101070624538366E-3</v>
      </c>
      <c r="BK47" s="801">
        <v>3.6852690644959643E-3</v>
      </c>
      <c r="BL47" s="801">
        <v>4.8184458357774466E-3</v>
      </c>
      <c r="BM47" s="801">
        <v>6.5306614139316781E-3</v>
      </c>
      <c r="BN47" s="801">
        <v>9.6668371027512183E-3</v>
      </c>
      <c r="BO47" s="802">
        <v>1.5352970477739245E-2</v>
      </c>
      <c r="BP47" s="801">
        <v>2.9104156681342419E-2</v>
      </c>
      <c r="BQ47" s="801">
        <v>6.7176832090558761E-2</v>
      </c>
      <c r="BR47" s="801">
        <v>0.12695538649245883</v>
      </c>
      <c r="BS47" s="801">
        <v>0.20057214117213551</v>
      </c>
      <c r="BT47" s="801">
        <v>0.27087036232446865</v>
      </c>
      <c r="BW47" s="1136">
        <f>'2018'!R\Max</f>
        <v>0</v>
      </c>
      <c r="BX47" s="1134">
        <f>'2019'!R\Max</f>
        <v>7.8481610881339633E-2</v>
      </c>
      <c r="BY47" s="1134">
        <f>'2020'!R\Max</f>
        <v>0.83657302674169531</v>
      </c>
      <c r="BZ47" s="1134">
        <f>'2021'!R\Max</f>
        <v>0.84423832539020105</v>
      </c>
      <c r="CA47" s="1134">
        <f>'2022'!R\Max</f>
        <v>0.15632659287018294</v>
      </c>
      <c r="CB47" s="1134">
        <f>'2023'!R\Max</f>
        <v>0.15621777250669178</v>
      </c>
      <c r="CC47" s="1134">
        <f>'2024'!R\Max</f>
        <v>0.15610820953403862</v>
      </c>
      <c r="CD47" s="1134">
        <f>'2025'!R\Max</f>
        <v>0.15580692044408173</v>
      </c>
      <c r="CE47" s="1134">
        <f>'2026'!R\Max</f>
        <v>0.15644297026146461</v>
      </c>
      <c r="CF47" s="1135">
        <f>'2027'!R\Max</f>
        <v>0.1564181520549931</v>
      </c>
    </row>
    <row r="48" spans="1:84" s="6" customFormat="1" ht="11.25" x14ac:dyDescent="0.2">
      <c r="A48" s="11">
        <v>43134</v>
      </c>
      <c r="B48" s="380">
        <f>'2023'!Maxi_hp</f>
        <v>28.70079034414249</v>
      </c>
      <c r="C48" s="85">
        <f>'2023'!An_max</f>
        <v>2020</v>
      </c>
      <c r="D48" s="1087" t="str">
        <f t="shared" si="7"/>
        <v/>
      </c>
      <c r="E48" s="747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836">
        <f t="shared" si="9"/>
        <v>0.8571428571428571</v>
      </c>
      <c r="J48" s="827">
        <f t="shared" si="27"/>
        <v>37.724064139862143</v>
      </c>
      <c r="L48" s="839" t="s">
        <v>223</v>
      </c>
      <c r="M48" s="864">
        <f t="shared" ref="M48:AA48" si="51">M44</f>
        <v>272.84499999999997</v>
      </c>
      <c r="N48" s="824">
        <f t="shared" si="51"/>
        <v>336.87</v>
      </c>
      <c r="O48" s="824">
        <f t="shared" si="51"/>
        <v>432.41500000000002</v>
      </c>
      <c r="P48" s="824">
        <f t="shared" si="51"/>
        <v>518.11</v>
      </c>
      <c r="Q48" s="824">
        <f t="shared" si="51"/>
        <v>576.22500000000002</v>
      </c>
      <c r="R48" s="824">
        <f t="shared" si="51"/>
        <v>596.91</v>
      </c>
      <c r="S48" s="824">
        <f t="shared" si="51"/>
        <v>591.98500000000001</v>
      </c>
      <c r="T48" s="824">
        <f t="shared" si="51"/>
        <v>568.34500000000003</v>
      </c>
      <c r="U48" s="824">
        <f t="shared" si="51"/>
        <v>538.79499999999996</v>
      </c>
      <c r="V48" s="824">
        <f t="shared" si="51"/>
        <v>507.10347293908853</v>
      </c>
      <c r="W48" s="824">
        <f t="shared" si="51"/>
        <v>458.02499999999998</v>
      </c>
      <c r="X48" s="824">
        <f t="shared" si="51"/>
        <v>382.18</v>
      </c>
      <c r="Y48" s="824">
        <f t="shared" si="51"/>
        <v>297.46999999999997</v>
      </c>
      <c r="Z48" s="862">
        <f t="shared" si="51"/>
        <v>272.84499999999997</v>
      </c>
      <c r="AA48" s="860">
        <f t="shared" si="51"/>
        <v>336.87</v>
      </c>
      <c r="AD48" s="7"/>
      <c r="AE48" s="7"/>
      <c r="AF48" s="7"/>
      <c r="AH48" s="7"/>
      <c r="AI48" s="74"/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836">
        <f t="shared" si="14"/>
        <v>7.1428571428571425E-2</v>
      </c>
      <c r="AT48" s="853">
        <f t="shared" si="15"/>
        <v>37.781273021988042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836">
        <f t="shared" si="19"/>
        <v>0.5714285714285714</v>
      </c>
      <c r="AY48" s="853">
        <f t="shared" si="20"/>
        <v>37.6016209781436</v>
      </c>
      <c r="AZ48" s="827">
        <f t="shared" si="26"/>
        <v>37.691447000065821</v>
      </c>
      <c r="BA48" s="660">
        <f t="shared" si="21"/>
        <v>0.76080854485174709</v>
      </c>
      <c r="BB48" s="655">
        <v>43134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924">
        <f>1+[2]!Salcycl*Ksac</f>
        <v>1.0000156105181879</v>
      </c>
      <c r="BH48" s="1080">
        <f t="shared" si="22"/>
        <v>6.6189118900882209E-3</v>
      </c>
      <c r="BI48" s="11">
        <v>44230</v>
      </c>
      <c r="BJ48" s="801">
        <v>2.7515267414894781E-3</v>
      </c>
      <c r="BK48" s="801">
        <v>3.7475275656983216E-3</v>
      </c>
      <c r="BL48" s="801">
        <v>4.9023663034769155E-3</v>
      </c>
      <c r="BM48" s="801">
        <v>6.6187932443779506E-3</v>
      </c>
      <c r="BN48" s="801">
        <v>9.7529264995472025E-3</v>
      </c>
      <c r="BO48" s="802">
        <v>1.5447434914556491E-2</v>
      </c>
      <c r="BP48" s="801">
        <v>2.8313023331971002E-2</v>
      </c>
      <c r="BQ48" s="801">
        <v>6.4595505583497873E-2</v>
      </c>
      <c r="BR48" s="801">
        <v>0.12329393103654029</v>
      </c>
      <c r="BS48" s="801">
        <v>0.19796757607611334</v>
      </c>
      <c r="BT48" s="801">
        <v>0.27145814629543025</v>
      </c>
      <c r="BW48" s="1136">
        <f>'2018'!R\Max</f>
        <v>0</v>
      </c>
      <c r="BX48" s="1134">
        <f>'2019'!R\Max</f>
        <v>0.37781166239033742</v>
      </c>
      <c r="BY48" s="1134">
        <f>'2020'!R\Max</f>
        <v>0.76080854485174709</v>
      </c>
      <c r="BZ48" s="1134">
        <f>'2021'!R\Max</f>
        <v>0.69218514618737825</v>
      </c>
      <c r="CA48" s="1134">
        <f>'2022'!R\Max</f>
        <v>0.33880340271390885</v>
      </c>
      <c r="CB48" s="1134">
        <f>'2023'!R\Max</f>
        <v>0.33859696943685313</v>
      </c>
      <c r="CC48" s="1134">
        <f>'2024'!R\Max</f>
        <v>0.33838899027644742</v>
      </c>
      <c r="CD48" s="1134">
        <f>'2025'!R\Max</f>
        <v>0.33780670168147603</v>
      </c>
      <c r="CE48" s="1134">
        <f>'2026'!R\Max</f>
        <v>0.33903956343694608</v>
      </c>
      <c r="CF48" s="1135">
        <f>'2027'!R\Max</f>
        <v>0.33898928058434247</v>
      </c>
    </row>
    <row r="49" spans="1:84" s="6" customFormat="1" ht="11.25" x14ac:dyDescent="0.2">
      <c r="A49" s="11">
        <v>43135</v>
      </c>
      <c r="B49" s="380">
        <f>'2023'!Maxi_hp</f>
        <v>29.923583051666235</v>
      </c>
      <c r="C49" s="85">
        <f>'2023'!An_max</f>
        <v>2019</v>
      </c>
      <c r="D49" s="1087" t="str">
        <f t="shared" si="7"/>
        <v/>
      </c>
      <c r="E49" s="747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836">
        <f t="shared" si="9"/>
        <v>0.9285714285714286</v>
      </c>
      <c r="J49" s="827">
        <f t="shared" si="27"/>
        <v>38.071452532828388</v>
      </c>
      <c r="L49" s="839" t="s">
        <v>224</v>
      </c>
      <c r="M49" s="866">
        <f t="shared" ref="M49:AA49" si="52">N43</f>
        <v>43122</v>
      </c>
      <c r="N49" s="819">
        <f t="shared" si="52"/>
        <v>43150</v>
      </c>
      <c r="O49" s="819">
        <f t="shared" si="52"/>
        <v>43178</v>
      </c>
      <c r="P49" s="819">
        <f t="shared" si="52"/>
        <v>43206</v>
      </c>
      <c r="Q49" s="819">
        <f t="shared" si="52"/>
        <v>43234</v>
      </c>
      <c r="R49" s="819">
        <f t="shared" si="52"/>
        <v>43262</v>
      </c>
      <c r="S49" s="819">
        <f t="shared" si="52"/>
        <v>43290</v>
      </c>
      <c r="T49" s="819">
        <f t="shared" si="52"/>
        <v>43318</v>
      </c>
      <c r="U49" s="819">
        <f t="shared" si="52"/>
        <v>43346</v>
      </c>
      <c r="V49" s="819">
        <f t="shared" si="52"/>
        <v>43374</v>
      </c>
      <c r="W49" s="819">
        <f t="shared" si="52"/>
        <v>43402</v>
      </c>
      <c r="X49" s="819">
        <f t="shared" si="52"/>
        <v>43430</v>
      </c>
      <c r="Y49" s="819">
        <f t="shared" si="52"/>
        <v>43458</v>
      </c>
      <c r="Z49" s="872">
        <f t="shared" si="52"/>
        <v>43487</v>
      </c>
      <c r="AA49" s="870">
        <f t="shared" si="52"/>
        <v>43515</v>
      </c>
      <c r="AD49" s="7"/>
      <c r="AE49" s="7"/>
      <c r="AF49" s="7"/>
      <c r="AH49" s="7"/>
      <c r="AI49" s="74"/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836">
        <f t="shared" si="14"/>
        <v>3.5714285714285712E-2</v>
      </c>
      <c r="AT49" s="853">
        <f t="shared" si="15"/>
        <v>38.099926870715407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836">
        <f t="shared" si="19"/>
        <v>0.5357142857142857</v>
      </c>
      <c r="AY49" s="853">
        <f t="shared" si="20"/>
        <v>37.959130336044886</v>
      </c>
      <c r="AZ49" s="827">
        <f t="shared" si="26"/>
        <v>38.029528603380143</v>
      </c>
      <c r="BA49" s="660">
        <f t="shared" si="21"/>
        <v>0.78598480123298742</v>
      </c>
      <c r="BB49" s="655">
        <v>43135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924">
        <f>1+[2]!Salcycl*Ksac</f>
        <v>1.0000228364913626</v>
      </c>
      <c r="BH49" s="1080">
        <f t="shared" si="22"/>
        <v>6.7130764995581528E-3</v>
      </c>
      <c r="BI49" s="11">
        <v>44231</v>
      </c>
      <c r="BJ49" s="801">
        <v>2.7894541060892058E-3</v>
      </c>
      <c r="BK49" s="801">
        <v>3.8082642138085559E-3</v>
      </c>
      <c r="BL49" s="801">
        <v>4.9875325368682723E-3</v>
      </c>
      <c r="BM49" s="801">
        <v>6.7129577792680887E-3</v>
      </c>
      <c r="BN49" s="801">
        <v>9.849061126860818E-3</v>
      </c>
      <c r="BO49" s="802">
        <v>1.5557662146015103E-2</v>
      </c>
      <c r="BP49" s="801">
        <v>2.7670493637056221E-2</v>
      </c>
      <c r="BQ49" s="801">
        <v>6.2076551597979042E-2</v>
      </c>
      <c r="BR49" s="801">
        <v>0.11948794815637225</v>
      </c>
      <c r="BS49" s="801">
        <v>0.19487511309260805</v>
      </c>
      <c r="BT49" s="801">
        <v>0.2714265909731835</v>
      </c>
      <c r="BW49" s="1136">
        <f>'2018'!R\Max</f>
        <v>0</v>
      </c>
      <c r="BX49" s="1134">
        <f>'2019'!R\Max</f>
        <v>0.78598480123298742</v>
      </c>
      <c r="BY49" s="1134">
        <f>'2020'!R\Max</f>
        <v>0.4908715743463502</v>
      </c>
      <c r="BZ49" s="1134">
        <f>'2021'!R\Max</f>
        <v>0.43483133744248853</v>
      </c>
      <c r="CA49" s="1134">
        <f>'2022'!R\Max</f>
        <v>0.32199144592721557</v>
      </c>
      <c r="CB49" s="1134">
        <f>'2023'!R\Max</f>
        <v>0.32180375261560196</v>
      </c>
      <c r="CC49" s="1134">
        <f>'2024'!R\Max</f>
        <v>0.3216145668933299</v>
      </c>
      <c r="CD49" s="1134">
        <f>'2025'!R\Max</f>
        <v>0.3210813711122299</v>
      </c>
      <c r="CE49" s="1134">
        <f>'2026'!R\Max</f>
        <v>0.32221997236726041</v>
      </c>
      <c r="CF49" s="1135">
        <f>'2027'!R\Max</f>
        <v>0.32217138010781715</v>
      </c>
    </row>
    <row r="50" spans="1:84" s="6" customFormat="1" ht="11.25" x14ac:dyDescent="0.2">
      <c r="A50" s="11">
        <v>43136</v>
      </c>
      <c r="B50" s="380">
        <f>'2023'!Maxi_hp</f>
        <v>37.591562892350396</v>
      </c>
      <c r="C50" s="85">
        <f>'2023'!An_max</f>
        <v>2020</v>
      </c>
      <c r="D50" s="1087">
        <f t="shared" si="7"/>
        <v>0.97856469848532968</v>
      </c>
      <c r="E50" s="835">
        <f>P$13/10</f>
        <v>38.414999999999999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836">
        <f t="shared" si="9"/>
        <v>1</v>
      </c>
      <c r="J50" s="827">
        <f t="shared" si="27"/>
        <v>38.415000000037253</v>
      </c>
      <c r="L50" s="839" t="s">
        <v>225</v>
      </c>
      <c r="M50" s="867">
        <f t="shared" ref="M50:AA50" si="53">N44</f>
        <v>336.87</v>
      </c>
      <c r="N50" s="824">
        <f t="shared" si="53"/>
        <v>432.41500000000002</v>
      </c>
      <c r="O50" s="824">
        <f t="shared" si="53"/>
        <v>518.11</v>
      </c>
      <c r="P50" s="824">
        <f t="shared" si="53"/>
        <v>576.22500000000002</v>
      </c>
      <c r="Q50" s="824">
        <f t="shared" si="53"/>
        <v>596.91</v>
      </c>
      <c r="R50" s="824">
        <f t="shared" si="53"/>
        <v>591.98500000000001</v>
      </c>
      <c r="S50" s="824">
        <f t="shared" si="53"/>
        <v>568.34500000000003</v>
      </c>
      <c r="T50" s="824">
        <f t="shared" si="53"/>
        <v>538.79499999999996</v>
      </c>
      <c r="U50" s="824">
        <f t="shared" si="53"/>
        <v>507.10347293908853</v>
      </c>
      <c r="V50" s="824">
        <f t="shared" si="53"/>
        <v>458.02499999999998</v>
      </c>
      <c r="W50" s="824">
        <f t="shared" si="53"/>
        <v>382.18</v>
      </c>
      <c r="X50" s="824">
        <f t="shared" si="53"/>
        <v>297.46999999999997</v>
      </c>
      <c r="Y50" s="824">
        <f t="shared" si="53"/>
        <v>272.84499999999997</v>
      </c>
      <c r="Z50" s="873">
        <f t="shared" si="53"/>
        <v>336.87</v>
      </c>
      <c r="AA50" s="860">
        <f t="shared" si="53"/>
        <v>432.41500000000002</v>
      </c>
      <c r="AD50" s="7"/>
      <c r="AE50" s="7"/>
      <c r="AF50" s="7"/>
      <c r="AH50" s="7"/>
      <c r="AI50" s="74"/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836">
        <f t="shared" si="14"/>
        <v>0</v>
      </c>
      <c r="AT50" s="853">
        <f t="shared" si="15"/>
        <v>38.415000000037253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836">
        <f t="shared" si="19"/>
        <v>0.5</v>
      </c>
      <c r="AY50" s="853">
        <f t="shared" si="20"/>
        <v>38.318712227791551</v>
      </c>
      <c r="AZ50" s="827">
        <f t="shared" si="26"/>
        <v>38.366856113914402</v>
      </c>
      <c r="BA50" s="660">
        <f t="shared" si="21"/>
        <v>0.97856469848532968</v>
      </c>
      <c r="BB50" s="655">
        <v>43136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924">
        <f>1+[2]!Salcycl*Ksac</f>
        <v>1.0000313291882306</v>
      </c>
      <c r="BH50" s="1080">
        <f t="shared" si="22"/>
        <v>6.8132789016149258E-3</v>
      </c>
      <c r="BI50" s="11">
        <v>44232</v>
      </c>
      <c r="BJ50" s="801">
        <v>2.8238923927820705E-3</v>
      </c>
      <c r="BK50" s="801">
        <v>3.8674825854945996E-3</v>
      </c>
      <c r="BL50" s="801">
        <v>5.0739484601012757E-3</v>
      </c>
      <c r="BM50" s="801">
        <v>6.8131599547299393E-3</v>
      </c>
      <c r="BN50" s="801">
        <v>9.9552490111857374E-3</v>
      </c>
      <c r="BO50" s="802">
        <v>1.5683665876082397E-2</v>
      </c>
      <c r="BP50" s="801">
        <v>2.7176588975518872E-2</v>
      </c>
      <c r="BQ50" s="801">
        <v>5.9620096351128693E-2</v>
      </c>
      <c r="BR50" s="801">
        <v>0.11553770663015206</v>
      </c>
      <c r="BS50" s="801">
        <v>0.19129516398603674</v>
      </c>
      <c r="BT50" s="801">
        <v>0.27077615503325791</v>
      </c>
      <c r="BW50" s="1136">
        <f>'2018'!R\Max</f>
        <v>0</v>
      </c>
      <c r="BX50" s="1134">
        <f>'2019'!R\Max</f>
        <v>9.0463059164977086E-2</v>
      </c>
      <c r="BY50" s="1134">
        <f>'2020'!R\Max</f>
        <v>0.97856469848532968</v>
      </c>
      <c r="BZ50" s="1134">
        <f>'2021'!R\Max</f>
        <v>0.34924165332616519</v>
      </c>
      <c r="CA50" s="1134">
        <f>'2022'!R\Max</f>
        <v>0.30151394833040968</v>
      </c>
      <c r="CB50" s="1134">
        <f>'2023'!R\Max</f>
        <v>0.30134367052616962</v>
      </c>
      <c r="CC50" s="1134">
        <f>'2024'!R\Max</f>
        <v>0.30117198502020304</v>
      </c>
      <c r="CD50" s="1134">
        <f>'2025'!R\Max</f>
        <v>0.30069130177795583</v>
      </c>
      <c r="CE50" s="1134">
        <f>'2026'!R\Max</f>
        <v>0.30173313103511634</v>
      </c>
      <c r="CF50" s="1135">
        <f>'2027'!R\Max</f>
        <v>0.30168657843195357</v>
      </c>
    </row>
    <row r="51" spans="1:84" s="6" customFormat="1" ht="11.25" x14ac:dyDescent="0.2">
      <c r="A51" s="11">
        <v>43137</v>
      </c>
      <c r="B51" s="380">
        <f>'2023'!Maxi_hp</f>
        <v>39.747861870771352</v>
      </c>
      <c r="C51" s="85">
        <f>'2023'!An_max</f>
        <v>2020</v>
      </c>
      <c r="D51" s="1087">
        <f t="shared" si="7"/>
        <v>1.0255488094496483</v>
      </c>
      <c r="E51" s="747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836">
        <f t="shared" si="9"/>
        <v>0.9285714285714286</v>
      </c>
      <c r="J51" s="827">
        <f t="shared" si="27"/>
        <v>38.757650054804984</v>
      </c>
      <c r="L51" s="840" t="s">
        <v>226</v>
      </c>
      <c r="M51" s="821">
        <f t="shared" ref="M51:AA51" si="54">x.1ld*x.1ld-x.2ld*x.2ld</f>
        <v>-2412424</v>
      </c>
      <c r="N51" s="821">
        <f t="shared" si="54"/>
        <v>-2500235</v>
      </c>
      <c r="O51" s="821">
        <f t="shared" si="54"/>
        <v>-2415616</v>
      </c>
      <c r="P51" s="821">
        <f t="shared" si="54"/>
        <v>-2417184</v>
      </c>
      <c r="Q51" s="821">
        <f t="shared" si="54"/>
        <v>-2418752</v>
      </c>
      <c r="R51" s="821">
        <f t="shared" si="54"/>
        <v>-2420320</v>
      </c>
      <c r="S51" s="821">
        <f t="shared" si="54"/>
        <v>-2421888</v>
      </c>
      <c r="T51" s="821">
        <f t="shared" si="54"/>
        <v>-2423456</v>
      </c>
      <c r="U51" s="821">
        <f t="shared" si="54"/>
        <v>-2425024</v>
      </c>
      <c r="V51" s="821">
        <f t="shared" si="54"/>
        <v>-2426592</v>
      </c>
      <c r="W51" s="821">
        <f t="shared" si="54"/>
        <v>-2428160</v>
      </c>
      <c r="X51" s="821">
        <f t="shared" si="54"/>
        <v>-2429728</v>
      </c>
      <c r="Y51" s="821">
        <f t="shared" si="54"/>
        <v>-2431296</v>
      </c>
      <c r="Z51" s="821">
        <f t="shared" si="54"/>
        <v>-2432864</v>
      </c>
      <c r="AA51" s="821">
        <f t="shared" si="54"/>
        <v>-2521405</v>
      </c>
      <c r="AC51" s="7"/>
      <c r="AD51" s="7"/>
      <c r="AE51" s="7"/>
      <c r="AF51" s="7"/>
      <c r="AH51" s="7"/>
      <c r="AI51" s="74"/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836">
        <f t="shared" si="14"/>
        <v>3.5714285714285712E-2</v>
      </c>
      <c r="AT51" s="853">
        <f t="shared" si="15"/>
        <v>38.730292433633331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836">
        <f t="shared" si="19"/>
        <v>0.4642857142857143</v>
      </c>
      <c r="AY51" s="853">
        <f t="shared" si="20"/>
        <v>38.679779199623901</v>
      </c>
      <c r="AZ51" s="827">
        <f t="shared" si="26"/>
        <v>38.705035816628616</v>
      </c>
      <c r="BA51" s="660">
        <f t="shared" si="21"/>
        <v>1.0255488094496483</v>
      </c>
      <c r="BB51" s="655">
        <v>43137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924">
        <f>1+[2]!Salcycl*Ksac</f>
        <v>1.0000410049389212</v>
      </c>
      <c r="BH51" s="1080">
        <f t="shared" si="22"/>
        <v>6.9195242571059717E-3</v>
      </c>
      <c r="BI51" s="11">
        <v>44233</v>
      </c>
      <c r="BJ51" s="801">
        <v>2.8548451698322819E-3</v>
      </c>
      <c r="BK51" s="801">
        <v>3.9251866228342753E-3</v>
      </c>
      <c r="BL51" s="801">
        <v>5.1616183720269958E-3</v>
      </c>
      <c r="BM51" s="801">
        <v>6.9194049314997659E-3</v>
      </c>
      <c r="BN51" s="801">
        <v>1.0071498249934828E-2</v>
      </c>
      <c r="BO51" s="802">
        <v>1.5825459717014035E-2</v>
      </c>
      <c r="BP51" s="801">
        <v>2.6831321461040798E-2</v>
      </c>
      <c r="BQ51" s="801">
        <v>5.7226250931233826E-2</v>
      </c>
      <c r="BR51" s="801">
        <v>0.11144346210430274</v>
      </c>
      <c r="BS51" s="801">
        <v>0.18722814494179363</v>
      </c>
      <c r="BT51" s="801">
        <v>0.26950732222012819</v>
      </c>
      <c r="BW51" s="1136">
        <f>'2018'!R\Max</f>
        <v>0</v>
      </c>
      <c r="BX51" s="1134">
        <f>'2019'!R\Max</f>
        <v>0.25586941240468403</v>
      </c>
      <c r="BY51" s="1134">
        <f>'2020'!R\Max</f>
        <v>1.0255488094496483</v>
      </c>
      <c r="BZ51" s="1134">
        <f>'2021'!R\Max</f>
        <v>0.24054005994952565</v>
      </c>
      <c r="CA51" s="1134">
        <f>'2022'!R\Max</f>
        <v>0.65984007950057511</v>
      </c>
      <c r="CB51" s="1134">
        <f>'2023'!R\Max</f>
        <v>0.65966776331314836</v>
      </c>
      <c r="CC51" s="1134">
        <f>'2024'!R\Max</f>
        <v>0.65949390031684718</v>
      </c>
      <c r="CD51" s="1134">
        <f>'2025'!R\Max</f>
        <v>0.65901725295242664</v>
      </c>
      <c r="CE51" s="1134">
        <f>'2026'!R\Max</f>
        <v>0.66007251085402585</v>
      </c>
      <c r="CF51" s="1135">
        <f>'2027'!R\Max</f>
        <v>0.66002320579906693</v>
      </c>
    </row>
    <row r="52" spans="1:84" s="6" customFormat="1" ht="11.25" x14ac:dyDescent="0.2">
      <c r="A52" s="11">
        <v>43138</v>
      </c>
      <c r="B52" s="380">
        <f>'2023'!Maxi_hp</f>
        <v>25.290736794333089</v>
      </c>
      <c r="C52" s="85">
        <f>'2023'!An_max</f>
        <v>2020</v>
      </c>
      <c r="D52" s="1087" t="str">
        <f t="shared" si="7"/>
        <v/>
      </c>
      <c r="E52" s="747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836">
        <f t="shared" si="9"/>
        <v>0.8571428571428571</v>
      </c>
      <c r="J52" s="827">
        <f t="shared" si="27"/>
        <v>39.102776968080022</v>
      </c>
      <c r="L52" s="840" t="s">
        <v>227</v>
      </c>
      <c r="M52" s="821">
        <f t="shared" ref="M52:AA52" si="55">x.2ld*x.2ld-x.3ld*x.3ld</f>
        <v>-2500235</v>
      </c>
      <c r="N52" s="821">
        <f t="shared" si="55"/>
        <v>-2415616</v>
      </c>
      <c r="O52" s="821">
        <f t="shared" si="55"/>
        <v>-2417184</v>
      </c>
      <c r="P52" s="821">
        <f t="shared" si="55"/>
        <v>-2418752</v>
      </c>
      <c r="Q52" s="821">
        <f t="shared" si="55"/>
        <v>-2420320</v>
      </c>
      <c r="R52" s="821">
        <f t="shared" si="55"/>
        <v>-2421888</v>
      </c>
      <c r="S52" s="821">
        <f t="shared" si="55"/>
        <v>-2423456</v>
      </c>
      <c r="T52" s="821">
        <f t="shared" si="55"/>
        <v>-2425024</v>
      </c>
      <c r="U52" s="821">
        <f t="shared" si="55"/>
        <v>-2426592</v>
      </c>
      <c r="V52" s="821">
        <f t="shared" si="55"/>
        <v>-2428160</v>
      </c>
      <c r="W52" s="821">
        <f t="shared" si="55"/>
        <v>-2429728</v>
      </c>
      <c r="X52" s="821">
        <f t="shared" si="55"/>
        <v>-2431296</v>
      </c>
      <c r="Y52" s="821">
        <f t="shared" si="55"/>
        <v>-2432864</v>
      </c>
      <c r="Z52" s="821">
        <f t="shared" si="55"/>
        <v>-2521405</v>
      </c>
      <c r="AA52" s="821">
        <f t="shared" si="55"/>
        <v>-2436056</v>
      </c>
      <c r="AC52" s="7"/>
      <c r="AD52" s="7"/>
      <c r="AE52" s="7"/>
      <c r="AF52" s="7"/>
      <c r="AH52" s="7"/>
      <c r="AI52" s="74"/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836">
        <f t="shared" si="14"/>
        <v>7.1428571428571425E-2</v>
      </c>
      <c r="AT52" s="853">
        <f t="shared" si="15"/>
        <v>39.049757834883145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836">
        <f t="shared" si="19"/>
        <v>0.42857142857142855</v>
      </c>
      <c r="AY52" s="853">
        <f t="shared" si="20"/>
        <v>39.041743794615776</v>
      </c>
      <c r="AZ52" s="827">
        <f t="shared" si="26"/>
        <v>39.045750814749461</v>
      </c>
      <c r="BA52" s="660">
        <f t="shared" si="21"/>
        <v>0.64677597744472637</v>
      </c>
      <c r="BB52" s="655">
        <v>43138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924">
        <f>1+[2]!Salcycl*Ksac</f>
        <v>1.0000517723001634</v>
      </c>
      <c r="BH52" s="1080">
        <f t="shared" si="22"/>
        <v>7.0291686192512194E-3</v>
      </c>
      <c r="BI52" s="11">
        <v>44234</v>
      </c>
      <c r="BJ52" s="801">
        <v>2.8847581750299878E-3</v>
      </c>
      <c r="BK52" s="801">
        <v>3.981934852365504E-3</v>
      </c>
      <c r="BL52" s="801">
        <v>5.2490775892675449E-3</v>
      </c>
      <c r="BM52" s="801">
        <v>7.0290487363236535E-3</v>
      </c>
      <c r="BN52" s="801">
        <v>1.0195864200252621E-2</v>
      </c>
      <c r="BO52" s="802">
        <v>1.5981400051414837E-2</v>
      </c>
      <c r="BP52" s="801">
        <v>2.6635159688541854E-2</v>
      </c>
      <c r="BQ52" s="801">
        <v>5.5006250188035476E-2</v>
      </c>
      <c r="BR52" s="801">
        <v>0.10734383547256643</v>
      </c>
      <c r="BS52" s="801">
        <v>0.18272322983448139</v>
      </c>
      <c r="BT52" s="801">
        <v>0.26735526546114807</v>
      </c>
      <c r="BW52" s="1136">
        <f>'2018'!R\Max</f>
        <v>0</v>
      </c>
      <c r="BX52" s="1134">
        <f>'2019'!R\Max</f>
        <v>0.15571087380738047</v>
      </c>
      <c r="BY52" s="1134">
        <f>'2020'!R\Max</f>
        <v>0.64677597744472637</v>
      </c>
      <c r="BZ52" s="1134">
        <f>'2021'!R\Max</f>
        <v>0.59542917072639956</v>
      </c>
      <c r="CA52" s="1134">
        <f>'2022'!R\Max</f>
        <v>0.25747882567294378</v>
      </c>
      <c r="CB52" s="1134">
        <f>'2023'!R\Max</f>
        <v>0.25734603253743993</v>
      </c>
      <c r="CC52" s="1134">
        <f>'2024'!R\Max</f>
        <v>0.25721212824966777</v>
      </c>
      <c r="CD52" s="1134">
        <f>'2025'!R\Max</f>
        <v>0.25685849852707082</v>
      </c>
      <c r="CE52" s="1134">
        <f>'2026'!R\Max</f>
        <v>0.25766496744368778</v>
      </c>
      <c r="CF52" s="1135">
        <f>'2027'!R\Max</f>
        <v>0.25762549486599318</v>
      </c>
    </row>
    <row r="53" spans="1:84" s="6" customFormat="1" ht="11.25" x14ac:dyDescent="0.2">
      <c r="A53" s="11">
        <v>43139</v>
      </c>
      <c r="B53" s="380">
        <f>'2023'!Maxi_hp</f>
        <v>38.92391427435124</v>
      </c>
      <c r="C53" s="85">
        <f>'2023'!An_max</f>
        <v>2022</v>
      </c>
      <c r="D53" s="1087">
        <f t="shared" si="7"/>
        <v>0.98666843800728599</v>
      </c>
      <c r="E53" s="747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836">
        <f t="shared" si="9"/>
        <v>0.7857142857142857</v>
      </c>
      <c r="J53" s="827">
        <f t="shared" si="27"/>
        <v>39.449842292476177</v>
      </c>
      <c r="L53" s="840" t="s">
        <v>228</v>
      </c>
      <c r="M53" s="821">
        <f t="shared" ref="M53:AA53" si="56">(y.1ld-y.2ld-b.ld*(x.1ld-x.2ld))/D2x12Ld</f>
        <v>5.4161805375504676E-2</v>
      </c>
      <c r="N53" s="821">
        <f t="shared" si="56"/>
        <v>2.1132680840028575E-2</v>
      </c>
      <c r="O53" s="821">
        <f t="shared" si="56"/>
        <v>-6.2818877551013303E-3</v>
      </c>
      <c r="P53" s="821">
        <f t="shared" si="56"/>
        <v>-1.758928571428825E-2</v>
      </c>
      <c r="Q53" s="821">
        <f t="shared" si="56"/>
        <v>-2.387117346938878E-2</v>
      </c>
      <c r="R53" s="821">
        <f t="shared" si="56"/>
        <v>-1.6332908163266584E-2</v>
      </c>
      <c r="S53" s="821">
        <f t="shared" si="56"/>
        <v>-1.1935586734692397E-2</v>
      </c>
      <c r="T53" s="821">
        <f t="shared" si="56"/>
        <v>-3.7691326530619081E-3</v>
      </c>
      <c r="U53" s="821">
        <f t="shared" si="56"/>
        <v>-1.3657698092548259E-3</v>
      </c>
      <c r="V53" s="821">
        <f t="shared" si="56"/>
        <v>-1.108861344271418E-2</v>
      </c>
      <c r="W53" s="821">
        <f t="shared" si="56"/>
        <v>-1.707048919700933E-2</v>
      </c>
      <c r="X53" s="821">
        <f t="shared" si="56"/>
        <v>-5.6536989795915316E-3</v>
      </c>
      <c r="Y53" s="821">
        <f t="shared" si="56"/>
        <v>3.8319515306119344E-2</v>
      </c>
      <c r="Z53" s="821">
        <f t="shared" si="56"/>
        <v>5.4161805375500763E-2</v>
      </c>
      <c r="AA53" s="821">
        <f t="shared" si="56"/>
        <v>2.1132680840033509E-2</v>
      </c>
      <c r="AC53" s="7"/>
      <c r="AD53" s="7"/>
      <c r="AE53" s="7"/>
      <c r="AF53" s="7"/>
      <c r="AH53" s="7"/>
      <c r="AI53" s="74"/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836">
        <f t="shared" si="14"/>
        <v>0.10714285714285714</v>
      </c>
      <c r="AT53" s="853">
        <f t="shared" si="15"/>
        <v>39.373046214113543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836">
        <f t="shared" si="19"/>
        <v>0.39285714285714285</v>
      </c>
      <c r="AY53" s="853">
        <f t="shared" si="20"/>
        <v>39.404018559433254</v>
      </c>
      <c r="AZ53" s="827">
        <f t="shared" si="26"/>
        <v>39.388532386773399</v>
      </c>
      <c r="BA53" s="660">
        <f t="shared" si="21"/>
        <v>0.98666843800728599</v>
      </c>
      <c r="BB53" s="655">
        <v>43139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924">
        <f>1+[2]!Salcycl*Ksac</f>
        <v>1.0000635331049719</v>
      </c>
      <c r="BH53" s="1080">
        <f t="shared" si="22"/>
        <v>7.1372279776264575E-3</v>
      </c>
      <c r="BI53" s="11">
        <v>44235</v>
      </c>
      <c r="BJ53" s="801">
        <v>2.9142121685425105E-3</v>
      </c>
      <c r="BK53" s="801">
        <v>4.0368068129504305E-3</v>
      </c>
      <c r="BL53" s="801">
        <v>5.3338453802944203E-3</v>
      </c>
      <c r="BM53" s="801">
        <v>7.1371074751194266E-3</v>
      </c>
      <c r="BN53" s="801">
        <v>1.0320289688435668E-2</v>
      </c>
      <c r="BO53" s="802">
        <v>1.6139482600226445E-2</v>
      </c>
      <c r="BP53" s="801">
        <v>2.6513446620591945E-2</v>
      </c>
      <c r="BQ53" s="801">
        <v>5.3022123416503163E-2</v>
      </c>
      <c r="BR53" s="801">
        <v>0.10340960059388647</v>
      </c>
      <c r="BS53" s="801">
        <v>0.17806961463132187</v>
      </c>
      <c r="BT53" s="801">
        <v>0.26447898070685033</v>
      </c>
      <c r="BW53" s="1136">
        <f>'2018'!R\Max</f>
        <v>0</v>
      </c>
      <c r="BX53" s="1134">
        <f>'2019'!R\Max</f>
        <v>0.81012170502400771</v>
      </c>
      <c r="BY53" s="1134">
        <f>'2020'!R\Max</f>
        <v>0.78376161348899576</v>
      </c>
      <c r="BZ53" s="1134">
        <f>'2021'!R\Max</f>
        <v>0.12181498205882807</v>
      </c>
      <c r="CA53" s="1134">
        <f>'2022'!R\Max</f>
        <v>0.98666843800728599</v>
      </c>
      <c r="CB53" s="1134">
        <f>'2023'!R\Max</f>
        <v>0.98665908157199167</v>
      </c>
      <c r="CC53" s="1134">
        <f>'2024'!R\Max</f>
        <v>0.98664963880492229</v>
      </c>
      <c r="CD53" s="1134">
        <f>'2025'!R\Max</f>
        <v>0.98662566501218152</v>
      </c>
      <c r="CE53" s="1134">
        <f>'2026'!R\Max</f>
        <v>0.98668196745332992</v>
      </c>
      <c r="CF53" s="1135">
        <f>'2027'!R\Max</f>
        <v>0.98667910151952176</v>
      </c>
    </row>
    <row r="54" spans="1:84" s="6" customFormat="1" ht="11.25" x14ac:dyDescent="0.2">
      <c r="A54" s="11">
        <v>43140</v>
      </c>
      <c r="B54" s="380">
        <f>'2023'!Maxi_hp</f>
        <v>39.014114888067162</v>
      </c>
      <c r="C54" s="85">
        <f>'2023'!An_max</f>
        <v>2022</v>
      </c>
      <c r="D54" s="1087">
        <f t="shared" si="7"/>
        <v>0.98029582814295124</v>
      </c>
      <c r="E54" s="747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836">
        <f t="shared" si="9"/>
        <v>0.7142857142857143</v>
      </c>
      <c r="J54" s="827">
        <f t="shared" si="27"/>
        <v>39.798307580248057</v>
      </c>
      <c r="L54" s="840" t="s">
        <v>229</v>
      </c>
      <c r="M54" s="821">
        <f t="shared" ref="M54:AA54" si="57">(y.2ld-y.3ld-(y.1ld-y.2ld)*D2x23Ld/D2x12Ld)/(x.2ld-x.3ld)/(1-(x.2ld+x.3ld)/(x.1ld+x.2ld))</f>
        <v>-4667.3522918284461</v>
      </c>
      <c r="N54" s="821">
        <f t="shared" si="57"/>
        <v>-1819.7463200023737</v>
      </c>
      <c r="O54" s="821">
        <f t="shared" si="57"/>
        <v>545.36334183667338</v>
      </c>
      <c r="P54" s="821">
        <f t="shared" si="57"/>
        <v>1521.5083928573617</v>
      </c>
      <c r="Q54" s="821">
        <f t="shared" si="57"/>
        <v>2064.1629846939659</v>
      </c>
      <c r="R54" s="821">
        <f t="shared" si="57"/>
        <v>1412.5553316327635</v>
      </c>
      <c r="S54" s="821">
        <f t="shared" si="57"/>
        <v>1032.2046173468107</v>
      </c>
      <c r="T54" s="821">
        <f t="shared" si="57"/>
        <v>325.38168367352858</v>
      </c>
      <c r="U54" s="821">
        <f t="shared" si="57"/>
        <v>117.2312344970848</v>
      </c>
      <c r="V54" s="821">
        <f t="shared" si="57"/>
        <v>959.85175514720629</v>
      </c>
      <c r="W54" s="821">
        <f t="shared" si="57"/>
        <v>1478.6000205596818</v>
      </c>
      <c r="X54" s="821">
        <f t="shared" si="57"/>
        <v>487.89663265303477</v>
      </c>
      <c r="Y54" s="821">
        <f t="shared" si="57"/>
        <v>-3330.3855102038119</v>
      </c>
      <c r="Z54" s="821">
        <f t="shared" si="57"/>
        <v>-4706.8904097522245</v>
      </c>
      <c r="AA54" s="821">
        <f t="shared" si="57"/>
        <v>-1835.1731770160238</v>
      </c>
      <c r="AC54" s="7"/>
      <c r="AD54" s="7"/>
      <c r="AE54" s="7"/>
      <c r="AF54" s="7"/>
      <c r="AH54" s="7"/>
      <c r="AI54" s="74"/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836">
        <f t="shared" si="14"/>
        <v>0.14285714285714285</v>
      </c>
      <c r="AT54" s="853">
        <f t="shared" si="15"/>
        <v>39.699807580028263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836">
        <f t="shared" si="19"/>
        <v>0.35714285714285715</v>
      </c>
      <c r="AY54" s="853">
        <f t="shared" si="20"/>
        <v>39.766016038493916</v>
      </c>
      <c r="AZ54" s="827">
        <f t="shared" si="26"/>
        <v>39.73291180926109</v>
      </c>
      <c r="BA54" s="660">
        <f t="shared" si="21"/>
        <v>0.98029582814295124</v>
      </c>
      <c r="BB54" s="655">
        <v>43140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924">
        <f>1+[2]!Salcycl*Ksac</f>
        <v>1.0000761836332104</v>
      </c>
      <c r="BH54" s="1080">
        <f t="shared" si="22"/>
        <v>7.2437106644129929E-3</v>
      </c>
      <c r="BI54" s="11">
        <v>44236</v>
      </c>
      <c r="BJ54" s="801">
        <v>2.9432106385809463E-3</v>
      </c>
      <c r="BK54" s="801">
        <v>4.0898075261174309E-3</v>
      </c>
      <c r="BL54" s="801">
        <v>5.4159283221988661E-3</v>
      </c>
      <c r="BM54" s="801">
        <v>7.2435894799395342E-3</v>
      </c>
      <c r="BN54" s="801">
        <v>1.0444786450421273E-2</v>
      </c>
      <c r="BO54" s="802">
        <v>1.6299725525053113E-2</v>
      </c>
      <c r="BP54" s="801">
        <v>2.6466197372108813E-2</v>
      </c>
      <c r="BQ54" s="801">
        <v>5.1273894454861357E-2</v>
      </c>
      <c r="BR54" s="801">
        <v>9.9640880217207739E-2</v>
      </c>
      <c r="BS54" s="801">
        <v>0.17326760259518981</v>
      </c>
      <c r="BT54" s="801">
        <v>0.260879010671418</v>
      </c>
      <c r="BW54" s="1136">
        <f>'2018'!R\Max</f>
        <v>0</v>
      </c>
      <c r="BX54" s="1134">
        <f>'2019'!R\Max</f>
        <v>0.80021010097272205</v>
      </c>
      <c r="BY54" s="1134">
        <f>'2020'!R\Max</f>
        <v>0.72116101963705737</v>
      </c>
      <c r="BZ54" s="1134">
        <f>'2021'!R\Max</f>
        <v>0.33463402212427279</v>
      </c>
      <c r="CA54" s="1134">
        <f>'2022'!R\Max</f>
        <v>0.98029582814295124</v>
      </c>
      <c r="CB54" s="1134">
        <f>'2023'!R\Max</f>
        <v>0.98028247927725942</v>
      </c>
      <c r="CC54" s="1134">
        <f>'2024'!R\Max</f>
        <v>0.98026901058502391</v>
      </c>
      <c r="CD54" s="1134">
        <f>'2025'!R\Max</f>
        <v>0.98023635363744488</v>
      </c>
      <c r="CE54" s="1134">
        <f>'2026'!R\Max</f>
        <v>0.98031564465901266</v>
      </c>
      <c r="CF54" s="1135">
        <f>'2027'!R\Max</f>
        <v>0.98031144861648589</v>
      </c>
    </row>
    <row r="55" spans="1:84" s="6" customFormat="1" ht="11.25" x14ac:dyDescent="0.2">
      <c r="A55" s="11">
        <v>43141</v>
      </c>
      <c r="B55" s="380">
        <f>'2023'!Maxi_hp</f>
        <v>36.249913549485477</v>
      </c>
      <c r="C55" s="85">
        <f>'2023'!An_max</f>
        <v>2022</v>
      </c>
      <c r="D55" s="1087" t="str">
        <f t="shared" si="7"/>
        <v/>
      </c>
      <c r="E55" s="747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836">
        <f t="shared" si="9"/>
        <v>0.6428571428571429</v>
      </c>
      <c r="J55" s="827">
        <f t="shared" si="27"/>
        <v>40.147634384355378</v>
      </c>
      <c r="L55" s="840" t="s">
        <v>230</v>
      </c>
      <c r="M55" s="821">
        <f t="shared" ref="M55:AA55" si="58">(y.1ld+y.2ld+y.3ld-a.ld*(x.3ld*x.3ld+x.2ld*x.2ld+x.1ld*x.1ld)-b.ld*(x.3ld+x.2ld+x.1ld))/3</f>
        <v>100551652.45260711</v>
      </c>
      <c r="N55" s="821">
        <f t="shared" si="58"/>
        <v>39175072.181734324</v>
      </c>
      <c r="O55" s="821">
        <f t="shared" si="58"/>
        <v>-11835607.631554799</v>
      </c>
      <c r="P55" s="821">
        <f t="shared" si="58"/>
        <v>-32902767.906433295</v>
      </c>
      <c r="Q55" s="821">
        <f t="shared" si="58"/>
        <v>-44621935.240486592</v>
      </c>
      <c r="R55" s="821">
        <f t="shared" si="58"/>
        <v>-30540695.335334018</v>
      </c>
      <c r="S55" s="821">
        <f t="shared" si="58"/>
        <v>-22315992.351489577</v>
      </c>
      <c r="T55" s="821">
        <f t="shared" si="58"/>
        <v>-7021759.3132920973</v>
      </c>
      <c r="U55" s="821">
        <f t="shared" si="58"/>
        <v>-2514886.2587828543</v>
      </c>
      <c r="V55" s="821">
        <f t="shared" si="58"/>
        <v>-20771100.553511031</v>
      </c>
      <c r="W55" s="821">
        <f t="shared" si="58"/>
        <v>-32017561.775205854</v>
      </c>
      <c r="X55" s="821">
        <f t="shared" si="58"/>
        <v>-10525244.715649938</v>
      </c>
      <c r="Y55" s="821">
        <f t="shared" si="58"/>
        <v>72362015.422736496</v>
      </c>
      <c r="Z55" s="821">
        <f t="shared" si="58"/>
        <v>102262451.74563827</v>
      </c>
      <c r="AA55" s="821">
        <f t="shared" si="58"/>
        <v>39842094.989949435</v>
      </c>
      <c r="AB55" s="7"/>
      <c r="AC55" s="7"/>
      <c r="AD55" s="7"/>
      <c r="AE55" s="7"/>
      <c r="AF55" s="7"/>
      <c r="AH55" s="7"/>
      <c r="AI55" s="74"/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836">
        <f t="shared" si="14"/>
        <v>0.17857142857142858</v>
      </c>
      <c r="AT55" s="853">
        <f t="shared" si="15"/>
        <v>40.02969194127779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836">
        <f t="shared" si="19"/>
        <v>0.32142857142857145</v>
      </c>
      <c r="AY55" s="853">
        <f t="shared" si="20"/>
        <v>40.127148776767513</v>
      </c>
      <c r="AZ55" s="827">
        <f t="shared" si="26"/>
        <v>40.078420359022651</v>
      </c>
      <c r="BA55" s="660">
        <f t="shared" si="21"/>
        <v>0.90291530510727291</v>
      </c>
      <c r="BB55" s="655">
        <v>43141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924">
        <f>1+[2]!Salcycl*Ksac</f>
        <v>1.0000896158882131</v>
      </c>
      <c r="BH55" s="1080">
        <f t="shared" si="22"/>
        <v>7.3486255719970618E-3</v>
      </c>
      <c r="BI55" s="11">
        <v>44237</v>
      </c>
      <c r="BJ55" s="801">
        <v>2.9717572267198623E-3</v>
      </c>
      <c r="BK55" s="801">
        <v>4.1409423095283386E-3</v>
      </c>
      <c r="BL55" s="801">
        <v>5.4953334469726792E-3</v>
      </c>
      <c r="BM55" s="801">
        <v>7.3485036430388792E-3</v>
      </c>
      <c r="BN55" s="801">
        <v>1.0569366847781507E-2</v>
      </c>
      <c r="BO55" s="802">
        <v>1.6462147761358528E-2</v>
      </c>
      <c r="BP55" s="801">
        <v>2.6493425660296749E-2</v>
      </c>
      <c r="BQ55" s="801">
        <v>4.9761574706768931E-2</v>
      </c>
      <c r="BR55" s="801">
        <v>9.6037775680776913E-2</v>
      </c>
      <c r="BS55" s="801">
        <v>0.16831747538209899</v>
      </c>
      <c r="BT55" s="801">
        <v>0.25655589156370623</v>
      </c>
      <c r="BW55" s="1136">
        <f>'2018'!R\Max</f>
        <v>0</v>
      </c>
      <c r="BX55" s="1134">
        <f>'2019'!R\Max</f>
        <v>0.22002020704671524</v>
      </c>
      <c r="BY55" s="1134">
        <f>'2020'!R\Max</f>
        <v>0.19812006008895452</v>
      </c>
      <c r="BZ55" s="1134">
        <f>'2021'!R\Max</f>
        <v>0.31193188385715914</v>
      </c>
      <c r="CA55" s="1134">
        <f>'2022'!R\Max</f>
        <v>0.90291530510727291</v>
      </c>
      <c r="CB55" s="1134">
        <f>'2023'!R\Max</f>
        <v>0.90285604430402899</v>
      </c>
      <c r="CC55" s="1134">
        <f>'2024'!R\Max</f>
        <v>0.90279627645272342</v>
      </c>
      <c r="CD55" s="1134">
        <f>'2025'!R\Max</f>
        <v>0.90265851798800745</v>
      </c>
      <c r="CE55" s="1134">
        <f>'2026'!R\Max</f>
        <v>0.90300505168518064</v>
      </c>
      <c r="CF55" s="1135">
        <f>'2027'!R\Max</f>
        <v>0.90298605285976064</v>
      </c>
    </row>
    <row r="56" spans="1:84" s="6" customFormat="1" ht="11.25" x14ac:dyDescent="0.2">
      <c r="A56" s="11">
        <v>43142</v>
      </c>
      <c r="B56" s="380">
        <f>'2023'!Maxi_hp</f>
        <v>32.069160070810902</v>
      </c>
      <c r="C56" s="85">
        <f>'2023'!An_max</f>
        <v>2021</v>
      </c>
      <c r="D56" s="1087" t="str">
        <f t="shared" si="7"/>
        <v/>
      </c>
      <c r="E56" s="747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836">
        <f t="shared" si="9"/>
        <v>0.5714285714285714</v>
      </c>
      <c r="J56" s="827">
        <f t="shared" si="27"/>
        <v>40.497284256826553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836">
        <f t="shared" si="14"/>
        <v>0.21428571428571427</v>
      </c>
      <c r="AT56" s="853">
        <f t="shared" si="15"/>
        <v>40.36234930739073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836">
        <f t="shared" si="19"/>
        <v>0.2857142857142857</v>
      </c>
      <c r="AY56" s="853">
        <f t="shared" si="20"/>
        <v>40.486829319276978</v>
      </c>
      <c r="AZ56" s="827">
        <f t="shared" si="26"/>
        <v>40.424589313333854</v>
      </c>
      <c r="BA56" s="660">
        <f t="shared" si="21"/>
        <v>0.79188421296188671</v>
      </c>
      <c r="BB56" s="655">
        <v>43142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924">
        <f>1+[2]!Salcycl*Ksac</f>
        <v>1.000103718963854</v>
      </c>
      <c r="BH56" s="1080">
        <f t="shared" si="22"/>
        <v>7.4519821337237857E-3</v>
      </c>
      <c r="BI56" s="11">
        <v>44238</v>
      </c>
      <c r="BJ56" s="801">
        <v>2.9998557223617807E-3</v>
      </c>
      <c r="BK56" s="801">
        <v>4.1902167538267676E-3</v>
      </c>
      <c r="BL56" s="801">
        <v>5.5720682082880599E-3</v>
      </c>
      <c r="BM56" s="801">
        <v>7.4518593976279843E-3</v>
      </c>
      <c r="BN56" s="801">
        <v>1.0694043869234783E-2</v>
      </c>
      <c r="BO56" s="802">
        <v>1.6626769046380344E-2</v>
      </c>
      <c r="BP56" s="801">
        <v>2.6595144736756792E-2</v>
      </c>
      <c r="BQ56" s="801">
        <v>4.848516608966872E-2</v>
      </c>
      <c r="BR56" s="801">
        <v>9.2600368977508077E-2</v>
      </c>
      <c r="BS56" s="801">
        <v>0.16321949118075738</v>
      </c>
      <c r="BT56" s="801">
        <v>0.25151014403721944</v>
      </c>
      <c r="BW56" s="1136">
        <f>'2018'!R\Max</f>
        <v>0</v>
      </c>
      <c r="BX56" s="1134">
        <f>'2019'!R\Max</f>
        <v>0.66391912776835915</v>
      </c>
      <c r="BY56" s="1134">
        <f>'2020'!R\Max</f>
        <v>0.18598291774000414</v>
      </c>
      <c r="BZ56" s="1134">
        <f>'2021'!R\Max</f>
        <v>0.79188421296188671</v>
      </c>
      <c r="CA56" s="1134">
        <f>'2022'!R\Max</f>
        <v>0.45039627908340751</v>
      </c>
      <c r="CB56" s="1134">
        <f>'2023'!R\Max</f>
        <v>0.45023143850893632</v>
      </c>
      <c r="CC56" s="1134">
        <f>'2024'!R\Max</f>
        <v>0.45006535060182234</v>
      </c>
      <c r="CD56" s="1134">
        <f>'2025'!R\Max</f>
        <v>0.44970318019760908</v>
      </c>
      <c r="CE56" s="1134">
        <f>'2026'!R\Max</f>
        <v>0.4506494042041056</v>
      </c>
      <c r="CF56" s="1135">
        <f>'2027'!R\Max</f>
        <v>0.4505958104445475</v>
      </c>
    </row>
    <row r="57" spans="1:84" s="6" customFormat="1" ht="11.25" x14ac:dyDescent="0.2">
      <c r="A57" s="11">
        <v>43143</v>
      </c>
      <c r="B57" s="380">
        <f>'2023'!Maxi_hp</f>
        <v>40.986650074876621</v>
      </c>
      <c r="C57" s="85">
        <f>'2023'!An_max</f>
        <v>2019</v>
      </c>
      <c r="D57" s="1087">
        <f t="shared" si="7"/>
        <v>1.0034257665978887</v>
      </c>
      <c r="E57" s="747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836">
        <f t="shared" si="9"/>
        <v>0.5</v>
      </c>
      <c r="J57" s="827">
        <f t="shared" si="27"/>
        <v>40.846718750149009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836">
        <f t="shared" si="14"/>
        <v>0.25</v>
      </c>
      <c r="AT57" s="853">
        <f t="shared" si="15"/>
        <v>40.697429687529805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836">
        <f t="shared" si="19"/>
        <v>0.25</v>
      </c>
      <c r="AY57" s="853">
        <f t="shared" si="20"/>
        <v>40.844470210373402</v>
      </c>
      <c r="AZ57" s="827">
        <f t="shared" si="26"/>
        <v>40.770949948951603</v>
      </c>
      <c r="BA57" s="660">
        <f t="shared" si="21"/>
        <v>1.0034257665978887</v>
      </c>
      <c r="BB57" s="655">
        <v>43143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924">
        <f>1+[2]!Salcycl*Ksac</f>
        <v>1.0001183804858518</v>
      </c>
      <c r="BH57" s="1080">
        <f t="shared" si="22"/>
        <v>7.5537903046025501E-3</v>
      </c>
      <c r="BI57" s="11">
        <v>44239</v>
      </c>
      <c r="BJ57" s="801">
        <v>3.0275100571817196E-3</v>
      </c>
      <c r="BK57" s="801">
        <v>4.2376366994588974E-3</v>
      </c>
      <c r="BL57" s="801">
        <v>5.6461404482411881E-3</v>
      </c>
      <c r="BM57" s="801">
        <v>7.5536666985775922E-3</v>
      </c>
      <c r="BN57" s="801">
        <v>1.081883113208707E-2</v>
      </c>
      <c r="BO57" s="802">
        <v>1.6793609946934334E-2</v>
      </c>
      <c r="BP57" s="801">
        <v>2.6771368319413961E-2</v>
      </c>
      <c r="BQ57" s="801">
        <v>4.7444663982757852E-2</v>
      </c>
      <c r="BR57" s="801">
        <v>8.9328724819603147E-2</v>
      </c>
      <c r="BS57" s="801">
        <v>0.15797388285084735</v>
      </c>
      <c r="BT57" s="801">
        <v>0.24574226413821815</v>
      </c>
      <c r="BW57" s="1136">
        <f>'2018'!R\Max</f>
        <v>0</v>
      </c>
      <c r="BX57" s="1134">
        <f>'2019'!R\Max</f>
        <v>1.0034257665978887</v>
      </c>
      <c r="BY57" s="1134">
        <f>'2020'!R\Max</f>
        <v>0.51065531634081252</v>
      </c>
      <c r="BZ57" s="1134">
        <f>'2021'!R\Max</f>
        <v>0.11178839683031176</v>
      </c>
      <c r="CA57" s="1134">
        <f>'2022'!R\Max</f>
        <v>0.74304758731002063</v>
      </c>
      <c r="CB57" s="1134">
        <f>'2023'!R\Max</f>
        <v>0.74292136546873444</v>
      </c>
      <c r="CC57" s="1134">
        <f>'2024'!R\Max</f>
        <v>0.74279419363191379</v>
      </c>
      <c r="CD57" s="1134">
        <f>'2025'!R\Max</f>
        <v>0.74253227962082446</v>
      </c>
      <c r="CE57" s="1134">
        <f>'2026'!R\Max</f>
        <v>0.74324252660827939</v>
      </c>
      <c r="CF57" s="1135">
        <f>'2027'!R\Max</f>
        <v>0.74320126675118336</v>
      </c>
    </row>
    <row r="58" spans="1:84" s="6" customFormat="1" ht="11.25" x14ac:dyDescent="0.2">
      <c r="A58" s="11">
        <v>43144</v>
      </c>
      <c r="B58" s="380">
        <f>'2023'!Maxi_hp</f>
        <v>42.930559585857665</v>
      </c>
      <c r="C58" s="85">
        <f>'2023'!An_max</f>
        <v>2019</v>
      </c>
      <c r="D58" s="1087">
        <f t="shared" si="7"/>
        <v>1.0421202414155346</v>
      </c>
      <c r="E58" s="747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836">
        <f t="shared" si="9"/>
        <v>0.42857142857142855</v>
      </c>
      <c r="J58" s="827">
        <f t="shared" si="27"/>
        <v>41.195399417195993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836">
        <f t="shared" si="14"/>
        <v>0.2857142857142857</v>
      </c>
      <c r="AT58" s="853">
        <f t="shared" si="15"/>
        <v>41.034583090405377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836">
        <f t="shared" si="19"/>
        <v>0.21428571428571427</v>
      </c>
      <c r="AY58" s="853">
        <f t="shared" si="20"/>
        <v>41.199483996097527</v>
      </c>
      <c r="AZ58" s="827">
        <f t="shared" si="26"/>
        <v>41.117033543251452</v>
      </c>
      <c r="BA58" s="660">
        <f t="shared" si="21"/>
        <v>1.0421202414155346</v>
      </c>
      <c r="BB58" s="655">
        <v>43144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924">
        <f>1+[2]!Salcycl*Ksac</f>
        <v>1.000133488110676</v>
      </c>
      <c r="BH58" s="1080">
        <f t="shared" si="22"/>
        <v>7.653845932036143E-3</v>
      </c>
      <c r="BI58" s="11">
        <v>44240</v>
      </c>
      <c r="BJ58" s="801">
        <v>3.051509807661217E-3</v>
      </c>
      <c r="BK58" s="801">
        <v>4.2796643297458676E-3</v>
      </c>
      <c r="BL58" s="801">
        <v>5.7159741995278859E-3</v>
      </c>
      <c r="BM58" s="801">
        <v>7.6537213513905187E-3</v>
      </c>
      <c r="BN58" s="801">
        <v>1.0944631267251153E-2</v>
      </c>
      <c r="BO58" s="802">
        <v>1.6961659981954307E-2</v>
      </c>
      <c r="BP58" s="801">
        <v>2.7019005816672586E-2</v>
      </c>
      <c r="BQ58" s="801">
        <v>4.6657389424375563E-2</v>
      </c>
      <c r="BR58" s="801">
        <v>8.6342550271652774E-2</v>
      </c>
      <c r="BS58" s="801">
        <v>0.15274307681903224</v>
      </c>
      <c r="BT58" s="801">
        <v>0.23937482599639881</v>
      </c>
      <c r="BW58" s="1136">
        <f>'2018'!R\Max</f>
        <v>0</v>
      </c>
      <c r="BX58" s="1134">
        <f>'2019'!R\Max</f>
        <v>1.0421202414155346</v>
      </c>
      <c r="BY58" s="1134">
        <f>'2020'!R\Max</f>
        <v>0.46392191279065947</v>
      </c>
      <c r="BZ58" s="1134">
        <f>'2021'!R\Max</f>
        <v>0.17995380657606147</v>
      </c>
      <c r="CA58" s="1134">
        <f>'2022'!R\Max</f>
        <v>0.90061977627771084</v>
      </c>
      <c r="CB58" s="1134">
        <f>'2023'!R\Max</f>
        <v>0.90056062040860407</v>
      </c>
      <c r="CC58" s="1134">
        <f>'2024'!R\Max</f>
        <v>0.90050103428293138</v>
      </c>
      <c r="CD58" s="1134">
        <f>'2025'!R\Max</f>
        <v>0.90038529602676987</v>
      </c>
      <c r="CE58" s="1134">
        <f>'2026'!R\Max</f>
        <v>0.90071106102303966</v>
      </c>
      <c r="CF58" s="1135">
        <f>'2027'!R\Max</f>
        <v>0.90069173324507712</v>
      </c>
    </row>
    <row r="59" spans="1:84" s="6" customFormat="1" ht="11.25" x14ac:dyDescent="0.2">
      <c r="A59" s="11">
        <v>43145</v>
      </c>
      <c r="B59" s="380">
        <f>'2023'!Maxi_hp</f>
        <v>42.898613753230741</v>
      </c>
      <c r="C59" s="85">
        <f>'2023'!An_max</f>
        <v>2019</v>
      </c>
      <c r="D59" s="1087">
        <f t="shared" si="7"/>
        <v>1.0326368550311511</v>
      </c>
      <c r="E59" s="747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836">
        <f t="shared" si="9"/>
        <v>0.35714285714285715</v>
      </c>
      <c r="J59" s="827">
        <f t="shared" si="27"/>
        <v>41.542787809889504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836">
        <f t="shared" si="14"/>
        <v>0.32142857142857145</v>
      </c>
      <c r="AT59" s="853">
        <f t="shared" si="15"/>
        <v>41.373459525200147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836">
        <f t="shared" si="19"/>
        <v>0.17857142857142858</v>
      </c>
      <c r="AY59" s="853">
        <f t="shared" si="20"/>
        <v>41.551283219988861</v>
      </c>
      <c r="AZ59" s="827">
        <f t="shared" si="26"/>
        <v>41.462371372594504</v>
      </c>
      <c r="BA59" s="660">
        <f t="shared" si="21"/>
        <v>1.0326368550311511</v>
      </c>
      <c r="BB59" s="655">
        <v>43145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924">
        <f>1+[2]!Salcycl*Ksac</f>
        <v>1.0001489310651686</v>
      </c>
      <c r="BH59" s="1080">
        <f t="shared" si="22"/>
        <v>7.7510535223412726E-3</v>
      </c>
      <c r="BI59" s="11">
        <v>44241</v>
      </c>
      <c r="BJ59" s="801">
        <v>3.0747440796037666E-3</v>
      </c>
      <c r="BK59" s="801">
        <v>4.318712593007379E-3</v>
      </c>
      <c r="BL59" s="801">
        <v>5.7827669621714414E-3</v>
      </c>
      <c r="BM59" s="801">
        <v>7.7509278986294646E-3</v>
      </c>
      <c r="BN59" s="801">
        <v>1.1069391346820374E-2</v>
      </c>
      <c r="BO59" s="802">
        <v>1.7127062552210106E-2</v>
      </c>
      <c r="BP59" s="801">
        <v>2.7264069594399309E-2</v>
      </c>
      <c r="BQ59" s="801">
        <v>4.5998831887801551E-2</v>
      </c>
      <c r="BR59" s="801">
        <v>8.361516166080403E-2</v>
      </c>
      <c r="BS59" s="801">
        <v>0.14772468845013934</v>
      </c>
      <c r="BT59" s="801">
        <v>0.23286633941813115</v>
      </c>
      <c r="BW59" s="1136">
        <f>'2018'!R\Max</f>
        <v>0</v>
      </c>
      <c r="BX59" s="1134">
        <f>'2019'!R\Max</f>
        <v>1.0326368550311511</v>
      </c>
      <c r="BY59" s="1134">
        <f>'2020'!R\Max</f>
        <v>0.75292146406942329</v>
      </c>
      <c r="BZ59" s="1134">
        <f>'2021'!R\Max</f>
        <v>0.85113000021245155</v>
      </c>
      <c r="CA59" s="1134">
        <f>'2022'!R\Max</f>
        <v>0.49524952839813507</v>
      </c>
      <c r="CB59" s="1134">
        <f>'2023'!R\Max</f>
        <v>0.49508440470820397</v>
      </c>
      <c r="CC59" s="1134">
        <f>'2024'!R\Max</f>
        <v>0.49491823941415114</v>
      </c>
      <c r="CD59" s="1134">
        <f>'2025'!R\Max</f>
        <v>0.49461287357896427</v>
      </c>
      <c r="CE59" s="1134">
        <f>'2026'!R\Max</f>
        <v>0.49550434241229591</v>
      </c>
      <c r="CF59" s="1135">
        <f>'2027'!R\Max</f>
        <v>0.49545031354913993</v>
      </c>
    </row>
    <row r="60" spans="1:84" s="6" customFormat="1" ht="11.25" x14ac:dyDescent="0.2">
      <c r="A60" s="11">
        <v>43146</v>
      </c>
      <c r="B60" s="380">
        <f>'2023'!Maxi_hp</f>
        <v>43.307632323541206</v>
      </c>
      <c r="C60" s="85">
        <f>'2023'!An_max</f>
        <v>2019</v>
      </c>
      <c r="D60" s="1087">
        <f t="shared" si="7"/>
        <v>1.0338826188079417</v>
      </c>
      <c r="E60" s="747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836">
        <f t="shared" si="9"/>
        <v>0.2857142857142857</v>
      </c>
      <c r="J60" s="827">
        <f t="shared" si="27"/>
        <v>41.888345481109411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836">
        <f t="shared" si="14"/>
        <v>0.35714285714285715</v>
      </c>
      <c r="AT60" s="853">
        <f t="shared" si="15"/>
        <v>41.713709001416078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836">
        <f t="shared" si="19"/>
        <v>0.14285714285714285</v>
      </c>
      <c r="AY60" s="853">
        <f t="shared" si="20"/>
        <v>41.899280428620322</v>
      </c>
      <c r="AZ60" s="827">
        <f t="shared" si="26"/>
        <v>41.806494715018204</v>
      </c>
      <c r="BA60" s="660">
        <f t="shared" si="21"/>
        <v>1.0338826188079417</v>
      </c>
      <c r="BB60" s="655">
        <v>43146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924">
        <f>1+[2]!Salcycl*Ksac</f>
        <v>1.000164601709951</v>
      </c>
      <c r="BH60" s="1080">
        <f t="shared" si="22"/>
        <v>7.8454247745885566E-3</v>
      </c>
      <c r="BI60" s="11">
        <v>44242</v>
      </c>
      <c r="BJ60" s="801">
        <v>3.0972172215801455E-3</v>
      </c>
      <c r="BK60" s="801">
        <v>4.3547881405364142E-3</v>
      </c>
      <c r="BL60" s="801">
        <v>5.846527608085926E-3</v>
      </c>
      <c r="BM60" s="801">
        <v>7.8452980392100958E-3</v>
      </c>
      <c r="BN60" s="801">
        <v>1.11931271628746E-2</v>
      </c>
      <c r="BO60" s="802">
        <v>1.7289841972383212E-2</v>
      </c>
      <c r="BP60" s="801">
        <v>2.7506597720452441E-2</v>
      </c>
      <c r="BQ60" s="801">
        <v>4.5469009295803477E-2</v>
      </c>
      <c r="BR60" s="801">
        <v>8.1146565161818687E-2</v>
      </c>
      <c r="BS60" s="801">
        <v>0.14291878482330611</v>
      </c>
      <c r="BT60" s="801">
        <v>0.22621704326717326</v>
      </c>
      <c r="BW60" s="1136">
        <f>'2018'!R\Max</f>
        <v>0</v>
      </c>
      <c r="BX60" s="1134">
        <f>'2019'!R\Max</f>
        <v>1.0338826188079417</v>
      </c>
      <c r="BY60" s="1134">
        <f>'2020'!R\Max</f>
        <v>0.94912276622311476</v>
      </c>
      <c r="BZ60" s="1134">
        <f>'2021'!R\Max</f>
        <v>0.89679079928291883</v>
      </c>
      <c r="CA60" s="1134">
        <f>'2022'!R\Max</f>
        <v>0.48406802519947828</v>
      </c>
      <c r="CB60" s="1134">
        <f>'2023'!R\Max</f>
        <v>0.48390309494980344</v>
      </c>
      <c r="CC60" s="1134">
        <f>'2024'!R\Max</f>
        <v>0.48373718874659699</v>
      </c>
      <c r="CD60" s="1134">
        <f>'2025'!R\Max</f>
        <v>0.48344705108047348</v>
      </c>
      <c r="CE60" s="1134">
        <f>'2026'!R\Max</f>
        <v>0.48432236134215062</v>
      </c>
      <c r="CF60" s="1135">
        <f>'2027'!R\Max</f>
        <v>0.48426834166505994</v>
      </c>
    </row>
    <row r="61" spans="1:84" s="6" customFormat="1" ht="11.25" x14ac:dyDescent="0.2">
      <c r="A61" s="11">
        <v>43147</v>
      </c>
      <c r="B61" s="380">
        <f>'2023'!Maxi_hp</f>
        <v>43.625435149292962</v>
      </c>
      <c r="C61" s="85">
        <f>'2023'!An_max</f>
        <v>2019</v>
      </c>
      <c r="D61" s="1087">
        <f t="shared" si="7"/>
        <v>1.0330061694230011</v>
      </c>
      <c r="E61" s="747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836">
        <f t="shared" si="9"/>
        <v>0.21428571428571427</v>
      </c>
      <c r="J61" s="827">
        <f t="shared" si="27"/>
        <v>42.231533983635849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836">
        <f t="shared" si="14"/>
        <v>0.39285714285714285</v>
      </c>
      <c r="AT61" s="853">
        <f t="shared" si="15"/>
        <v>42.05498152754403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836">
        <f t="shared" si="19"/>
        <v>0.10714285714285714</v>
      </c>
      <c r="AY61" s="853">
        <f t="shared" si="20"/>
        <v>42.24288816569107</v>
      </c>
      <c r="AZ61" s="827">
        <f t="shared" si="26"/>
        <v>42.14893484661755</v>
      </c>
      <c r="BA61" s="660">
        <f t="shared" si="21"/>
        <v>1.0330061694230011</v>
      </c>
      <c r="BB61" s="655">
        <v>43147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924">
        <f>1+[2]!Salcycl*Ksac</f>
        <v>1.0001803971097964</v>
      </c>
      <c r="BH61" s="1080">
        <f t="shared" si="22"/>
        <v>7.9369717793061571E-3</v>
      </c>
      <c r="BI61" s="11">
        <v>44243</v>
      </c>
      <c r="BJ61" s="801">
        <v>3.1189336731381151E-3</v>
      </c>
      <c r="BK61" s="801">
        <v>4.3878977182334362E-3</v>
      </c>
      <c r="BL61" s="801">
        <v>5.9072652410950824E-3</v>
      </c>
      <c r="BM61" s="801">
        <v>7.9368438634980169E-3</v>
      </c>
      <c r="BN61" s="801">
        <v>1.1315855099907129E-2</v>
      </c>
      <c r="BO61" s="802">
        <v>1.7450023299680428E-2</v>
      </c>
      <c r="BP61" s="801">
        <v>2.7746629409591338E-2</v>
      </c>
      <c r="BQ61" s="801">
        <v>4.5067940698280941E-2</v>
      </c>
      <c r="BR61" s="801">
        <v>7.8936762180718406E-2</v>
      </c>
      <c r="BS61" s="801">
        <v>0.13832541519442482</v>
      </c>
      <c r="BT61" s="801">
        <v>0.21942713901433281</v>
      </c>
      <c r="BW61" s="1136">
        <f>'2018'!R\Max</f>
        <v>0</v>
      </c>
      <c r="BX61" s="1134">
        <f>'2019'!R\Max</f>
        <v>1.0330061694230011</v>
      </c>
      <c r="BY61" s="1134">
        <f>'2020'!R\Max</f>
        <v>0.55612863897579201</v>
      </c>
      <c r="BZ61" s="1134">
        <f>'2021'!R\Max</f>
        <v>0.82012344372690815</v>
      </c>
      <c r="CA61" s="1134">
        <f>'2022'!R\Max</f>
        <v>0.20880108948101742</v>
      </c>
      <c r="CB61" s="1134">
        <f>'2023'!R\Max</f>
        <v>0.20870455832467505</v>
      </c>
      <c r="CC61" s="1134">
        <f>'2024'!R\Max</f>
        <v>0.2086075103858134</v>
      </c>
      <c r="CD61" s="1134">
        <f>'2025'!R\Max</f>
        <v>0.20844512229499845</v>
      </c>
      <c r="CE61" s="1134">
        <f>'2026'!R\Max</f>
        <v>0.20894987618261368</v>
      </c>
      <c r="CF61" s="1135">
        <f>'2027'!R\Max</f>
        <v>0.20891819779670062</v>
      </c>
    </row>
    <row r="62" spans="1:84" s="6" customFormat="1" ht="11.25" x14ac:dyDescent="0.2">
      <c r="A62" s="11">
        <v>43148</v>
      </c>
      <c r="B62" s="380">
        <f>'2023'!Maxi_hp</f>
        <v>44.343925318135149</v>
      </c>
      <c r="C62" s="85">
        <f>'2023'!An_max</f>
        <v>2019</v>
      </c>
      <c r="D62" s="1087">
        <f t="shared" si="7"/>
        <v>1.0416263777916266</v>
      </c>
      <c r="E62" s="747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836">
        <f t="shared" si="9"/>
        <v>0.14285714285714285</v>
      </c>
      <c r="J62" s="827">
        <f t="shared" si="27"/>
        <v>42.571814869118057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836">
        <f t="shared" si="14"/>
        <v>0.42857142857142855</v>
      </c>
      <c r="AT62" s="853">
        <f t="shared" si="15"/>
        <v>42.396927113564949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836">
        <f t="shared" si="19"/>
        <v>7.1428571428571425E-2</v>
      </c>
      <c r="AY62" s="853">
        <f t="shared" si="20"/>
        <v>42.581518976483501</v>
      </c>
      <c r="AZ62" s="827">
        <f t="shared" si="26"/>
        <v>42.489223045024225</v>
      </c>
      <c r="BA62" s="660">
        <f t="shared" si="21"/>
        <v>1.0416263777916266</v>
      </c>
      <c r="BB62" s="655">
        <v>43148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924">
        <f>1+[2]!Salcycl*Ksac</f>
        <v>1.0001962205944452</v>
      </c>
      <c r="BH62" s="1080">
        <f t="shared" si="22"/>
        <v>8.0257069827155362E-3</v>
      </c>
      <c r="BI62" s="11">
        <v>44244</v>
      </c>
      <c r="BJ62" s="801">
        <v>3.1398979551410106E-3</v>
      </c>
      <c r="BK62" s="801">
        <v>4.4180481292236005E-3</v>
      </c>
      <c r="BL62" s="801">
        <v>5.9649891587741678E-3</v>
      </c>
      <c r="BM62" s="801">
        <v>8.0255778175436707E-3</v>
      </c>
      <c r="BN62" s="801">
        <v>1.1437592121598074E-2</v>
      </c>
      <c r="BO62" s="802">
        <v>1.7607632300319441E-2</v>
      </c>
      <c r="BP62" s="801">
        <v>2.7984204990616351E-2</v>
      </c>
      <c r="BQ62" s="801">
        <v>4.4795647879454503E-2</v>
      </c>
      <c r="BR62" s="801">
        <v>7.6985752583449529E-2</v>
      </c>
      <c r="BS62" s="801">
        <v>0.13394461363700091</v>
      </c>
      <c r="BT62" s="801">
        <v>0.21249678894875318</v>
      </c>
      <c r="BW62" s="1136">
        <f>'2018'!R\Max</f>
        <v>0</v>
      </c>
      <c r="BX62" s="1134">
        <f>'2019'!R\Max</f>
        <v>1.0416263777916266</v>
      </c>
      <c r="BY62" s="1134">
        <f>'2020'!R\Max</f>
        <v>0.14570684076772664</v>
      </c>
      <c r="BZ62" s="1134">
        <f>'2021'!R\Max</f>
        <v>0.91149460876265398</v>
      </c>
      <c r="CA62" s="1134">
        <f>'2022'!R\Max</f>
        <v>0.24208210107638284</v>
      </c>
      <c r="CB62" s="1134">
        <f>'2023'!R\Max</f>
        <v>0.24197019254284952</v>
      </c>
      <c r="CC62" s="1134">
        <f>'2024'!R\Max</f>
        <v>0.24185771300949846</v>
      </c>
      <c r="CD62" s="1134">
        <f>'2025'!R\Max</f>
        <v>0.24167640613906821</v>
      </c>
      <c r="CE62" s="1134">
        <f>'2026'!R\Max</f>
        <v>0.24225444020449058</v>
      </c>
      <c r="CF62" s="1135">
        <f>'2027'!R\Max</f>
        <v>0.24221764255187853</v>
      </c>
    </row>
    <row r="63" spans="1:84" s="6" customFormat="1" ht="11.25" x14ac:dyDescent="0.2">
      <c r="A63" s="11">
        <v>43149</v>
      </c>
      <c r="B63" s="380">
        <f>'2023'!Maxi_hp</f>
        <v>43.682090944826165</v>
      </c>
      <c r="C63" s="85">
        <f>'2023'!An_max</f>
        <v>2019</v>
      </c>
      <c r="D63" s="1087">
        <f t="shared" si="7"/>
        <v>1.0180252993144374</v>
      </c>
      <c r="E63" s="747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836">
        <f t="shared" si="9"/>
        <v>7.1428571428571425E-2</v>
      </c>
      <c r="J63" s="827">
        <f t="shared" si="27"/>
        <v>42.908649690968119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836">
        <f t="shared" si="14"/>
        <v>0.4642857142857143</v>
      </c>
      <c r="AT63" s="853">
        <f t="shared" si="15"/>
        <v>42.739195767783428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836">
        <f t="shared" si="19"/>
        <v>3.5714285714285712E-2</v>
      </c>
      <c r="AY63" s="853">
        <f t="shared" si="20"/>
        <v>42.91458540641969</v>
      </c>
      <c r="AZ63" s="827">
        <f t="shared" si="26"/>
        <v>42.826890587101559</v>
      </c>
      <c r="BA63" s="660">
        <f t="shared" si="21"/>
        <v>1.0180252993144374</v>
      </c>
      <c r="BB63" s="655">
        <v>43149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924">
        <f>1+[2]!Salcycl*Ksac</f>
        <v>1.0002119832938057</v>
      </c>
      <c r="BH63" s="1080">
        <f t="shared" si="22"/>
        <v>8.1116431508651225E-3</v>
      </c>
      <c r="BI63" s="11">
        <v>44245</v>
      </c>
      <c r="BJ63" s="801">
        <v>3.1601146600659649E-3</v>
      </c>
      <c r="BK63" s="801">
        <v>4.4452461964172392E-3</v>
      </c>
      <c r="BL63" s="801">
        <v>6.0197088142157238E-3</v>
      </c>
      <c r="BM63" s="801">
        <v>8.1115126672151525E-3</v>
      </c>
      <c r="BN63" s="801">
        <v>1.1558355757442025E-2</v>
      </c>
      <c r="BO63" s="802">
        <v>1.7762695415789172E-2</v>
      </c>
      <c r="BP63" s="801">
        <v>2.8219365873150399E-2</v>
      </c>
      <c r="BQ63" s="801">
        <v>4.4652156964457485E-2</v>
      </c>
      <c r="BR63" s="801">
        <v>7.5293537923474194E-2</v>
      </c>
      <c r="BS63" s="801">
        <v>0.12977640168111929</v>
      </c>
      <c r="BT63" s="801">
        <v>0.20542611438621047</v>
      </c>
      <c r="BW63" s="1136">
        <f>'2018'!R\Max</f>
        <v>0</v>
      </c>
      <c r="BX63" s="1134">
        <f>'2019'!R\Max</f>
        <v>1.0180252993144374</v>
      </c>
      <c r="BY63" s="1134">
        <f>'2020'!R\Max</f>
        <v>0.87136153574606146</v>
      </c>
      <c r="BZ63" s="1134">
        <f>'2021'!R\Max</f>
        <v>0.4190859505792604</v>
      </c>
      <c r="CA63" s="1134">
        <f>'2022'!R\Max</f>
        <v>0.78772959813827781</v>
      </c>
      <c r="CB63" s="1134">
        <f>'2023'!R\Max</f>
        <v>0.78761917569528339</v>
      </c>
      <c r="CC63" s="1134">
        <f>'2024'!R\Max</f>
        <v>0.78750813727054114</v>
      </c>
      <c r="CD63" s="1134">
        <f>'2025'!R\Max</f>
        <v>0.78733435054851197</v>
      </c>
      <c r="CE63" s="1134">
        <f>'2026'!R\Max</f>
        <v>0.78789935109678277</v>
      </c>
      <c r="CF63" s="1135">
        <f>'2027'!R\Max</f>
        <v>0.78786299634345591</v>
      </c>
    </row>
    <row r="64" spans="1:84" s="6" customFormat="1" ht="11.25" x14ac:dyDescent="0.2">
      <c r="A64" s="11">
        <v>43150</v>
      </c>
      <c r="B64" s="380">
        <f>'2023'!Maxi_hp</f>
        <v>40.826390842051637</v>
      </c>
      <c r="C64" s="85">
        <f>'2023'!An_max</f>
        <v>2021</v>
      </c>
      <c r="D64" s="1087" t="str">
        <f t="shared" si="7"/>
        <v/>
      </c>
      <c r="E64" s="835">
        <f>Q$13/10</f>
        <v>43.241500000000002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836">
        <f t="shared" si="9"/>
        <v>0</v>
      </c>
      <c r="J64" s="827">
        <f t="shared" si="27"/>
        <v>43.241500000283125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836">
        <f t="shared" si="14"/>
        <v>0.5</v>
      </c>
      <c r="AT64" s="853">
        <f t="shared" si="15"/>
        <v>43.081437499728054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836">
        <f t="shared" si="19"/>
        <v>0</v>
      </c>
      <c r="AY64" s="853">
        <f t="shared" si="20"/>
        <v>43.241500000096856</v>
      </c>
      <c r="AZ64" s="827">
        <f t="shared" si="26"/>
        <v>43.161468749912459</v>
      </c>
      <c r="BA64" s="660">
        <f t="shared" si="21"/>
        <v>0.94414834919658952</v>
      </c>
      <c r="BB64" s="655">
        <v>43150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924">
        <f>1+[2]!Salcycl*Ksac</f>
        <v>1.0002276056320949</v>
      </c>
      <c r="BH64" s="1080">
        <f t="shared" si="22"/>
        <v>8.1947933338351337E-3</v>
      </c>
      <c r="BI64" s="11">
        <v>44246</v>
      </c>
      <c r="BJ64" s="801">
        <v>3.1795884423301908E-3</v>
      </c>
      <c r="BK64" s="801">
        <v>4.4694987251097879E-3</v>
      </c>
      <c r="BL64" s="801">
        <v>6.0714337778483216E-3</v>
      </c>
      <c r="BM64" s="801">
        <v>8.1946614624021832E-3</v>
      </c>
      <c r="BN64" s="801">
        <v>1.167816408947725E-2</v>
      </c>
      <c r="BO64" s="802">
        <v>1.79152397292669E-2</v>
      </c>
      <c r="BP64" s="801">
        <v>2.8452154514669915E-2</v>
      </c>
      <c r="BQ64" s="801">
        <v>4.4637500026339261E-2</v>
      </c>
      <c r="BR64" s="801">
        <v>7.3860124670093202E-2</v>
      </c>
      <c r="BS64" s="801">
        <v>0.12582079095369628</v>
      </c>
      <c r="BT64" s="801">
        <v>0.19821519387944353</v>
      </c>
      <c r="BW64" s="1136">
        <f>'2018'!R\Max</f>
        <v>0</v>
      </c>
      <c r="BX64" s="1134">
        <f>'2019'!R\Max</f>
        <v>0.73863303775780043</v>
      </c>
      <c r="BY64" s="1134">
        <f>'2020'!R\Max</f>
        <v>0.7759252966290795</v>
      </c>
      <c r="BZ64" s="1134">
        <f>'2021'!R\Max</f>
        <v>0.94414834919658952</v>
      </c>
      <c r="CA64" s="1134">
        <f>'2022'!R\Max</f>
        <v>0.47648867196343114</v>
      </c>
      <c r="CB64" s="1134">
        <f>'2023'!R\Max</f>
        <v>0.47632395646094206</v>
      </c>
      <c r="CC64" s="1134">
        <f>'2024'!R\Max</f>
        <v>0.47615840427142059</v>
      </c>
      <c r="CD64" s="1134">
        <f>'2025'!R\Max</f>
        <v>0.4759052569083515</v>
      </c>
      <c r="CE64" s="1134">
        <f>'2026'!R\Max</f>
        <v>0.47674176871645069</v>
      </c>
      <c r="CF64" s="1135">
        <f>'2027'!R\Max</f>
        <v>0.476687337575254</v>
      </c>
    </row>
    <row r="65" spans="1:84" s="6" customFormat="1" ht="11.25" x14ac:dyDescent="0.2">
      <c r="A65" s="11">
        <v>43151</v>
      </c>
      <c r="B65" s="380">
        <f>'2023'!Maxi_hp</f>
        <v>43.218540620250515</v>
      </c>
      <c r="C65" s="85">
        <f>'2023'!An_max</f>
        <v>2019</v>
      </c>
      <c r="D65" s="1087">
        <f t="shared" si="7"/>
        <v>0.99191205144923633</v>
      </c>
      <c r="E65" s="747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836">
        <f t="shared" si="9"/>
        <v>7.1428571428571425E-2</v>
      </c>
      <c r="J65" s="827">
        <f t="shared" si="27"/>
        <v>43.570940142430899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836">
        <f t="shared" si="14"/>
        <v>0.5357142857142857</v>
      </c>
      <c r="AT65" s="853">
        <f t="shared" si="15"/>
        <v>43.423302318634725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836">
        <f t="shared" si="19"/>
        <v>3.5714285714285712E-2</v>
      </c>
      <c r="AY65" s="853">
        <f t="shared" si="20"/>
        <v>43.565605024707374</v>
      </c>
      <c r="AZ65" s="827">
        <f t="shared" si="26"/>
        <v>43.494453671671053</v>
      </c>
      <c r="BA65" s="660">
        <f t="shared" si="21"/>
        <v>0.99191205144923633</v>
      </c>
      <c r="BB65" s="655">
        <v>43151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924">
        <f>1+[2]!Salcycl*Ksac</f>
        <v>1.0002430187662488</v>
      </c>
      <c r="BH65" s="1080">
        <f t="shared" si="22"/>
        <v>8.2751708298934232E-3</v>
      </c>
      <c r="BI65" s="11">
        <v>44247</v>
      </c>
      <c r="BJ65" s="801">
        <v>3.1983240085980808E-3</v>
      </c>
      <c r="BK65" s="801">
        <v>4.4908124655547435E-3</v>
      </c>
      <c r="BL65" s="801">
        <v>6.1201736992189254E-3</v>
      </c>
      <c r="BM65" s="801">
        <v>8.2750375011711036E-3</v>
      </c>
      <c r="BN65" s="801">
        <v>1.1797035738945061E-2</v>
      </c>
      <c r="BO65" s="802">
        <v>1.8065292931927844E-2</v>
      </c>
      <c r="BP65" s="801">
        <v>2.8682614387364858E-2</v>
      </c>
      <c r="BQ65" s="801">
        <v>4.4751716692792931E-2</v>
      </c>
      <c r="BR65" s="801">
        <v>7.268552743629246E-2</v>
      </c>
      <c r="BS65" s="801">
        <v>0.12207778581790252</v>
      </c>
      <c r="BT65" s="801">
        <v>0.19086406142717227</v>
      </c>
      <c r="BW65" s="1136">
        <f>'2018'!R\Max</f>
        <v>0</v>
      </c>
      <c r="BX65" s="1134">
        <f>'2019'!R\Max</f>
        <v>0.99191205144923633</v>
      </c>
      <c r="BY65" s="1134">
        <f>'2020'!R\Max</f>
        <v>0.98779498686593659</v>
      </c>
      <c r="BZ65" s="1134">
        <f>'2021'!R\Max</f>
        <v>0.76913090668002559</v>
      </c>
      <c r="CA65" s="1134">
        <f>'2022'!R\Max</f>
        <v>0.5575097864342814</v>
      </c>
      <c r="CB65" s="1134">
        <f>'2023'!R\Max</f>
        <v>0.55734684575701954</v>
      </c>
      <c r="CC65" s="1134">
        <f>'2024'!R\Max</f>
        <v>0.5571830571225217</v>
      </c>
      <c r="CD65" s="1134">
        <f>'2025'!R\Max</f>
        <v>0.55693625967949201</v>
      </c>
      <c r="CE65" s="1134">
        <f>'2026'!R\Max</f>
        <v>0.55775985555977192</v>
      </c>
      <c r="CF65" s="1135">
        <f>'2027'!R\Max</f>
        <v>0.55770583895526538</v>
      </c>
    </row>
    <row r="66" spans="1:84" s="6" customFormat="1" ht="11.25" x14ac:dyDescent="0.2">
      <c r="A66" s="11">
        <v>43152</v>
      </c>
      <c r="B66" s="380">
        <f>'2023'!Maxi_hp</f>
        <v>42.441850727741603</v>
      </c>
      <c r="C66" s="85">
        <f>'2023'!An_max</f>
        <v>2019</v>
      </c>
      <c r="D66" s="1087" t="str">
        <f t="shared" si="7"/>
        <v/>
      </c>
      <c r="E66" s="747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836">
        <f t="shared" si="9"/>
        <v>0.14285714285714285</v>
      </c>
      <c r="J66" s="827">
        <f t="shared" si="27"/>
        <v>43.897975219120937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836">
        <f t="shared" si="14"/>
        <v>0.5714285714285714</v>
      </c>
      <c r="AT66" s="853">
        <f t="shared" si="15"/>
        <v>43.764440233127345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836">
        <f t="shared" si="19"/>
        <v>7.1428571428571425E-2</v>
      </c>
      <c r="AY66" s="853">
        <f t="shared" si="20"/>
        <v>43.890472850070473</v>
      </c>
      <c r="AZ66" s="827">
        <f t="shared" si="26"/>
        <v>43.827456541598906</v>
      </c>
      <c r="BA66" s="660">
        <f t="shared" si="21"/>
        <v>0.96682934727374215</v>
      </c>
      <c r="BB66" s="655">
        <v>43152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924">
        <f>1+[2]!Salcycl*Ksac</f>
        <v>1.0002581659548286</v>
      </c>
      <c r="BH66" s="1080">
        <f t="shared" si="22"/>
        <v>8.3405608631956663E-3</v>
      </c>
      <c r="BI66" s="11">
        <v>44248</v>
      </c>
      <c r="BJ66" s="801">
        <v>3.2069010991589843E-3</v>
      </c>
      <c r="BK66" s="801">
        <v>4.4991948993474843E-3</v>
      </c>
      <c r="BL66" s="801">
        <v>6.1550470969208527E-3</v>
      </c>
      <c r="BM66" s="801">
        <v>8.3404261444910855E-3</v>
      </c>
      <c r="BN66" s="801">
        <v>1.1899142015131975E-2</v>
      </c>
      <c r="BO66" s="802">
        <v>1.8195038372132384E-2</v>
      </c>
      <c r="BP66" s="801">
        <v>2.8889133493555614E-2</v>
      </c>
      <c r="BQ66" s="801">
        <v>4.4972124411608333E-2</v>
      </c>
      <c r="BR66" s="801">
        <v>7.1803429909592001E-2</v>
      </c>
      <c r="BS66" s="801">
        <v>0.11870221028469463</v>
      </c>
      <c r="BT66" s="801">
        <v>0.18371103067056421</v>
      </c>
      <c r="BW66" s="1136">
        <f>'2018'!R\Max</f>
        <v>0</v>
      </c>
      <c r="BX66" s="1134">
        <f>'2019'!R\Max</f>
        <v>0.96682934727374215</v>
      </c>
      <c r="BY66" s="1134">
        <f>'2020'!R\Max</f>
        <v>0.41424909866434245</v>
      </c>
      <c r="BZ66" s="1134">
        <f>'2021'!R\Max</f>
        <v>0.31415809758158558</v>
      </c>
      <c r="CA66" s="1134">
        <f>'2022'!R\Max</f>
        <v>0.54489957924904864</v>
      </c>
      <c r="CB66" s="1134">
        <f>'2023'!R\Max</f>
        <v>0.5447357987182595</v>
      </c>
      <c r="CC66" s="1134">
        <f>'2024'!R\Max</f>
        <v>0.54457114651430871</v>
      </c>
      <c r="CD66" s="1134">
        <f>'2025'!R\Max</f>
        <v>0.544324654705021</v>
      </c>
      <c r="CE66" s="1134">
        <f>'2026'!R\Max</f>
        <v>0.54515062926258384</v>
      </c>
      <c r="CF66" s="1135">
        <f>'2027'!R\Max</f>
        <v>0.54509616030977615</v>
      </c>
    </row>
    <row r="67" spans="1:84" s="6" customFormat="1" ht="11.25" x14ac:dyDescent="0.2">
      <c r="A67" s="11">
        <v>43153</v>
      </c>
      <c r="B67" s="380">
        <f>'2023'!Maxi_hp</f>
        <v>42.464770609772728</v>
      </c>
      <c r="C67" s="85">
        <f>'2023'!An_max</f>
        <v>2019</v>
      </c>
      <c r="D67" s="1087" t="str">
        <f t="shared" si="7"/>
        <v/>
      </c>
      <c r="E67" s="747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836">
        <f t="shared" si="9"/>
        <v>0.21428571428571427</v>
      </c>
      <c r="J67" s="827">
        <f t="shared" si="27"/>
        <v>44.222712919222452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836">
        <f t="shared" si="14"/>
        <v>0.6071428571428571</v>
      </c>
      <c r="AT67" s="853">
        <f t="shared" si="15"/>
        <v>44.10450125247506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836">
        <f t="shared" si="19"/>
        <v>0.10714285714285714</v>
      </c>
      <c r="AY67" s="853">
        <f t="shared" si="20"/>
        <v>44.215861174284619</v>
      </c>
      <c r="AZ67" s="827">
        <f t="shared" si="26"/>
        <v>44.160181213379843</v>
      </c>
      <c r="BA67" s="660">
        <f t="shared" si="21"/>
        <v>0.96024797681090268</v>
      </c>
      <c r="BB67" s="655">
        <v>43153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924">
        <f>1+[2]!Salcycl*Ksac</f>
        <v>1.0002730038446823</v>
      </c>
      <c r="BH67" s="1080">
        <f t="shared" si="22"/>
        <v>8.3935779781977304E-3</v>
      </c>
      <c r="BI67" s="11">
        <v>44249</v>
      </c>
      <c r="BJ67" s="801">
        <v>3.2028674236117354E-3</v>
      </c>
      <c r="BK67" s="801">
        <v>4.4940742339157425E-3</v>
      </c>
      <c r="BL67" s="801">
        <v>6.1774977802048006E-3</v>
      </c>
      <c r="BM67" s="801">
        <v>8.3934419636797469E-3</v>
      </c>
      <c r="BN67" s="801">
        <v>1.1986387911984748E-2</v>
      </c>
      <c r="BO67" s="802">
        <v>1.8306060149714112E-2</v>
      </c>
      <c r="BP67" s="801">
        <v>2.9071134186401597E-2</v>
      </c>
      <c r="BQ67" s="801">
        <v>4.5187502362325278E-2</v>
      </c>
      <c r="BR67" s="801">
        <v>7.1075233354259554E-2</v>
      </c>
      <c r="BS67" s="801">
        <v>0.11564471207185283</v>
      </c>
      <c r="BT67" s="801">
        <v>0.17702014018346993</v>
      </c>
      <c r="BW67" s="1136">
        <f>'2018'!R\Max</f>
        <v>0</v>
      </c>
      <c r="BX67" s="1134">
        <f>'2019'!R\Max</f>
        <v>0.96024797681090268</v>
      </c>
      <c r="BY67" s="1134">
        <f>'2020'!R\Max</f>
        <v>0.93398805122573325</v>
      </c>
      <c r="BZ67" s="1134">
        <f>'2021'!R\Max</f>
        <v>0.10571098370094063</v>
      </c>
      <c r="CA67" s="1134">
        <f>'2022'!R\Max</f>
        <v>0.88618445063397644</v>
      </c>
      <c r="CB67" s="1134">
        <f>'2023'!R\Max</f>
        <v>0.88611785901461582</v>
      </c>
      <c r="CC67" s="1134">
        <f>'2024'!R\Max</f>
        <v>0.88605087180803266</v>
      </c>
      <c r="CD67" s="1134">
        <f>'2025'!R\Max</f>
        <v>0.88595100345872002</v>
      </c>
      <c r="CE67" s="1134">
        <f>'2026'!R\Max</f>
        <v>0.88628633330546114</v>
      </c>
      <c r="CF67" s="1135">
        <f>'2027'!R\Max</f>
        <v>0.88626413976931606</v>
      </c>
    </row>
    <row r="68" spans="1:84" s="6" customFormat="1" ht="11.25" x14ac:dyDescent="0.2">
      <c r="A68" s="11">
        <v>43154</v>
      </c>
      <c r="B68" s="380">
        <f>'2023'!Maxi_hp</f>
        <v>43.491209699160983</v>
      </c>
      <c r="C68" s="85">
        <f>'2023'!An_max</f>
        <v>2019</v>
      </c>
      <c r="D68" s="1087">
        <f t="shared" si="7"/>
        <v>0.97633752251757888</v>
      </c>
      <c r="E68" s="747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836">
        <f t="shared" si="9"/>
        <v>0.2857142857142857</v>
      </c>
      <c r="J68" s="827">
        <f t="shared" si="27"/>
        <v>44.545260932935136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836">
        <f t="shared" si="14"/>
        <v>0.6428571428571429</v>
      </c>
      <c r="AT68" s="853">
        <f t="shared" si="15"/>
        <v>44.443135386346178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836">
        <f t="shared" si="19"/>
        <v>0.14285714285714285</v>
      </c>
      <c r="AY68" s="853">
        <f t="shared" si="20"/>
        <v>44.541527696805346</v>
      </c>
      <c r="AZ68" s="827">
        <f t="shared" si="26"/>
        <v>44.492331541575766</v>
      </c>
      <c r="BA68" s="660">
        <f t="shared" si="21"/>
        <v>0.97633752251757888</v>
      </c>
      <c r="BB68" s="655">
        <v>43154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924">
        <f>1+[2]!Salcycl*Ksac</f>
        <v>1.000287503663754</v>
      </c>
      <c r="BH68" s="1080">
        <f t="shared" si="22"/>
        <v>8.4341789365487037E-3</v>
      </c>
      <c r="BI68" s="11">
        <v>44250</v>
      </c>
      <c r="BJ68" s="801">
        <v>3.1862062340354859E-3</v>
      </c>
      <c r="BK68" s="801">
        <v>4.4754268500221536E-3</v>
      </c>
      <c r="BL68" s="801">
        <v>6.1874936921727589E-3</v>
      </c>
      <c r="BM68" s="801">
        <v>8.43404172108125E-3</v>
      </c>
      <c r="BN68" s="801">
        <v>1.2058711830901653E-2</v>
      </c>
      <c r="BO68" s="802">
        <v>1.8398263612406308E-2</v>
      </c>
      <c r="BP68" s="801">
        <v>2.9228466105914563E-2</v>
      </c>
      <c r="BQ68" s="801">
        <v>4.5397614422648759E-2</v>
      </c>
      <c r="BR68" s="801">
        <v>7.050053959167972E-2</v>
      </c>
      <c r="BS68" s="801">
        <v>0.11290460304242178</v>
      </c>
      <c r="BT68" s="801">
        <v>0.1707902964124538</v>
      </c>
      <c r="BW68" s="1136">
        <f>'2018'!R\Max</f>
        <v>0</v>
      </c>
      <c r="BX68" s="1134">
        <f>'2019'!R\Max</f>
        <v>0.97633752251757888</v>
      </c>
      <c r="BY68" s="1134">
        <f>'2020'!R\Max</f>
        <v>0.96485774133021918</v>
      </c>
      <c r="BZ68" s="1134">
        <f>'2021'!R\Max</f>
        <v>0.71271644312353422</v>
      </c>
      <c r="CA68" s="1134">
        <f>'2022'!R\Max</f>
        <v>0.91780705755355452</v>
      </c>
      <c r="CB68" s="1134">
        <f>'2023'!R\Max</f>
        <v>0.91775730270691491</v>
      </c>
      <c r="CC68" s="1134">
        <f>'2024'!R\Max</f>
        <v>0.91770724046896568</v>
      </c>
      <c r="CD68" s="1134">
        <f>'2025'!R\Max</f>
        <v>0.91763282152403303</v>
      </c>
      <c r="CE68" s="1134">
        <f>'2026'!R\Max</f>
        <v>0.91788307193294461</v>
      </c>
      <c r="CF68" s="1135">
        <f>'2027'!R\Max</f>
        <v>0.91786644514431859</v>
      </c>
    </row>
    <row r="69" spans="1:84" s="6" customFormat="1" ht="11.25" x14ac:dyDescent="0.2">
      <c r="A69" s="11">
        <v>43155</v>
      </c>
      <c r="B69" s="380">
        <f>'2023'!Maxi_hp</f>
        <v>44.144707241290959</v>
      </c>
      <c r="C69" s="85">
        <f>'2023'!An_max</f>
        <v>2020</v>
      </c>
      <c r="D69" s="1087">
        <f t="shared" si="7"/>
        <v>0.98392938758263693</v>
      </c>
      <c r="E69" s="747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836">
        <f t="shared" si="9"/>
        <v>0.35714285714285715</v>
      </c>
      <c r="J69" s="827">
        <f t="shared" si="27"/>
        <v>44.865726949926469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836">
        <f t="shared" si="14"/>
        <v>0.6785714285714286</v>
      </c>
      <c r="AT69" s="853">
        <f t="shared" si="15"/>
        <v>44.779992642779163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836">
        <f t="shared" si="19"/>
        <v>0.17857142857142858</v>
      </c>
      <c r="AY69" s="853">
        <f t="shared" si="20"/>
        <v>44.86723011586416</v>
      </c>
      <c r="AZ69" s="827">
        <f t="shared" si="26"/>
        <v>44.823611379321662</v>
      </c>
      <c r="BA69" s="660">
        <f t="shared" si="21"/>
        <v>0.98392938758263693</v>
      </c>
      <c r="BB69" s="655">
        <v>43155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924">
        <f>1+[2]!Salcycl*Ksac</f>
        <v>1.0003016523096628</v>
      </c>
      <c r="BH69" s="1080">
        <f t="shared" si="22"/>
        <v>8.4623612030483783E-3</v>
      </c>
      <c r="BI69" s="11">
        <v>44251</v>
      </c>
      <c r="BJ69" s="801">
        <v>3.1569164039052405E-3</v>
      </c>
      <c r="BK69" s="801">
        <v>4.4432511405252326E-3</v>
      </c>
      <c r="BL69" s="801">
        <v>6.1850328428390243E-3</v>
      </c>
      <c r="BM69" s="801">
        <v>8.4622228815333361E-3</v>
      </c>
      <c r="BN69" s="801">
        <v>1.2116110234195418E-2</v>
      </c>
      <c r="BO69" s="802">
        <v>1.8471643127922779E-2</v>
      </c>
      <c r="BP69" s="801">
        <v>2.9361120319866107E-2</v>
      </c>
      <c r="BQ69" s="801">
        <v>4.5602445854576866E-2</v>
      </c>
      <c r="BR69" s="801">
        <v>7.0079314642624499E-2</v>
      </c>
      <c r="BS69" s="801">
        <v>0.11048181057402862</v>
      </c>
      <c r="BT69" s="801">
        <v>0.16502137030692021</v>
      </c>
      <c r="BW69" s="1136">
        <f>'2018'!R\Max</f>
        <v>0</v>
      </c>
      <c r="BX69" s="1134">
        <f>'2019'!R\Max</f>
        <v>0.96466686155353054</v>
      </c>
      <c r="BY69" s="1134">
        <f>'2020'!R\Max</f>
        <v>0.98392938758263693</v>
      </c>
      <c r="BZ69" s="1134">
        <f>'2021'!R\Max</f>
        <v>0.92578792566915502</v>
      </c>
      <c r="CA69" s="1134">
        <f>'2022'!R\Max</f>
        <v>0.51815542693358485</v>
      </c>
      <c r="CB69" s="1134">
        <f>'2023'!R\Max</f>
        <v>0.51799105020394787</v>
      </c>
      <c r="CC69" s="1134">
        <f>'2024'!R\Max</f>
        <v>0.51782570731848665</v>
      </c>
      <c r="CD69" s="1134">
        <f>'2025'!R\Max</f>
        <v>0.51758038560163755</v>
      </c>
      <c r="CE69" s="1134">
        <f>'2026'!R\Max</f>
        <v>0.51840636309181864</v>
      </c>
      <c r="CF69" s="1135">
        <f>'2027'!R\Max</f>
        <v>0.51835123711854669</v>
      </c>
    </row>
    <row r="70" spans="1:84" s="6" customFormat="1" ht="11.25" x14ac:dyDescent="0.2">
      <c r="A70" s="11">
        <v>43156</v>
      </c>
      <c r="B70" s="380">
        <f>'2023'!Maxi_hp</f>
        <v>44.223095559004854</v>
      </c>
      <c r="C70" s="85">
        <f>'2023'!An_max</f>
        <v>2019</v>
      </c>
      <c r="D70" s="1087">
        <f t="shared" si="7"/>
        <v>0.97872878787036666</v>
      </c>
      <c r="E70" s="747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836">
        <f t="shared" si="9"/>
        <v>0.42857142857142855</v>
      </c>
      <c r="J70" s="827">
        <f t="shared" si="27"/>
        <v>45.184218659012444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836">
        <f t="shared" si="14"/>
        <v>0.7142857142857143</v>
      </c>
      <c r="AT70" s="853">
        <f t="shared" si="15"/>
        <v>45.114723031701786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836">
        <f t="shared" si="19"/>
        <v>0.21428571428571427</v>
      </c>
      <c r="AY70" s="853">
        <f t="shared" si="20"/>
        <v>45.192726129772403</v>
      </c>
      <c r="AZ70" s="827">
        <f t="shared" si="26"/>
        <v>45.153724580737091</v>
      </c>
      <c r="BA70" s="660">
        <f t="shared" si="21"/>
        <v>0.97872878787036666</v>
      </c>
      <c r="BB70" s="655">
        <v>43156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924">
        <f>1+[2]!Salcycl*Ksac</f>
        <v>1.0003154533249887</v>
      </c>
      <c r="BH70" s="1080">
        <f t="shared" si="22"/>
        <v>8.4781219771013477E-3</v>
      </c>
      <c r="BI70" s="11">
        <v>44252</v>
      </c>
      <c r="BJ70" s="801">
        <v>3.1149966228591112E-3</v>
      </c>
      <c r="BK70" s="801">
        <v>4.3975453024737146E-3</v>
      </c>
      <c r="BL70" s="801">
        <v>6.1701130216055555E-3</v>
      </c>
      <c r="BM70" s="801">
        <v>8.4779826444819004E-3</v>
      </c>
      <c r="BN70" s="801">
        <v>1.2158579230291344E-2</v>
      </c>
      <c r="BO70" s="802">
        <v>1.852619261601746E-2</v>
      </c>
      <c r="BP70" s="801">
        <v>2.9469087254538007E-2</v>
      </c>
      <c r="BQ70" s="801">
        <v>4.5801981519588232E-2</v>
      </c>
      <c r="BR70" s="801">
        <v>6.9811527905887003E-2</v>
      </c>
      <c r="BS70" s="801">
        <v>0.10837627132691319</v>
      </c>
      <c r="BT70" s="801">
        <v>0.15971324962826072</v>
      </c>
      <c r="BW70" s="1136">
        <f>'2018'!R\Max</f>
        <v>0</v>
      </c>
      <c r="BX70" s="1134">
        <f>'2019'!R\Max</f>
        <v>0.97872878787036666</v>
      </c>
      <c r="BY70" s="1134">
        <f>'2020'!R\Max</f>
        <v>0.32992859704505278</v>
      </c>
      <c r="BZ70" s="1134">
        <f>'2021'!R\Max</f>
        <v>0.81474544932599402</v>
      </c>
      <c r="CA70" s="1134">
        <f>'2022'!R\Max</f>
        <v>0.74858121073155115</v>
      </c>
      <c r="CB70" s="1134">
        <f>'2023'!R\Max</f>
        <v>0.74845752838096236</v>
      </c>
      <c r="CC70" s="1134">
        <f>'2024'!R\Max</f>
        <v>0.74833304778569143</v>
      </c>
      <c r="CD70" s="1134">
        <f>'2025'!R\Max</f>
        <v>0.74814819935362886</v>
      </c>
      <c r="CE70" s="1134">
        <f>'2026'!R\Max</f>
        <v>0.74876966602818695</v>
      </c>
      <c r="CF70" s="1135">
        <f>'2027'!R\Max</f>
        <v>0.74872811150988916</v>
      </c>
    </row>
    <row r="71" spans="1:84" s="6" customFormat="1" ht="11.25" x14ac:dyDescent="0.2">
      <c r="A71" s="11">
        <v>43157</v>
      </c>
      <c r="B71" s="380">
        <f>'2023'!Maxi_hp</f>
        <v>45.671759028125571</v>
      </c>
      <c r="C71" s="85">
        <f>'2023'!An_max</f>
        <v>2023</v>
      </c>
      <c r="D71" s="1087">
        <f t="shared" si="7"/>
        <v>1.0037563100773259</v>
      </c>
      <c r="E71" s="747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836">
        <f t="shared" si="9"/>
        <v>0.5</v>
      </c>
      <c r="J71" s="827">
        <f t="shared" si="27"/>
        <v>45.500843750219794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836">
        <f t="shared" si="14"/>
        <v>0.75</v>
      </c>
      <c r="AT71" s="853">
        <f t="shared" si="15"/>
        <v>45.446976562449706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836">
        <f t="shared" si="19"/>
        <v>0.25</v>
      </c>
      <c r="AY71" s="853">
        <f t="shared" si="20"/>
        <v>45.517773437546566</v>
      </c>
      <c r="AZ71" s="827">
        <f t="shared" si="26"/>
        <v>45.482374999998136</v>
      </c>
      <c r="BA71" s="660">
        <f t="shared" si="21"/>
        <v>1.0037563100773259</v>
      </c>
      <c r="BB71" s="655">
        <v>43157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924">
        <f>1+[2]!Salcycl*Ksac</f>
        <v>1.0003289277515635</v>
      </c>
      <c r="BH71" s="1080">
        <f t="shared" si="22"/>
        <v>8.4814582387470871E-3</v>
      </c>
      <c r="BI71" s="11">
        <v>44253</v>
      </c>
      <c r="BJ71" s="801">
        <v>3.0604454434529547E-3</v>
      </c>
      <c r="BK71" s="801">
        <v>4.3383073872029949E-3</v>
      </c>
      <c r="BL71" s="801">
        <v>6.1427318434107312E-3</v>
      </c>
      <c r="BM71" s="801">
        <v>8.4813179900107196E-3</v>
      </c>
      <c r="BN71" s="801">
        <v>1.2186114629068018E-2</v>
      </c>
      <c r="BO71" s="802">
        <v>1.8561905618312381E-2</v>
      </c>
      <c r="BP71" s="801">
        <v>2.9552356786316319E-2</v>
      </c>
      <c r="BQ71" s="801">
        <v>4.5996205898638266E-2</v>
      </c>
      <c r="BR71" s="801">
        <v>6.9697151591242942E-2</v>
      </c>
      <c r="BS71" s="801">
        <v>0.10658793007121137</v>
      </c>
      <c r="BT71" s="801">
        <v>0.15486583724656286</v>
      </c>
      <c r="BW71" s="1136">
        <f>'2018'!R\Max</f>
        <v>0</v>
      </c>
      <c r="BX71" s="1134">
        <f>'2019'!R\Max</f>
        <v>0.92135678861008508</v>
      </c>
      <c r="BY71" s="1134">
        <f>'2020'!R\Max</f>
        <v>0.36301099100260176</v>
      </c>
      <c r="BZ71" s="1134">
        <f>'2021'!R\Max</f>
        <v>0.18953588922075537</v>
      </c>
      <c r="CA71" s="1134">
        <f>'2022'!R\Max</f>
        <v>1.0037563100773259</v>
      </c>
      <c r="CB71" s="1134">
        <f>'2023'!R\Max</f>
        <v>1.0037563100773259</v>
      </c>
      <c r="CC71" s="1134">
        <f>'2024'!R\Max</f>
        <v>1.0037563100773257</v>
      </c>
      <c r="CD71" s="1134">
        <f>'2025'!R\Max</f>
        <v>1.0037563100773261</v>
      </c>
      <c r="CE71" s="1134">
        <f>'2026'!R\Max</f>
        <v>1.0037563100773261</v>
      </c>
      <c r="CF71" s="1135">
        <f>'2027'!R\Max</f>
        <v>1.0037563100773264</v>
      </c>
    </row>
    <row r="72" spans="1:84" s="6" customFormat="1" ht="11.25" x14ac:dyDescent="0.2">
      <c r="A72" s="11">
        <v>43158</v>
      </c>
      <c r="B72" s="380">
        <f>'2023'!Maxi_hp</f>
        <v>44.962572405256154</v>
      </c>
      <c r="C72" s="85">
        <f>'2023'!An_max</f>
        <v>2019</v>
      </c>
      <c r="D72" s="1087">
        <f t="shared" si="7"/>
        <v>0.98137893074371041</v>
      </c>
      <c r="E72" s="747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836">
        <f t="shared" si="9"/>
        <v>0.5714285714285714</v>
      </c>
      <c r="J72" s="827">
        <f t="shared" si="27"/>
        <v>45.815709912564081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836">
        <f t="shared" si="14"/>
        <v>0.7857142857142857</v>
      </c>
      <c r="AT72" s="853">
        <f t="shared" si="15"/>
        <v>45.776403243307556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836">
        <f t="shared" si="19"/>
        <v>0.2857142857142857</v>
      </c>
      <c r="AY72" s="853">
        <f t="shared" si="20"/>
        <v>45.842129737404846</v>
      </c>
      <c r="AZ72" s="827">
        <f t="shared" si="26"/>
        <v>45.809266490356201</v>
      </c>
      <c r="BA72" s="660">
        <f t="shared" si="21"/>
        <v>0.98137893074371041</v>
      </c>
      <c r="BB72" s="655">
        <v>43158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924">
        <f>1+[2]!Salcycl*Ksac</f>
        <v>1.0003421148574925</v>
      </c>
      <c r="BH72" s="1080">
        <f t="shared" si="22"/>
        <v>8.4537753657044877E-3</v>
      </c>
      <c r="BI72" s="11">
        <v>44254</v>
      </c>
      <c r="BJ72" s="801">
        <v>2.9941430634850357E-3</v>
      </c>
      <c r="BK72" s="801">
        <v>4.2641935078140012E-3</v>
      </c>
      <c r="BL72" s="801">
        <v>6.0933242138399247E-3</v>
      </c>
      <c r="BM72" s="801">
        <v>8.4536346378741023E-3</v>
      </c>
      <c r="BN72" s="801">
        <v>1.2171086976722674E-2</v>
      </c>
      <c r="BO72" s="802">
        <v>1.8545325334662962E-2</v>
      </c>
      <c r="BP72" s="801">
        <v>2.9571687381071684E-2</v>
      </c>
      <c r="BQ72" s="801">
        <v>4.6138641727240727E-2</v>
      </c>
      <c r="BR72" s="801">
        <v>6.9683492351074308E-2</v>
      </c>
      <c r="BS72" s="801">
        <v>0.10512007608378122</v>
      </c>
      <c r="BT72" s="801">
        <v>0.15060176965227109</v>
      </c>
      <c r="BW72" s="1136">
        <f>'2018'!R\Max</f>
        <v>0</v>
      </c>
      <c r="BX72" s="1134">
        <f>'2019'!R\Max</f>
        <v>0.98137893074371041</v>
      </c>
      <c r="BY72" s="1134">
        <f>'2020'!R\Max</f>
        <v>0.1095280128450901</v>
      </c>
      <c r="BZ72" s="1134">
        <f>'2021'!R\Max</f>
        <v>0.95507083208477317</v>
      </c>
      <c r="CA72" s="1134">
        <f>'2022'!R\Max</f>
        <v>0.68777828637604455</v>
      </c>
      <c r="CB72" s="1134">
        <f>'2023'!R\Max</f>
        <v>0.68763800858205837</v>
      </c>
      <c r="CC72" s="1134">
        <f>'2024'!R\Max</f>
        <v>0.68749674190580889</v>
      </c>
      <c r="CD72" s="1134">
        <f>'2025'!R\Max</f>
        <v>0.68728573506358137</v>
      </c>
      <c r="CE72" s="1134">
        <f>'2026'!R\Max</f>
        <v>0.68799120393224611</v>
      </c>
      <c r="CF72" s="1135">
        <f>'2027'!R\Max</f>
        <v>0.68794395468812763</v>
      </c>
    </row>
    <row r="73" spans="1:84" s="6" customFormat="1" ht="11.25" x14ac:dyDescent="0.2">
      <c r="A73" s="11">
        <v>43159</v>
      </c>
      <c r="B73" s="380">
        <f>'2023'!Maxi_hp</f>
        <v>37.080698817786207</v>
      </c>
      <c r="C73" s="85">
        <f>'2023'!An_max</f>
        <v>2021</v>
      </c>
      <c r="D73" s="1087" t="str">
        <f t="shared" si="7"/>
        <v/>
      </c>
      <c r="E73" s="747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836">
        <f t="shared" si="9"/>
        <v>0.6428571428571429</v>
      </c>
      <c r="J73" s="827">
        <f t="shared" si="27"/>
        <v>46.12892483599218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836">
        <f t="shared" si="14"/>
        <v>0.8214285714285714</v>
      </c>
      <c r="AT73" s="853">
        <f t="shared" si="15"/>
        <v>46.102653083624318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836">
        <f t="shared" si="19"/>
        <v>0.32142857142857145</v>
      </c>
      <c r="AY73" s="853">
        <f t="shared" si="20"/>
        <v>46.165552728922506</v>
      </c>
      <c r="AZ73" s="827">
        <f t="shared" si="26"/>
        <v>46.134102906273412</v>
      </c>
      <c r="BA73" s="660">
        <f t="shared" si="21"/>
        <v>0.8038491889768461</v>
      </c>
      <c r="BB73" s="655">
        <v>43159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924">
        <f>1+[2]!Salcycl*Ksac</f>
        <v>1.0003550727320698</v>
      </c>
      <c r="BH73" s="1080">
        <f t="shared" si="22"/>
        <v>8.395284259219345E-3</v>
      </c>
      <c r="BI73" s="11">
        <v>44255</v>
      </c>
      <c r="BJ73" s="801">
        <v>2.9193010221244381E-3</v>
      </c>
      <c r="BK73" s="801">
        <v>4.1787439095327542E-3</v>
      </c>
      <c r="BL73" s="801">
        <v>6.0234708670958608E-3</v>
      </c>
      <c r="BM73" s="801">
        <v>8.395143531111017E-3</v>
      </c>
      <c r="BN73" s="801">
        <v>1.2112603212083994E-2</v>
      </c>
      <c r="BO73" s="802">
        <v>1.8477475688516581E-2</v>
      </c>
      <c r="BP73" s="801">
        <v>2.9530171835567526E-2</v>
      </c>
      <c r="BQ73" s="801">
        <v>4.621195026572178E-2</v>
      </c>
      <c r="BR73" s="801">
        <v>6.9650919480942805E-2</v>
      </c>
      <c r="BS73" s="801">
        <v>0.10381051604669189</v>
      </c>
      <c r="BT73" s="801">
        <v>0.14679891765991712</v>
      </c>
      <c r="BW73" s="1136">
        <f>'2018'!R\Max</f>
        <v>0</v>
      </c>
      <c r="BX73" s="1134">
        <f>'2019'!R\Max</f>
        <v>0.79208712738378573</v>
      </c>
      <c r="BY73" s="1134">
        <f>'2020'!R\Max</f>
        <v>0.45133796770109946</v>
      </c>
      <c r="BZ73" s="1134">
        <f>'2021'!R\Max</f>
        <v>0.8038491889768461</v>
      </c>
      <c r="CA73" s="1134">
        <f>'2022'!R\Max</f>
        <v>0.79163233795087729</v>
      </c>
      <c r="CB73" s="1134">
        <f>'2023'!R\Max</f>
        <v>0.79152503532986018</v>
      </c>
      <c r="CC73" s="1134">
        <f>'2024'!R\Max</f>
        <v>0.79141691995995034</v>
      </c>
      <c r="CD73" s="1134">
        <f>'2025'!R\Max</f>
        <v>0.79125473404136326</v>
      </c>
      <c r="CE73" s="1134">
        <f>'2026'!R\Max</f>
        <v>0.79179465370707336</v>
      </c>
      <c r="CF73" s="1135">
        <f>'2027'!R\Max</f>
        <v>0.79175860616918281</v>
      </c>
    </row>
    <row r="74" spans="1:84" s="6" customFormat="1" ht="11.25" x14ac:dyDescent="0.2">
      <c r="A74" s="11">
        <v>43160</v>
      </c>
      <c r="B74" s="380">
        <f>'2023'!Maxi_hp</f>
        <v>46.69078585834697</v>
      </c>
      <c r="C74" s="85">
        <f>'2023'!An_max</f>
        <v>2023</v>
      </c>
      <c r="D74" s="1087">
        <f t="shared" si="7"/>
        <v>1.0053873048316821</v>
      </c>
      <c r="E74" s="747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836">
        <f t="shared" si="9"/>
        <v>0.7142857142857143</v>
      </c>
      <c r="J74" s="827">
        <f t="shared" si="27"/>
        <v>46.440596209998645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836">
        <f t="shared" si="14"/>
        <v>0.8571428571428571</v>
      </c>
      <c r="AT74" s="853">
        <f t="shared" si="15"/>
        <v>46.425376093094904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836">
        <f t="shared" si="19"/>
        <v>0.35714285714285715</v>
      </c>
      <c r="AY74" s="853">
        <f t="shared" si="20"/>
        <v>46.487800109586011</v>
      </c>
      <c r="AZ74" s="827">
        <f t="shared" si="26"/>
        <v>46.456588101340458</v>
      </c>
      <c r="BA74" s="660">
        <f t="shared" si="21"/>
        <v>1.0053873048316821</v>
      </c>
      <c r="BB74" s="655">
        <v>43160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924">
        <f>1+[2]!Salcycl*Ksac</f>
        <v>1.0003678787452062</v>
      </c>
      <c r="BH74" s="1080">
        <f t="shared" si="22"/>
        <v>8.3059811118090885E-3</v>
      </c>
      <c r="BI74" s="11">
        <v>44256</v>
      </c>
      <c r="BJ74" s="801">
        <v>2.835917821598085E-3</v>
      </c>
      <c r="BK74" s="801">
        <v>4.0819565447714331E-3</v>
      </c>
      <c r="BL74" s="801">
        <v>5.9331689909426846E-3</v>
      </c>
      <c r="BM74" s="801">
        <v>8.3058408622983942E-3</v>
      </c>
      <c r="BN74" s="801">
        <v>1.201065795585031E-2</v>
      </c>
      <c r="BO74" s="802">
        <v>1.8358348788546513E-2</v>
      </c>
      <c r="BP74" s="801">
        <v>2.942779812050611E-2</v>
      </c>
      <c r="BQ74" s="801">
        <v>4.6216113621135292E-2</v>
      </c>
      <c r="BR74" s="801">
        <v>6.9599406792114807E-2</v>
      </c>
      <c r="BS74" s="801">
        <v>0.10265920902153763</v>
      </c>
      <c r="BT74" s="801">
        <v>0.14345721963552077</v>
      </c>
      <c r="BW74" s="1136">
        <f>'2018'!R\Max</f>
        <v>0</v>
      </c>
      <c r="BX74" s="1134">
        <f>'2019'!R\Max</f>
        <v>0.31964683155777507</v>
      </c>
      <c r="BY74" s="1134">
        <f>'2020'!R\Max</f>
        <v>0.3599856160773317</v>
      </c>
      <c r="BZ74" s="1134">
        <f>'2021'!R\Max</f>
        <v>0.87056949527678495</v>
      </c>
      <c r="CA74" s="1134">
        <f>'2022'!R\Max</f>
        <v>1.0053873048316821</v>
      </c>
      <c r="CB74" s="1134">
        <f>'2023'!R\Max</f>
        <v>1.0053873048316821</v>
      </c>
      <c r="CC74" s="1134">
        <f>'2024'!R\Max</f>
        <v>1.0053873048316824</v>
      </c>
      <c r="CD74" s="1134">
        <f>'2025'!R\Max</f>
        <v>1.0053873048316821</v>
      </c>
      <c r="CE74" s="1134">
        <f>'2026'!R\Max</f>
        <v>1.0053873048316819</v>
      </c>
      <c r="CF74" s="1135">
        <f>'2027'!R\Max</f>
        <v>1.0053873048316819</v>
      </c>
    </row>
    <row r="75" spans="1:84" s="6" customFormat="1" ht="11.25" x14ac:dyDescent="0.2">
      <c r="A75" s="11">
        <v>43161</v>
      </c>
      <c r="B75" s="380">
        <f>'2023'!Maxi_hp</f>
        <v>32.956677810715547</v>
      </c>
      <c r="C75" s="85">
        <f>'2023'!An_max</f>
        <v>2020</v>
      </c>
      <c r="D75" s="1087" t="str">
        <f t="shared" si="7"/>
        <v/>
      </c>
      <c r="E75" s="747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836">
        <f t="shared" si="9"/>
        <v>0.7857142857142857</v>
      </c>
      <c r="J75" s="827">
        <f t="shared" si="27"/>
        <v>46.750831723625637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836">
        <f t="shared" si="14"/>
        <v>0.8928571428571429</v>
      </c>
      <c r="AT75" s="853">
        <f t="shared" si="15"/>
        <v>46.744222280236762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836">
        <f t="shared" si="19"/>
        <v>0.39285714285714285</v>
      </c>
      <c r="AY75" s="853">
        <f t="shared" si="20"/>
        <v>46.808629578132454</v>
      </c>
      <c r="AZ75" s="827">
        <f t="shared" si="26"/>
        <v>46.776425929184612</v>
      </c>
      <c r="BA75" s="660">
        <f t="shared" si="21"/>
        <v>0.70494313353704074</v>
      </c>
      <c r="BB75" s="655">
        <v>43161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924">
        <f>1+[2]!Salcycl*Ksac</f>
        <v>1.0003806298694458</v>
      </c>
      <c r="BH75" s="1080">
        <f t="shared" si="22"/>
        <v>8.1858620362979789E-3</v>
      </c>
      <c r="BI75" s="11">
        <v>44257</v>
      </c>
      <c r="BJ75" s="801">
        <v>2.7439920288076032E-3</v>
      </c>
      <c r="BK75" s="801">
        <v>3.9738294312264442E-3</v>
      </c>
      <c r="BL75" s="801">
        <v>5.822415766186642E-3</v>
      </c>
      <c r="BM75" s="801">
        <v>8.1857227443225891E-3</v>
      </c>
      <c r="BN75" s="801">
        <v>1.1865245680763012E-2</v>
      </c>
      <c r="BO75" s="802">
        <v>1.818793656716752E-2</v>
      </c>
      <c r="BP75" s="801">
        <v>2.9264553939682348E-2</v>
      </c>
      <c r="BQ75" s="801">
        <v>4.6151113419017231E-2</v>
      </c>
      <c r="BR75" s="801">
        <v>6.952892804201663E-2</v>
      </c>
      <c r="BS75" s="801">
        <v>0.10166611686218197</v>
      </c>
      <c r="BT75" s="801">
        <v>0.14057662206189406</v>
      </c>
      <c r="BW75" s="1136">
        <f>'2018'!R\Max</f>
        <v>0</v>
      </c>
      <c r="BX75" s="1134">
        <f>'2019'!R\Max</f>
        <v>0.40732440687962151</v>
      </c>
      <c r="BY75" s="1134">
        <f>'2020'!R\Max</f>
        <v>0.70494313353704074</v>
      </c>
      <c r="BZ75" s="1134">
        <f>'2021'!R\Max</f>
        <v>0.38386059703020647</v>
      </c>
      <c r="CA75" s="1134">
        <f>'2022'!R\Max</f>
        <v>0.25168730799679828</v>
      </c>
      <c r="CB75" s="1134">
        <f>'2023'!R\Max</f>
        <v>0.25157393871005312</v>
      </c>
      <c r="CC75" s="1134">
        <f>'2024'!R\Max</f>
        <v>0.25145968579657718</v>
      </c>
      <c r="CD75" s="1134">
        <f>'2025'!R\Max</f>
        <v>0.25128685169575327</v>
      </c>
      <c r="CE75" s="1134">
        <f>'2026'!R\Max</f>
        <v>0.25185740070449503</v>
      </c>
      <c r="CF75" s="1135">
        <f>'2027'!R\Max</f>
        <v>0.25181974075138497</v>
      </c>
    </row>
    <row r="76" spans="1:84" s="6" customFormat="1" ht="11.25" x14ac:dyDescent="0.2">
      <c r="A76" s="11">
        <v>43162</v>
      </c>
      <c r="B76" s="380">
        <f>'2023'!Maxi_hp</f>
        <v>44.153749243212872</v>
      </c>
      <c r="C76" s="85">
        <f>'2023'!An_max</f>
        <v>2022</v>
      </c>
      <c r="D76" s="1087" t="str">
        <f t="shared" si="7"/>
        <v/>
      </c>
      <c r="E76" s="747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836">
        <f t="shared" si="9"/>
        <v>0.8571428571428571</v>
      </c>
      <c r="J76" s="827">
        <f t="shared" si="27"/>
        <v>47.059739067086149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836">
        <f t="shared" si="14"/>
        <v>0.9285714285714286</v>
      </c>
      <c r="AT76" s="853">
        <f t="shared" si="15"/>
        <v>47.058841654166045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836">
        <f t="shared" si="19"/>
        <v>0.42857142857142855</v>
      </c>
      <c r="AY76" s="853">
        <f t="shared" si="20"/>
        <v>47.127798833910909</v>
      </c>
      <c r="AZ76" s="827">
        <f t="shared" si="26"/>
        <v>47.09332024403848</v>
      </c>
      <c r="BA76" s="660">
        <f t="shared" si="21"/>
        <v>0.93824891762084284</v>
      </c>
      <c r="BB76" s="655">
        <v>43162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924">
        <f>1+[2]!Salcycl*Ksac</f>
        <v>1.0003934428640651</v>
      </c>
      <c r="BH76" s="1080">
        <f t="shared" si="22"/>
        <v>8.0349231798405689E-3</v>
      </c>
      <c r="BI76" s="11">
        <v>44258</v>
      </c>
      <c r="BJ76" s="801">
        <v>2.6435223069366971E-3</v>
      </c>
      <c r="BK76" s="801">
        <v>3.8543606938367899E-3</v>
      </c>
      <c r="BL76" s="801">
        <v>5.6912084423486921E-3</v>
      </c>
      <c r="BM76" s="801">
        <v>8.0347853244010503E-3</v>
      </c>
      <c r="BN76" s="801">
        <v>1.1676360872442906E-2</v>
      </c>
      <c r="BO76" s="802">
        <v>1.7966230970313055E-2</v>
      </c>
      <c r="BP76" s="801">
        <v>2.9040426955253006E-2</v>
      </c>
      <c r="BQ76" s="801">
        <v>4.6016931059387166E-2</v>
      </c>
      <c r="BR76" s="801">
        <v>6.9439457004589825E-2</v>
      </c>
      <c r="BS76" s="801">
        <v>0.10083120362965992</v>
      </c>
      <c r="BT76" s="801">
        <v>0.13815707783300682</v>
      </c>
      <c r="BW76" s="1136">
        <f>'2018'!R\Max</f>
        <v>0</v>
      </c>
      <c r="BX76" s="1134">
        <f>'2019'!R\Max</f>
        <v>0.84747505116527311</v>
      </c>
      <c r="BY76" s="1134">
        <f>'2020'!R\Max</f>
        <v>0.50678569980045873</v>
      </c>
      <c r="BZ76" s="1134">
        <f>'2021'!R\Max</f>
        <v>0.33443520345957134</v>
      </c>
      <c r="CA76" s="1134">
        <f>'2022'!R\Max</f>
        <v>0.93824891762084284</v>
      </c>
      <c r="CB76" s="1134">
        <f>'2023'!R\Max</f>
        <v>0.93821188030801017</v>
      </c>
      <c r="CC76" s="1134">
        <f>'2024'!R\Max</f>
        <v>0.93817450586913953</v>
      </c>
      <c r="CD76" s="1134">
        <f>'2025'!R\Max</f>
        <v>0.93811762290465839</v>
      </c>
      <c r="CE76" s="1134">
        <f>'2026'!R\Max</f>
        <v>0.9383041078403076</v>
      </c>
      <c r="CF76" s="1135">
        <f>'2027'!R\Max</f>
        <v>0.93829194684416084</v>
      </c>
    </row>
    <row r="77" spans="1:84" s="6" customFormat="1" ht="11.25" x14ac:dyDescent="0.2">
      <c r="A77" s="11">
        <v>43163</v>
      </c>
      <c r="B77" s="380">
        <f>'2023'!Maxi_hp</f>
        <v>33.323703114447028</v>
      </c>
      <c r="C77" s="85">
        <f>'2023'!An_max</f>
        <v>2021</v>
      </c>
      <c r="D77" s="1087" t="str">
        <f t="shared" si="7"/>
        <v/>
      </c>
      <c r="E77" s="747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836">
        <f t="shared" si="9"/>
        <v>0.9285714285714286</v>
      </c>
      <c r="J77" s="827">
        <f t="shared" si="27"/>
        <v>47.367425929462271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836">
        <f t="shared" si="14"/>
        <v>0.9642857142857143</v>
      </c>
      <c r="AT77" s="853">
        <f t="shared" si="15"/>
        <v>47.368884224677458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836">
        <f t="shared" si="19"/>
        <v>0.4642857142857143</v>
      </c>
      <c r="AY77" s="853">
        <f t="shared" si="20"/>
        <v>47.445065575019854</v>
      </c>
      <c r="AZ77" s="827">
        <f t="shared" si="26"/>
        <v>47.406974899848656</v>
      </c>
      <c r="BA77" s="660">
        <f t="shared" si="21"/>
        <v>0.70351517863924862</v>
      </c>
      <c r="BB77" s="655">
        <v>43163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924">
        <f>1+[2]!Salcycl*Ksac</f>
        <v>1.00040645432215</v>
      </c>
      <c r="BH77" s="1080">
        <f t="shared" si="22"/>
        <v>7.8531608379329744E-3</v>
      </c>
      <c r="BI77" s="11">
        <v>44259</v>
      </c>
      <c r="BJ77" s="801">
        <v>2.534507447054522E-3</v>
      </c>
      <c r="BK77" s="801">
        <v>3.7235486067365847E-3</v>
      </c>
      <c r="BL77" s="801">
        <v>5.5395444133284734E-3</v>
      </c>
      <c r="BM77" s="801">
        <v>7.8530248980918389E-3</v>
      </c>
      <c r="BN77" s="801">
        <v>1.1443998190208896E-2</v>
      </c>
      <c r="BO77" s="802">
        <v>1.7693224147185348E-2</v>
      </c>
      <c r="BP77" s="801">
        <v>2.8755405012962237E-2</v>
      </c>
      <c r="BQ77" s="801">
        <v>4.5813547972680703E-2</v>
      </c>
      <c r="BR77" s="801">
        <v>6.9330967540542243E-2</v>
      </c>
      <c r="BS77" s="801">
        <v>0.10015443500692883</v>
      </c>
      <c r="BT77" s="801">
        <v>0.13619854454814484</v>
      </c>
      <c r="BW77" s="1136">
        <f>'2018'!R\Max</f>
        <v>0</v>
      </c>
      <c r="BX77" s="1134">
        <f>'2019'!R\Max</f>
        <v>0.23697457554244716</v>
      </c>
      <c r="BY77" s="1134">
        <f>'2020'!R\Max</f>
        <v>0.11616089604410421</v>
      </c>
      <c r="BZ77" s="1134">
        <f>'2021'!R\Max</f>
        <v>0.70351517863924862</v>
      </c>
      <c r="CA77" s="1134">
        <f>'2022'!R\Max</f>
        <v>9.9601051106058602E-2</v>
      </c>
      <c r="CB77" s="1134">
        <f>'2023'!R\Max</f>
        <v>9.9556814680291886E-2</v>
      </c>
      <c r="CC77" s="1134">
        <f>'2024'!R\Max</f>
        <v>9.951218931577771E-2</v>
      </c>
      <c r="CD77" s="1134">
        <f>'2025'!R\Max</f>
        <v>9.9443975707275839E-2</v>
      </c>
      <c r="CE77" s="1134">
        <f>'2026'!R\Max</f>
        <v>9.9666593219855479E-2</v>
      </c>
      <c r="CF77" s="1135">
        <f>'2027'!R\Max</f>
        <v>9.9652233318729799E-2</v>
      </c>
    </row>
    <row r="78" spans="1:84" s="6" customFormat="1" ht="11.25" x14ac:dyDescent="0.2">
      <c r="A78" s="11">
        <v>43164</v>
      </c>
      <c r="B78" s="380">
        <f>'2023'!Maxi_hp</f>
        <v>47.032781812856342</v>
      </c>
      <c r="C78" s="85">
        <f>'2023'!An_max</f>
        <v>2019</v>
      </c>
      <c r="D78" s="1087">
        <f t="shared" si="7"/>
        <v>0.986549939447116</v>
      </c>
      <c r="E78" s="835">
        <f>R$13/10</f>
        <v>47.673999999999999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836">
        <f t="shared" si="9"/>
        <v>1</v>
      </c>
      <c r="J78" s="827">
        <f t="shared" si="27"/>
        <v>47.673999999649823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836">
        <f t="shared" si="14"/>
        <v>1</v>
      </c>
      <c r="AT78" s="853">
        <f t="shared" si="15"/>
        <v>47.673999999836084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836">
        <f t="shared" si="19"/>
        <v>0.5</v>
      </c>
      <c r="AY78" s="853">
        <f t="shared" si="20"/>
        <v>47.760187499877063</v>
      </c>
      <c r="AZ78" s="827">
        <f t="shared" si="26"/>
        <v>47.717093749856573</v>
      </c>
      <c r="BA78" s="660">
        <f t="shared" si="21"/>
        <v>0.986549939447116</v>
      </c>
      <c r="BB78" s="655">
        <v>43164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924">
        <f>1+[2]!Salcycl*Ksac</f>
        <v>1.0004198205828729</v>
      </c>
      <c r="BH78" s="1080">
        <f t="shared" si="22"/>
        <v>7.6405715684484373E-3</v>
      </c>
      <c r="BI78" s="11">
        <v>44260</v>
      </c>
      <c r="BJ78" s="801">
        <v>2.416946399727071E-3</v>
      </c>
      <c r="BK78" s="801">
        <v>3.5813916352192498E-3</v>
      </c>
      <c r="BL78" s="801">
        <v>5.3674212930854863E-3</v>
      </c>
      <c r="BM78" s="801">
        <v>7.6404380233274045E-3</v>
      </c>
      <c r="BN78" s="801">
        <v>1.1168152627931921E-2</v>
      </c>
      <c r="BO78" s="802">
        <v>1.7368908640059591E-2</v>
      </c>
      <c r="BP78" s="801">
        <v>2.8409476367454538E-2</v>
      </c>
      <c r="BQ78" s="801">
        <v>4.5540945875820284E-2</v>
      </c>
      <c r="BR78" s="801">
        <v>6.9203433667807623E-2</v>
      </c>
      <c r="BS78" s="801">
        <v>9.963577771392268E-2</v>
      </c>
      <c r="BT78" s="801">
        <v>0.13470098280648474</v>
      </c>
      <c r="BW78" s="1136">
        <f>'2018'!R\Max</f>
        <v>0</v>
      </c>
      <c r="BX78" s="1134">
        <f>'2019'!R\Max</f>
        <v>0.986549939447116</v>
      </c>
      <c r="BY78" s="1134">
        <f>'2020'!R\Max</f>
        <v>0.163838604485158</v>
      </c>
      <c r="BZ78" s="1134">
        <f>'2021'!R\Max</f>
        <v>0.80765815241190553</v>
      </c>
      <c r="CA78" s="1134">
        <f>'2022'!R\Max</f>
        <v>0.35189510635490517</v>
      </c>
      <c r="CB78" s="1134">
        <f>'2023'!R\Max</f>
        <v>0.35175163506071255</v>
      </c>
      <c r="CC78" s="1134">
        <f>'2024'!R\Max</f>
        <v>0.35160681312638498</v>
      </c>
      <c r="CD78" s="1134">
        <f>'2025'!R\Max</f>
        <v>0.35138415768079861</v>
      </c>
      <c r="CE78" s="1134">
        <f>'2026'!R\Max</f>
        <v>0.35210603354599029</v>
      </c>
      <c r="CF78" s="1135">
        <f>'2027'!R\Max</f>
        <v>0.3520601966201472</v>
      </c>
    </row>
    <row r="79" spans="1:84" s="6" customFormat="1" ht="11.25" x14ac:dyDescent="0.2">
      <c r="A79" s="11">
        <v>43165</v>
      </c>
      <c r="B79" s="380">
        <f>'2023'!Maxi_hp</f>
        <v>24.181479709212134</v>
      </c>
      <c r="C79" s="85">
        <f>'2023'!An_max</f>
        <v>2019</v>
      </c>
      <c r="D79" s="1087" t="str">
        <f t="shared" ref="D79:D142" si="59">IF($BA79&gt;$D$11,BA79,"")</f>
        <v/>
      </c>
      <c r="E79" s="747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836">
        <f t="shared" ref="I79:I142" si="62">($A79-H79)/(INDEX(x.2m,G79)-H79)</f>
        <v>0.9285714285714286</v>
      </c>
      <c r="J79" s="827">
        <f t="shared" ref="J79:J142" si="63">((1-I79)*(INDEX(a.m,F79)*$A79*$A79+INDEX(b.m,F79)*$A79+INDEX(c.m,F79))+I79*(INDEX(a.m,G79)*$A79*$A79+INDEX(b.m,G79)*$A79+INDEX(c.m,G79)))/10</f>
        <v>47.979999726451936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836">
        <f t="shared" ref="AS79:AS142" si="67">($A79-AR79)/(INDEX(x.2lg,AQ79)-AR79)</f>
        <v>0.9642857142857143</v>
      </c>
      <c r="AT79" s="853">
        <f t="shared" ref="AT79:AT142" si="68">((1-AS79)*(INDEX(a.lg,AP79)*$A79*$A79+INDEX(b.lg,AP79)*$A79+INDEX(c.lg,AP79))+AS79*(INDEX(a.lg,AQ79)*$A79*$A79+INDEX(b.lg,AQ79)*$A79+INDEX(c.lg,AQ79)))/10</f>
        <v>47.976984420072824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836">
        <f t="shared" ref="AX79:AX142" si="72">($A79-AW79)/(INDEX(x.2ld,AV79)-AW79)</f>
        <v>0.5357142857142857</v>
      </c>
      <c r="AY79" s="853">
        <f t="shared" ref="AY79:AY142" si="73">((1-AX79)*(INDEX(a.ld,AU79)*$A79*$A79+INDEX(b.ld,AU79)*$A79+INDEX(c.ld,AU79))+AX79*(INDEX(a.ld,AV79)*$A79*$A79+INDEX(b.ld,AV79)*$A79+INDEX(c.ld,AV79)))/10</f>
        <v>48.072922307658679</v>
      </c>
      <c r="AZ79" s="827">
        <f t="shared" si="26"/>
        <v>48.024953363865748</v>
      </c>
      <c r="BA79" s="660">
        <f t="shared" ref="BA79:BA142" si="74">+B79/J79</f>
        <v>0.50399082632509062</v>
      </c>
      <c r="BB79" s="655">
        <v>43165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924">
        <f>1+[2]!Salcycl*Ksac</f>
        <v>1.0004337175124713</v>
      </c>
      <c r="BH79" s="1080">
        <f t="shared" ref="BH79:BH142" si="75">INDEX($BJ79:$BT79,,$BH$10)*(1-Ratini)+INDEX($BJ79:$BT79,,$BH$10+1)*Ratini</f>
        <v>7.3971523056410226E-3</v>
      </c>
      <c r="BI79" s="11">
        <v>44261</v>
      </c>
      <c r="BJ79" s="801">
        <v>2.2908383066181236E-3</v>
      </c>
      <c r="BK79" s="801">
        <v>3.4278884776864685E-3</v>
      </c>
      <c r="BL79" s="801">
        <v>5.1748369912977292E-3</v>
      </c>
      <c r="BM79" s="801">
        <v>7.3970216344165169E-3</v>
      </c>
      <c r="BN79" s="801">
        <v>1.0848819674842561E-2</v>
      </c>
      <c r="BO79" s="802">
        <v>1.6993277574016821E-2</v>
      </c>
      <c r="BP79" s="801">
        <v>2.8002629907472109E-2</v>
      </c>
      <c r="BQ79" s="801">
        <v>4.5199107028102432E-2</v>
      </c>
      <c r="BR79" s="801">
        <v>6.9056829631728309E-2</v>
      </c>
      <c r="BS79" s="801">
        <v>9.9275198922204308E-2</v>
      </c>
      <c r="BT79" s="801">
        <v>0.13366435450111816</v>
      </c>
      <c r="BW79" s="1136">
        <f>'2018'!R\Max</f>
        <v>0</v>
      </c>
      <c r="BX79" s="1134">
        <f>'2019'!R\Max</f>
        <v>0.50399082632509062</v>
      </c>
      <c r="BY79" s="1134">
        <f>'2020'!R\Max</f>
        <v>0.23138649290668198</v>
      </c>
      <c r="BZ79" s="1134">
        <f>'2021'!R\Max</f>
        <v>0.24460624315329946</v>
      </c>
      <c r="CA79" s="1134">
        <f>'2022'!R\Max</f>
        <v>0.49517358607963791</v>
      </c>
      <c r="CB79" s="1134">
        <f>'2023'!R\Max</f>
        <v>0.49501773396821325</v>
      </c>
      <c r="CC79" s="1134">
        <f>'2024'!R\Max</f>
        <v>0.49486029344544075</v>
      </c>
      <c r="CD79" s="1134">
        <f>'2025'!R\Max</f>
        <v>0.49461671836732113</v>
      </c>
      <c r="CE79" s="1134">
        <f>'2026'!R\Max</f>
        <v>0.49540068422819444</v>
      </c>
      <c r="CF79" s="1135">
        <f>'2027'!R\Max</f>
        <v>0.4953518408414328</v>
      </c>
    </row>
    <row r="80" spans="1:84" s="6" customFormat="1" ht="11.25" x14ac:dyDescent="0.2">
      <c r="A80" s="11">
        <v>43166</v>
      </c>
      <c r="B80" s="380">
        <f>'2023'!Maxi_hp</f>
        <v>43.018931785268983</v>
      </c>
      <c r="C80" s="85">
        <f>'2023'!An_max</f>
        <v>2019</v>
      </c>
      <c r="D80" s="1087" t="str">
        <f t="shared" si="59"/>
        <v/>
      </c>
      <c r="E80" s="747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836">
        <f t="shared" si="62"/>
        <v>0.8571428571428571</v>
      </c>
      <c r="J80" s="827">
        <f t="shared" si="63"/>
        <v>48.285676384610788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836">
        <f t="shared" si="67"/>
        <v>0.9285714285714286</v>
      </c>
      <c r="AT80" s="853">
        <f t="shared" si="68"/>
        <v>48.280650874679644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836">
        <f t="shared" si="72"/>
        <v>0.5714285714285714</v>
      </c>
      <c r="AY80" s="853">
        <f t="shared" si="73"/>
        <v>48.383027696476447</v>
      </c>
      <c r="AZ80" s="827">
        <f t="shared" ref="AZ80:AZ143" si="77">(AY80+AT80)/2</f>
        <v>48.331839285578042</v>
      </c>
      <c r="BA80" s="660">
        <f t="shared" si="74"/>
        <v>0.89092532208950526</v>
      </c>
      <c r="BB80" s="655">
        <v>43166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924">
        <f>1+[2]!Salcycl*Ksac</f>
        <v>1.0004483401586133</v>
      </c>
      <c r="BH80" s="1080">
        <f t="shared" si="75"/>
        <v>7.1259560539713345E-3</v>
      </c>
      <c r="BI80" s="11">
        <v>44262</v>
      </c>
      <c r="BJ80" s="801">
        <v>2.1596488657016182E-3</v>
      </c>
      <c r="BK80" s="801">
        <v>3.2665097768326524E-3</v>
      </c>
      <c r="BL80" s="801">
        <v>4.9653031909473863E-3</v>
      </c>
      <c r="BM80" s="801">
        <v>7.1258287257863623E-3</v>
      </c>
      <c r="BN80" s="801">
        <v>1.048931736717495E-2</v>
      </c>
      <c r="BO80" s="802">
        <v>1.6565140425539252E-2</v>
      </c>
      <c r="BP80" s="801">
        <v>2.7528827515653869E-2</v>
      </c>
      <c r="BQ80" s="801">
        <v>4.4771919028290051E-2</v>
      </c>
      <c r="BR80" s="801">
        <v>6.8851563229480273E-2</v>
      </c>
      <c r="BS80" s="801">
        <v>9.9008181777767559E-2</v>
      </c>
      <c r="BT80" s="801">
        <v>0.13300107031017708</v>
      </c>
      <c r="BW80" s="1136">
        <f>'2018'!R\Max</f>
        <v>0</v>
      </c>
      <c r="BX80" s="1134">
        <f>'2019'!R\Max</f>
        <v>0.89092532208950526</v>
      </c>
      <c r="BY80" s="1134">
        <f>'2020'!R\Max</f>
        <v>0.38932587787994505</v>
      </c>
      <c r="BZ80" s="1134">
        <f>'2021'!R\Max</f>
        <v>0.18362077915803759</v>
      </c>
      <c r="CA80" s="1134">
        <f>'2022'!R\Max</f>
        <v>0.74685718888199126</v>
      </c>
      <c r="CB80" s="1134">
        <f>'2023'!R\Max</f>
        <v>0.74674050791585633</v>
      </c>
      <c r="CC80" s="1134">
        <f>'2024'!R\Max</f>
        <v>0.74662252672621843</v>
      </c>
      <c r="CD80" s="1134">
        <f>'2025'!R\Max</f>
        <v>0.74643878443784362</v>
      </c>
      <c r="CE80" s="1134">
        <f>'2026'!R\Max</f>
        <v>0.7470254786375029</v>
      </c>
      <c r="CF80" s="1135">
        <f>'2027'!R\Max</f>
        <v>0.74698971805867409</v>
      </c>
    </row>
    <row r="81" spans="1:84" s="6" customFormat="1" ht="11.25" x14ac:dyDescent="0.2">
      <c r="A81" s="11">
        <v>43167</v>
      </c>
      <c r="B81" s="380">
        <f>'2023'!Maxi_hp</f>
        <v>34.596892262682907</v>
      </c>
      <c r="C81" s="85">
        <f>'2023'!An_max</f>
        <v>2022</v>
      </c>
      <c r="D81" s="1087" t="str">
        <f t="shared" si="59"/>
        <v/>
      </c>
      <c r="E81" s="747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836">
        <f t="shared" si="62"/>
        <v>0.7857142857142857</v>
      </c>
      <c r="J81" s="827">
        <f t="shared" si="63"/>
        <v>48.590706905988711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836">
        <f t="shared" si="67"/>
        <v>0.8928571428571429</v>
      </c>
      <c r="AT81" s="853">
        <f t="shared" si="68"/>
        <v>48.58467629343005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836">
        <f t="shared" si="72"/>
        <v>0.6071428571428571</v>
      </c>
      <c r="AY81" s="853">
        <f t="shared" si="73"/>
        <v>48.69026136587906</v>
      </c>
      <c r="AZ81" s="827">
        <f t="shared" si="77"/>
        <v>48.637468829654551</v>
      </c>
      <c r="BA81" s="660">
        <f t="shared" si="74"/>
        <v>0.71200635812151369</v>
      </c>
      <c r="BB81" s="655">
        <v>43167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924">
        <f>1+[2]!Salcycl*Ksac</f>
        <v>1.0004639022839323</v>
      </c>
      <c r="BH81" s="1080">
        <f t="shared" si="75"/>
        <v>6.8392096840997852E-3</v>
      </c>
      <c r="BI81" s="11">
        <v>44263</v>
      </c>
      <c r="BJ81" s="801">
        <v>2.0328031428347012E-3</v>
      </c>
      <c r="BK81" s="801">
        <v>3.1072544623642917E-3</v>
      </c>
      <c r="BL81" s="801">
        <v>4.7497102938500136E-3</v>
      </c>
      <c r="BM81" s="801">
        <v>6.8390860311048568E-3</v>
      </c>
      <c r="BN81" s="801">
        <v>1.0105491218668062E-2</v>
      </c>
      <c r="BO81" s="802">
        <v>1.6102337729039448E-2</v>
      </c>
      <c r="BP81" s="801">
        <v>2.7009717352246027E-2</v>
      </c>
      <c r="BQ81" s="801">
        <v>4.4282098157846367E-2</v>
      </c>
      <c r="BR81" s="801">
        <v>6.8553949850199067E-2</v>
      </c>
      <c r="BS81" s="801">
        <v>9.8679861059649362E-2</v>
      </c>
      <c r="BT81" s="801">
        <v>0.13237274822649334</v>
      </c>
      <c r="BW81" s="1136">
        <f>'2018'!R\Max</f>
        <v>0</v>
      </c>
      <c r="BX81" s="1134">
        <f>'2019'!R\Max</f>
        <v>0.54779003201369503</v>
      </c>
      <c r="BY81" s="1134">
        <f>'2020'!R\Max</f>
        <v>0.65319164561043641</v>
      </c>
      <c r="BZ81" s="1134">
        <f>'2021'!R\Max</f>
        <v>0.42545500144443987</v>
      </c>
      <c r="CA81" s="1134">
        <f>'2022'!R\Max</f>
        <v>0.71200635812151369</v>
      </c>
      <c r="CB81" s="1134">
        <f>'2023'!R\Max</f>
        <v>0.71188122651209218</v>
      </c>
      <c r="CC81" s="1134">
        <f>'2024'!R\Max</f>
        <v>0.71175462227326425</v>
      </c>
      <c r="CD81" s="1134">
        <f>'2025'!R\Max</f>
        <v>0.71155624034369991</v>
      </c>
      <c r="CE81" s="1134">
        <f>'2026'!R\Max</f>
        <v>0.71218487971487965</v>
      </c>
      <c r="CF81" s="1135">
        <f>'2027'!R\Max</f>
        <v>0.71214744036164201</v>
      </c>
    </row>
    <row r="82" spans="1:84" s="6" customFormat="1" ht="11.25" x14ac:dyDescent="0.2">
      <c r="A82" s="11">
        <v>43168</v>
      </c>
      <c r="B82" s="380">
        <f>'2023'!Maxi_hp</f>
        <v>44.616353864796501</v>
      </c>
      <c r="C82" s="85">
        <f>'2023'!An_max</f>
        <v>2021</v>
      </c>
      <c r="D82" s="1087" t="str">
        <f t="shared" si="59"/>
        <v/>
      </c>
      <c r="E82" s="747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836">
        <f t="shared" si="62"/>
        <v>0.7142857142857143</v>
      </c>
      <c r="J82" s="827">
        <f t="shared" si="63"/>
        <v>48.894768221569919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836">
        <f t="shared" si="67"/>
        <v>0.8571428571428571</v>
      </c>
      <c r="AT82" s="853">
        <f t="shared" si="68"/>
        <v>48.88873760934387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836">
        <f t="shared" si="72"/>
        <v>0.6428571428571429</v>
      </c>
      <c r="AY82" s="853">
        <f t="shared" si="73"/>
        <v>48.994381013060249</v>
      </c>
      <c r="AZ82" s="827">
        <f t="shared" si="77"/>
        <v>48.941559311202056</v>
      </c>
      <c r="BA82" s="660">
        <f t="shared" si="74"/>
        <v>0.91249750203568825</v>
      </c>
      <c r="BB82" s="655">
        <v>43168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924">
        <f>1+[2]!Salcycl*Ksac</f>
        <v>1.0004806357855138</v>
      </c>
      <c r="BH82" s="1080">
        <f t="shared" si="75"/>
        <v>6.5369119802057164E-3</v>
      </c>
      <c r="BI82" s="11">
        <v>44264</v>
      </c>
      <c r="BJ82" s="801">
        <v>1.9103010683553421E-3</v>
      </c>
      <c r="BK82" s="801">
        <v>2.9501222115268489E-3</v>
      </c>
      <c r="BL82" s="801">
        <v>4.528057581725399E-3</v>
      </c>
      <c r="BM82" s="801">
        <v>6.5367923345814359E-3</v>
      </c>
      <c r="BN82" s="801">
        <v>9.6973392185758095E-3</v>
      </c>
      <c r="BO82" s="802">
        <v>1.5604865562866077E-2</v>
      </c>
      <c r="BP82" s="801">
        <v>2.6445291650567398E-2</v>
      </c>
      <c r="BQ82" s="801">
        <v>4.372962995637969E-2</v>
      </c>
      <c r="BR82" s="801">
        <v>6.8163964812971586E-2</v>
      </c>
      <c r="BS82" s="801">
        <v>9.8290201378047767E-2</v>
      </c>
      <c r="BT82" s="801">
        <v>0.13177934278438924</v>
      </c>
      <c r="BW82" s="1136">
        <f>'2018'!R\Max</f>
        <v>0</v>
      </c>
      <c r="BX82" s="1134">
        <f>'2019'!R\Max</f>
        <v>0.40724748512774644</v>
      </c>
      <c r="BY82" s="1134">
        <f>'2020'!R\Max</f>
        <v>0.73817112516304573</v>
      </c>
      <c r="BZ82" s="1134">
        <f>'2021'!R\Max</f>
        <v>0.91249750203568825</v>
      </c>
      <c r="CA82" s="1134">
        <f>'2022'!R\Max</f>
        <v>0.74697312630156487</v>
      </c>
      <c r="CB82" s="1134">
        <f>'2023'!R\Max</f>
        <v>0.74685918321886635</v>
      </c>
      <c r="CC82" s="1134">
        <f>'2024'!R\Max</f>
        <v>0.74674381370783949</v>
      </c>
      <c r="CD82" s="1134">
        <f>'2025'!R\Max</f>
        <v>0.74656191265763006</v>
      </c>
      <c r="CE82" s="1134">
        <f>'2026'!R\Max</f>
        <v>0.74713371532338935</v>
      </c>
      <c r="CF82" s="1135">
        <f>'2027'!R\Max</f>
        <v>0.74710052657999859</v>
      </c>
    </row>
    <row r="83" spans="1:84" s="6" customFormat="1" ht="11.25" x14ac:dyDescent="0.2">
      <c r="A83" s="11">
        <v>43169</v>
      </c>
      <c r="B83" s="380">
        <f>'2023'!Maxi_hp</f>
        <v>45.293809105395539</v>
      </c>
      <c r="C83" s="85">
        <f>'2023'!An_max</f>
        <v>2021</v>
      </c>
      <c r="D83" s="1087" t="str">
        <f t="shared" si="59"/>
        <v/>
      </c>
      <c r="E83" s="747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836">
        <f t="shared" si="62"/>
        <v>0.6428571428571429</v>
      </c>
      <c r="J83" s="827">
        <f t="shared" si="63"/>
        <v>49.197537263030448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836">
        <f t="shared" si="67"/>
        <v>0.8214285714285714</v>
      </c>
      <c r="AT83" s="853">
        <f t="shared" si="68"/>
        <v>49.192511752833212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836">
        <f t="shared" si="72"/>
        <v>0.6785714285714286</v>
      </c>
      <c r="AY83" s="853">
        <f t="shared" si="73"/>
        <v>49.29514433773501</v>
      </c>
      <c r="AZ83" s="827">
        <f t="shared" si="77"/>
        <v>49.243828045284111</v>
      </c>
      <c r="BA83" s="660">
        <f t="shared" si="74"/>
        <v>0.92065195993929616</v>
      </c>
      <c r="BB83" s="655">
        <v>43169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924">
        <f>1+[2]!Salcycl*Ksac</f>
        <v>1.0004987900079874</v>
      </c>
      <c r="BH83" s="1080">
        <f t="shared" si="75"/>
        <v>6.2190623428844075E-3</v>
      </c>
      <c r="BI83" s="11">
        <v>44265</v>
      </c>
      <c r="BJ83" s="801">
        <v>1.7921427065704135E-3</v>
      </c>
      <c r="BK83" s="801">
        <v>2.7951129109218577E-3</v>
      </c>
      <c r="BL83" s="801">
        <v>4.3003447301334652E-3</v>
      </c>
      <c r="BM83" s="801">
        <v>6.2189470368319314E-3</v>
      </c>
      <c r="BN83" s="801">
        <v>9.2648602246242235E-3</v>
      </c>
      <c r="BO83" s="802">
        <v>1.5072721118456785E-2</v>
      </c>
      <c r="BP83" s="801">
        <v>2.5835543971752296E-2</v>
      </c>
      <c r="BQ83" s="801">
        <v>4.3114501461913333E-2</v>
      </c>
      <c r="BR83" s="801">
        <v>6.7681585017889165E-2</v>
      </c>
      <c r="BS83" s="801">
        <v>9.7839168585485803E-2</v>
      </c>
      <c r="BT83" s="801">
        <v>0.13122080901402883</v>
      </c>
      <c r="BW83" s="1136">
        <f>'2018'!R\Max</f>
        <v>0</v>
      </c>
      <c r="BX83" s="1134">
        <f>'2019'!R\Max</f>
        <v>0.27377506727541695</v>
      </c>
      <c r="BY83" s="1134">
        <f>'2020'!R\Max</f>
        <v>0.53801548898239271</v>
      </c>
      <c r="BZ83" s="1134">
        <f>'2021'!R\Max</f>
        <v>0.92065195993929616</v>
      </c>
      <c r="CA83" s="1134">
        <f>'2022'!R\Max</f>
        <v>0.53723427891748676</v>
      </c>
      <c r="CB83" s="1134">
        <f>'2023'!R\Max</f>
        <v>0.53708637361996459</v>
      </c>
      <c r="CC83" s="1134">
        <f>'2024'!R\Max</f>
        <v>0.53693654379487976</v>
      </c>
      <c r="CD83" s="1134">
        <f>'2025'!R\Max</f>
        <v>0.53669893681247027</v>
      </c>
      <c r="CE83" s="1134">
        <f>'2026'!R\Max</f>
        <v>0.53744001379267248</v>
      </c>
      <c r="CF83" s="1135">
        <f>'2027'!R\Max</f>
        <v>0.53739817680715563</v>
      </c>
    </row>
    <row r="84" spans="1:84" s="6" customFormat="1" ht="11.25" x14ac:dyDescent="0.2">
      <c r="A84" s="11">
        <v>43170</v>
      </c>
      <c r="B84" s="380">
        <f>'2023'!Maxi_hp</f>
        <v>36.273412618426136</v>
      </c>
      <c r="C84" s="85">
        <f>'2023'!An_max</f>
        <v>2021</v>
      </c>
      <c r="D84" s="1087" t="str">
        <f t="shared" si="59"/>
        <v/>
      </c>
      <c r="E84" s="747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836">
        <f t="shared" si="62"/>
        <v>0.5714285714285714</v>
      </c>
      <c r="J84" s="827">
        <f t="shared" si="63"/>
        <v>49.498690962259261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836">
        <f t="shared" si="67"/>
        <v>0.7857142857142857</v>
      </c>
      <c r="AT84" s="853">
        <f t="shared" si="68"/>
        <v>49.49567565569388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836">
        <f t="shared" si="72"/>
        <v>0.7142857142857143</v>
      </c>
      <c r="AY84" s="853">
        <f t="shared" si="73"/>
        <v>49.592309037808853</v>
      </c>
      <c r="AZ84" s="827">
        <f t="shared" si="77"/>
        <v>49.543992346751367</v>
      </c>
      <c r="BA84" s="660">
        <f t="shared" si="74"/>
        <v>0.73281559397364948</v>
      </c>
      <c r="BB84" s="655">
        <v>43170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924">
        <f>1+[2]!Salcycl*Ksac</f>
        <v>1.0005186309586496</v>
      </c>
      <c r="BH84" s="1080">
        <f t="shared" si="75"/>
        <v>5.8856608466023178E-3</v>
      </c>
      <c r="BI84" s="11">
        <v>44266</v>
      </c>
      <c r="BJ84" s="801">
        <v>1.6783282396635986E-3</v>
      </c>
      <c r="BK84" s="801">
        <v>2.6422266486180279E-3</v>
      </c>
      <c r="BL84" s="801">
        <v>4.0665718308392808E-3</v>
      </c>
      <c r="BM84" s="801">
        <v>5.8855502123325854E-3</v>
      </c>
      <c r="BN84" s="801">
        <v>8.8080540528918567E-3</v>
      </c>
      <c r="BO84" s="802">
        <v>1.4505902828420519E-2</v>
      </c>
      <c r="BP84" s="801">
        <v>2.5180469372103154E-2</v>
      </c>
      <c r="BQ84" s="801">
        <v>4.2436701442177059E-2</v>
      </c>
      <c r="BR84" s="801">
        <v>6.7106789287053173E-2</v>
      </c>
      <c r="BS84" s="801">
        <v>9.7326730002701756E-2</v>
      </c>
      <c r="BT84" s="801">
        <v>0.13069710231086459</v>
      </c>
      <c r="BW84" s="1136">
        <f>'2018'!R\Max</f>
        <v>0</v>
      </c>
      <c r="BX84" s="1134">
        <f>'2019'!R\Max</f>
        <v>0.71134930766101345</v>
      </c>
      <c r="BY84" s="1134">
        <f>'2020'!R\Max</f>
        <v>0.71653666858979548</v>
      </c>
      <c r="BZ84" s="1134">
        <f>'2021'!R\Max</f>
        <v>0.73281559397364948</v>
      </c>
      <c r="CA84" s="1134">
        <f>'2022'!R\Max</f>
        <v>0.35599360439483874</v>
      </c>
      <c r="CB84" s="1134">
        <f>'2023'!R\Max</f>
        <v>0.35585913402062902</v>
      </c>
      <c r="CC84" s="1134">
        <f>'2024'!R\Max</f>
        <v>0.3557228362350332</v>
      </c>
      <c r="CD84" s="1134">
        <f>'2025'!R\Max</f>
        <v>0.35550542158227488</v>
      </c>
      <c r="CE84" s="1134">
        <f>'2026'!R\Max</f>
        <v>0.35617794187228408</v>
      </c>
      <c r="CF84" s="1135">
        <f>'2027'!R\Max</f>
        <v>0.35614113051652441</v>
      </c>
    </row>
    <row r="85" spans="1:84" s="6" customFormat="1" ht="11.25" x14ac:dyDescent="0.2">
      <c r="A85" s="11">
        <v>43171</v>
      </c>
      <c r="B85" s="380">
        <f>'2023'!Maxi_hp</f>
        <v>43.935491435363161</v>
      </c>
      <c r="C85" s="85">
        <f>'2023'!An_max</f>
        <v>2019</v>
      </c>
      <c r="D85" s="1087" t="str">
        <f t="shared" si="59"/>
        <v/>
      </c>
      <c r="E85" s="747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836">
        <f t="shared" si="62"/>
        <v>0.5</v>
      </c>
      <c r="J85" s="827">
        <f t="shared" si="63"/>
        <v>49.797906250320374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836">
        <f t="shared" si="67"/>
        <v>0.75</v>
      </c>
      <c r="AT85" s="853">
        <f t="shared" si="68"/>
        <v>49.797906250227243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836">
        <f t="shared" si="72"/>
        <v>0.75</v>
      </c>
      <c r="AY85" s="853">
        <f t="shared" si="73"/>
        <v>49.885632812883706</v>
      </c>
      <c r="AZ85" s="827">
        <f t="shared" si="77"/>
        <v>49.841769531555471</v>
      </c>
      <c r="BA85" s="660">
        <f t="shared" si="74"/>
        <v>0.88227587751403713</v>
      </c>
      <c r="BB85" s="655">
        <v>43171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924">
        <f>1+[2]!Salcycl*Ksac</f>
        <v>1.0005404404336715</v>
      </c>
      <c r="BH85" s="1080">
        <f t="shared" si="75"/>
        <v>5.5367082971844415E-3</v>
      </c>
      <c r="BI85" s="11">
        <v>44267</v>
      </c>
      <c r="BJ85" s="801">
        <v>1.5688579516128516E-3</v>
      </c>
      <c r="BK85" s="801">
        <v>2.4914637062769338E-3</v>
      </c>
      <c r="BL85" s="801">
        <v>3.8267394142003706E-3</v>
      </c>
      <c r="BM85" s="801">
        <v>5.5366026669061751E-3</v>
      </c>
      <c r="BN85" s="801">
        <v>8.3269215677375611E-3</v>
      </c>
      <c r="BO85" s="802">
        <v>1.3904410494695194E-2</v>
      </c>
      <c r="BP85" s="801">
        <v>2.4480064570569334E-2</v>
      </c>
      <c r="BQ85" s="801">
        <v>4.1696220626105618E-2</v>
      </c>
      <c r="BR85" s="801">
        <v>6.6439558705900903E-2</v>
      </c>
      <c r="BS85" s="801">
        <v>9.6752854645000039E-2</v>
      </c>
      <c r="BT85" s="801">
        <v>0.13020817830570253</v>
      </c>
      <c r="BW85" s="1136">
        <f>'2018'!R\Max</f>
        <v>0</v>
      </c>
      <c r="BX85" s="1134">
        <f>'2019'!R\Max</f>
        <v>0.88227587751403713</v>
      </c>
      <c r="BY85" s="1134">
        <f>'2020'!R\Max</f>
        <v>0.85874606431187817</v>
      </c>
      <c r="BZ85" s="1134">
        <f>'2021'!R\Max</f>
        <v>0.62391702284018069</v>
      </c>
      <c r="CA85" s="1134">
        <f>'2022'!R\Max</f>
        <v>0.29221641943995535</v>
      </c>
      <c r="CB85" s="1134">
        <f>'2023'!R\Max</f>
        <v>0.29209820713090728</v>
      </c>
      <c r="CC85" s="1134">
        <f>'2024'!R\Max</f>
        <v>0.29197829628286587</v>
      </c>
      <c r="CD85" s="1134">
        <f>'2025'!R\Max</f>
        <v>0.29178585791965406</v>
      </c>
      <c r="CE85" s="1134">
        <f>'2026'!R\Max</f>
        <v>0.2923758470085967</v>
      </c>
      <c r="CF85" s="1135">
        <f>'2027'!R\Max</f>
        <v>0.29234465744453941</v>
      </c>
    </row>
    <row r="86" spans="1:84" s="6" customFormat="1" ht="11.25" x14ac:dyDescent="0.2">
      <c r="A86" s="11">
        <v>43172</v>
      </c>
      <c r="B86" s="380">
        <f>'2023'!Maxi_hp</f>
        <v>42.800557177693996</v>
      </c>
      <c r="C86" s="85">
        <f>'2023'!An_max</f>
        <v>2021</v>
      </c>
      <c r="D86" s="1087" t="str">
        <f t="shared" si="59"/>
        <v/>
      </c>
      <c r="E86" s="747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836">
        <f t="shared" si="62"/>
        <v>0.42857142857142855</v>
      </c>
      <c r="J86" s="827">
        <f t="shared" si="63"/>
        <v>50.094860058410887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836">
        <f t="shared" si="67"/>
        <v>0.7142857142857143</v>
      </c>
      <c r="AT86" s="853">
        <f t="shared" si="68"/>
        <v>50.098880466765593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836">
        <f t="shared" si="72"/>
        <v>0.7857142857142857</v>
      </c>
      <c r="AY86" s="853">
        <f t="shared" si="73"/>
        <v>50.174873360139983</v>
      </c>
      <c r="AZ86" s="827">
        <f t="shared" si="77"/>
        <v>50.136876913452788</v>
      </c>
      <c r="BA86" s="660">
        <f t="shared" si="74"/>
        <v>0.85439019348069456</v>
      </c>
      <c r="BB86" s="655">
        <v>43172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924">
        <f>1+[2]!Salcycl*Ksac</f>
        <v>1.00056451506495</v>
      </c>
      <c r="BH86" s="1080">
        <f t="shared" si="75"/>
        <v>5.182686853772306E-3</v>
      </c>
      <c r="BI86" s="11">
        <v>44268</v>
      </c>
      <c r="BJ86" s="801">
        <v>1.4645337790184475E-3</v>
      </c>
      <c r="BK86" s="801">
        <v>2.3444493086341618E-3</v>
      </c>
      <c r="BL86" s="801">
        <v>3.5864784557136631E-3</v>
      </c>
      <c r="BM86" s="801">
        <v>5.1825863475060295E-3</v>
      </c>
      <c r="BN86" s="801">
        <v>7.8375498583869562E-3</v>
      </c>
      <c r="BO86" s="802">
        <v>1.3286657715462247E-2</v>
      </c>
      <c r="BP86" s="801">
        <v>2.3752224106892431E-2</v>
      </c>
      <c r="BQ86" s="801">
        <v>4.0907484315377364E-2</v>
      </c>
      <c r="BR86" s="801">
        <v>6.5693007054824212E-2</v>
      </c>
      <c r="BS86" s="801">
        <v>9.6129154322434893E-2</v>
      </c>
      <c r="BT86" s="801">
        <v>0.1297642223769381</v>
      </c>
      <c r="BW86" s="1136">
        <f>'2018'!R\Max</f>
        <v>0</v>
      </c>
      <c r="BX86" s="1134">
        <f>'2019'!R\Max</f>
        <v>0.52391456710441264</v>
      </c>
      <c r="BY86" s="1134">
        <f>'2020'!R\Max</f>
        <v>0.33651684122561393</v>
      </c>
      <c r="BZ86" s="1134">
        <f>'2021'!R\Max</f>
        <v>0.85439019348069456</v>
      </c>
      <c r="CA86" s="1134">
        <f>'2022'!R\Max</f>
        <v>0.27346717028513723</v>
      </c>
      <c r="CB86" s="1134">
        <f>'2023'!R\Max</f>
        <v>0.27335831114015513</v>
      </c>
      <c r="CC86" s="1134">
        <f>'2024'!R\Max</f>
        <v>0.27324779081498884</v>
      </c>
      <c r="CD86" s="1134">
        <f>'2025'!R\Max</f>
        <v>0.27306934782505454</v>
      </c>
      <c r="CE86" s="1134">
        <f>'2026'!R\Max</f>
        <v>0.27361146539522735</v>
      </c>
      <c r="CF86" s="1135">
        <f>'2027'!R\Max</f>
        <v>0.27358384939749308</v>
      </c>
    </row>
    <row r="87" spans="1:84" s="6" customFormat="1" ht="11.25" x14ac:dyDescent="0.2">
      <c r="A87" s="11">
        <v>43173</v>
      </c>
      <c r="B87" s="380">
        <f>'2023'!Maxi_hp</f>
        <v>36.891466840324576</v>
      </c>
      <c r="C87" s="85">
        <f>'2023'!An_max</f>
        <v>2020</v>
      </c>
      <c r="D87" s="1087" t="str">
        <f t="shared" si="59"/>
        <v/>
      </c>
      <c r="E87" s="747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836">
        <f t="shared" si="62"/>
        <v>0.35714285714285715</v>
      </c>
      <c r="J87" s="827">
        <f t="shared" si="63"/>
        <v>50.389229318885398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836">
        <f t="shared" si="67"/>
        <v>0.6785714285714286</v>
      </c>
      <c r="AT87" s="853">
        <f t="shared" si="68"/>
        <v>50.398275236838629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836">
        <f t="shared" si="72"/>
        <v>0.8214285714285714</v>
      </c>
      <c r="AY87" s="853">
        <f t="shared" si="73"/>
        <v>50.459788379259408</v>
      </c>
      <c r="AZ87" s="827">
        <f t="shared" si="77"/>
        <v>50.429031808049018</v>
      </c>
      <c r="BA87" s="660">
        <f t="shared" si="74"/>
        <v>0.73213000752321511</v>
      </c>
      <c r="BB87" s="655">
        <v>43173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924">
        <f>1+[2]!Salcycl*Ksac</f>
        <v>1.0005911652975332</v>
      </c>
      <c r="BH87" s="1080">
        <f t="shared" si="75"/>
        <v>4.8421902896809378E-3</v>
      </c>
      <c r="BI87" s="11">
        <v>44269</v>
      </c>
      <c r="BJ87" s="801">
        <v>1.3644743754794941E-3</v>
      </c>
      <c r="BK87" s="801">
        <v>2.2025258999528526E-3</v>
      </c>
      <c r="BL87" s="801">
        <v>3.3553529513098597E-3</v>
      </c>
      <c r="BM87" s="801">
        <v>4.8420946854314008E-3</v>
      </c>
      <c r="BN87" s="801">
        <v>7.3675670107916551E-3</v>
      </c>
      <c r="BO87" s="802">
        <v>1.2686097294033289E-2</v>
      </c>
      <c r="BP87" s="801">
        <v>2.3036179453748955E-2</v>
      </c>
      <c r="BQ87" s="801">
        <v>4.0116949494615479E-2</v>
      </c>
      <c r="BR87" s="801">
        <v>6.4919789195088631E-2</v>
      </c>
      <c r="BS87" s="801">
        <v>9.5452263996084197E-2</v>
      </c>
      <c r="BT87" s="801">
        <v>0.12924246731228059</v>
      </c>
      <c r="BW87" s="1136">
        <f>'2018'!R\Max</f>
        <v>0</v>
      </c>
      <c r="BX87" s="1134">
        <f>'2019'!R\Max</f>
        <v>0.46026092395326851</v>
      </c>
      <c r="BY87" s="1134">
        <f>'2020'!R\Max</f>
        <v>0.73213000752321511</v>
      </c>
      <c r="BZ87" s="1134">
        <f>'2021'!R\Max</f>
        <v>0.50383564075869613</v>
      </c>
      <c r="CA87" s="1134">
        <f>'2022'!R\Max</f>
        <v>0.28725456561068285</v>
      </c>
      <c r="CB87" s="1134">
        <f>'2023'!R\Max</f>
        <v>0.28714210345419849</v>
      </c>
      <c r="CC87" s="1134">
        <f>'2024'!R\Max</f>
        <v>0.28702782008793176</v>
      </c>
      <c r="CD87" s="1134">
        <f>'2025'!R\Max</f>
        <v>0.28684222347105798</v>
      </c>
      <c r="CE87" s="1134">
        <f>'2026'!R\Max</f>
        <v>0.28740107601443138</v>
      </c>
      <c r="CF87" s="1135">
        <f>'2027'!R\Max</f>
        <v>0.2873736346802015</v>
      </c>
    </row>
    <row r="88" spans="1:84" s="6" customFormat="1" ht="11.25" x14ac:dyDescent="0.2">
      <c r="A88" s="11">
        <v>43174</v>
      </c>
      <c r="B88" s="380">
        <f>'2023'!Maxi_hp</f>
        <v>34.951737117929945</v>
      </c>
      <c r="C88" s="85">
        <f>'2023'!An_max</f>
        <v>2020</v>
      </c>
      <c r="D88" s="1087" t="str">
        <f t="shared" si="59"/>
        <v/>
      </c>
      <c r="E88" s="747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836">
        <f t="shared" si="62"/>
        <v>0.2857142857142857</v>
      </c>
      <c r="J88" s="827">
        <f t="shared" si="63"/>
        <v>50.680690962821245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836">
        <f t="shared" si="67"/>
        <v>0.6428571428571429</v>
      </c>
      <c r="AT88" s="853">
        <f t="shared" si="68"/>
        <v>50.695767493093655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836">
        <f t="shared" si="72"/>
        <v>0.8571428571428571</v>
      </c>
      <c r="AY88" s="853">
        <f t="shared" si="73"/>
        <v>50.74013556840697</v>
      </c>
      <c r="AZ88" s="827">
        <f t="shared" si="77"/>
        <v>50.717951530750312</v>
      </c>
      <c r="BA88" s="660">
        <f t="shared" si="74"/>
        <v>0.68964602600959257</v>
      </c>
      <c r="BB88" s="655">
        <v>43174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924">
        <f>1+[2]!Salcycl*Ksac</f>
        <v>1.0006207143077839</v>
      </c>
      <c r="BH88" s="1080">
        <f t="shared" si="75"/>
        <v>4.5152202312557874E-3</v>
      </c>
      <c r="BI88" s="11">
        <v>44270</v>
      </c>
      <c r="BJ88" s="801">
        <v>1.2686802282267575E-3</v>
      </c>
      <c r="BK88" s="801">
        <v>2.0656941131221677E-3</v>
      </c>
      <c r="BL88" s="801">
        <v>3.133363981478805E-3</v>
      </c>
      <c r="BM88" s="801">
        <v>4.5151293070150719E-3</v>
      </c>
      <c r="BN88" s="801">
        <v>6.9169749858824193E-3</v>
      </c>
      <c r="BO88" s="802">
        <v>1.2102730847144831E-2</v>
      </c>
      <c r="BP88" s="801">
        <v>2.233192997958101E-2</v>
      </c>
      <c r="BQ88" s="801">
        <v>3.932461065933987E-2</v>
      </c>
      <c r="BR88" s="801">
        <v>6.4119891292249487E-2</v>
      </c>
      <c r="BS88" s="801">
        <v>9.4722158523517883E-2</v>
      </c>
      <c r="BT88" s="801">
        <v>0.12864287468378599</v>
      </c>
      <c r="BW88" s="1136">
        <f>'2018'!R\Max</f>
        <v>0</v>
      </c>
      <c r="BX88" s="1134">
        <f>'2019'!R\Max</f>
        <v>0.25159000211522387</v>
      </c>
      <c r="BY88" s="1134">
        <f>'2020'!R\Max</f>
        <v>0.68964602600959257</v>
      </c>
      <c r="BZ88" s="1134">
        <f>'2021'!R\Max</f>
        <v>0.33277962858510757</v>
      </c>
      <c r="CA88" s="1134">
        <f>'2022'!R\Max</f>
        <v>0.32428662000842051</v>
      </c>
      <c r="CB88" s="1134">
        <f>'2023'!R\Max</f>
        <v>0.32416617636848305</v>
      </c>
      <c r="CC88" s="1134">
        <f>'2024'!R\Max</f>
        <v>0.32404366106738319</v>
      </c>
      <c r="CD88" s="1134">
        <f>'2025'!R\Max</f>
        <v>0.32384356822514981</v>
      </c>
      <c r="CE88" s="1134">
        <f>'2026'!R\Max</f>
        <v>0.3244408221690579</v>
      </c>
      <c r="CF88" s="1135">
        <f>'2027'!R\Max</f>
        <v>0.32441254291697996</v>
      </c>
    </row>
    <row r="89" spans="1:84" s="6" customFormat="1" ht="11.25" x14ac:dyDescent="0.2">
      <c r="A89" s="11">
        <v>43175</v>
      </c>
      <c r="B89" s="380">
        <f>'2023'!Maxi_hp</f>
        <v>52.275659986289419</v>
      </c>
      <c r="C89" s="85">
        <f>'2023'!An_max</f>
        <v>2020</v>
      </c>
      <c r="D89" s="1087">
        <f t="shared" si="59"/>
        <v>1.0256379381101215</v>
      </c>
      <c r="E89" s="747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836">
        <f t="shared" si="62"/>
        <v>0.21428571428571427</v>
      </c>
      <c r="J89" s="827">
        <f t="shared" si="63"/>
        <v>50.96892192055072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836">
        <f t="shared" si="67"/>
        <v>0.6071428571428571</v>
      </c>
      <c r="AT89" s="853">
        <f t="shared" si="68"/>
        <v>50.991034165250937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836">
        <f t="shared" si="72"/>
        <v>0.8928571428571429</v>
      </c>
      <c r="AY89" s="853">
        <f t="shared" si="73"/>
        <v>51.015672627044843</v>
      </c>
      <c r="AZ89" s="827">
        <f t="shared" si="77"/>
        <v>51.003353396147887</v>
      </c>
      <c r="BA89" s="660">
        <f t="shared" si="74"/>
        <v>1.0256379381101215</v>
      </c>
      <c r="BB89" s="655">
        <v>43175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924">
        <f>1+[2]!Salcycl*Ksac</f>
        <v>1.0006534968725485</v>
      </c>
      <c r="BH89" s="1080">
        <f t="shared" si="75"/>
        <v>4.2017784610047966E-3</v>
      </c>
      <c r="BI89" s="11">
        <v>44271</v>
      </c>
      <c r="BJ89" s="801">
        <v>1.1771518629335497E-3</v>
      </c>
      <c r="BK89" s="801">
        <v>1.9339546601299775E-3</v>
      </c>
      <c r="BL89" s="801">
        <v>2.9205127338616126E-3</v>
      </c>
      <c r="BM89" s="801">
        <v>4.2016919947507735E-3</v>
      </c>
      <c r="BN89" s="801">
        <v>6.4857759415520135E-3</v>
      </c>
      <c r="BO89" s="802">
        <v>1.1536560437565633E-2</v>
      </c>
      <c r="BP89" s="801">
        <v>2.1639475807167241E-2</v>
      </c>
      <c r="BQ89" s="801">
        <v>3.8530463516739867E-2</v>
      </c>
      <c r="BR89" s="801">
        <v>6.3293301333534446E-2</v>
      </c>
      <c r="BS89" s="801">
        <v>9.3938815118866412E-2</v>
      </c>
      <c r="BT89" s="801">
        <v>0.12796540881835064</v>
      </c>
      <c r="BW89" s="1136">
        <f>'2018'!R\Max</f>
        <v>0</v>
      </c>
      <c r="BX89" s="1134">
        <f>'2019'!R\Max</f>
        <v>0.99679459458756658</v>
      </c>
      <c r="BY89" s="1134">
        <f>'2020'!R\Max</f>
        <v>1.0256379381101215</v>
      </c>
      <c r="BZ89" s="1134">
        <f>'2021'!R\Max</f>
        <v>0.63995721998358457</v>
      </c>
      <c r="CA89" s="1134">
        <f>'2022'!R\Max</f>
        <v>0.22135675599151225</v>
      </c>
      <c r="CB89" s="1134">
        <f>'2023'!R\Max</f>
        <v>0.22127305967538038</v>
      </c>
      <c r="CC89" s="1134">
        <f>'2024'!R\Max</f>
        <v>0.22118784025766575</v>
      </c>
      <c r="CD89" s="1134">
        <f>'2025'!R\Max</f>
        <v>0.22104790902045335</v>
      </c>
      <c r="CE89" s="1134">
        <f>'2026'!R\Max</f>
        <v>0.22146206342626779</v>
      </c>
      <c r="CF89" s="1135">
        <f>'2027'!R\Max</f>
        <v>0.22144314122360756</v>
      </c>
    </row>
    <row r="90" spans="1:84" s="6" customFormat="1" ht="11.25" x14ac:dyDescent="0.2">
      <c r="A90" s="11">
        <v>43176</v>
      </c>
      <c r="B90" s="380">
        <f>'2023'!Maxi_hp</f>
        <v>27.107916637934526</v>
      </c>
      <c r="C90" s="85">
        <f>'2023'!An_max</f>
        <v>2021</v>
      </c>
      <c r="D90" s="1087" t="str">
        <f t="shared" si="59"/>
        <v/>
      </c>
      <c r="E90" s="747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836">
        <f t="shared" si="62"/>
        <v>0.14285714285714285</v>
      </c>
      <c r="J90" s="827">
        <f t="shared" si="63"/>
        <v>51.25359912599837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836">
        <f t="shared" si="67"/>
        <v>0.5714285714285714</v>
      </c>
      <c r="AT90" s="853">
        <f t="shared" si="68"/>
        <v>51.283752186064206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836">
        <f t="shared" si="72"/>
        <v>0.9285714285714286</v>
      </c>
      <c r="AY90" s="853">
        <f t="shared" si="73"/>
        <v>51.286157252373435</v>
      </c>
      <c r="AZ90" s="827">
        <f t="shared" si="77"/>
        <v>51.284954719218817</v>
      </c>
      <c r="BA90" s="660">
        <f t="shared" si="74"/>
        <v>0.52889781596204133</v>
      </c>
      <c r="BB90" s="655">
        <v>43176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924">
        <f>1+[2]!Salcycl*Ksac</f>
        <v>1.0006898581995614</v>
      </c>
      <c r="BH90" s="1080">
        <f t="shared" si="75"/>
        <v>3.9018668675286626E-3</v>
      </c>
      <c r="BI90" s="11">
        <v>44272</v>
      </c>
      <c r="BJ90" s="801">
        <v>1.0898898279288367E-3</v>
      </c>
      <c r="BK90" s="801">
        <v>1.8073083132120612E-3</v>
      </c>
      <c r="BL90" s="801">
        <v>2.7168004694298094E-3</v>
      </c>
      <c r="BM90" s="801">
        <v>3.9017846372242687E-3</v>
      </c>
      <c r="BN90" s="801">
        <v>6.0739721608700373E-3</v>
      </c>
      <c r="BO90" s="802">
        <v>1.0987588510380683E-2</v>
      </c>
      <c r="BP90" s="801">
        <v>2.095881776975032E-2</v>
      </c>
      <c r="BQ90" s="801">
        <v>3.7734504991885159E-2</v>
      </c>
      <c r="BR90" s="801">
        <v>6.2440009225739855E-2</v>
      </c>
      <c r="BS90" s="801">
        <v>9.3102213548452037E-2</v>
      </c>
      <c r="BT90" s="801">
        <v>0.12721003708394873</v>
      </c>
      <c r="BW90" s="1136">
        <f>'2018'!R\Max</f>
        <v>0</v>
      </c>
      <c r="BX90" s="1134">
        <f>'2019'!R\Max</f>
        <v>0.31407703732615566</v>
      </c>
      <c r="BY90" s="1134">
        <f>'2020'!R\Max</f>
        <v>0.15720890641996804</v>
      </c>
      <c r="BZ90" s="1134">
        <f>'2021'!R\Max</f>
        <v>0.52889781596204133</v>
      </c>
      <c r="CA90" s="1134">
        <f>'2022'!R\Max</f>
        <v>0.23840157184230307</v>
      </c>
      <c r="CB90" s="1134">
        <f>'2023'!R\Max</f>
        <v>0.23831305920765755</v>
      </c>
      <c r="CC90" s="1134">
        <f>'2024'!R\Max</f>
        <v>0.23822284076529363</v>
      </c>
      <c r="CD90" s="1134">
        <f>'2025'!R\Max</f>
        <v>0.23807392629994575</v>
      </c>
      <c r="CE90" s="1134">
        <f>'2026'!R\Max</f>
        <v>0.23851100714219808</v>
      </c>
      <c r="CF90" s="1135">
        <f>'2027'!R\Max</f>
        <v>0.23849172506215952</v>
      </c>
    </row>
    <row r="91" spans="1:84" s="6" customFormat="1" ht="11.25" x14ac:dyDescent="0.2">
      <c r="A91" s="11">
        <v>43177</v>
      </c>
      <c r="B91" s="380">
        <f>'2023'!Maxi_hp</f>
        <v>38.270489516966428</v>
      </c>
      <c r="C91" s="85">
        <f>'2023'!An_max</f>
        <v>2019</v>
      </c>
      <c r="D91" s="1087" t="str">
        <f t="shared" si="59"/>
        <v/>
      </c>
      <c r="E91" s="747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836">
        <f t="shared" si="62"/>
        <v>7.1428571428571425E-2</v>
      </c>
      <c r="J91" s="827">
        <f t="shared" si="63"/>
        <v>51.53439950851191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836">
        <f t="shared" si="67"/>
        <v>0.5357142857142857</v>
      </c>
      <c r="AT91" s="853">
        <f t="shared" si="68"/>
        <v>51.573598488140853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836">
        <f t="shared" si="72"/>
        <v>0.9642857142857143</v>
      </c>
      <c r="AY91" s="853">
        <f t="shared" si="73"/>
        <v>51.55134714404786</v>
      </c>
      <c r="AZ91" s="827">
        <f t="shared" si="77"/>
        <v>51.562472816094356</v>
      </c>
      <c r="BA91" s="660">
        <f t="shared" si="74"/>
        <v>0.74262026688882465</v>
      </c>
      <c r="BB91" s="655">
        <v>43177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924">
        <f>1+[2]!Salcycl*Ksac</f>
        <v>1.0007301527291645</v>
      </c>
      <c r="BH91" s="1080">
        <f t="shared" si="75"/>
        <v>3.6154873954371437E-3</v>
      </c>
      <c r="BI91" s="11">
        <v>44273</v>
      </c>
      <c r="BJ91" s="801">
        <v>1.0068946784064247E-3</v>
      </c>
      <c r="BK91" s="801">
        <v>1.6857558859949186E-3</v>
      </c>
      <c r="BL91" s="801">
        <v>2.5222284886547981E-3</v>
      </c>
      <c r="BM91" s="801">
        <v>3.6154091790304836E-3</v>
      </c>
      <c r="BN91" s="801">
        <v>5.6815659802763761E-3</v>
      </c>
      <c r="BO91" s="802">
        <v>1.0455817829237712E-2</v>
      </c>
      <c r="BP91" s="801">
        <v>2.0289957367095181E-2</v>
      </c>
      <c r="BQ91" s="801">
        <v>3.6936733233814911E-2</v>
      </c>
      <c r="BR91" s="801">
        <v>6.1560006892928322E-2</v>
      </c>
      <c r="BS91" s="801">
        <v>9.2212336326125424E-2</v>
      </c>
      <c r="BT91" s="801">
        <v>0.12637673017546971</v>
      </c>
      <c r="BW91" s="1136">
        <f>'2018'!R\Max</f>
        <v>0</v>
      </c>
      <c r="BX91" s="1134">
        <f>'2019'!R\Max</f>
        <v>0.74262026688882465</v>
      </c>
      <c r="BY91" s="1134">
        <f>'2020'!R\Max</f>
        <v>0.24065766614005221</v>
      </c>
      <c r="BZ91" s="1134">
        <f>'2021'!R\Max</f>
        <v>0.4962155323727917</v>
      </c>
      <c r="CA91" s="1134">
        <f>'2022'!R\Max</f>
        <v>0.29084253844122199</v>
      </c>
      <c r="CB91" s="1134">
        <f>'2023'!R\Max</f>
        <v>0.29073656644520718</v>
      </c>
      <c r="CC91" s="1134">
        <f>'2024'!R\Max</f>
        <v>0.29062843296833363</v>
      </c>
      <c r="CD91" s="1134">
        <f>'2025'!R\Max</f>
        <v>0.29044904848237874</v>
      </c>
      <c r="CE91" s="1134">
        <f>'2026'!R\Max</f>
        <v>0.29097127453822402</v>
      </c>
      <c r="CF91" s="1135">
        <f>'2027'!R\Max</f>
        <v>0.29094900977784877</v>
      </c>
    </row>
    <row r="92" spans="1:84" s="6" customFormat="1" ht="11.25" x14ac:dyDescent="0.2">
      <c r="A92" s="11">
        <v>43178</v>
      </c>
      <c r="B92" s="380">
        <f>'2023'!Maxi_hp</f>
        <v>46.831517578729603</v>
      </c>
      <c r="C92" s="85">
        <f>'2023'!An_max</f>
        <v>2020</v>
      </c>
      <c r="D92" s="1087" t="str">
        <f t="shared" si="59"/>
        <v/>
      </c>
      <c r="E92" s="835">
        <f>S$13/10</f>
        <v>51.811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836">
        <f t="shared" si="62"/>
        <v>0</v>
      </c>
      <c r="J92" s="827">
        <f t="shared" si="63"/>
        <v>51.811000000312923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836">
        <f t="shared" si="67"/>
        <v>0.5</v>
      </c>
      <c r="AT92" s="853">
        <f t="shared" si="68"/>
        <v>51.860250000096855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836">
        <f t="shared" si="72"/>
        <v>1</v>
      </c>
      <c r="AY92" s="853">
        <f t="shared" si="73"/>
        <v>51.810999999567869</v>
      </c>
      <c r="AZ92" s="827">
        <f t="shared" si="77"/>
        <v>51.835624999832362</v>
      </c>
      <c r="BA92" s="660">
        <f t="shared" si="74"/>
        <v>0.9038914048840353</v>
      </c>
      <c r="BB92" s="655">
        <v>43178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924">
        <f>1+[2]!Salcycl*Ksac</f>
        <v>1.0007747429171259</v>
      </c>
      <c r="BH92" s="1080">
        <f t="shared" si="75"/>
        <v>3.3426419952790041E-3</v>
      </c>
      <c r="BI92" s="11">
        <v>44274</v>
      </c>
      <c r="BJ92" s="801">
        <v>9.2816696063796947E-4</v>
      </c>
      <c r="BK92" s="801">
        <v>1.5692982146448629E-3</v>
      </c>
      <c r="BL92" s="801">
        <v>2.3367980976867937E-3</v>
      </c>
      <c r="BM92" s="801">
        <v>3.3425675707042697E-3</v>
      </c>
      <c r="BN92" s="801">
        <v>5.3085597177956849E-3</v>
      </c>
      <c r="BO92" s="802">
        <v>9.9412514126311479E-3</v>
      </c>
      <c r="BP92" s="801">
        <v>1.9632896721617586E-2</v>
      </c>
      <c r="BQ92" s="801">
        <v>3.6137147621751901E-2</v>
      </c>
      <c r="BR92" s="801">
        <v>6.065328837433176E-2</v>
      </c>
      <c r="BS92" s="801">
        <v>9.1269168908908002E-2</v>
      </c>
      <c r="BT92" s="801">
        <v>0.12546546240097178</v>
      </c>
      <c r="BW92" s="1136">
        <f>'2018'!R\Max</f>
        <v>0</v>
      </c>
      <c r="BX92" s="1134">
        <f>'2019'!R\Max</f>
        <v>0.24280592920846955</v>
      </c>
      <c r="BY92" s="1134">
        <f>'2020'!R\Max</f>
        <v>0.9038914048840353</v>
      </c>
      <c r="BZ92" s="1134">
        <f>'2021'!R\Max</f>
        <v>0.18865739443821683</v>
      </c>
      <c r="CA92" s="1134">
        <f>'2022'!R\Max</f>
        <v>0.66311643251968888</v>
      </c>
      <c r="CB92" s="1134">
        <f>'2023'!R\Max</f>
        <v>0.66300238756318863</v>
      </c>
      <c r="CC92" s="1134">
        <f>'2024'!R\Max</f>
        <v>0.66288583844085947</v>
      </c>
      <c r="CD92" s="1134">
        <f>'2025'!R\Max</f>
        <v>0.66269145614914227</v>
      </c>
      <c r="CE92" s="1134">
        <f>'2026'!R\Max</f>
        <v>0.66325248712586815</v>
      </c>
      <c r="CF92" s="1135">
        <f>'2027'!R\Max</f>
        <v>0.66322936626715878</v>
      </c>
    </row>
    <row r="93" spans="1:84" s="6" customFormat="1" ht="11.25" x14ac:dyDescent="0.2">
      <c r="A93" s="11">
        <v>43179</v>
      </c>
      <c r="B93" s="380">
        <f>'2023'!Maxi_hp</f>
        <v>53.139538604347429</v>
      </c>
      <c r="C93" s="85">
        <f>'2023'!An_max</f>
        <v>2019</v>
      </c>
      <c r="D93" s="1087">
        <f t="shared" si="59"/>
        <v>1.0202363370762386</v>
      </c>
      <c r="E93" s="747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836">
        <f t="shared" si="62"/>
        <v>7.1428571428571425E-2</v>
      </c>
      <c r="J93" s="827">
        <f t="shared" si="63"/>
        <v>52.085518495286159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836">
        <f t="shared" si="67"/>
        <v>0.4642857142857143</v>
      </c>
      <c r="AT93" s="853">
        <f t="shared" si="68"/>
        <v>52.143383654858916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836">
        <f t="shared" si="72"/>
        <v>0.9642857142857143</v>
      </c>
      <c r="AY93" s="853">
        <f t="shared" si="73"/>
        <v>52.066650396625377</v>
      </c>
      <c r="AZ93" s="827">
        <f t="shared" si="77"/>
        <v>52.105017025742143</v>
      </c>
      <c r="BA93" s="660">
        <f t="shared" si="74"/>
        <v>1.0202363370762386</v>
      </c>
      <c r="BB93" s="655">
        <v>43179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924">
        <f>1+[2]!Salcycl*Ksac</f>
        <v>1.0008239980079516</v>
      </c>
      <c r="BH93" s="1080">
        <f t="shared" si="75"/>
        <v>3.08333267582876E-3</v>
      </c>
      <c r="BI93" s="11">
        <v>44275</v>
      </c>
      <c r="BJ93" s="801">
        <v>8.5370722452630531E-4</v>
      </c>
      <c r="BK93" s="801">
        <v>1.4579361874160629E-3</v>
      </c>
      <c r="BL93" s="801">
        <v>2.1605106462558826E-3</v>
      </c>
      <c r="BM93" s="801">
        <v>3.0832618210056236E-3</v>
      </c>
      <c r="BN93" s="801">
        <v>4.9549557657412686E-3</v>
      </c>
      <c r="BO93" s="802">
        <v>9.443892783696381E-3</v>
      </c>
      <c r="BP93" s="801">
        <v>1.8987639164851817E-2</v>
      </c>
      <c r="BQ93" s="801">
        <v>3.5335749944374023E-2</v>
      </c>
      <c r="BR93" s="801">
        <v>5.9719851904806463E-2</v>
      </c>
      <c r="BS93" s="801">
        <v>9.0272702889469536E-2</v>
      </c>
      <c r="BT93" s="801">
        <v>0.12447621610024878</v>
      </c>
      <c r="BW93" s="1136">
        <f>'2018'!R\Max</f>
        <v>0</v>
      </c>
      <c r="BX93" s="1134">
        <f>'2019'!R\Max</f>
        <v>1.0202363370762386</v>
      </c>
      <c r="BY93" s="1134">
        <f>'2020'!R\Max</f>
        <v>0.91503517885263463</v>
      </c>
      <c r="BZ93" s="1134">
        <f>'2021'!R\Max</f>
        <v>0.83157352616376956</v>
      </c>
      <c r="CA93" s="1134">
        <f>'2022'!R\Max</f>
        <v>0.68016811042656922</v>
      </c>
      <c r="CB93" s="1134">
        <f>'2023'!R\Max</f>
        <v>0.68005925493714037</v>
      </c>
      <c r="CC93" s="1134">
        <f>'2024'!R\Max</f>
        <v>0.67994787379591748</v>
      </c>
      <c r="CD93" s="1134">
        <f>'2025'!R\Max</f>
        <v>0.67976123910713371</v>
      </c>
      <c r="CE93" s="1134">
        <f>'2026'!R\Max</f>
        <v>0.68029567365311727</v>
      </c>
      <c r="CF93" s="1135">
        <f>'2027'!R\Max</f>
        <v>0.68027433799148074</v>
      </c>
    </row>
    <row r="94" spans="1:84" s="6" customFormat="1" ht="11.25" x14ac:dyDescent="0.2">
      <c r="A94" s="11">
        <v>43180</v>
      </c>
      <c r="B94" s="380">
        <f>'2023'!Maxi_hp</f>
        <v>53.219933275475654</v>
      </c>
      <c r="C94" s="85">
        <f>'2023'!An_max</f>
        <v>2019</v>
      </c>
      <c r="D94" s="1087">
        <f t="shared" si="59"/>
        <v>1.0164276371412178</v>
      </c>
      <c r="E94" s="747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836">
        <f t="shared" si="62"/>
        <v>0.14285714285714285</v>
      </c>
      <c r="J94" s="827">
        <f t="shared" si="63"/>
        <v>52.359785714958399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836">
        <f t="shared" si="67"/>
        <v>0.42857142857142855</v>
      </c>
      <c r="AT94" s="853">
        <f t="shared" si="68"/>
        <v>52.422676384768316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836">
        <f t="shared" si="72"/>
        <v>0.9285714285714286</v>
      </c>
      <c r="AY94" s="853">
        <f t="shared" si="73"/>
        <v>52.319904701092412</v>
      </c>
      <c r="AZ94" s="827">
        <f t="shared" si="77"/>
        <v>52.371290542930367</v>
      </c>
      <c r="BA94" s="660">
        <f t="shared" si="74"/>
        <v>1.0164276371412178</v>
      </c>
      <c r="BB94" s="655">
        <v>43180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924">
        <f>1+[2]!Salcycl*Ksac</f>
        <v>1.0008782928075743</v>
      </c>
      <c r="BH94" s="1080">
        <f t="shared" si="75"/>
        <v>2.8421619145120561E-3</v>
      </c>
      <c r="BI94" s="11">
        <v>44276</v>
      </c>
      <c r="BJ94" s="801">
        <v>7.8512101170454213E-4</v>
      </c>
      <c r="BK94" s="801">
        <v>1.3541594487514273E-3</v>
      </c>
      <c r="BL94" s="801">
        <v>1.9968123786831184E-3</v>
      </c>
      <c r="BM94" s="801">
        <v>2.8420943819925677E-3</v>
      </c>
      <c r="BN94" s="801">
        <v>4.6260266847412768E-3</v>
      </c>
      <c r="BO94" s="802">
        <v>8.9722245814521859E-3</v>
      </c>
      <c r="BP94" s="801">
        <v>1.8361300409265594E-2</v>
      </c>
      <c r="BQ94" s="801">
        <v>3.4537171649208713E-2</v>
      </c>
      <c r="BR94" s="801">
        <v>5.876553828239587E-2</v>
      </c>
      <c r="BS94" s="801">
        <v>8.924046054723829E-2</v>
      </c>
      <c r="BT94" s="801">
        <v>0.12344619882472699</v>
      </c>
      <c r="BW94" s="1136">
        <f>'2018'!R\Max</f>
        <v>0</v>
      </c>
      <c r="BX94" s="1134">
        <f>'2019'!R\Max</f>
        <v>1.0164276371412178</v>
      </c>
      <c r="BY94" s="1134">
        <f>'2020'!R\Max</f>
        <v>0.97965271984014901</v>
      </c>
      <c r="BZ94" s="1134">
        <f>'2021'!R\Max</f>
        <v>0.85900007536546541</v>
      </c>
      <c r="CA94" s="1134">
        <f>'2022'!R\Max</f>
        <v>0.97596710849220869</v>
      </c>
      <c r="CB94" s="1134">
        <f>'2023'!R\Max</f>
        <v>0.97595561256326357</v>
      </c>
      <c r="CC94" s="1134">
        <f>'2024'!R\Max</f>
        <v>0.97594383169425025</v>
      </c>
      <c r="CD94" s="1134">
        <f>'2025'!R\Max</f>
        <v>0.9759239947075099</v>
      </c>
      <c r="CE94" s="1134">
        <f>'2026'!R\Max</f>
        <v>0.97598034581542914</v>
      </c>
      <c r="CF94" s="1135">
        <f>'2027'!R\Max</f>
        <v>0.97597816383154012</v>
      </c>
    </row>
    <row r="95" spans="1:84" s="6" customFormat="1" ht="11.25" x14ac:dyDescent="0.2">
      <c r="A95" s="11">
        <v>43181</v>
      </c>
      <c r="B95" s="380">
        <f>'2023'!Maxi_hp</f>
        <v>52.117627843898426</v>
      </c>
      <c r="C95" s="85">
        <f>'2023'!An_max</f>
        <v>2019</v>
      </c>
      <c r="D95" s="1087">
        <f t="shared" si="59"/>
        <v>0.99020729352502146</v>
      </c>
      <c r="E95" s="747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836">
        <f t="shared" si="62"/>
        <v>0.21428571428571427</v>
      </c>
      <c r="J95" s="827">
        <f t="shared" si="63"/>
        <v>52.633047832202692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836">
        <f t="shared" si="67"/>
        <v>0.39285714285714285</v>
      </c>
      <c r="AT95" s="853">
        <f t="shared" si="68"/>
        <v>52.697805119744906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836">
        <f t="shared" si="72"/>
        <v>0.8928571428571429</v>
      </c>
      <c r="AY95" s="853">
        <f t="shared" si="73"/>
        <v>52.570628302570967</v>
      </c>
      <c r="AZ95" s="827">
        <f t="shared" si="77"/>
        <v>52.634216711157933</v>
      </c>
      <c r="BA95" s="660">
        <f t="shared" si="74"/>
        <v>0.99020729352502146</v>
      </c>
      <c r="BB95" s="655">
        <v>43181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924">
        <f>1+[2]!Salcycl*Ksac</f>
        <v>1.0009380064636901</v>
      </c>
      <c r="BH95" s="1080">
        <f t="shared" si="75"/>
        <v>2.6160804628207273E-3</v>
      </c>
      <c r="BI95" s="11">
        <v>44277</v>
      </c>
      <c r="BJ95" s="801">
        <v>7.1894444097689682E-4</v>
      </c>
      <c r="BK95" s="801">
        <v>1.2545000629359865E-3</v>
      </c>
      <c r="BL95" s="801">
        <v>1.8421947583117375E-3</v>
      </c>
      <c r="BM95" s="801">
        <v>2.6160160150941326E-3</v>
      </c>
      <c r="BN95" s="801">
        <v>4.3184607362745228E-3</v>
      </c>
      <c r="BO95" s="802">
        <v>8.5274508054715165E-3</v>
      </c>
      <c r="BP95" s="801">
        <v>1.7759950266867754E-2</v>
      </c>
      <c r="BQ95" s="801">
        <v>3.3757588295896139E-2</v>
      </c>
      <c r="BR95" s="801">
        <v>5.7830048340026481E-2</v>
      </c>
      <c r="BS95" s="801">
        <v>8.8237126553304943E-2</v>
      </c>
      <c r="BT95" s="801">
        <v>0.12246323647018692</v>
      </c>
      <c r="BW95" s="1136">
        <f>'2018'!R\Max</f>
        <v>0</v>
      </c>
      <c r="BX95" s="1134">
        <f>'2019'!R\Max</f>
        <v>0.99020729352502146</v>
      </c>
      <c r="BY95" s="1134">
        <f>'2020'!R\Max</f>
        <v>0.93499953468531849</v>
      </c>
      <c r="BZ95" s="1134">
        <f>'2021'!R\Max</f>
        <v>0.7740334156887978</v>
      </c>
      <c r="CA95" s="1134">
        <f>'2022'!R\Max</f>
        <v>0.85679932748139498</v>
      </c>
      <c r="CB95" s="1134">
        <f>'2023'!R\Max</f>
        <v>0.85674046043815189</v>
      </c>
      <c r="CC95" s="1134">
        <f>'2024'!R\Max</f>
        <v>0.85668006216236381</v>
      </c>
      <c r="CD95" s="1134">
        <f>'2025'!R\Max</f>
        <v>0.85657792964249446</v>
      </c>
      <c r="CE95" s="1134">
        <f>'2026'!R\Max</f>
        <v>0.85686602846461357</v>
      </c>
      <c r="CF95" s="1135">
        <f>'2027'!R\Max</f>
        <v>0.85685518249744297</v>
      </c>
    </row>
    <row r="96" spans="1:84" s="6" customFormat="1" ht="11.25" x14ac:dyDescent="0.2">
      <c r="A96" s="11">
        <v>43182</v>
      </c>
      <c r="B96" s="380">
        <f>'2023'!Maxi_hp</f>
        <v>53.113094499750893</v>
      </c>
      <c r="C96" s="85">
        <f>'2023'!An_max</f>
        <v>2023</v>
      </c>
      <c r="D96" s="1087">
        <f t="shared" si="59"/>
        <v>1.0039418816445129</v>
      </c>
      <c r="E96" s="747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836">
        <f t="shared" si="62"/>
        <v>0.2857142857142857</v>
      </c>
      <c r="J96" s="827">
        <f t="shared" si="63"/>
        <v>52.904551021169347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836">
        <f t="shared" si="67"/>
        <v>0.35714285714285715</v>
      </c>
      <c r="AT96" s="853">
        <f t="shared" si="68"/>
        <v>52.968446793699897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836">
        <f t="shared" si="72"/>
        <v>0.8571428571428571</v>
      </c>
      <c r="AY96" s="853">
        <f t="shared" si="73"/>
        <v>52.818686588640716</v>
      </c>
      <c r="AZ96" s="827">
        <f t="shared" si="77"/>
        <v>52.893566691170307</v>
      </c>
      <c r="BA96" s="660">
        <f t="shared" si="74"/>
        <v>1.0039418816445129</v>
      </c>
      <c r="BB96" s="655">
        <v>43182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924">
        <f>1+[2]!Salcycl*Ksac</f>
        <v>1.0010035212613266</v>
      </c>
      <c r="BH96" s="1080">
        <f t="shared" si="75"/>
        <v>2.4050854632472218E-3</v>
      </c>
      <c r="BI96" s="11">
        <v>44278</v>
      </c>
      <c r="BJ96" s="801">
        <v>6.5517697446774504E-4</v>
      </c>
      <c r="BK96" s="801">
        <v>1.1589570958952203E-3</v>
      </c>
      <c r="BL96" s="801">
        <v>1.6966559889169022E-3</v>
      </c>
      <c r="BM96" s="801">
        <v>2.4050238628554352E-3</v>
      </c>
      <c r="BN96" s="801">
        <v>4.0322536715949467E-3</v>
      </c>
      <c r="BO96" s="802">
        <v>8.1095651452688777E-3</v>
      </c>
      <c r="BP96" s="801">
        <v>1.7183579816240371E-2</v>
      </c>
      <c r="BQ96" s="801">
        <v>3.2996986772894747E-2</v>
      </c>
      <c r="BR96" s="801">
        <v>5.6913361355377584E-2</v>
      </c>
      <c r="BS96" s="801">
        <v>8.7262669052474318E-2</v>
      </c>
      <c r="BT96" s="801">
        <v>0.12152728364228799</v>
      </c>
      <c r="BW96" s="1136">
        <f>'2018'!R\Max</f>
        <v>0</v>
      </c>
      <c r="BX96" s="1134">
        <f>'2019'!R\Max</f>
        <v>0.92368194503190426</v>
      </c>
      <c r="BY96" s="1134">
        <f>'2020'!R\Max</f>
        <v>0.71651566740493455</v>
      </c>
      <c r="BZ96" s="1134">
        <f>'2021'!R\Max</f>
        <v>1.0018208509752475</v>
      </c>
      <c r="CA96" s="1134">
        <f>'2022'!R\Max</f>
        <v>1.0039418816445129</v>
      </c>
      <c r="CB96" s="1134">
        <f>'2023'!R\Max</f>
        <v>1.0039418816445129</v>
      </c>
      <c r="CC96" s="1134">
        <f>'2024'!R\Max</f>
        <v>1.0039418816445129</v>
      </c>
      <c r="CD96" s="1134">
        <f>'2025'!R\Max</f>
        <v>1.0039418816445129</v>
      </c>
      <c r="CE96" s="1134">
        <f>'2026'!R\Max</f>
        <v>1.0039418816445129</v>
      </c>
      <c r="CF96" s="1135">
        <f>'2027'!R\Max</f>
        <v>1.0039418816445129</v>
      </c>
    </row>
    <row r="97" spans="1:84" s="6" customFormat="1" ht="11.25" x14ac:dyDescent="0.2">
      <c r="A97" s="11">
        <v>43183</v>
      </c>
      <c r="B97" s="380">
        <f>'2023'!Maxi_hp</f>
        <v>52.635831121779191</v>
      </c>
      <c r="C97" s="85">
        <f>'2023'!An_max</f>
        <v>2019</v>
      </c>
      <c r="D97" s="1087">
        <f t="shared" si="59"/>
        <v>0.98988763361330712</v>
      </c>
      <c r="E97" s="747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836">
        <f t="shared" si="62"/>
        <v>0.35714285714285715</v>
      </c>
      <c r="J97" s="827">
        <f t="shared" si="63"/>
        <v>53.173541455050668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836">
        <f t="shared" si="67"/>
        <v>0.32142857142857145</v>
      </c>
      <c r="AT97" s="853">
        <f t="shared" si="68"/>
        <v>53.234278334863482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836">
        <f t="shared" si="72"/>
        <v>0.8214285714285714</v>
      </c>
      <c r="AY97" s="853">
        <f t="shared" si="73"/>
        <v>53.063944948610981</v>
      </c>
      <c r="AZ97" s="827">
        <f t="shared" si="77"/>
        <v>53.149111641737235</v>
      </c>
      <c r="BA97" s="660">
        <f t="shared" si="74"/>
        <v>0.98988763361330712</v>
      </c>
      <c r="BB97" s="655">
        <v>43183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924">
        <f>1+[2]!Salcycl*Ksac</f>
        <v>1.001075221440451</v>
      </c>
      <c r="BH97" s="1080">
        <f t="shared" si="75"/>
        <v>2.2091743042874537E-3</v>
      </c>
      <c r="BI97" s="11">
        <v>44279</v>
      </c>
      <c r="BJ97" s="801">
        <v>5.9381815211052142E-4</v>
      </c>
      <c r="BK97" s="801">
        <v>1.06752972931052E-3</v>
      </c>
      <c r="BL97" s="801">
        <v>1.5601944460920272E-3</v>
      </c>
      <c r="BM97" s="801">
        <v>2.2091153138217938E-3</v>
      </c>
      <c r="BN97" s="801">
        <v>3.7674015741661002E-3</v>
      </c>
      <c r="BO97" s="802">
        <v>7.7185617821851444E-3</v>
      </c>
      <c r="BP97" s="801">
        <v>1.6632180833414351E-2</v>
      </c>
      <c r="BQ97" s="801">
        <v>3.2255354910892833E-2</v>
      </c>
      <c r="BR97" s="801">
        <v>5.6015457747220748E-2</v>
      </c>
      <c r="BS97" s="801">
        <v>8.631705738663574E-2</v>
      </c>
      <c r="BT97" s="801">
        <v>0.12063829606318875</v>
      </c>
      <c r="BW97" s="1136">
        <f>'2018'!R\Max</f>
        <v>0</v>
      </c>
      <c r="BX97" s="1134">
        <f>'2019'!R\Max</f>
        <v>0.98988763361330712</v>
      </c>
      <c r="BY97" s="1134">
        <f>'2020'!R\Max</f>
        <v>0.7449576578275382</v>
      </c>
      <c r="BZ97" s="1134">
        <f>'2021'!R\Max</f>
        <v>0.98279272571051079</v>
      </c>
      <c r="CA97" s="1134">
        <f>'2022'!R\Max</f>
        <v>0.94023961610489026</v>
      </c>
      <c r="CB97" s="1134">
        <f>'2023'!R\Max</f>
        <v>0.94021380625777995</v>
      </c>
      <c r="CC97" s="1134">
        <f>'2024'!R\Max</f>
        <v>0.94018724795295605</v>
      </c>
      <c r="CD97" s="1134">
        <f>'2025'!R\Max</f>
        <v>0.94014194618301483</v>
      </c>
      <c r="CE97" s="1134">
        <f>'2026'!R\Max</f>
        <v>0.9402680208628974</v>
      </c>
      <c r="CF97" s="1135">
        <f>'2027'!R\Max</f>
        <v>0.94026351277915499</v>
      </c>
    </row>
    <row r="98" spans="1:84" s="6" customFormat="1" ht="11.25" x14ac:dyDescent="0.2">
      <c r="A98" s="11">
        <v>43184</v>
      </c>
      <c r="B98" s="380">
        <f>'2023'!Maxi_hp</f>
        <v>47.578792902284313</v>
      </c>
      <c r="C98" s="85">
        <f>'2023'!An_max</f>
        <v>2020</v>
      </c>
      <c r="D98" s="1087" t="str">
        <f t="shared" si="59"/>
        <v/>
      </c>
      <c r="E98" s="747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836">
        <f t="shared" si="62"/>
        <v>0.42857142857142855</v>
      </c>
      <c r="J98" s="827">
        <f t="shared" si="63"/>
        <v>53.439265306613265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836">
        <f t="shared" si="67"/>
        <v>0.2857142857142857</v>
      </c>
      <c r="AT98" s="853">
        <f t="shared" si="68"/>
        <v>53.494976676787658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836">
        <f t="shared" si="72"/>
        <v>0.7857142857142857</v>
      </c>
      <c r="AY98" s="853">
        <f t="shared" si="73"/>
        <v>53.306268768677754</v>
      </c>
      <c r="AZ98" s="827">
        <f t="shared" si="77"/>
        <v>53.400622722732706</v>
      </c>
      <c r="BA98" s="660">
        <f t="shared" si="74"/>
        <v>0.89033396378666718</v>
      </c>
      <c r="BB98" s="655">
        <v>43184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924">
        <f>1+[2]!Salcycl*Ksac</f>
        <v>1.0011534920415874</v>
      </c>
      <c r="BH98" s="1080">
        <f t="shared" si="75"/>
        <v>2.0283445721718568E-3</v>
      </c>
      <c r="BI98" s="11">
        <v>44280</v>
      </c>
      <c r="BJ98" s="801">
        <v>5.3486758394831165E-4</v>
      </c>
      <c r="BK98" s="801">
        <v>9.8021724745914608E-4</v>
      </c>
      <c r="BL98" s="801">
        <v>1.4328086482061741E-3</v>
      </c>
      <c r="BM98" s="801">
        <v>2.0282879542705447E-3</v>
      </c>
      <c r="BN98" s="801">
        <v>3.5239007913185709E-3</v>
      </c>
      <c r="BO98" s="802">
        <v>7.3544353033640443E-3</v>
      </c>
      <c r="BP98" s="801">
        <v>1.6105745711988331E-2</v>
      </c>
      <c r="BQ98" s="801">
        <v>3.1532681422163832E-2</v>
      </c>
      <c r="BR98" s="801">
        <v>5.5136319015345624E-2</v>
      </c>
      <c r="BS98" s="801">
        <v>8.5400262002374341E-2</v>
      </c>
      <c r="BT98" s="801">
        <v>0.1197962304209895</v>
      </c>
      <c r="BW98" s="1136">
        <f>'2018'!R\Max</f>
        <v>0</v>
      </c>
      <c r="BX98" s="1134">
        <f>'2019'!R\Max</f>
        <v>0.8756284569981595</v>
      </c>
      <c r="BY98" s="1134">
        <f>'2020'!R\Max</f>
        <v>0.89033396378666718</v>
      </c>
      <c r="BZ98" s="1134">
        <f>'2021'!R\Max</f>
        <v>0.72479866432811502</v>
      </c>
      <c r="CA98" s="1134">
        <f>'2022'!R\Max</f>
        <v>0.85175921050347292</v>
      </c>
      <c r="CB98" s="1134">
        <f>'2023'!R\Max</f>
        <v>0.85170249587356206</v>
      </c>
      <c r="CC98" s="1134">
        <f>'2024'!R\Max</f>
        <v>0.85164405246038155</v>
      </c>
      <c r="CD98" s="1134">
        <f>'2025'!R\Max</f>
        <v>0.85154395547801587</v>
      </c>
      <c r="CE98" s="1134">
        <f>'2026'!R\Max</f>
        <v>0.85182085179650247</v>
      </c>
      <c r="CF98" s="1135">
        <f>'2027'!R\Max</f>
        <v>0.85181116638899557</v>
      </c>
    </row>
    <row r="99" spans="1:84" s="6" customFormat="1" ht="11.25" x14ac:dyDescent="0.2">
      <c r="A99" s="11">
        <v>43185</v>
      </c>
      <c r="B99" s="380">
        <f>'2023'!Maxi_hp</f>
        <v>56.081839676566283</v>
      </c>
      <c r="C99" s="85">
        <f>'2023'!An_max</f>
        <v>2019</v>
      </c>
      <c r="D99" s="1087">
        <f t="shared" si="59"/>
        <v>1.0443357164871609</v>
      </c>
      <c r="E99" s="747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836">
        <f t="shared" si="62"/>
        <v>0.5</v>
      </c>
      <c r="J99" s="827">
        <f t="shared" si="63"/>
        <v>53.70096875093877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836">
        <f t="shared" si="67"/>
        <v>0.25</v>
      </c>
      <c r="AT99" s="853">
        <f t="shared" si="68"/>
        <v>53.750218749977648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836">
        <f t="shared" si="72"/>
        <v>0.75</v>
      </c>
      <c r="AY99" s="853">
        <f t="shared" si="73"/>
        <v>53.545523437578233</v>
      </c>
      <c r="AZ99" s="827">
        <f t="shared" si="77"/>
        <v>53.647871093777937</v>
      </c>
      <c r="BA99" s="660">
        <f t="shared" si="74"/>
        <v>1.0443357164871609</v>
      </c>
      <c r="BB99" s="655">
        <v>43185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924">
        <f>1+[2]!Salcycl*Ksac</f>
        <v>1.0012387177845292</v>
      </c>
      <c r="BH99" s="1080">
        <f t="shared" si="75"/>
        <v>1.8625940026035872E-3</v>
      </c>
      <c r="BI99" s="11">
        <v>44281</v>
      </c>
      <c r="BJ99" s="801">
        <v>4.7832494243634123E-4</v>
      </c>
      <c r="BK99" s="801">
        <v>8.9701902405762632E-4</v>
      </c>
      <c r="BL99" s="801">
        <v>1.3144972273664726E-3</v>
      </c>
      <c r="BM99" s="801">
        <v>1.8625395199500013E-3</v>
      </c>
      <c r="BN99" s="801">
        <v>3.3017478659196652E-3</v>
      </c>
      <c r="BO99" s="802">
        <v>7.0171806157539249E-3</v>
      </c>
      <c r="BP99" s="801">
        <v>1.5604267383302362E-2</v>
      </c>
      <c r="BQ99" s="801">
        <v>3.0828955840028011E-2</v>
      </c>
      <c r="BR99" s="801">
        <v>5.4275927680671687E-2</v>
      </c>
      <c r="BS99" s="801">
        <v>8.4512254358869707E-2</v>
      </c>
      <c r="BT99" s="801">
        <v>0.11900104421957645</v>
      </c>
      <c r="BW99" s="1136">
        <f>'2018'!R\Max</f>
        <v>0</v>
      </c>
      <c r="BX99" s="1134">
        <f>'2019'!R\Max</f>
        <v>1.0443357164871609</v>
      </c>
      <c r="BY99" s="1134">
        <f>'2020'!R\Max</f>
        <v>1.0093914588239334</v>
      </c>
      <c r="BZ99" s="1134">
        <f>'2021'!R\Max</f>
        <v>0.80909026226793768</v>
      </c>
      <c r="CA99" s="1134">
        <f>'2022'!R\Max</f>
        <v>0.92081319523933447</v>
      </c>
      <c r="CB99" s="1134">
        <f>'2023'!R\Max</f>
        <v>0.92078117834670969</v>
      </c>
      <c r="CC99" s="1134">
        <f>'2024'!R\Max</f>
        <v>0.92074813065638406</v>
      </c>
      <c r="CD99" s="1134">
        <f>'2025'!R\Max</f>
        <v>0.92069129059778665</v>
      </c>
      <c r="CE99" s="1134">
        <f>'2026'!R\Max</f>
        <v>0.92084760629798879</v>
      </c>
      <c r="CF99" s="1135">
        <f>'2027'!R\Max</f>
        <v>0.92084224458109853</v>
      </c>
    </row>
    <row r="100" spans="1:84" s="6" customFormat="1" ht="11.25" x14ac:dyDescent="0.2">
      <c r="A100" s="11">
        <v>43186</v>
      </c>
      <c r="B100" s="380">
        <f>'2023'!Maxi_hp</f>
        <v>55.275486537639232</v>
      </c>
      <c r="C100" s="85">
        <f>'2023'!An_max</f>
        <v>2019</v>
      </c>
      <c r="D100" s="1087">
        <f t="shared" si="59"/>
        <v>1.0244188270328982</v>
      </c>
      <c r="E100" s="747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836">
        <f t="shared" si="62"/>
        <v>0.5714285714285714</v>
      </c>
      <c r="J100" s="827">
        <f t="shared" si="63"/>
        <v>53.957897960288186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836">
        <f t="shared" si="67"/>
        <v>0.21428571428571427</v>
      </c>
      <c r="AT100" s="853">
        <f t="shared" si="68"/>
        <v>53.999681487573049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836">
        <f t="shared" si="72"/>
        <v>0.7142857142857143</v>
      </c>
      <c r="AY100" s="853">
        <f t="shared" si="73"/>
        <v>53.781574344209261</v>
      </c>
      <c r="AZ100" s="827">
        <f t="shared" si="77"/>
        <v>53.890627915891159</v>
      </c>
      <c r="BA100" s="660">
        <f t="shared" si="74"/>
        <v>1.0244188270328982</v>
      </c>
      <c r="BB100" s="655">
        <v>43186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924">
        <f>1+[2]!Salcycl*Ksac</f>
        <v>1.001331281984305</v>
      </c>
      <c r="BH100" s="1080">
        <f t="shared" si="75"/>
        <v>1.7238611642695328E-3</v>
      </c>
      <c r="BI100" s="11">
        <v>44282</v>
      </c>
      <c r="BJ100" s="801">
        <v>4.2591873933126636E-4</v>
      </c>
      <c r="BK100" s="801">
        <v>8.2283551467445188E-4</v>
      </c>
      <c r="BL100" s="801">
        <v>1.2136386303089964E-3</v>
      </c>
      <c r="BM100" s="801">
        <v>1.723808521145468E-3</v>
      </c>
      <c r="BN100" s="801">
        <v>3.1144240386543065E-3</v>
      </c>
      <c r="BO100" s="802">
        <v>6.7231918982495692E-3</v>
      </c>
      <c r="BP100" s="801">
        <v>1.5145846513407885E-2</v>
      </c>
      <c r="BQ100" s="801">
        <v>3.0161763482169823E-2</v>
      </c>
      <c r="BR100" s="801">
        <v>5.3438849016198296E-2</v>
      </c>
      <c r="BS100" s="801">
        <v>8.3644882770473952E-2</v>
      </c>
      <c r="BT100" s="801">
        <v>0.11823407258299672</v>
      </c>
      <c r="BW100" s="1136">
        <f>'2018'!R\Max</f>
        <v>0</v>
      </c>
      <c r="BX100" s="1134">
        <f>'2019'!R\Max</f>
        <v>1.0244188270328982</v>
      </c>
      <c r="BY100" s="1134">
        <f>'2020'!R\Max</f>
        <v>0.63572599398035434</v>
      </c>
      <c r="BZ100" s="1134">
        <f>'2021'!R\Max</f>
        <v>0.81874303715802554</v>
      </c>
      <c r="CA100" s="1134">
        <f>'2022'!R\Max</f>
        <v>0.93160992392743802</v>
      </c>
      <c r="CB100" s="1134">
        <f>'2023'!R\Max</f>
        <v>0.93158258159606255</v>
      </c>
      <c r="CC100" s="1134">
        <f>'2024'!R\Max</f>
        <v>0.93155431176756687</v>
      </c>
      <c r="CD100" s="1134">
        <f>'2025'!R\Max</f>
        <v>0.93150550168878032</v>
      </c>
      <c r="CE100" s="1134">
        <f>'2026'!R\Max</f>
        <v>0.93163905034495487</v>
      </c>
      <c r="CF100" s="1135">
        <f>'2027'!R\Max</f>
        <v>0.93163453963969478</v>
      </c>
    </row>
    <row r="101" spans="1:84" s="6" customFormat="1" ht="11.25" x14ac:dyDescent="0.2">
      <c r="A101" s="11">
        <v>43187</v>
      </c>
      <c r="B101" s="380">
        <f>'2023'!Maxi_hp</f>
        <v>54.062253279945516</v>
      </c>
      <c r="C101" s="85">
        <f>'2023'!An_max</f>
        <v>2019</v>
      </c>
      <c r="D101" s="1087">
        <f t="shared" si="59"/>
        <v>0.99728744273117464</v>
      </c>
      <c r="E101" s="747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836">
        <f t="shared" si="62"/>
        <v>0.6428571428571429</v>
      </c>
      <c r="J101" s="827">
        <f t="shared" si="63"/>
        <v>54.209299108279609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836">
        <f t="shared" si="67"/>
        <v>0.17857142857142858</v>
      </c>
      <c r="AT101" s="853">
        <f t="shared" si="68"/>
        <v>54.243041819294113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836">
        <f t="shared" si="72"/>
        <v>0.6785714285714286</v>
      </c>
      <c r="AY101" s="853">
        <f t="shared" si="73"/>
        <v>54.014286876775849</v>
      </c>
      <c r="AZ101" s="827">
        <f t="shared" si="77"/>
        <v>54.128664348034981</v>
      </c>
      <c r="BA101" s="660">
        <f t="shared" si="74"/>
        <v>0.99728744273117464</v>
      </c>
      <c r="BB101" s="655">
        <v>43187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924">
        <f>1+[2]!Salcycl*Ksac</f>
        <v>1.0014315655076058</v>
      </c>
      <c r="BH101" s="1080">
        <f t="shared" si="75"/>
        <v>1.6016676647874531E-3</v>
      </c>
      <c r="BI101" s="11">
        <v>44283</v>
      </c>
      <c r="BJ101" s="801">
        <v>3.7684737716026226E-4</v>
      </c>
      <c r="BK101" s="801">
        <v>7.5604164434222296E-4</v>
      </c>
      <c r="BL101" s="801">
        <v>1.1246036269672117E-3</v>
      </c>
      <c r="BM101" s="801">
        <v>1.6016167775749965E-3</v>
      </c>
      <c r="BN101" s="801">
        <v>2.9458483090854088E-3</v>
      </c>
      <c r="BO101" s="802">
        <v>6.4540604060886646E-3</v>
      </c>
      <c r="BP101" s="801">
        <v>1.4712588560905992E-2</v>
      </c>
      <c r="BQ101" s="801">
        <v>2.9516668671965438E-2</v>
      </c>
      <c r="BR101" s="801">
        <v>5.2611944361940298E-2</v>
      </c>
      <c r="BS101" s="801">
        <v>8.2786487794525743E-2</v>
      </c>
      <c r="BT101" s="801">
        <v>0.1174850536418251</v>
      </c>
      <c r="BW101" s="1136">
        <f>'2018'!R\Max</f>
        <v>0</v>
      </c>
      <c r="BX101" s="1134">
        <f>'2019'!R\Max</f>
        <v>0.99728744273117464</v>
      </c>
      <c r="BY101" s="1134">
        <f>'2020'!R\Max</f>
        <v>0.93855697184333653</v>
      </c>
      <c r="BZ101" s="1134">
        <f>'2021'!R\Max</f>
        <v>0.97150790079704841</v>
      </c>
      <c r="CA101" s="1134">
        <f>'2022'!R\Max</f>
        <v>0.71140264852702295</v>
      </c>
      <c r="CB101" s="1134">
        <f>'2023'!R\Max</f>
        <v>0.71131655398081572</v>
      </c>
      <c r="CC101" s="1134">
        <f>'2024'!R\Max</f>
        <v>0.71122740083797387</v>
      </c>
      <c r="CD101" s="1134">
        <f>'2025'!R\Max</f>
        <v>0.71107293981446751</v>
      </c>
      <c r="CE101" s="1134">
        <f>'2026'!R\Max</f>
        <v>0.71149367363183547</v>
      </c>
      <c r="CF101" s="1135">
        <f>'2027'!R\Max</f>
        <v>0.71147966725397027</v>
      </c>
    </row>
    <row r="102" spans="1:84" s="6" customFormat="1" ht="11.25" x14ac:dyDescent="0.2">
      <c r="A102" s="11">
        <v>43188</v>
      </c>
      <c r="B102" s="380">
        <f>'2023'!Maxi_hp</f>
        <v>54.934926813744624</v>
      </c>
      <c r="C102" s="85">
        <f>'2023'!An_max</f>
        <v>2021</v>
      </c>
      <c r="D102" s="1087">
        <f t="shared" si="59"/>
        <v>1.008824048810715</v>
      </c>
      <c r="E102" s="747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836">
        <f t="shared" si="62"/>
        <v>0.7142857142857143</v>
      </c>
      <c r="J102" s="827">
        <f t="shared" si="63"/>
        <v>54.454418368105372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836">
        <f t="shared" si="67"/>
        <v>0.14285714285714285</v>
      </c>
      <c r="AT102" s="853">
        <f t="shared" si="68"/>
        <v>54.479976676457696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836">
        <f t="shared" si="72"/>
        <v>0.6428571428571429</v>
      </c>
      <c r="AY102" s="853">
        <f t="shared" si="73"/>
        <v>54.243526421859862</v>
      </c>
      <c r="AZ102" s="827">
        <f t="shared" si="77"/>
        <v>54.361751549158782</v>
      </c>
      <c r="BA102" s="660">
        <f t="shared" si="74"/>
        <v>1.008824048810715</v>
      </c>
      <c r="BB102" s="655">
        <v>43188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924">
        <f>1+[2]!Salcycl*Ksac</f>
        <v>1.0015399457719254</v>
      </c>
      <c r="BH102" s="1080">
        <f t="shared" si="75"/>
        <v>1.4960110685603573E-3</v>
      </c>
      <c r="BI102" s="11">
        <v>44284</v>
      </c>
      <c r="BJ102" s="801">
        <v>3.3111050067872929E-4</v>
      </c>
      <c r="BK102" s="801">
        <v>6.9663638833974398E-4</v>
      </c>
      <c r="BL102" s="801">
        <v>1.0473904932779149E-3</v>
      </c>
      <c r="BM102" s="801">
        <v>1.495961853660515E-3</v>
      </c>
      <c r="BN102" s="801">
        <v>2.7960177418570507E-3</v>
      </c>
      <c r="BO102" s="802">
        <v>6.2097817151302625E-3</v>
      </c>
      <c r="BP102" s="801">
        <v>1.4304487428898853E-2</v>
      </c>
      <c r="BQ102" s="801">
        <v>2.8893662384706725E-2</v>
      </c>
      <c r="BR102" s="801">
        <v>5.1795200354024441E-2</v>
      </c>
      <c r="BS102" s="801">
        <v>8.1937046769802138E-2</v>
      </c>
      <c r="BT102" s="801">
        <v>0.11675395144886253</v>
      </c>
      <c r="BW102" s="1136">
        <f>'2018'!R\Max</f>
        <v>0</v>
      </c>
      <c r="BX102" s="1134">
        <f>'2019'!R\Max</f>
        <v>1.0058876037681892</v>
      </c>
      <c r="BY102" s="1134">
        <f>'2020'!R\Max</f>
        <v>0.91344686934845654</v>
      </c>
      <c r="BZ102" s="1134">
        <f>'2021'!R\Max</f>
        <v>1.008824048810715</v>
      </c>
      <c r="CA102" s="1134">
        <f>'2022'!R\Max</f>
        <v>0.55814870134789263</v>
      </c>
      <c r="CB102" s="1134">
        <f>'2023'!R\Max</f>
        <v>0.55804765590816952</v>
      </c>
      <c r="CC102" s="1134">
        <f>'2024'!R\Max</f>
        <v>0.55794284326224108</v>
      </c>
      <c r="CD102" s="1134">
        <f>'2025'!R\Max</f>
        <v>0.55776063398069287</v>
      </c>
      <c r="CE102" s="1134">
        <f>'2026'!R\Max</f>
        <v>0.55825486293316773</v>
      </c>
      <c r="CF102" s="1135">
        <f>'2027'!R\Max</f>
        <v>0.55823863950844943</v>
      </c>
    </row>
    <row r="103" spans="1:84" s="6" customFormat="1" ht="11.25" x14ac:dyDescent="0.2">
      <c r="A103" s="11">
        <v>43189</v>
      </c>
      <c r="B103" s="380">
        <f>'2023'!Maxi_hp</f>
        <v>56.1503147173473</v>
      </c>
      <c r="C103" s="85">
        <f>'2023'!An_max</f>
        <v>2019</v>
      </c>
      <c r="D103" s="1087">
        <f t="shared" si="59"/>
        <v>1.0266547104601718</v>
      </c>
      <c r="E103" s="747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836">
        <f t="shared" si="62"/>
        <v>0.7857142857142857</v>
      </c>
      <c r="J103" s="827">
        <f t="shared" si="63"/>
        <v>54.69250191447459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836">
        <f t="shared" si="67"/>
        <v>0.10714285714285714</v>
      </c>
      <c r="AT103" s="853">
        <f t="shared" si="68"/>
        <v>54.710162991551421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836">
        <f t="shared" si="72"/>
        <v>0.6071428571428571</v>
      </c>
      <c r="AY103" s="853">
        <f t="shared" si="73"/>
        <v>54.469158368863688</v>
      </c>
      <c r="AZ103" s="827">
        <f t="shared" si="77"/>
        <v>54.589660680207558</v>
      </c>
      <c r="BA103" s="660">
        <f t="shared" si="74"/>
        <v>1.0266547104601718</v>
      </c>
      <c r="BB103" s="655">
        <v>43189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924">
        <f>1+[2]!Salcycl*Ksac</f>
        <v>1.0016567957887086</v>
      </c>
      <c r="BH103" s="1080">
        <f t="shared" si="75"/>
        <v>1.4068888580634981E-3</v>
      </c>
      <c r="BI103" s="11">
        <v>44285</v>
      </c>
      <c r="BJ103" s="801">
        <v>2.8870776947115034E-4</v>
      </c>
      <c r="BK103" s="801">
        <v>6.4461870099106078E-4</v>
      </c>
      <c r="BL103" s="801">
        <v>9.819974487696012E-4</v>
      </c>
      <c r="BM103" s="801">
        <v>1.4068412318951539E-3</v>
      </c>
      <c r="BN103" s="801">
        <v>2.6649293472121431E-3</v>
      </c>
      <c r="BO103" s="802">
        <v>5.9903513874022679E-3</v>
      </c>
      <c r="BP103" s="801">
        <v>1.3921537212048673E-2</v>
      </c>
      <c r="BQ103" s="801">
        <v>2.8292736101843491E-2</v>
      </c>
      <c r="BR103" s="801">
        <v>5.0988604537763105E-2</v>
      </c>
      <c r="BS103" s="801">
        <v>8.109653799898521E-2</v>
      </c>
      <c r="BT103" s="801">
        <v>0.11604073074757916</v>
      </c>
      <c r="BW103" s="1136">
        <f>'2018'!R\Max</f>
        <v>0</v>
      </c>
      <c r="BX103" s="1134">
        <f>'2019'!R\Max</f>
        <v>1.0266547104601718</v>
      </c>
      <c r="BY103" s="1134">
        <f>'2020'!R\Max</f>
        <v>0.64225419708908726</v>
      </c>
      <c r="BZ103" s="1134">
        <f>'2021'!R\Max</f>
        <v>0.93881020871287879</v>
      </c>
      <c r="CA103" s="1134">
        <f>'2022'!R\Max</f>
        <v>0.14506182540772897</v>
      </c>
      <c r="CB103" s="1134">
        <f>'2023'!R\Max</f>
        <v>0.14502117535643583</v>
      </c>
      <c r="CC103" s="1134">
        <f>'2024'!R\Max</f>
        <v>0.14497893815812166</v>
      </c>
      <c r="CD103" s="1134">
        <f>'2025'!R\Max</f>
        <v>0.14490528082806658</v>
      </c>
      <c r="CE103" s="1134">
        <f>'2026'!R\Max</f>
        <v>0.14510432825975259</v>
      </c>
      <c r="CF103" s="1135">
        <f>'2027'!R\Max</f>
        <v>0.14509788012607502</v>
      </c>
    </row>
    <row r="104" spans="1:84" s="6" customFormat="1" ht="11.25" x14ac:dyDescent="0.2">
      <c r="A104" s="11">
        <v>43190</v>
      </c>
      <c r="B104" s="380">
        <f>'2023'!Maxi_hp</f>
        <v>49.506417533337903</v>
      </c>
      <c r="C104" s="85">
        <f>'2023'!An_max</f>
        <v>2021</v>
      </c>
      <c r="D104" s="1087" t="str">
        <f t="shared" si="59"/>
        <v/>
      </c>
      <c r="E104" s="747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836">
        <f t="shared" si="62"/>
        <v>0.8571428571428571</v>
      </c>
      <c r="J104" s="827">
        <f t="shared" si="63"/>
        <v>54.922795918690305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836">
        <f t="shared" si="67"/>
        <v>7.1428571428571425E-2</v>
      </c>
      <c r="AT104" s="853">
        <f t="shared" si="68"/>
        <v>54.933277696291256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836">
        <f t="shared" si="72"/>
        <v>0.5714285714285714</v>
      </c>
      <c r="AY104" s="853">
        <f t="shared" si="73"/>
        <v>54.691048105699679</v>
      </c>
      <c r="AZ104" s="827">
        <f t="shared" si="77"/>
        <v>54.812162900995467</v>
      </c>
      <c r="BA104" s="660">
        <f t="shared" si="74"/>
        <v>0.90138196181106645</v>
      </c>
      <c r="BB104" s="655">
        <v>43190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924">
        <f>1+[2]!Salcycl*Ksac</f>
        <v>1.0017824832508662</v>
      </c>
      <c r="BH104" s="1080">
        <f t="shared" si="75"/>
        <v>1.3342983808813966E-3</v>
      </c>
      <c r="BI104" s="11">
        <v>44286</v>
      </c>
      <c r="BJ104" s="801">
        <v>2.4963884727995436E-4</v>
      </c>
      <c r="BK104" s="801">
        <v>5.9998749200587383E-4</v>
      </c>
      <c r="BL104" s="801">
        <v>9.2842261870112683E-4</v>
      </c>
      <c r="BM104" s="801">
        <v>1.3342522598805372E-3</v>
      </c>
      <c r="BN104" s="801">
        <v>2.5525800209598871E-3</v>
      </c>
      <c r="BO104" s="802">
        <v>5.7957648915073741E-3</v>
      </c>
      <c r="BP104" s="801">
        <v>1.3563732116010535E-2</v>
      </c>
      <c r="BQ104" s="801">
        <v>2.7713881740222213E-2</v>
      </c>
      <c r="BR104" s="801">
        <v>5.0192145335023121E-2</v>
      </c>
      <c r="BS104" s="801">
        <v>8.0264940719701403E-2</v>
      </c>
      <c r="BT104" s="801">
        <v>0.11534535691415367</v>
      </c>
      <c r="BW104" s="1136">
        <f>'2018'!R\Max</f>
        <v>0</v>
      </c>
      <c r="BX104" s="1134">
        <f>'2019'!R\Max</f>
        <v>0.87037017199961308</v>
      </c>
      <c r="BY104" s="1134">
        <f>'2020'!R\Max</f>
        <v>0.36569786553956291</v>
      </c>
      <c r="BZ104" s="1134">
        <f>'2021'!R\Max</f>
        <v>0.90138196181106645</v>
      </c>
      <c r="CA104" s="1134">
        <f>'2022'!R\Max</f>
        <v>0.43007023832506036</v>
      </c>
      <c r="CB104" s="1134">
        <f>'2023'!R\Max</f>
        <v>0.42997439020370226</v>
      </c>
      <c r="CC104" s="1134">
        <f>'2024'!R\Max</f>
        <v>0.42987459024378055</v>
      </c>
      <c r="CD104" s="1134">
        <f>'2025'!R\Max</f>
        <v>0.43018512193077929</v>
      </c>
      <c r="CE104" s="1134">
        <f>'2026'!R\Max</f>
        <v>0.43017009159345937</v>
      </c>
      <c r="CF104" s="1135">
        <f>'2027'!R\Max</f>
        <v>0.43015505913256574</v>
      </c>
    </row>
    <row r="105" spans="1:84" s="6" customFormat="1" ht="11.25" x14ac:dyDescent="0.2">
      <c r="A105" s="11">
        <v>43191</v>
      </c>
      <c r="B105" s="380">
        <f>'2023'!Maxi_hp</f>
        <v>49.445909039564896</v>
      </c>
      <c r="C105" s="85">
        <f>'2023'!An_max</f>
        <v>2021</v>
      </c>
      <c r="D105" s="1087" t="str">
        <f t="shared" si="59"/>
        <v/>
      </c>
      <c r="E105" s="747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836">
        <f t="shared" si="62"/>
        <v>0.9285714285714286</v>
      </c>
      <c r="J105" s="827">
        <f t="shared" si="63"/>
        <v>55.144546557297659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836">
        <f t="shared" si="67"/>
        <v>3.5714285714285712E-2</v>
      </c>
      <c r="AT105" s="853">
        <f t="shared" si="68"/>
        <v>55.14899772293866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836">
        <f t="shared" si="72"/>
        <v>0.5357142857142857</v>
      </c>
      <c r="AY105" s="853">
        <f t="shared" si="73"/>
        <v>54.909061019827746</v>
      </c>
      <c r="AZ105" s="827">
        <f t="shared" si="77"/>
        <v>55.029029371383203</v>
      </c>
      <c r="BA105" s="660">
        <f t="shared" si="74"/>
        <v>0.8966599986127074</v>
      </c>
      <c r="BB105" s="655">
        <v>43191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924">
        <f>1+[2]!Salcycl*Ksac</f>
        <v>1.0019173696641117</v>
      </c>
      <c r="BH105" s="1080">
        <f t="shared" si="75"/>
        <v>1.2782367967419698E-3</v>
      </c>
      <c r="BI105" s="11">
        <v>44287</v>
      </c>
      <c r="BJ105" s="801">
        <v>2.1390339133381625E-4</v>
      </c>
      <c r="BK105" s="801">
        <v>5.6274160281864175E-4</v>
      </c>
      <c r="BL105" s="801">
        <v>8.8666399619835633E-4</v>
      </c>
      <c r="BM105" s="801">
        <v>1.2781920973611784E-3</v>
      </c>
      <c r="BN105" s="801">
        <v>2.4589664844377455E-3</v>
      </c>
      <c r="BO105" s="802">
        <v>5.6260175230167233E-3</v>
      </c>
      <c r="BP105" s="801">
        <v>1.323106637683664E-2</v>
      </c>
      <c r="BQ105" s="801">
        <v>2.7157091581266501E-2</v>
      </c>
      <c r="BR105" s="801">
        <v>4.9405812011489469E-2</v>
      </c>
      <c r="BS105" s="801">
        <v>7.9442235075393067E-2</v>
      </c>
      <c r="BT105" s="801">
        <v>0.11466779589927156</v>
      </c>
      <c r="BW105" s="1136">
        <f>'2018'!R\Max</f>
        <v>0</v>
      </c>
      <c r="BX105" s="1134">
        <f>'2019'!R\Max</f>
        <v>0.78085367219705915</v>
      </c>
      <c r="BY105" s="1134">
        <f>'2020'!R\Max</f>
        <v>0.84385074673509641</v>
      </c>
      <c r="BZ105" s="1134">
        <f>'2021'!R\Max</f>
        <v>0.8966599986127074</v>
      </c>
      <c r="CA105" s="1134">
        <f>'2022'!R\Max</f>
        <v>0.63818499963633379</v>
      </c>
      <c r="CB105" s="1134">
        <f>'2023'!R\Max</f>
        <v>0.6380967942904896</v>
      </c>
      <c r="CC105" s="1134">
        <f>'2024'!R\Max</f>
        <v>0.63800474572105204</v>
      </c>
      <c r="CD105" s="1134">
        <f>'2025'!R\Max</f>
        <v>0.63829038995641507</v>
      </c>
      <c r="CE105" s="1134">
        <f>'2026'!R\Max</f>
        <v>0.63827670074921528</v>
      </c>
      <c r="CF105" s="1135">
        <f>'2027'!R\Max</f>
        <v>0.63826296227428236</v>
      </c>
    </row>
    <row r="106" spans="1:84" s="6" customFormat="1" ht="11.25" x14ac:dyDescent="0.2">
      <c r="A106" s="11">
        <v>43192</v>
      </c>
      <c r="B106" s="380">
        <f>'2023'!Maxi_hp</f>
        <v>44.480418756560418</v>
      </c>
      <c r="C106" s="85">
        <f>'2023'!An_max</f>
        <v>2020</v>
      </c>
      <c r="D106" s="1087" t="str">
        <f t="shared" si="59"/>
        <v/>
      </c>
      <c r="E106" s="835">
        <f>T$13/10</f>
        <v>55.356999999999992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836">
        <f t="shared" si="62"/>
        <v>1</v>
      </c>
      <c r="J106" s="827">
        <f t="shared" si="63"/>
        <v>55.357000001519921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836">
        <f t="shared" si="67"/>
        <v>0</v>
      </c>
      <c r="AT106" s="853">
        <f t="shared" si="68"/>
        <v>55.35700000077486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836">
        <f t="shared" si="72"/>
        <v>0.5</v>
      </c>
      <c r="AY106" s="853">
        <f t="shared" si="73"/>
        <v>55.123062500543895</v>
      </c>
      <c r="AZ106" s="827">
        <f t="shared" si="77"/>
        <v>55.240031250659378</v>
      </c>
      <c r="BA106" s="660">
        <f t="shared" si="74"/>
        <v>0.80351931563016654</v>
      </c>
      <c r="BB106" s="655">
        <v>43192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924">
        <f>1+[2]!Salcycl*Ksac</f>
        <v>1.002061809520715</v>
      </c>
      <c r="BH106" s="1080">
        <f t="shared" si="75"/>
        <v>1.238701024555806E-3</v>
      </c>
      <c r="BI106" s="11">
        <v>44288</v>
      </c>
      <c r="BJ106" s="801">
        <v>1.8150104167696514E-4</v>
      </c>
      <c r="BK106" s="801">
        <v>5.3287978293001985E-4</v>
      </c>
      <c r="BL106" s="801">
        <v>8.5671940439439268E-4</v>
      </c>
      <c r="BM106" s="801">
        <v>1.2386576632640231E-3</v>
      </c>
      <c r="BN106" s="801">
        <v>2.3840852244832746E-3</v>
      </c>
      <c r="BO106" s="802">
        <v>5.4811043248858401E-3</v>
      </c>
      <c r="BP106" s="801">
        <v>1.2923534180432752E-2</v>
      </c>
      <c r="BQ106" s="801">
        <v>2.6622358200264009E-2</v>
      </c>
      <c r="BR106" s="801">
        <v>4.8629594644121255E-2</v>
      </c>
      <c r="BS106" s="801">
        <v>7.8628402086496726E-2</v>
      </c>
      <c r="BT106" s="801">
        <v>0.11400801417036333</v>
      </c>
      <c r="BW106" s="1136">
        <f>'2018'!R\Max</f>
        <v>0</v>
      </c>
      <c r="BX106" s="1134">
        <f>'2019'!R\Max</f>
        <v>0.31015147138541016</v>
      </c>
      <c r="BY106" s="1134">
        <f>'2020'!R\Max</f>
        <v>0.80351931563016654</v>
      </c>
      <c r="BZ106" s="1134">
        <f>'2021'!R\Max</f>
        <v>0.77596633309323504</v>
      </c>
      <c r="CA106" s="1134">
        <f>'2022'!R\Max</f>
        <v>0.38996106271230246</v>
      </c>
      <c r="CB106" s="1134">
        <f>'2023'!R\Max</f>
        <v>0.38987231551707685</v>
      </c>
      <c r="CC106" s="1134">
        <f>'2024'!R\Max</f>
        <v>0.38977951782846049</v>
      </c>
      <c r="CD106" s="1134">
        <f>'2025'!R\Max</f>
        <v>0.39006698595189476</v>
      </c>
      <c r="CE106" s="1134">
        <f>'2026'!R\Max</f>
        <v>0.39005332879365529</v>
      </c>
      <c r="CF106" s="1135">
        <f>'2027'!R\Max</f>
        <v>0.39003957301902609</v>
      </c>
    </row>
    <row r="107" spans="1:84" s="6" customFormat="1" ht="11.25" x14ac:dyDescent="0.2">
      <c r="A107" s="11">
        <v>43193</v>
      </c>
      <c r="B107" s="380">
        <f>'2023'!Maxi_hp</f>
        <v>52.947397962650761</v>
      </c>
      <c r="C107" s="85">
        <f>'2023'!An_max</f>
        <v>2021</v>
      </c>
      <c r="D107" s="1087" t="str">
        <f t="shared" si="59"/>
        <v/>
      </c>
      <c r="E107" s="747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836">
        <f t="shared" si="62"/>
        <v>0.9285714285714286</v>
      </c>
      <c r="J107" s="827">
        <f t="shared" si="63"/>
        <v>55.560120354007395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836">
        <f t="shared" si="67"/>
        <v>3.5714285714285712E-2</v>
      </c>
      <c r="AT107" s="853">
        <f t="shared" si="68"/>
        <v>55.558038357033261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836">
        <f t="shared" si="72"/>
        <v>0.4642857142857143</v>
      </c>
      <c r="AY107" s="853">
        <f t="shared" si="73"/>
        <v>55.332917934669446</v>
      </c>
      <c r="AZ107" s="827">
        <f t="shared" si="77"/>
        <v>55.445478145851354</v>
      </c>
      <c r="BA107" s="660">
        <f t="shared" si="74"/>
        <v>0.95297486084066441</v>
      </c>
      <c r="BB107" s="655">
        <v>43193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924">
        <f>1+[2]!Salcycl*Ksac</f>
        <v>1.0022161495134647</v>
      </c>
      <c r="BH107" s="1080">
        <f t="shared" si="75"/>
        <v>1.2156876894515495E-3</v>
      </c>
      <c r="BI107" s="11">
        <v>44289</v>
      </c>
      <c r="BJ107" s="801">
        <v>1.5243141049763143E-4</v>
      </c>
      <c r="BK107" s="801">
        <v>5.1040066624648717E-4</v>
      </c>
      <c r="BL107" s="801">
        <v>8.3858645856708838E-4</v>
      </c>
      <c r="BM107" s="801">
        <v>1.215645582734101E-3</v>
      </c>
      <c r="BN107" s="801">
        <v>2.3279324333986004E-3</v>
      </c>
      <c r="BO107" s="802">
        <v>5.3610200078541672E-3</v>
      </c>
      <c r="BP107" s="801">
        <v>1.2641129581976517E-2</v>
      </c>
      <c r="BQ107" s="801">
        <v>2.6109674395576234E-2</v>
      </c>
      <c r="BR107" s="801">
        <v>4.7863484088469473E-2</v>
      </c>
      <c r="BS107" s="801">
        <v>7.7823423621402696E-2</v>
      </c>
      <c r="BT107" s="801">
        <v>0.11336597865353124</v>
      </c>
      <c r="BW107" s="1136">
        <f>'2018'!R\Max</f>
        <v>0</v>
      </c>
      <c r="BX107" s="1134">
        <f>'2019'!R\Max</f>
        <v>0.2769583726503892</v>
      </c>
      <c r="BY107" s="1134">
        <f>'2020'!R\Max</f>
        <v>0.46244873426724953</v>
      </c>
      <c r="BZ107" s="1134">
        <f>'2021'!R\Max</f>
        <v>0.95297486084066441</v>
      </c>
      <c r="CA107" s="1134">
        <f>'2022'!R\Max</f>
        <v>0.49627401119457265</v>
      </c>
      <c r="CB107" s="1134">
        <f>'2023'!R\Max</f>
        <v>0.49618293436106325</v>
      </c>
      <c r="CC107" s="1134">
        <f>'2024'!R\Max</f>
        <v>0.49608747686866372</v>
      </c>
      <c r="CD107" s="1134">
        <f>'2025'!R\Max</f>
        <v>0.49638276200938269</v>
      </c>
      <c r="CE107" s="1134">
        <f>'2026'!R\Max</f>
        <v>0.49636885011456011</v>
      </c>
      <c r="CF107" s="1135">
        <f>'2027'!R\Max</f>
        <v>0.49635478350365209</v>
      </c>
    </row>
    <row r="108" spans="1:84" s="6" customFormat="1" ht="11.25" x14ac:dyDescent="0.2">
      <c r="A108" s="11">
        <v>43194</v>
      </c>
      <c r="B108" s="380">
        <f>'2023'!Maxi_hp</f>
        <v>55.741875297523443</v>
      </c>
      <c r="C108" s="85">
        <f>'2023'!An_max</f>
        <v>2020</v>
      </c>
      <c r="D108" s="1087">
        <f t="shared" si="59"/>
        <v>0.99976938390177916</v>
      </c>
      <c r="E108" s="747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836">
        <f t="shared" si="62"/>
        <v>0.8571428571428571</v>
      </c>
      <c r="J108" s="827">
        <f t="shared" si="63"/>
        <v>55.754733236559801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836">
        <f t="shared" si="67"/>
        <v>7.1428571428571425E-2</v>
      </c>
      <c r="AT108" s="853">
        <f t="shared" si="68"/>
        <v>55.753153790267461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836">
        <f t="shared" si="72"/>
        <v>0.42857142857142855</v>
      </c>
      <c r="AY108" s="853">
        <f t="shared" si="73"/>
        <v>55.538492711899536</v>
      </c>
      <c r="AZ108" s="827">
        <f t="shared" si="77"/>
        <v>55.645823251083499</v>
      </c>
      <c r="BA108" s="660">
        <f t="shared" si="74"/>
        <v>0.99976938390177916</v>
      </c>
      <c r="BB108" s="655">
        <v>43194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924">
        <f>1+[2]!Salcycl*Ksac</f>
        <v>1.0023807277868975</v>
      </c>
      <c r="BH108" s="1080">
        <f t="shared" si="75"/>
        <v>1.2266993620612236E-3</v>
      </c>
      <c r="BI108" s="11">
        <v>44290</v>
      </c>
      <c r="BJ108" s="801">
        <v>1.281073410418383E-4</v>
      </c>
      <c r="BK108" s="801">
        <v>5.0088116599744539E-4</v>
      </c>
      <c r="BL108" s="801">
        <v>8.4314604280860477E-4</v>
      </c>
      <c r="BM108" s="801">
        <v>1.2266582259415116E-3</v>
      </c>
      <c r="BN108" s="801">
        <v>2.3133058635518341E-3</v>
      </c>
      <c r="BO108" s="802">
        <v>5.2927806488843572E-3</v>
      </c>
      <c r="BP108" s="801">
        <v>1.2417826464162082E-2</v>
      </c>
      <c r="BQ108" s="801">
        <v>2.5658648245052231E-2</v>
      </c>
      <c r="BR108" s="801">
        <v>4.7148926308166299E-2</v>
      </c>
      <c r="BS108" s="801">
        <v>7.7048856608517111E-2</v>
      </c>
      <c r="BT108" s="801">
        <v>0.11272597550480801</v>
      </c>
      <c r="BW108" s="1136">
        <f>'2018'!R\Max</f>
        <v>0</v>
      </c>
      <c r="BX108" s="1134">
        <f>'2019'!R\Max</f>
        <v>0.73671397292977414</v>
      </c>
      <c r="BY108" s="1134">
        <f>'2020'!R\Max</f>
        <v>0.99976938390177916</v>
      </c>
      <c r="BZ108" s="1134">
        <f>'2021'!R\Max</f>
        <v>0.96392739228138113</v>
      </c>
      <c r="CA108" s="1134">
        <f>'2022'!R\Max</f>
        <v>0.86751268220227695</v>
      </c>
      <c r="CB108" s="1134">
        <f>'2023'!R\Max</f>
        <v>0.86747175111164554</v>
      </c>
      <c r="CC108" s="1134">
        <f>'2024'!R\Max</f>
        <v>0.86742874061438124</v>
      </c>
      <c r="CD108" s="1134">
        <f>'2025'!R\Max</f>
        <v>0.86756172501831919</v>
      </c>
      <c r="CE108" s="1134">
        <f>'2026'!R\Max</f>
        <v>0.8675554866702212</v>
      </c>
      <c r="CF108" s="1135">
        <f>'2027'!R\Max</f>
        <v>0.86754915335124472</v>
      </c>
    </row>
    <row r="109" spans="1:84" s="6" customFormat="1" ht="11.25" x14ac:dyDescent="0.2">
      <c r="A109" s="11">
        <v>43195</v>
      </c>
      <c r="B109" s="380">
        <f>'2023'!Maxi_hp</f>
        <v>58.256884739736201</v>
      </c>
      <c r="C109" s="85">
        <f>'2023'!An_max</f>
        <v>2020</v>
      </c>
      <c r="D109" s="1087">
        <f t="shared" si="59"/>
        <v>1.0413916811314192</v>
      </c>
      <c r="E109" s="747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836">
        <f t="shared" si="62"/>
        <v>0.7857142857142857</v>
      </c>
      <c r="J109" s="827">
        <f t="shared" si="63"/>
        <v>55.941377096889276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836">
        <f t="shared" si="67"/>
        <v>0.10714285714285714</v>
      </c>
      <c r="AT109" s="853">
        <f t="shared" si="68"/>
        <v>55.94245399063719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836">
        <f t="shared" si="72"/>
        <v>0.39285714285714285</v>
      </c>
      <c r="AY109" s="853">
        <f t="shared" si="73"/>
        <v>55.739652218283823</v>
      </c>
      <c r="AZ109" s="827">
        <f t="shared" si="77"/>
        <v>55.841053104460507</v>
      </c>
      <c r="BA109" s="660">
        <f t="shared" si="74"/>
        <v>1.0413916811314192</v>
      </c>
      <c r="BB109" s="655">
        <v>43195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924">
        <f>1+[2]!Salcycl*Ksac</f>
        <v>1.0025558732222006</v>
      </c>
      <c r="BH109" s="1080">
        <f t="shared" si="75"/>
        <v>1.267142183710748E-3</v>
      </c>
      <c r="BI109" s="11">
        <v>44291</v>
      </c>
      <c r="BJ109" s="801">
        <v>1.0692744806346284E-4</v>
      </c>
      <c r="BK109" s="801">
        <v>5.0183693983979092E-4</v>
      </c>
      <c r="BL109" s="801">
        <v>8.6695842737814657E-4</v>
      </c>
      <c r="BM109" s="801">
        <v>1.2671017593492665E-3</v>
      </c>
      <c r="BN109" s="801">
        <v>2.3349476625019417E-3</v>
      </c>
      <c r="BO109" s="802">
        <v>5.2679368263550816E-3</v>
      </c>
      <c r="BP109" s="801">
        <v>1.2246575895934008E-2</v>
      </c>
      <c r="BQ109" s="801">
        <v>2.5264773072625247E-2</v>
      </c>
      <c r="BR109" s="801">
        <v>4.6480296956351141E-2</v>
      </c>
      <c r="BS109" s="801">
        <v>7.6287514549874647E-2</v>
      </c>
      <c r="BT109" s="801">
        <v>0.11205126839753835</v>
      </c>
      <c r="BW109" s="1136">
        <f>'2018'!R\Max</f>
        <v>0</v>
      </c>
      <c r="BX109" s="1134">
        <f>'2019'!R\Max</f>
        <v>0.92779895727148676</v>
      </c>
      <c r="BY109" s="1134">
        <f>'2020'!R\Max</f>
        <v>1.0413916811314192</v>
      </c>
      <c r="BZ109" s="1134">
        <f>'2021'!R\Max</f>
        <v>0.9463717859404337</v>
      </c>
      <c r="CA109" s="1134">
        <f>'2022'!R\Max</f>
        <v>0.99656150721755288</v>
      </c>
      <c r="CB109" s="1134">
        <f>'2023'!R\Max</f>
        <v>0.99656031321450478</v>
      </c>
      <c r="CC109" s="1134">
        <f>'2024'!R\Max</f>
        <v>0.99655905551085699</v>
      </c>
      <c r="CD109" s="1134">
        <f>'2025'!R\Max</f>
        <v>0.99656294634486309</v>
      </c>
      <c r="CE109" s="1134">
        <f>'2026'!R\Max</f>
        <v>0.9965627637872998</v>
      </c>
      <c r="CF109" s="1135">
        <f>'2027'!R\Max</f>
        <v>0.99656257768793743</v>
      </c>
    </row>
    <row r="110" spans="1:84" s="6" customFormat="1" ht="11.25" x14ac:dyDescent="0.2">
      <c r="A110" s="11">
        <v>43196</v>
      </c>
      <c r="B110" s="380">
        <f>'2023'!Maxi_hp</f>
        <v>57.685469912803519</v>
      </c>
      <c r="C110" s="85">
        <f>'2023'!An_max</f>
        <v>2020</v>
      </c>
      <c r="D110" s="1087">
        <f t="shared" si="59"/>
        <v>1.0278842314667778</v>
      </c>
      <c r="E110" s="747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836">
        <f t="shared" si="62"/>
        <v>0.7142857142857143</v>
      </c>
      <c r="J110" s="827">
        <f t="shared" si="63"/>
        <v>56.12059038057923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836">
        <f t="shared" si="67"/>
        <v>0.14285714285714285</v>
      </c>
      <c r="AT110" s="853">
        <f t="shared" si="68"/>
        <v>56.1260466478765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836">
        <f t="shared" si="72"/>
        <v>0.35714285714285715</v>
      </c>
      <c r="AY110" s="853">
        <f t="shared" si="73"/>
        <v>55.936261843437592</v>
      </c>
      <c r="AZ110" s="827">
        <f t="shared" si="77"/>
        <v>56.031154245657049</v>
      </c>
      <c r="BA110" s="660">
        <f t="shared" si="74"/>
        <v>1.0278842314667778</v>
      </c>
      <c r="BB110" s="655">
        <v>43196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924">
        <f>1+[2]!Salcycl*Ksac</f>
        <v>1.0027419047516228</v>
      </c>
      <c r="BH110" s="1080">
        <f t="shared" si="75"/>
        <v>1.3370079794505869E-3</v>
      </c>
      <c r="BI110" s="11">
        <v>44292</v>
      </c>
      <c r="BJ110" s="801">
        <v>8.8891224065601956E-5</v>
      </c>
      <c r="BK110" s="801">
        <v>5.1326524965755705E-4</v>
      </c>
      <c r="BL110" s="801">
        <v>9.100182892138875E-4</v>
      </c>
      <c r="BM110" s="801">
        <v>1.3369680080742498E-3</v>
      </c>
      <c r="BN110" s="801">
        <v>2.3928479008076802E-3</v>
      </c>
      <c r="BO110" s="802">
        <v>5.2864765703965503E-3</v>
      </c>
      <c r="BP110" s="801">
        <v>1.2127363584050503E-2</v>
      </c>
      <c r="BQ110" s="801">
        <v>2.4928032248294305E-2</v>
      </c>
      <c r="BR110" s="801">
        <v>4.5857579141536021E-2</v>
      </c>
      <c r="BS110" s="801">
        <v>7.5539380227561029E-2</v>
      </c>
      <c r="BT110" s="801">
        <v>0.11134183908056394</v>
      </c>
      <c r="BW110" s="1136">
        <f>'2018'!R\Max</f>
        <v>0</v>
      </c>
      <c r="BX110" s="1134">
        <f>'2019'!R\Max</f>
        <v>0.34224960685855155</v>
      </c>
      <c r="BY110" s="1134">
        <f>'2020'!R\Max</f>
        <v>1.0278842314667778</v>
      </c>
      <c r="BZ110" s="1134">
        <f>'2021'!R\Max</f>
        <v>0.53411465861090923</v>
      </c>
      <c r="CA110" s="1134">
        <f>'2022'!R\Max</f>
        <v>0.2332605889875691</v>
      </c>
      <c r="CB110" s="1134">
        <f>'2023'!R\Max</f>
        <v>0.23320486867287407</v>
      </c>
      <c r="CC110" s="1134">
        <f>'2024'!R\Max</f>
        <v>0.23314606651149963</v>
      </c>
      <c r="CD110" s="1134">
        <f>'2025'!R\Max</f>
        <v>0.23332834927287321</v>
      </c>
      <c r="CE110" s="1134">
        <f>'2026'!R\Max</f>
        <v>0.2333197489320423</v>
      </c>
      <c r="CF110" s="1135">
        <f>'2027'!R\Max</f>
        <v>0.23331094635324129</v>
      </c>
    </row>
    <row r="111" spans="1:84" s="6" customFormat="1" ht="11.25" x14ac:dyDescent="0.2">
      <c r="A111" s="11">
        <v>43197</v>
      </c>
      <c r="B111" s="380">
        <f>'2023'!Maxi_hp</f>
        <v>56.268394657199678</v>
      </c>
      <c r="C111" s="85">
        <f>'2023'!An_max</f>
        <v>2021</v>
      </c>
      <c r="D111" s="1087">
        <f t="shared" si="59"/>
        <v>0.9995644766531141</v>
      </c>
      <c r="E111" s="747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836">
        <f t="shared" si="62"/>
        <v>0.6428571428571429</v>
      </c>
      <c r="J111" s="827">
        <f t="shared" si="63"/>
        <v>56.29291153443711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836">
        <f t="shared" si="67"/>
        <v>0.17857142857142858</v>
      </c>
      <c r="AT111" s="853">
        <f t="shared" si="68"/>
        <v>56.304039450495374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836">
        <f t="shared" si="72"/>
        <v>0.32142857142857145</v>
      </c>
      <c r="AY111" s="853">
        <f t="shared" si="73"/>
        <v>56.128186975965015</v>
      </c>
      <c r="AZ111" s="827">
        <f t="shared" si="77"/>
        <v>56.216113213230194</v>
      </c>
      <c r="BA111" s="660">
        <f t="shared" si="74"/>
        <v>0.9995644766531141</v>
      </c>
      <c r="BB111" s="655">
        <v>43197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924">
        <f>1+[2]!Salcycl*Ksac</f>
        <v>1.0029391306977662</v>
      </c>
      <c r="BH111" s="1080">
        <f t="shared" si="75"/>
        <v>1.4362876443654239E-3</v>
      </c>
      <c r="BI111" s="11">
        <v>44293</v>
      </c>
      <c r="BJ111" s="801">
        <v>7.3998095026863526E-5</v>
      </c>
      <c r="BK111" s="801">
        <v>5.3516304361992458E-4</v>
      </c>
      <c r="BL111" s="801">
        <v>9.7231970029709681E-4</v>
      </c>
      <c r="BM111" s="801">
        <v>1.4362478672743783E-3</v>
      </c>
      <c r="BN111" s="801">
        <v>2.4869955391190182E-3</v>
      </c>
      <c r="BO111" s="802">
        <v>5.3483866478162348E-3</v>
      </c>
      <c r="BP111" s="801">
        <v>1.206017390052478E-2</v>
      </c>
      <c r="BQ111" s="801">
        <v>2.4648407938624061E-2</v>
      </c>
      <c r="BR111" s="801">
        <v>4.5280755451878117E-2</v>
      </c>
      <c r="BS111" s="801">
        <v>7.4804436990553114E-2</v>
      </c>
      <c r="BT111" s="801">
        <v>0.11059767117860618</v>
      </c>
      <c r="BW111" s="1136">
        <f>'2018'!R\Max</f>
        <v>0</v>
      </c>
      <c r="BX111" s="1134">
        <f>'2019'!R\Max</f>
        <v>0.66553308144982459</v>
      </c>
      <c r="BY111" s="1134">
        <f>'2020'!R\Max</f>
        <v>0.49585238914962471</v>
      </c>
      <c r="BZ111" s="1134">
        <f>'2021'!R\Max</f>
        <v>0.9995644766531141</v>
      </c>
      <c r="CA111" s="1134">
        <f>'2022'!R\Max</f>
        <v>0.7662301298432489</v>
      </c>
      <c r="CB111" s="1134">
        <f>'2023'!R\Max</f>
        <v>0.76617018806900161</v>
      </c>
      <c r="CC111" s="1134">
        <f>'2024'!R\Max</f>
        <v>0.76610676099033526</v>
      </c>
      <c r="CD111" s="1134">
        <f>'2025'!R\Max</f>
        <v>0.76630378837448487</v>
      </c>
      <c r="CE111" s="1134">
        <f>'2026'!R\Max</f>
        <v>0.76629440916767066</v>
      </c>
      <c r="CF111" s="1135">
        <f>'2027'!R\Max</f>
        <v>0.76628477013644114</v>
      </c>
    </row>
    <row r="112" spans="1:84" s="6" customFormat="1" ht="11.25" x14ac:dyDescent="0.2">
      <c r="A112" s="11">
        <v>43198</v>
      </c>
      <c r="B112" s="380">
        <f>'2023'!Maxi_hp</f>
        <v>56.211155978326396</v>
      </c>
      <c r="C112" s="85">
        <f>'2023'!An_max</f>
        <v>2021</v>
      </c>
      <c r="D112" s="1087">
        <f t="shared" si="59"/>
        <v>0.99561232821470236</v>
      </c>
      <c r="E112" s="747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836">
        <f t="shared" si="62"/>
        <v>0.5714285714285714</v>
      </c>
      <c r="J112" s="827">
        <f t="shared" si="63"/>
        <v>56.458879008782766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836">
        <f t="shared" si="67"/>
        <v>0.21428571428571427</v>
      </c>
      <c r="AT112" s="853">
        <f t="shared" si="68"/>
        <v>56.476540087323102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836">
        <f t="shared" si="72"/>
        <v>0.2857142857142857</v>
      </c>
      <c r="AY112" s="853">
        <f t="shared" si="73"/>
        <v>56.315293002873659</v>
      </c>
      <c r="AZ112" s="827">
        <f t="shared" si="77"/>
        <v>56.39591654509838</v>
      </c>
      <c r="BA112" s="660">
        <f t="shared" si="74"/>
        <v>0.99561232821470236</v>
      </c>
      <c r="BB112" s="655">
        <v>43198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924">
        <f>1+[2]!Salcycl*Ksac</f>
        <v>1.003147848132758</v>
      </c>
      <c r="BH112" s="1080">
        <f t="shared" si="75"/>
        <v>1.5649710491952718E-3</v>
      </c>
      <c r="BI112" s="11">
        <v>44294</v>
      </c>
      <c r="BJ112" s="801">
        <v>6.2247410331522696E-5</v>
      </c>
      <c r="BK112" s="801">
        <v>5.6752692259559882E-4</v>
      </c>
      <c r="BL112" s="801">
        <v>1.053856065913821E-3</v>
      </c>
      <c r="BM112" s="801">
        <v>1.5649312077705389E-3</v>
      </c>
      <c r="BN112" s="801">
        <v>2.6173783118798332E-3</v>
      </c>
      <c r="BO112" s="802">
        <v>5.4536524229506396E-3</v>
      </c>
      <c r="BP112" s="801">
        <v>1.2044989715734712E-2</v>
      </c>
      <c r="BQ112" s="801">
        <v>2.4425880923503712E-2</v>
      </c>
      <c r="BR112" s="801">
        <v>4.4749807807860587E-2</v>
      </c>
      <c r="BS112" s="801">
        <v>7.4082668712017116E-2</v>
      </c>
      <c r="BT112" s="801">
        <v>0.10981875030284854</v>
      </c>
      <c r="BW112" s="1136">
        <f>'2018'!R\Max</f>
        <v>0</v>
      </c>
      <c r="BX112" s="1134">
        <f>'2019'!R\Max</f>
        <v>0.61964215098762931</v>
      </c>
      <c r="BY112" s="1134">
        <f>'2020'!R\Max</f>
        <v>0.64484330196392359</v>
      </c>
      <c r="BZ112" s="1134">
        <f>'2021'!R\Max</f>
        <v>0.99561232821470236</v>
      </c>
      <c r="CA112" s="1134">
        <f>'2022'!R\Max</f>
        <v>0.61990783731385357</v>
      </c>
      <c r="CB112" s="1134">
        <f>'2023'!R\Max</f>
        <v>0.61983042791416787</v>
      </c>
      <c r="CC112" s="1134">
        <f>'2024'!R\Max</f>
        <v>0.61974833301493315</v>
      </c>
      <c r="CD112" s="1134">
        <f>'2025'!R\Max</f>
        <v>0.6200042370692922</v>
      </c>
      <c r="CE112" s="1134">
        <f>'2026'!R\Max</f>
        <v>0.61999188134089345</v>
      </c>
      <c r="CF112" s="1135">
        <f>'2027'!R\Max</f>
        <v>0.61997913409966088</v>
      </c>
    </row>
    <row r="113" spans="1:84" s="6" customFormat="1" ht="11.25" x14ac:dyDescent="0.2">
      <c r="A113" s="11">
        <v>43199</v>
      </c>
      <c r="B113" s="380">
        <f>'2023'!Maxi_hp</f>
        <v>45.992596170964376</v>
      </c>
      <c r="C113" s="85">
        <f>'2023'!An_max</f>
        <v>2019</v>
      </c>
      <c r="D113" s="1087" t="str">
        <f t="shared" si="59"/>
        <v/>
      </c>
      <c r="E113" s="747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836">
        <f t="shared" si="62"/>
        <v>0.5</v>
      </c>
      <c r="J113" s="827">
        <f t="shared" si="63"/>
        <v>56.619031250476837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836">
        <f t="shared" si="67"/>
        <v>0.25</v>
      </c>
      <c r="AT113" s="853">
        <f t="shared" si="68"/>
        <v>56.643656249903145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836">
        <f t="shared" si="72"/>
        <v>0.25</v>
      </c>
      <c r="AY113" s="853">
        <f t="shared" si="73"/>
        <v>56.497445311676714</v>
      </c>
      <c r="AZ113" s="827">
        <f t="shared" si="77"/>
        <v>56.570550780789929</v>
      </c>
      <c r="BA113" s="660">
        <f t="shared" si="74"/>
        <v>0.81231690396640321</v>
      </c>
      <c r="BB113" s="655">
        <v>43199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924">
        <f>1+[2]!Salcycl*Ksac</f>
        <v>1.0033683422520565</v>
      </c>
      <c r="BH113" s="1080">
        <f t="shared" si="75"/>
        <v>1.723046945945236E-3</v>
      </c>
      <c r="BI113" s="11">
        <v>44295</v>
      </c>
      <c r="BJ113" s="801">
        <v>5.3638432698756495E-5</v>
      </c>
      <c r="BK113" s="801">
        <v>6.1035310656271915E-4</v>
      </c>
      <c r="BL113" s="801">
        <v>1.1546200629088111E-3</v>
      </c>
      <c r="BM113" s="801">
        <v>1.7230067816571843E-3</v>
      </c>
      <c r="BN113" s="801">
        <v>2.7839826110097961E-3</v>
      </c>
      <c r="BO113" s="802">
        <v>5.602257718470241E-3</v>
      </c>
      <c r="BP113" s="801">
        <v>1.2081792231423848E-2</v>
      </c>
      <c r="BQ113" s="801">
        <v>2.4260430412681871E-2</v>
      </c>
      <c r="BR113" s="801">
        <v>4.4264717314561351E-2</v>
      </c>
      <c r="BS113" s="801">
        <v>7.3374059745929851E-2</v>
      </c>
      <c r="BT113" s="801">
        <v>0.10900506416052402</v>
      </c>
      <c r="BW113" s="1136">
        <f>'2018'!R\Max</f>
        <v>0</v>
      </c>
      <c r="BX113" s="1134">
        <f>'2019'!R\Max</f>
        <v>0.81231690396640321</v>
      </c>
      <c r="BY113" s="1134">
        <f>'2020'!R\Max</f>
        <v>0.75371336098785113</v>
      </c>
      <c r="BZ113" s="1134">
        <f>'2021'!R\Max</f>
        <v>0.59909496459033662</v>
      </c>
      <c r="CA113" s="1134">
        <f>'2022'!R\Max</f>
        <v>0.6747533778963738</v>
      </c>
      <c r="CB113" s="1134">
        <f>'2023'!R\Max</f>
        <v>0.67468250077301162</v>
      </c>
      <c r="CC113" s="1134">
        <f>'2024'!R\Max</f>
        <v>0.67460715547830918</v>
      </c>
      <c r="CD113" s="1134">
        <f>'2025'!R\Max</f>
        <v>0.67484303092655695</v>
      </c>
      <c r="CE113" s="1134">
        <f>'2026'!R\Max</f>
        <v>0.67483143005053448</v>
      </c>
      <c r="CF113" s="1135">
        <f>'2027'!R\Max</f>
        <v>0.67481941756483821</v>
      </c>
    </row>
    <row r="114" spans="1:84" s="6" customFormat="1" ht="11.25" x14ac:dyDescent="0.2">
      <c r="A114" s="11">
        <v>43200</v>
      </c>
      <c r="B114" s="380">
        <f>'2023'!Maxi_hp</f>
        <v>58.418678511810597</v>
      </c>
      <c r="C114" s="85">
        <f>'2023'!An_max</f>
        <v>2023</v>
      </c>
      <c r="D114" s="1087">
        <f t="shared" si="59"/>
        <v>1.0289705588508633</v>
      </c>
      <c r="E114" s="747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836">
        <f t="shared" si="62"/>
        <v>0.42857142857142855</v>
      </c>
      <c r="J114" s="827">
        <f t="shared" si="63"/>
        <v>56.773906706379989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836">
        <f t="shared" si="67"/>
        <v>0.2857142857142857</v>
      </c>
      <c r="AT114" s="853">
        <f t="shared" si="68"/>
        <v>56.805495627224445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836">
        <f t="shared" si="72"/>
        <v>0.21428571428571427</v>
      </c>
      <c r="AY114" s="853">
        <f t="shared" si="73"/>
        <v>56.674509292947391</v>
      </c>
      <c r="AZ114" s="827">
        <f t="shared" si="77"/>
        <v>56.740002460085918</v>
      </c>
      <c r="BA114" s="660">
        <f t="shared" si="74"/>
        <v>1.0289705588508633</v>
      </c>
      <c r="BB114" s="655">
        <v>43200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924">
        <f>1+[2]!Salcycl*Ksac</f>
        <v>1.0036008857574896</v>
      </c>
      <c r="BH114" s="1080">
        <f t="shared" si="75"/>
        <v>1.9328057452375339E-3</v>
      </c>
      <c r="BI114" s="11">
        <v>44296</v>
      </c>
      <c r="BJ114" s="801">
        <v>4.9684398099394474E-5</v>
      </c>
      <c r="BK114" s="801">
        <v>6.7013309042791966E-4</v>
      </c>
      <c r="BL114" s="801">
        <v>1.2880128198007252E-3</v>
      </c>
      <c r="BM114" s="801">
        <v>1.9327645808590868E-3</v>
      </c>
      <c r="BN114" s="801">
        <v>3.0201586984063117E-3</v>
      </c>
      <c r="BO114" s="802">
        <v>5.8368911279931025E-3</v>
      </c>
      <c r="BP114" s="801">
        <v>1.2222461466049328E-2</v>
      </c>
      <c r="BQ114" s="801">
        <v>2.4212445847820323E-2</v>
      </c>
      <c r="BR114" s="801">
        <v>4.3896321542368229E-2</v>
      </c>
      <c r="BS114" s="801">
        <v>7.2751456084319224E-2</v>
      </c>
      <c r="BT114" s="801">
        <v>0.10822258737998205</v>
      </c>
      <c r="BW114" s="1136">
        <f>'2018'!R\Max</f>
        <v>0</v>
      </c>
      <c r="BX114" s="1134">
        <f>'2019'!R\Max</f>
        <v>0.77661126936314651</v>
      </c>
      <c r="BY114" s="1134">
        <f>'2020'!R\Max</f>
        <v>0.99462262171705762</v>
      </c>
      <c r="BZ114" s="1134">
        <f>'2021'!R\Max</f>
        <v>0.6098360457300851</v>
      </c>
      <c r="CA114" s="1134">
        <f>'2022'!R\Max</f>
        <v>1.0289705588508633</v>
      </c>
      <c r="CB114" s="1134">
        <f>'2023'!R\Max</f>
        <v>1.0289705588508633</v>
      </c>
      <c r="CC114" s="1134">
        <f>'2024'!R\Max</f>
        <v>1.0289705588508635</v>
      </c>
      <c r="CD114" s="1134">
        <f>'2025'!R\Max</f>
        <v>1.0289705588508635</v>
      </c>
      <c r="CE114" s="1134">
        <f>'2026'!R\Max</f>
        <v>1.0289705588508633</v>
      </c>
      <c r="CF114" s="1135">
        <f>'2027'!R\Max</f>
        <v>1.0289705588508635</v>
      </c>
    </row>
    <row r="115" spans="1:84" s="6" customFormat="1" ht="11.25" x14ac:dyDescent="0.2">
      <c r="A115" s="11">
        <v>43201</v>
      </c>
      <c r="B115" s="380">
        <f>'2023'!Maxi_hp</f>
        <v>56.926003902955259</v>
      </c>
      <c r="C115" s="85">
        <f>'2023'!An_max</f>
        <v>2020</v>
      </c>
      <c r="D115" s="1087">
        <f t="shared" si="59"/>
        <v>1.0000344332543809</v>
      </c>
      <c r="E115" s="747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836">
        <f t="shared" si="62"/>
        <v>0.35714285714285715</v>
      </c>
      <c r="J115" s="827">
        <f t="shared" si="63"/>
        <v>56.924043822873912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836">
        <f t="shared" si="67"/>
        <v>0.32142857142857145</v>
      </c>
      <c r="AT115" s="853">
        <f t="shared" si="68"/>
        <v>56.962165907663959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836">
        <f t="shared" si="72"/>
        <v>0.17857142857142858</v>
      </c>
      <c r="AY115" s="853">
        <f t="shared" si="73"/>
        <v>56.846350332708766</v>
      </c>
      <c r="AZ115" s="827">
        <f t="shared" si="77"/>
        <v>56.904258120186363</v>
      </c>
      <c r="BA115" s="660">
        <f t="shared" si="74"/>
        <v>1.0000344332543809</v>
      </c>
      <c r="BB115" s="655">
        <v>43201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924">
        <f>1+[2]!Salcycl*Ksac</f>
        <v>1.0038457382441059</v>
      </c>
      <c r="BH115" s="1080">
        <f t="shared" si="75"/>
        <v>2.1822995216465484E-3</v>
      </c>
      <c r="BI115" s="11">
        <v>44297</v>
      </c>
      <c r="BJ115" s="801">
        <v>4.8657127291659715E-5</v>
      </c>
      <c r="BK115" s="801">
        <v>7.4196484586487458E-4</v>
      </c>
      <c r="BL115" s="801">
        <v>1.4456510325623953E-3</v>
      </c>
      <c r="BM115" s="801">
        <v>2.1822567385802738E-3</v>
      </c>
      <c r="BN115" s="801">
        <v>3.3124099524150172E-3</v>
      </c>
      <c r="BO115" s="802">
        <v>6.1411387804863474E-3</v>
      </c>
      <c r="BP115" s="801">
        <v>1.2448871212023189E-2</v>
      </c>
      <c r="BQ115" s="801">
        <v>2.4264307867105078E-2</v>
      </c>
      <c r="BR115" s="801">
        <v>4.3639998667431672E-2</v>
      </c>
      <c r="BS115" s="801">
        <v>7.2222932000185314E-2</v>
      </c>
      <c r="BT115" s="801">
        <v>0.10748989006391409</v>
      </c>
      <c r="BW115" s="1136">
        <f>'2018'!R\Max</f>
        <v>0</v>
      </c>
      <c r="BX115" s="1134">
        <f>'2019'!R\Max</f>
        <v>0.15820223366100306</v>
      </c>
      <c r="BY115" s="1134">
        <f>'2020'!R\Max</f>
        <v>1.0000344332543809</v>
      </c>
      <c r="BZ115" s="1134">
        <f>'2021'!R\Max</f>
        <v>0.14506576941263097</v>
      </c>
      <c r="CA115" s="1134">
        <f>'2022'!R\Max</f>
        <v>0.8469026925343236</v>
      </c>
      <c r="CB115" s="1134">
        <f>'2023'!R\Max</f>
        <v>0.84686189754736385</v>
      </c>
      <c r="CC115" s="1134">
        <f>'2024'!R\Max</f>
        <v>0.84681834029003977</v>
      </c>
      <c r="CD115" s="1134">
        <f>'2025'!R\Max</f>
        <v>0.84695682608557799</v>
      </c>
      <c r="CE115" s="1134">
        <f>'2026'!R\Max</f>
        <v>0.84694952123855949</v>
      </c>
      <c r="CF115" s="1135">
        <f>'2027'!R\Max</f>
        <v>0.84694191799128948</v>
      </c>
    </row>
    <row r="116" spans="1:84" s="6" customFormat="1" ht="11.25" x14ac:dyDescent="0.2">
      <c r="A116" s="11">
        <v>43202</v>
      </c>
      <c r="B116" s="380">
        <f>'2023'!Maxi_hp</f>
        <v>56.893751444283453</v>
      </c>
      <c r="C116" s="85">
        <f>'2023'!An_max</f>
        <v>2019</v>
      </c>
      <c r="D116" s="1087">
        <f t="shared" si="59"/>
        <v>0.99691204373052911</v>
      </c>
      <c r="E116" s="747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836">
        <f t="shared" si="62"/>
        <v>0.2857142857142857</v>
      </c>
      <c r="J116" s="827">
        <f t="shared" si="63"/>
        <v>57.069981050065586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836">
        <f t="shared" si="67"/>
        <v>0.35714285714285715</v>
      </c>
      <c r="AT116" s="853">
        <f t="shared" si="68"/>
        <v>57.113774781088736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836">
        <f t="shared" si="72"/>
        <v>0.14285714285714285</v>
      </c>
      <c r="AY116" s="853">
        <f t="shared" si="73"/>
        <v>57.012833818527199</v>
      </c>
      <c r="AZ116" s="827">
        <f t="shared" si="77"/>
        <v>57.063304299807967</v>
      </c>
      <c r="BA116" s="660">
        <f t="shared" si="74"/>
        <v>0.99691204373052911</v>
      </c>
      <c r="BB116" s="655">
        <v>43202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924">
        <f>1+[2]!Salcycl*Ksac</f>
        <v>1.0041031455855052</v>
      </c>
      <c r="BH116" s="1080">
        <f t="shared" si="75"/>
        <v>2.471508843895528E-3</v>
      </c>
      <c r="BI116" s="11">
        <v>44298</v>
      </c>
      <c r="BJ116" s="801">
        <v>5.0555609819573195E-5</v>
      </c>
      <c r="BK116" s="801">
        <v>8.2584252931348012E-4</v>
      </c>
      <c r="BL116" s="801">
        <v>1.6275227005245667E-3</v>
      </c>
      <c r="BM116" s="801">
        <v>2.4714638238044974E-3</v>
      </c>
      <c r="BN116" s="801">
        <v>3.6607100605945977E-3</v>
      </c>
      <c r="BO116" s="802">
        <v>6.5149685103672453E-3</v>
      </c>
      <c r="BP116" s="801">
        <v>1.2760983200820248E-2</v>
      </c>
      <c r="BQ116" s="801">
        <v>2.4415972923208878E-2</v>
      </c>
      <c r="BR116" s="801">
        <v>4.3495700702667395E-2</v>
      </c>
      <c r="BS116" s="801">
        <v>7.178844183828445E-2</v>
      </c>
      <c r="BT116" s="801">
        <v>0.10680693448982174</v>
      </c>
      <c r="BW116" s="1136">
        <f>'2018'!R\Max</f>
        <v>0</v>
      </c>
      <c r="BX116" s="1134">
        <f>'2019'!R\Max</f>
        <v>0.99691204373052911</v>
      </c>
      <c r="BY116" s="1134">
        <f>'2020'!R\Max</f>
        <v>0.9845569449875845</v>
      </c>
      <c r="BZ116" s="1134">
        <f>'2021'!R\Max</f>
        <v>0.77795558904680129</v>
      </c>
      <c r="CA116" s="1134">
        <f>'2022'!R\Max</f>
        <v>4.7725941919067282E-2</v>
      </c>
      <c r="CB116" s="1134">
        <f>'2023'!R\Max</f>
        <v>4.7715526558836811E-2</v>
      </c>
      <c r="CC116" s="1134">
        <f>'2024'!R\Max</f>
        <v>4.7704388421806611E-2</v>
      </c>
      <c r="CD116" s="1134">
        <f>'2025'!R\Max</f>
        <v>4.7740202000476809E-2</v>
      </c>
      <c r="CE116" s="1134">
        <f>'2026'!R\Max</f>
        <v>4.7738218907485072E-2</v>
      </c>
      <c r="CF116" s="1135">
        <f>'2027'!R\Max</f>
        <v>4.7736152080869856E-2</v>
      </c>
    </row>
    <row r="117" spans="1:84" s="6" customFormat="1" ht="11.25" x14ac:dyDescent="0.2">
      <c r="A117" s="11">
        <v>43203</v>
      </c>
      <c r="B117" s="380">
        <f>'2023'!Maxi_hp</f>
        <v>58.336070770675065</v>
      </c>
      <c r="C117" s="85">
        <f>'2023'!An_max</f>
        <v>2019</v>
      </c>
      <c r="D117" s="1087">
        <f t="shared" si="59"/>
        <v>1.0196428877171881</v>
      </c>
      <c r="E117" s="747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836">
        <f t="shared" si="62"/>
        <v>0.21428571428571427</v>
      </c>
      <c r="J117" s="827">
        <f t="shared" si="63"/>
        <v>57.212256833644844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836">
        <f t="shared" si="67"/>
        <v>0.39285714285714285</v>
      </c>
      <c r="AT117" s="853">
        <f t="shared" si="68"/>
        <v>57.260429938483455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836">
        <f t="shared" si="72"/>
        <v>0.10714285714285714</v>
      </c>
      <c r="AY117" s="853">
        <f t="shared" si="73"/>
        <v>57.17382514117552</v>
      </c>
      <c r="AZ117" s="827">
        <f t="shared" si="77"/>
        <v>57.217127539829491</v>
      </c>
      <c r="BA117" s="660">
        <f t="shared" si="74"/>
        <v>1.0196428877171881</v>
      </c>
      <c r="BB117" s="655">
        <v>43203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924">
        <f>1+[2]!Salcycl*Ksac</f>
        <v>1.0043733393125169</v>
      </c>
      <c r="BH117" s="1080">
        <f t="shared" si="75"/>
        <v>2.8004123131213149E-3</v>
      </c>
      <c r="BI117" s="11">
        <v>44299</v>
      </c>
      <c r="BJ117" s="801">
        <v>5.5378715419698998E-5</v>
      </c>
      <c r="BK117" s="801">
        <v>9.2175970536661318E-4</v>
      </c>
      <c r="BL117" s="801">
        <v>1.8336146154100126E-3</v>
      </c>
      <c r="BM117" s="801">
        <v>2.8003644379568106E-3</v>
      </c>
      <c r="BN117" s="801">
        <v>4.0650300110151366E-3</v>
      </c>
      <c r="BO117" s="802">
        <v>6.9583448756216594E-3</v>
      </c>
      <c r="BP117" s="801">
        <v>1.3158755318116428E-2</v>
      </c>
      <c r="BQ117" s="801">
        <v>2.4667393259919707E-2</v>
      </c>
      <c r="BR117" s="801">
        <v>4.346337533635608E-2</v>
      </c>
      <c r="BS117" s="801">
        <v>7.1447936703223081E-2</v>
      </c>
      <c r="BT117" s="801">
        <v>0.10617368177749609</v>
      </c>
      <c r="BW117" s="1136">
        <f>'2018'!R\Max</f>
        <v>0</v>
      </c>
      <c r="BX117" s="1134">
        <f>'2019'!R\Max</f>
        <v>1.0196428877171881</v>
      </c>
      <c r="BY117" s="1134">
        <f>'2020'!R\Max</f>
        <v>0.77515656044145709</v>
      </c>
      <c r="BZ117" s="1134">
        <f>'2021'!R\Max</f>
        <v>0.90564564042125473</v>
      </c>
      <c r="CA117" s="1134">
        <f>'2022'!R\Max</f>
        <v>0</v>
      </c>
      <c r="CB117" s="1134">
        <f>'2023'!R\Max</f>
        <v>0</v>
      </c>
      <c r="CC117" s="1134">
        <f>'2024'!R\Max</f>
        <v>0</v>
      </c>
      <c r="CD117" s="1134">
        <f>'2025'!R\Max</f>
        <v>0</v>
      </c>
      <c r="CE117" s="1134">
        <f>'2026'!R\Max</f>
        <v>0</v>
      </c>
      <c r="CF117" s="1135">
        <f>'2027'!R\Max</f>
        <v>0</v>
      </c>
    </row>
    <row r="118" spans="1:84" s="6" customFormat="1" ht="11.25" x14ac:dyDescent="0.2">
      <c r="A118" s="11">
        <v>43204</v>
      </c>
      <c r="B118" s="380">
        <f>'2023'!Maxi_hp</f>
        <v>56.615625243922842</v>
      </c>
      <c r="C118" s="85">
        <f>'2023'!An_max</f>
        <v>2021</v>
      </c>
      <c r="D118" s="1087">
        <f t="shared" si="59"/>
        <v>0.98717059646564687</v>
      </c>
      <c r="E118" s="747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836">
        <f t="shared" si="62"/>
        <v>0.14285714285714285</v>
      </c>
      <c r="J118" s="827">
        <f t="shared" si="63"/>
        <v>57.351409621217421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836">
        <f t="shared" si="67"/>
        <v>0.42857142857142855</v>
      </c>
      <c r="AT118" s="853">
        <f t="shared" si="68"/>
        <v>57.402239067107438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836">
        <f t="shared" si="72"/>
        <v>7.1428571428571425E-2</v>
      </c>
      <c r="AY118" s="853">
        <f t="shared" si="73"/>
        <v>57.329189686876319</v>
      </c>
      <c r="AZ118" s="827">
        <f t="shared" si="77"/>
        <v>57.365714376991875</v>
      </c>
      <c r="BA118" s="660">
        <f t="shared" si="74"/>
        <v>0.98717059646564687</v>
      </c>
      <c r="BB118" s="655">
        <v>43204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924">
        <f>1+[2]!Salcycl*Ksac</f>
        <v>1.0046565359804172</v>
      </c>
      <c r="BH118" s="1080">
        <f t="shared" si="75"/>
        <v>3.1689864351807438E-3</v>
      </c>
      <c r="BI118" s="11">
        <v>44300</v>
      </c>
      <c r="BJ118" s="801">
        <v>6.3125184632918996E-5</v>
      </c>
      <c r="BK118" s="801">
        <v>1.029709308040439E-3</v>
      </c>
      <c r="BL118" s="801">
        <v>2.0639122834101783E-3</v>
      </c>
      <c r="BM118" s="801">
        <v>3.1689350872119537E-3</v>
      </c>
      <c r="BN118" s="801">
        <v>4.5253379120886944E-3</v>
      </c>
      <c r="BO118" s="802">
        <v>7.4712289341127072E-3</v>
      </c>
      <c r="BP118" s="801">
        <v>1.3642141328233839E-2</v>
      </c>
      <c r="BQ118" s="801">
        <v>2.5018516591100787E-2</v>
      </c>
      <c r="BR118" s="801">
        <v>4.3542965571509329E-2</v>
      </c>
      <c r="BS118" s="801">
        <v>7.1201364155847754E-2</v>
      </c>
      <c r="BT118" s="801">
        <v>0.1055900917265543</v>
      </c>
      <c r="BW118" s="1136">
        <f>'2018'!R\Max</f>
        <v>0</v>
      </c>
      <c r="BX118" s="1134">
        <f>'2019'!R\Max</f>
        <v>0.48485488066259497</v>
      </c>
      <c r="BY118" s="1134">
        <f>'2020'!R\Max</f>
        <v>0.31003132122699106</v>
      </c>
      <c r="BZ118" s="1134">
        <f>'2021'!R\Max</f>
        <v>0.98717059646564687</v>
      </c>
      <c r="CA118" s="1134">
        <f>'2022'!R\Max</f>
        <v>0.79807857578060049</v>
      </c>
      <c r="CB118" s="1134">
        <f>'2023'!R\Max</f>
        <v>0.79802883605748465</v>
      </c>
      <c r="CC118" s="1134">
        <f>'2024'!R\Max</f>
        <v>0.7979754499651972</v>
      </c>
      <c r="CD118" s="1134">
        <f>'2025'!R\Max</f>
        <v>0.79815180712148881</v>
      </c>
      <c r="CE118" s="1134">
        <f>'2026'!R\Max</f>
        <v>0.79814088029849195</v>
      </c>
      <c r="CF118" s="1135">
        <f>'2027'!R\Max</f>
        <v>0.79812948501249847</v>
      </c>
    </row>
    <row r="119" spans="1:84" s="6" customFormat="1" ht="11.25" x14ac:dyDescent="0.2">
      <c r="A119" s="11">
        <v>43205</v>
      </c>
      <c r="B119" s="380">
        <f>'2023'!Maxi_hp</f>
        <v>56.990205602590848</v>
      </c>
      <c r="C119" s="85">
        <f>'2023'!An_max</f>
        <v>2021</v>
      </c>
      <c r="D119" s="1087">
        <f t="shared" si="59"/>
        <v>0.99134128077939743</v>
      </c>
      <c r="E119" s="747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836">
        <f t="shared" si="62"/>
        <v>7.1428571428571425E-2</v>
      </c>
      <c r="J119" s="827">
        <f t="shared" si="63"/>
        <v>57.487977861453388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836">
        <f t="shared" si="67"/>
        <v>0.4642857142857143</v>
      </c>
      <c r="AT119" s="853">
        <f t="shared" si="68"/>
        <v>57.539309858344495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836">
        <f t="shared" si="72"/>
        <v>3.5714285714285712E-2</v>
      </c>
      <c r="AY119" s="853">
        <f t="shared" si="73"/>
        <v>57.478792842836789</v>
      </c>
      <c r="AZ119" s="827">
        <f t="shared" si="77"/>
        <v>57.509051350590639</v>
      </c>
      <c r="BA119" s="660">
        <f t="shared" si="74"/>
        <v>0.99134128077939743</v>
      </c>
      <c r="BB119" s="655">
        <v>43205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924">
        <f>1+[2]!Salcycl*Ksac</f>
        <v>1.0049529365203007</v>
      </c>
      <c r="BH119" s="1080">
        <f t="shared" si="75"/>
        <v>3.5772054930178132E-3</v>
      </c>
      <c r="BI119" s="11">
        <v>44301</v>
      </c>
      <c r="BJ119" s="801">
        <v>7.3793619417424514E-5</v>
      </c>
      <c r="BK119" s="801">
        <v>1.1496836020648939E-3</v>
      </c>
      <c r="BL119" s="801">
        <v>2.3183998473017475E-3</v>
      </c>
      <c r="BM119" s="801">
        <v>3.5771500548635112E-3</v>
      </c>
      <c r="BN119" s="801">
        <v>5.0415988124891051E-3</v>
      </c>
      <c r="BO119" s="802">
        <v>8.05357802004566E-3</v>
      </c>
      <c r="BP119" s="801">
        <v>1.4211090598887513E-2</v>
      </c>
      <c r="BQ119" s="801">
        <v>2.5469285780223103E-2</v>
      </c>
      <c r="BR119" s="801">
        <v>4.3734409366251191E-2</v>
      </c>
      <c r="BS119" s="801">
        <v>7.1048667911308303E-2</v>
      </c>
      <c r="BT119" s="801">
        <v>0.10505612265646458</v>
      </c>
      <c r="BW119" s="1136">
        <f>'2018'!R\Max</f>
        <v>0</v>
      </c>
      <c r="BX119" s="1134">
        <f>'2019'!R\Max</f>
        <v>0.7031467591967222</v>
      </c>
      <c r="BY119" s="1134">
        <f>'2020'!R\Max</f>
        <v>0.93726211518257463</v>
      </c>
      <c r="BZ119" s="1134">
        <f>'2021'!R\Max</f>
        <v>0.99134128077939743</v>
      </c>
      <c r="CA119" s="1134">
        <f>'2022'!R\Max</f>
        <v>0.88628923032918794</v>
      </c>
      <c r="CB119" s="1134">
        <f>'2023'!R\Max</f>
        <v>0.88625814872385433</v>
      </c>
      <c r="CC119" s="1134">
        <f>'2024'!R\Max</f>
        <v>0.88622474125086925</v>
      </c>
      <c r="CD119" s="1134">
        <f>'2025'!R\Max</f>
        <v>0.88633689820149086</v>
      </c>
      <c r="CE119" s="1134">
        <f>'2026'!R\Max</f>
        <v>0.8863295111434546</v>
      </c>
      <c r="CF119" s="1135">
        <f>'2027'!R\Max</f>
        <v>0.88632181215332351</v>
      </c>
    </row>
    <row r="120" spans="1:84" s="6" customFormat="1" ht="11.25" x14ac:dyDescent="0.2">
      <c r="A120" s="11">
        <v>43206</v>
      </c>
      <c r="B120" s="380">
        <f>'2023'!Maxi_hp</f>
        <v>53.394011325702145</v>
      </c>
      <c r="C120" s="85">
        <f>'2023'!An_max</f>
        <v>2020</v>
      </c>
      <c r="D120" s="1087" t="str">
        <f t="shared" si="59"/>
        <v/>
      </c>
      <c r="E120" s="835">
        <f>U$13/10</f>
        <v>57.622500000000002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836">
        <f t="shared" si="62"/>
        <v>0</v>
      </c>
      <c r="J120" s="827">
        <f t="shared" si="63"/>
        <v>57.62250000014901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836">
        <f t="shared" si="67"/>
        <v>0.5</v>
      </c>
      <c r="AT120" s="853">
        <f t="shared" si="68"/>
        <v>57.671750000864265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836">
        <f t="shared" si="72"/>
        <v>0</v>
      </c>
      <c r="AY120" s="853">
        <f t="shared" si="73"/>
        <v>57.62250000014901</v>
      </c>
      <c r="AZ120" s="827">
        <f t="shared" si="77"/>
        <v>57.647125000506634</v>
      </c>
      <c r="BA120" s="660">
        <f t="shared" si="74"/>
        <v>0.92661740336785225</v>
      </c>
      <c r="BB120" s="655">
        <v>43206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924">
        <f>1+[2]!Salcycl*Ksac</f>
        <v>1.005262725570756</v>
      </c>
      <c r="BH120" s="1080">
        <f t="shared" si="75"/>
        <v>4.0250414189754776E-3</v>
      </c>
      <c r="BI120" s="11">
        <v>44302</v>
      </c>
      <c r="BJ120" s="801">
        <v>8.7382473760599759E-5</v>
      </c>
      <c r="BK120" s="801">
        <v>1.2816741441557501E-3</v>
      </c>
      <c r="BL120" s="801">
        <v>2.5970600085267991E-3</v>
      </c>
      <c r="BM120" s="801">
        <v>4.0249812736376902E-3</v>
      </c>
      <c r="BN120" s="801">
        <v>5.6137745209902746E-3</v>
      </c>
      <c r="BO120" s="802">
        <v>8.7053455202894536E-3</v>
      </c>
      <c r="BP120" s="801">
        <v>1.4865547825654163E-2</v>
      </c>
      <c r="BQ120" s="801">
        <v>2.6019638519369087E-2</v>
      </c>
      <c r="BR120" s="801">
        <v>4.40376392732603E-2</v>
      </c>
      <c r="BS120" s="801">
        <v>7.0989787535572543E-2</v>
      </c>
      <c r="BT120" s="801">
        <v>0.10457173124426768</v>
      </c>
      <c r="BW120" s="1136">
        <f>'2018'!R\Max</f>
        <v>0</v>
      </c>
      <c r="BX120" s="1134">
        <f>'2019'!R\Max</f>
        <v>0.62199340576300666</v>
      </c>
      <c r="BY120" s="1134">
        <f>'2020'!R\Max</f>
        <v>0.92661740336785225</v>
      </c>
      <c r="BZ120" s="1134">
        <f>'2021'!R\Max</f>
        <v>0.83162605369100384</v>
      </c>
      <c r="CA120" s="1134">
        <f>'2022'!R\Max</f>
        <v>0.79563447087671579</v>
      </c>
      <c r="CB120" s="1134">
        <f>'2023'!R\Max</f>
        <v>0.79558422579549348</v>
      </c>
      <c r="CC120" s="1134">
        <f>'2024'!R\Max</f>
        <v>0.79553016272148402</v>
      </c>
      <c r="CD120" s="1134">
        <f>'2025'!R\Max</f>
        <v>0.79571491558136165</v>
      </c>
      <c r="CE120" s="1134">
        <f>'2026'!R\Max</f>
        <v>0.7957019645744895</v>
      </c>
      <c r="CF120" s="1135">
        <f>'2027'!R\Max</f>
        <v>0.79568848161444172</v>
      </c>
    </row>
    <row r="121" spans="1:84" s="6" customFormat="1" ht="11.25" x14ac:dyDescent="0.2">
      <c r="A121" s="11">
        <v>43207</v>
      </c>
      <c r="B121" s="380">
        <f>'2023'!Maxi_hp</f>
        <v>57.9078619929616</v>
      </c>
      <c r="C121" s="85">
        <f>'2023'!An_max</f>
        <v>2023</v>
      </c>
      <c r="D121" s="1087">
        <f t="shared" si="59"/>
        <v>1.002657118657535</v>
      </c>
      <c r="E121" s="747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836">
        <f t="shared" si="62"/>
        <v>7.1428571428571425E-2</v>
      </c>
      <c r="J121" s="827">
        <f t="shared" si="63"/>
        <v>57.754401694663933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836">
        <f t="shared" si="67"/>
        <v>0.5357142857142857</v>
      </c>
      <c r="AT121" s="853">
        <f t="shared" si="68"/>
        <v>57.799667183549275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836">
        <f t="shared" si="72"/>
        <v>3.5714285714285712E-2</v>
      </c>
      <c r="AY121" s="853">
        <f t="shared" si="73"/>
        <v>57.76010026463441</v>
      </c>
      <c r="AZ121" s="827">
        <f t="shared" si="77"/>
        <v>57.779883724091846</v>
      </c>
      <c r="BA121" s="660">
        <f t="shared" si="74"/>
        <v>1.002657118657535</v>
      </c>
      <c r="BB121" s="655">
        <v>43207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924">
        <f>1+[2]!Salcycl*Ksac</f>
        <v>1.0055860707866233</v>
      </c>
      <c r="BH121" s="1080">
        <f t="shared" si="75"/>
        <v>4.5124636671410225E-3</v>
      </c>
      <c r="BI121" s="11">
        <v>44303</v>
      </c>
      <c r="BJ121" s="801">
        <v>1.0389004429160642E-4</v>
      </c>
      <c r="BK121" s="801">
        <v>1.4256717442977407E-3</v>
      </c>
      <c r="BL121" s="801">
        <v>2.899873949294942E-3</v>
      </c>
      <c r="BM121" s="801">
        <v>4.5123981980406793E-3</v>
      </c>
      <c r="BN121" s="801">
        <v>6.2418234263533585E-3</v>
      </c>
      <c r="BO121" s="802">
        <v>9.426480650781938E-3</v>
      </c>
      <c r="BP121" s="801">
        <v>1.5605452756599388E-2</v>
      </c>
      <c r="BQ121" s="801">
        <v>2.6669507008533332E-2</v>
      </c>
      <c r="BR121" s="801">
        <v>4.4452582079735403E-2</v>
      </c>
      <c r="BS121" s="801">
        <v>7.1024658142799915E-2</v>
      </c>
      <c r="BT121" s="801">
        <v>0.10413687236357382</v>
      </c>
      <c r="BW121" s="1136">
        <f>'2018'!R\Max</f>
        <v>0</v>
      </c>
      <c r="BX121" s="1134">
        <f>'2019'!R\Max</f>
        <v>0.62291978117221447</v>
      </c>
      <c r="BY121" s="1134">
        <f>'2020'!R\Max</f>
        <v>0.78196141045710787</v>
      </c>
      <c r="BZ121" s="1134">
        <f>'2021'!R\Max</f>
        <v>0.89651621228791112</v>
      </c>
      <c r="CA121" s="1134">
        <f>'2022'!R\Max</f>
        <v>1.002657118657535</v>
      </c>
      <c r="CB121" s="1134">
        <f>'2023'!R\Max</f>
        <v>1.002657118657535</v>
      </c>
      <c r="CC121" s="1134">
        <f>'2024'!R\Max</f>
        <v>1.0026571186575353</v>
      </c>
      <c r="CD121" s="1134">
        <f>'2025'!R\Max</f>
        <v>1.0026571186575348</v>
      </c>
      <c r="CE121" s="1134">
        <f>'2026'!R\Max</f>
        <v>1.002657118657535</v>
      </c>
      <c r="CF121" s="1135">
        <f>'2027'!R\Max</f>
        <v>1.0026571186575353</v>
      </c>
    </row>
    <row r="122" spans="1:84" s="6" customFormat="1" ht="11.25" x14ac:dyDescent="0.2">
      <c r="A122" s="11">
        <v>43208</v>
      </c>
      <c r="B122" s="380">
        <f>'2023'!Maxi_hp</f>
        <v>42.269665111428111</v>
      </c>
      <c r="C122" s="85">
        <f>'2023'!An_max</f>
        <v>2021</v>
      </c>
      <c r="D122" s="1087" t="str">
        <f t="shared" si="59"/>
        <v/>
      </c>
      <c r="E122" s="747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836">
        <f t="shared" si="62"/>
        <v>0.14285714285714285</v>
      </c>
      <c r="J122" s="827">
        <f t="shared" si="63"/>
        <v>57.882677842357324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836">
        <f t="shared" si="67"/>
        <v>0.5714285714285714</v>
      </c>
      <c r="AT122" s="853">
        <f t="shared" si="68"/>
        <v>57.923169095814231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836">
        <f t="shared" si="72"/>
        <v>7.1428571428571425E-2</v>
      </c>
      <c r="AY122" s="853">
        <f t="shared" si="73"/>
        <v>57.89158017446421</v>
      </c>
      <c r="AZ122" s="827">
        <f t="shared" si="77"/>
        <v>57.90737463513922</v>
      </c>
      <c r="BA122" s="660">
        <f t="shared" si="74"/>
        <v>0.73026450549763711</v>
      </c>
      <c r="BB122" s="655">
        <v>43208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924">
        <f>1+[2]!Salcycl*Ksac</f>
        <v>1.0059231221223319</v>
      </c>
      <c r="BH122" s="1080">
        <f t="shared" si="75"/>
        <v>5.0618619753027023E-3</v>
      </c>
      <c r="BI122" s="11">
        <v>44304</v>
      </c>
      <c r="BJ122" s="801">
        <v>1.2673200360732113E-4</v>
      </c>
      <c r="BK122" s="801">
        <v>1.5888959445706965E-3</v>
      </c>
      <c r="BL122" s="801">
        <v>3.2405815006821478E-3</v>
      </c>
      <c r="BM122" s="801">
        <v>5.0617901524565058E-3</v>
      </c>
      <c r="BN122" s="801">
        <v>6.9590552978534654E-3</v>
      </c>
      <c r="BO122" s="802">
        <v>1.0259635527367075E-2</v>
      </c>
      <c r="BP122" s="801">
        <v>1.648084615273002E-2</v>
      </c>
      <c r="BQ122" s="801">
        <v>2.7475709666296994E-2</v>
      </c>
      <c r="BR122" s="801">
        <v>4.5042685584916191E-2</v>
      </c>
      <c r="BS122" s="801">
        <v>7.1228482764758169E-2</v>
      </c>
      <c r="BT122" s="801">
        <v>0.10384154080455438</v>
      </c>
      <c r="BW122" s="1136">
        <f>'2018'!R\Max</f>
        <v>0</v>
      </c>
      <c r="BX122" s="1134">
        <f>'2019'!R\Max</f>
        <v>0.48319137649806287</v>
      </c>
      <c r="BY122" s="1134">
        <f>'2020'!R\Max</f>
        <v>0.56085324911914658</v>
      </c>
      <c r="BZ122" s="1134">
        <f>'2021'!R\Max</f>
        <v>0.73026450549763711</v>
      </c>
      <c r="CA122" s="1134">
        <f>'2022'!R\Max</f>
        <v>0.71338211256550055</v>
      </c>
      <c r="CB122" s="1134">
        <f>'2023'!R\Max</f>
        <v>0.71331806840962386</v>
      </c>
      <c r="CC122" s="1134">
        <f>'2024'!R\Max</f>
        <v>0.71324906228067675</v>
      </c>
      <c r="CD122" s="1134">
        <f>'2025'!R\Max</f>
        <v>0.7134945445402775</v>
      </c>
      <c r="CE122" s="1134">
        <f>'2026'!R\Max</f>
        <v>0.71347502381199024</v>
      </c>
      <c r="CF122" s="1135">
        <f>'2027'!R\Max</f>
        <v>0.71345477060161455</v>
      </c>
    </row>
    <row r="123" spans="1:84" s="6" customFormat="1" ht="11.25" x14ac:dyDescent="0.2">
      <c r="A123" s="11">
        <v>43209</v>
      </c>
      <c r="B123" s="380">
        <f>'2023'!Maxi_hp</f>
        <v>56.035337326864806</v>
      </c>
      <c r="C123" s="85">
        <f>'2023'!An_max</f>
        <v>2021</v>
      </c>
      <c r="D123" s="1087" t="str">
        <f t="shared" si="59"/>
        <v/>
      </c>
      <c r="E123" s="747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836">
        <f t="shared" si="62"/>
        <v>0.21428571428571427</v>
      </c>
      <c r="J123" s="827">
        <f t="shared" si="63"/>
        <v>58.007220754665994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836">
        <f t="shared" si="67"/>
        <v>0.6071428571428571</v>
      </c>
      <c r="AT123" s="853">
        <f t="shared" si="68"/>
        <v>58.042363429308999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836">
        <f t="shared" si="72"/>
        <v>0.10714285714285714</v>
      </c>
      <c r="AY123" s="853">
        <f t="shared" si="73"/>
        <v>58.017101265995635</v>
      </c>
      <c r="AZ123" s="827">
        <f t="shared" si="77"/>
        <v>58.029732347652313</v>
      </c>
      <c r="BA123" s="660">
        <f t="shared" si="74"/>
        <v>0.96600624194458462</v>
      </c>
      <c r="BB123" s="655">
        <v>43209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924">
        <f>1+[2]!Salcycl*Ksac</f>
        <v>1.0062740110881143</v>
      </c>
      <c r="BH123" s="1080">
        <f t="shared" si="75"/>
        <v>5.6557150047782867E-3</v>
      </c>
      <c r="BI123" s="11">
        <v>44305</v>
      </c>
      <c r="BJ123" s="801">
        <v>1.5449385497377902E-4</v>
      </c>
      <c r="BK123" s="801">
        <v>1.7657641218145771E-3</v>
      </c>
      <c r="BL123" s="801">
        <v>3.60829011020986E-3</v>
      </c>
      <c r="BM123" s="801">
        <v>5.6556359990234256E-3</v>
      </c>
      <c r="BN123" s="801">
        <v>7.7426441436621724E-3</v>
      </c>
      <c r="BO123" s="802">
        <v>1.1177756393015223E-2</v>
      </c>
      <c r="BP123" s="801">
        <v>1.7457713915530519E-2</v>
      </c>
      <c r="BQ123" s="801">
        <v>2.8398595472215793E-2</v>
      </c>
      <c r="BR123" s="801">
        <v>4.57664533467785E-2</v>
      </c>
      <c r="BS123" s="801">
        <v>7.1579612559259681E-2</v>
      </c>
      <c r="BT123" s="801">
        <v>0.10370129071125804</v>
      </c>
      <c r="BW123" s="1136">
        <f>'2018'!R\Max</f>
        <v>0</v>
      </c>
      <c r="BX123" s="1134">
        <f>'2019'!R\Max</f>
        <v>0.9061463709121429</v>
      </c>
      <c r="BY123" s="1134">
        <f>'2020'!R\Max</f>
        <v>0.77093608190913676</v>
      </c>
      <c r="BZ123" s="1134">
        <f>'2021'!R\Max</f>
        <v>0.96600624194458462</v>
      </c>
      <c r="CA123" s="1134">
        <f>'2022'!R\Max</f>
        <v>0.17037879824053326</v>
      </c>
      <c r="CB123" s="1134">
        <f>'2023'!R\Max</f>
        <v>0.17034100433198218</v>
      </c>
      <c r="CC123" s="1134">
        <f>'2024'!R\Max</f>
        <v>0.17030028147218237</v>
      </c>
      <c r="CD123" s="1134">
        <f>'2025'!R\Max</f>
        <v>0.17044852704311214</v>
      </c>
      <c r="CE123" s="1134">
        <f>'2026'!R\Max</f>
        <v>0.17043596705450059</v>
      </c>
      <c r="CF123" s="1135">
        <f>'2027'!R\Max</f>
        <v>0.17042296536825755</v>
      </c>
    </row>
    <row r="124" spans="1:84" s="6" customFormat="1" ht="11.25" x14ac:dyDescent="0.2">
      <c r="A124" s="11">
        <v>43210</v>
      </c>
      <c r="B124" s="380">
        <f>'2023'!Maxi_hp</f>
        <v>54.638540839726012</v>
      </c>
      <c r="C124" s="85">
        <f>'2023'!An_max</f>
        <v>2019</v>
      </c>
      <c r="D124" s="1087" t="str">
        <f t="shared" si="59"/>
        <v/>
      </c>
      <c r="E124" s="747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836">
        <f t="shared" si="62"/>
        <v>0.2857142857142857</v>
      </c>
      <c r="J124" s="827">
        <f t="shared" si="63"/>
        <v>58.127922740897965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836">
        <f t="shared" si="67"/>
        <v>0.6428571428571429</v>
      </c>
      <c r="AT124" s="853">
        <f t="shared" si="68"/>
        <v>58.157357872117835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836">
        <f t="shared" si="72"/>
        <v>0.14285714285714285</v>
      </c>
      <c r="AY124" s="853">
        <f t="shared" si="73"/>
        <v>58.136825073350757</v>
      </c>
      <c r="AZ124" s="827">
        <f t="shared" si="77"/>
        <v>58.147091472734296</v>
      </c>
      <c r="BA124" s="660">
        <f t="shared" si="74"/>
        <v>0.93997064170475042</v>
      </c>
      <c r="BB124" s="655">
        <v>43210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924">
        <f>1+[2]!Salcycl*Ksac</f>
        <v>1.0066388499782626</v>
      </c>
      <c r="BH124" s="1080">
        <f t="shared" si="75"/>
        <v>6.2939805833153494E-3</v>
      </c>
      <c r="BI124" s="11">
        <v>44306</v>
      </c>
      <c r="BJ124" s="801">
        <v>1.8717213651930648E-4</v>
      </c>
      <c r="BK124" s="801">
        <v>1.9562634718518026E-3</v>
      </c>
      <c r="BL124" s="801">
        <v>4.002973912016144E-3</v>
      </c>
      <c r="BM124" s="801">
        <v>6.2938935661592072E-3</v>
      </c>
      <c r="BN124" s="801">
        <v>8.5925300884214795E-3</v>
      </c>
      <c r="BO124" s="802">
        <v>1.2180768518366291E-2</v>
      </c>
      <c r="BP124" s="801">
        <v>1.8535968743518465E-2</v>
      </c>
      <c r="BQ124" s="801">
        <v>2.943806682429358E-2</v>
      </c>
      <c r="BR124" s="801">
        <v>4.6623778395230991E-2</v>
      </c>
      <c r="BS124" s="801">
        <v>7.207793498387001E-2</v>
      </c>
      <c r="BT124" s="801">
        <v>0.10371600831401351</v>
      </c>
      <c r="BW124" s="1136">
        <f>'2018'!R\Max</f>
        <v>0</v>
      </c>
      <c r="BX124" s="1134">
        <f>'2019'!R\Max</f>
        <v>0.93997064170475042</v>
      </c>
      <c r="BY124" s="1134">
        <f>'2020'!R\Max</f>
        <v>0.30254987777675169</v>
      </c>
      <c r="BZ124" s="1134">
        <f>'2021'!R\Max</f>
        <v>0.70482806350821803</v>
      </c>
      <c r="CA124" s="1134">
        <f>'2022'!R\Max</f>
        <v>0.19185370358130177</v>
      </c>
      <c r="CB124" s="1134">
        <f>'2023'!R\Max</f>
        <v>0.19181053144184332</v>
      </c>
      <c r="CC124" s="1134">
        <f>'2024'!R\Max</f>
        <v>0.19176401203281085</v>
      </c>
      <c r="CD124" s="1134">
        <f>'2025'!R\Max</f>
        <v>0.19193745170397167</v>
      </c>
      <c r="CE124" s="1134">
        <f>'2026'!R\Max</f>
        <v>0.19192183660877596</v>
      </c>
      <c r="CF124" s="1135">
        <f>'2027'!R\Max</f>
        <v>0.19190570996548814</v>
      </c>
    </row>
    <row r="125" spans="1:84" s="6" customFormat="1" ht="11.25" x14ac:dyDescent="0.2">
      <c r="A125" s="11">
        <v>43211</v>
      </c>
      <c r="B125" s="380">
        <f>'2023'!Maxi_hp</f>
        <v>49.293646269634195</v>
      </c>
      <c r="C125" s="85">
        <f>'2023'!An_max</f>
        <v>2021</v>
      </c>
      <c r="D125" s="1087" t="str">
        <f t="shared" si="59"/>
        <v/>
      </c>
      <c r="E125" s="747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836">
        <f t="shared" si="62"/>
        <v>0.35714285714285715</v>
      </c>
      <c r="J125" s="827">
        <f t="shared" si="63"/>
        <v>58.244676111425669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836">
        <f t="shared" si="67"/>
        <v>0.6785714285714286</v>
      </c>
      <c r="AT125" s="853">
        <f t="shared" si="68"/>
        <v>58.268260113256318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836">
        <f t="shared" si="72"/>
        <v>0.17857142857142858</v>
      </c>
      <c r="AY125" s="853">
        <f t="shared" si="73"/>
        <v>58.250913128336627</v>
      </c>
      <c r="AZ125" s="827">
        <f t="shared" si="77"/>
        <v>58.259586620796469</v>
      </c>
      <c r="BA125" s="660">
        <f t="shared" si="74"/>
        <v>0.84632020573575517</v>
      </c>
      <c r="BB125" s="655">
        <v>43211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924">
        <f>1+[2]!Salcycl*Ksac</f>
        <v>1.007017731071516</v>
      </c>
      <c r="BH125" s="1080">
        <f t="shared" si="75"/>
        <v>6.9766331030891443E-3</v>
      </c>
      <c r="BI125" s="11">
        <v>44307</v>
      </c>
      <c r="BJ125" s="801">
        <v>2.2476371055511548E-4</v>
      </c>
      <c r="BK125" s="801">
        <v>2.1603863359267298E-3</v>
      </c>
      <c r="BL125" s="801">
        <v>4.4246176248682141E-3</v>
      </c>
      <c r="BM125" s="801">
        <v>6.9765372464928475E-3</v>
      </c>
      <c r="BN125" s="801">
        <v>9.5086755387083517E-3</v>
      </c>
      <c r="BO125" s="802">
        <v>1.3268628928791775E-2</v>
      </c>
      <c r="BP125" s="801">
        <v>1.9715572431471328E-2</v>
      </c>
      <c r="BQ125" s="801">
        <v>3.0594105397019938E-2</v>
      </c>
      <c r="BR125" s="801">
        <v>4.7614680793356366E-2</v>
      </c>
      <c r="BS125" s="801">
        <v>7.2723535731521696E-2</v>
      </c>
      <c r="BT125" s="801">
        <v>0.10388586700467761</v>
      </c>
      <c r="BW125" s="1136">
        <f>'2018'!R\Max</f>
        <v>0</v>
      </c>
      <c r="BX125" s="1134">
        <f>'2019'!R\Max</f>
        <v>0.3330784610024588</v>
      </c>
      <c r="BY125" s="1134">
        <f>'2020'!R\Max</f>
        <v>0.2248286194089773</v>
      </c>
      <c r="BZ125" s="1134">
        <f>'2021'!R\Max</f>
        <v>0.84632020573575517</v>
      </c>
      <c r="CA125" s="1134">
        <f>'2022'!R\Max</f>
        <v>0.17294276092258862</v>
      </c>
      <c r="CB125" s="1134">
        <f>'2023'!R\Max</f>
        <v>0.17290317749506542</v>
      </c>
      <c r="CC125" s="1134">
        <f>'2024'!R\Max</f>
        <v>0.17286053445239377</v>
      </c>
      <c r="CD125" s="1134">
        <f>'2025'!R\Max</f>
        <v>0.17302350604875588</v>
      </c>
      <c r="CE125" s="1134">
        <f>'2026'!R\Max</f>
        <v>0.17300795903604715</v>
      </c>
      <c r="CF125" s="1135">
        <f>'2027'!R\Max</f>
        <v>0.17299194107477464</v>
      </c>
    </row>
    <row r="126" spans="1:84" s="6" customFormat="1" ht="11.25" x14ac:dyDescent="0.2">
      <c r="A126" s="11">
        <v>43212</v>
      </c>
      <c r="B126" s="380">
        <f>'2023'!Maxi_hp</f>
        <v>60.094501166563738</v>
      </c>
      <c r="C126" s="85">
        <f>'2023'!An_max</f>
        <v>2021</v>
      </c>
      <c r="D126" s="1087">
        <f t="shared" si="59"/>
        <v>1.0297670695800889</v>
      </c>
      <c r="E126" s="747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836">
        <f t="shared" si="62"/>
        <v>0.42857142857142855</v>
      </c>
      <c r="J126" s="827">
        <f t="shared" si="63"/>
        <v>58.357373178643833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836">
        <f t="shared" si="67"/>
        <v>0.7142857142857143</v>
      </c>
      <c r="AT126" s="853">
        <f t="shared" si="68"/>
        <v>58.375177842378619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836">
        <f t="shared" si="72"/>
        <v>0.21428571428571427</v>
      </c>
      <c r="AY126" s="853">
        <f t="shared" si="73"/>
        <v>58.359526967656393</v>
      </c>
      <c r="AZ126" s="827">
        <f t="shared" si="77"/>
        <v>58.367352405017506</v>
      </c>
      <c r="BA126" s="660">
        <f t="shared" si="74"/>
        <v>1.0297670695800889</v>
      </c>
      <c r="BB126" s="655">
        <v>43212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924">
        <f>1+[2]!Salcycl*Ksac</f>
        <v>1.007410725804647</v>
      </c>
      <c r="BH126" s="1080">
        <f t="shared" si="75"/>
        <v>7.7036523354180268E-3</v>
      </c>
      <c r="BI126" s="11">
        <v>44308</v>
      </c>
      <c r="BJ126" s="801">
        <v>2.6726561072688235E-4</v>
      </c>
      <c r="BK126" s="801">
        <v>2.3781266527693307E-3</v>
      </c>
      <c r="BL126" s="801">
        <v>4.8732093190865878E-3</v>
      </c>
      <c r="BM126" s="801">
        <v>7.7035468117380686E-3</v>
      </c>
      <c r="BN126" s="801">
        <v>1.0491049822285914E-2</v>
      </c>
      <c r="BO126" s="802">
        <v>1.4441302722886233E-2</v>
      </c>
      <c r="BP126" s="801">
        <v>2.0996495472040282E-2</v>
      </c>
      <c r="BQ126" s="801">
        <v>3.1866701386522728E-2</v>
      </c>
      <c r="BR126" s="801">
        <v>4.873918786058512E-2</v>
      </c>
      <c r="BS126" s="801">
        <v>7.351650537670168E-2</v>
      </c>
      <c r="BT126" s="801">
        <v>0.10421104205095501</v>
      </c>
      <c r="BW126" s="1136">
        <f>'2018'!R\Max</f>
        <v>0</v>
      </c>
      <c r="BX126" s="1134">
        <f>'2019'!R\Max</f>
        <v>0.57864998805286139</v>
      </c>
      <c r="BY126" s="1134">
        <f>'2020'!R\Max</f>
        <v>0.30273194326349223</v>
      </c>
      <c r="BZ126" s="1134">
        <f>'2021'!R\Max</f>
        <v>1.0297670695800889</v>
      </c>
      <c r="CA126" s="1134">
        <f>'2022'!R\Max</f>
        <v>0.5220343700204686</v>
      </c>
      <c r="CB126" s="1134">
        <f>'2023'!R\Max</f>
        <v>0.52195118796196427</v>
      </c>
      <c r="CC126" s="1134">
        <f>'2024'!R\Max</f>
        <v>0.52186160450305608</v>
      </c>
      <c r="CD126" s="1134">
        <f>'2025'!R\Max</f>
        <v>0.52221267106415203</v>
      </c>
      <c r="CE126" s="1134">
        <f>'2026'!R\Max</f>
        <v>0.52217731180703153</v>
      </c>
      <c r="CF126" s="1135">
        <f>'2027'!R\Max</f>
        <v>0.52214096671115517</v>
      </c>
    </row>
    <row r="127" spans="1:84" s="6" customFormat="1" ht="11.25" x14ac:dyDescent="0.2">
      <c r="A127" s="11">
        <v>43213</v>
      </c>
      <c r="B127" s="380">
        <f>'2023'!Maxi_hp</f>
        <v>60.511949341362161</v>
      </c>
      <c r="C127" s="85">
        <f>'2023'!An_max</f>
        <v>2021</v>
      </c>
      <c r="D127" s="1087">
        <f t="shared" si="59"/>
        <v>1.0349954909125973</v>
      </c>
      <c r="E127" s="747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836">
        <f t="shared" si="62"/>
        <v>0.5</v>
      </c>
      <c r="J127" s="827">
        <f t="shared" si="63"/>
        <v>58.465906250476834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836">
        <f t="shared" si="67"/>
        <v>0.75</v>
      </c>
      <c r="AT127" s="853">
        <f t="shared" si="68"/>
        <v>58.478218750096858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836">
        <f t="shared" si="72"/>
        <v>0.25</v>
      </c>
      <c r="AY127" s="853">
        <f t="shared" si="73"/>
        <v>58.462828124966471</v>
      </c>
      <c r="AZ127" s="827">
        <f t="shared" si="77"/>
        <v>58.470523437531668</v>
      </c>
      <c r="BA127" s="660">
        <f t="shared" si="74"/>
        <v>1.0349954909125973</v>
      </c>
      <c r="BB127" s="655">
        <v>43213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924">
        <f>1+[2]!Salcycl*Ksac</f>
        <v>1.0078178839213083</v>
      </c>
      <c r="BH127" s="1080">
        <f t="shared" si="75"/>
        <v>8.4750003871032781E-3</v>
      </c>
      <c r="BI127" s="11">
        <v>44309</v>
      </c>
      <c r="BJ127" s="801">
        <v>3.1467427542579467E-4</v>
      </c>
      <c r="BK127" s="801">
        <v>2.6094728601377148E-3</v>
      </c>
      <c r="BL127" s="801">
        <v>5.3487258427108338E-3</v>
      </c>
      <c r="BM127" s="801">
        <v>8.4748843693430529E-3</v>
      </c>
      <c r="BN127" s="801">
        <v>1.1539597958088031E-2</v>
      </c>
      <c r="BO127" s="802">
        <v>1.5698720393397727E-2</v>
      </c>
      <c r="BP127" s="801">
        <v>2.2378655577221185E-2</v>
      </c>
      <c r="BQ127" s="801">
        <v>3.325576105731886E-2</v>
      </c>
      <c r="BR127" s="801">
        <v>4.999719383316692E-2</v>
      </c>
      <c r="BS127" s="801">
        <v>7.4456728747310144E-2</v>
      </c>
      <c r="BT127" s="801">
        <v>0.10469141283118817</v>
      </c>
      <c r="BW127" s="1136">
        <f>'2018'!R\Max</f>
        <v>0</v>
      </c>
      <c r="BX127" s="1134">
        <f>'2019'!R\Max</f>
        <v>0.66192262273816638</v>
      </c>
      <c r="BY127" s="1134">
        <f>'2020'!R\Max</f>
        <v>0.15813076387107247</v>
      </c>
      <c r="BZ127" s="1134">
        <f>'2021'!R\Max</f>
        <v>1.0349954909125973</v>
      </c>
      <c r="CA127" s="1134">
        <f>'2022'!R\Max</f>
        <v>0.17903570476142133</v>
      </c>
      <c r="CB127" s="1134">
        <f>'2023'!R\Max</f>
        <v>0.17899299074751049</v>
      </c>
      <c r="CC127" s="1134">
        <f>'2024'!R\Max</f>
        <v>0.17894702923496225</v>
      </c>
      <c r="CD127" s="1134">
        <f>'2025'!R\Max</f>
        <v>0.17913186521599023</v>
      </c>
      <c r="CE127" s="1134">
        <f>'2026'!R\Max</f>
        <v>0.17911226828649024</v>
      </c>
      <c r="CF127" s="1135">
        <f>'2027'!R\Max</f>
        <v>0.1790921743066235</v>
      </c>
    </row>
    <row r="128" spans="1:84" s="6" customFormat="1" ht="11.25" x14ac:dyDescent="0.2">
      <c r="A128" s="11">
        <v>43214</v>
      </c>
      <c r="B128" s="380">
        <f>'2023'!Maxi_hp</f>
        <v>59.112989516648078</v>
      </c>
      <c r="C128" s="85">
        <f>'2023'!An_max</f>
        <v>2021</v>
      </c>
      <c r="D128" s="1087">
        <f t="shared" si="59"/>
        <v>1.0092678901215275</v>
      </c>
      <c r="E128" s="747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836">
        <f t="shared" si="62"/>
        <v>0.5714285714285714</v>
      </c>
      <c r="J128" s="827">
        <f t="shared" si="63"/>
        <v>58.570167638574318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836">
        <f t="shared" si="67"/>
        <v>0.7857142857142857</v>
      </c>
      <c r="AT128" s="853">
        <f t="shared" si="68"/>
        <v>58.577490525533037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836">
        <f t="shared" si="72"/>
        <v>0.2857142857142857</v>
      </c>
      <c r="AY128" s="853">
        <f t="shared" si="73"/>
        <v>58.560978133337834</v>
      </c>
      <c r="AZ128" s="827">
        <f t="shared" si="77"/>
        <v>58.569234329435432</v>
      </c>
      <c r="BA128" s="660">
        <f t="shared" si="74"/>
        <v>1.0092678901215275</v>
      </c>
      <c r="BB128" s="655">
        <v>43214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924">
        <f>1+[2]!Salcycl*Ksac</f>
        <v>1.0082392325992329</v>
      </c>
      <c r="BH128" s="1080">
        <f t="shared" si="75"/>
        <v>9.3112758510796641E-3</v>
      </c>
      <c r="BI128" s="11">
        <v>44310</v>
      </c>
      <c r="BJ128" s="801">
        <v>3.7148244834052965E-4</v>
      </c>
      <c r="BK128" s="801">
        <v>2.8620797083410477E-3</v>
      </c>
      <c r="BL128" s="801">
        <v>5.8644142413353806E-3</v>
      </c>
      <c r="BM128" s="801">
        <v>9.311148289493006E-3</v>
      </c>
      <c r="BN128" s="801">
        <v>1.2680802446584594E-2</v>
      </c>
      <c r="BO128" s="802">
        <v>1.7072560418313884E-2</v>
      </c>
      <c r="BP128" s="801">
        <v>2.389845728733361E-2</v>
      </c>
      <c r="BQ128" s="801">
        <v>3.4802568247440553E-2</v>
      </c>
      <c r="BR128" s="801">
        <v>5.1435762759601371E-2</v>
      </c>
      <c r="BS128" s="801">
        <v>7.5597401068022443E-2</v>
      </c>
      <c r="BT128" s="801">
        <v>0.10538789585661837</v>
      </c>
      <c r="BW128" s="1136">
        <f>'2018'!R\Max</f>
        <v>0</v>
      </c>
      <c r="BX128" s="1134">
        <f>'2019'!R\Max</f>
        <v>0.90682525954081739</v>
      </c>
      <c r="BY128" s="1134">
        <f>'2020'!R\Max</f>
        <v>0.27938668230438596</v>
      </c>
      <c r="BZ128" s="1134">
        <f>'2021'!R\Max</f>
        <v>1.0092678901215275</v>
      </c>
      <c r="CA128" s="1134">
        <f>'2022'!R\Max</f>
        <v>0.45950977367854801</v>
      </c>
      <c r="CB128" s="1134">
        <f>'2023'!R\Max</f>
        <v>0.45942300434795191</v>
      </c>
      <c r="CC128" s="1134">
        <f>'2024'!R\Max</f>
        <v>0.45932971893099006</v>
      </c>
      <c r="CD128" s="1134">
        <f>'2025'!R\Max</f>
        <v>0.45971471191133129</v>
      </c>
      <c r="CE128" s="1134">
        <f>'2026'!R\Max</f>
        <v>0.45967189009091908</v>
      </c>
      <c r="CF128" s="1135">
        <f>'2027'!R\Max</f>
        <v>0.45962808504786018</v>
      </c>
    </row>
    <row r="129" spans="1:84" s="6" customFormat="1" ht="11.25" x14ac:dyDescent="0.2">
      <c r="A129" s="11">
        <v>43215</v>
      </c>
      <c r="B129" s="380">
        <f>'2023'!Maxi_hp</f>
        <v>55.415664195239167</v>
      </c>
      <c r="C129" s="85">
        <f>'2023'!An_max</f>
        <v>2020</v>
      </c>
      <c r="D129" s="1087" t="str">
        <f t="shared" si="59"/>
        <v/>
      </c>
      <c r="E129" s="747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836">
        <f t="shared" si="62"/>
        <v>0.6428571428571429</v>
      </c>
      <c r="J129" s="827">
        <f t="shared" si="63"/>
        <v>58.670049653681261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836">
        <f t="shared" si="67"/>
        <v>0.8214285714285714</v>
      </c>
      <c r="AT129" s="853">
        <f t="shared" si="68"/>
        <v>58.673100856319067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836">
        <f t="shared" si="72"/>
        <v>0.32142857142857145</v>
      </c>
      <c r="AY129" s="853">
        <f t="shared" si="73"/>
        <v>58.654138529513567</v>
      </c>
      <c r="AZ129" s="827">
        <f t="shared" si="77"/>
        <v>58.663619692916313</v>
      </c>
      <c r="BA129" s="660">
        <f t="shared" si="74"/>
        <v>0.94453071920592968</v>
      </c>
      <c r="BB129" s="655">
        <v>43215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924">
        <f>1+[2]!Salcycl*Ksac</f>
        <v>1.0086747755598979</v>
      </c>
      <c r="BH129" s="1080">
        <f t="shared" si="75"/>
        <v>1.0190177094900872E-2</v>
      </c>
      <c r="BI129" s="11">
        <v>44311</v>
      </c>
      <c r="BJ129" s="801">
        <v>4.3617307393812107E-4</v>
      </c>
      <c r="BK129" s="801">
        <v>3.1294502308612652E-3</v>
      </c>
      <c r="BL129" s="801">
        <v>6.406865059578948E-3</v>
      </c>
      <c r="BM129" s="801">
        <v>1.0190037358337151E-2</v>
      </c>
      <c r="BN129" s="801">
        <v>1.388130449582326E-2</v>
      </c>
      <c r="BO129" s="802">
        <v>1.8520127149550047E-2</v>
      </c>
      <c r="BP129" s="801">
        <v>2.5504016960079024E-2</v>
      </c>
      <c r="BQ129" s="801">
        <v>3.6446733979392618E-2</v>
      </c>
      <c r="BR129" s="801">
        <v>5.2984070071337812E-2</v>
      </c>
      <c r="BS129" s="801">
        <v>7.686568549049326E-2</v>
      </c>
      <c r="BT129" s="801">
        <v>0.10623450339854339</v>
      </c>
      <c r="BW129" s="1136">
        <f>'2018'!R\Max</f>
        <v>0</v>
      </c>
      <c r="BX129" s="1134">
        <f>'2019'!R\Max</f>
        <v>0.66011238935177574</v>
      </c>
      <c r="BY129" s="1134">
        <f>'2020'!R\Max</f>
        <v>0.94453071920592968</v>
      </c>
      <c r="BZ129" s="1134">
        <f>'2021'!R\Max</f>
        <v>0.51535164542126133</v>
      </c>
      <c r="CA129" s="1134">
        <f>'2022'!R\Max</f>
        <v>0.87045175828182597</v>
      </c>
      <c r="CB129" s="1134">
        <f>'2023'!R\Max</f>
        <v>0.87041130070692507</v>
      </c>
      <c r="CC129" s="1134">
        <f>'2024'!R\Max</f>
        <v>0.87036784090387054</v>
      </c>
      <c r="CD129" s="1134">
        <f>'2025'!R\Max</f>
        <v>0.87055174969568905</v>
      </c>
      <c r="CE129" s="1134">
        <f>'2026'!R\Max</f>
        <v>0.87053038993478515</v>
      </c>
      <c r="CF129" s="1135">
        <f>'2027'!R\Max</f>
        <v>0.87050858604673853</v>
      </c>
    </row>
    <row r="130" spans="1:84" s="6" customFormat="1" ht="11.25" x14ac:dyDescent="0.2">
      <c r="A130" s="11">
        <v>43216</v>
      </c>
      <c r="B130" s="380">
        <f>'2023'!Maxi_hp</f>
        <v>57.131017764078706</v>
      </c>
      <c r="C130" s="85">
        <f>'2023'!An_max</f>
        <v>2022</v>
      </c>
      <c r="D130" s="1087">
        <f t="shared" si="59"/>
        <v>0.97218728024090462</v>
      </c>
      <c r="E130" s="747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836">
        <f t="shared" si="62"/>
        <v>0.7142857142857143</v>
      </c>
      <c r="J130" s="827">
        <f t="shared" si="63"/>
        <v>58.765444606436155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836">
        <f t="shared" si="67"/>
        <v>0.8571428571428571</v>
      </c>
      <c r="AT130" s="853">
        <f t="shared" si="68"/>
        <v>58.765157433812099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836">
        <f t="shared" si="72"/>
        <v>0.35714285714285715</v>
      </c>
      <c r="AY130" s="853">
        <f t="shared" si="73"/>
        <v>58.742470845819582</v>
      </c>
      <c r="AZ130" s="827">
        <f t="shared" si="77"/>
        <v>58.753814139815844</v>
      </c>
      <c r="BA130" s="660">
        <f t="shared" si="74"/>
        <v>0.97218728024090462</v>
      </c>
      <c r="BB130" s="655">
        <v>43216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924">
        <f>1+[2]!Salcycl*Ksac</f>
        <v>1.0091244921657856</v>
      </c>
      <c r="BH130" s="1080">
        <f t="shared" si="75"/>
        <v>1.1111661111375088E-2</v>
      </c>
      <c r="BI130" s="11">
        <v>44312</v>
      </c>
      <c r="BJ130" s="801">
        <v>5.0874001380927104E-4</v>
      </c>
      <c r="BK130" s="801">
        <v>3.4115701855388721E-3</v>
      </c>
      <c r="BL130" s="801">
        <v>6.9760514359953896E-3</v>
      </c>
      <c r="BM130" s="801">
        <v>1.1111508569305206E-2</v>
      </c>
      <c r="BN130" s="801">
        <v>1.5141044681015159E-2</v>
      </c>
      <c r="BO130" s="802">
        <v>2.0041347103940458E-2</v>
      </c>
      <c r="BP130" s="801">
        <v>2.7195249419343471E-2</v>
      </c>
      <c r="BQ130" s="801">
        <v>3.8188162585735076E-2</v>
      </c>
      <c r="BR130" s="801">
        <v>5.4642009896357278E-2</v>
      </c>
      <c r="BS130" s="801">
        <v>7.8261463563178854E-2</v>
      </c>
      <c r="BT130" s="801">
        <v>0.10723110237068822</v>
      </c>
      <c r="BW130" s="1136">
        <f>'2018'!R\Max</f>
        <v>0</v>
      </c>
      <c r="BX130" s="1134">
        <f>'2019'!R\Max</f>
        <v>0.50968485343853964</v>
      </c>
      <c r="BY130" s="1134">
        <f>'2020'!R\Max</f>
        <v>0.79588562581800193</v>
      </c>
      <c r="BZ130" s="1134">
        <f>'2021'!R\Max</f>
        <v>0.12877241030660844</v>
      </c>
      <c r="CA130" s="1134">
        <f>'2022'!R\Max</f>
        <v>0.97218728024090462</v>
      </c>
      <c r="CB130" s="1134">
        <f>'2023'!R\Max</f>
        <v>0.97217730517850842</v>
      </c>
      <c r="CC130" s="1134">
        <f>'2024'!R\Max</f>
        <v>0.97216660266505572</v>
      </c>
      <c r="CD130" s="1134">
        <f>'2025'!R\Max</f>
        <v>0.97221302839559387</v>
      </c>
      <c r="CE130" s="1134">
        <f>'2026'!R\Max</f>
        <v>0.972207417602442</v>
      </c>
      <c r="CF130" s="1135">
        <f>'2027'!R\Max</f>
        <v>0.97220170226703639</v>
      </c>
    </row>
    <row r="131" spans="1:84" s="6" customFormat="1" ht="11.25" x14ac:dyDescent="0.2">
      <c r="A131" s="11">
        <v>43217</v>
      </c>
      <c r="B131" s="380">
        <f>'2023'!Maxi_hp</f>
        <v>42.107137345692962</v>
      </c>
      <c r="C131" s="85">
        <f>'2023'!An_max</f>
        <v>2022</v>
      </c>
      <c r="D131" s="1087" t="str">
        <f t="shared" si="59"/>
        <v/>
      </c>
      <c r="E131" s="747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836">
        <f t="shared" si="62"/>
        <v>0.7857142857142857</v>
      </c>
      <c r="J131" s="827">
        <f t="shared" si="63"/>
        <v>58.856244807637168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836">
        <f t="shared" si="67"/>
        <v>0.8928571428571429</v>
      </c>
      <c r="AT131" s="853">
        <f t="shared" si="68"/>
        <v>58.85376794875733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836">
        <f t="shared" si="72"/>
        <v>0.39285714285714285</v>
      </c>
      <c r="AY131" s="853">
        <f t="shared" si="73"/>
        <v>58.826136615792564</v>
      </c>
      <c r="AZ131" s="827">
        <f t="shared" si="77"/>
        <v>58.83995228227495</v>
      </c>
      <c r="BA131" s="660">
        <f t="shared" si="74"/>
        <v>0.71542344373674949</v>
      </c>
      <c r="BB131" s="655">
        <v>43217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924">
        <f>1+[2]!Salcycl*Ksac</f>
        <v>1.0095883365113594</v>
      </c>
      <c r="BH131" s="1080">
        <f t="shared" si="75"/>
        <v>1.2075682779756703E-2</v>
      </c>
      <c r="BI131" s="11">
        <v>44313</v>
      </c>
      <c r="BJ131" s="801">
        <v>5.8917682604608967E-4</v>
      </c>
      <c r="BK131" s="801">
        <v>3.7084246311907252E-3</v>
      </c>
      <c r="BL131" s="801">
        <v>7.5719451904606274E-3</v>
      </c>
      <c r="BM131" s="801">
        <v>1.2075516802303635E-2</v>
      </c>
      <c r="BN131" s="801">
        <v>1.6459960656932112E-2</v>
      </c>
      <c r="BO131" s="802">
        <v>2.1636143206792097E-2</v>
      </c>
      <c r="BP131" s="801">
        <v>2.8972065379455E-2</v>
      </c>
      <c r="BQ131" s="801">
        <v>4.0026753889467401E-2</v>
      </c>
      <c r="BR131" s="801">
        <v>5.6409471546170271E-2</v>
      </c>
      <c r="BS131" s="801">
        <v>7.9784611700660243E-2</v>
      </c>
      <c r="BT131" s="801">
        <v>0.10837755421459763</v>
      </c>
      <c r="BW131" s="1136">
        <f>'2018'!R\Max</f>
        <v>0</v>
      </c>
      <c r="BX131" s="1134">
        <f>'2019'!R\Max</f>
        <v>0.49059445452595613</v>
      </c>
      <c r="BY131" s="1134">
        <f>'2020'!R\Max</f>
        <v>0.3906103970828404</v>
      </c>
      <c r="BZ131" s="1134">
        <f>'2021'!R\Max</f>
        <v>0.35316409778504665</v>
      </c>
      <c r="CA131" s="1134">
        <f>'2022'!R\Max</f>
        <v>0.71542344373674949</v>
      </c>
      <c r="CB131" s="1134">
        <f>'2023'!R\Max</f>
        <v>0.71534612457601343</v>
      </c>
      <c r="CC131" s="1134">
        <f>'2024'!R\Max</f>
        <v>0.71526329971215974</v>
      </c>
      <c r="CD131" s="1134">
        <f>'2025'!R\Max</f>
        <v>0.7156315143641242</v>
      </c>
      <c r="CE131" s="1134">
        <f>'2026'!R\Max</f>
        <v>0.71558534538302954</v>
      </c>
      <c r="CF131" s="1135">
        <f>'2027'!R\Max</f>
        <v>0.71553841877934499</v>
      </c>
    </row>
    <row r="132" spans="1:84" s="6" customFormat="1" ht="11.25" x14ac:dyDescent="0.2">
      <c r="A132" s="11">
        <v>43218</v>
      </c>
      <c r="B132" s="380">
        <f>'2023'!Maxi_hp</f>
        <v>44.927139058198264</v>
      </c>
      <c r="C132" s="85">
        <f>'2023'!An_max</f>
        <v>2019</v>
      </c>
      <c r="D132" s="1087" t="str">
        <f t="shared" si="59"/>
        <v/>
      </c>
      <c r="E132" s="747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836">
        <f t="shared" si="62"/>
        <v>0.8571428571428571</v>
      </c>
      <c r="J132" s="827">
        <f t="shared" si="63"/>
        <v>58.94234256637948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836">
        <f t="shared" si="67"/>
        <v>0.9285714285714286</v>
      </c>
      <c r="AT132" s="853">
        <f t="shared" si="68"/>
        <v>58.939040087429532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836">
        <f t="shared" si="72"/>
        <v>0.42857142857142855</v>
      </c>
      <c r="AY132" s="853">
        <f t="shared" si="73"/>
        <v>58.905297376215458</v>
      </c>
      <c r="AZ132" s="827">
        <f t="shared" si="77"/>
        <v>58.922168731822495</v>
      </c>
      <c r="BA132" s="660">
        <f t="shared" si="74"/>
        <v>0.76222181036667103</v>
      </c>
      <c r="BB132" s="655">
        <v>43218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924">
        <f>1+[2]!Salcycl*Ksac</f>
        <v>1.0100662365148261</v>
      </c>
      <c r="BH132" s="1080">
        <f t="shared" si="75"/>
        <v>1.3082194771726742E-2</v>
      </c>
      <c r="BI132" s="11">
        <v>44314</v>
      </c>
      <c r="BJ132" s="801">
        <v>6.7747674795055738E-4</v>
      </c>
      <c r="BK132" s="801">
        <v>4.019997895081181E-3</v>
      </c>
      <c r="BL132" s="801">
        <v>8.1945167651513977E-3</v>
      </c>
      <c r="BM132" s="801">
        <v>1.3082014729697474E-2</v>
      </c>
      <c r="BN132" s="801">
        <v>1.7837987027135523E-2</v>
      </c>
      <c r="BO132" s="802">
        <v>2.3304434629329098E-2</v>
      </c>
      <c r="BP132" s="801">
        <v>3.0834371256158368E-2</v>
      </c>
      <c r="BQ132" s="801">
        <v>4.1962402989569603E-2</v>
      </c>
      <c r="BR132" s="801">
        <v>5.8286339274323834E-2</v>
      </c>
      <c r="BS132" s="801">
        <v>8.1435000903248664E-2</v>
      </c>
      <c r="BT132" s="801">
        <v>0.10967371457030957</v>
      </c>
      <c r="BW132" s="1136">
        <f>'2018'!R\Max</f>
        <v>0</v>
      </c>
      <c r="BX132" s="1134">
        <f>'2019'!R\Max</f>
        <v>0.76222181036667103</v>
      </c>
      <c r="BY132" s="1134">
        <f>'2020'!R\Max</f>
        <v>0.36181423455963074</v>
      </c>
      <c r="BZ132" s="1134">
        <f>'2021'!R\Max</f>
        <v>0.31833656246681008</v>
      </c>
      <c r="CA132" s="1134">
        <f>'2022'!R\Max</f>
        <v>0.3841175270837347</v>
      </c>
      <c r="CB132" s="1134">
        <f>'2023'!R\Max</f>
        <v>0.38402493061721105</v>
      </c>
      <c r="CC132" s="1134">
        <f>'2024'!R\Max</f>
        <v>0.38392591902184714</v>
      </c>
      <c r="CD132" s="1134">
        <f>'2025'!R\Max</f>
        <v>0.38437677043294222</v>
      </c>
      <c r="CE132" s="1134">
        <f>'2026'!R\Max</f>
        <v>0.38431829723675554</v>
      </c>
      <c r="CF132" s="1135">
        <f>'2027'!R\Max</f>
        <v>0.38425899295220012</v>
      </c>
    </row>
    <row r="133" spans="1:84" s="6" customFormat="1" ht="11.25" x14ac:dyDescent="0.2">
      <c r="A133" s="11">
        <v>43219</v>
      </c>
      <c r="B133" s="380">
        <f>'2023'!Maxi_hp</f>
        <v>53.012856919854819</v>
      </c>
      <c r="C133" s="85">
        <f>'2023'!An_max</f>
        <v>2019</v>
      </c>
      <c r="D133" s="1087" t="str">
        <f t="shared" si="59"/>
        <v/>
      </c>
      <c r="E133" s="747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836">
        <f t="shared" si="62"/>
        <v>0.9285714285714286</v>
      </c>
      <c r="J133" s="827">
        <f t="shared" si="63"/>
        <v>59.023630193248394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836">
        <f t="shared" si="67"/>
        <v>0.9642857142857143</v>
      </c>
      <c r="AT133" s="853">
        <f t="shared" si="68"/>
        <v>59.021081540680356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836">
        <f t="shared" si="72"/>
        <v>0.4642857142857143</v>
      </c>
      <c r="AY133" s="853">
        <f t="shared" si="73"/>
        <v>58.980114659533982</v>
      </c>
      <c r="AZ133" s="827">
        <f t="shared" si="77"/>
        <v>59.000598100107169</v>
      </c>
      <c r="BA133" s="660">
        <f t="shared" si="74"/>
        <v>0.89816327369709736</v>
      </c>
      <c r="BB133" s="655">
        <v>43219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924">
        <f>1+[2]!Salcycl*Ksac</f>
        <v>1.0105580930186495</v>
      </c>
      <c r="BH133" s="1080">
        <f t="shared" si="75"/>
        <v>1.4131147457273112E-2</v>
      </c>
      <c r="BI133" s="11">
        <v>44315</v>
      </c>
      <c r="BJ133" s="801">
        <v>7.7363267873880399E-4</v>
      </c>
      <c r="BK133" s="801">
        <v>4.3462735403624704E-3</v>
      </c>
      <c r="BL133" s="801">
        <v>8.8437351654609697E-3</v>
      </c>
      <c r="BM133" s="801">
        <v>1.4130952722191977E-2</v>
      </c>
      <c r="BN133" s="801">
        <v>1.9275055213068788E-2</v>
      </c>
      <c r="BO133" s="802">
        <v>2.5046136625954517E-2</v>
      </c>
      <c r="BP133" s="801">
        <v>3.2782068977336813E-2</v>
      </c>
      <c r="BQ133" s="801">
        <v>4.3995000046180059E-2</v>
      </c>
      <c r="BR133" s="801">
        <v>6.0272492034377401E-2</v>
      </c>
      <c r="BS133" s="801">
        <v>8.3212496475817035E-2</v>
      </c>
      <c r="BT133" s="801">
        <v>0.11111943294595586</v>
      </c>
      <c r="BW133" s="1136">
        <f>'2018'!R\Max</f>
        <v>0</v>
      </c>
      <c r="BX133" s="1134">
        <f>'2019'!R\Max</f>
        <v>0.89816327369709736</v>
      </c>
      <c r="BY133" s="1134">
        <f>'2020'!R\Max</f>
        <v>0.57948128022752898</v>
      </c>
      <c r="BZ133" s="1134">
        <f>'2021'!R\Max</f>
        <v>0.43877382992591862</v>
      </c>
      <c r="CA133" s="1134">
        <f>'2022'!R\Max</f>
        <v>0.77702947986967563</v>
      </c>
      <c r="CB133" s="1134">
        <f>'2023'!R\Max</f>
        <v>0.77695949123147878</v>
      </c>
      <c r="CC133" s="1134">
        <f>'2024'!R\Max</f>
        <v>0.77688475299951076</v>
      </c>
      <c r="CD133" s="1134">
        <f>'2025'!R\Max</f>
        <v>0.77723267502245796</v>
      </c>
      <c r="CE133" s="1134">
        <f>'2026'!R\Max</f>
        <v>0.77718619031845348</v>
      </c>
      <c r="CF133" s="1135">
        <f>'2027'!R\Max</f>
        <v>0.77713912655168438</v>
      </c>
    </row>
    <row r="134" spans="1:84" s="6" customFormat="1" ht="11.25" x14ac:dyDescent="0.2">
      <c r="A134" s="11">
        <v>43220</v>
      </c>
      <c r="B134" s="380">
        <f>'2023'!Maxi_hp</f>
        <v>59.629748537925202</v>
      </c>
      <c r="C134" s="85">
        <f>'2023'!An_max</f>
        <v>2019</v>
      </c>
      <c r="D134" s="1087">
        <f t="shared" si="59"/>
        <v>1.0089635962423893</v>
      </c>
      <c r="E134" s="835">
        <f>V$13/10</f>
        <v>59.1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836">
        <f t="shared" si="62"/>
        <v>1</v>
      </c>
      <c r="J134" s="827">
        <f t="shared" si="63"/>
        <v>59.1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836">
        <f t="shared" si="67"/>
        <v>1</v>
      </c>
      <c r="AT134" s="853">
        <f t="shared" si="68"/>
        <v>59.100000000745055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836">
        <f t="shared" si="72"/>
        <v>0.5</v>
      </c>
      <c r="AY134" s="853">
        <f t="shared" si="73"/>
        <v>59.050749999843539</v>
      </c>
      <c r="AZ134" s="827">
        <f t="shared" si="77"/>
        <v>59.075375000294301</v>
      </c>
      <c r="BA134" s="660">
        <f t="shared" si="74"/>
        <v>1.0089635962423893</v>
      </c>
      <c r="BB134" s="655">
        <v>43220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924">
        <f>1+[2]!Salcycl*Ksac</f>
        <v>1.0110637789076153</v>
      </c>
      <c r="BH134" s="1080">
        <f t="shared" si="75"/>
        <v>1.5222488810597434E-2</v>
      </c>
      <c r="BI134" s="11">
        <v>44316</v>
      </c>
      <c r="BJ134" s="801">
        <v>8.7763716224643505E-4</v>
      </c>
      <c r="BK134" s="801">
        <v>4.6872343335232353E-3</v>
      </c>
      <c r="BL134" s="801">
        <v>9.5195679009315963E-3</v>
      </c>
      <c r="BM134" s="801">
        <v>1.5222278754740829E-2</v>
      </c>
      <c r="BN134" s="801">
        <v>2.0771093323185875E-2</v>
      </c>
      <c r="BO134" s="802">
        <v>2.6861160371560906E-2</v>
      </c>
      <c r="BP134" s="801">
        <v>3.4815055793802153E-2</v>
      </c>
      <c r="BQ134" s="801">
        <v>4.6124430065872433E-2</v>
      </c>
      <c r="BR134" s="801">
        <v>6.236780323802521E-2</v>
      </c>
      <c r="BS134" s="801">
        <v>8.5116957746846689E-2</v>
      </c>
      <c r="BT134" s="801">
        <v>0.11271455238766304</v>
      </c>
      <c r="BW134" s="1136">
        <f>'2018'!R\Max</f>
        <v>0</v>
      </c>
      <c r="BX134" s="1134">
        <f>'2019'!R\Max</f>
        <v>1.0089635962423893</v>
      </c>
      <c r="BY134" s="1134">
        <f>'2020'!R\Max</f>
        <v>0.93047277057761846</v>
      </c>
      <c r="BZ134" s="1134">
        <f>'2021'!R\Max</f>
        <v>0.29920863635302114</v>
      </c>
      <c r="CA134" s="1134">
        <f>'2022'!R\Max</f>
        <v>0.75680583063618878</v>
      </c>
      <c r="CB134" s="1134">
        <f>'2023'!R\Max</f>
        <v>0.75672903100316313</v>
      </c>
      <c r="CC134" s="1134">
        <f>'2024'!R\Max</f>
        <v>0.75664716443685209</v>
      </c>
      <c r="CD134" s="1134">
        <f>'2025'!R\Max</f>
        <v>0.75703670117073052</v>
      </c>
      <c r="CE134" s="1134">
        <f>'2026'!R\Max</f>
        <v>0.75698318854591073</v>
      </c>
      <c r="CF134" s="1135">
        <f>'2027'!R\Max</f>
        <v>0.7569291111936659</v>
      </c>
    </row>
    <row r="135" spans="1:84" s="6" customFormat="1" ht="11.25" x14ac:dyDescent="0.2">
      <c r="A135" s="11">
        <v>43221</v>
      </c>
      <c r="B135" s="380">
        <f>'2023'!Maxi_hp</f>
        <v>57.486763345827086</v>
      </c>
      <c r="C135" s="85">
        <f>'2023'!An_max</f>
        <v>2019</v>
      </c>
      <c r="D135" s="1087">
        <f t="shared" si="59"/>
        <v>0.97153753265828768</v>
      </c>
      <c r="E135" s="747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836">
        <f t="shared" si="62"/>
        <v>0.9285714285714286</v>
      </c>
      <c r="J135" s="827">
        <f t="shared" si="63"/>
        <v>59.170913540039749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836">
        <f t="shared" si="67"/>
        <v>0.9642857142857143</v>
      </c>
      <c r="AT135" s="853">
        <f t="shared" si="68"/>
        <v>59.17477689944208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836">
        <f t="shared" si="72"/>
        <v>0.5357142857142857</v>
      </c>
      <c r="AY135" s="853">
        <f t="shared" si="73"/>
        <v>59.117364932383815</v>
      </c>
      <c r="AZ135" s="827">
        <f t="shared" si="77"/>
        <v>59.146070915912944</v>
      </c>
      <c r="BA135" s="660">
        <f t="shared" si="74"/>
        <v>0.97153753265828768</v>
      </c>
      <c r="BB135" s="655">
        <v>43221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924">
        <f>1+[2]!Salcycl*Ksac</f>
        <v>1.0115831382539886</v>
      </c>
      <c r="BH135" s="1080">
        <f t="shared" si="75"/>
        <v>1.6356164315995639E-2</v>
      </c>
      <c r="BI135" s="11">
        <v>44317</v>
      </c>
      <c r="BJ135" s="801">
        <v>9.8948236963225435E-4</v>
      </c>
      <c r="BK135" s="801">
        <v>5.0428622118289732E-3</v>
      </c>
      <c r="BL135" s="801">
        <v>1.0221980926170571E-2</v>
      </c>
      <c r="BM135" s="801">
        <v>1.6355938312428143E-2</v>
      </c>
      <c r="BN135" s="801">
        <v>2.2326026022044171E-2</v>
      </c>
      <c r="BO135" s="802">
        <v>2.8749412798794675E-2</v>
      </c>
      <c r="BP135" s="801">
        <v>3.6933224090025481E-2</v>
      </c>
      <c r="BQ135" s="801">
        <v>4.8350572686855074E-2</v>
      </c>
      <c r="BR135" s="801">
        <v>6.4572140513115092E-2</v>
      </c>
      <c r="BS135" s="801">
        <v>8.7148237787334271E-2</v>
      </c>
      <c r="BT135" s="801">
        <v>0.11445890914926923</v>
      </c>
      <c r="BW135" s="1136">
        <f>'2018'!R\Max</f>
        <v>0</v>
      </c>
      <c r="BX135" s="1134">
        <f>'2019'!R\Max</f>
        <v>0.97153753265828768</v>
      </c>
      <c r="BY135" s="1134">
        <f>'2020'!R\Max</f>
        <v>0.72860026638505881</v>
      </c>
      <c r="BZ135" s="1134">
        <f>'2021'!R\Max</f>
        <v>0.32752098837481314</v>
      </c>
      <c r="CA135" s="1134">
        <f>'2022'!R\Max</f>
        <v>0.84634588013949286</v>
      </c>
      <c r="CB135" s="1134">
        <f>'2023'!R\Max</f>
        <v>0.84628977318356235</v>
      </c>
      <c r="CC135" s="1134">
        <f>'2024'!R\Max</f>
        <v>0.84623007012585205</v>
      </c>
      <c r="CD135" s="1134">
        <f>'2025'!R\Max</f>
        <v>0.84652013439238261</v>
      </c>
      <c r="CE135" s="1134">
        <f>'2026'!R\Max</f>
        <v>0.84647926693620212</v>
      </c>
      <c r="CF135" s="1135">
        <f>'2027'!R\Max</f>
        <v>0.84643804103350428</v>
      </c>
    </row>
    <row r="136" spans="1:84" s="6" customFormat="1" ht="11.25" x14ac:dyDescent="0.2">
      <c r="A136" s="11">
        <v>43222</v>
      </c>
      <c r="B136" s="380">
        <f>'2023'!Maxi_hp</f>
        <v>52.039309618554178</v>
      </c>
      <c r="C136" s="85">
        <f>'2023'!An_max</f>
        <v>2021</v>
      </c>
      <c r="D136" s="1087" t="str">
        <f t="shared" si="59"/>
        <v/>
      </c>
      <c r="E136" s="747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836">
        <f t="shared" si="62"/>
        <v>0.8571428571428571</v>
      </c>
      <c r="J136" s="827">
        <f t="shared" si="63"/>
        <v>59.236119534234909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836">
        <f t="shared" si="67"/>
        <v>0.9285714285714286</v>
      </c>
      <c r="AT136" s="853">
        <f t="shared" si="68"/>
        <v>59.244411625393795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836">
        <f t="shared" si="72"/>
        <v>0.5714285714285714</v>
      </c>
      <c r="AY136" s="853">
        <f t="shared" si="73"/>
        <v>59.180120991489716</v>
      </c>
      <c r="AZ136" s="827">
        <f t="shared" si="77"/>
        <v>59.212266308441755</v>
      </c>
      <c r="BA136" s="660">
        <f t="shared" si="74"/>
        <v>0.87850639150119536</v>
      </c>
      <c r="BB136" s="655">
        <v>43222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924">
        <f>1+[2]!Salcycl*Ksac</f>
        <v>1.0121159854999637</v>
      </c>
      <c r="BH136" s="1080">
        <f t="shared" si="75"/>
        <v>1.7544574137445527E-2</v>
      </c>
      <c r="BI136" s="11">
        <v>44318</v>
      </c>
      <c r="BJ136" s="801">
        <v>1.1136975675785242E-3</v>
      </c>
      <c r="BK136" s="801">
        <v>5.4179190097876258E-3</v>
      </c>
      <c r="BL136" s="801">
        <v>1.0958994669592595E-2</v>
      </c>
      <c r="BM136" s="801">
        <v>1.7544331353446199E-2</v>
      </c>
      <c r="BN136" s="801">
        <v>2.395768927751037E-2</v>
      </c>
      <c r="BO136" s="802">
        <v>3.0733625984120504E-2</v>
      </c>
      <c r="BP136" s="801">
        <v>3.9163596498695274E-2</v>
      </c>
      <c r="BQ136" s="801">
        <v>5.0705215102813672E-2</v>
      </c>
      <c r="BR136" s="801">
        <v>6.6921372425529813E-2</v>
      </c>
      <c r="BS136" s="801">
        <v>8.9346500741173826E-2</v>
      </c>
      <c r="BT136" s="801">
        <v>0.11639757889188532</v>
      </c>
      <c r="BW136" s="1136">
        <f>'2018'!R\Max</f>
        <v>0</v>
      </c>
      <c r="BX136" s="1134">
        <f>'2019'!R\Max</f>
        <v>0.66386070757462712</v>
      </c>
      <c r="BY136" s="1134">
        <f>'2020'!R\Max</f>
        <v>0.34952014246921481</v>
      </c>
      <c r="BZ136" s="1134">
        <f>'2021'!R\Max</f>
        <v>0.87850639150119536</v>
      </c>
      <c r="CA136" s="1134">
        <f>'2022'!R\Max</f>
        <v>0.49505499600606218</v>
      </c>
      <c r="CB136" s="1134">
        <f>'2023'!R\Max</f>
        <v>0.49494335314583293</v>
      </c>
      <c r="CC136" s="1134">
        <f>'2024'!R\Max</f>
        <v>0.49482482471879768</v>
      </c>
      <c r="CD136" s="1134">
        <f>'2025'!R\Max</f>
        <v>0.49541290457599685</v>
      </c>
      <c r="CE136" s="1134">
        <f>'2026'!R\Max</f>
        <v>0.49532801813780697</v>
      </c>
      <c r="CF136" s="1135">
        <f>'2027'!R\Max</f>
        <v>0.49524256077722684</v>
      </c>
    </row>
    <row r="137" spans="1:84" s="6" customFormat="1" ht="11.25" x14ac:dyDescent="0.2">
      <c r="A137" s="11">
        <v>43223</v>
      </c>
      <c r="B137" s="380">
        <f>'2023'!Maxi_hp</f>
        <v>59.632265422182535</v>
      </c>
      <c r="C137" s="85">
        <f>'2023'!An_max</f>
        <v>2021</v>
      </c>
      <c r="D137" s="1087">
        <f t="shared" si="59"/>
        <v>1.0056719627413868</v>
      </c>
      <c r="E137" s="747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836">
        <f t="shared" si="62"/>
        <v>0.7857142857142857</v>
      </c>
      <c r="J137" s="827">
        <f t="shared" si="63"/>
        <v>59.295941053809862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836">
        <f t="shared" si="67"/>
        <v>0.8928571428571429</v>
      </c>
      <c r="AT137" s="853">
        <f t="shared" si="68"/>
        <v>59.309038789743298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836">
        <f t="shared" si="72"/>
        <v>0.6071428571428571</v>
      </c>
      <c r="AY137" s="853">
        <f t="shared" si="73"/>
        <v>59.239179710152428</v>
      </c>
      <c r="AZ137" s="827">
        <f t="shared" si="77"/>
        <v>59.274109249947863</v>
      </c>
      <c r="BA137" s="660">
        <f t="shared" si="74"/>
        <v>1.0056719627413868</v>
      </c>
      <c r="BB137" s="655">
        <v>43223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924">
        <f>1+[2]!Salcycl*Ksac</f>
        <v>1.012662104688159</v>
      </c>
      <c r="BH137" s="1080">
        <f t="shared" si="75"/>
        <v>1.876529981429096E-2</v>
      </c>
      <c r="BI137" s="11">
        <v>44319</v>
      </c>
      <c r="BJ137" s="801">
        <v>1.2468643037631679E-3</v>
      </c>
      <c r="BK137" s="801">
        <v>5.8051754929426729E-3</v>
      </c>
      <c r="BL137" s="801">
        <v>1.1716850631796524E-2</v>
      </c>
      <c r="BM137" s="801">
        <v>1.8765039830660874E-2</v>
      </c>
      <c r="BN137" s="801">
        <v>2.5632741486248629E-2</v>
      </c>
      <c r="BO137" s="802">
        <v>3.2771113586632962E-2</v>
      </c>
      <c r="BP137" s="801">
        <v>4.1456092894944362E-2</v>
      </c>
      <c r="BQ137" s="801">
        <v>5.3131496206728558E-2</v>
      </c>
      <c r="BR137" s="801">
        <v>6.9352008518766092E-2</v>
      </c>
      <c r="BS137" s="801">
        <v>9.1636530365408794E-2</v>
      </c>
      <c r="BT137" s="801">
        <v>0.11844060298938865</v>
      </c>
      <c r="BW137" s="1136">
        <f>'2018'!R\Max</f>
        <v>0</v>
      </c>
      <c r="BX137" s="1134">
        <f>'2019'!R\Max</f>
        <v>0.42230548825529485</v>
      </c>
      <c r="BY137" s="1134">
        <f>'2020'!R\Max</f>
        <v>0.58632567396301372</v>
      </c>
      <c r="BZ137" s="1134">
        <f>'2021'!R\Max</f>
        <v>1.0056719627413868</v>
      </c>
      <c r="CA137" s="1134">
        <f>'2022'!R\Max</f>
        <v>0.56500248910248574</v>
      </c>
      <c r="CB137" s="1134">
        <f>'2023'!R\Max</f>
        <v>0.56488879924562618</v>
      </c>
      <c r="CC137" s="1134">
        <f>'2024'!R\Max</f>
        <v>0.56476833050425235</v>
      </c>
      <c r="CD137" s="1134">
        <f>'2025'!R\Max</f>
        <v>0.56537757526697219</v>
      </c>
      <c r="CE137" s="1134">
        <f>'2026'!R\Max</f>
        <v>0.56528774940584336</v>
      </c>
      <c r="CF137" s="1135">
        <f>'2027'!R\Max</f>
        <v>0.56519747260588382</v>
      </c>
    </row>
    <row r="138" spans="1:84" s="6" customFormat="1" ht="11.25" x14ac:dyDescent="0.2">
      <c r="A138" s="11">
        <v>43224</v>
      </c>
      <c r="B138" s="380">
        <f>'2023'!Maxi_hp</f>
        <v>56.02715044671482</v>
      </c>
      <c r="C138" s="85">
        <f>'2023'!An_max</f>
        <v>2020</v>
      </c>
      <c r="D138" s="1087" t="str">
        <f t="shared" si="59"/>
        <v/>
      </c>
      <c r="E138" s="747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836">
        <f t="shared" si="62"/>
        <v>0.7142857142857143</v>
      </c>
      <c r="J138" s="827">
        <f t="shared" si="63"/>
        <v>59.350701166476526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836">
        <f t="shared" si="67"/>
        <v>0.8571428571428571</v>
      </c>
      <c r="AT138" s="853">
        <f t="shared" si="68"/>
        <v>59.368793002994991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836">
        <f t="shared" si="72"/>
        <v>0.6428571428571429</v>
      </c>
      <c r="AY138" s="853">
        <f t="shared" si="73"/>
        <v>59.294702623917587</v>
      </c>
      <c r="AZ138" s="827">
        <f t="shared" si="77"/>
        <v>59.331747813456289</v>
      </c>
      <c r="BA138" s="660">
        <f t="shared" si="74"/>
        <v>0.94400149190421068</v>
      </c>
      <c r="BB138" s="655">
        <v>43224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924">
        <f>1+[2]!Salcycl*Ksac</f>
        <v>1.0132212487513415</v>
      </c>
      <c r="BH138" s="1080">
        <f t="shared" si="75"/>
        <v>2.0018286505794361E-2</v>
      </c>
      <c r="BI138" s="11">
        <v>44320</v>
      </c>
      <c r="BJ138" s="801">
        <v>1.3889725239531153E-3</v>
      </c>
      <c r="BK138" s="801">
        <v>6.2046127701556805E-3</v>
      </c>
      <c r="BL138" s="801">
        <v>1.2495514139429398E-2</v>
      </c>
      <c r="BM138" s="801">
        <v>2.0018008904077938E-2</v>
      </c>
      <c r="BN138" s="801">
        <v>2.7351108172107282E-2</v>
      </c>
      <c r="BO138" s="802">
        <v>3.4861784259811436E-2</v>
      </c>
      <c r="BP138" s="801">
        <v>4.381060773538125E-2</v>
      </c>
      <c r="BQ138" s="801">
        <v>5.5629297550764373E-2</v>
      </c>
      <c r="BR138" s="801">
        <v>7.1863918870051141E-2</v>
      </c>
      <c r="BS138" s="801">
        <v>9.4018186391824632E-2</v>
      </c>
      <c r="BT138" s="801">
        <v>0.12058783023989585</v>
      </c>
      <c r="BW138" s="1136">
        <f>'2018'!R\Max</f>
        <v>0</v>
      </c>
      <c r="BX138" s="1134">
        <f>'2019'!R\Max</f>
        <v>0.48414302822060984</v>
      </c>
      <c r="BY138" s="1134">
        <f>'2020'!R\Max</f>
        <v>0.94400149190421068</v>
      </c>
      <c r="BZ138" s="1134">
        <f>'2021'!R\Max</f>
        <v>0.89558116753823991</v>
      </c>
      <c r="CA138" s="1134">
        <f>'2022'!R\Max</f>
        <v>0.33286242480735562</v>
      </c>
      <c r="CB138" s="1134">
        <f>'2023'!R\Max</f>
        <v>0.3327560119832873</v>
      </c>
      <c r="CC138" s="1134">
        <f>'2024'!R\Max</f>
        <v>0.3326435082773001</v>
      </c>
      <c r="CD138" s="1134">
        <f>'2025'!R\Max</f>
        <v>0.33322320709863346</v>
      </c>
      <c r="CE138" s="1134">
        <f>'2026'!R\Max</f>
        <v>0.33313601693923073</v>
      </c>
      <c r="CF138" s="1135">
        <f>'2027'!R\Max</f>
        <v>0.3330485534006094</v>
      </c>
    </row>
    <row r="139" spans="1:84" s="6" customFormat="1" ht="11.25" x14ac:dyDescent="0.2">
      <c r="A139" s="11">
        <v>43225</v>
      </c>
      <c r="B139" s="380">
        <f>'2023'!Maxi_hp</f>
        <v>58.496922298592779</v>
      </c>
      <c r="C139" s="85">
        <f>'2023'!An_max</f>
        <v>2020</v>
      </c>
      <c r="D139" s="1087">
        <f t="shared" si="59"/>
        <v>0.98478468614724479</v>
      </c>
      <c r="E139" s="747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836">
        <f t="shared" si="62"/>
        <v>0.6428571428571429</v>
      </c>
      <c r="J139" s="827">
        <f t="shared" si="63"/>
        <v>59.40072294122406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836">
        <f t="shared" si="67"/>
        <v>0.8214285714285714</v>
      </c>
      <c r="AT139" s="853">
        <f t="shared" si="68"/>
        <v>59.423808878407421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836">
        <f t="shared" si="72"/>
        <v>0.6785714285714286</v>
      </c>
      <c r="AY139" s="853">
        <f t="shared" si="73"/>
        <v>59.346851266454905</v>
      </c>
      <c r="AZ139" s="827">
        <f t="shared" si="77"/>
        <v>59.385330072431159</v>
      </c>
      <c r="BA139" s="660">
        <f t="shared" si="74"/>
        <v>0.98478468614724479</v>
      </c>
      <c r="BB139" s="655">
        <v>43225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924">
        <f>1+[2]!Salcycl*Ksac</f>
        <v>1.0137931388728807</v>
      </c>
      <c r="BH139" s="1080">
        <f t="shared" si="75"/>
        <v>2.1303476916148246E-2</v>
      </c>
      <c r="BI139" s="11">
        <v>44321</v>
      </c>
      <c r="BJ139" s="801">
        <v>1.5400116798662971E-3</v>
      </c>
      <c r="BK139" s="801">
        <v>6.61621109016838E-3</v>
      </c>
      <c r="BL139" s="801">
        <v>1.3294948962368089E-2</v>
      </c>
      <c r="BM139" s="801">
        <v>2.1303181278666327E-2</v>
      </c>
      <c r="BN139" s="801">
        <v>2.9112711530055808E-2</v>
      </c>
      <c r="BO139" s="802">
        <v>3.7005542586383416E-2</v>
      </c>
      <c r="BP139" s="801">
        <v>4.6227030802869801E-2</v>
      </c>
      <c r="BQ139" s="801">
        <v>5.8198495489815795E-2</v>
      </c>
      <c r="BR139" s="801">
        <v>7.4456967939149951E-2</v>
      </c>
      <c r="BS139" s="801">
        <v>9.649132261657821E-2</v>
      </c>
      <c r="BT139" s="801">
        <v>0.12283910318793799</v>
      </c>
      <c r="BW139" s="1136">
        <f>'2018'!R\Max</f>
        <v>0</v>
      </c>
      <c r="BX139" s="1134">
        <f>'2019'!R\Max</f>
        <v>0.80064327430171178</v>
      </c>
      <c r="BY139" s="1134">
        <f>'2020'!R\Max</f>
        <v>0.98478468614724479</v>
      </c>
      <c r="BZ139" s="1134">
        <f>'2021'!R\Max</f>
        <v>0.6557368179060562</v>
      </c>
      <c r="CA139" s="1134">
        <f>'2022'!R\Max</f>
        <v>0.69900584121697773</v>
      </c>
      <c r="CB139" s="1134">
        <f>'2023'!R\Max</f>
        <v>0.69890133887483552</v>
      </c>
      <c r="CC139" s="1134">
        <f>'2024'!R\Max</f>
        <v>0.69879104142498716</v>
      </c>
      <c r="CD139" s="1134">
        <f>'2025'!R\Max</f>
        <v>0.69936878772280664</v>
      </c>
      <c r="CE139" s="1134">
        <f>'2026'!R\Max</f>
        <v>0.69928041096699878</v>
      </c>
      <c r="CF139" s="1135">
        <f>'2027'!R\Max</f>
        <v>0.69919187764534418</v>
      </c>
    </row>
    <row r="140" spans="1:84" s="6" customFormat="1" ht="11.25" x14ac:dyDescent="0.2">
      <c r="A140" s="11">
        <v>43226</v>
      </c>
      <c r="B140" s="380">
        <f>'2023'!Maxi_hp</f>
        <v>61.787025291973102</v>
      </c>
      <c r="C140" s="85">
        <f>'2023'!An_max</f>
        <v>2019</v>
      </c>
      <c r="D140" s="1087">
        <f t="shared" si="59"/>
        <v>1.0393749432009896</v>
      </c>
      <c r="E140" s="747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836">
        <f t="shared" si="62"/>
        <v>0.5714285714285714</v>
      </c>
      <c r="J140" s="827">
        <f t="shared" si="63"/>
        <v>59.44632944650948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836">
        <f t="shared" si="67"/>
        <v>0.7857142857142857</v>
      </c>
      <c r="AT140" s="853">
        <f t="shared" si="68"/>
        <v>59.474221027163523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836">
        <f t="shared" si="72"/>
        <v>0.7142857142857143</v>
      </c>
      <c r="AY140" s="853">
        <f t="shared" si="73"/>
        <v>59.395787171806603</v>
      </c>
      <c r="AZ140" s="827">
        <f t="shared" si="77"/>
        <v>59.435004099485063</v>
      </c>
      <c r="BA140" s="660">
        <f t="shared" si="74"/>
        <v>1.0393749432009896</v>
      </c>
      <c r="BB140" s="655">
        <v>43226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924">
        <f>1+[2]!Salcycl*Ksac</f>
        <v>1.0143774639296084</v>
      </c>
      <c r="BH140" s="1080">
        <f t="shared" si="75"/>
        <v>2.2620811222221142E-2</v>
      </c>
      <c r="BI140" s="11">
        <v>44322</v>
      </c>
      <c r="BJ140" s="801">
        <v>1.6999707094116766E-3</v>
      </c>
      <c r="BK140" s="801">
        <v>7.0399498144161987E-3</v>
      </c>
      <c r="BL140" s="801">
        <v>1.4115117267154177E-2</v>
      </c>
      <c r="BM140" s="801">
        <v>2.2620497132105021E-2</v>
      </c>
      <c r="BN140" s="801">
        <v>3.0917470329129736E-2</v>
      </c>
      <c r="BO140" s="802">
        <v>3.9202288959169655E-2</v>
      </c>
      <c r="BP140" s="801">
        <v>4.8705247067652502E-2</v>
      </c>
      <c r="BQ140" s="801">
        <v>6.0838961021567273E-2</v>
      </c>
      <c r="BR140" s="801">
        <v>7.7131014386925836E-2</v>
      </c>
      <c r="BS140" s="801">
        <v>9.9055786696072456E-2</v>
      </c>
      <c r="BT140" s="801">
        <v>0.1251942578928649</v>
      </c>
      <c r="BW140" s="1136">
        <f>'2018'!R\Max</f>
        <v>0</v>
      </c>
      <c r="BX140" s="1134">
        <f>'2019'!R\Max</f>
        <v>1.0393749432009896</v>
      </c>
      <c r="BY140" s="1134">
        <f>'2020'!R\Max</f>
        <v>0.86918670967637379</v>
      </c>
      <c r="BZ140" s="1134">
        <f>'2021'!R\Max</f>
        <v>0.6148250323682446</v>
      </c>
      <c r="CA140" s="1134">
        <f>'2022'!R\Max</f>
        <v>0.65234270127419225</v>
      </c>
      <c r="CB140" s="1134">
        <f>'2023'!R\Max</f>
        <v>0.65222593979873955</v>
      </c>
      <c r="CC140" s="1134">
        <f>'2024'!R\Max</f>
        <v>0.65210296469944085</v>
      </c>
      <c r="CD140" s="1134">
        <f>'2025'!R\Max</f>
        <v>0.65275775609298659</v>
      </c>
      <c r="CE140" s="1134">
        <f>'2026'!R\Max</f>
        <v>0.65265594631507118</v>
      </c>
      <c r="CF140" s="1135">
        <f>'2027'!R\Max</f>
        <v>0.65255412528332524</v>
      </c>
    </row>
    <row r="141" spans="1:84" s="6" customFormat="1" ht="11.25" x14ac:dyDescent="0.2">
      <c r="A141" s="11">
        <v>43227</v>
      </c>
      <c r="B141" s="380">
        <f>'2023'!Maxi_hp</f>
        <v>57.268675300754929</v>
      </c>
      <c r="C141" s="85">
        <f>'2023'!An_max</f>
        <v>2020</v>
      </c>
      <c r="D141" s="1087" t="str">
        <f t="shared" si="59"/>
        <v/>
      </c>
      <c r="E141" s="747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836">
        <f t="shared" si="62"/>
        <v>0.5</v>
      </c>
      <c r="J141" s="827">
        <f t="shared" si="63"/>
        <v>59.487843750603496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836">
        <f t="shared" si="67"/>
        <v>0.75</v>
      </c>
      <c r="AT141" s="853">
        <f t="shared" si="68"/>
        <v>59.520164063666016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836">
        <f t="shared" si="72"/>
        <v>0.75</v>
      </c>
      <c r="AY141" s="853">
        <f t="shared" si="73"/>
        <v>59.441671875119212</v>
      </c>
      <c r="AZ141" s="827">
        <f t="shared" si="77"/>
        <v>59.480917969392614</v>
      </c>
      <c r="BA141" s="660">
        <f t="shared" si="74"/>
        <v>0.96269542968892607</v>
      </c>
      <c r="BB141" s="655">
        <v>43227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924">
        <f>1+[2]!Salcycl*Ksac</f>
        <v>1.0149738800288108</v>
      </c>
      <c r="BH141" s="1080">
        <f t="shared" si="75"/>
        <v>2.3970227001033108E-2</v>
      </c>
      <c r="BI141" s="11">
        <v>44323</v>
      </c>
      <c r="BJ141" s="801">
        <v>1.8688380169109191E-3</v>
      </c>
      <c r="BK141" s="801">
        <v>7.4758073897580185E-3</v>
      </c>
      <c r="BL141" s="801">
        <v>1.4955979570259953E-2</v>
      </c>
      <c r="BM141" s="801">
        <v>2.3969894042259483E-2</v>
      </c>
      <c r="BN141" s="801">
        <v>3.276529981500606E-2</v>
      </c>
      <c r="BO141" s="802">
        <v>4.1451919461457633E-2</v>
      </c>
      <c r="BP141" s="801">
        <v>5.1245136547878878E-2</v>
      </c>
      <c r="BQ141" s="801">
        <v>6.3550559625793743E-2</v>
      </c>
      <c r="BR141" s="801">
        <v>7.9885910892915274E-2</v>
      </c>
      <c r="BS141" s="801">
        <v>0.10171141994153514</v>
      </c>
      <c r="BT141" s="801">
        <v>0.12765312369558021</v>
      </c>
      <c r="BW141" s="1136">
        <f>'2018'!R\Max</f>
        <v>0</v>
      </c>
      <c r="BX141" s="1134">
        <f>'2019'!R\Max</f>
        <v>0.82551383078240015</v>
      </c>
      <c r="BY141" s="1134">
        <f>'2020'!R\Max</f>
        <v>0.96269542968892607</v>
      </c>
      <c r="BZ141" s="1134">
        <f>'2021'!R\Max</f>
        <v>0.4666047983605684</v>
      </c>
      <c r="CA141" s="1134">
        <f>'2022'!R\Max</f>
        <v>0.84398047556773215</v>
      </c>
      <c r="CB141" s="1134">
        <f>'2023'!R\Max</f>
        <v>0.84391018402541684</v>
      </c>
      <c r="CC141" s="1134">
        <f>'2024'!R\Max</f>
        <v>0.84383629128184989</v>
      </c>
      <c r="CD141" s="1134">
        <f>'2025'!R\Max</f>
        <v>0.84423565674122614</v>
      </c>
      <c r="CE141" s="1134">
        <f>'2026'!R\Max</f>
        <v>0.84417266208108599</v>
      </c>
      <c r="CF141" s="1135">
        <f>'2027'!R\Max</f>
        <v>0.8441097494231341</v>
      </c>
    </row>
    <row r="142" spans="1:84" s="6" customFormat="1" ht="11.25" x14ac:dyDescent="0.2">
      <c r="A142" s="11">
        <v>43228</v>
      </c>
      <c r="B142" s="380">
        <f>'2023'!Maxi_hp</f>
        <v>59.229596839292704</v>
      </c>
      <c r="C142" s="85">
        <f>'2023'!An_max</f>
        <v>2021</v>
      </c>
      <c r="D142" s="1087">
        <f t="shared" si="59"/>
        <v>0.99502748166394139</v>
      </c>
      <c r="E142" s="747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836">
        <f t="shared" si="62"/>
        <v>0.42857142857142855</v>
      </c>
      <c r="J142" s="827">
        <f t="shared" si="63"/>
        <v>59.525588921670398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836">
        <f t="shared" si="67"/>
        <v>0.7142857142857143</v>
      </c>
      <c r="AT142" s="853">
        <f t="shared" si="68"/>
        <v>59.561772595345971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836">
        <f t="shared" si="72"/>
        <v>0.7857142857142857</v>
      </c>
      <c r="AY142" s="853">
        <f t="shared" si="73"/>
        <v>59.484666909410485</v>
      </c>
      <c r="AZ142" s="827">
        <f t="shared" si="77"/>
        <v>59.523219752378225</v>
      </c>
      <c r="BA142" s="660">
        <f t="shared" si="74"/>
        <v>0.99502748166394139</v>
      </c>
      <c r="BB142" s="655">
        <v>43228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924">
        <f>1+[2]!Salcycl*Ksac</f>
        <v>1.0155820101509712</v>
      </c>
      <c r="BH142" s="1080">
        <f t="shared" si="75"/>
        <v>2.5354084534168181E-2</v>
      </c>
      <c r="BI142" s="11">
        <v>44324</v>
      </c>
      <c r="BJ142" s="801">
        <v>2.05018772640884E-3</v>
      </c>
      <c r="BK142" s="801">
        <v>7.9262633179371655E-3</v>
      </c>
      <c r="BL142" s="801">
        <v>1.5819646719249524E-2</v>
      </c>
      <c r="BM142" s="801">
        <v>2.5353732263068942E-2</v>
      </c>
      <c r="BN142" s="801">
        <v>3.4659290504035822E-2</v>
      </c>
      <c r="BO142" s="802">
        <v>4.3757321890374283E-2</v>
      </c>
      <c r="BP142" s="801">
        <v>5.3849973153588006E-2</v>
      </c>
      <c r="BQ142" s="801">
        <v>6.6338135735423839E-2</v>
      </c>
      <c r="BR142" s="801">
        <v>8.2728974618096959E-2</v>
      </c>
      <c r="BS142" s="801">
        <v>0.1044700018066157</v>
      </c>
      <c r="BT142" s="801">
        <v>0.13023305950370731</v>
      </c>
      <c r="BW142" s="1136">
        <f>'2018'!R\Max</f>
        <v>0</v>
      </c>
      <c r="BX142" s="1134">
        <f>'2019'!R\Max</f>
        <v>0.54204384400076433</v>
      </c>
      <c r="BY142" s="1134">
        <f>'2020'!R\Max</f>
        <v>0.8630666556209603</v>
      </c>
      <c r="BZ142" s="1134">
        <f>'2021'!R\Max</f>
        <v>0.99502748166394139</v>
      </c>
      <c r="CA142" s="1134">
        <f>'2022'!R\Max</f>
        <v>0.88013385447302372</v>
      </c>
      <c r="CB142" s="1134">
        <f>'2023'!R\Max</f>
        <v>0.88007545603888726</v>
      </c>
      <c r="CC142" s="1134">
        <f>'2024'!R\Max</f>
        <v>0.88001419103196565</v>
      </c>
      <c r="CD142" s="1134">
        <f>'2025'!R\Max</f>
        <v>0.88035012165877158</v>
      </c>
      <c r="CE142" s="1134">
        <f>'2026'!R\Max</f>
        <v>0.8802964069844682</v>
      </c>
      <c r="CF142" s="1135">
        <f>'2027'!R\Max</f>
        <v>0.88024284505770167</v>
      </c>
    </row>
    <row r="143" spans="1:84" s="6" customFormat="1" ht="11.25" x14ac:dyDescent="0.2">
      <c r="A143" s="11">
        <v>43229</v>
      </c>
      <c r="B143" s="380">
        <f>'2023'!Maxi_hp</f>
        <v>57.01224461808134</v>
      </c>
      <c r="C143" s="85">
        <f>'2023'!An_max</f>
        <v>2022</v>
      </c>
      <c r="D143" s="1087" t="str">
        <f t="shared" ref="D143:D206" si="78">IF($BA143&gt;$D$11,BA143,"")</f>
        <v/>
      </c>
      <c r="E143" s="747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836">
        <f t="shared" ref="I143:I206" si="81">($A143-H143)/(INDEX(x.2m,G143)-H143)</f>
        <v>0.35714285714285715</v>
      </c>
      <c r="J143" s="827">
        <f t="shared" ref="J143:J206" si="82">((1-I143)*(INDEX(a.m,F143)*$A143*$A143+INDEX(b.m,F143)*$A143+INDEX(c.m,F143))+I143*(INDEX(a.m,G143)*$A143*$A143+INDEX(b.m,G143)*$A143+INDEX(c.m,G143)))/10</f>
        <v>59.559888028380058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836">
        <f t="shared" ref="AS143:AS206" si="86">($A143-AR143)/(INDEX(x.2lg,AQ143)-AR143)</f>
        <v>0.6785714285714286</v>
      </c>
      <c r="AT143" s="853">
        <f t="shared" ref="AT143:AT206" si="87">((1-AS143)*(INDEX(a.lg,AP143)*$A143*$A143+INDEX(b.lg,AP143)*$A143+INDEX(c.lg,AP143))+AS143*(INDEX(a.lg,AQ143)*$A143*$A143+INDEX(b.lg,AQ143)*$A143+INDEX(c.lg,AQ143)))/10</f>
        <v>59.599181236246864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836">
        <f t="shared" ref="AX143:AX206" si="91">($A143-AW143)/(INDEX(x.2ld,AV143)-AW143)</f>
        <v>0.8214285714285714</v>
      </c>
      <c r="AY143" s="853">
        <f t="shared" ref="AY143:AY206" si="92">((1-AX143)*(INDEX(a.ld,AU143)*$A143*$A143+INDEX(b.ld,AU143)*$A143+INDEX(c.ld,AU143))+AX143*(INDEX(a.ld,AV143)*$A143*$A143+INDEX(b.ld,AV143)*$A143+INDEX(c.ld,AV143)))/10</f>
        <v>59.524933809707207</v>
      </c>
      <c r="AZ143" s="827">
        <f t="shared" si="77"/>
        <v>59.562057522977035</v>
      </c>
      <c r="BA143" s="660">
        <f t="shared" ref="BA143:BA206" si="93">+B143/J143</f>
        <v>0.95722551712849469</v>
      </c>
      <c r="BB143" s="655">
        <v>43229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924">
        <f>1+[2]!Salcycl*Ksac</f>
        <v>1.0162014439096383</v>
      </c>
      <c r="BH143" s="1080">
        <f t="shared" ref="BH143:BH206" si="94">INDEX($BJ143:$BT143,,$BH$10)*(1-Ratini)+INDEX($BJ143:$BT143,,$BH$10+1)*Ratini</f>
        <v>2.6751754757332911E-2</v>
      </c>
      <c r="BI143" s="11">
        <v>44325</v>
      </c>
      <c r="BJ143" s="801">
        <v>2.2395246280350481E-3</v>
      </c>
      <c r="BK143" s="801">
        <v>8.3836544332700855E-3</v>
      </c>
      <c r="BL143" s="801">
        <v>1.669285350445306E-2</v>
      </c>
      <c r="BM143" s="801">
        <v>2.6751382953752945E-2</v>
      </c>
      <c r="BN143" s="801">
        <v>3.6572909258456472E-2</v>
      </c>
      <c r="BO143" s="802">
        <v>4.6086751330446957E-2</v>
      </c>
      <c r="BP143" s="801">
        <v>5.6483273019897549E-2</v>
      </c>
      <c r="BQ143" s="801">
        <v>6.9160315942378411E-2</v>
      </c>
      <c r="BR143" s="801">
        <v>8.5613045769418028E-2</v>
      </c>
      <c r="BS143" s="801">
        <v>0.10727823915437258</v>
      </c>
      <c r="BT143" s="801">
        <v>0.13287305739597094</v>
      </c>
      <c r="BW143" s="1136">
        <f>'2018'!R\Max</f>
        <v>0</v>
      </c>
      <c r="BX143" s="1134">
        <f>'2019'!R\Max</f>
        <v>0.8718760677389007</v>
      </c>
      <c r="BY143" s="1134">
        <f>'2020'!R\Max</f>
        <v>0.85605725570488822</v>
      </c>
      <c r="BZ143" s="1134">
        <f>'2021'!R\Max</f>
        <v>0.38487185027186388</v>
      </c>
      <c r="CA143" s="1134">
        <f>'2022'!R\Max</f>
        <v>0.95722551712849469</v>
      </c>
      <c r="CB143" s="1134">
        <f>'2023'!R\Max</f>
        <v>0.95720202116919428</v>
      </c>
      <c r="CC143" s="1134">
        <f>'2024'!R\Max</f>
        <v>0.95717742034988029</v>
      </c>
      <c r="CD143" s="1134">
        <f>'2025'!R\Max</f>
        <v>0.95731413558483081</v>
      </c>
      <c r="CE143" s="1134">
        <f>'2026'!R\Max</f>
        <v>0.95729200272599346</v>
      </c>
      <c r="CF143" s="1135">
        <f>'2027'!R\Max</f>
        <v>0.95726996565283151</v>
      </c>
    </row>
    <row r="144" spans="1:84" s="6" customFormat="1" ht="11.25" x14ac:dyDescent="0.2">
      <c r="A144" s="11">
        <v>43230</v>
      </c>
      <c r="B144" s="380">
        <f>'2023'!Maxi_hp</f>
        <v>54.342369074324978</v>
      </c>
      <c r="C144" s="85">
        <f>'2023'!An_max</f>
        <v>2022</v>
      </c>
      <c r="D144" s="1087" t="str">
        <f t="shared" si="78"/>
        <v/>
      </c>
      <c r="E144" s="747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836">
        <f t="shared" si="81"/>
        <v>0.2857142857142857</v>
      </c>
      <c r="J144" s="827">
        <f t="shared" si="82"/>
        <v>59.591064140626358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836">
        <f t="shared" si="86"/>
        <v>0.6428571428571429</v>
      </c>
      <c r="AT144" s="853">
        <f t="shared" si="87"/>
        <v>59.63252460011946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836">
        <f t="shared" si="91"/>
        <v>0.8571428571428571</v>
      </c>
      <c r="AY144" s="853">
        <f t="shared" si="92"/>
        <v>59.562634110557177</v>
      </c>
      <c r="AZ144" s="827">
        <f t="shared" ref="AZ144:AZ207" si="96">(AY144+AT144)/2</f>
        <v>59.597579355338318</v>
      </c>
      <c r="BA144" s="660">
        <f t="shared" si="93"/>
        <v>0.91192144087383276</v>
      </c>
      <c r="BB144" s="655">
        <v>43230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924">
        <f>1+[2]!Salcycl*Ksac</f>
        <v>1.0168317374394114</v>
      </c>
      <c r="BH144" s="1080">
        <f t="shared" si="94"/>
        <v>2.8163184083523224E-2</v>
      </c>
      <c r="BI144" s="11">
        <v>44326</v>
      </c>
      <c r="BJ144" s="801">
        <v>2.4368361627970184E-3</v>
      </c>
      <c r="BK144" s="801">
        <v>8.8479610654356063E-3</v>
      </c>
      <c r="BL144" s="801">
        <v>1.7575565614859356E-2</v>
      </c>
      <c r="BM144" s="801">
        <v>2.8162792528080762E-2</v>
      </c>
      <c r="BN144" s="801">
        <v>3.8506082063552625E-2</v>
      </c>
      <c r="BO144" s="802">
        <v>4.8440117193745191E-2</v>
      </c>
      <c r="BP144" s="801">
        <v>5.9144931516596756E-2</v>
      </c>
      <c r="BQ144" s="801">
        <v>7.201698231967267E-2</v>
      </c>
      <c r="BR144" s="801">
        <v>8.8537995141412806E-2</v>
      </c>
      <c r="BS144" s="801">
        <v>0.1101359916252949</v>
      </c>
      <c r="BT144" s="801">
        <v>0.13557296560878149</v>
      </c>
      <c r="BW144" s="1136">
        <f>'2018'!R\Max</f>
        <v>0</v>
      </c>
      <c r="BX144" s="1134">
        <f>'2019'!R\Max</f>
        <v>0.72604493085470589</v>
      </c>
      <c r="BY144" s="1134">
        <f>'2020'!R\Max</f>
        <v>0.81975089188085259</v>
      </c>
      <c r="BZ144" s="1134">
        <f>'2021'!R\Max</f>
        <v>0.70352768887273398</v>
      </c>
      <c r="CA144" s="1134">
        <f>'2022'!R\Max</f>
        <v>0.91192144087383276</v>
      </c>
      <c r="CB144" s="1134">
        <f>'2023'!R\Max</f>
        <v>0.91187367772042527</v>
      </c>
      <c r="CC144" s="1134">
        <f>'2024'!R\Max</f>
        <v>0.91182377291073902</v>
      </c>
      <c r="CD144" s="1134">
        <f>'2025'!R\Max</f>
        <v>0.91210472331063341</v>
      </c>
      <c r="CE144" s="1134">
        <f>'2026'!R\Max</f>
        <v>0.91205870270795641</v>
      </c>
      <c r="CF144" s="1135">
        <f>'2027'!R\Max</f>
        <v>0.91201295536888538</v>
      </c>
    </row>
    <row r="145" spans="1:84" s="6" customFormat="1" ht="11.25" x14ac:dyDescent="0.2">
      <c r="A145" s="11">
        <v>43231</v>
      </c>
      <c r="B145" s="380">
        <f>'2023'!Maxi_hp</f>
        <v>58.316115352484751</v>
      </c>
      <c r="C145" s="85">
        <f>'2023'!An_max</f>
        <v>2022</v>
      </c>
      <c r="D145" s="1087">
        <f t="shared" si="78"/>
        <v>0.97813926187284261</v>
      </c>
      <c r="E145" s="747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836">
        <f t="shared" si="81"/>
        <v>0.21428571428571427</v>
      </c>
      <c r="J145" s="827">
        <f t="shared" si="82"/>
        <v>59.619440324710943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836">
        <f t="shared" si="86"/>
        <v>0.6071428571428571</v>
      </c>
      <c r="AT145" s="853">
        <f t="shared" si="87"/>
        <v>59.661937295552342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836">
        <f t="shared" si="91"/>
        <v>0.8928571428571429</v>
      </c>
      <c r="AY145" s="853">
        <f t="shared" si="92"/>
        <v>59.597929345803074</v>
      </c>
      <c r="AZ145" s="827">
        <f t="shared" si="96"/>
        <v>59.629933320677708</v>
      </c>
      <c r="BA145" s="660">
        <f t="shared" si="93"/>
        <v>0.97813926187284261</v>
      </c>
      <c r="BB145" s="655">
        <v>43231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924">
        <f>1+[2]!Salcycl*Ksac</f>
        <v>1.0174724134224753</v>
      </c>
      <c r="BH145" s="1080">
        <f t="shared" si="94"/>
        <v>2.9588316952705408E-2</v>
      </c>
      <c r="BI145" s="11">
        <v>44327</v>
      </c>
      <c r="BJ145" s="801">
        <v>2.6421092011790592E-3</v>
      </c>
      <c r="BK145" s="801">
        <v>9.3191627785785946E-3</v>
      </c>
      <c r="BL145" s="801">
        <v>1.8467747461544393E-2</v>
      </c>
      <c r="BM145" s="801">
        <v>2.9587905426820937E-2</v>
      </c>
      <c r="BN145" s="801">
        <v>4.0458732167643029E-2</v>
      </c>
      <c r="BO145" s="802">
        <v>5.0817325552947851E-2</v>
      </c>
      <c r="BP145" s="801">
        <v>6.1834840170786311E-2</v>
      </c>
      <c r="BQ145" s="801">
        <v>7.4908012612376881E-2</v>
      </c>
      <c r="BR145" s="801">
        <v>9.150368881506464E-2</v>
      </c>
      <c r="BS145" s="801">
        <v>0.1130431137705636</v>
      </c>
      <c r="BT145" s="801">
        <v>0.13833262690724779</v>
      </c>
      <c r="BW145" s="1136">
        <f>'2018'!R\Max</f>
        <v>0</v>
      </c>
      <c r="BX145" s="1134">
        <f>'2019'!R\Max</f>
        <v>0.63802633726068325</v>
      </c>
      <c r="BY145" s="1134">
        <f>'2020'!R\Max</f>
        <v>0.20348493856174271</v>
      </c>
      <c r="BZ145" s="1134">
        <f>'2021'!R\Max</f>
        <v>0.54341065420453183</v>
      </c>
      <c r="CA145" s="1134">
        <f>'2022'!R\Max</f>
        <v>0.97813926187284261</v>
      </c>
      <c r="CB145" s="1134">
        <f>'2023'!R\Max</f>
        <v>0.97812608858817063</v>
      </c>
      <c r="CC145" s="1134">
        <f>'2024'!R\Max</f>
        <v>0.97811235117157702</v>
      </c>
      <c r="CD145" s="1134">
        <f>'2025'!R\Max</f>
        <v>0.97819061220246573</v>
      </c>
      <c r="CE145" s="1134">
        <f>'2026'!R\Max</f>
        <v>0.97817765672193036</v>
      </c>
      <c r="CF145" s="1135">
        <f>'2027'!R\Max</f>
        <v>0.97816479738979689</v>
      </c>
    </row>
    <row r="146" spans="1:84" s="6" customFormat="1" ht="11.25" x14ac:dyDescent="0.2">
      <c r="A146" s="11">
        <v>43232</v>
      </c>
      <c r="B146" s="380">
        <f>'2023'!Maxi_hp</f>
        <v>54.342875304504368</v>
      </c>
      <c r="C146" s="85">
        <f>'2023'!An_max</f>
        <v>2019</v>
      </c>
      <c r="D146" s="1087" t="str">
        <f t="shared" si="78"/>
        <v/>
      </c>
      <c r="E146" s="747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836">
        <f t="shared" si="81"/>
        <v>0.14285714285714285</v>
      </c>
      <c r="J146" s="827">
        <f t="shared" si="82"/>
        <v>59.645339650447887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836">
        <f t="shared" si="86"/>
        <v>0.5714285714285714</v>
      </c>
      <c r="AT146" s="853">
        <f t="shared" si="87"/>
        <v>59.687553935817313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836">
        <f t="shared" si="91"/>
        <v>0.9285714285714286</v>
      </c>
      <c r="AY146" s="853">
        <f t="shared" si="92"/>
        <v>59.630981049021443</v>
      </c>
      <c r="AZ146" s="827">
        <f t="shared" si="96"/>
        <v>59.659267492419374</v>
      </c>
      <c r="BA146" s="660">
        <f t="shared" si="93"/>
        <v>0.91110010644555528</v>
      </c>
      <c r="BB146" s="655">
        <v>43232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924">
        <f>1+[2]!Salcycl*Ksac</f>
        <v>1.0181229612634561</v>
      </c>
      <c r="BH146" s="1080">
        <f t="shared" si="94"/>
        <v>3.102709579893911E-2</v>
      </c>
      <c r="BI146" s="11">
        <v>44328</v>
      </c>
      <c r="BJ146" s="801">
        <v>2.8553300253122732E-3</v>
      </c>
      <c r="BK146" s="801">
        <v>9.7972383552641581E-3</v>
      </c>
      <c r="BL146" s="801">
        <v>1.9369362155135534E-2</v>
      </c>
      <c r="BM146" s="801">
        <v>3.1026664084864819E-2</v>
      </c>
      <c r="BN146" s="801">
        <v>4.2430780035497224E-2</v>
      </c>
      <c r="BO146" s="802">
        <v>5.3218279084299179E-2</v>
      </c>
      <c r="BP146" s="801">
        <v>6.4552886599412537E-2</v>
      </c>
      <c r="BQ146" s="801">
        <v>7.78332801560742E-2</v>
      </c>
      <c r="BR146" s="801">
        <v>9.4509988061669326E-2</v>
      </c>
      <c r="BS146" s="801">
        <v>0.11599945493642759</v>
      </c>
      <c r="BT146" s="801">
        <v>0.14115187844621691</v>
      </c>
      <c r="BW146" s="1136">
        <f>'2018'!R\Max</f>
        <v>0</v>
      </c>
      <c r="BX146" s="1134">
        <f>'2019'!R\Max</f>
        <v>0.91110010644555528</v>
      </c>
      <c r="BY146" s="1134">
        <f>'2020'!R\Max</f>
        <v>9.8431950639539023E-2</v>
      </c>
      <c r="BZ146" s="1134">
        <f>'2021'!R\Max</f>
        <v>0.67367724645589722</v>
      </c>
      <c r="CA146" s="1134">
        <f>'2022'!R\Max</f>
        <v>0.75237039795752281</v>
      </c>
      <c r="CB146" s="1134">
        <f>'2023'!R\Max</f>
        <v>0.75225154532280314</v>
      </c>
      <c r="CC146" s="1134">
        <f>'2024'!R\Max</f>
        <v>0.75212788579382628</v>
      </c>
      <c r="CD146" s="1134">
        <f>'2025'!R\Max</f>
        <v>0.75284092461447982</v>
      </c>
      <c r="CE146" s="1134">
        <f>'2026'!R\Max</f>
        <v>0.75272161637002277</v>
      </c>
      <c r="CF146" s="1135">
        <f>'2027'!R\Max</f>
        <v>0.75260341422718224</v>
      </c>
    </row>
    <row r="147" spans="1:84" s="6" customFormat="1" ht="11.25" x14ac:dyDescent="0.2">
      <c r="A147" s="11">
        <v>43233</v>
      </c>
      <c r="B147" s="380">
        <f>'2023'!Maxi_hp</f>
        <v>61.987907498178245</v>
      </c>
      <c r="C147" s="85">
        <f>'2023'!An_max</f>
        <v>2019</v>
      </c>
      <c r="D147" s="1087">
        <f t="shared" si="78"/>
        <v>1.0388613685779369</v>
      </c>
      <c r="E147" s="747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836">
        <f t="shared" si="81"/>
        <v>7.1428571428571425E-2</v>
      </c>
      <c r="J147" s="827">
        <f t="shared" si="82"/>
        <v>59.669085186054666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836">
        <f t="shared" si="86"/>
        <v>0.5357142857142857</v>
      </c>
      <c r="AT147" s="853">
        <f t="shared" si="87"/>
        <v>59.709509133680591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836">
        <f t="shared" si="91"/>
        <v>0.9642857142857143</v>
      </c>
      <c r="AY147" s="853">
        <f t="shared" si="92"/>
        <v>59.661950755691429</v>
      </c>
      <c r="AZ147" s="827">
        <f t="shared" si="96"/>
        <v>59.68572994468601</v>
      </c>
      <c r="BA147" s="660">
        <f t="shared" si="93"/>
        <v>1.0388613685779369</v>
      </c>
      <c r="BB147" s="655">
        <v>43233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924">
        <f>1+[2]!Salcycl*Ksac</f>
        <v>1.018782837421524</v>
      </c>
      <c r="BH147" s="1080">
        <f t="shared" si="94"/>
        <v>3.2479461017723608E-2</v>
      </c>
      <c r="BI147" s="11">
        <v>44329</v>
      </c>
      <c r="BJ147" s="801">
        <v>3.0764843111612283E-3</v>
      </c>
      <c r="BK147" s="801">
        <v>1.0282165780501293E-2</v>
      </c>
      <c r="BL147" s="801">
        <v>2.028037148341499E-2</v>
      </c>
      <c r="BM147" s="801">
        <v>3.2479008898573337E-2</v>
      </c>
      <c r="BN147" s="801">
        <v>4.4422143302057147E-2</v>
      </c>
      <c r="BO147" s="802">
        <v>5.5642877010951219E-2</v>
      </c>
      <c r="BP147" s="801">
        <v>6.7298954442280484E-2</v>
      </c>
      <c r="BQ147" s="801">
        <v>8.0792653795914979E-2</v>
      </c>
      <c r="BR147" s="801">
        <v>9.7556749247452015E-2</v>
      </c>
      <c r="BS147" s="801">
        <v>0.11900485914954373</v>
      </c>
      <c r="BT147" s="801">
        <v>0.14403055163252818</v>
      </c>
      <c r="BW147" s="1136">
        <f>'2018'!R\Max</f>
        <v>0</v>
      </c>
      <c r="BX147" s="1134">
        <f>'2019'!R\Max</f>
        <v>1.0388613685779369</v>
      </c>
      <c r="BY147" s="1134">
        <f>'2020'!R\Max</f>
        <v>0.34283208700650331</v>
      </c>
      <c r="BZ147" s="1134">
        <f>'2021'!R\Max</f>
        <v>0.84890819704072162</v>
      </c>
      <c r="CA147" s="1134">
        <f>'2022'!R\Max</f>
        <v>0.6886535520181335</v>
      </c>
      <c r="CB147" s="1134">
        <f>'2023'!R\Max</f>
        <v>0.6885119501617013</v>
      </c>
      <c r="CC147" s="1134">
        <f>'2024'!R\Max</f>
        <v>0.68836492558000784</v>
      </c>
      <c r="CD147" s="1134">
        <f>'2025'!R\Max</f>
        <v>0.68922203892583989</v>
      </c>
      <c r="CE147" s="1134">
        <f>'2026'!R\Max</f>
        <v>0.68907724824633709</v>
      </c>
      <c r="CF147" s="1135">
        <f>'2027'!R\Max</f>
        <v>0.68893404215019471</v>
      </c>
    </row>
    <row r="148" spans="1:84" s="6" customFormat="1" ht="11.25" x14ac:dyDescent="0.2">
      <c r="A148" s="11">
        <v>43234</v>
      </c>
      <c r="B148" s="380">
        <f>'2023'!Maxi_hp</f>
        <v>60.924968033525275</v>
      </c>
      <c r="C148" s="85">
        <f>'2023'!An_max</f>
        <v>2019</v>
      </c>
      <c r="D148" s="1087">
        <f t="shared" si="78"/>
        <v>1.0206725977639817</v>
      </c>
      <c r="E148" s="835">
        <f>W$13/10</f>
        <v>59.690999999999995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836">
        <f t="shared" si="81"/>
        <v>0</v>
      </c>
      <c r="J148" s="827">
        <f t="shared" si="82"/>
        <v>59.691000000387433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836">
        <f t="shared" si="86"/>
        <v>0.5</v>
      </c>
      <c r="AT148" s="853">
        <f t="shared" si="87"/>
        <v>59.72793750036508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836">
        <f t="shared" si="91"/>
        <v>1</v>
      </c>
      <c r="AY148" s="853">
        <f t="shared" si="92"/>
        <v>59.690999999642372</v>
      </c>
      <c r="AZ148" s="827">
        <f t="shared" si="96"/>
        <v>59.709468750003722</v>
      </c>
      <c r="BA148" s="660">
        <f t="shared" si="93"/>
        <v>1.0206725977639817</v>
      </c>
      <c r="BB148" s="655">
        <v>43234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924">
        <f>1+[2]!Salcycl*Ksac</f>
        <v>1.0194514659077212</v>
      </c>
      <c r="BH148" s="1080">
        <f t="shared" si="94"/>
        <v>3.3945350933548668E-2</v>
      </c>
      <c r="BI148" s="11">
        <v>44330</v>
      </c>
      <c r="BJ148" s="801">
        <v>3.3055571107298751E-3</v>
      </c>
      <c r="BK148" s="801">
        <v>1.0773922225831206E-2</v>
      </c>
      <c r="BL148" s="801">
        <v>2.1200735889050998E-2</v>
      </c>
      <c r="BM148" s="801">
        <v>3.39448781933284E-2</v>
      </c>
      <c r="BN148" s="801">
        <v>4.643273672643853E-2</v>
      </c>
      <c r="BO148" s="802">
        <v>5.8091015046656862E-2</v>
      </c>
      <c r="BP148" s="801">
        <v>7.0072923295491016E-2</v>
      </c>
      <c r="BQ148" s="801">
        <v>8.3785997806179333E-2</v>
      </c>
      <c r="BR148" s="801">
        <v>0.10064382373879714</v>
      </c>
      <c r="BS148" s="801">
        <v>0.12205916500306364</v>
      </c>
      <c r="BT148" s="801">
        <v>0.14696847198817059</v>
      </c>
      <c r="BW148" s="1136">
        <f>'2018'!R\Max</f>
        <v>0</v>
      </c>
      <c r="BX148" s="1134">
        <f>'2019'!R\Max</f>
        <v>1.0206725977639817</v>
      </c>
      <c r="BY148" s="1134">
        <f>'2020'!R\Max</f>
        <v>0.54463713876476527</v>
      </c>
      <c r="BZ148" s="1134">
        <f>'2021'!R\Max</f>
        <v>0.71158650926755573</v>
      </c>
      <c r="CA148" s="1134">
        <f>'2022'!R\Max</f>
        <v>0.89920403113737557</v>
      </c>
      <c r="CB148" s="1134">
        <f>'2023'!R\Max</f>
        <v>0.89914207048678085</v>
      </c>
      <c r="CC148" s="1134">
        <f>'2024'!R\Max</f>
        <v>0.89907784454565309</v>
      </c>
      <c r="CD148" s="1134">
        <f>'2025'!R\Max</f>
        <v>0.89945581662415597</v>
      </c>
      <c r="CE148" s="1134">
        <f>'2026'!R\Max</f>
        <v>0.89939145357057415</v>
      </c>
      <c r="CF148" s="1135">
        <f>'2027'!R\Max</f>
        <v>0.89932787930821567</v>
      </c>
    </row>
    <row r="149" spans="1:84" s="6" customFormat="1" ht="11.25" x14ac:dyDescent="0.2">
      <c r="A149" s="11">
        <v>43235</v>
      </c>
      <c r="B149" s="380">
        <f>'2023'!Maxi_hp</f>
        <v>61.115724809852011</v>
      </c>
      <c r="C149" s="85">
        <f>'2023'!An_max</f>
        <v>2019</v>
      </c>
      <c r="D149" s="1087">
        <f t="shared" si="78"/>
        <v>1.0235362590768111</v>
      </c>
      <c r="E149" s="747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836">
        <f t="shared" si="81"/>
        <v>7.1428571428571425E-2</v>
      </c>
      <c r="J149" s="827">
        <f t="shared" si="82"/>
        <v>59.710366162285212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836">
        <f t="shared" si="86"/>
        <v>0.4642857142857143</v>
      </c>
      <c r="AT149" s="853">
        <f t="shared" si="87"/>
        <v>59.742973647279925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836">
        <f t="shared" si="91"/>
        <v>0.9642857142857143</v>
      </c>
      <c r="AY149" s="853">
        <f t="shared" si="92"/>
        <v>59.717085538804533</v>
      </c>
      <c r="AZ149" s="827">
        <f t="shared" si="96"/>
        <v>59.730029593042232</v>
      </c>
      <c r="BA149" s="660">
        <f t="shared" si="93"/>
        <v>1.0235362590768111</v>
      </c>
      <c r="BB149" s="655">
        <v>43235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924">
        <f>1+[2]!Salcycl*Ksac</f>
        <v>1.0201282389543971</v>
      </c>
      <c r="BH149" s="1080">
        <f t="shared" si="94"/>
        <v>3.5424701767309615E-2</v>
      </c>
      <c r="BI149" s="11">
        <v>44331</v>
      </c>
      <c r="BJ149" s="801">
        <v>3.5425328342564557E-3</v>
      </c>
      <c r="BK149" s="801">
        <v>1.1272484033373225E-2</v>
      </c>
      <c r="BL149" s="801">
        <v>2.2130414447244302E-2</v>
      </c>
      <c r="BM149" s="801">
        <v>3.5424208190948415E-2</v>
      </c>
      <c r="BN149" s="801">
        <v>4.8462472145746803E-2</v>
      </c>
      <c r="BO149" s="802">
        <v>6.0562585339228529E-2</v>
      </c>
      <c r="BP149" s="801">
        <v>7.2874668644590232E-2</v>
      </c>
      <c r="BQ149" s="801">
        <v>8.6813171809487222E-2</v>
      </c>
      <c r="BR149" s="801">
        <v>0.10377105780704125</v>
      </c>
      <c r="BS149" s="801">
        <v>0.12516220554217183</v>
      </c>
      <c r="BT149" s="801">
        <v>0.1499654590127584</v>
      </c>
      <c r="BW149" s="1136">
        <f>'2018'!R\Max</f>
        <v>0</v>
      </c>
      <c r="BX149" s="1134">
        <f>'2019'!R\Max</f>
        <v>1.0235362590768111</v>
      </c>
      <c r="BY149" s="1134">
        <f>'2020'!R\Max</f>
        <v>0.32966010580644206</v>
      </c>
      <c r="BZ149" s="1134">
        <f>'2021'!R\Max</f>
        <v>0.38507695312514051</v>
      </c>
      <c r="CA149" s="1134">
        <f>'2022'!R\Max</f>
        <v>0.91733703350941975</v>
      </c>
      <c r="CB149" s="1134">
        <f>'2023'!R\Max</f>
        <v>0.91728339746207932</v>
      </c>
      <c r="CC149" s="1134">
        <f>'2024'!R\Max</f>
        <v>0.91722790668435139</v>
      </c>
      <c r="CD149" s="1134">
        <f>'2025'!R\Max</f>
        <v>0.91755759664821457</v>
      </c>
      <c r="CE149" s="1134">
        <f>'2026'!R\Max</f>
        <v>0.91750099968420495</v>
      </c>
      <c r="CF149" s="1135">
        <f>'2027'!R\Max</f>
        <v>0.91744518571468503</v>
      </c>
    </row>
    <row r="150" spans="1:84" s="6" customFormat="1" ht="11.25" x14ac:dyDescent="0.2">
      <c r="A150" s="11">
        <v>43236</v>
      </c>
      <c r="B150" s="380">
        <f>'2023'!Maxi_hp</f>
        <v>53.059049152756259</v>
      </c>
      <c r="C150" s="85">
        <f>'2023'!An_max</f>
        <v>2019</v>
      </c>
      <c r="D150" s="1087" t="str">
        <f t="shared" si="78"/>
        <v/>
      </c>
      <c r="E150" s="747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836">
        <f t="shared" si="81"/>
        <v>0.14285714285714285</v>
      </c>
      <c r="J150" s="827">
        <f t="shared" si="82"/>
        <v>59.726322157840649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836">
        <f t="shared" si="86"/>
        <v>0.42857142857142855</v>
      </c>
      <c r="AT150" s="853">
        <f t="shared" si="87"/>
        <v>59.754752186579353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836">
        <f t="shared" si="91"/>
        <v>0.9285714285714286</v>
      </c>
      <c r="AY150" s="853">
        <f t="shared" si="92"/>
        <v>59.739119259800226</v>
      </c>
      <c r="AZ150" s="827">
        <f t="shared" si="96"/>
        <v>59.746935723189793</v>
      </c>
      <c r="BA150" s="660">
        <f t="shared" si="93"/>
        <v>0.8883696038161436</v>
      </c>
      <c r="BB150" s="655">
        <v>43236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924">
        <f>1+[2]!Salcycl*Ksac</f>
        <v>1.020812517862427</v>
      </c>
      <c r="BH150" s="1080">
        <f t="shared" si="94"/>
        <v>3.6912624252148647E-2</v>
      </c>
      <c r="BI150" s="11">
        <v>44332</v>
      </c>
      <c r="BJ150" s="801">
        <v>3.7885423895178826E-3</v>
      </c>
      <c r="BK150" s="801">
        <v>1.1776498731759394E-2</v>
      </c>
      <c r="BL150" s="801">
        <v>2.3066380065850784E-2</v>
      </c>
      <c r="BM150" s="801">
        <v>3.6912109634875061E-2</v>
      </c>
      <c r="BN150" s="801">
        <v>5.0506188233830129E-2</v>
      </c>
      <c r="BO150" s="802">
        <v>6.3049552628368546E-2</v>
      </c>
      <c r="BP150" s="801">
        <v>7.569519309424079E-2</v>
      </c>
      <c r="BQ150" s="801">
        <v>8.9864757532318221E-2</v>
      </c>
      <c r="BR150" s="801">
        <v>0.10693135332560189</v>
      </c>
      <c r="BS150" s="801">
        <v>0.12830992931505389</v>
      </c>
      <c r="BT150" s="801">
        <v>0.15302220591373325</v>
      </c>
      <c r="BW150" s="1136">
        <f>'2018'!R\Max</f>
        <v>0</v>
      </c>
      <c r="BX150" s="1134">
        <f>'2019'!R\Max</f>
        <v>0.8883696038161436</v>
      </c>
      <c r="BY150" s="1134">
        <f>'2020'!R\Max</f>
        <v>0.28263421472823025</v>
      </c>
      <c r="BZ150" s="1134">
        <f>'2021'!R\Max</f>
        <v>0.18389253778418993</v>
      </c>
      <c r="CA150" s="1134">
        <f>'2022'!R\Max</f>
        <v>0.88316680530008163</v>
      </c>
      <c r="CB150" s="1134">
        <f>'2023'!R\Max</f>
        <v>0.88309132158853054</v>
      </c>
      <c r="CC150" s="1134">
        <f>'2024'!R\Max</f>
        <v>0.88301338038053356</v>
      </c>
      <c r="CD150" s="1134">
        <f>'2025'!R\Max</f>
        <v>0.88348071693826669</v>
      </c>
      <c r="CE150" s="1134">
        <f>'2026'!R\Max</f>
        <v>0.88339985733850934</v>
      </c>
      <c r="CF150" s="1135">
        <f>'2027'!R\Max</f>
        <v>0.88332025504858469</v>
      </c>
    </row>
    <row r="151" spans="1:84" s="6" customFormat="1" ht="11.25" x14ac:dyDescent="0.2">
      <c r="A151" s="11">
        <v>43237</v>
      </c>
      <c r="B151" s="380">
        <f>'2023'!Maxi_hp</f>
        <v>56.50310848003005</v>
      </c>
      <c r="C151" s="85">
        <f>'2023'!An_max</f>
        <v>2022</v>
      </c>
      <c r="D151" s="1087" t="str">
        <f t="shared" si="78"/>
        <v/>
      </c>
      <c r="E151" s="747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836">
        <f t="shared" si="81"/>
        <v>0.21428571428571427</v>
      </c>
      <c r="J151" s="827">
        <f t="shared" si="82"/>
        <v>59.738975674259869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836">
        <f t="shared" si="86"/>
        <v>0.39285714285714285</v>
      </c>
      <c r="AT151" s="853">
        <f t="shared" si="87"/>
        <v>59.763407731069513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836">
        <f t="shared" si="91"/>
        <v>0.8928571428571429</v>
      </c>
      <c r="AY151" s="853">
        <f t="shared" si="92"/>
        <v>59.7571953919051</v>
      </c>
      <c r="AZ151" s="827">
        <f t="shared" si="96"/>
        <v>59.76030156148731</v>
      </c>
      <c r="BA151" s="660">
        <f t="shared" si="93"/>
        <v>0.94583323269762598</v>
      </c>
      <c r="BB151" s="655">
        <v>43237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924">
        <f>1+[2]!Salcycl*Ksac</f>
        <v>1.0215036340305672</v>
      </c>
      <c r="BH151" s="1080">
        <f t="shared" si="94"/>
        <v>3.839665763225996E-2</v>
      </c>
      <c r="BI151" s="11">
        <v>44333</v>
      </c>
      <c r="BJ151" s="801">
        <v>4.0390515856703882E-3</v>
      </c>
      <c r="BK151" s="801">
        <v>1.2281184390528369E-2</v>
      </c>
      <c r="BL151" s="801">
        <v>2.4000574548655913E-2</v>
      </c>
      <c r="BM151" s="801">
        <v>3.8396121975909477E-2</v>
      </c>
      <c r="BN151" s="801">
        <v>5.2545966732671569E-2</v>
      </c>
      <c r="BO151" s="802">
        <v>6.5529089542383664E-2</v>
      </c>
      <c r="BP151" s="801">
        <v>7.8507367238826634E-2</v>
      </c>
      <c r="BQ151" s="801">
        <v>9.2908853875265027E-2</v>
      </c>
      <c r="BR151" s="801">
        <v>0.11008871785396122</v>
      </c>
      <c r="BS151" s="801">
        <v>0.13146203601097148</v>
      </c>
      <c r="BT151" s="801">
        <v>0.15609348686547278</v>
      </c>
      <c r="BW151" s="1136">
        <f>'2018'!R\Max</f>
        <v>0</v>
      </c>
      <c r="BX151" s="1134">
        <f>'2019'!R\Max</f>
        <v>0.1415424325726839</v>
      </c>
      <c r="BY151" s="1134">
        <f>'2020'!R\Max</f>
        <v>0.58212993198592977</v>
      </c>
      <c r="BZ151" s="1134">
        <f>'2021'!R\Max</f>
        <v>0.91719013240263447</v>
      </c>
      <c r="CA151" s="1134">
        <f>'2022'!R\Max</f>
        <v>0.94583323269762598</v>
      </c>
      <c r="CB151" s="1134">
        <f>'2023'!R\Max</f>
        <v>0.94579449352982625</v>
      </c>
      <c r="CC151" s="1134">
        <f>'2024'!R\Max</f>
        <v>0.94575456438260752</v>
      </c>
      <c r="CD151" s="1134">
        <f>'2025'!R\Max</f>
        <v>0.94599596161484334</v>
      </c>
      <c r="CE151" s="1134">
        <f>'2026'!R\Max</f>
        <v>0.94595389689134857</v>
      </c>
      <c r="CF151" s="1135">
        <f>'2027'!R\Max</f>
        <v>0.94591255450268985</v>
      </c>
    </row>
    <row r="152" spans="1:84" s="6" customFormat="1" ht="11.25" x14ac:dyDescent="0.2">
      <c r="A152" s="11">
        <v>43238</v>
      </c>
      <c r="B152" s="380">
        <f>'2023'!Maxi_hp</f>
        <v>59.62470514235855</v>
      </c>
      <c r="C152" s="85">
        <f>'2023'!An_max</f>
        <v>2020</v>
      </c>
      <c r="D152" s="1087">
        <f t="shared" si="78"/>
        <v>0.99792916314288138</v>
      </c>
      <c r="E152" s="747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836">
        <f t="shared" si="81"/>
        <v>0.2857142857142857</v>
      </c>
      <c r="J152" s="827">
        <f t="shared" si="82"/>
        <v>59.748434402474331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836">
        <f t="shared" si="86"/>
        <v>0.35714285714285715</v>
      </c>
      <c r="AT152" s="853">
        <f t="shared" si="87"/>
        <v>59.769074891374579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836">
        <f t="shared" si="91"/>
        <v>0.8571428571428571</v>
      </c>
      <c r="AY152" s="853">
        <f t="shared" si="92"/>
        <v>59.77140816279821</v>
      </c>
      <c r="AZ152" s="827">
        <f t="shared" si="96"/>
        <v>59.770241527086398</v>
      </c>
      <c r="BA152" s="660">
        <f t="shared" si="93"/>
        <v>0.99792916314288138</v>
      </c>
      <c r="BB152" s="655">
        <v>43238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924">
        <f>1+[2]!Salcycl*Ksac</f>
        <v>1.0222008901698902</v>
      </c>
      <c r="BH152" s="1080">
        <f t="shared" si="94"/>
        <v>3.9876751893580413E-2</v>
      </c>
      <c r="BI152" s="11">
        <v>44334</v>
      </c>
      <c r="BJ152" s="801">
        <v>4.2940467044600521E-3</v>
      </c>
      <c r="BK152" s="801">
        <v>1.2786521920537626E-2</v>
      </c>
      <c r="BL152" s="801">
        <v>2.4932965682624347E-2</v>
      </c>
      <c r="BM152" s="801">
        <v>3.9876195200756151E-2</v>
      </c>
      <c r="BN152" s="801">
        <v>5.4581737352047549E-2</v>
      </c>
      <c r="BO152" s="802">
        <v>6.8001113244630471E-2</v>
      </c>
      <c r="BP152" s="801">
        <v>8.131109602485094E-2</v>
      </c>
      <c r="BQ152" s="801">
        <v>9.5945354257537765E-2</v>
      </c>
      <c r="BR152" s="801">
        <v>0.11324303200852399</v>
      </c>
      <c r="BS152" s="801">
        <v>0.13461839289269184</v>
      </c>
      <c r="BT152" s="801">
        <v>0.15917915405431052</v>
      </c>
      <c r="BW152" s="1136">
        <f>'2018'!R\Max</f>
        <v>0</v>
      </c>
      <c r="BX152" s="1134">
        <f>'2019'!R\Max</f>
        <v>0.71944321336193728</v>
      </c>
      <c r="BY152" s="1134">
        <f>'2020'!R\Max</f>
        <v>0.99792916314288138</v>
      </c>
      <c r="BZ152" s="1134">
        <f>'2021'!R\Max</f>
        <v>0.62386293485358824</v>
      </c>
      <c r="CA152" s="1134">
        <f>'2022'!R\Max</f>
        <v>0.91626775512682768</v>
      </c>
      <c r="CB152" s="1134">
        <f>'2023'!R\Max</f>
        <v>0.91620783680885476</v>
      </c>
      <c r="CC152" s="1134">
        <f>'2024'!R\Max</f>
        <v>0.91614619492235305</v>
      </c>
      <c r="CD152" s="1134">
        <f>'2025'!R\Max</f>
        <v>0.91652189064234657</v>
      </c>
      <c r="CE152" s="1134">
        <f>'2026'!R\Max</f>
        <v>0.91645595692086546</v>
      </c>
      <c r="CF152" s="1135">
        <f>'2027'!R\Max</f>
        <v>0.91639127597855308</v>
      </c>
    </row>
    <row r="153" spans="1:84" s="6" customFormat="1" ht="11.25" x14ac:dyDescent="0.2">
      <c r="A153" s="11">
        <v>43239</v>
      </c>
      <c r="B153" s="380">
        <f>'2023'!Maxi_hp</f>
        <v>59.775748831066402</v>
      </c>
      <c r="C153" s="85">
        <f>'2023'!An_max</f>
        <v>2020</v>
      </c>
      <c r="D153" s="1087">
        <f t="shared" si="78"/>
        <v>1.0003504789062494</v>
      </c>
      <c r="E153" s="747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836">
        <f t="shared" si="81"/>
        <v>0.35714285714285715</v>
      </c>
      <c r="J153" s="827">
        <f t="shared" si="82"/>
        <v>59.754806032005163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836">
        <f t="shared" si="86"/>
        <v>0.32142857142857145</v>
      </c>
      <c r="AT153" s="853">
        <f t="shared" si="87"/>
        <v>59.771888279502413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836">
        <f t="shared" si="91"/>
        <v>0.8214285714285714</v>
      </c>
      <c r="AY153" s="853">
        <f t="shared" si="92"/>
        <v>59.781851800970209</v>
      </c>
      <c r="AZ153" s="827">
        <f t="shared" si="96"/>
        <v>59.776870040236311</v>
      </c>
      <c r="BA153" s="660">
        <f t="shared" si="93"/>
        <v>1.0003504789062494</v>
      </c>
      <c r="BB153" s="655">
        <v>43239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924">
        <f>1+[2]!Salcycl*Ksac</f>
        <v>1.0229035617047326</v>
      </c>
      <c r="BH153" s="1080">
        <f t="shared" si="94"/>
        <v>4.1352855848218191E-2</v>
      </c>
      <c r="BI153" s="11">
        <v>44335</v>
      </c>
      <c r="BJ153" s="801">
        <v>4.5535135202711251E-3</v>
      </c>
      <c r="BK153" s="801">
        <v>1.3292491713738525E-2</v>
      </c>
      <c r="BL153" s="801">
        <v>2.5863520475053258E-2</v>
      </c>
      <c r="BM153" s="801">
        <v>4.1352278122310702E-2</v>
      </c>
      <c r="BN153" s="801">
        <v>5.661342810347781E-2</v>
      </c>
      <c r="BO153" s="802">
        <v>7.0465538992251997E-2</v>
      </c>
      <c r="BP153" s="801">
        <v>8.4106282228255849E-2</v>
      </c>
      <c r="BQ153" s="801">
        <v>9.8974149647620135E-2</v>
      </c>
      <c r="BR153" s="801">
        <v>0.11639417355848374</v>
      </c>
      <c r="BS153" s="801">
        <v>0.13777886391841662</v>
      </c>
      <c r="BT153" s="801">
        <v>0.16227905580001831</v>
      </c>
      <c r="BW153" s="1136">
        <f>'2018'!R\Max</f>
        <v>0</v>
      </c>
      <c r="BX153" s="1134">
        <f>'2019'!R\Max</f>
        <v>0.48729534228956728</v>
      </c>
      <c r="BY153" s="1134">
        <f>'2020'!R\Max</f>
        <v>1.0003504789062494</v>
      </c>
      <c r="BZ153" s="1134">
        <f>'2021'!R\Max</f>
        <v>0.80590741025437973</v>
      </c>
      <c r="CA153" s="1134">
        <f>'2022'!R\Max</f>
        <v>0.9574349725891278</v>
      </c>
      <c r="CB153" s="1134">
        <f>'2023'!R\Max</f>
        <v>0.95740211791397367</v>
      </c>
      <c r="CC153" s="1134">
        <f>'2024'!R\Max</f>
        <v>0.95736837758592441</v>
      </c>
      <c r="CD153" s="1134">
        <f>'2025'!R\Max</f>
        <v>0.95757553597833844</v>
      </c>
      <c r="CE153" s="1134">
        <f>'2026'!R\Max</f>
        <v>0.95753894289107</v>
      </c>
      <c r="CF153" s="1135">
        <f>'2027'!R\Max</f>
        <v>0.95750310995280574</v>
      </c>
    </row>
    <row r="154" spans="1:84" s="6" customFormat="1" ht="11.25" x14ac:dyDescent="0.2">
      <c r="A154" s="11">
        <v>43240</v>
      </c>
      <c r="B154" s="380">
        <f>'2023'!Maxi_hp</f>
        <v>61.745336141235896</v>
      </c>
      <c r="C154" s="85">
        <f>'2023'!An_max</f>
        <v>2021</v>
      </c>
      <c r="D154" s="1087">
        <f t="shared" si="78"/>
        <v>1.0332529752972122</v>
      </c>
      <c r="E154" s="747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836">
        <f t="shared" si="81"/>
        <v>0.42857142857142855</v>
      </c>
      <c r="J154" s="827">
        <f t="shared" si="82"/>
        <v>59.758198250989821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836">
        <f t="shared" si="86"/>
        <v>0.2857142857142857</v>
      </c>
      <c r="AT154" s="853">
        <f t="shared" si="87"/>
        <v>59.771982507620542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836">
        <f t="shared" si="91"/>
        <v>0.7857142857142857</v>
      </c>
      <c r="AY154" s="853">
        <f t="shared" si="92"/>
        <v>59.788620535044799</v>
      </c>
      <c r="AZ154" s="827">
        <f t="shared" si="96"/>
        <v>59.780301521332674</v>
      </c>
      <c r="BA154" s="660">
        <f t="shared" si="93"/>
        <v>1.0332529752972122</v>
      </c>
      <c r="BB154" s="655">
        <v>43240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924">
        <f>1+[2]!Salcycl*Ksac</f>
        <v>1.0236108983600241</v>
      </c>
      <c r="BH154" s="1080">
        <f t="shared" si="94"/>
        <v>4.2824917140737204E-2</v>
      </c>
      <c r="BI154" s="11">
        <v>44336</v>
      </c>
      <c r="BJ154" s="801">
        <v>4.817437289841243E-3</v>
      </c>
      <c r="BK154" s="801">
        <v>1.379907364092732E-2</v>
      </c>
      <c r="BL154" s="801">
        <v>2.6792205156039015E-2</v>
      </c>
      <c r="BM154" s="801">
        <v>4.2824318385944381E-2</v>
      </c>
      <c r="BN154" s="801">
        <v>5.8640965305766485E-2</v>
      </c>
      <c r="BO154" s="802">
        <v>7.2922280148732102E-2</v>
      </c>
      <c r="BP154" s="801">
        <v>8.6892826468502382E-2</v>
      </c>
      <c r="BQ154" s="801">
        <v>0.10199512857512172</v>
      </c>
      <c r="BR154" s="801">
        <v>0.11954201742751125</v>
      </c>
      <c r="BS154" s="801">
        <v>0.14094330972744509</v>
      </c>
      <c r="BT154" s="801">
        <v>0.16539303651933326</v>
      </c>
      <c r="BW154" s="1136">
        <f>'2018'!R\Max</f>
        <v>0</v>
      </c>
      <c r="BX154" s="1134">
        <f>'2019'!R\Max</f>
        <v>0.80646153530992903</v>
      </c>
      <c r="BY154" s="1134">
        <f>'2020'!R\Max</f>
        <v>0.95277144406682701</v>
      </c>
      <c r="BZ154" s="1134">
        <f>'2021'!R\Max</f>
        <v>1.0332529752972122</v>
      </c>
      <c r="CA154" s="1134">
        <f>'2022'!R\Max</f>
        <v>0.86827468779093298</v>
      </c>
      <c r="CB154" s="1134">
        <f>'2023'!R\Max</f>
        <v>0.86817957458840755</v>
      </c>
      <c r="CC154" s="1134">
        <f>'2024'!R\Max</f>
        <v>0.86808208807513465</v>
      </c>
      <c r="CD154" s="1134">
        <f>'2025'!R\Max</f>
        <v>0.86868513693108473</v>
      </c>
      <c r="CE154" s="1134">
        <f>'2026'!R\Max</f>
        <v>0.86857788803036495</v>
      </c>
      <c r="CF154" s="1135">
        <f>'2027'!R\Max</f>
        <v>0.86847308874106266</v>
      </c>
    </row>
    <row r="155" spans="1:84" s="6" customFormat="1" ht="11.25" x14ac:dyDescent="0.2">
      <c r="A155" s="11">
        <v>43241</v>
      </c>
      <c r="B155" s="380">
        <f>'2023'!Maxi_hp</f>
        <v>58.246676654523853</v>
      </c>
      <c r="C155" s="85">
        <f>'2023'!An_max</f>
        <v>2020</v>
      </c>
      <c r="D155" s="1087">
        <f t="shared" si="78"/>
        <v>0.97469754828194655</v>
      </c>
      <c r="E155" s="747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836">
        <f t="shared" si="81"/>
        <v>0.5</v>
      </c>
      <c r="J155" s="827">
        <f t="shared" si="82"/>
        <v>59.758718750439584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836">
        <f t="shared" si="86"/>
        <v>0.25</v>
      </c>
      <c r="AT155" s="853">
        <f t="shared" si="87"/>
        <v>59.769492187909783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836">
        <f t="shared" si="91"/>
        <v>0.75</v>
      </c>
      <c r="AY155" s="853">
        <f t="shared" si="92"/>
        <v>59.791808593366298</v>
      </c>
      <c r="AZ155" s="827">
        <f t="shared" si="96"/>
        <v>59.780650390638044</v>
      </c>
      <c r="BA155" s="660">
        <f t="shared" si="93"/>
        <v>0.97469754828194655</v>
      </c>
      <c r="BB155" s="655">
        <v>43241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924">
        <f>1+[2]!Salcycl*Ksac</f>
        <v>1.0243221259332331</v>
      </c>
      <c r="BH155" s="1080">
        <f t="shared" si="94"/>
        <v>4.4292882252165093E-2</v>
      </c>
      <c r="BI155" s="11">
        <v>44337</v>
      </c>
      <c r="BJ155" s="801">
        <v>5.0858027417293641E-3</v>
      </c>
      <c r="BK155" s="801">
        <v>1.4306247048765418E-2</v>
      </c>
      <c r="BL155" s="801">
        <v>2.7718985179520293E-2</v>
      </c>
      <c r="BM155" s="801">
        <v>4.429226247351211E-2</v>
      </c>
      <c r="BN155" s="801">
        <v>6.0664273587426716E-2</v>
      </c>
      <c r="BO155" s="802">
        <v>7.5371248192568463E-2</v>
      </c>
      <c r="BP155" s="801">
        <v>8.9670627218012222E-2</v>
      </c>
      <c r="BQ155" s="801">
        <v>0.10500817713716344</v>
      </c>
      <c r="BR155" s="801">
        <v>0.12268643568900039</v>
      </c>
      <c r="BS155" s="801">
        <v>0.14411158761819212</v>
      </c>
      <c r="BT155" s="801">
        <v>0.16852093668045773</v>
      </c>
      <c r="BW155" s="1136">
        <f>'2018'!R\Max</f>
        <v>0</v>
      </c>
      <c r="BX155" s="1134">
        <f>'2019'!R\Max</f>
        <v>0.83595385114681897</v>
      </c>
      <c r="BY155" s="1134">
        <f>'2020'!R\Max</f>
        <v>0.97469754828194655</v>
      </c>
      <c r="BZ155" s="1134">
        <f>'2021'!R\Max</f>
        <v>0.72943891794369908</v>
      </c>
      <c r="CA155" s="1134">
        <f>'2022'!R\Max</f>
        <v>0.87911994185328213</v>
      </c>
      <c r="CB155" s="1134">
        <f>'2023'!R\Max</f>
        <v>0.87902882968874485</v>
      </c>
      <c r="CC155" s="1134">
        <f>'2024'!R\Max</f>
        <v>0.87893560914725632</v>
      </c>
      <c r="CD155" s="1134">
        <f>'2025'!R\Max</f>
        <v>0.87951613264628603</v>
      </c>
      <c r="CE155" s="1134">
        <f>'2026'!R\Max</f>
        <v>0.87941225744318963</v>
      </c>
      <c r="CF155" s="1135">
        <f>'2027'!R\Max</f>
        <v>0.87931095821299798</v>
      </c>
    </row>
    <row r="156" spans="1:84" s="6" customFormat="1" ht="11.25" x14ac:dyDescent="0.2">
      <c r="A156" s="11">
        <v>43242</v>
      </c>
      <c r="B156" s="380">
        <f>'2023'!Maxi_hp</f>
        <v>58.677512490213942</v>
      </c>
      <c r="C156" s="85">
        <f>'2023'!An_max</f>
        <v>2019</v>
      </c>
      <c r="D156" s="1087">
        <f t="shared" si="78"/>
        <v>0.98194400314357677</v>
      </c>
      <c r="E156" s="747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836">
        <f t="shared" si="81"/>
        <v>0.5714285714285714</v>
      </c>
      <c r="J156" s="827">
        <f t="shared" si="82"/>
        <v>59.75647521891765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836">
        <f t="shared" si="86"/>
        <v>0.21428571428571427</v>
      </c>
      <c r="AT156" s="853">
        <f t="shared" si="87"/>
        <v>59.764551931805912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836">
        <f t="shared" si="91"/>
        <v>0.7142857142857143</v>
      </c>
      <c r="AY156" s="853">
        <f t="shared" si="92"/>
        <v>59.79151020380003</v>
      </c>
      <c r="AZ156" s="827">
        <f t="shared" si="96"/>
        <v>59.778031067802971</v>
      </c>
      <c r="BA156" s="660">
        <f t="shared" si="93"/>
        <v>0.98194400314357677</v>
      </c>
      <c r="BB156" s="655">
        <v>43242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924">
        <f>1+[2]!Salcycl*Ksac</f>
        <v>1.0250364482474998</v>
      </c>
      <c r="BH156" s="1080">
        <f t="shared" si="94"/>
        <v>4.5725516448703658E-2</v>
      </c>
      <c r="BI156" s="11">
        <v>44338</v>
      </c>
      <c r="BJ156" s="801">
        <v>5.3570350359561682E-3</v>
      </c>
      <c r="BK156" s="801">
        <v>1.480316971272635E-2</v>
      </c>
      <c r="BL156" s="801">
        <v>2.8618772846765662E-2</v>
      </c>
      <c r="BM156" s="801">
        <v>4.5724875644961825E-2</v>
      </c>
      <c r="BN156" s="801">
        <v>6.26522834099381E-2</v>
      </c>
      <c r="BO156" s="802">
        <v>7.778673069324761E-2</v>
      </c>
      <c r="BP156" s="801">
        <v>9.2410754227224168E-2</v>
      </c>
      <c r="BQ156" s="801">
        <v>0.1079822173042914</v>
      </c>
      <c r="BR156" s="801">
        <v>0.12579535102277384</v>
      </c>
      <c r="BS156" s="801">
        <v>0.14725204696752167</v>
      </c>
      <c r="BT156" s="801">
        <v>0.1716316897791787</v>
      </c>
      <c r="BW156" s="1136">
        <f>'2018'!R\Max</f>
        <v>0</v>
      </c>
      <c r="BX156" s="1134">
        <f>'2019'!R\Max</f>
        <v>0.98194400314357677</v>
      </c>
      <c r="BY156" s="1134">
        <f>'2020'!R\Max</f>
        <v>0.91165422682930752</v>
      </c>
      <c r="BZ156" s="1134">
        <f>'2021'!R\Max</f>
        <v>0.57633739388382088</v>
      </c>
      <c r="CA156" s="1134">
        <f>'2022'!R\Max</f>
        <v>0.67207556610706198</v>
      </c>
      <c r="CB156" s="1134">
        <f>'2023'!R\Max</f>
        <v>0.67188094095864892</v>
      </c>
      <c r="CC156" s="1134">
        <f>'2024'!R\Max</f>
        <v>0.67168223237049829</v>
      </c>
      <c r="CD156" s="1134">
        <f>'2025'!R\Max</f>
        <v>0.67292909867401185</v>
      </c>
      <c r="CE156" s="1134">
        <f>'2026'!R\Max</f>
        <v>0.67270445749470686</v>
      </c>
      <c r="CF156" s="1135">
        <f>'2027'!R\Max</f>
        <v>0.67248591946705794</v>
      </c>
    </row>
    <row r="157" spans="1:84" s="6" customFormat="1" ht="11.25" x14ac:dyDescent="0.2">
      <c r="A157" s="11">
        <v>43243</v>
      </c>
      <c r="B157" s="380">
        <f>'2023'!Maxi_hp</f>
        <v>53.955691624579302</v>
      </c>
      <c r="C157" s="85">
        <f>'2023'!An_max</f>
        <v>2020</v>
      </c>
      <c r="D157" s="1087" t="str">
        <f t="shared" si="78"/>
        <v/>
      </c>
      <c r="E157" s="747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836">
        <f t="shared" si="81"/>
        <v>0.6428571428571429</v>
      </c>
      <c r="J157" s="827">
        <f t="shared" si="82"/>
        <v>59.751575346557161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836">
        <f t="shared" si="86"/>
        <v>0.17857142857142858</v>
      </c>
      <c r="AT157" s="853">
        <f t="shared" si="87"/>
        <v>59.757296351662703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836">
        <f t="shared" si="91"/>
        <v>0.6785714285714286</v>
      </c>
      <c r="AY157" s="853">
        <f t="shared" si="92"/>
        <v>59.787819594770134</v>
      </c>
      <c r="AZ157" s="827">
        <f t="shared" si="96"/>
        <v>59.772557973216422</v>
      </c>
      <c r="BA157" s="660">
        <f t="shared" si="93"/>
        <v>0.90300031943322123</v>
      </c>
      <c r="BB157" s="655">
        <v>43243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924">
        <f>1+[2]!Salcycl*Ksac</f>
        <v>1.0257530492808331</v>
      </c>
      <c r="BH157" s="1080">
        <f t="shared" si="94"/>
        <v>4.7120134129904526E-2</v>
      </c>
      <c r="BI157" s="11">
        <v>44339</v>
      </c>
      <c r="BJ157" s="801">
        <v>5.6275225799992121E-3</v>
      </c>
      <c r="BK157" s="801">
        <v>1.5287262092063311E-2</v>
      </c>
      <c r="BL157" s="801">
        <v>2.9489263023093282E-2</v>
      </c>
      <c r="BM157" s="801">
        <v>4.7119472332732608E-2</v>
      </c>
      <c r="BN157" s="801">
        <v>6.4601440454139292E-2</v>
      </c>
      <c r="BO157" s="802">
        <v>8.0165248713986045E-2</v>
      </c>
      <c r="BP157" s="801">
        <v>9.5109236432212238E-2</v>
      </c>
      <c r="BQ157" s="801">
        <v>0.110911604078481</v>
      </c>
      <c r="BR157" s="801">
        <v>0.12886053385293922</v>
      </c>
      <c r="BS157" s="801">
        <v>0.15035187432712668</v>
      </c>
      <c r="BT157" s="801">
        <v>0.17470676864885146</v>
      </c>
      <c r="BW157" s="1136">
        <f>'2018'!R\Max</f>
        <v>0</v>
      </c>
      <c r="BX157" s="1134">
        <f>'2019'!R\Max</f>
        <v>0.89604465259310029</v>
      </c>
      <c r="BY157" s="1134">
        <f>'2020'!R\Max</f>
        <v>0.90300031943322123</v>
      </c>
      <c r="BZ157" s="1134">
        <f>'2021'!R\Max</f>
        <v>0.69026679184472983</v>
      </c>
      <c r="CA157" s="1134">
        <f>'2022'!R\Max</f>
        <v>0.31350198495075982</v>
      </c>
      <c r="CB157" s="1134">
        <f>'2023'!R\Max</f>
        <v>0.31330641005631699</v>
      </c>
      <c r="CC157" s="1134">
        <f>'2024'!R\Max</f>
        <v>0.31310720921151142</v>
      </c>
      <c r="CD157" s="1134">
        <f>'2025'!R\Max</f>
        <v>0.31436760527673957</v>
      </c>
      <c r="CE157" s="1134">
        <f>'2026'!R\Max</f>
        <v>0.31413884133919567</v>
      </c>
      <c r="CF157" s="1135">
        <f>'2027'!R\Max</f>
        <v>0.31391690626279611</v>
      </c>
    </row>
    <row r="158" spans="1:84" s="6" customFormat="1" ht="11.25" x14ac:dyDescent="0.2">
      <c r="A158" s="11">
        <v>43244</v>
      </c>
      <c r="B158" s="380">
        <f>'2023'!Maxi_hp</f>
        <v>25.770368698840517</v>
      </c>
      <c r="C158" s="85">
        <f>'2023'!An_max</f>
        <v>2021</v>
      </c>
      <c r="D158" s="1087" t="str">
        <f t="shared" si="78"/>
        <v/>
      </c>
      <c r="E158" s="747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836">
        <f t="shared" si="81"/>
        <v>0.7142857142857143</v>
      </c>
      <c r="J158" s="827">
        <f t="shared" si="82"/>
        <v>59.744126822267262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836">
        <f t="shared" si="86"/>
        <v>0.14285714285714285</v>
      </c>
      <c r="AT158" s="853">
        <f t="shared" si="87"/>
        <v>59.747860059142113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836">
        <f t="shared" si="91"/>
        <v>0.6428571428571429</v>
      </c>
      <c r="AY158" s="853">
        <f t="shared" si="92"/>
        <v>59.78083099478058</v>
      </c>
      <c r="AZ158" s="827">
        <f t="shared" si="96"/>
        <v>59.76434552696135</v>
      </c>
      <c r="BA158" s="660">
        <f t="shared" si="93"/>
        <v>0.43134564131307435</v>
      </c>
      <c r="BB158" s="655">
        <v>43244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924">
        <f>1+[2]!Salcycl*Ksac</f>
        <v>1.0264710954645582</v>
      </c>
      <c r="BH158" s="1080">
        <f t="shared" si="94"/>
        <v>4.8476486065928956E-2</v>
      </c>
      <c r="BI158" s="11">
        <v>44340</v>
      </c>
      <c r="BJ158" s="801">
        <v>5.8972246832314328E-3</v>
      </c>
      <c r="BK158" s="801">
        <v>1.5758442236763121E-2</v>
      </c>
      <c r="BL158" s="801">
        <v>3.033030730545043E-2</v>
      </c>
      <c r="BM158" s="801">
        <v>4.8475803311243654E-2</v>
      </c>
      <c r="BN158" s="801">
        <v>6.6511383017062178E-2</v>
      </c>
      <c r="BO158" s="802">
        <v>8.2506340442787596E-2</v>
      </c>
      <c r="BP158" s="801">
        <v>9.7765529823603967E-2</v>
      </c>
      <c r="BQ158" s="801">
        <v>0.11379570989641745</v>
      </c>
      <c r="BR158" s="801">
        <v>0.13188126289647581</v>
      </c>
      <c r="BS158" s="801">
        <v>0.15341024062854103</v>
      </c>
      <c r="BT158" s="801">
        <v>0.17774522368928825</v>
      </c>
      <c r="BW158" s="1136">
        <f>'2018'!R\Max</f>
        <v>0</v>
      </c>
      <c r="BX158" s="1134">
        <f>'2019'!R\Max</f>
        <v>0.22724065104696278</v>
      </c>
      <c r="BY158" s="1134">
        <f>'2020'!R\Max</f>
        <v>0.29996804316942305</v>
      </c>
      <c r="BZ158" s="1134">
        <f>'2021'!R\Max</f>
        <v>0.43134564131307435</v>
      </c>
      <c r="CA158" s="1134">
        <f>'2022'!R\Max</f>
        <v>0.298068580673576</v>
      </c>
      <c r="CB158" s="1134">
        <f>'2023'!R\Max</f>
        <v>0.29787330125246003</v>
      </c>
      <c r="CC158" s="1134">
        <f>'2024'!R\Max</f>
        <v>0.29767475227745194</v>
      </c>
      <c r="CD158" s="1134">
        <f>'2025'!R\Max</f>
        <v>0.29893935314546655</v>
      </c>
      <c r="CE158" s="1134">
        <f>'2026'!R\Max</f>
        <v>0.29870854287917087</v>
      </c>
      <c r="CF158" s="1135">
        <f>'2027'!R\Max</f>
        <v>0.29848508121018424</v>
      </c>
    </row>
    <row r="159" spans="1:84" s="6" customFormat="1" ht="11.25" x14ac:dyDescent="0.2">
      <c r="A159" s="11">
        <v>43245</v>
      </c>
      <c r="B159" s="380">
        <f>'2023'!Maxi_hp</f>
        <v>55.122596698708996</v>
      </c>
      <c r="C159" s="85">
        <f>'2023'!An_max</f>
        <v>2021</v>
      </c>
      <c r="D159" s="1087" t="str">
        <f t="shared" si="78"/>
        <v/>
      </c>
      <c r="E159" s="747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836">
        <f t="shared" si="81"/>
        <v>0.7857142857142857</v>
      </c>
      <c r="J159" s="827">
        <f t="shared" si="82"/>
        <v>59.734237336553633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836">
        <f t="shared" si="86"/>
        <v>0.10714285714285714</v>
      </c>
      <c r="AT159" s="853">
        <f t="shared" si="87"/>
        <v>59.736377665187625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836">
        <f t="shared" si="91"/>
        <v>0.6071428571428571</v>
      </c>
      <c r="AY159" s="853">
        <f t="shared" si="92"/>
        <v>59.770638632002694</v>
      </c>
      <c r="AZ159" s="827">
        <f t="shared" si="96"/>
        <v>59.753508148595159</v>
      </c>
      <c r="BA159" s="660">
        <f t="shared" si="93"/>
        <v>0.92279736306229521</v>
      </c>
      <c r="BB159" s="655">
        <v>43245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924">
        <f>1+[2]!Salcycl*Ksac</f>
        <v>1.0271897381425139</v>
      </c>
      <c r="BH159" s="1080">
        <f t="shared" si="94"/>
        <v>4.9794601836195752E-2</v>
      </c>
      <c r="BI159" s="11">
        <v>44341</v>
      </c>
      <c r="BJ159" s="801">
        <v>6.1661327964860832E-3</v>
      </c>
      <c r="BK159" s="801">
        <v>1.6216718496068341E-2</v>
      </c>
      <c r="BL159" s="801">
        <v>3.114193244975326E-2</v>
      </c>
      <c r="BM159" s="801">
        <v>4.9793898160325221E-2</v>
      </c>
      <c r="BN159" s="801">
        <v>6.8382129809672718E-2</v>
      </c>
      <c r="BO159" s="802">
        <v>8.4810015064015434E-2</v>
      </c>
      <c r="BP159" s="801">
        <v>0.10037964976242207</v>
      </c>
      <c r="BQ159" s="801">
        <v>0.11663456051251946</v>
      </c>
      <c r="BR159" s="801">
        <v>0.13485757723763589</v>
      </c>
      <c r="BS159" s="801">
        <v>0.15642720597680548</v>
      </c>
      <c r="BT159" s="801">
        <v>0.18074714070433859</v>
      </c>
      <c r="BW159" s="1136">
        <f>'2018'!R\Max</f>
        <v>0</v>
      </c>
      <c r="BX159" s="1134">
        <f>'2019'!R\Max</f>
        <v>0.44657809761739492</v>
      </c>
      <c r="BY159" s="1134">
        <f>'2020'!R\Max</f>
        <v>0.91223685158876455</v>
      </c>
      <c r="BZ159" s="1134">
        <f>'2021'!R\Max</f>
        <v>0.92279736306229521</v>
      </c>
      <c r="CA159" s="1134">
        <f>'2022'!R\Max</f>
        <v>0.6958211644933866</v>
      </c>
      <c r="CB159" s="1134">
        <f>'2023'!R\Max</f>
        <v>0.69561775757975219</v>
      </c>
      <c r="CC159" s="1134">
        <f>'2024'!R\Max</f>
        <v>0.6954111430044928</v>
      </c>
      <c r="CD159" s="1134">
        <f>'2025'!R\Max</f>
        <v>0.69673288559617841</v>
      </c>
      <c r="CE159" s="1134">
        <f>'2026'!R\Max</f>
        <v>0.69649085445934811</v>
      </c>
      <c r="CF159" s="1135">
        <f>'2027'!R\Max</f>
        <v>0.69625678824971704</v>
      </c>
    </row>
    <row r="160" spans="1:84" s="6" customFormat="1" ht="11.25" x14ac:dyDescent="0.2">
      <c r="A160" s="11">
        <v>43246</v>
      </c>
      <c r="B160" s="380">
        <f>'2023'!Maxi_hp</f>
        <v>58.823190702914935</v>
      </c>
      <c r="C160" s="85">
        <f>'2023'!An_max</f>
        <v>2020</v>
      </c>
      <c r="D160" s="1087">
        <f t="shared" si="78"/>
        <v>0.98494987349442176</v>
      </c>
      <c r="E160" s="747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836">
        <f t="shared" si="81"/>
        <v>0.8571428571428571</v>
      </c>
      <c r="J160" s="827">
        <f t="shared" si="82"/>
        <v>59.722014577473907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836">
        <f t="shared" si="86"/>
        <v>7.1428571428571425E-2</v>
      </c>
      <c r="AT160" s="853">
        <f t="shared" si="87"/>
        <v>59.722983783749598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836">
        <f t="shared" si="91"/>
        <v>0.5714285714285714</v>
      </c>
      <c r="AY160" s="853">
        <f t="shared" si="92"/>
        <v>59.757336734980342</v>
      </c>
      <c r="AZ160" s="827">
        <f t="shared" si="96"/>
        <v>59.74016025936497</v>
      </c>
      <c r="BA160" s="660">
        <f t="shared" si="93"/>
        <v>0.98494987349442176</v>
      </c>
      <c r="BB160" s="655">
        <v>43246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924">
        <f>1+[2]!Salcycl*Ksac</f>
        <v>1.0279081161808474</v>
      </c>
      <c r="BH160" s="1080">
        <f t="shared" si="94"/>
        <v>5.1074522648838216E-2</v>
      </c>
      <c r="BI160" s="11">
        <v>44342</v>
      </c>
      <c r="BJ160" s="801">
        <v>6.4342398837605843E-3</v>
      </c>
      <c r="BK160" s="801">
        <v>1.6662103214303441E-2</v>
      </c>
      <c r="BL160" s="801">
        <v>3.1924173092338894E-2</v>
      </c>
      <c r="BM160" s="801">
        <v>5.1073798088407417E-2</v>
      </c>
      <c r="BN160" s="801">
        <v>7.0213714199814051E-2</v>
      </c>
      <c r="BO160" s="802">
        <v>8.7076298481321757E-2</v>
      </c>
      <c r="BP160" s="801">
        <v>0.10295163054762009</v>
      </c>
      <c r="BQ160" s="801">
        <v>0.11942820218162804</v>
      </c>
      <c r="BR160" s="801">
        <v>0.13778953708400338</v>
      </c>
      <c r="BS160" s="801">
        <v>0.15940285144792113</v>
      </c>
      <c r="BT160" s="801">
        <v>0.18371262579712835</v>
      </c>
      <c r="BW160" s="1136">
        <f>'2018'!R\Max</f>
        <v>0</v>
      </c>
      <c r="BX160" s="1134">
        <f>'2019'!R\Max</f>
        <v>0.35280761631006208</v>
      </c>
      <c r="BY160" s="1134">
        <f>'2020'!R\Max</f>
        <v>0.98494987349442176</v>
      </c>
      <c r="BZ160" s="1134">
        <f>'2021'!R\Max</f>
        <v>0.90587097566139052</v>
      </c>
      <c r="CA160" s="1134">
        <f>'2022'!R\Max</f>
        <v>0.47318572641022427</v>
      </c>
      <c r="CB160" s="1134">
        <f>'2023'!R\Max</f>
        <v>0.47293972197051948</v>
      </c>
      <c r="CC160" s="1134">
        <f>'2024'!R\Max</f>
        <v>0.47269037149158494</v>
      </c>
      <c r="CD160" s="1134">
        <f>'2025'!R\Max</f>
        <v>0.47429758427829927</v>
      </c>
      <c r="CE160" s="1134">
        <f>'2026'!R\Max</f>
        <v>0.47400144206436362</v>
      </c>
      <c r="CF160" s="1135">
        <f>'2027'!R\Max</f>
        <v>0.47371575103425717</v>
      </c>
    </row>
    <row r="161" spans="1:84" s="6" customFormat="1" ht="11.25" x14ac:dyDescent="0.2">
      <c r="A161" s="11">
        <v>43247</v>
      </c>
      <c r="B161" s="380">
        <f>'2023'!Maxi_hp</f>
        <v>60.55384086599669</v>
      </c>
      <c r="C161" s="85">
        <f>'2023'!An_max</f>
        <v>2021</v>
      </c>
      <c r="D161" s="1087">
        <f t="shared" si="78"/>
        <v>1.0141736581096534</v>
      </c>
      <c r="E161" s="747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836">
        <f t="shared" si="81"/>
        <v>0.9285714285714286</v>
      </c>
      <c r="J161" s="827">
        <f t="shared" si="82"/>
        <v>59.707566235613612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836">
        <f t="shared" si="86"/>
        <v>3.5714285714285712E-2</v>
      </c>
      <c r="AT161" s="853">
        <f t="shared" si="87"/>
        <v>59.707813024148344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836">
        <f t="shared" si="91"/>
        <v>0.5357142857142857</v>
      </c>
      <c r="AY161" s="853">
        <f t="shared" si="92"/>
        <v>59.741019531286192</v>
      </c>
      <c r="AZ161" s="827">
        <f t="shared" si="96"/>
        <v>59.724416277717268</v>
      </c>
      <c r="BA161" s="660">
        <f t="shared" si="93"/>
        <v>1.0141736581096534</v>
      </c>
      <c r="BB161" s="655">
        <v>43247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924">
        <f>1+[2]!Salcycl*Ksac</f>
        <v>1.0286253587166458</v>
      </c>
      <c r="BH161" s="1080">
        <f t="shared" si="94"/>
        <v>5.2316300856451711E-2</v>
      </c>
      <c r="BI161" s="11">
        <v>44343</v>
      </c>
      <c r="BJ161" s="801">
        <v>6.7015404165431244E-3</v>
      </c>
      <c r="BK161" s="801">
        <v>1.7094612567468442E-2</v>
      </c>
      <c r="BL161" s="801">
        <v>3.267707137296403E-2</v>
      </c>
      <c r="BM161" s="801">
        <v>5.2315555448267832E-2</v>
      </c>
      <c r="BN161" s="801">
        <v>7.200618372685276E-2</v>
      </c>
      <c r="BO161" s="802">
        <v>8.9305232865914741E-2</v>
      </c>
      <c r="BP161" s="801">
        <v>0.10548152490838529</v>
      </c>
      <c r="BQ161" s="801">
        <v>0.12217670111693923</v>
      </c>
      <c r="BR161" s="801">
        <v>0.14067722324216347</v>
      </c>
      <c r="BS161" s="801">
        <v>0.1623372786110967</v>
      </c>
      <c r="BT161" s="801">
        <v>0.18664180496373725</v>
      </c>
      <c r="BW161" s="1136">
        <f>'2018'!R\Max</f>
        <v>0</v>
      </c>
      <c r="BX161" s="1134">
        <f>'2019'!R\Max</f>
        <v>0.43098616349045171</v>
      </c>
      <c r="BY161" s="1134">
        <f>'2020'!R\Max</f>
        <v>0.97836848679580912</v>
      </c>
      <c r="BZ161" s="1134">
        <f>'2021'!R\Max</f>
        <v>1.0141736581096534</v>
      </c>
      <c r="CA161" s="1134">
        <f>'2022'!R\Max</f>
        <v>0.75547280352136914</v>
      </c>
      <c r="CB161" s="1134">
        <f>'2023'!R\Max</f>
        <v>0.75528563444801267</v>
      </c>
      <c r="CC161" s="1134">
        <f>'2024'!R\Max</f>
        <v>0.75509613193202507</v>
      </c>
      <c r="CD161" s="1134">
        <f>'2025'!R\Max</f>
        <v>0.75632337729108345</v>
      </c>
      <c r="CE161" s="1134">
        <f>'2026'!R\Max</f>
        <v>0.75609647956215542</v>
      </c>
      <c r="CF161" s="1135">
        <f>'2027'!R\Max</f>
        <v>0.75587786563666781</v>
      </c>
    </row>
    <row r="162" spans="1:84" s="6" customFormat="1" ht="11.25" x14ac:dyDescent="0.2">
      <c r="A162" s="11">
        <v>43248</v>
      </c>
      <c r="B162" s="380">
        <f>'2023'!Maxi_hp</f>
        <v>57.676626455771242</v>
      </c>
      <c r="C162" s="85">
        <f>'2023'!An_max</f>
        <v>2020</v>
      </c>
      <c r="D162" s="1087" t="str">
        <f t="shared" si="78"/>
        <v/>
      </c>
      <c r="E162" s="835">
        <f>X$13/10</f>
        <v>59.690999999999995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836">
        <f t="shared" si="81"/>
        <v>1</v>
      </c>
      <c r="J162" s="827">
        <f t="shared" si="82"/>
        <v>59.691000000387433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836">
        <f t="shared" si="86"/>
        <v>0</v>
      </c>
      <c r="AT162" s="853">
        <f t="shared" si="87"/>
        <v>59.691000000387433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836">
        <f t="shared" si="91"/>
        <v>0.5</v>
      </c>
      <c r="AY162" s="853">
        <f t="shared" si="92"/>
        <v>59.721781249903145</v>
      </c>
      <c r="AZ162" s="827">
        <f t="shared" si="96"/>
        <v>59.706390625145289</v>
      </c>
      <c r="BA162" s="660">
        <f t="shared" si="93"/>
        <v>0.96625331214750776</v>
      </c>
      <c r="BB162" s="655">
        <v>43248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924">
        <f>1+[2]!Salcycl*Ksac</f>
        <v>1.0293405880321118</v>
      </c>
      <c r="BH162" s="1080">
        <f t="shared" si="94"/>
        <v>5.3519999473525731E-2</v>
      </c>
      <c r="BI162" s="11">
        <v>44344</v>
      </c>
      <c r="BJ162" s="801">
        <v>6.9680303683478956E-3</v>
      </c>
      <c r="BK162" s="801">
        <v>1.7514266400381163E-2</v>
      </c>
      <c r="BL162" s="801">
        <v>3.3400676558857138E-2</v>
      </c>
      <c r="BM162" s="801">
        <v>5.3519233254463588E-2</v>
      </c>
      <c r="BN162" s="801">
        <v>7.3759599618638441E-2</v>
      </c>
      <c r="BO162" s="802">
        <v>9.14968762076947E-2</v>
      </c>
      <c r="BP162" s="801">
        <v>0.10796940349983725</v>
      </c>
      <c r="BQ162" s="801">
        <v>0.12488014295188181</v>
      </c>
      <c r="BR162" s="801">
        <v>0.14352073659793374</v>
      </c>
      <c r="BS162" s="801">
        <v>0.16523060905628667</v>
      </c>
      <c r="BT162" s="801">
        <v>0.1895348236929893</v>
      </c>
      <c r="BW162" s="1136">
        <f>'2018'!R\Max</f>
        <v>0</v>
      </c>
      <c r="BX162" s="1134">
        <f>'2019'!R\Max</f>
        <v>0.46937343362755668</v>
      </c>
      <c r="BY162" s="1134">
        <f>'2020'!R\Max</f>
        <v>0.96625331214750776</v>
      </c>
      <c r="BZ162" s="1134">
        <f>'2021'!R\Max</f>
        <v>0.84393563897452994</v>
      </c>
      <c r="CA162" s="1134">
        <f>'2022'!R\Max</f>
        <v>0.93182646096712429</v>
      </c>
      <c r="CB162" s="1134">
        <f>'2023'!R\Max</f>
        <v>0.93176043060521985</v>
      </c>
      <c r="CC162" s="1134">
        <f>'2024'!R\Max</f>
        <v>0.93169366411601939</v>
      </c>
      <c r="CD162" s="1134">
        <f>'2025'!R\Max</f>
        <v>0.9321283030998595</v>
      </c>
      <c r="CE162" s="1134">
        <f>'2026'!R\Max</f>
        <v>0.93204764460734024</v>
      </c>
      <c r="CF162" s="1135">
        <f>'2027'!R\Max</f>
        <v>0.93197004428510566</v>
      </c>
    </row>
    <row r="163" spans="1:84" s="6" customFormat="1" ht="11.25" x14ac:dyDescent="0.2">
      <c r="A163" s="11">
        <v>43249</v>
      </c>
      <c r="B163" s="380">
        <f>'2023'!Maxi_hp</f>
        <v>60.258802059722235</v>
      </c>
      <c r="C163" s="85">
        <f>'2023'!An_max</f>
        <v>2023</v>
      </c>
      <c r="D163" s="1087">
        <f t="shared" si="78"/>
        <v>1.0098272319624235</v>
      </c>
      <c r="E163" s="747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836">
        <f t="shared" si="81"/>
        <v>0.9285714285714286</v>
      </c>
      <c r="J163" s="827">
        <f t="shared" si="82"/>
        <v>59.672387664392588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836">
        <f t="shared" si="86"/>
        <v>3.5714285714285712E-2</v>
      </c>
      <c r="AT163" s="853">
        <f t="shared" si="87"/>
        <v>59.671422946033999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836">
        <f t="shared" si="91"/>
        <v>0.4642857142857143</v>
      </c>
      <c r="AY163" s="853">
        <f t="shared" si="92"/>
        <v>59.699716119521426</v>
      </c>
      <c r="AZ163" s="827">
        <f t="shared" si="96"/>
        <v>59.685569532777713</v>
      </c>
      <c r="BA163" s="660">
        <f t="shared" si="93"/>
        <v>1.0098272319624235</v>
      </c>
      <c r="BB163" s="655">
        <v>43249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924">
        <f>1+[2]!Salcycl*Ksac</f>
        <v>1.0300529225395225</v>
      </c>
      <c r="BH163" s="1080">
        <f t="shared" si="94"/>
        <v>5.4685691692687402E-2</v>
      </c>
      <c r="BI163" s="11">
        <v>44345</v>
      </c>
      <c r="BJ163" s="801">
        <v>7.2337072091038131E-3</v>
      </c>
      <c r="BK163" s="801">
        <v>1.7921088063432542E-2</v>
      </c>
      <c r="BL163" s="801">
        <v>3.4095044668027014E-2</v>
      </c>
      <c r="BM163" s="801">
        <v>5.4684904699574911E-2</v>
      </c>
      <c r="BN163" s="801">
        <v>7.5474036306831527E-2</v>
      </c>
      <c r="BO163" s="802">
        <v>9.3651301864366474E-2</v>
      </c>
      <c r="BP163" s="801">
        <v>0.11041535439633075</v>
      </c>
      <c r="BQ163" s="801">
        <v>0.12753863219921072</v>
      </c>
      <c r="BR163" s="801">
        <v>0.14632019759337431</v>
      </c>
      <c r="BS163" s="801">
        <v>0.16808298391799084</v>
      </c>
      <c r="BT163" s="801">
        <v>0.19239184656192107</v>
      </c>
      <c r="BW163" s="1136">
        <f>'2018'!R\Max</f>
        <v>0</v>
      </c>
      <c r="BX163" s="1134">
        <f>'2019'!R\Max</f>
        <v>0.55268531530207454</v>
      </c>
      <c r="BY163" s="1134">
        <f>'2020'!R\Max</f>
        <v>0.97087387268680969</v>
      </c>
      <c r="BZ163" s="1134">
        <f>'2021'!R\Max</f>
        <v>0.592870637303201</v>
      </c>
      <c r="CA163" s="1134">
        <f>'2022'!R\Max</f>
        <v>1.0098272319624233</v>
      </c>
      <c r="CB163" s="1134">
        <f>'2023'!R\Max</f>
        <v>1.0098272319624235</v>
      </c>
      <c r="CC163" s="1134">
        <f>'2024'!R\Max</f>
        <v>1.0098272319624235</v>
      </c>
      <c r="CD163" s="1134">
        <f>'2025'!R\Max</f>
        <v>1.0098272319624233</v>
      </c>
      <c r="CE163" s="1134">
        <f>'2026'!R\Max</f>
        <v>1.0098272319624233</v>
      </c>
      <c r="CF163" s="1135">
        <f>'2027'!R\Max</f>
        <v>1.0098272319624235</v>
      </c>
    </row>
    <row r="164" spans="1:84" s="6" customFormat="1" ht="11.25" x14ac:dyDescent="0.2">
      <c r="A164" s="11">
        <v>43250</v>
      </c>
      <c r="B164" s="380">
        <f>'2023'!Maxi_hp</f>
        <v>58.524365554999449</v>
      </c>
      <c r="C164" s="85">
        <f>'2023'!An_max</f>
        <v>2019</v>
      </c>
      <c r="D164" s="1087">
        <f t="shared" si="78"/>
        <v>0.98110208621301342</v>
      </c>
      <c r="E164" s="747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836">
        <f t="shared" si="81"/>
        <v>0.8571428571428571</v>
      </c>
      <c r="J164" s="827">
        <f t="shared" si="82"/>
        <v>59.651657434446477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836">
        <f t="shared" si="86"/>
        <v>7.1428571428571425E-2</v>
      </c>
      <c r="AT164" s="853">
        <f t="shared" si="87"/>
        <v>59.647960095480087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836">
        <f t="shared" si="91"/>
        <v>0.42857142857142855</v>
      </c>
      <c r="AY164" s="853">
        <f t="shared" si="92"/>
        <v>59.674918367181498</v>
      </c>
      <c r="AZ164" s="827">
        <f t="shared" si="96"/>
        <v>59.661439231330789</v>
      </c>
      <c r="BA164" s="660">
        <f t="shared" si="93"/>
        <v>0.98110208621301342</v>
      </c>
      <c r="BB164" s="655">
        <v>43250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924">
        <f>1+[2]!Salcycl*Ksac</f>
        <v>1.0307614798608629</v>
      </c>
      <c r="BH164" s="1080">
        <f t="shared" si="94"/>
        <v>5.5793156975101565E-2</v>
      </c>
      <c r="BI164" s="11">
        <v>44346</v>
      </c>
      <c r="BJ164" s="801">
        <v>7.4946889268712926E-3</v>
      </c>
      <c r="BK164" s="801">
        <v>1.8308473468939056E-2</v>
      </c>
      <c r="BL164" s="801">
        <v>3.4747583911480591E-2</v>
      </c>
      <c r="BM164" s="801">
        <v>5.5792349584967961E-2</v>
      </c>
      <c r="BN164" s="801">
        <v>7.7120286868749541E-2</v>
      </c>
      <c r="BO164" s="802">
        <v>9.5733099525930662E-2</v>
      </c>
      <c r="BP164" s="801">
        <v>0.11277831899026299</v>
      </c>
      <c r="BQ164" s="801">
        <v>0.13010771389544784</v>
      </c>
      <c r="BR164" s="801">
        <v>0.14902880034403931</v>
      </c>
      <c r="BS164" s="801">
        <v>0.17084766789998632</v>
      </c>
      <c r="BT164" s="801">
        <v>0.19516660959701346</v>
      </c>
      <c r="BW164" s="1136">
        <f>'2018'!R\Max</f>
        <v>0</v>
      </c>
      <c r="BX164" s="1134">
        <f>'2019'!R\Max</f>
        <v>0.98110208621301342</v>
      </c>
      <c r="BY164" s="1134">
        <f>'2020'!R\Max</f>
        <v>0.94761480162619582</v>
      </c>
      <c r="BZ164" s="1134">
        <f>'2021'!R\Max</f>
        <v>0.93758642783423218</v>
      </c>
      <c r="CA164" s="1134">
        <f>'2022'!R\Max</f>
        <v>0.8459249234709999</v>
      </c>
      <c r="CB164" s="1134">
        <f>'2023'!R\Max</f>
        <v>0.84578272454486947</v>
      </c>
      <c r="CC164" s="1134">
        <f>'2024'!R\Max</f>
        <v>0.84563943374010986</v>
      </c>
      <c r="CD164" s="1134">
        <f>'2025'!R\Max</f>
        <v>0.84658412887622381</v>
      </c>
      <c r="CE164" s="1134">
        <f>'2026'!R\Max</f>
        <v>0.8464071586987062</v>
      </c>
      <c r="CF164" s="1135">
        <f>'2027'!R\Max</f>
        <v>0.84623756188776444</v>
      </c>
    </row>
    <row r="165" spans="1:84" s="6" customFormat="1" ht="11.25" x14ac:dyDescent="0.2">
      <c r="A165" s="11">
        <v>43251</v>
      </c>
      <c r="B165" s="380">
        <f>'2023'!Maxi_hp</f>
        <v>59.313017833892296</v>
      </c>
      <c r="C165" s="85">
        <f>'2023'!An_max</f>
        <v>2019</v>
      </c>
      <c r="D165" s="1087">
        <f t="shared" si="78"/>
        <v>0.9947058416605733</v>
      </c>
      <c r="E165" s="747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836">
        <f t="shared" si="81"/>
        <v>0.7857142857142857</v>
      </c>
      <c r="J165" s="827">
        <f t="shared" si="82"/>
        <v>59.628701621852812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836">
        <f t="shared" si="86"/>
        <v>0.10714285714285714</v>
      </c>
      <c r="AT165" s="853">
        <f t="shared" si="87"/>
        <v>59.620746059516179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836">
        <f t="shared" si="91"/>
        <v>0.39285714285714285</v>
      </c>
      <c r="AY165" s="853">
        <f t="shared" si="92"/>
        <v>59.647482222651277</v>
      </c>
      <c r="AZ165" s="827">
        <f t="shared" si="96"/>
        <v>59.634114141083728</v>
      </c>
      <c r="BA165" s="660">
        <f t="shared" si="93"/>
        <v>0.9947058416605733</v>
      </c>
      <c r="BB165" s="655">
        <v>43251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924">
        <f>1+[2]!Salcycl*Ksac</f>
        <v>1.0314653799847757</v>
      </c>
      <c r="BH165" s="1080">
        <f t="shared" si="94"/>
        <v>5.6847312047056821E-2</v>
      </c>
      <c r="BI165" s="11">
        <v>44347</v>
      </c>
      <c r="BJ165" s="801">
        <v>7.7498437832333403E-3</v>
      </c>
      <c r="BK165" s="801">
        <v>1.8677782633979734E-2</v>
      </c>
      <c r="BL165" s="801">
        <v>3.5361348404468709E-2</v>
      </c>
      <c r="BM165" s="801">
        <v>5.6846484626780124E-2</v>
      </c>
      <c r="BN165" s="801">
        <v>7.8703536173754959E-2</v>
      </c>
      <c r="BO165" s="802">
        <v>9.7750301577398988E-2</v>
      </c>
      <c r="BP165" s="801">
        <v>0.11506729644651896</v>
      </c>
      <c r="BQ165" s="801">
        <v>0.13259681403104859</v>
      </c>
      <c r="BR165" s="801">
        <v>0.15165367498775439</v>
      </c>
      <c r="BS165" s="801">
        <v>0.173528773273915</v>
      </c>
      <c r="BT165" s="801">
        <v>0.19785852220046676</v>
      </c>
      <c r="BW165" s="1136">
        <f>'2018'!R\Max</f>
        <v>0</v>
      </c>
      <c r="BX165" s="1134">
        <f>'2019'!R\Max</f>
        <v>0.9947058416605733</v>
      </c>
      <c r="BY165" s="1134">
        <f>'2020'!R\Max</f>
        <v>0.98035022807797478</v>
      </c>
      <c r="BZ165" s="1134">
        <f>'2021'!R\Max</f>
        <v>0.9827872030029684</v>
      </c>
      <c r="CA165" s="1134">
        <f>'2022'!R\Max</f>
        <v>0.94099285860734205</v>
      </c>
      <c r="CB165" s="1134">
        <f>'2023'!R\Max</f>
        <v>0.94093086816956162</v>
      </c>
      <c r="CC165" s="1134">
        <f>'2024'!R\Max</f>
        <v>0.94086848529618039</v>
      </c>
      <c r="CD165" s="1134">
        <f>'2025'!R\Max</f>
        <v>0.94128197219807519</v>
      </c>
      <c r="CE165" s="1134">
        <f>'2026'!R\Max</f>
        <v>0.94120423751755589</v>
      </c>
      <c r="CF165" s="1135">
        <f>'2027'!R\Max</f>
        <v>0.94112985070324007</v>
      </c>
    </row>
    <row r="166" spans="1:84" s="6" customFormat="1" ht="11.25" x14ac:dyDescent="0.2">
      <c r="A166" s="11">
        <v>43252</v>
      </c>
      <c r="B166" s="380">
        <f>'2023'!Maxi_hp</f>
        <v>60.331915443766647</v>
      </c>
      <c r="C166" s="85">
        <f>'2023'!An_max</f>
        <v>2019</v>
      </c>
      <c r="D166" s="1087">
        <f t="shared" si="78"/>
        <v>1.0122225033127856</v>
      </c>
      <c r="E166" s="747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836">
        <f t="shared" si="81"/>
        <v>0.7142857142857143</v>
      </c>
      <c r="J166" s="827">
        <f t="shared" si="82"/>
        <v>59.603412536584905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836">
        <f t="shared" si="86"/>
        <v>0.14285714285714285</v>
      </c>
      <c r="AT166" s="853">
        <f t="shared" si="87"/>
        <v>59.589915452445197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836">
        <f t="shared" si="91"/>
        <v>0.35714285714285715</v>
      </c>
      <c r="AY166" s="853">
        <f t="shared" si="92"/>
        <v>59.617501913330372</v>
      </c>
      <c r="AZ166" s="827">
        <f t="shared" si="96"/>
        <v>59.603708682887785</v>
      </c>
      <c r="BA166" s="660">
        <f t="shared" si="93"/>
        <v>1.0122225033127856</v>
      </c>
      <c r="BB166" s="655">
        <v>43252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924">
        <f>1+[2]!Salcycl*Ksac</f>
        <v>1.0321637484823585</v>
      </c>
      <c r="BH166" s="1080">
        <f t="shared" si="94"/>
        <v>5.7848286080894151E-2</v>
      </c>
      <c r="BI166" s="11">
        <v>44348</v>
      </c>
      <c r="BJ166" s="801">
        <v>7.9991827929826523E-3</v>
      </c>
      <c r="BK166" s="801">
        <v>1.9029058142813037E-2</v>
      </c>
      <c r="BL166" s="801">
        <v>3.5936429863042151E-2</v>
      </c>
      <c r="BM166" s="801">
        <v>5.7847438996359975E-2</v>
      </c>
      <c r="BN166" s="801">
        <v>8.0223939608650388E-2</v>
      </c>
      <c r="BO166" s="802">
        <v>9.9703075241608263E-2</v>
      </c>
      <c r="BP166" s="801">
        <v>0.11728248314482155</v>
      </c>
      <c r="BQ166" s="801">
        <v>0.1350061550878327</v>
      </c>
      <c r="BR166" s="801">
        <v>0.15419507051838169</v>
      </c>
      <c r="BS166" s="801">
        <v>0.17612657531126988</v>
      </c>
      <c r="BT166" s="801">
        <v>0.20046788977580288</v>
      </c>
      <c r="BW166" s="1136">
        <f>'2018'!R\Max</f>
        <v>0</v>
      </c>
      <c r="BX166" s="1134">
        <f>'2019'!R\Max</f>
        <v>1.0122225033127856</v>
      </c>
      <c r="BY166" s="1134">
        <f>'2020'!R\Max</f>
        <v>1.004266771399726</v>
      </c>
      <c r="BZ166" s="1134">
        <f>'2021'!R\Max</f>
        <v>0.62982197829068576</v>
      </c>
      <c r="CA166" s="1134">
        <f>'2022'!R\Max</f>
        <v>0.95718918065408787</v>
      </c>
      <c r="CB166" s="1134">
        <f>'2023'!R\Max</f>
        <v>0.95714240851085863</v>
      </c>
      <c r="CC166" s="1134">
        <f>'2024'!R\Max</f>
        <v>0.95709540907187129</v>
      </c>
      <c r="CD166" s="1134">
        <f>'2025'!R\Max</f>
        <v>0.95740873025428852</v>
      </c>
      <c r="CE166" s="1134">
        <f>'2026'!R\Max</f>
        <v>0.95734960223974608</v>
      </c>
      <c r="CF166" s="1135">
        <f>'2027'!R\Max</f>
        <v>0.95729310985023641</v>
      </c>
    </row>
    <row r="167" spans="1:84" s="6" customFormat="1" ht="11.25" x14ac:dyDescent="0.2">
      <c r="A167" s="11">
        <v>43253</v>
      </c>
      <c r="B167" s="380">
        <f>'2023'!Maxi_hp</f>
        <v>59.300139796564821</v>
      </c>
      <c r="C167" s="85">
        <f>'2023'!An_max</f>
        <v>2019</v>
      </c>
      <c r="D167" s="1087">
        <f t="shared" si="78"/>
        <v>0.99537491336461104</v>
      </c>
      <c r="E167" s="747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836">
        <f t="shared" si="81"/>
        <v>0.6428571428571429</v>
      </c>
      <c r="J167" s="827">
        <f t="shared" si="82"/>
        <v>59.575682489440908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836">
        <f t="shared" si="86"/>
        <v>0.17857142857142858</v>
      </c>
      <c r="AT167" s="853">
        <f t="shared" si="87"/>
        <v>59.555602884419002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836">
        <f t="shared" si="91"/>
        <v>0.32142857142857145</v>
      </c>
      <c r="AY167" s="853">
        <f t="shared" si="92"/>
        <v>59.585071667656301</v>
      </c>
      <c r="AZ167" s="827">
        <f t="shared" si="96"/>
        <v>59.570337276037648</v>
      </c>
      <c r="BA167" s="660">
        <f t="shared" si="93"/>
        <v>0.99537491336461104</v>
      </c>
      <c r="BB167" s="655">
        <v>43253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924">
        <f>1+[2]!Salcycl*Ksac</f>
        <v>1.0328557197623685</v>
      </c>
      <c r="BH167" s="1080">
        <f t="shared" si="94"/>
        <v>5.8796217245929573E-2</v>
      </c>
      <c r="BI167" s="11">
        <v>44349</v>
      </c>
      <c r="BJ167" s="801">
        <v>8.2427187031003102E-3</v>
      </c>
      <c r="BK167" s="801">
        <v>1.9362345692139404E-2</v>
      </c>
      <c r="BL167" s="801">
        <v>3.6472925718299139E-2</v>
      </c>
      <c r="BM167" s="801">
        <v>5.8795350861900131E-2</v>
      </c>
      <c r="BN167" s="801">
        <v>8.1681665017218172E-2</v>
      </c>
      <c r="BO167" s="802">
        <v>0.10159160265175698</v>
      </c>
      <c r="BP167" s="801">
        <v>0.11942409243596985</v>
      </c>
      <c r="BQ167" s="801">
        <v>0.1373359779914031</v>
      </c>
      <c r="BR167" s="801">
        <v>0.15665325537031938</v>
      </c>
      <c r="BS167" s="801">
        <v>0.17864136906663031</v>
      </c>
      <c r="BT167" s="801">
        <v>0.20299503758090889</v>
      </c>
      <c r="BW167" s="1136">
        <f>'2018'!R\Max</f>
        <v>0</v>
      </c>
      <c r="BX167" s="1134">
        <f>'2019'!R\Max</f>
        <v>0.99537491336461104</v>
      </c>
      <c r="BY167" s="1134">
        <f>'2020'!R\Max</f>
        <v>0.47078905071983834</v>
      </c>
      <c r="BZ167" s="1134">
        <f>'2021'!R\Max</f>
        <v>0.69095592446819354</v>
      </c>
      <c r="CA167" s="1134">
        <f>'2022'!R\Max</f>
        <v>0.75733816187396552</v>
      </c>
      <c r="CB167" s="1134">
        <f>'2023'!R\Max</f>
        <v>0.75712393690749014</v>
      </c>
      <c r="CC167" s="1134">
        <f>'2024'!R\Max</f>
        <v>0.7569090834978448</v>
      </c>
      <c r="CD167" s="1134">
        <f>'2025'!R\Max</f>
        <v>0.75835165319942632</v>
      </c>
      <c r="CE167" s="1134">
        <f>'2026'!R\Max</f>
        <v>0.75807806369404684</v>
      </c>
      <c r="CF167" s="1135">
        <f>'2027'!R\Max</f>
        <v>0.75781721838911897</v>
      </c>
    </row>
    <row r="168" spans="1:84" s="6" customFormat="1" ht="11.25" x14ac:dyDescent="0.2">
      <c r="A168" s="11">
        <v>43254</v>
      </c>
      <c r="B168" s="380">
        <f>'2023'!Maxi_hp</f>
        <v>56.75691511591517</v>
      </c>
      <c r="C168" s="85">
        <f>'2023'!An_max</f>
        <v>2022</v>
      </c>
      <c r="D168" s="1087" t="str">
        <f t="shared" si="78"/>
        <v/>
      </c>
      <c r="E168" s="747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836">
        <f t="shared" si="81"/>
        <v>0.5714285714285714</v>
      </c>
      <c r="J168" s="827">
        <f t="shared" si="82"/>
        <v>59.5454037906336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836">
        <f t="shared" si="86"/>
        <v>0.21428571428571427</v>
      </c>
      <c r="AT168" s="853">
        <f t="shared" si="87"/>
        <v>59.517942966840096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836">
        <f t="shared" si="91"/>
        <v>0.2857142857142857</v>
      </c>
      <c r="AY168" s="853">
        <f t="shared" si="92"/>
        <v>59.550285714332539</v>
      </c>
      <c r="AZ168" s="827">
        <f t="shared" si="96"/>
        <v>59.534114340586314</v>
      </c>
      <c r="BA168" s="660">
        <f t="shared" si="93"/>
        <v>0.95317037928698944</v>
      </c>
      <c r="BB168" s="655">
        <v>43254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924">
        <f>1+[2]!Salcycl*Ksac</f>
        <v>1.0335404403455797</v>
      </c>
      <c r="BH168" s="1080">
        <f t="shared" si="94"/>
        <v>5.969125201560653E-2</v>
      </c>
      <c r="BI168" s="11">
        <v>44350</v>
      </c>
      <c r="BJ168" s="801">
        <v>8.4804659194422215E-3</v>
      </c>
      <c r="BK168" s="801">
        <v>1.9677693856256739E-2</v>
      </c>
      <c r="BL168" s="801">
        <v>3.6970938609091945E-2</v>
      </c>
      <c r="BM168" s="801">
        <v>5.9690366695594153E-2</v>
      </c>
      <c r="BN168" s="801">
        <v>8.3076891888547486E-2</v>
      </c>
      <c r="BO168" s="802">
        <v>0.10341608002810709</v>
      </c>
      <c r="BP168" s="801">
        <v>0.12149235369902615</v>
      </c>
      <c r="BQ168" s="801">
        <v>0.13958654109353771</v>
      </c>
      <c r="BR168" s="801">
        <v>0.15902851635565751</v>
      </c>
      <c r="BS168" s="801">
        <v>0.18107346832133767</v>
      </c>
      <c r="BT168" s="801">
        <v>0.20544030968573956</v>
      </c>
      <c r="BW168" s="1136">
        <f>'2018'!R\Max</f>
        <v>0</v>
      </c>
      <c r="BX168" s="1134">
        <f>'2019'!R\Max</f>
        <v>0.73810390429924244</v>
      </c>
      <c r="BY168" s="1134">
        <f>'2020'!R\Max</f>
        <v>0.88784386773591084</v>
      </c>
      <c r="BZ168" s="1134">
        <f>'2021'!R\Max</f>
        <v>0.82037950368196177</v>
      </c>
      <c r="CA168" s="1134">
        <f>'2022'!R\Max</f>
        <v>0.95317037928698944</v>
      </c>
      <c r="CB168" s="1134">
        <f>'2023'!R\Max</f>
        <v>0.95311725733751251</v>
      </c>
      <c r="CC168" s="1134">
        <f>'2024'!R\Max</f>
        <v>0.95306402998615325</v>
      </c>
      <c r="CD168" s="1134">
        <f>'2025'!R\Max</f>
        <v>0.95342299756400906</v>
      </c>
      <c r="CE168" s="1134">
        <f>'2026'!R\Max</f>
        <v>0.95335476285730003</v>
      </c>
      <c r="CF168" s="1135">
        <f>'2027'!R\Max</f>
        <v>0.95328976199088356</v>
      </c>
    </row>
    <row r="169" spans="1:84" s="6" customFormat="1" ht="11.25" x14ac:dyDescent="0.2">
      <c r="A169" s="11">
        <v>43255</v>
      </c>
      <c r="B169" s="380">
        <f>'2023'!Maxi_hp</f>
        <v>57.111684044434135</v>
      </c>
      <c r="C169" s="85">
        <f>'2023'!An_max</f>
        <v>2019</v>
      </c>
      <c r="D169" s="1087" t="str">
        <f t="shared" si="78"/>
        <v/>
      </c>
      <c r="E169" s="747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836">
        <f t="shared" si="81"/>
        <v>0.5</v>
      </c>
      <c r="J169" s="827">
        <f t="shared" si="82"/>
        <v>59.512468750216065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836">
        <f t="shared" si="86"/>
        <v>0.25</v>
      </c>
      <c r="AT169" s="853">
        <f t="shared" si="87"/>
        <v>59.477070313226434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836">
        <f t="shared" si="91"/>
        <v>0.25</v>
      </c>
      <c r="AY169" s="853">
        <f t="shared" si="92"/>
        <v>59.513238281011581</v>
      </c>
      <c r="AZ169" s="827">
        <f t="shared" si="96"/>
        <v>59.495154297119008</v>
      </c>
      <c r="BA169" s="660">
        <f t="shared" si="93"/>
        <v>0.95965913099894362</v>
      </c>
      <c r="BB169" s="655">
        <v>43255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924">
        <f>1+[2]!Salcycl*Ksac</f>
        <v>1.0342170721373929</v>
      </c>
      <c r="BH169" s="1080">
        <f t="shared" si="94"/>
        <v>6.0533544474960101E-2</v>
      </c>
      <c r="BI169" s="11">
        <v>44351</v>
      </c>
      <c r="BJ169" s="801">
        <v>8.7124404334677618E-3</v>
      </c>
      <c r="BK169" s="801">
        <v>1.9975153852318277E-2</v>
      </c>
      <c r="BL169" s="801">
        <v>3.7430575874927492E-2</v>
      </c>
      <c r="BM169" s="801">
        <v>6.0532640581105225E-2</v>
      </c>
      <c r="BN169" s="801">
        <v>8.4409810545792385E-2</v>
      </c>
      <c r="BO169" s="802">
        <v>0.10517671685522056</v>
      </c>
      <c r="BP169" s="801">
        <v>0.12348751139913301</v>
      </c>
      <c r="BQ169" s="801">
        <v>0.14175811915530692</v>
      </c>
      <c r="BR169" s="801">
        <v>0.16132115760216484</v>
      </c>
      <c r="BS169" s="801">
        <v>0.18342320452812264</v>
      </c>
      <c r="BT169" s="801">
        <v>0.20780406793110576</v>
      </c>
      <c r="BW169" s="1136">
        <f>'2018'!R\Max</f>
        <v>0</v>
      </c>
      <c r="BX169" s="1134">
        <f>'2019'!R\Max</f>
        <v>0.95965913099894362</v>
      </c>
      <c r="BY169" s="1134">
        <f>'2020'!R\Max</f>
        <v>0.45416039111485196</v>
      </c>
      <c r="BZ169" s="1134">
        <f>'2021'!R\Max</f>
        <v>0.15200376919357042</v>
      </c>
      <c r="CA169" s="1134">
        <f>'2022'!R\Max</f>
        <v>0.39365974756173744</v>
      </c>
      <c r="CB169" s="1134">
        <f>'2023'!R\Max</f>
        <v>0.39337021215945578</v>
      </c>
      <c r="CC169" s="1134">
        <f>'2024'!R\Max</f>
        <v>0.39308088850067335</v>
      </c>
      <c r="CD169" s="1134">
        <f>'2025'!R\Max</f>
        <v>0.39505097339052803</v>
      </c>
      <c r="CE169" s="1134">
        <f>'2026'!R\Max</f>
        <v>0.39467382576009263</v>
      </c>
      <c r="CF169" s="1135">
        <f>'2027'!R\Max</f>
        <v>0.39431564114453266</v>
      </c>
    </row>
    <row r="170" spans="1:84" s="6" customFormat="1" ht="11.25" x14ac:dyDescent="0.2">
      <c r="A170" s="11">
        <v>43256</v>
      </c>
      <c r="B170" s="380">
        <f>'2023'!Maxi_hp</f>
        <v>42.716075181662134</v>
      </c>
      <c r="C170" s="85">
        <f>'2023'!An_max</f>
        <v>2021</v>
      </c>
      <c r="D170" s="1087" t="str">
        <f t="shared" si="78"/>
        <v/>
      </c>
      <c r="E170" s="747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836">
        <f t="shared" si="81"/>
        <v>0.42857142857142855</v>
      </c>
      <c r="J170" s="827">
        <f t="shared" si="82"/>
        <v>59.476769679571895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836">
        <f t="shared" si="86"/>
        <v>0.2857142857142857</v>
      </c>
      <c r="AT170" s="853">
        <f t="shared" si="87"/>
        <v>59.43311953384962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836">
        <f t="shared" si="91"/>
        <v>0.21428571428571427</v>
      </c>
      <c r="AY170" s="853">
        <f t="shared" si="92"/>
        <v>59.474023597181905</v>
      </c>
      <c r="AZ170" s="827">
        <f t="shared" si="96"/>
        <v>59.453571565515759</v>
      </c>
      <c r="BA170" s="660">
        <f t="shared" si="93"/>
        <v>0.71819763265208991</v>
      </c>
      <c r="BB170" s="655">
        <v>43256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924">
        <f>1+[2]!Salcycl*Ksac</f>
        <v>1.0348847956773173</v>
      </c>
      <c r="BH170" s="1080">
        <f t="shared" si="94"/>
        <v>6.1316995276810782E-2</v>
      </c>
      <c r="BI170" s="11">
        <v>44352</v>
      </c>
      <c r="BJ170" s="801">
        <v>8.9323956467328713E-3</v>
      </c>
      <c r="BK170" s="801">
        <v>2.0248875766923555E-2</v>
      </c>
      <c r="BL170" s="801">
        <v>3.7856264092798665E-2</v>
      </c>
      <c r="BM170" s="801">
        <v>6.1316073756387514E-2</v>
      </c>
      <c r="BN170" s="801">
        <v>8.5658865394697845E-2</v>
      </c>
      <c r="BO170" s="802">
        <v>0.10682568070472938</v>
      </c>
      <c r="BP170" s="801">
        <v>0.1253560468506181</v>
      </c>
      <c r="BQ170" s="801">
        <v>0.14379250733160431</v>
      </c>
      <c r="BR170" s="801">
        <v>0.16346969850488013</v>
      </c>
      <c r="BS170" s="801">
        <v>0.18562703772288938</v>
      </c>
      <c r="BT170" s="801">
        <v>0.21002238154520797</v>
      </c>
      <c r="BW170" s="1136">
        <f>'2018'!R\Max</f>
        <v>0</v>
      </c>
      <c r="BX170" s="1134">
        <f>'2019'!R\Max</f>
        <v>0.20711067456790777</v>
      </c>
      <c r="BY170" s="1134">
        <f>'2020'!R\Max</f>
        <v>0.60964697270177226</v>
      </c>
      <c r="BZ170" s="1134">
        <f>'2021'!R\Max</f>
        <v>0.71819763265208991</v>
      </c>
      <c r="CA170" s="1134">
        <f>'2022'!R\Max</f>
        <v>0.55640949040840681</v>
      </c>
      <c r="CB170" s="1134">
        <f>'2023'!R\Max</f>
        <v>0.55610438849760002</v>
      </c>
      <c r="CC170" s="1134">
        <f>'2024'!R\Max</f>
        <v>0.55579978582006262</v>
      </c>
      <c r="CD170" s="1134">
        <f>'2025'!R\Max</f>
        <v>0.55788250993743427</v>
      </c>
      <c r="CE170" s="1134">
        <f>'2026'!R\Max</f>
        <v>0.55748289928827821</v>
      </c>
      <c r="CF170" s="1135">
        <f>'2027'!R\Max</f>
        <v>0.55710374558284559</v>
      </c>
    </row>
    <row r="171" spans="1:84" s="6" customFormat="1" ht="11.25" x14ac:dyDescent="0.2">
      <c r="A171" s="11">
        <v>43257</v>
      </c>
      <c r="B171" s="380">
        <f>'2023'!Maxi_hp</f>
        <v>56.000265625104696</v>
      </c>
      <c r="C171" s="85">
        <f>'2023'!An_max</f>
        <v>2019</v>
      </c>
      <c r="D171" s="1087" t="str">
        <f t="shared" si="78"/>
        <v/>
      </c>
      <c r="E171" s="747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836">
        <f t="shared" si="81"/>
        <v>0.35714285714285715</v>
      </c>
      <c r="J171" s="827">
        <f t="shared" si="82"/>
        <v>59.438198888434883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836">
        <f t="shared" si="86"/>
        <v>0.32142857142857145</v>
      </c>
      <c r="AT171" s="853">
        <f t="shared" si="87"/>
        <v>59.38622524198145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836">
        <f t="shared" si="91"/>
        <v>0.17857142857142858</v>
      </c>
      <c r="AY171" s="853">
        <f t="shared" si="92"/>
        <v>59.432735889844068</v>
      </c>
      <c r="AZ171" s="827">
        <f t="shared" si="96"/>
        <v>59.409480565912759</v>
      </c>
      <c r="BA171" s="660">
        <f t="shared" si="93"/>
        <v>0.94215953162068111</v>
      </c>
      <c r="BB171" s="655">
        <v>43257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924">
        <f>1+[2]!Salcycl*Ksac</f>
        <v>1.0355428133436664</v>
      </c>
      <c r="BH171" s="1080">
        <f t="shared" si="94"/>
        <v>6.2072702671534995E-2</v>
      </c>
      <c r="BI171" s="11">
        <v>44353</v>
      </c>
      <c r="BJ171" s="801">
        <v>9.14190833398143E-3</v>
      </c>
      <c r="BK171" s="801">
        <v>2.0509657070276983E-2</v>
      </c>
      <c r="BL171" s="801">
        <v>3.8272953093493607E-2</v>
      </c>
      <c r="BM171" s="801">
        <v>6.2071764476147401E-2</v>
      </c>
      <c r="BN171" s="801">
        <v>8.6855040309937293E-2</v>
      </c>
      <c r="BO171" s="802">
        <v>0.10838870365839322</v>
      </c>
      <c r="BP171" s="801">
        <v>0.12712691896424808</v>
      </c>
      <c r="BQ171" s="801">
        <v>0.14572082342578482</v>
      </c>
      <c r="BR171" s="801">
        <v>0.16550627076213531</v>
      </c>
      <c r="BS171" s="801">
        <v>0.18771669332620144</v>
      </c>
      <c r="BT171" s="801">
        <v>0.21212641082905323</v>
      </c>
      <c r="BW171" s="1136">
        <f>'2018'!R\Max</f>
        <v>0</v>
      </c>
      <c r="BX171" s="1134">
        <f>'2019'!R\Max</f>
        <v>0.94215953162068111</v>
      </c>
      <c r="BY171" s="1134">
        <f>'2020'!R\Max</f>
        <v>0.36286773425073193</v>
      </c>
      <c r="BZ171" s="1134">
        <f>'2021'!R\Max</f>
        <v>0.81707477758607561</v>
      </c>
      <c r="CA171" s="1134">
        <f>'2022'!R\Max</f>
        <v>0.83588458823768552</v>
      </c>
      <c r="CB171" s="1134">
        <f>'2023'!R\Max</f>
        <v>0.83571189792522038</v>
      </c>
      <c r="CC171" s="1134">
        <f>'2024'!R\Max</f>
        <v>0.83553958482772528</v>
      </c>
      <c r="CD171" s="1134">
        <f>'2025'!R\Max</f>
        <v>0.83672085388855055</v>
      </c>
      <c r="CE171" s="1134">
        <f>'2026'!R\Max</f>
        <v>0.83649389757407178</v>
      </c>
      <c r="CF171" s="1135">
        <f>'2027'!R\Max</f>
        <v>0.83627872435898609</v>
      </c>
    </row>
    <row r="172" spans="1:84" s="6" customFormat="1" ht="11.25" x14ac:dyDescent="0.2">
      <c r="A172" s="11">
        <v>43258</v>
      </c>
      <c r="B172" s="380">
        <f>'2023'!Maxi_hp</f>
        <v>55.156942491889488</v>
      </c>
      <c r="C172" s="85">
        <f>'2023'!An_max</f>
        <v>2021</v>
      </c>
      <c r="D172" s="1087" t="str">
        <f t="shared" si="78"/>
        <v/>
      </c>
      <c r="E172" s="747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836">
        <f t="shared" si="81"/>
        <v>0.2857142857142857</v>
      </c>
      <c r="J172" s="827">
        <f t="shared" si="82"/>
        <v>59.396648688454704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836">
        <f t="shared" si="86"/>
        <v>0.35714285714285715</v>
      </c>
      <c r="AT172" s="853">
        <f t="shared" si="87"/>
        <v>59.336522048166287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836">
        <f t="shared" si="91"/>
        <v>0.14285714285714285</v>
      </c>
      <c r="AY172" s="853">
        <f t="shared" si="92"/>
        <v>59.389469387541929</v>
      </c>
      <c r="AZ172" s="827">
        <f t="shared" si="96"/>
        <v>59.362995717854105</v>
      </c>
      <c r="BA172" s="660">
        <f t="shared" si="93"/>
        <v>0.92862044761476059</v>
      </c>
      <c r="BB172" s="655">
        <v>43258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924">
        <f>1+[2]!Salcycl*Ksac</f>
        <v>1.0361903524916967</v>
      </c>
      <c r="BH172" s="1080">
        <f t="shared" si="94"/>
        <v>6.2800792615285025E-2</v>
      </c>
      <c r="BI172" s="11">
        <v>44354</v>
      </c>
      <c r="BJ172" s="801">
        <v>9.3410078075259178E-3</v>
      </c>
      <c r="BK172" s="801">
        <v>2.0757546366708988E-2</v>
      </c>
      <c r="BL172" s="801">
        <v>3.8680705852643375E-2</v>
      </c>
      <c r="BM172" s="801">
        <v>6.279983869369464E-2</v>
      </c>
      <c r="BN172" s="801">
        <v>8.7998536332474578E-2</v>
      </c>
      <c r="BO172" s="802">
        <v>0.10986607338869804</v>
      </c>
      <c r="BP172" s="801">
        <v>0.1288004600138539</v>
      </c>
      <c r="BQ172" s="801">
        <v>0.14754343849953858</v>
      </c>
      <c r="BR172" s="801">
        <v>0.1674312816971818</v>
      </c>
      <c r="BS172" s="801">
        <v>0.18969261190419059</v>
      </c>
      <c r="BT172" s="801">
        <v>0.21411662905654238</v>
      </c>
      <c r="BW172" s="1136">
        <f>'2018'!R\Max</f>
        <v>0</v>
      </c>
      <c r="BX172" s="1134">
        <f>'2019'!R\Max</f>
        <v>0.30765477798625418</v>
      </c>
      <c r="BY172" s="1134">
        <f>'2020'!R\Max</f>
        <v>0.43861781566987063</v>
      </c>
      <c r="BZ172" s="1134">
        <f>'2021'!R\Max</f>
        <v>0.92862044761476059</v>
      </c>
      <c r="CA172" s="1134">
        <f>'2022'!R\Max</f>
        <v>0.48865386292250851</v>
      </c>
      <c r="CB172" s="1134">
        <f>'2023'!R\Max</f>
        <v>0.48833405236128469</v>
      </c>
      <c r="CC172" s="1134">
        <f>'2024'!R\Max</f>
        <v>0.48801560255254128</v>
      </c>
      <c r="CD172" s="1134">
        <f>'2025'!R\Max</f>
        <v>0.49021324977630232</v>
      </c>
      <c r="CE172" s="1134">
        <f>'2026'!R\Max</f>
        <v>0.48978860742032537</v>
      </c>
      <c r="CF172" s="1135">
        <f>'2027'!R\Max</f>
        <v>0.48938721859998696</v>
      </c>
    </row>
    <row r="173" spans="1:84" s="6" customFormat="1" ht="11.25" x14ac:dyDescent="0.2">
      <c r="A173" s="11">
        <v>43259</v>
      </c>
      <c r="B173" s="380">
        <f>'2023'!Maxi_hp</f>
        <v>61.487890344452325</v>
      </c>
      <c r="C173" s="85">
        <f>'2023'!An_max</f>
        <v>2019</v>
      </c>
      <c r="D173" s="1087">
        <f t="shared" si="78"/>
        <v>1.0359866313836752</v>
      </c>
      <c r="E173" s="747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836">
        <f t="shared" si="81"/>
        <v>0.21428571428571427</v>
      </c>
      <c r="J173" s="827">
        <f t="shared" si="82"/>
        <v>59.352011388726531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836">
        <f t="shared" si="86"/>
        <v>0.39285714285714285</v>
      </c>
      <c r="AT173" s="853">
        <f t="shared" si="87"/>
        <v>59.284144565902125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836">
        <f t="shared" si="91"/>
        <v>0.10714285714285714</v>
      </c>
      <c r="AY173" s="853">
        <f t="shared" si="92"/>
        <v>59.344318319750684</v>
      </c>
      <c r="AZ173" s="827">
        <f t="shared" si="96"/>
        <v>59.314231442826404</v>
      </c>
      <c r="BA173" s="660">
        <f t="shared" si="93"/>
        <v>1.0359866313836752</v>
      </c>
      <c r="BB173" s="655">
        <v>43259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924">
        <f>1+[2]!Salcycl*Ksac</f>
        <v>1.0368266685035215</v>
      </c>
      <c r="BH173" s="1080">
        <f t="shared" si="94"/>
        <v>6.3501395697920376E-2</v>
      </c>
      <c r="BI173" s="11">
        <v>44355</v>
      </c>
      <c r="BJ173" s="801">
        <v>9.5297246714685056E-3</v>
      </c>
      <c r="BK173" s="801">
        <v>2.0992593898403761E-2</v>
      </c>
      <c r="BL173" s="801">
        <v>3.9079587836065584E-2</v>
      </c>
      <c r="BM173" s="801">
        <v>6.3500426995941231E-2</v>
      </c>
      <c r="BN173" s="801">
        <v>8.9089561911062168E-2</v>
      </c>
      <c r="BO173" s="802">
        <v>0.11125808744025149</v>
      </c>
      <c r="BP173" s="801">
        <v>0.13037701347635997</v>
      </c>
      <c r="BQ173" s="801">
        <v>0.14926073583476809</v>
      </c>
      <c r="BR173" s="801">
        <v>0.1692451515777833</v>
      </c>
      <c r="BS173" s="801">
        <v>0.1915552473561847</v>
      </c>
      <c r="BT173" s="801">
        <v>0.21599352299569444</v>
      </c>
      <c r="BW173" s="1136">
        <f>'2018'!R\Max</f>
        <v>0</v>
      </c>
      <c r="BX173" s="1134">
        <f>'2019'!R\Max</f>
        <v>1.0359866313836752</v>
      </c>
      <c r="BY173" s="1134">
        <f>'2020'!R\Max</f>
        <v>0.61750053128677673</v>
      </c>
      <c r="BZ173" s="1134">
        <f>'2021'!R\Max</f>
        <v>1.0105188643275052</v>
      </c>
      <c r="CA173" s="1134">
        <f>'2022'!R\Max</f>
        <v>0.36333068645877242</v>
      </c>
      <c r="CB173" s="1134">
        <f>'2023'!R\Max</f>
        <v>0.36302982387135746</v>
      </c>
      <c r="CC173" s="1134">
        <f>'2024'!R\Max</f>
        <v>0.36273068379504569</v>
      </c>
      <c r="CD173" s="1134">
        <f>'2025'!R\Max</f>
        <v>0.36480437477691963</v>
      </c>
      <c r="CE173" s="1134">
        <f>'2026'!R\Max</f>
        <v>0.3644020156099459</v>
      </c>
      <c r="CF173" s="1135">
        <f>'2027'!R\Max</f>
        <v>0.36402264695205094</v>
      </c>
    </row>
    <row r="174" spans="1:84" s="6" customFormat="1" ht="11.25" x14ac:dyDescent="0.2">
      <c r="A174" s="11">
        <v>43260</v>
      </c>
      <c r="B174" s="380">
        <f>'2023'!Maxi_hp</f>
        <v>58.767455716335284</v>
      </c>
      <c r="C174" s="85">
        <f>'2023'!An_max</f>
        <v>2021</v>
      </c>
      <c r="D174" s="1087">
        <f t="shared" si="78"/>
        <v>0.9909496499146826</v>
      </c>
      <c r="E174" s="747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836">
        <f t="shared" si="81"/>
        <v>0.14285714285714285</v>
      </c>
      <c r="J174" s="827">
        <f t="shared" si="82"/>
        <v>59.304179300527494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836">
        <f t="shared" si="86"/>
        <v>0.42857142857142855</v>
      </c>
      <c r="AT174" s="853">
        <f t="shared" si="87"/>
        <v>59.229227405493816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836">
        <f t="shared" si="91"/>
        <v>7.1428571428571425E-2</v>
      </c>
      <c r="AY174" s="853">
        <f t="shared" si="92"/>
        <v>59.297376913071744</v>
      </c>
      <c r="AZ174" s="827">
        <f t="shared" si="96"/>
        <v>59.26330215928278</v>
      </c>
      <c r="BA174" s="660">
        <f t="shared" si="93"/>
        <v>0.9909496499146826</v>
      </c>
      <c r="BB174" s="655">
        <v>43260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924">
        <f>1+[2]!Salcycl*Ksac</f>
        <v>1.0374510477284102</v>
      </c>
      <c r="BH174" s="1080">
        <f t="shared" si="94"/>
        <v>6.4174646784097525E-2</v>
      </c>
      <c r="BI174" s="11">
        <v>44356</v>
      </c>
      <c r="BJ174" s="801">
        <v>9.7080906845172336E-3</v>
      </c>
      <c r="BK174" s="801">
        <v>2.1214851375947866E-2</v>
      </c>
      <c r="BL174" s="801">
        <v>3.9469666887298055E-2</v>
      </c>
      <c r="BM174" s="801">
        <v>6.4173664244503589E-2</v>
      </c>
      <c r="BN174" s="801">
        <v>9.0128332212189924E-2</v>
      </c>
      <c r="BO174" s="802">
        <v>0.11256505209995771</v>
      </c>
      <c r="BP174" s="801">
        <v>0.13185693274798752</v>
      </c>
      <c r="BQ174" s="801">
        <v>0.15087310953978317</v>
      </c>
      <c r="BR174" s="801">
        <v>0.1709483121456222</v>
      </c>
      <c r="BS174" s="801">
        <v>0.19330506541641515</v>
      </c>
      <c r="BT174" s="801">
        <v>0.21775759141056417</v>
      </c>
      <c r="BW174" s="1136">
        <f>'2018'!R\Max</f>
        <v>0</v>
      </c>
      <c r="BX174" s="1134">
        <f>'2019'!R\Max</f>
        <v>0.7825663350140919</v>
      </c>
      <c r="BY174" s="1134">
        <f>'2020'!R\Max</f>
        <v>0.7441871763697494</v>
      </c>
      <c r="BZ174" s="1134">
        <f>'2021'!R\Max</f>
        <v>0.9909496499146826</v>
      </c>
      <c r="CA174" s="1134">
        <f>'2022'!R\Max</f>
        <v>0.81064597492842827</v>
      </c>
      <c r="CB174" s="1134">
        <f>'2023'!R\Max</f>
        <v>0.81044310340833281</v>
      </c>
      <c r="CC174" s="1134">
        <f>'2024'!R\Max</f>
        <v>0.81024137841120403</v>
      </c>
      <c r="CD174" s="1134">
        <f>'2025'!R\Max</f>
        <v>0.81163911724912929</v>
      </c>
      <c r="CE174" s="1134">
        <f>'2026'!R\Max</f>
        <v>0.81136792381793144</v>
      </c>
      <c r="CF174" s="1135">
        <f>'2027'!R\Max</f>
        <v>0.81111242772944481</v>
      </c>
    </row>
    <row r="175" spans="1:84" s="6" customFormat="1" ht="11.25" x14ac:dyDescent="0.2">
      <c r="A175" s="11">
        <v>43261</v>
      </c>
      <c r="B175" s="380">
        <f>'2023'!Maxi_hp</f>
        <v>58.957156893344319</v>
      </c>
      <c r="C175" s="85">
        <f>'2023'!An_max</f>
        <v>2022</v>
      </c>
      <c r="D175" s="1087">
        <f t="shared" si="78"/>
        <v>0.99500636900957207</v>
      </c>
      <c r="E175" s="747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836">
        <f t="shared" si="81"/>
        <v>7.1428571428571425E-2</v>
      </c>
      <c r="J175" s="827">
        <f t="shared" si="82"/>
        <v>59.253044733804259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836">
        <f t="shared" si="86"/>
        <v>0.4642857142857143</v>
      </c>
      <c r="AT175" s="853">
        <f t="shared" si="87"/>
        <v>59.171905179707593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836">
        <f t="shared" si="91"/>
        <v>3.5714285714285712E-2</v>
      </c>
      <c r="AY175" s="853">
        <f t="shared" si="92"/>
        <v>59.248739397485885</v>
      </c>
      <c r="AZ175" s="827">
        <f t="shared" si="96"/>
        <v>59.210322288596743</v>
      </c>
      <c r="BA175" s="660">
        <f t="shared" si="93"/>
        <v>0.99500636900957207</v>
      </c>
      <c r="BB175" s="655">
        <v>43261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924">
        <f>1+[2]!Salcycl*Ksac</f>
        <v>1.038062810292574</v>
      </c>
      <c r="BH175" s="1080">
        <f t="shared" si="94"/>
        <v>6.482068465513724E-2</v>
      </c>
      <c r="BI175" s="11">
        <v>44357</v>
      </c>
      <c r="BJ175" s="801">
        <v>9.8761386229182738E-3</v>
      </c>
      <c r="BK175" s="801">
        <v>2.1424371809135853E-2</v>
      </c>
      <c r="BL175" s="801">
        <v>3.9851013115611386E-2</v>
      </c>
      <c r="BM175" s="801">
        <v>6.4819689217582549E-2</v>
      </c>
      <c r="BN175" s="801">
        <v>9.1115068431124269E-2</v>
      </c>
      <c r="BO175" s="802">
        <v>0.11378728126855349</v>
      </c>
      <c r="BP175" s="801">
        <v>0.13324057986205298</v>
      </c>
      <c r="BQ175" s="801">
        <v>0.15238096315732344</v>
      </c>
      <c r="BR175" s="801">
        <v>0.17254120514777863</v>
      </c>
      <c r="BS175" s="801">
        <v>0.19494254215807158</v>
      </c>
      <c r="BT175" s="801">
        <v>0.21940934356580724</v>
      </c>
      <c r="BW175" s="1136">
        <f>'2018'!R\Max</f>
        <v>0</v>
      </c>
      <c r="BX175" s="1134">
        <f>'2019'!R\Max</f>
        <v>0.38061142307631779</v>
      </c>
      <c r="BY175" s="1134">
        <f>'2020'!R\Max</f>
        <v>0.50642301886244412</v>
      </c>
      <c r="BZ175" s="1134">
        <f>'2021'!R\Max</f>
        <v>0.99162066379178537</v>
      </c>
      <c r="CA175" s="1134">
        <f>'2022'!R\Max</f>
        <v>0.99500636900957207</v>
      </c>
      <c r="CB175" s="1134">
        <f>'2023'!R\Max</f>
        <v>0.99499970333261711</v>
      </c>
      <c r="CC175" s="1134">
        <f>'2024'!R\Max</f>
        <v>0.99499307889777788</v>
      </c>
      <c r="CD175" s="1134">
        <f>'2025'!R\Max</f>
        <v>0.99503902481846918</v>
      </c>
      <c r="CE175" s="1134">
        <f>'2026'!R\Max</f>
        <v>0.99503009412542331</v>
      </c>
      <c r="CF175" s="1135">
        <f>'2027'!R\Max</f>
        <v>0.99502169619743241</v>
      </c>
    </row>
    <row r="176" spans="1:84" s="6" customFormat="1" ht="11.25" x14ac:dyDescent="0.2">
      <c r="A176" s="11">
        <v>43262</v>
      </c>
      <c r="B176" s="380">
        <f>'2023'!Maxi_hp</f>
        <v>57.354410945411338</v>
      </c>
      <c r="C176" s="85">
        <f>'2023'!An_max</f>
        <v>2022</v>
      </c>
      <c r="D176" s="1087" t="str">
        <f t="shared" si="78"/>
        <v/>
      </c>
      <c r="E176" s="835">
        <f>Y$13/10</f>
        <v>59.198500000000003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836">
        <f t="shared" si="81"/>
        <v>0</v>
      </c>
      <c r="J176" s="827">
        <f t="shared" si="82"/>
        <v>59.198500000685456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836">
        <f t="shared" si="86"/>
        <v>0.5</v>
      </c>
      <c r="AT176" s="853">
        <f t="shared" si="87"/>
        <v>59.112312500178817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836">
        <f t="shared" si="91"/>
        <v>0</v>
      </c>
      <c r="AY176" s="853">
        <f t="shared" si="92"/>
        <v>59.198499999940395</v>
      </c>
      <c r="AZ176" s="827">
        <f t="shared" si="96"/>
        <v>59.155406250059606</v>
      </c>
      <c r="BA176" s="660">
        <f t="shared" si="93"/>
        <v>0.96884905774212582</v>
      </c>
      <c r="BB176" s="655">
        <v>43262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924">
        <f>1+[2]!Salcycl*Ksac</f>
        <v>1.0386613127582074</v>
      </c>
      <c r="BH176" s="1080">
        <f t="shared" si="94"/>
        <v>6.5439651650177996E-2</v>
      </c>
      <c r="BI176" s="11">
        <v>44358</v>
      </c>
      <c r="BJ176" s="801">
        <v>1.0033902143281538E-2</v>
      </c>
      <c r="BK176" s="801">
        <v>2.1621209337539814E-2</v>
      </c>
      <c r="BL176" s="801">
        <v>4.0223698783581736E-2</v>
      </c>
      <c r="BM176" s="801">
        <v>6.5438644251129149E-2</v>
      </c>
      <c r="BN176" s="801">
        <v>9.2049997101945724E-2</v>
      </c>
      <c r="BO176" s="802">
        <v>0.11492509533089361</v>
      </c>
      <c r="BP176" s="801">
        <v>0.13452832420530095</v>
      </c>
      <c r="BQ176" s="801">
        <v>0.15378470827090249</v>
      </c>
      <c r="BR176" s="801">
        <v>0.17402428086630595</v>
      </c>
      <c r="BS176" s="801">
        <v>0.19646816249520027</v>
      </c>
      <c r="BT176" s="801">
        <v>0.22094929772881386</v>
      </c>
      <c r="BW176" s="1136">
        <f>'2018'!R\Max</f>
        <v>0</v>
      </c>
      <c r="BX176" s="1134">
        <f>'2019'!R\Max</f>
        <v>0.56908557907137425</v>
      </c>
      <c r="BY176" s="1134">
        <f>'2020'!R\Max</f>
        <v>0.73672262499760099</v>
      </c>
      <c r="BZ176" s="1134">
        <f>'2021'!R\Max</f>
        <v>0.82159598428068137</v>
      </c>
      <c r="CA176" s="1134">
        <f>'2022'!R\Max</f>
        <v>0.96884905774212582</v>
      </c>
      <c r="CB176" s="1134">
        <f>'2023'!R\Max</f>
        <v>0.96880800229655895</v>
      </c>
      <c r="CC176" s="1134">
        <f>'2024'!R\Max</f>
        <v>0.96876724325475283</v>
      </c>
      <c r="CD176" s="1134">
        <f>'2025'!R\Max</f>
        <v>0.96905055054096301</v>
      </c>
      <c r="CE176" s="1134">
        <f>'2026'!R\Max</f>
        <v>0.96899529792681038</v>
      </c>
      <c r="CF176" s="1135">
        <f>'2027'!R\Max</f>
        <v>0.96894348919897388</v>
      </c>
    </row>
    <row r="177" spans="1:84" s="6" customFormat="1" ht="11.25" x14ac:dyDescent="0.2">
      <c r="A177" s="11">
        <v>43263</v>
      </c>
      <c r="B177" s="380">
        <f>'2023'!Maxi_hp</f>
        <v>53.061432092137871</v>
      </c>
      <c r="C177" s="85">
        <f>'2023'!An_max</f>
        <v>2019</v>
      </c>
      <c r="D177" s="1087" t="str">
        <f t="shared" si="78"/>
        <v/>
      </c>
      <c r="E177" s="747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836">
        <f t="shared" si="81"/>
        <v>7.1428571428571425E-2</v>
      </c>
      <c r="J177" s="827">
        <f t="shared" si="82"/>
        <v>59.139773323959012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836">
        <f t="shared" si="86"/>
        <v>0.5357142857142857</v>
      </c>
      <c r="AT177" s="853">
        <f t="shared" si="87"/>
        <v>59.050583979001793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836">
        <f t="shared" si="91"/>
        <v>3.5714285714285712E-2</v>
      </c>
      <c r="AY177" s="853">
        <f t="shared" si="92"/>
        <v>59.145510033085678</v>
      </c>
      <c r="AZ177" s="827">
        <f t="shared" si="96"/>
        <v>59.098047006043736</v>
      </c>
      <c r="BA177" s="660">
        <f t="shared" si="93"/>
        <v>0.89722075533626278</v>
      </c>
      <c r="BB177" s="655">
        <v>43263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924">
        <f>1+[2]!Salcycl*Ksac</f>
        <v>1.0392459506124212</v>
      </c>
      <c r="BH177" s="1080">
        <f t="shared" si="94"/>
        <v>6.6031693307667602E-2</v>
      </c>
      <c r="BI177" s="11">
        <v>44359</v>
      </c>
      <c r="BJ177" s="801">
        <v>1.018141564545671E-2</v>
      </c>
      <c r="BK177" s="801">
        <v>2.180541906119085E-2</v>
      </c>
      <c r="BL177" s="801">
        <v>4.0587798194872161E-2</v>
      </c>
      <c r="BM177" s="801">
        <v>6.6030674880348902E-2</v>
      </c>
      <c r="BN177" s="801">
        <v>9.2933349408061347E-2</v>
      </c>
      <c r="BO177" s="802">
        <v>0.1159788200268292</v>
      </c>
      <c r="BP177" s="801">
        <v>0.13572054123493196</v>
      </c>
      <c r="BQ177" s="801">
        <v>0.15508476311194722</v>
      </c>
      <c r="BR177" s="801">
        <v>0.17539799664870856</v>
      </c>
      <c r="BS177" s="801">
        <v>0.19788241868562584</v>
      </c>
      <c r="BT177" s="801">
        <v>0.22237797967299566</v>
      </c>
      <c r="BW177" s="1136">
        <f>'2018'!R\Max</f>
        <v>0</v>
      </c>
      <c r="BX177" s="1134">
        <f>'2019'!R\Max</f>
        <v>0.89722075533626278</v>
      </c>
      <c r="BY177" s="1134">
        <f>'2020'!R\Max</f>
        <v>0.44154586995288919</v>
      </c>
      <c r="BZ177" s="1134">
        <f>'2021'!R\Max</f>
        <v>0.82349548352500135</v>
      </c>
      <c r="CA177" s="1134">
        <f>'2022'!R\Max</f>
        <v>0.74225287466157197</v>
      </c>
      <c r="CB177" s="1134">
        <f>'2023'!R\Max</f>
        <v>0.74198924262878774</v>
      </c>
      <c r="CC177" s="1134">
        <f>'2024'!R\Max</f>
        <v>0.7417279146811393</v>
      </c>
      <c r="CD177" s="1134">
        <f>'2025'!R\Max</f>
        <v>0.74355039827639546</v>
      </c>
      <c r="CE177" s="1134">
        <f>'2026'!R\Max</f>
        <v>0.74319321987081055</v>
      </c>
      <c r="CF177" s="1135">
        <f>'2027'!R\Max</f>
        <v>0.74285958228670634</v>
      </c>
    </row>
    <row r="178" spans="1:84" s="6" customFormat="1" ht="11.25" x14ac:dyDescent="0.2">
      <c r="A178" s="11">
        <v>43264</v>
      </c>
      <c r="B178" s="380">
        <f>'2023'!Maxi_hp</f>
        <v>61.924411785677407</v>
      </c>
      <c r="C178" s="85">
        <f>'2023'!An_max</f>
        <v>2019</v>
      </c>
      <c r="D178" s="1087">
        <f t="shared" si="78"/>
        <v>1.0482080388886308</v>
      </c>
      <c r="E178" s="747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836">
        <f t="shared" si="81"/>
        <v>0.14285714285714285</v>
      </c>
      <c r="J178" s="827">
        <f t="shared" si="82"/>
        <v>59.076451895306164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836">
        <f t="shared" si="86"/>
        <v>0.5714285714285714</v>
      </c>
      <c r="AT178" s="853">
        <f t="shared" si="87"/>
        <v>58.986854227472634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836">
        <f t="shared" si="91"/>
        <v>7.1428571428571425E-2</v>
      </c>
      <c r="AY178" s="853">
        <f t="shared" si="92"/>
        <v>59.088674653986729</v>
      </c>
      <c r="AZ178" s="827">
        <f t="shared" si="96"/>
        <v>59.037764440729681</v>
      </c>
      <c r="BA178" s="660">
        <f t="shared" si="93"/>
        <v>1.0482080388886308</v>
      </c>
      <c r="BB178" s="655">
        <v>43264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924">
        <f>1+[2]!Salcycl*Ksac</f>
        <v>1.0398161605677507</v>
      </c>
      <c r="BH178" s="1080">
        <f t="shared" si="94"/>
        <v>6.6559025479552905E-2</v>
      </c>
      <c r="BI178" s="11">
        <v>44360</v>
      </c>
      <c r="BJ178" s="801">
        <v>1.0311631480779638E-2</v>
      </c>
      <c r="BK178" s="801">
        <v>2.1967059135053781E-2</v>
      </c>
      <c r="BL178" s="801">
        <v>4.0916280261151496E-2</v>
      </c>
      <c r="BM178" s="801">
        <v>6.6557997435914784E-2</v>
      </c>
      <c r="BN178" s="801">
        <v>9.3714695699087677E-2</v>
      </c>
      <c r="BO178" s="802">
        <v>0.11689843376624813</v>
      </c>
      <c r="BP178" s="801">
        <v>0.13676024452990873</v>
      </c>
      <c r="BQ178" s="801">
        <v>0.15621861075679944</v>
      </c>
      <c r="BR178" s="801">
        <v>0.17659581255715576</v>
      </c>
      <c r="BS178" s="801">
        <v>0.1991161322342887</v>
      </c>
      <c r="BT178" s="801">
        <v>0.22362442581355091</v>
      </c>
      <c r="BW178" s="1136">
        <f>'2018'!R\Max</f>
        <v>0</v>
      </c>
      <c r="BX178" s="1134">
        <f>'2019'!R\Max</f>
        <v>1.0482080388886308</v>
      </c>
      <c r="BY178" s="1134">
        <f>'2020'!R\Max</f>
        <v>0.88291018379756403</v>
      </c>
      <c r="BZ178" s="1134">
        <f>'2021'!R\Max</f>
        <v>0.98117156033991793</v>
      </c>
      <c r="CA178" s="1134">
        <f>'2022'!R\Max</f>
        <v>0.91420954706542812</v>
      </c>
      <c r="CB178" s="1134">
        <f>'2023'!R\Max</f>
        <v>0.91410011943729752</v>
      </c>
      <c r="CC178" s="1134">
        <f>'2024'!R\Max</f>
        <v>0.91399168553775012</v>
      </c>
      <c r="CD178" s="1134">
        <f>'2025'!R\Max</f>
        <v>0.91474765646569489</v>
      </c>
      <c r="CE178" s="1134">
        <f>'2026'!R\Max</f>
        <v>0.91459925362302619</v>
      </c>
      <c r="CF178" s="1135">
        <f>'2027'!R\Max</f>
        <v>0.91446096892893458</v>
      </c>
    </row>
    <row r="179" spans="1:84" s="6" customFormat="1" ht="11.25" x14ac:dyDescent="0.2">
      <c r="A179" s="11">
        <v>43265</v>
      </c>
      <c r="B179" s="380">
        <f>'2023'!Maxi_hp</f>
        <v>57.572810186062441</v>
      </c>
      <c r="C179" s="85">
        <f>'2023'!An_max</f>
        <v>2021</v>
      </c>
      <c r="D179" s="1087">
        <f t="shared" si="78"/>
        <v>0.97566206676719858</v>
      </c>
      <c r="E179" s="747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836">
        <f t="shared" si="81"/>
        <v>0.21428571428571427</v>
      </c>
      <c r="J179" s="827">
        <f t="shared" si="82"/>
        <v>59.008966472199447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836">
        <f t="shared" si="86"/>
        <v>0.6071428571428571</v>
      </c>
      <c r="AT179" s="853">
        <f t="shared" si="87"/>
        <v>58.921257858284356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836">
        <f t="shared" si="91"/>
        <v>0.10714285714285714</v>
      </c>
      <c r="AY179" s="853">
        <f t="shared" si="92"/>
        <v>59.028168857024454</v>
      </c>
      <c r="AZ179" s="827">
        <f t="shared" si="96"/>
        <v>58.974713357654409</v>
      </c>
      <c r="BA179" s="660">
        <f t="shared" si="93"/>
        <v>0.97566206676719858</v>
      </c>
      <c r="BB179" s="655">
        <v>43265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924">
        <f>1+[2]!Salcycl*Ksac</f>
        <v>1.0403714226571426</v>
      </c>
      <c r="BH179" s="1080">
        <f t="shared" si="94"/>
        <v>6.7041984315981504E-2</v>
      </c>
      <c r="BI179" s="11">
        <v>44361</v>
      </c>
      <c r="BJ179" s="801">
        <v>1.0428443204567978E-2</v>
      </c>
      <c r="BK179" s="801">
        <v>2.2112773854863581E-2</v>
      </c>
      <c r="BL179" s="801">
        <v>4.1221809985576528E-2</v>
      </c>
      <c r="BM179" s="801">
        <v>6.7040947726561842E-2</v>
      </c>
      <c r="BN179" s="801">
        <v>9.442339050301464E-2</v>
      </c>
      <c r="BO179" s="802">
        <v>0.11771953214331139</v>
      </c>
      <c r="BP179" s="801">
        <v>0.13768870582606088</v>
      </c>
      <c r="BQ179" s="801">
        <v>0.15723095940794066</v>
      </c>
      <c r="BR179" s="801">
        <v>0.17766482961819663</v>
      </c>
      <c r="BS179" s="801">
        <v>0.20021639509279607</v>
      </c>
      <c r="BT179" s="801">
        <v>0.22473532119368</v>
      </c>
      <c r="BW179" s="1136">
        <f>'2018'!R\Max</f>
        <v>0</v>
      </c>
      <c r="BX179" s="1134">
        <f>'2019'!R\Max</f>
        <v>0.39639002797360051</v>
      </c>
      <c r="BY179" s="1134">
        <f>'2020'!R\Max</f>
        <v>0.73448853102812106</v>
      </c>
      <c r="BZ179" s="1134">
        <f>'2021'!R\Max</f>
        <v>0.97566206676719858</v>
      </c>
      <c r="CA179" s="1134">
        <f>'2022'!R\Max</f>
        <v>0.87130211131296809</v>
      </c>
      <c r="CB179" s="1134">
        <f>'2023'!R\Max</f>
        <v>0.87114387246364999</v>
      </c>
      <c r="CC179" s="1134">
        <f>'2024'!R\Max</f>
        <v>0.87098721085255815</v>
      </c>
      <c r="CD179" s="1134">
        <f>'2025'!R\Max</f>
        <v>0.87208062608032422</v>
      </c>
      <c r="CE179" s="1134">
        <f>'2026'!R\Max</f>
        <v>0.87186530247440863</v>
      </c>
      <c r="CF179" s="1135">
        <f>'2027'!R\Max</f>
        <v>0.87166531948514625</v>
      </c>
    </row>
    <row r="180" spans="1:84" s="6" customFormat="1" ht="11.25" x14ac:dyDescent="0.2">
      <c r="A180" s="11">
        <v>43266</v>
      </c>
      <c r="B180" s="380">
        <f>'2023'!Maxi_hp</f>
        <v>55.237213915781524</v>
      </c>
      <c r="C180" s="85">
        <f>'2023'!An_max</f>
        <v>2022</v>
      </c>
      <c r="D180" s="1087" t="str">
        <f t="shared" si="78"/>
        <v/>
      </c>
      <c r="E180" s="747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836">
        <f t="shared" si="81"/>
        <v>0.2857142857142857</v>
      </c>
      <c r="J180" s="827">
        <f t="shared" si="82"/>
        <v>58.937747813974099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836">
        <f t="shared" si="86"/>
        <v>0.6428571428571429</v>
      </c>
      <c r="AT180" s="853">
        <f t="shared" si="87"/>
        <v>58.85392948302573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836">
        <f t="shared" si="91"/>
        <v>0.14285714285714285</v>
      </c>
      <c r="AY180" s="853">
        <f t="shared" si="92"/>
        <v>58.964167638695145</v>
      </c>
      <c r="AZ180" s="827">
        <f t="shared" si="96"/>
        <v>58.909048560860441</v>
      </c>
      <c r="BA180" s="660">
        <f t="shared" si="93"/>
        <v>0.9372128383685</v>
      </c>
      <c r="BB180" s="655">
        <v>43266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924">
        <f>1+[2]!Salcycl*Ksac</f>
        <v>1.0409112621077106</v>
      </c>
      <c r="BH180" s="1080">
        <f t="shared" si="94"/>
        <v>6.7480754297912462E-2</v>
      </c>
      <c r="BI180" s="11">
        <v>44362</v>
      </c>
      <c r="BJ180" s="801">
        <v>1.0531892341901401E-2</v>
      </c>
      <c r="BK180" s="801">
        <v>2.2242626175880062E-2</v>
      </c>
      <c r="BL180" s="801">
        <v>4.1504492980343081E-2</v>
      </c>
      <c r="BM180" s="801">
        <v>6.7479710229665923E-2</v>
      </c>
      <c r="BN180" s="801">
        <v>9.5059712951191408E-2</v>
      </c>
      <c r="BO180" s="802">
        <v>0.11844247655338658</v>
      </c>
      <c r="BP180" s="801">
        <v>0.13850633983329105</v>
      </c>
      <c r="BQ180" s="801">
        <v>0.15812227147202376</v>
      </c>
      <c r="BR180" s="801">
        <v>0.17860555317135854</v>
      </c>
      <c r="BS180" s="801">
        <v>0.20118375307588929</v>
      </c>
      <c r="BT180" s="801">
        <v>0.22571124971103115</v>
      </c>
      <c r="BW180" s="1136">
        <f>'2018'!R\Max</f>
        <v>0</v>
      </c>
      <c r="BX180" s="1134">
        <f>'2019'!R\Max</f>
        <v>0.40941704618429958</v>
      </c>
      <c r="BY180" s="1134">
        <f>'2020'!R\Max</f>
        <v>0.7911788119411115</v>
      </c>
      <c r="BZ180" s="1134">
        <f>'2021'!R\Max</f>
        <v>0.88417780117181122</v>
      </c>
      <c r="CA180" s="1134">
        <f>'2022'!R\Max</f>
        <v>0.9372128383685</v>
      </c>
      <c r="CB180" s="1134">
        <f>'2023'!R\Max</f>
        <v>0.93712890177055341</v>
      </c>
      <c r="CC180" s="1134">
        <f>'2024'!R\Max</f>
        <v>0.93704584705291349</v>
      </c>
      <c r="CD180" s="1134">
        <f>'2025'!R\Max</f>
        <v>0.93762545287049515</v>
      </c>
      <c r="CE180" s="1134">
        <f>'2026'!R\Max</f>
        <v>0.93751106576503018</v>
      </c>
      <c r="CF180" s="1135">
        <f>'2027'!R\Max</f>
        <v>0.93740514346126236</v>
      </c>
    </row>
    <row r="181" spans="1:84" s="6" customFormat="1" ht="11.25" x14ac:dyDescent="0.2">
      <c r="A181" s="11">
        <v>43267</v>
      </c>
      <c r="B181" s="380">
        <f>'2023'!Maxi_hp</f>
        <v>59.636866753529013</v>
      </c>
      <c r="C181" s="85">
        <f>'2023'!An_max</f>
        <v>2019</v>
      </c>
      <c r="D181" s="1087">
        <f t="shared" si="78"/>
        <v>1.0131430117042237</v>
      </c>
      <c r="E181" s="747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836">
        <f t="shared" si="81"/>
        <v>0.35714285714285715</v>
      </c>
      <c r="J181" s="827">
        <f t="shared" si="82"/>
        <v>58.863226676373074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836">
        <f t="shared" si="86"/>
        <v>0.6785714285714286</v>
      </c>
      <c r="AT181" s="853">
        <f t="shared" si="87"/>
        <v>58.785003712713454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836">
        <f t="shared" si="91"/>
        <v>0.17857142857142858</v>
      </c>
      <c r="AY181" s="853">
        <f t="shared" si="92"/>
        <v>58.896845993439534</v>
      </c>
      <c r="AZ181" s="827">
        <f t="shared" si="96"/>
        <v>58.840924853076494</v>
      </c>
      <c r="BA181" s="660">
        <f t="shared" si="93"/>
        <v>1.0131430117042237</v>
      </c>
      <c r="BB181" s="655">
        <v>43267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924">
        <f>1+[2]!Salcycl*Ksac</f>
        <v>1.0414352509790954</v>
      </c>
      <c r="BH181" s="1080">
        <f t="shared" si="94"/>
        <v>6.7875520428627378E-2</v>
      </c>
      <c r="BI181" s="11">
        <v>44363</v>
      </c>
      <c r="BJ181" s="801">
        <v>1.0622020385711591E-2</v>
      </c>
      <c r="BK181" s="801">
        <v>2.2356679082816341E-2</v>
      </c>
      <c r="BL181" s="801">
        <v>4.1764435454520271E-2</v>
      </c>
      <c r="BM181" s="801">
        <v>6.7874469944931681E-2</v>
      </c>
      <c r="BN181" s="801">
        <v>9.5623942531788422E-2</v>
      </c>
      <c r="BO181" s="802">
        <v>0.11906762807395528</v>
      </c>
      <c r="BP181" s="801">
        <v>0.13921356092408868</v>
      </c>
      <c r="BQ181" s="801">
        <v>0.15889300899845546</v>
      </c>
      <c r="BR181" s="801">
        <v>0.17941848818788086</v>
      </c>
      <c r="BS181" s="801">
        <v>0.20201875162507363</v>
      </c>
      <c r="BT181" s="801">
        <v>0.22655279491211705</v>
      </c>
      <c r="BW181" s="1136">
        <f>'2018'!R\Max</f>
        <v>0</v>
      </c>
      <c r="BX181" s="1134">
        <f>'2019'!R\Max</f>
        <v>1.0131430117042237</v>
      </c>
      <c r="BY181" s="1134">
        <f>'2020'!R\Max</f>
        <v>0.81790421056677243</v>
      </c>
      <c r="BZ181" s="1134">
        <f>'2021'!R\Max</f>
        <v>0.87672768849852178</v>
      </c>
      <c r="CA181" s="1134">
        <f>'2022'!R\Max</f>
        <v>0.91065610983132628</v>
      </c>
      <c r="CB181" s="1134">
        <f>'2023'!R\Max</f>
        <v>0.91053890458249997</v>
      </c>
      <c r="CC181" s="1134">
        <f>'2024'!R\Max</f>
        <v>0.91042301885277177</v>
      </c>
      <c r="CD181" s="1134">
        <f>'2025'!R\Max</f>
        <v>0.91123200943526328</v>
      </c>
      <c r="CE181" s="1134">
        <f>'2026'!R\Max</f>
        <v>0.91107191224026385</v>
      </c>
      <c r="CF181" s="1135">
        <f>'2027'!R\Max</f>
        <v>0.91092416634375328</v>
      </c>
    </row>
    <row r="182" spans="1:84" s="6" customFormat="1" ht="11.25" x14ac:dyDescent="0.2">
      <c r="A182" s="11">
        <v>43268</v>
      </c>
      <c r="B182" s="380">
        <f>'2023'!Maxi_hp</f>
        <v>58.647204437041879</v>
      </c>
      <c r="C182" s="85">
        <f>'2023'!An_max</f>
        <v>2019</v>
      </c>
      <c r="D182" s="1087">
        <f t="shared" si="78"/>
        <v>0.99764178929897718</v>
      </c>
      <c r="E182" s="747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836">
        <f t="shared" si="81"/>
        <v>0.42857142857142855</v>
      </c>
      <c r="J182" s="827">
        <f t="shared" si="82"/>
        <v>58.785833819423395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836">
        <f t="shared" si="86"/>
        <v>0.7142857142857143</v>
      </c>
      <c r="AT182" s="853">
        <f t="shared" si="87"/>
        <v>58.71461516067918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836">
        <f t="shared" si="91"/>
        <v>0.21428571428571427</v>
      </c>
      <c r="AY182" s="853">
        <f t="shared" si="92"/>
        <v>58.826378917341515</v>
      </c>
      <c r="AZ182" s="827">
        <f t="shared" si="96"/>
        <v>58.770497039010351</v>
      </c>
      <c r="BA182" s="660">
        <f t="shared" si="93"/>
        <v>0.99764178929897718</v>
      </c>
      <c r="BB182" s="655">
        <v>43268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924">
        <f>1+[2]!Salcycl*Ksac</f>
        <v>1.0419430095539377</v>
      </c>
      <c r="BH182" s="1080">
        <f t="shared" si="94"/>
        <v>6.8226467631862409E-2</v>
      </c>
      <c r="BI182" s="11">
        <v>44364</v>
      </c>
      <c r="BJ182" s="801">
        <v>1.0698868615467467E-2</v>
      </c>
      <c r="BK182" s="801">
        <v>2.2454995373560067E-2</v>
      </c>
      <c r="BL182" s="801">
        <v>4.2001743903016329E-2</v>
      </c>
      <c r="BM182" s="801">
        <v>6.8225411792539103E-2</v>
      </c>
      <c r="BN182" s="801">
        <v>9.6116358104525859E-2</v>
      </c>
      <c r="BO182" s="802">
        <v>0.11959534612725516</v>
      </c>
      <c r="BP182" s="801">
        <v>0.13981078162294999</v>
      </c>
      <c r="BQ182" s="801">
        <v>0.1595436320288168</v>
      </c>
      <c r="BR182" s="801">
        <v>0.18010413751979162</v>
      </c>
      <c r="BS182" s="801">
        <v>0.20272193399271096</v>
      </c>
      <c r="BT182" s="801">
        <v>0.22726053814557143</v>
      </c>
      <c r="BW182" s="1136">
        <f>'2018'!R\Max</f>
        <v>0</v>
      </c>
      <c r="BX182" s="1134">
        <f>'2019'!R\Max</f>
        <v>0.99764178929897718</v>
      </c>
      <c r="BY182" s="1134">
        <f>'2020'!R\Max</f>
        <v>0.53054126222634534</v>
      </c>
      <c r="BZ182" s="1134">
        <f>'2021'!R\Max</f>
        <v>0.24916611090963575</v>
      </c>
      <c r="CA182" s="1134">
        <f>'2022'!R\Max</f>
        <v>0.92404847463988127</v>
      </c>
      <c r="CB182" s="1134">
        <f>'2023'!R\Max</f>
        <v>0.92394644096571665</v>
      </c>
      <c r="CC182" s="1134">
        <f>'2024'!R\Max</f>
        <v>0.923845616301608</v>
      </c>
      <c r="CD182" s="1134">
        <f>'2025'!R\Max</f>
        <v>0.92454924236716263</v>
      </c>
      <c r="CE182" s="1134">
        <f>'2026'!R\Max</f>
        <v>0.92440967484190062</v>
      </c>
      <c r="CF182" s="1135">
        <f>'2027'!R\Max</f>
        <v>0.92428130504988837</v>
      </c>
    </row>
    <row r="183" spans="1:84" s="6" customFormat="1" ht="11.25" x14ac:dyDescent="0.2">
      <c r="A183" s="11">
        <v>43269</v>
      </c>
      <c r="B183" s="380">
        <f>'2023'!Maxi_hp</f>
        <v>56.677985927992459</v>
      </c>
      <c r="C183" s="85">
        <f>'2023'!An_max</f>
        <v>2019</v>
      </c>
      <c r="D183" s="1087" t="str">
        <f t="shared" si="78"/>
        <v/>
      </c>
      <c r="E183" s="747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836">
        <f t="shared" si="81"/>
        <v>0.5</v>
      </c>
      <c r="J183" s="827">
        <f t="shared" si="82"/>
        <v>58.705999999865888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836">
        <f t="shared" si="86"/>
        <v>0.75</v>
      </c>
      <c r="AT183" s="853">
        <f t="shared" si="87"/>
        <v>58.642898437753317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836">
        <f t="shared" si="91"/>
        <v>0.25</v>
      </c>
      <c r="AY183" s="853">
        <f t="shared" si="92"/>
        <v>58.752941406425087</v>
      </c>
      <c r="AZ183" s="827">
        <f t="shared" si="96"/>
        <v>58.697919922089199</v>
      </c>
      <c r="BA183" s="660">
        <f t="shared" si="93"/>
        <v>0.96545473934728887</v>
      </c>
      <c r="BB183" s="655">
        <v>43269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924">
        <f>1+[2]!Salcycl*Ksac</f>
        <v>1.0424342074697905</v>
      </c>
      <c r="BH183" s="1080">
        <f t="shared" si="94"/>
        <v>6.8533780152096074E-2</v>
      </c>
      <c r="BI183" s="11">
        <v>44365</v>
      </c>
      <c r="BJ183" s="801">
        <v>1.0762477916196844E-2</v>
      </c>
      <c r="BK183" s="801">
        <v>2.2537637443605318E-2</v>
      </c>
      <c r="BL183" s="801">
        <v>4.221652479687036E-2</v>
      </c>
      <c r="BM183" s="801">
        <v>6.8532720013445778E-2</v>
      </c>
      <c r="BN183" s="801">
        <v>9.6537236918438407E-2</v>
      </c>
      <c r="BO183" s="802">
        <v>0.12002598714670576</v>
      </c>
      <c r="BP183" s="801">
        <v>0.14029841110022229</v>
      </c>
      <c r="BQ183" s="801">
        <v>0.16007459695133555</v>
      </c>
      <c r="BR183" s="801">
        <v>0.18066300015469083</v>
      </c>
      <c r="BS183" s="801">
        <v>0.2032938394325404</v>
      </c>
      <c r="BT183" s="801">
        <v>0.22783505672261689</v>
      </c>
      <c r="BW183" s="1136">
        <f>'2018'!R\Max</f>
        <v>0</v>
      </c>
      <c r="BX183" s="1134">
        <f>'2019'!R\Max</f>
        <v>0.96545473934728887</v>
      </c>
      <c r="BY183" s="1134">
        <f>'2020'!R\Max</f>
        <v>0.89310045415227979</v>
      </c>
      <c r="BZ183" s="1134">
        <f>'2021'!R\Max</f>
        <v>0.77653879960677852</v>
      </c>
      <c r="CA183" s="1134">
        <f>'2022'!R\Max</f>
        <v>0.95693360417925355</v>
      </c>
      <c r="CB183" s="1134">
        <f>'2023'!R\Max</f>
        <v>0.95687318092188067</v>
      </c>
      <c r="CC183" s="1134">
        <f>'2024'!R\Max</f>
        <v>0.956813502882637</v>
      </c>
      <c r="CD183" s="1134">
        <f>'2025'!R\Max</f>
        <v>0.95722964592327631</v>
      </c>
      <c r="CE183" s="1134">
        <f>'2026'!R\Max</f>
        <v>0.95714693472752632</v>
      </c>
      <c r="CF183" s="1135">
        <f>'2027'!R\Max</f>
        <v>0.95707111535236122</v>
      </c>
    </row>
    <row r="184" spans="1:84" s="6" customFormat="1" ht="11.25" x14ac:dyDescent="0.2">
      <c r="A184" s="11">
        <v>43270</v>
      </c>
      <c r="B184" s="380">
        <f>'2023'!Maxi_hp</f>
        <v>57.381175359136755</v>
      </c>
      <c r="C184" s="85">
        <f>'2023'!An_max</f>
        <v>2022</v>
      </c>
      <c r="D184" s="1087">
        <f t="shared" si="78"/>
        <v>0.97879746673234824</v>
      </c>
      <c r="E184" s="747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836">
        <f t="shared" si="81"/>
        <v>0.5714285714285714</v>
      </c>
      <c r="J184" s="827">
        <f t="shared" si="82"/>
        <v>58.62415597651686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836">
        <f t="shared" si="86"/>
        <v>0.7857142857142857</v>
      </c>
      <c r="AT184" s="853">
        <f t="shared" si="87"/>
        <v>58.569988156243099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836">
        <f t="shared" si="91"/>
        <v>0.2857142857142857</v>
      </c>
      <c r="AY184" s="853">
        <f t="shared" si="92"/>
        <v>58.676708454745153</v>
      </c>
      <c r="AZ184" s="827">
        <f t="shared" si="96"/>
        <v>58.623348305494126</v>
      </c>
      <c r="BA184" s="660">
        <f t="shared" si="93"/>
        <v>0.97879746673234824</v>
      </c>
      <c r="BB184" s="655">
        <v>43270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924">
        <f>1+[2]!Salcycl*Ksac</f>
        <v>1.0429085645837095</v>
      </c>
      <c r="BH184" s="1080">
        <f t="shared" si="94"/>
        <v>6.875984279304391E-2</v>
      </c>
      <c r="BI184" s="11">
        <v>44366</v>
      </c>
      <c r="BJ184" s="801">
        <v>1.0805831031277429E-2</v>
      </c>
      <c r="BK184" s="801">
        <v>2.2594704748390936E-2</v>
      </c>
      <c r="BL184" s="801">
        <v>4.2381872973047463E-2</v>
      </c>
      <c r="BM184" s="801">
        <v>6.8758779888199478E-2</v>
      </c>
      <c r="BN184" s="801">
        <v>9.6836368301940021E-2</v>
      </c>
      <c r="BO184" s="802">
        <v>0.12030973004328666</v>
      </c>
      <c r="BP184" s="801">
        <v>0.14061969020492479</v>
      </c>
      <c r="BQ184" s="801">
        <v>0.16042363739313373</v>
      </c>
      <c r="BR184" s="801">
        <v>0.18102880392704465</v>
      </c>
      <c r="BS184" s="801">
        <v>0.20366557159886908</v>
      </c>
      <c r="BT184" s="801">
        <v>0.22820567996023358</v>
      </c>
      <c r="BW184" s="1136">
        <f>'2018'!R\Max</f>
        <v>0</v>
      </c>
      <c r="BX184" s="1134">
        <f>'2019'!R\Max</f>
        <v>0.84575610496909281</v>
      </c>
      <c r="BY184" s="1134">
        <f>'2020'!R\Max</f>
        <v>0.67491419982758138</v>
      </c>
      <c r="BZ184" s="1134">
        <f>'2021'!R\Max</f>
        <v>0.6383210171569117</v>
      </c>
      <c r="CA184" s="1134">
        <f>'2022'!R\Max</f>
        <v>0.97879746673234824</v>
      </c>
      <c r="CB184" s="1134">
        <f>'2023'!R\Max</f>
        <v>0.97876681509049113</v>
      </c>
      <c r="CC184" s="1134">
        <f>'2024'!R\Max</f>
        <v>0.97873655455148945</v>
      </c>
      <c r="CD184" s="1134">
        <f>'2025'!R\Max</f>
        <v>0.97894736349502265</v>
      </c>
      <c r="CE184" s="1134">
        <f>'2026'!R\Max</f>
        <v>0.97890538871869848</v>
      </c>
      <c r="CF184" s="1135">
        <f>'2027'!R\Max</f>
        <v>0.97886703750458515</v>
      </c>
    </row>
    <row r="185" spans="1:84" s="6" customFormat="1" ht="11.25" x14ac:dyDescent="0.2">
      <c r="A185" s="11">
        <v>43271</v>
      </c>
      <c r="B185" s="380">
        <f>'2023'!Maxi_hp</f>
        <v>50.746590499850917</v>
      </c>
      <c r="C185" s="85">
        <f>'2023'!An_max</f>
        <v>2020</v>
      </c>
      <c r="D185" s="1087" t="str">
        <f t="shared" si="78"/>
        <v/>
      </c>
      <c r="E185" s="747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836">
        <f t="shared" si="81"/>
        <v>0.6428571428571429</v>
      </c>
      <c r="J185" s="827">
        <f t="shared" si="82"/>
        <v>58.540732507341133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836">
        <f t="shared" si="86"/>
        <v>0.8214285714285714</v>
      </c>
      <c r="AT185" s="853">
        <f t="shared" si="87"/>
        <v>58.496018927843714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836">
        <f t="shared" si="91"/>
        <v>0.32142857142857145</v>
      </c>
      <c r="AY185" s="853">
        <f t="shared" si="92"/>
        <v>58.597855059044171</v>
      </c>
      <c r="AZ185" s="827">
        <f t="shared" si="96"/>
        <v>58.546936993443943</v>
      </c>
      <c r="BA185" s="660">
        <f t="shared" si="93"/>
        <v>0.86685950664329636</v>
      </c>
      <c r="BB185" s="655">
        <v>43271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924">
        <f>1+[2]!Salcycl*Ksac</f>
        <v>1.0433658515627666</v>
      </c>
      <c r="BH185" s="1080">
        <f t="shared" si="94"/>
        <v>6.8911102043627701E-2</v>
      </c>
      <c r="BI185" s="11">
        <v>44367</v>
      </c>
      <c r="BJ185" s="801">
        <v>1.0835186168761054E-2</v>
      </c>
      <c r="BK185" s="801">
        <v>2.2632124374149434E-2</v>
      </c>
      <c r="BL185" s="801">
        <v>4.2493662511870721E-2</v>
      </c>
      <c r="BM185" s="801">
        <v>6.8910037320244602E-2</v>
      </c>
      <c r="BN185" s="801">
        <v>9.7035664070150976E-2</v>
      </c>
      <c r="BO185" s="802">
        <v>0.12049462046519661</v>
      </c>
      <c r="BP185" s="801">
        <v>0.14082839838273639</v>
      </c>
      <c r="BQ185" s="801">
        <v>0.16064926286838482</v>
      </c>
      <c r="BR185" s="801">
        <v>0.18126338276128029</v>
      </c>
      <c r="BS185" s="801">
        <v>0.20390107663803603</v>
      </c>
      <c r="BT185" s="801">
        <v>0.22843681234187282</v>
      </c>
      <c r="BW185" s="1136">
        <f>'2018'!R\Max</f>
        <v>0</v>
      </c>
      <c r="BX185" s="1134">
        <f>'2019'!R\Max</f>
        <v>0.3938504372852753</v>
      </c>
      <c r="BY185" s="1134">
        <f>'2020'!R\Max</f>
        <v>0.86685950664329636</v>
      </c>
      <c r="BZ185" s="1134">
        <f>'2021'!R\Max</f>
        <v>0.59643003479451995</v>
      </c>
      <c r="CA185" s="1134">
        <f>'2022'!R\Max</f>
        <v>0.61649153838922854</v>
      </c>
      <c r="CB185" s="1134">
        <f>'2023'!R\Max</f>
        <v>0.61614024970977554</v>
      </c>
      <c r="CC185" s="1134">
        <f>'2024'!R\Max</f>
        <v>0.61579396204847525</v>
      </c>
      <c r="CD185" s="1134">
        <f>'2025'!R\Max</f>
        <v>0.61821246544552522</v>
      </c>
      <c r="CE185" s="1134">
        <f>'2026'!R\Max</f>
        <v>0.61772872556495406</v>
      </c>
      <c r="CF185" s="1135">
        <f>'2027'!R\Max</f>
        <v>0.61728866783962955</v>
      </c>
    </row>
    <row r="186" spans="1:84" s="6" customFormat="1" ht="11.25" x14ac:dyDescent="0.2">
      <c r="A186" s="11">
        <v>43272</v>
      </c>
      <c r="B186" s="380">
        <f>'2023'!Maxi_hp</f>
        <v>50.271199376554243</v>
      </c>
      <c r="C186" s="85">
        <f>'2023'!An_max</f>
        <v>2020</v>
      </c>
      <c r="D186" s="1087" t="str">
        <f t="shared" si="78"/>
        <v/>
      </c>
      <c r="E186" s="747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836">
        <f t="shared" si="81"/>
        <v>0.7142857142857143</v>
      </c>
      <c r="J186" s="827">
        <f t="shared" si="82"/>
        <v>58.456160350010862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836">
        <f t="shared" si="86"/>
        <v>0.8571428571428571</v>
      </c>
      <c r="AT186" s="853">
        <f t="shared" si="87"/>
        <v>58.421125364410024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836">
        <f t="shared" si="91"/>
        <v>0.35714285714285715</v>
      </c>
      <c r="AY186" s="853">
        <f t="shared" si="92"/>
        <v>58.516556213530045</v>
      </c>
      <c r="AZ186" s="827">
        <f t="shared" si="96"/>
        <v>58.468840788970034</v>
      </c>
      <c r="BA186" s="660">
        <f t="shared" si="93"/>
        <v>0.85998120772133302</v>
      </c>
      <c r="BB186" s="655">
        <v>43272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924">
        <f>1+[2]!Salcycl*Ksac</f>
        <v>1.0438058901958289</v>
      </c>
      <c r="BH186" s="1080">
        <f t="shared" si="94"/>
        <v>6.8987784920033698E-2</v>
      </c>
      <c r="BI186" s="11">
        <v>44368</v>
      </c>
      <c r="BJ186" s="801">
        <v>1.0850582941087268E-2</v>
      </c>
      <c r="BK186" s="801">
        <v>2.2649962260184304E-2</v>
      </c>
      <c r="BL186" s="801">
        <v>4.255204642063376E-2</v>
      </c>
      <c r="BM186" s="801">
        <v>6.8986719322624429E-2</v>
      </c>
      <c r="BN186" s="801">
        <v>9.7135434260741546E-2</v>
      </c>
      <c r="BO186" s="802">
        <v>0.12058099939866597</v>
      </c>
      <c r="BP186" s="801">
        <v>0.14092492897116254</v>
      </c>
      <c r="BQ186" s="801">
        <v>0.16075191331598226</v>
      </c>
      <c r="BR186" s="801">
        <v>0.1813672189871772</v>
      </c>
      <c r="BS186" s="801">
        <v>0.20400087717006779</v>
      </c>
      <c r="BT186" s="801">
        <v>0.2285290163756436</v>
      </c>
      <c r="BW186" s="1136">
        <f>'2018'!R\Max</f>
        <v>0</v>
      </c>
      <c r="BX186" s="1134">
        <f>'2019'!R\Max</f>
        <v>0.18388079695951573</v>
      </c>
      <c r="BY186" s="1134">
        <f>'2020'!R\Max</f>
        <v>0.85998120772133302</v>
      </c>
      <c r="BZ186" s="1134">
        <f>'2021'!R\Max</f>
        <v>0.66817006397492207</v>
      </c>
      <c r="CA186" s="1134">
        <f>'2022'!R\Max</f>
        <v>0.43589359892289431</v>
      </c>
      <c r="CB186" s="1134">
        <f>'2023'!R\Max</f>
        <v>0.43552627068685185</v>
      </c>
      <c r="CC186" s="1134">
        <f>'2024'!R\Max</f>
        <v>0.43516449658032785</v>
      </c>
      <c r="CD186" s="1134">
        <f>'2025'!R\Max</f>
        <v>0.43769389154560606</v>
      </c>
      <c r="CE186" s="1134">
        <f>'2026'!R\Max</f>
        <v>0.43718662497164384</v>
      </c>
      <c r="CF186" s="1135">
        <f>'2027'!R\Max</f>
        <v>0.43672664736232031</v>
      </c>
    </row>
    <row r="187" spans="1:84" s="6" customFormat="1" ht="11.25" x14ac:dyDescent="0.2">
      <c r="A187" s="11">
        <v>43273</v>
      </c>
      <c r="B187" s="380">
        <f>'2023'!Maxi_hp</f>
        <v>58.651325061036623</v>
      </c>
      <c r="C187" s="85">
        <f>'2023'!An_max</f>
        <v>2020</v>
      </c>
      <c r="D187" s="1087">
        <f t="shared" si="78"/>
        <v>1.0048047047680615</v>
      </c>
      <c r="E187" s="747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836">
        <f t="shared" si="81"/>
        <v>0.7857142857142857</v>
      </c>
      <c r="J187" s="827">
        <f t="shared" si="82"/>
        <v>58.370870262371113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836">
        <f t="shared" si="86"/>
        <v>0.8928571428571429</v>
      </c>
      <c r="AT187" s="853">
        <f t="shared" si="87"/>
        <v>58.345442078462142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836">
        <f t="shared" si="91"/>
        <v>0.39285714285714285</v>
      </c>
      <c r="AY187" s="853">
        <f t="shared" si="92"/>
        <v>58.432986914366481</v>
      </c>
      <c r="AZ187" s="827">
        <f t="shared" si="96"/>
        <v>58.389214496414311</v>
      </c>
      <c r="BA187" s="660">
        <f t="shared" si="93"/>
        <v>1.0048047047680615</v>
      </c>
      <c r="BB187" s="655">
        <v>43273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924">
        <f>1+[2]!Salcycl*Ksac</f>
        <v>1.0442285534240705</v>
      </c>
      <c r="BH187" s="1080">
        <f t="shared" si="94"/>
        <v>6.8990111750528799E-2</v>
      </c>
      <c r="BI187" s="11">
        <v>44369</v>
      </c>
      <c r="BJ187" s="801">
        <v>1.0852059711941399E-2</v>
      </c>
      <c r="BK187" s="801">
        <v>2.2648282583099328E-2</v>
      </c>
      <c r="BL187" s="801">
        <v>4.2557172927297417E-2</v>
      </c>
      <c r="BM187" s="801">
        <v>6.898904622054787E-2</v>
      </c>
      <c r="BN187" s="801">
        <v>9.7135979978636475E-2</v>
      </c>
      <c r="BO187" s="802">
        <v>0.12056919895246303</v>
      </c>
      <c r="BP187" s="801">
        <v>0.14090966519342396</v>
      </c>
      <c r="BQ187" s="801">
        <v>0.16073201757784542</v>
      </c>
      <c r="BR187" s="801">
        <v>0.18134078312131355</v>
      </c>
      <c r="BS187" s="801">
        <v>0.20396548353042562</v>
      </c>
      <c r="BT187" s="801">
        <v>0.22848284196447063</v>
      </c>
      <c r="BW187" s="1136">
        <f>'2018'!R\Max</f>
        <v>0</v>
      </c>
      <c r="BX187" s="1134">
        <f>'2019'!R\Max</f>
        <v>0.9077545617660906</v>
      </c>
      <c r="BY187" s="1134">
        <f>'2020'!R\Max</f>
        <v>1.0048047047680615</v>
      </c>
      <c r="BZ187" s="1134">
        <f>'2021'!R\Max</f>
        <v>0.72581129411531475</v>
      </c>
      <c r="CA187" s="1134">
        <f>'2022'!R\Max</f>
        <v>0.77316834896613384</v>
      </c>
      <c r="CB187" s="1134">
        <f>'2023'!R\Max</f>
        <v>0.77290494456983183</v>
      </c>
      <c r="CC187" s="1134">
        <f>'2024'!R\Max</f>
        <v>0.77264533687873282</v>
      </c>
      <c r="CD187" s="1134">
        <f>'2025'!R\Max</f>
        <v>0.77445431499291839</v>
      </c>
      <c r="CE187" s="1134">
        <f>'2026'!R\Max</f>
        <v>0.77409225512540147</v>
      </c>
      <c r="CF187" s="1135">
        <f>'2027'!R\Max</f>
        <v>0.77376418010232739</v>
      </c>
    </row>
    <row r="188" spans="1:84" s="6" customFormat="1" ht="11.25" x14ac:dyDescent="0.2">
      <c r="A188" s="11">
        <v>43274</v>
      </c>
      <c r="B188" s="380">
        <f>'2023'!Maxi_hp</f>
        <v>52.717054573900171</v>
      </c>
      <c r="C188" s="85">
        <f>'2023'!An_max</f>
        <v>2019</v>
      </c>
      <c r="D188" s="1087" t="str">
        <f t="shared" si="78"/>
        <v/>
      </c>
      <c r="E188" s="747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836">
        <f t="shared" si="81"/>
        <v>0.8571428571428571</v>
      </c>
      <c r="J188" s="827">
        <f t="shared" si="82"/>
        <v>58.285293002958817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836">
        <f t="shared" si="86"/>
        <v>0.9285714285714286</v>
      </c>
      <c r="AT188" s="853">
        <f t="shared" si="87"/>
        <v>58.269103680777235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836">
        <f t="shared" si="91"/>
        <v>0.42857142857142855</v>
      </c>
      <c r="AY188" s="853">
        <f t="shared" si="92"/>
        <v>58.347322157517603</v>
      </c>
      <c r="AZ188" s="827">
        <f t="shared" si="96"/>
        <v>58.308212919147422</v>
      </c>
      <c r="BA188" s="660">
        <f t="shared" si="93"/>
        <v>0.90446580702998303</v>
      </c>
      <c r="BB188" s="655">
        <v>43274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924">
        <f>1+[2]!Salcycl*Ksac</f>
        <v>1.0446337650898718</v>
      </c>
      <c r="BH188" s="1080">
        <f t="shared" si="94"/>
        <v>6.8917590383434243E-2</v>
      </c>
      <c r="BI188" s="11">
        <v>44370</v>
      </c>
      <c r="BJ188" s="801">
        <v>1.0839542557021209E-2</v>
      </c>
      <c r="BK188" s="801">
        <v>2.2626916099089383E-2</v>
      </c>
      <c r="BL188" s="801">
        <v>4.2508750043118271E-2</v>
      </c>
      <c r="BM188" s="801">
        <v>6.8916525870262077E-2</v>
      </c>
      <c r="BN188" s="801">
        <v>9.7036599709041924E-2</v>
      </c>
      <c r="BO188" s="802">
        <v>0.12045830916610811</v>
      </c>
      <c r="BP188" s="801">
        <v>0.14078153894790105</v>
      </c>
      <c r="BQ188" s="801">
        <v>0.16058834948978065</v>
      </c>
      <c r="BR188" s="801">
        <v>0.18118267924719431</v>
      </c>
      <c r="BS188" s="801">
        <v>0.20379330785826225</v>
      </c>
      <c r="BT188" s="801">
        <v>0.22829648987225443</v>
      </c>
      <c r="BW188" s="1136">
        <f>'2018'!R\Max</f>
        <v>0</v>
      </c>
      <c r="BX188" s="1134">
        <f>'2019'!R\Max</f>
        <v>0.90446580702998303</v>
      </c>
      <c r="BY188" s="1134">
        <f>'2020'!R\Max</f>
        <v>0.84459431787523254</v>
      </c>
      <c r="BZ188" s="1134">
        <f>'2021'!R\Max</f>
        <v>0.44183611533688649</v>
      </c>
      <c r="CA188" s="1134">
        <f>'2022'!R\Max</f>
        <v>0.76764664945010019</v>
      </c>
      <c r="CB188" s="1134">
        <f>'2023'!R\Max</f>
        <v>0.76737767907513788</v>
      </c>
      <c r="CC188" s="1134">
        <f>'2024'!R\Max</f>
        <v>0.76711264418926561</v>
      </c>
      <c r="CD188" s="1134">
        <f>'2025'!R\Max</f>
        <v>0.76895900656411587</v>
      </c>
      <c r="CE188" s="1134">
        <f>'2026'!R\Max</f>
        <v>0.76858931516741735</v>
      </c>
      <c r="CF188" s="1135">
        <f>'2027'!R\Max</f>
        <v>0.76825484530723642</v>
      </c>
    </row>
    <row r="189" spans="1:84" s="6" customFormat="1" ht="11.25" x14ac:dyDescent="0.2">
      <c r="A189" s="11">
        <v>43275</v>
      </c>
      <c r="B189" s="380">
        <f>'2023'!Maxi_hp</f>
        <v>57.879746381610467</v>
      </c>
      <c r="C189" s="85">
        <f>'2023'!An_max</f>
        <v>2020</v>
      </c>
      <c r="D189" s="1087">
        <f t="shared" si="78"/>
        <v>0.99449976423691944</v>
      </c>
      <c r="E189" s="747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836">
        <f t="shared" si="81"/>
        <v>0.9285714285714286</v>
      </c>
      <c r="J189" s="827">
        <f t="shared" si="82"/>
        <v>58.199859329299741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836">
        <f t="shared" si="86"/>
        <v>0.9642857142857143</v>
      </c>
      <c r="AT189" s="853">
        <f t="shared" si="87"/>
        <v>58.192244784021753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836">
        <f t="shared" si="91"/>
        <v>0.4642857142857143</v>
      </c>
      <c r="AY189" s="853">
        <f t="shared" si="92"/>
        <v>58.259736937424165</v>
      </c>
      <c r="AZ189" s="827">
        <f t="shared" si="96"/>
        <v>58.225990860722959</v>
      </c>
      <c r="BA189" s="660">
        <f t="shared" si="93"/>
        <v>0.99449976423691944</v>
      </c>
      <c r="BB189" s="655">
        <v>43275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924">
        <f>1+[2]!Salcycl*Ksac</f>
        <v>1.0450214994059446</v>
      </c>
      <c r="BH189" s="1080">
        <f t="shared" si="94"/>
        <v>6.8769688659809869E-2</v>
      </c>
      <c r="BI189" s="11">
        <v>44371</v>
      </c>
      <c r="BJ189" s="801">
        <v>1.0812951139934338E-2</v>
      </c>
      <c r="BK189" s="801">
        <v>2.2585680692422953E-2</v>
      </c>
      <c r="BL189" s="801">
        <v>4.2406460705073125E-2</v>
      </c>
      <c r="BM189" s="801">
        <v>6.8768626121359699E-2</v>
      </c>
      <c r="BN189" s="801">
        <v>9.6836535900665544E-2</v>
      </c>
      <c r="BO189" s="802">
        <v>0.12024735186106023</v>
      </c>
      <c r="BP189" s="801">
        <v>0.14053940256403161</v>
      </c>
      <c r="BQ189" s="801">
        <v>0.16031959239154822</v>
      </c>
      <c r="BR189" s="801">
        <v>0.18089140977640028</v>
      </c>
      <c r="BS189" s="801">
        <v>0.20348264854217957</v>
      </c>
      <c r="BT189" s="801">
        <v>0.22796803413830594</v>
      </c>
      <c r="BW189" s="1136">
        <f>'2018'!R\Max</f>
        <v>0</v>
      </c>
      <c r="BX189" s="1134">
        <f>'2019'!R\Max</f>
        <v>0.67879935856442153</v>
      </c>
      <c r="BY189" s="1134">
        <f>'2020'!R\Max</f>
        <v>0.99449976423691944</v>
      </c>
      <c r="BZ189" s="1134">
        <f>'2021'!R\Max</f>
        <v>0.65359216396647646</v>
      </c>
      <c r="CA189" s="1134">
        <f>'2022'!R\Max</f>
        <v>0.73216095277848614</v>
      </c>
      <c r="CB189" s="1134">
        <f>'2023'!R\Max</f>
        <v>0.73186430879790176</v>
      </c>
      <c r="CC189" s="1134">
        <f>'2024'!R\Max</f>
        <v>0.73157207179630357</v>
      </c>
      <c r="CD189" s="1134">
        <f>'2025'!R\Max</f>
        <v>0.73360823655022667</v>
      </c>
      <c r="CE189" s="1134">
        <f>'2026'!R\Max</f>
        <v>0.7332004421274968</v>
      </c>
      <c r="CF189" s="1135">
        <f>'2027'!R\Max</f>
        <v>0.73283192116491314</v>
      </c>
    </row>
    <row r="190" spans="1:84" s="6" customFormat="1" ht="11.25" x14ac:dyDescent="0.2">
      <c r="A190" s="11">
        <v>43276</v>
      </c>
      <c r="B190" s="380">
        <f>'2023'!Maxi_hp</f>
        <v>56.287194704165557</v>
      </c>
      <c r="C190" s="85">
        <f>'2023'!An_max</f>
        <v>2020</v>
      </c>
      <c r="D190" s="1087" t="str">
        <f t="shared" si="78"/>
        <v/>
      </c>
      <c r="E190" s="835">
        <f>Z$13/10</f>
        <v>58.114999999999995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836">
        <f t="shared" si="81"/>
        <v>1</v>
      </c>
      <c r="J190" s="827">
        <f t="shared" si="82"/>
        <v>58.114999999850987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836">
        <f t="shared" si="86"/>
        <v>1</v>
      </c>
      <c r="AT190" s="853">
        <f t="shared" si="87"/>
        <v>58.115000000223517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836">
        <f t="shared" si="91"/>
        <v>0.5</v>
      </c>
      <c r="AY190" s="853">
        <f t="shared" si="92"/>
        <v>58.17040624986403</v>
      </c>
      <c r="AZ190" s="827">
        <f t="shared" si="96"/>
        <v>58.142703125043774</v>
      </c>
      <c r="BA190" s="660">
        <f t="shared" si="93"/>
        <v>0.9685484763711586</v>
      </c>
      <c r="BB190" s="655">
        <v>43276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924">
        <f>1+[2]!Salcycl*Ksac</f>
        <v>1.0453917801487045</v>
      </c>
      <c r="BH190" s="1080">
        <f t="shared" si="94"/>
        <v>6.8546561153140062E-2</v>
      </c>
      <c r="BI190" s="11">
        <v>44372</v>
      </c>
      <c r="BJ190" s="801">
        <v>1.0772313133777115E-2</v>
      </c>
      <c r="BK190" s="801">
        <v>2.2524619717853783E-2</v>
      </c>
      <c r="BL190" s="801">
        <v>4.2250411425104495E-2</v>
      </c>
      <c r="BM190" s="801">
        <v>6.854550154525034E-2</v>
      </c>
      <c r="BN190" s="801">
        <v>9.6535997931752646E-2</v>
      </c>
      <c r="BO190" s="802">
        <v>0.11993654919414982</v>
      </c>
      <c r="BP190" s="801">
        <v>0.14018351122441217</v>
      </c>
      <c r="BQ190" s="801">
        <v>0.15992602984965035</v>
      </c>
      <c r="BR190" s="801">
        <v>0.18046728257092981</v>
      </c>
      <c r="BS190" s="801">
        <v>0.20303383473999778</v>
      </c>
      <c r="BT190" s="801">
        <v>0.22749782375114092</v>
      </c>
      <c r="BW190" s="1136">
        <f>'2018'!R\Max</f>
        <v>0</v>
      </c>
      <c r="BX190" s="1134">
        <f>'2019'!R\Max</f>
        <v>0.90995956150959112</v>
      </c>
      <c r="BY190" s="1134">
        <f>'2020'!R\Max</f>
        <v>0.9685484763711586</v>
      </c>
      <c r="BZ190" s="1134">
        <f>'2021'!R\Max</f>
        <v>0.92810047805678519</v>
      </c>
      <c r="CA190" s="1134">
        <f>'2022'!R\Max</f>
        <v>0.62865166148157237</v>
      </c>
      <c r="CB190" s="1134">
        <f>'2023'!R\Max</f>
        <v>0.62829775274939637</v>
      </c>
      <c r="CC190" s="1134">
        <f>'2024'!R\Max</f>
        <v>0.62794922218198079</v>
      </c>
      <c r="CD190" s="1134">
        <f>'2025'!R\Max</f>
        <v>0.63037972397418784</v>
      </c>
      <c r="CE190" s="1134">
        <f>'2026'!R\Max</f>
        <v>0.62989275966816527</v>
      </c>
      <c r="CF190" s="1135">
        <f>'2027'!R\Max</f>
        <v>0.62945306889911246</v>
      </c>
    </row>
    <row r="191" spans="1:84" s="6" customFormat="1" ht="11.25" x14ac:dyDescent="0.2">
      <c r="A191" s="11">
        <v>43277</v>
      </c>
      <c r="B191" s="380">
        <f>'2023'!Maxi_hp</f>
        <v>59.196700093726733</v>
      </c>
      <c r="C191" s="85">
        <f>'2023'!An_max</f>
        <v>2021</v>
      </c>
      <c r="D191" s="1087">
        <f t="shared" si="78"/>
        <v>1.0201039088688002</v>
      </c>
      <c r="E191" s="747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836">
        <f t="shared" si="81"/>
        <v>0.9285714285714286</v>
      </c>
      <c r="J191" s="827">
        <f t="shared" si="82"/>
        <v>58.030068877365963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836">
        <f t="shared" si="86"/>
        <v>0.9642857142857143</v>
      </c>
      <c r="AT191" s="853">
        <f t="shared" si="87"/>
        <v>58.036308138306978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836">
        <f t="shared" si="91"/>
        <v>0.5357142857142857</v>
      </c>
      <c r="AY191" s="853">
        <f t="shared" si="92"/>
        <v>58.079505090784686</v>
      </c>
      <c r="AZ191" s="827">
        <f t="shared" si="96"/>
        <v>58.057906614545828</v>
      </c>
      <c r="BA191" s="660">
        <f t="shared" si="93"/>
        <v>1.0201039088688002</v>
      </c>
      <c r="BB191" s="655">
        <v>43277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924">
        <f>1+[2]!Salcycl*Ksac</f>
        <v>1.0457446795820768</v>
      </c>
      <c r="BH191" s="1080">
        <f t="shared" si="94"/>
        <v>6.8248361940541624E-2</v>
      </c>
      <c r="BI191" s="11">
        <v>44373</v>
      </c>
      <c r="BJ191" s="801">
        <v>1.0717656118947106E-2</v>
      </c>
      <c r="BK191" s="801">
        <v>2.2443776399350347E-2</v>
      </c>
      <c r="BL191" s="801">
        <v>4.2040708360379826E-2</v>
      </c>
      <c r="BM191" s="801">
        <v>6.8247306216982356E-2</v>
      </c>
      <c r="BN191" s="801">
        <v>9.6135194517617692E-2</v>
      </c>
      <c r="BO191" s="802">
        <v>0.11952612266359332</v>
      </c>
      <c r="BP191" s="801">
        <v>0.13971411936129755</v>
      </c>
      <c r="BQ191" s="801">
        <v>0.15940794460740018</v>
      </c>
      <c r="BR191" s="801">
        <v>0.17991060461655226</v>
      </c>
      <c r="BS191" s="801">
        <v>0.20244719469848219</v>
      </c>
      <c r="BT191" s="801">
        <v>0.22688620676461285</v>
      </c>
      <c r="BW191" s="1136">
        <f>'2018'!R\Max</f>
        <v>0</v>
      </c>
      <c r="BX191" s="1134">
        <f>'2019'!R\Max</f>
        <v>0.99586270902049856</v>
      </c>
      <c r="BY191" s="1134">
        <f>'2020'!R\Max</f>
        <v>0.85630754637736228</v>
      </c>
      <c r="BZ191" s="1134">
        <f>'2021'!R\Max</f>
        <v>1.0201039088688002</v>
      </c>
      <c r="CA191" s="1134">
        <f>'2022'!R\Max</f>
        <v>0.20343726467201217</v>
      </c>
      <c r="CB191" s="1134">
        <f>'2023'!R\Max</f>
        <v>0.20322060140265152</v>
      </c>
      <c r="CC191" s="1134">
        <f>'2024'!R\Max</f>
        <v>0.2030074306733671</v>
      </c>
      <c r="CD191" s="1134">
        <f>'2025'!R\Max</f>
        <v>0.20449848124134223</v>
      </c>
      <c r="CE191" s="1134">
        <f>'2026'!R\Max</f>
        <v>0.20419918056553676</v>
      </c>
      <c r="CF191" s="1135">
        <f>'2027'!R\Max</f>
        <v>0.20392925004919046</v>
      </c>
    </row>
    <row r="192" spans="1:84" s="6" customFormat="1" ht="11.25" x14ac:dyDescent="0.2">
      <c r="A192" s="11">
        <v>43278</v>
      </c>
      <c r="B192" s="380">
        <f>'2023'!Maxi_hp</f>
        <v>57.199547222334189</v>
      </c>
      <c r="C192" s="85">
        <f>'2023'!An_max</f>
        <v>2019</v>
      </c>
      <c r="D192" s="1087">
        <f t="shared" si="78"/>
        <v>0.98714994260247135</v>
      </c>
      <c r="E192" s="747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836">
        <f t="shared" si="81"/>
        <v>0.8571428571428571</v>
      </c>
      <c r="J192" s="827">
        <f t="shared" si="82"/>
        <v>57.944132652772325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836">
        <f t="shared" si="86"/>
        <v>0.9285714285714286</v>
      </c>
      <c r="AT192" s="853">
        <f t="shared" si="87"/>
        <v>57.955099034192969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836">
        <f t="shared" si="91"/>
        <v>0.5714285714285714</v>
      </c>
      <c r="AY192" s="853">
        <f t="shared" si="92"/>
        <v>57.987208454683426</v>
      </c>
      <c r="AZ192" s="827">
        <f t="shared" si="96"/>
        <v>57.971153744438197</v>
      </c>
      <c r="BA192" s="660">
        <f t="shared" si="93"/>
        <v>0.98714994260247135</v>
      </c>
      <c r="BB192" s="655">
        <v>43278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924">
        <f>1+[2]!Salcycl*Ksac</f>
        <v>1.0460803171200237</v>
      </c>
      <c r="BH192" s="1080">
        <f t="shared" si="94"/>
        <v>6.7869062894253471E-2</v>
      </c>
      <c r="BI192" s="11">
        <v>44374</v>
      </c>
      <c r="BJ192" s="801">
        <v>1.0642822531550937E-2</v>
      </c>
      <c r="BK192" s="801">
        <v>2.2337364752951047E-2</v>
      </c>
      <c r="BL192" s="801">
        <v>4.1781717529384088E-2</v>
      </c>
      <c r="BM192" s="801">
        <v>6.7868012585950446E-2</v>
      </c>
      <c r="BN192" s="801">
        <v>9.5612852017509367E-2</v>
      </c>
      <c r="BO192" s="802">
        <v>0.11896884522832983</v>
      </c>
      <c r="BP192" s="801">
        <v>0.1390783820505366</v>
      </c>
      <c r="BQ192" s="801">
        <v>0.15870786180764521</v>
      </c>
      <c r="BR192" s="801">
        <v>0.17916066097400485</v>
      </c>
      <c r="BS192" s="801">
        <v>0.20165997399183286</v>
      </c>
      <c r="BT192" s="801">
        <v>0.22607003252767757</v>
      </c>
      <c r="BW192" s="1136">
        <f>'2018'!R\Max</f>
        <v>0</v>
      </c>
      <c r="BX192" s="1134">
        <f>'2019'!R\Max</f>
        <v>0.98714994260247135</v>
      </c>
      <c r="BY192" s="1134">
        <f>'2020'!R\Max</f>
        <v>0.87025960070473574</v>
      </c>
      <c r="BZ192" s="1134">
        <f>'2021'!R\Max</f>
        <v>0.16800061461904975</v>
      </c>
      <c r="CA192" s="1134">
        <f>'2022'!R\Max</f>
        <v>0.19105776314822534</v>
      </c>
      <c r="CB192" s="1134">
        <f>'2023'!R\Max</f>
        <v>0.19085420725410476</v>
      </c>
      <c r="CC192" s="1134">
        <f>'2024'!R\Max</f>
        <v>0.19065389600605134</v>
      </c>
      <c r="CD192" s="1134">
        <f>'2025'!R\Max</f>
        <v>0.19205471418636066</v>
      </c>
      <c r="CE192" s="1134">
        <f>'2026'!R\Max</f>
        <v>0.19177387103976537</v>
      </c>
      <c r="CF192" s="1135">
        <f>'2027'!R\Max</f>
        <v>0.19152047137006081</v>
      </c>
    </row>
    <row r="193" spans="1:84" s="6" customFormat="1" ht="11.25" x14ac:dyDescent="0.2">
      <c r="A193" s="11">
        <v>43279</v>
      </c>
      <c r="B193" s="380">
        <f>'2023'!Maxi_hp</f>
        <v>57.363171830027696</v>
      </c>
      <c r="C193" s="85">
        <f>'2023'!An_max</f>
        <v>2022</v>
      </c>
      <c r="D193" s="1087">
        <f t="shared" si="78"/>
        <v>0.99146139856947824</v>
      </c>
      <c r="E193" s="747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836">
        <f t="shared" si="81"/>
        <v>0.7857142857142857</v>
      </c>
      <c r="J193" s="827">
        <f t="shared" si="82"/>
        <v>57.857191326655446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836">
        <f t="shared" si="86"/>
        <v>0.8928571428571429</v>
      </c>
      <c r="AT193" s="853">
        <f t="shared" si="87"/>
        <v>57.87149383907672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836">
        <f t="shared" si="91"/>
        <v>0.6071428571428571</v>
      </c>
      <c r="AY193" s="853">
        <f t="shared" si="92"/>
        <v>57.893691337886935</v>
      </c>
      <c r="AZ193" s="827">
        <f t="shared" si="96"/>
        <v>57.882592588481828</v>
      </c>
      <c r="BA193" s="660">
        <f t="shared" si="93"/>
        <v>0.99146139856947824</v>
      </c>
      <c r="BB193" s="655">
        <v>43279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924">
        <f>1+[2]!Salcycl*Ksac</f>
        <v>1.0463988577381278</v>
      </c>
      <c r="BH193" s="1080">
        <f t="shared" si="94"/>
        <v>6.7446449168901718E-2</v>
      </c>
      <c r="BI193" s="11">
        <v>44375</v>
      </c>
      <c r="BJ193" s="801">
        <v>1.055487388519199E-2</v>
      </c>
      <c r="BK193" s="801">
        <v>2.2215352601681903E-2</v>
      </c>
      <c r="BL193" s="801">
        <v>4.1500423940221166E-2</v>
      </c>
      <c r="BM193" s="801">
        <v>6.7445405325779237E-2</v>
      </c>
      <c r="BN193" s="801">
        <v>9.5019461192670115E-2</v>
      </c>
      <c r="BO193" s="802">
        <v>0.11831494880390887</v>
      </c>
      <c r="BP193" s="801">
        <v>0.1383335302800599</v>
      </c>
      <c r="BQ193" s="801">
        <v>0.15788857583754498</v>
      </c>
      <c r="BR193" s="801">
        <v>0.17828430437229162</v>
      </c>
      <c r="BS193" s="801">
        <v>0.20074170152364387</v>
      </c>
      <c r="BT193" s="801">
        <v>0.22512065424500385</v>
      </c>
      <c r="BW193" s="1136">
        <f>'2018'!R\Max</f>
        <v>0</v>
      </c>
      <c r="BX193" s="1134">
        <f>'2019'!R\Max</f>
        <v>0.91218508370510498</v>
      </c>
      <c r="BY193" s="1134">
        <f>'2020'!R\Max</f>
        <v>0.66492733235671653</v>
      </c>
      <c r="BZ193" s="1134">
        <f>'2021'!R\Max</f>
        <v>0.55363121190359144</v>
      </c>
      <c r="CA193" s="1134">
        <f>'2022'!R\Max</f>
        <v>0.99146139856947824</v>
      </c>
      <c r="CB193" s="1134">
        <f>'2023'!R\Max</f>
        <v>0.99144853874499284</v>
      </c>
      <c r="CC193" s="1134">
        <f>'2024'!R\Max</f>
        <v>0.99143585396824097</v>
      </c>
      <c r="CD193" s="1134">
        <f>'2025'!R\Max</f>
        <v>0.9915239671100714</v>
      </c>
      <c r="CE193" s="1134">
        <f>'2026'!R\Max</f>
        <v>0.99150642791186749</v>
      </c>
      <c r="CF193" s="1135">
        <f>'2027'!R\Max</f>
        <v>0.99149055102051986</v>
      </c>
    </row>
    <row r="194" spans="1:84" s="6" customFormat="1" ht="11.25" x14ac:dyDescent="0.2">
      <c r="A194" s="11">
        <v>43280</v>
      </c>
      <c r="B194" s="380">
        <f>'2023'!Maxi_hp</f>
        <v>58.273197772555619</v>
      </c>
      <c r="C194" s="85">
        <f>'2023'!An_max</f>
        <v>2023</v>
      </c>
      <c r="D194" s="1087">
        <f t="shared" si="78"/>
        <v>1.0087235496234725</v>
      </c>
      <c r="E194" s="747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836">
        <f t="shared" si="81"/>
        <v>0.7142857142857143</v>
      </c>
      <c r="J194" s="827">
        <f t="shared" si="82"/>
        <v>57.769244897977579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836">
        <f t="shared" si="86"/>
        <v>0.8571428571428571</v>
      </c>
      <c r="AT194" s="853">
        <f t="shared" si="87"/>
        <v>57.785613702636752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836">
        <f t="shared" si="91"/>
        <v>0.6428571428571429</v>
      </c>
      <c r="AY194" s="853">
        <f t="shared" si="92"/>
        <v>57.79912873539142</v>
      </c>
      <c r="AZ194" s="827">
        <f t="shared" si="96"/>
        <v>57.792371219014086</v>
      </c>
      <c r="BA194" s="660">
        <f t="shared" si="93"/>
        <v>1.0087235496234725</v>
      </c>
      <c r="BB194" s="655">
        <v>43280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924">
        <f>1+[2]!Salcycl*Ksac</f>
        <v>1.0467005101465245</v>
      </c>
      <c r="BH194" s="1080">
        <f t="shared" si="94"/>
        <v>6.6980623594326341E-2</v>
      </c>
      <c r="BI194" s="11">
        <v>44376</v>
      </c>
      <c r="BJ194" s="801">
        <v>1.0453835675495533E-2</v>
      </c>
      <c r="BK194" s="801">
        <v>2.2077775910131176E-2</v>
      </c>
      <c r="BL194" s="801">
        <v>4.1196884218523327E-2</v>
      </c>
      <c r="BM194" s="801">
        <v>6.6979587264146642E-2</v>
      </c>
      <c r="BN194" s="801">
        <v>9.4355181983575273E-2</v>
      </c>
      <c r="BO194" s="802">
        <v>0.11756464524060055</v>
      </c>
      <c r="BP194" s="801">
        <v>0.1374798060621043</v>
      </c>
      <c r="BQ194" s="801">
        <v>0.15695035506849911</v>
      </c>
      <c r="BR194" s="801">
        <v>0.17728182580788507</v>
      </c>
      <c r="BS194" s="801">
        <v>0.19969268835643261</v>
      </c>
      <c r="BT194" s="801">
        <v>0.22403840050684304</v>
      </c>
      <c r="BW194" s="1136">
        <f>'2018'!R\Max</f>
        <v>0</v>
      </c>
      <c r="BX194" s="1134">
        <f>'2019'!R\Max</f>
        <v>0.94711306843034349</v>
      </c>
      <c r="BY194" s="1134">
        <f>'2020'!R\Max</f>
        <v>0.91856323992366462</v>
      </c>
      <c r="BZ194" s="1134">
        <f>'2021'!R\Max</f>
        <v>0.71985050655192517</v>
      </c>
      <c r="CA194" s="1134">
        <f>'2022'!R\Max</f>
        <v>1.0087235496234723</v>
      </c>
      <c r="CB194" s="1134">
        <f>'2023'!R\Max</f>
        <v>1.0087235496234725</v>
      </c>
      <c r="CC194" s="1134">
        <f>'2024'!R\Max</f>
        <v>1.0087235496234723</v>
      </c>
      <c r="CD194" s="1134">
        <f>'2025'!R\Max</f>
        <v>1.0087235496234723</v>
      </c>
      <c r="CE194" s="1134">
        <f>'2026'!R\Max</f>
        <v>1.0087235496234723</v>
      </c>
      <c r="CF194" s="1135">
        <f>'2027'!R\Max</f>
        <v>1.0087235496234725</v>
      </c>
    </row>
    <row r="195" spans="1:84" s="6" customFormat="1" ht="11.25" x14ac:dyDescent="0.2">
      <c r="A195" s="11">
        <v>43281</v>
      </c>
      <c r="B195" s="380">
        <f>'2023'!Maxi_hp</f>
        <v>51.899795502885659</v>
      </c>
      <c r="C195" s="85">
        <f>'2023'!An_max</f>
        <v>2021</v>
      </c>
      <c r="D195" s="1087" t="str">
        <f t="shared" si="78"/>
        <v/>
      </c>
      <c r="E195" s="747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836">
        <f t="shared" si="81"/>
        <v>0.6428571428571429</v>
      </c>
      <c r="J195" s="827">
        <f t="shared" si="82"/>
        <v>57.680293367310831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836">
        <f t="shared" si="86"/>
        <v>0.8214285714285714</v>
      </c>
      <c r="AT195" s="853">
        <f t="shared" si="87"/>
        <v>57.697579776377623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836">
        <f t="shared" si="91"/>
        <v>0.6785714285714286</v>
      </c>
      <c r="AY195" s="853">
        <f t="shared" si="92"/>
        <v>57.703695642539039</v>
      </c>
      <c r="AZ195" s="827">
        <f t="shared" si="96"/>
        <v>57.700637709458334</v>
      </c>
      <c r="BA195" s="660">
        <f t="shared" si="93"/>
        <v>0.8997838338370665</v>
      </c>
      <c r="BB195" s="655">
        <v>43281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924">
        <f>1+[2]!Salcycl*Ksac</f>
        <v>1.0469855247383204</v>
      </c>
      <c r="BH195" s="1080">
        <f t="shared" si="94"/>
        <v>6.6471687335261986E-2</v>
      </c>
      <c r="BI195" s="11">
        <v>44377</v>
      </c>
      <c r="BJ195" s="801">
        <v>1.0339732977180618E-2</v>
      </c>
      <c r="BK195" s="801">
        <v>2.192467011220994E-2</v>
      </c>
      <c r="BL195" s="801">
        <v>4.0871153989719251E-2</v>
      </c>
      <c r="BM195" s="801">
        <v>6.6470659563657331E-2</v>
      </c>
      <c r="BN195" s="801">
        <v>9.3620171817550779E-2</v>
      </c>
      <c r="BO195" s="802">
        <v>0.11671814332050108</v>
      </c>
      <c r="BP195" s="801">
        <v>0.13651744793426449</v>
      </c>
      <c r="BQ195" s="801">
        <v>0.15589346407064036</v>
      </c>
      <c r="BR195" s="801">
        <v>0.17615351224080875</v>
      </c>
      <c r="BS195" s="801">
        <v>0.19851324136342838</v>
      </c>
      <c r="BT195" s="801">
        <v>0.22282359563177359</v>
      </c>
      <c r="BW195" s="1136">
        <f>'2018'!R\Max</f>
        <v>0</v>
      </c>
      <c r="BX195" s="1134">
        <f>'2019'!R\Max</f>
        <v>0.87775013754331876</v>
      </c>
      <c r="BY195" s="1134">
        <f>'2020'!R\Max</f>
        <v>0.25166954278804343</v>
      </c>
      <c r="BZ195" s="1134">
        <f>'2021'!R\Max</f>
        <v>0.8997838338370665</v>
      </c>
      <c r="CA195" s="1134">
        <f>'2022'!R\Max</f>
        <v>0.22869699392533521</v>
      </c>
      <c r="CB195" s="1134">
        <f>'2023'!R\Max</f>
        <v>0.22845419653384122</v>
      </c>
      <c r="CC195" s="1134">
        <f>'2024'!R\Max</f>
        <v>0.22821500424138266</v>
      </c>
      <c r="CD195" s="1134">
        <f>'2025'!R\Max</f>
        <v>0.22988339398947188</v>
      </c>
      <c r="CE195" s="1134">
        <f>'2026'!R\Max</f>
        <v>0.22955046155148112</v>
      </c>
      <c r="CF195" s="1135">
        <f>'2027'!R\Max</f>
        <v>0.22924955264270289</v>
      </c>
    </row>
    <row r="196" spans="1:84" s="6" customFormat="1" ht="11.25" x14ac:dyDescent="0.2">
      <c r="A196" s="11">
        <v>43282</v>
      </c>
      <c r="B196" s="380">
        <f>'2023'!Maxi_hp</f>
        <v>55.368807466601659</v>
      </c>
      <c r="C196" s="85">
        <f>'2023'!An_max</f>
        <v>2021</v>
      </c>
      <c r="D196" s="1087" t="str">
        <f t="shared" si="78"/>
        <v/>
      </c>
      <c r="E196" s="747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836">
        <f t="shared" si="81"/>
        <v>0.5714285714285714</v>
      </c>
      <c r="J196" s="827">
        <f t="shared" si="82"/>
        <v>57.590336734615263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836">
        <f t="shared" si="86"/>
        <v>0.7857142857142857</v>
      </c>
      <c r="AT196" s="853">
        <f t="shared" si="87"/>
        <v>57.607513210692971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836">
        <f t="shared" si="91"/>
        <v>0.7142857142857143</v>
      </c>
      <c r="AY196" s="853">
        <f t="shared" si="92"/>
        <v>57.607567055470177</v>
      </c>
      <c r="AZ196" s="827">
        <f t="shared" si="96"/>
        <v>57.607540133081571</v>
      </c>
      <c r="BA196" s="660">
        <f t="shared" si="93"/>
        <v>0.96142531205798054</v>
      </c>
      <c r="BB196" s="655">
        <v>43282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924">
        <f>1+[2]!Salcycl*Ksac</f>
        <v>1.0472541913293649</v>
      </c>
      <c r="BH196" s="1080">
        <f t="shared" si="94"/>
        <v>6.5919739633697211E-2</v>
      </c>
      <c r="BI196" s="11">
        <v>44378</v>
      </c>
      <c r="BJ196" s="801">
        <v>1.0212590366432676E-2</v>
      </c>
      <c r="BK196" s="801">
        <v>2.1756070018567553E-2</v>
      </c>
      <c r="BL196" s="801">
        <v>4.0523287745898168E-2</v>
      </c>
      <c r="BM196" s="801">
        <v>6.5918721464208255E-2</v>
      </c>
      <c r="BN196" s="801">
        <v>9.2814585186990303E-2</v>
      </c>
      <c r="BO196" s="802">
        <v>0.11577564818501358</v>
      </c>
      <c r="BP196" s="801">
        <v>0.13544669031282366</v>
      </c>
      <c r="BQ196" s="801">
        <v>0.15471816290624094</v>
      </c>
      <c r="BR196" s="801">
        <v>0.17489964584510165</v>
      </c>
      <c r="BS196" s="801">
        <v>0.19720366245123844</v>
      </c>
      <c r="BT196" s="801">
        <v>0.22147655887619419</v>
      </c>
      <c r="BW196" s="1136">
        <f>'2018'!R\Max</f>
        <v>0</v>
      </c>
      <c r="BX196" s="1134">
        <f>'2019'!R\Max</f>
        <v>0.35285050607579554</v>
      </c>
      <c r="BY196" s="1134">
        <f>'2020'!R\Max</f>
        <v>2.4873731112463817E-4</v>
      </c>
      <c r="BZ196" s="1134">
        <f>'2021'!R\Max</f>
        <v>0.96142531205798054</v>
      </c>
      <c r="CA196" s="1134">
        <f>'2022'!R\Max</f>
        <v>0.86159964140504386</v>
      </c>
      <c r="CB196" s="1134">
        <f>'2023'!R\Max</f>
        <v>0.86141959980800198</v>
      </c>
      <c r="CC196" s="1134">
        <f>'2024'!R\Max</f>
        <v>0.86124182979954322</v>
      </c>
      <c r="CD196" s="1134">
        <f>'2025'!R\Max</f>
        <v>0.86247371675350759</v>
      </c>
      <c r="CE196" s="1134">
        <f>'2026'!R\Max</f>
        <v>0.8622295030710776</v>
      </c>
      <c r="CF196" s="1135">
        <f>'2027'!R\Max</f>
        <v>0.86200813926338538</v>
      </c>
    </row>
    <row r="197" spans="1:84" s="6" customFormat="1" ht="11.25" x14ac:dyDescent="0.2">
      <c r="A197" s="11">
        <v>43283</v>
      </c>
      <c r="B197" s="380">
        <f>'2023'!Maxi_hp</f>
        <v>57.180715851959583</v>
      </c>
      <c r="C197" s="85">
        <f>'2023'!An_max</f>
        <v>2022</v>
      </c>
      <c r="D197" s="1087">
        <f t="shared" si="78"/>
        <v>0.99445804153549755</v>
      </c>
      <c r="E197" s="747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836">
        <f t="shared" si="81"/>
        <v>0.5</v>
      </c>
      <c r="J197" s="827">
        <f t="shared" si="82"/>
        <v>57.499374999944123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836">
        <f t="shared" si="86"/>
        <v>0.75</v>
      </c>
      <c r="AT197" s="853">
        <f t="shared" si="87"/>
        <v>57.515535156417172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836">
        <f t="shared" si="91"/>
        <v>0.75</v>
      </c>
      <c r="AY197" s="853">
        <f t="shared" si="92"/>
        <v>57.510917968652208</v>
      </c>
      <c r="AZ197" s="827">
        <f t="shared" si="96"/>
        <v>57.51322656253469</v>
      </c>
      <c r="BA197" s="660">
        <f t="shared" si="93"/>
        <v>0.99445804153549755</v>
      </c>
      <c r="BB197" s="655">
        <v>43283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924">
        <f>1+[2]!Salcycl*Ksac</f>
        <v>1.0475068367068263</v>
      </c>
      <c r="BH197" s="1080">
        <f t="shared" si="94"/>
        <v>6.5324877551822105E-2</v>
      </c>
      <c r="BI197" s="11">
        <v>44379</v>
      </c>
      <c r="BJ197" s="801">
        <v>1.007243184336807E-2</v>
      </c>
      <c r="BK197" s="801">
        <v>2.1572009724200949E-2</v>
      </c>
      <c r="BL197" s="801">
        <v>4.0153338713036009E-2</v>
      </c>
      <c r="BM197" s="801">
        <v>6.5323870025942379E-2</v>
      </c>
      <c r="BN197" s="801">
        <v>9.1938573228400863E-2</v>
      </c>
      <c r="BO197" s="802">
        <v>0.11473736076336043</v>
      </c>
      <c r="BP197" s="801">
        <v>0.13426776284729081</v>
      </c>
      <c r="BQ197" s="801">
        <v>0.15342470642449646</v>
      </c>
      <c r="BR197" s="801">
        <v>0.17352050326083801</v>
      </c>
      <c r="BS197" s="801">
        <v>0.19576424778426602</v>
      </c>
      <c r="BT197" s="801">
        <v>0.219997603645781</v>
      </c>
      <c r="BW197" s="1136">
        <f>'2018'!R\Max</f>
        <v>0.10214042790024766</v>
      </c>
      <c r="BX197" s="1134">
        <f>'2019'!R\Max</f>
        <v>0.53413276435719115</v>
      </c>
      <c r="BY197" s="1134">
        <f>'2020'!R\Max</f>
        <v>0.75990488495841269</v>
      </c>
      <c r="BZ197" s="1134">
        <f>'2021'!R\Max</f>
        <v>0.96288202153731761</v>
      </c>
      <c r="CA197" s="1134">
        <f>'2022'!R\Max</f>
        <v>0.99445804153549755</v>
      </c>
      <c r="CB197" s="1134">
        <f>'2023'!R\Max</f>
        <v>0.99444974824714227</v>
      </c>
      <c r="CC197" s="1134">
        <f>'2024'!R\Max</f>
        <v>0.99444155078004282</v>
      </c>
      <c r="CD197" s="1134">
        <f>'2025'!R\Max</f>
        <v>0.99449818385314925</v>
      </c>
      <c r="CE197" s="1134">
        <f>'2026'!R\Max</f>
        <v>0.9944869924915124</v>
      </c>
      <c r="CF197" s="1135">
        <f>'2027'!R\Max</f>
        <v>0.99447683546101817</v>
      </c>
    </row>
    <row r="198" spans="1:84" s="6" customFormat="1" ht="11.25" x14ac:dyDescent="0.2">
      <c r="A198" s="11">
        <v>43284</v>
      </c>
      <c r="B198" s="380">
        <f>'2023'!Maxi_hp</f>
        <v>49.441031489628365</v>
      </c>
      <c r="C198" s="85">
        <f>'2023'!An_max</f>
        <v>2019</v>
      </c>
      <c r="D198" s="1087" t="str">
        <f t="shared" si="78"/>
        <v/>
      </c>
      <c r="E198" s="747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836">
        <f t="shared" si="81"/>
        <v>0.42857142857142855</v>
      </c>
      <c r="J198" s="827">
        <f t="shared" si="82"/>
        <v>57.407408163270773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836">
        <f t="shared" si="86"/>
        <v>0.7142857142857143</v>
      </c>
      <c r="AT198" s="853">
        <f t="shared" si="87"/>
        <v>57.42176676380582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836">
        <f t="shared" si="91"/>
        <v>0.7857142857142857</v>
      </c>
      <c r="AY198" s="853">
        <f t="shared" si="92"/>
        <v>57.413923378441744</v>
      </c>
      <c r="AZ198" s="827">
        <f t="shared" si="96"/>
        <v>57.417845071123779</v>
      </c>
      <c r="BA198" s="660">
        <f t="shared" si="93"/>
        <v>0.86123085977012825</v>
      </c>
      <c r="BB198" s="655">
        <v>43284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924">
        <f>1+[2]!Salcycl*Ksac</f>
        <v>1.0477438220054509</v>
      </c>
      <c r="BH198" s="1080">
        <f t="shared" si="94"/>
        <v>6.4667280782304506E-2</v>
      </c>
      <c r="BI198" s="11">
        <v>44380</v>
      </c>
      <c r="BJ198" s="801">
        <v>9.9154740417996892E-3</v>
      </c>
      <c r="BK198" s="801">
        <v>2.136601861143721E-2</v>
      </c>
      <c r="BL198" s="801">
        <v>3.9748946666858444E-2</v>
      </c>
      <c r="BM198" s="801">
        <v>6.4666285273381266E-2</v>
      </c>
      <c r="BN198" s="801">
        <v>9.0963549751500672E-2</v>
      </c>
      <c r="BO198" s="802">
        <v>0.11356865785937893</v>
      </c>
      <c r="BP198" s="801">
        <v>0.13294051381970376</v>
      </c>
      <c r="BQ198" s="801">
        <v>0.15196961870979314</v>
      </c>
      <c r="BR198" s="801">
        <v>0.17197030775590041</v>
      </c>
      <c r="BS198" s="801">
        <v>0.19414928882534757</v>
      </c>
      <c r="BT198" s="801">
        <v>0.21834147821053285</v>
      </c>
      <c r="BW198" s="1136">
        <f>'2018'!R\Max</f>
        <v>0.84230991003789135</v>
      </c>
      <c r="BX198" s="1134">
        <f>'2019'!R\Max</f>
        <v>0.86123085977012825</v>
      </c>
      <c r="BY198" s="1134">
        <f>'2020'!R\Max</f>
        <v>0.30327858612510467</v>
      </c>
      <c r="BZ198" s="1134">
        <f>'2021'!R\Max</f>
        <v>0.6185643894493752</v>
      </c>
      <c r="CA198" s="1134">
        <f>'2022'!R\Max</f>
        <v>0.86058366170859102</v>
      </c>
      <c r="CB198" s="1134">
        <f>'2023'!R\Max</f>
        <v>0.86040398930591178</v>
      </c>
      <c r="CC198" s="1134">
        <f>'2024'!R\Max</f>
        <v>0.86022630888314799</v>
      </c>
      <c r="CD198" s="1134">
        <f>'2025'!R\Max</f>
        <v>0.86145244295785395</v>
      </c>
      <c r="CE198" s="1134">
        <f>'2026'!R\Max</f>
        <v>0.86121044868649377</v>
      </c>
      <c r="CF198" s="1135">
        <f>'2027'!R\Max</f>
        <v>0.86099074540968867</v>
      </c>
    </row>
    <row r="199" spans="1:84" s="6" customFormat="1" ht="11.25" x14ac:dyDescent="0.2">
      <c r="A199" s="11">
        <v>43285</v>
      </c>
      <c r="B199" s="380">
        <f>'2023'!Maxi_hp</f>
        <v>55.745011407918014</v>
      </c>
      <c r="C199" s="85">
        <f>'2023'!An_max</f>
        <v>2019</v>
      </c>
      <c r="D199" s="1087">
        <f t="shared" si="78"/>
        <v>0.9726172859732598</v>
      </c>
      <c r="E199" s="747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836">
        <f t="shared" si="81"/>
        <v>0.35714285714285715</v>
      </c>
      <c r="J199" s="827">
        <f t="shared" si="82"/>
        <v>57.314436224661769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836">
        <f t="shared" si="86"/>
        <v>0.6785714285714286</v>
      </c>
      <c r="AT199" s="853">
        <f t="shared" si="87"/>
        <v>57.326329184393401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836">
        <f t="shared" si="91"/>
        <v>0.8214285714285714</v>
      </c>
      <c r="AY199" s="853">
        <f t="shared" si="92"/>
        <v>57.316758279462476</v>
      </c>
      <c r="AZ199" s="827">
        <f t="shared" si="96"/>
        <v>57.321543731927939</v>
      </c>
      <c r="BA199" s="660">
        <f t="shared" si="93"/>
        <v>0.9726172859732598</v>
      </c>
      <c r="BB199" s="655">
        <v>43285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924">
        <f>1+[2]!Salcycl*Ksac</f>
        <v>1.047965539931647</v>
      </c>
      <c r="BH199" s="1080">
        <f t="shared" si="94"/>
        <v>6.3984583585506363E-2</v>
      </c>
      <c r="BI199" s="11">
        <v>44381</v>
      </c>
      <c r="BJ199" s="801">
        <v>9.7487495015232076E-3</v>
      </c>
      <c r="BK199" s="801">
        <v>2.1148025758780331E-2</v>
      </c>
      <c r="BL199" s="801">
        <v>3.9336987772171948E-2</v>
      </c>
      <c r="BM199" s="801">
        <v>6.3983600987779096E-2</v>
      </c>
      <c r="BN199" s="801">
        <v>8.9939804600141018E-2</v>
      </c>
      <c r="BO199" s="802">
        <v>0.112319575888933</v>
      </c>
      <c r="BP199" s="801">
        <v>0.1315219526686873</v>
      </c>
      <c r="BQ199" s="801">
        <v>0.15041545034355028</v>
      </c>
      <c r="BR199" s="801">
        <v>0.17031565188577638</v>
      </c>
      <c r="BS199" s="801">
        <v>0.192428041287214</v>
      </c>
      <c r="BT199" s="801">
        <v>0.21657925332812503</v>
      </c>
      <c r="BW199" s="1136">
        <f>'2018'!R\Max</f>
        <v>0.82360824426848289</v>
      </c>
      <c r="BX199" s="1134">
        <f>'2019'!R\Max</f>
        <v>0.9726172859732598</v>
      </c>
      <c r="BY199" s="1134">
        <f>'2020'!R\Max</f>
        <v>0.77430806965974552</v>
      </c>
      <c r="BZ199" s="1134">
        <f>'2021'!R\Max</f>
        <v>0.60017168904500984</v>
      </c>
      <c r="CA199" s="1134">
        <f>'2022'!R\Max</f>
        <v>0.821866518534215</v>
      </c>
      <c r="CB199" s="1134">
        <f>'2023'!R\Max</f>
        <v>0.82164846849234086</v>
      </c>
      <c r="CC199" s="1134">
        <f>'2024'!R\Max</f>
        <v>0.82143263846210379</v>
      </c>
      <c r="CD199" s="1134">
        <f>'2025'!R\Max</f>
        <v>0.82291834396694563</v>
      </c>
      <c r="CE199" s="1134">
        <f>'2026'!R\Max</f>
        <v>0.82262573624765978</v>
      </c>
      <c r="CF199" s="1135">
        <f>'2027'!R\Max</f>
        <v>0.82235994491109909</v>
      </c>
    </row>
    <row r="200" spans="1:84" s="6" customFormat="1" ht="11.25" x14ac:dyDescent="0.2">
      <c r="A200" s="11">
        <v>43286</v>
      </c>
      <c r="B200" s="380">
        <f>'2023'!Maxi_hp</f>
        <v>58.767865102105034</v>
      </c>
      <c r="C200" s="85">
        <f>'2023'!An_max</f>
        <v>2021</v>
      </c>
      <c r="D200" s="1087">
        <f t="shared" si="78"/>
        <v>1.0270428783754282</v>
      </c>
      <c r="E200" s="747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836">
        <f t="shared" si="81"/>
        <v>0.2857142857142857</v>
      </c>
      <c r="J200" s="827">
        <f t="shared" si="82"/>
        <v>57.22045918381108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836">
        <f t="shared" si="86"/>
        <v>0.6428571428571429</v>
      </c>
      <c r="AT200" s="853">
        <f t="shared" si="87"/>
        <v>57.22934356779858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836">
        <f t="shared" si="91"/>
        <v>0.8571428571428571</v>
      </c>
      <c r="AY200" s="853">
        <f t="shared" si="92"/>
        <v>57.219597667721771</v>
      </c>
      <c r="AZ200" s="827">
        <f t="shared" si="96"/>
        <v>57.224470617760176</v>
      </c>
      <c r="BA200" s="660">
        <f t="shared" si="93"/>
        <v>1.0270428783754282</v>
      </c>
      <c r="BB200" s="655">
        <v>43286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924">
        <f>1+[2]!Salcycl*Ksac</f>
        <v>1.0481724118566074</v>
      </c>
      <c r="BH200" s="1080">
        <f t="shared" si="94"/>
        <v>6.3276849645073754E-2</v>
      </c>
      <c r="BI200" s="11">
        <v>44382</v>
      </c>
      <c r="BJ200" s="801">
        <v>9.5722754291366185E-3</v>
      </c>
      <c r="BK200" s="801">
        <v>2.0918057644706639E-2</v>
      </c>
      <c r="BL200" s="801">
        <v>3.8917490041995684E-2</v>
      </c>
      <c r="BM200" s="801">
        <v>6.3275880851114283E-2</v>
      </c>
      <c r="BN200" s="801">
        <v>8.8867445509107398E-2</v>
      </c>
      <c r="BO200" s="802">
        <v>0.11099027784261899</v>
      </c>
      <c r="BP200" s="801">
        <v>0.13001226693502468</v>
      </c>
      <c r="BQ200" s="801">
        <v>0.14876240924163986</v>
      </c>
      <c r="BR200" s="801">
        <v>0.16855676169297032</v>
      </c>
      <c r="BS200" s="801">
        <v>0.19060074613479094</v>
      </c>
      <c r="BT200" s="801">
        <v>0.21471118364104672</v>
      </c>
      <c r="BW200" s="1136">
        <f>'2018'!R\Max</f>
        <v>0.70457733201458117</v>
      </c>
      <c r="BX200" s="1134">
        <f>'2019'!R\Max</f>
        <v>0.9473900987632875</v>
      </c>
      <c r="BY200" s="1134">
        <f>'2020'!R\Max</f>
        <v>0.98872791244270219</v>
      </c>
      <c r="BZ200" s="1134">
        <f>'2021'!R\Max</f>
        <v>1.0270428783754282</v>
      </c>
      <c r="CA200" s="1134">
        <f>'2022'!R\Max</f>
        <v>1.0040526453175844</v>
      </c>
      <c r="CB200" s="1134">
        <f>'2023'!R\Max</f>
        <v>1.0040526453175844</v>
      </c>
      <c r="CC200" s="1134">
        <f>'2024'!R\Max</f>
        <v>1.0040526453175844</v>
      </c>
      <c r="CD200" s="1134">
        <f>'2025'!R\Max</f>
        <v>1.0040526453175844</v>
      </c>
      <c r="CE200" s="1134">
        <f>'2026'!R\Max</f>
        <v>1.0040526453175844</v>
      </c>
      <c r="CF200" s="1135">
        <f>'2027'!R\Max</f>
        <v>1.0040526453175844</v>
      </c>
    </row>
    <row r="201" spans="1:84" s="6" customFormat="1" ht="11.25" x14ac:dyDescent="0.2">
      <c r="A201" s="11">
        <v>43287</v>
      </c>
      <c r="B201" s="380">
        <f>'2023'!Maxi_hp</f>
        <v>56.315415913154332</v>
      </c>
      <c r="C201" s="85">
        <f>'2023'!An_max</f>
        <v>2020</v>
      </c>
      <c r="D201" s="1087">
        <f t="shared" si="78"/>
        <v>0.98581961727519885</v>
      </c>
      <c r="E201" s="747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836">
        <f t="shared" si="81"/>
        <v>0.21428571428571427</v>
      </c>
      <c r="J201" s="827">
        <f t="shared" si="82"/>
        <v>57.125477040931585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836">
        <f t="shared" si="86"/>
        <v>0.6071428571428571</v>
      </c>
      <c r="AT201" s="853">
        <f t="shared" si="87"/>
        <v>57.130931065620722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836">
        <f t="shared" si="91"/>
        <v>0.8928571428571429</v>
      </c>
      <c r="AY201" s="853">
        <f t="shared" si="92"/>
        <v>57.122616538458637</v>
      </c>
      <c r="AZ201" s="827">
        <f t="shared" si="96"/>
        <v>57.126773802039679</v>
      </c>
      <c r="BA201" s="660">
        <f t="shared" si="93"/>
        <v>0.98581961727519885</v>
      </c>
      <c r="BB201" s="655">
        <v>43287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924">
        <f>1+[2]!Salcycl*Ksac</f>
        <v>1.048364884800574</v>
      </c>
      <c r="BH201" s="1080">
        <f t="shared" si="94"/>
        <v>6.2544140106709362E-2</v>
      </c>
      <c r="BI201" s="11">
        <v>44383</v>
      </c>
      <c r="BJ201" s="801">
        <v>9.3860682663737139E-3</v>
      </c>
      <c r="BK201" s="801">
        <v>2.0676139784877447E-2</v>
      </c>
      <c r="BL201" s="801">
        <v>3.8490480249576416E-2</v>
      </c>
      <c r="BM201" s="801">
        <v>6.2543186007486193E-2</v>
      </c>
      <c r="BN201" s="801">
        <v>8.7746575976334132E-2</v>
      </c>
      <c r="BO201" s="802">
        <v>0.10958092074022703</v>
      </c>
      <c r="BP201" s="801">
        <v>0.12841163738117392</v>
      </c>
      <c r="BQ201" s="801">
        <v>0.14701069593634133</v>
      </c>
      <c r="BR201" s="801">
        <v>0.16669385540779225</v>
      </c>
      <c r="BS201" s="801">
        <v>0.1886676363116998</v>
      </c>
      <c r="BT201" s="801">
        <v>0.21273751570198754</v>
      </c>
      <c r="BW201" s="1136">
        <f>'2018'!R\Max</f>
        <v>0.74677860168490173</v>
      </c>
      <c r="BX201" s="1134">
        <f>'2019'!R\Max</f>
        <v>0.95611096934378415</v>
      </c>
      <c r="BY201" s="1134">
        <f>'2020'!R\Max</f>
        <v>0.98581961727519885</v>
      </c>
      <c r="BZ201" s="1134">
        <f>'2021'!R\Max</f>
        <v>0.40339172256556965</v>
      </c>
      <c r="CA201" s="1134">
        <f>'2022'!R\Max</f>
        <v>0.82276467291451594</v>
      </c>
      <c r="CB201" s="1134">
        <f>'2023'!R\Max</f>
        <v>0.82255030470328749</v>
      </c>
      <c r="CC201" s="1134">
        <f>'2024'!R\Max</f>
        <v>0.82233757296999066</v>
      </c>
      <c r="CD201" s="1134">
        <f>'2025'!R\Max</f>
        <v>0.82379136885465665</v>
      </c>
      <c r="CE201" s="1134">
        <f>'2026'!R\Max</f>
        <v>0.82350649637256779</v>
      </c>
      <c r="CF201" s="1135">
        <f>'2027'!R\Max</f>
        <v>0.82324755552489581</v>
      </c>
    </row>
    <row r="202" spans="1:84" s="6" customFormat="1" ht="11.25" x14ac:dyDescent="0.2">
      <c r="A202" s="11">
        <v>43288</v>
      </c>
      <c r="B202" s="380">
        <f>'2023'!Maxi_hp</f>
        <v>56.989181729783134</v>
      </c>
      <c r="C202" s="85">
        <f>'2023'!An_max</f>
        <v>2018</v>
      </c>
      <c r="D202" s="1087">
        <f t="shared" si="78"/>
        <v>0.99929320661320442</v>
      </c>
      <c r="E202" s="747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836">
        <f t="shared" si="81"/>
        <v>0.14285714285714285</v>
      </c>
      <c r="J202" s="827">
        <f t="shared" si="82"/>
        <v>57.029489796023292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836">
        <f t="shared" si="86"/>
        <v>0.5714285714285714</v>
      </c>
      <c r="AT202" s="853">
        <f t="shared" si="87"/>
        <v>57.031212827889249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836">
        <f t="shared" si="91"/>
        <v>0.9285714285714286</v>
      </c>
      <c r="AY202" s="853">
        <f t="shared" si="92"/>
        <v>57.025989886971992</v>
      </c>
      <c r="AZ202" s="827">
        <f t="shared" si="96"/>
        <v>57.028601357430617</v>
      </c>
      <c r="BA202" s="660">
        <f t="shared" si="93"/>
        <v>0.99929320661320442</v>
      </c>
      <c r="BB202" s="655">
        <v>43288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924">
        <f>1+[2]!Salcycl*Ksac</f>
        <v>1.0485434283310278</v>
      </c>
      <c r="BH202" s="1080">
        <f t="shared" si="94"/>
        <v>6.1786513424921835E-2</v>
      </c>
      <c r="BI202" s="11">
        <v>44384</v>
      </c>
      <c r="BJ202" s="801">
        <v>9.1901436314281194E-3</v>
      </c>
      <c r="BK202" s="801">
        <v>2.0422296659723158E-2</v>
      </c>
      <c r="BL202" s="801">
        <v>3.805598388049828E-2</v>
      </c>
      <c r="BM202" s="801">
        <v>6.178557490986978E-2</v>
      </c>
      <c r="BN202" s="801">
        <v>8.657729496803479E-2</v>
      </c>
      <c r="BO202" s="802">
        <v>0.10809165514770995</v>
      </c>
      <c r="BP202" s="801">
        <v>0.12672023744243585</v>
      </c>
      <c r="BQ202" s="801">
        <v>0.14516050298053226</v>
      </c>
      <c r="BR202" s="801">
        <v>0.16472714281980153</v>
      </c>
      <c r="BS202" s="801">
        <v>0.18662893609999007</v>
      </c>
      <c r="BT202" s="801">
        <v>0.21065848733382292</v>
      </c>
      <c r="BW202" s="1136">
        <f>'2018'!R\Max</f>
        <v>0.99929320661320442</v>
      </c>
      <c r="BX202" s="1134">
        <f>'2019'!R\Max</f>
        <v>0.8359775287464668</v>
      </c>
      <c r="BY202" s="1134">
        <f>'2020'!R\Max</f>
        <v>0.56010001905038165</v>
      </c>
      <c r="BZ202" s="1134">
        <f>'2021'!R\Max</f>
        <v>0.68748223345095572</v>
      </c>
      <c r="CA202" s="1134">
        <f>'2022'!R\Max</f>
        <v>0.97489369664446179</v>
      </c>
      <c r="CB202" s="1134">
        <f>'2023'!R\Max</f>
        <v>0.9748579838212591</v>
      </c>
      <c r="CC202" s="1134">
        <f>'2024'!R\Max</f>
        <v>0.97482247271406808</v>
      </c>
      <c r="CD202" s="1134">
        <f>'2025'!R\Max</f>
        <v>0.97506376100715397</v>
      </c>
      <c r="CE202" s="1134">
        <f>'2026'!R\Max</f>
        <v>0.97501666360136752</v>
      </c>
      <c r="CF202" s="1135">
        <f>'2027'!R\Max</f>
        <v>0.97497383052247744</v>
      </c>
    </row>
    <row r="203" spans="1:84" s="6" customFormat="1" ht="11.25" x14ac:dyDescent="0.2">
      <c r="A203" s="11">
        <v>43289</v>
      </c>
      <c r="B203" s="380">
        <f>'2023'!Maxi_hp</f>
        <v>59.606340921073496</v>
      </c>
      <c r="C203" s="85">
        <f>'2023'!An_max</f>
        <v>2020</v>
      </c>
      <c r="D203" s="1087">
        <f t="shared" si="78"/>
        <v>1.0469651533282573</v>
      </c>
      <c r="E203" s="747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836">
        <f t="shared" si="81"/>
        <v>7.1428571428571425E-2</v>
      </c>
      <c r="J203" s="827">
        <f t="shared" si="82"/>
        <v>56.932497449019664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836">
        <f t="shared" si="86"/>
        <v>0.5357142857142857</v>
      </c>
      <c r="AT203" s="853">
        <f t="shared" si="87"/>
        <v>56.93031000607548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836">
        <f t="shared" si="91"/>
        <v>0.9642857142857143</v>
      </c>
      <c r="AY203" s="853">
        <f t="shared" si="92"/>
        <v>56.929892709082921</v>
      </c>
      <c r="AZ203" s="827">
        <f t="shared" si="96"/>
        <v>56.930101357579204</v>
      </c>
      <c r="BA203" s="660">
        <f t="shared" si="93"/>
        <v>1.0469651533282573</v>
      </c>
      <c r="BB203" s="655">
        <v>43289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924">
        <f>1+[2]!Salcycl*Ksac</f>
        <v>1.0487085313980644</v>
      </c>
      <c r="BH203" s="1080">
        <f t="shared" si="94"/>
        <v>6.1004025210108517E-2</v>
      </c>
      <c r="BI203" s="11">
        <v>44385</v>
      </c>
      <c r="BJ203" s="801">
        <v>8.9845162603246643E-3</v>
      </c>
      <c r="BK203" s="801">
        <v>2.0156551642137754E-2</v>
      </c>
      <c r="BL203" s="801">
        <v>3.7614025084998726E-2</v>
      </c>
      <c r="BM203" s="801">
        <v>6.1003103167203761E-2</v>
      </c>
      <c r="BN203" s="801">
        <v>8.5359696624296807E-2</v>
      </c>
      <c r="BO203" s="802">
        <v>0.10652262469473184</v>
      </c>
      <c r="BP203" s="801">
        <v>0.12493823267880326</v>
      </c>
      <c r="BQ203" s="801">
        <v>0.14321201435266129</v>
      </c>
      <c r="BR203" s="801">
        <v>0.16265682465014325</v>
      </c>
      <c r="BS203" s="801">
        <v>0.18448486048088833</v>
      </c>
      <c r="BT203" s="801">
        <v>0.20847432699075336</v>
      </c>
      <c r="BW203" s="1136">
        <f>'2018'!R\Max</f>
        <v>1.0016578765769484</v>
      </c>
      <c r="BX203" s="1134">
        <f>'2019'!R\Max</f>
        <v>0.60973883763498116</v>
      </c>
      <c r="BY203" s="1134">
        <f>'2020'!R\Max</f>
        <v>1.0469651533282573</v>
      </c>
      <c r="BZ203" s="1134">
        <f>'2021'!R\Max</f>
        <v>0.88580855472014319</v>
      </c>
      <c r="CA203" s="1134">
        <f>'2022'!R\Max</f>
        <v>1.0238097275774947</v>
      </c>
      <c r="CB203" s="1134">
        <f>'2023'!R\Max</f>
        <v>1.0238097275774947</v>
      </c>
      <c r="CC203" s="1134">
        <f>'2024'!R\Max</f>
        <v>1.0238097275774947</v>
      </c>
      <c r="CD203" s="1134">
        <f>'2025'!R\Max</f>
        <v>1.0238097275774947</v>
      </c>
      <c r="CE203" s="1134">
        <f>'2026'!R\Max</f>
        <v>1.0238097275774949</v>
      </c>
      <c r="CF203" s="1135">
        <f>'2027'!R\Max</f>
        <v>1.0238097275774949</v>
      </c>
    </row>
    <row r="204" spans="1:84" s="6" customFormat="1" ht="11.25" x14ac:dyDescent="0.2">
      <c r="A204" s="11">
        <v>43290</v>
      </c>
      <c r="B204" s="380">
        <f>'2023'!Maxi_hp</f>
        <v>57.632712414968985</v>
      </c>
      <c r="C204" s="85">
        <f>'2023'!An_max</f>
        <v>2023</v>
      </c>
      <c r="D204" s="1087">
        <f t="shared" si="78"/>
        <v>1.0140445049204443</v>
      </c>
      <c r="E204" s="835">
        <f>AA$13/10</f>
        <v>56.834500000000006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836">
        <f t="shared" si="81"/>
        <v>0</v>
      </c>
      <c r="J204" s="827">
        <f t="shared" si="82"/>
        <v>56.834500000067052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836">
        <f t="shared" si="86"/>
        <v>0.5</v>
      </c>
      <c r="AT204" s="853">
        <f t="shared" si="87"/>
        <v>56.828343749954364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836">
        <f t="shared" si="91"/>
        <v>1</v>
      </c>
      <c r="AY204" s="853">
        <f t="shared" si="92"/>
        <v>56.834500000067052</v>
      </c>
      <c r="AZ204" s="827">
        <f t="shared" si="96"/>
        <v>56.831421875010705</v>
      </c>
      <c r="BA204" s="660">
        <f t="shared" si="93"/>
        <v>1.0140445049204443</v>
      </c>
      <c r="BB204" s="655">
        <v>43290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924">
        <f>1+[2]!Salcycl*Ksac</f>
        <v>1.0488606991304807</v>
      </c>
      <c r="BH204" s="1080">
        <f t="shared" si="94"/>
        <v>6.019672807375151E-2</v>
      </c>
      <c r="BI204" s="11">
        <v>44386</v>
      </c>
      <c r="BJ204" s="801">
        <v>8.7691999480100299E-3</v>
      </c>
      <c r="BK204" s="801">
        <v>1.9878926924549584E-2</v>
      </c>
      <c r="BL204" s="801">
        <v>3.7164626629122226E-2</v>
      </c>
      <c r="BM204" s="801">
        <v>6.0195823389592028E-2</v>
      </c>
      <c r="BN204" s="801">
        <v>8.409386996203283E-2</v>
      </c>
      <c r="BO204" s="802">
        <v>0.10487396558891628</v>
      </c>
      <c r="BP204" s="801">
        <v>0.12306578022294101</v>
      </c>
      <c r="BQ204" s="801">
        <v>0.14116540485728948</v>
      </c>
      <c r="BR204" s="801">
        <v>0.16048309191885479</v>
      </c>
      <c r="BS204" s="801">
        <v>0.18223561448984901</v>
      </c>
      <c r="BT204" s="801">
        <v>0.20618525311301156</v>
      </c>
      <c r="BW204" s="1136">
        <f>'2018'!R\Max</f>
        <v>0.98081437225290569</v>
      </c>
      <c r="BX204" s="1134">
        <f>'2019'!R\Max</f>
        <v>0.37694084976574616</v>
      </c>
      <c r="BY204" s="1134">
        <f>'2020'!R\Max</f>
        <v>1.0072973602659923</v>
      </c>
      <c r="BZ204" s="1134">
        <f>'2021'!R\Max</f>
        <v>0.94603360439653483</v>
      </c>
      <c r="CA204" s="1134">
        <f>'2022'!R\Max</f>
        <v>1.0140445049204443</v>
      </c>
      <c r="CB204" s="1134">
        <f>'2023'!R\Max</f>
        <v>1.0140445049204443</v>
      </c>
      <c r="CC204" s="1134">
        <f>'2024'!R\Max</f>
        <v>1.0140445049204443</v>
      </c>
      <c r="CD204" s="1134">
        <f>'2025'!R\Max</f>
        <v>1.0140445049204441</v>
      </c>
      <c r="CE204" s="1134">
        <f>'2026'!R\Max</f>
        <v>1.0140445049204443</v>
      </c>
      <c r="CF204" s="1135">
        <f>'2027'!R\Max</f>
        <v>1.0140445049204443</v>
      </c>
    </row>
    <row r="205" spans="1:84" s="6" customFormat="1" ht="11.25" x14ac:dyDescent="0.2">
      <c r="A205" s="11">
        <v>43291</v>
      </c>
      <c r="B205" s="380">
        <f>'2023'!Maxi_hp</f>
        <v>57.259532821685092</v>
      </c>
      <c r="C205" s="85">
        <f>'2023'!An_max</f>
        <v>2023</v>
      </c>
      <c r="D205" s="1087">
        <f t="shared" si="78"/>
        <v>1.0092447649986889</v>
      </c>
      <c r="E205" s="747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836">
        <f t="shared" si="81"/>
        <v>7.1428571428571425E-2</v>
      </c>
      <c r="J205" s="827">
        <f t="shared" si="82"/>
        <v>56.735030794793843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836">
        <f t="shared" si="86"/>
        <v>0.4642857142857143</v>
      </c>
      <c r="AT205" s="853">
        <f t="shared" si="87"/>
        <v>56.725435210952334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836">
        <f t="shared" si="91"/>
        <v>0.9642857142857143</v>
      </c>
      <c r="AY205" s="853">
        <f t="shared" si="92"/>
        <v>56.738909191056152</v>
      </c>
      <c r="AZ205" s="827">
        <f t="shared" si="96"/>
        <v>56.732172201004246</v>
      </c>
      <c r="BA205" s="660">
        <f t="shared" si="93"/>
        <v>1.0092447649986889</v>
      </c>
      <c r="BB205" s="655">
        <v>43291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924">
        <f>1+[2]!Salcycl*Ksac</f>
        <v>1.049000449616144</v>
      </c>
      <c r="BH205" s="1080">
        <f t="shared" si="94"/>
        <v>5.9364671476244919E-2</v>
      </c>
      <c r="BI205" s="11">
        <v>44387</v>
      </c>
      <c r="BJ205" s="801">
        <v>8.5442074898342147E-3</v>
      </c>
      <c r="BK205" s="801">
        <v>1.9589443446861764E-2</v>
      </c>
      <c r="BL205" s="801">
        <v>3.6707809847495193E-2</v>
      </c>
      <c r="BM205" s="801">
        <v>5.9363785036136228E-2</v>
      </c>
      <c r="BN205" s="801">
        <v>8.2779898581617647E-2</v>
      </c>
      <c r="BO205" s="802">
        <v>0.10314580613469547</v>
      </c>
      <c r="BP205" s="801">
        <v>0.12110302823356045</v>
      </c>
      <c r="BQ205" s="801">
        <v>0.13902083953181107</v>
      </c>
      <c r="BR205" s="801">
        <v>0.15820612531918579</v>
      </c>
      <c r="BS205" s="801">
        <v>0.17988139257955216</v>
      </c>
      <c r="BT205" s="801">
        <v>0.20379147349054197</v>
      </c>
      <c r="BW205" s="1136">
        <f>'2018'!R\Max</f>
        <v>1.0068749720297658</v>
      </c>
      <c r="BX205" s="1134">
        <f>'2019'!R\Max</f>
        <v>0.97135143856676509</v>
      </c>
      <c r="BY205" s="1134">
        <f>'2020'!R\Max</f>
        <v>0.95248257423882221</v>
      </c>
      <c r="BZ205" s="1134">
        <f>'2021'!R\Max</f>
        <v>0.88962524188492209</v>
      </c>
      <c r="CA205" s="1134">
        <f>'2022'!R\Max</f>
        <v>1.0092447649986889</v>
      </c>
      <c r="CB205" s="1134">
        <f>'2023'!R\Max</f>
        <v>1.0092447649986889</v>
      </c>
      <c r="CC205" s="1134">
        <f>'2024'!R\Max</f>
        <v>1.0092447649986891</v>
      </c>
      <c r="CD205" s="1134">
        <f>'2025'!R\Max</f>
        <v>1.0092447649986889</v>
      </c>
      <c r="CE205" s="1134">
        <f>'2026'!R\Max</f>
        <v>1.0092447649986889</v>
      </c>
      <c r="CF205" s="1135">
        <f>'2027'!R\Max</f>
        <v>1.0092447649986889</v>
      </c>
    </row>
    <row r="206" spans="1:84" s="6" customFormat="1" ht="11.25" x14ac:dyDescent="0.2">
      <c r="A206" s="11">
        <v>43292</v>
      </c>
      <c r="B206" s="380">
        <f>'2023'!Maxi_hp</f>
        <v>56.244702289420005</v>
      </c>
      <c r="C206" s="85">
        <f>'2023'!An_max</f>
        <v>2019</v>
      </c>
      <c r="D206" s="1087">
        <f t="shared" si="78"/>
        <v>0.99313016779608443</v>
      </c>
      <c r="E206" s="747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836">
        <f t="shared" si="81"/>
        <v>0.14285714285714285</v>
      </c>
      <c r="J206" s="827">
        <f t="shared" si="82"/>
        <v>56.633766764165514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836">
        <f t="shared" si="86"/>
        <v>0.42857142857142855</v>
      </c>
      <c r="AT206" s="853">
        <f t="shared" si="87"/>
        <v>56.621705539418123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836">
        <f t="shared" si="91"/>
        <v>0.9285714285714286</v>
      </c>
      <c r="AY206" s="853">
        <f t="shared" si="92"/>
        <v>56.642135383647734</v>
      </c>
      <c r="AZ206" s="827">
        <f t="shared" si="96"/>
        <v>56.631920461532928</v>
      </c>
      <c r="BA206" s="660">
        <f t="shared" si="93"/>
        <v>0.99313016779608443</v>
      </c>
      <c r="BB206" s="655">
        <v>43292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924">
        <f>1+[2]!Salcycl*Ksac</f>
        <v>1.0491283106900551</v>
      </c>
      <c r="BH206" s="1080">
        <f t="shared" si="94"/>
        <v>5.8477554144922547E-2</v>
      </c>
      <c r="BI206" s="11">
        <v>44388</v>
      </c>
      <c r="BJ206" s="801">
        <v>8.3080332248466424E-3</v>
      </c>
      <c r="BK206" s="801">
        <v>1.9277588743248458E-2</v>
      </c>
      <c r="BL206" s="801">
        <v>3.6219211212666906E-2</v>
      </c>
      <c r="BM206" s="801">
        <v>5.8476686826057368E-2</v>
      </c>
      <c r="BN206" s="801">
        <v>8.1387695509121394E-2</v>
      </c>
      <c r="BO206" s="802">
        <v>0.1013133284206893</v>
      </c>
      <c r="BP206" s="801">
        <v>0.11902205853834931</v>
      </c>
      <c r="BQ206" s="801">
        <v>0.13674833814116749</v>
      </c>
      <c r="BR206" s="801">
        <v>0.15579500113924977</v>
      </c>
      <c r="BS206" s="801">
        <v>0.17739171470555645</v>
      </c>
      <c r="BT206" s="801">
        <v>0.20126310686290302</v>
      </c>
      <c r="BW206" s="1136">
        <f>'2018'!R\Max</f>
        <v>0.98730635290539226</v>
      </c>
      <c r="BX206" s="1134">
        <f>'2019'!R\Max</f>
        <v>0.99313016779608443</v>
      </c>
      <c r="BY206" s="1134">
        <f>'2020'!R\Max</f>
        <v>0.82784691395786825</v>
      </c>
      <c r="BZ206" s="1134">
        <f>'2021'!R\Max</f>
        <v>0.93983897544674466</v>
      </c>
      <c r="CA206" s="1134">
        <f>'2022'!R\Max</f>
        <v>0.98696403140324829</v>
      </c>
      <c r="CB206" s="1134">
        <f>'2023'!R\Max</f>
        <v>0.98694597958096419</v>
      </c>
      <c r="CC206" s="1134">
        <f>'2024'!R\Max</f>
        <v>0.98692787882248145</v>
      </c>
      <c r="CD206" s="1134">
        <f>'2025'!R\Max</f>
        <v>0.98704792779148198</v>
      </c>
      <c r="CE206" s="1134">
        <f>'2026'!R\Max</f>
        <v>0.98702477572872083</v>
      </c>
      <c r="CF206" s="1135">
        <f>'2027'!R\Max</f>
        <v>0.98700378065818906</v>
      </c>
    </row>
    <row r="207" spans="1:84" s="6" customFormat="1" ht="11.25" x14ac:dyDescent="0.2">
      <c r="A207" s="11">
        <v>43293</v>
      </c>
      <c r="B207" s="380">
        <f>'2023'!Maxi_hp</f>
        <v>57.631675116560842</v>
      </c>
      <c r="C207" s="85">
        <f>'2023'!An_max</f>
        <v>2019</v>
      </c>
      <c r="D207" s="1087">
        <f t="shared" ref="D207:D270" si="97">IF($BA207&gt;$D$11,BA207,"")</f>
        <v>1.019471676122599</v>
      </c>
      <c r="E207" s="747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836">
        <f t="shared" ref="I207:I270" si="100">($A207-H207)/(INDEX(x.2m,G207)-H207)</f>
        <v>0.21428571428571427</v>
      </c>
      <c r="J207" s="827">
        <f t="shared" ref="J207:J270" si="101">((1-I207)*(INDEX(a.m,F207)*$A207*$A207+INDEX(b.m,F207)*$A207+INDEX(c.m,F207))+I207*(INDEX(a.m,G207)*$A207*$A207+INDEX(b.m,G207)*$A207+INDEX(c.m,G207)))/10</f>
        <v>56.530923287397151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836">
        <f t="shared" ref="AS207:AS270" si="105">($A207-AR207)/(INDEX(x.2lg,AQ207)-AR207)</f>
        <v>0.39285714285714285</v>
      </c>
      <c r="AT207" s="853">
        <f t="shared" ref="AT207:AT270" si="106">((1-AS207)*(INDEX(a.lg,AP207)*$A207*$A207+INDEX(b.lg,AP207)*$A207+INDEX(c.lg,AP207))+AS207*(INDEX(a.lg,AQ207)*$A207*$A207+INDEX(b.lg,AQ207)*$A207+INDEX(c.lg,AQ207)))/10</f>
        <v>56.517275886127869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836">
        <f t="shared" ref="AX207:AX270" si="110">($A207-AW207)/(INDEX(x.2ld,AV207)-AW207)</f>
        <v>0.8928571428571429</v>
      </c>
      <c r="AY207" s="853">
        <f t="shared" ref="AY207:AY270" si="111">((1-AX207)*(INDEX(a.ld,AU207)*$A207*$A207+INDEX(b.ld,AU207)*$A207+INDEX(c.ld,AU207))+AX207*(INDEX(a.ld,AV207)*$A207*$A207+INDEX(b.ld,AV207)*$A207+INDEX(c.ld,AV207)))/10</f>
        <v>56.54423007838195</v>
      </c>
      <c r="AZ207" s="827">
        <f t="shared" si="96"/>
        <v>56.53075298225491</v>
      </c>
      <c r="BA207" s="660">
        <f t="shared" ref="BA207:BA270" si="112">+B207/J207</f>
        <v>1.019471676122599</v>
      </c>
      <c r="BB207" s="655">
        <v>43293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924">
        <f>1+[2]!Salcycl*Ksac</f>
        <v>1.0492448167531321</v>
      </c>
      <c r="BH207" s="1080">
        <f t="shared" ref="BH207:BH270" si="113">INDEX($BJ207:$BT207,,$BH$10)*(1-Ratini)+INDEX($BJ207:$BT207,,$BH$10+1)*Ratini</f>
        <v>5.754159456743585E-2</v>
      </c>
      <c r="BI207" s="11">
        <v>44389</v>
      </c>
      <c r="BJ207" s="801">
        <v>8.0668315065805362E-3</v>
      </c>
      <c r="BK207" s="801">
        <v>1.8949182411369406E-2</v>
      </c>
      <c r="BL207" s="801">
        <v>3.5694648442980655E-2</v>
      </c>
      <c r="BM207" s="801">
        <v>5.7540746670736075E-2</v>
      </c>
      <c r="BN207" s="801">
        <v>7.9938701368399007E-2</v>
      </c>
      <c r="BO207" s="802">
        <v>9.9423790935260173E-2</v>
      </c>
      <c r="BP207" s="801">
        <v>0.11687576225850298</v>
      </c>
      <c r="BQ207" s="801">
        <v>0.13440543516684647</v>
      </c>
      <c r="BR207" s="801">
        <v>0.1533105109548854</v>
      </c>
      <c r="BS207" s="801">
        <v>0.17482943143787613</v>
      </c>
      <c r="BT207" s="801">
        <v>0.19866342936357365</v>
      </c>
      <c r="BW207" s="1136">
        <f>'2018'!R\Max</f>
        <v>0.8162213152844694</v>
      </c>
      <c r="BX207" s="1134">
        <f>'2019'!R\Max</f>
        <v>1.019471676122599</v>
      </c>
      <c r="BY207" s="1134">
        <f>'2020'!R\Max</f>
        <v>0.71916325317034435</v>
      </c>
      <c r="BZ207" s="1134">
        <f>'2021'!R\Max</f>
        <v>0.25489931921437148</v>
      </c>
      <c r="CA207" s="1134">
        <f>'2022'!R\Max</f>
        <v>0.98030471436245559</v>
      </c>
      <c r="CB207" s="1134">
        <f>'2023'!R\Max</f>
        <v>0.98027794605762297</v>
      </c>
      <c r="CC207" s="1134">
        <f>'2024'!R\Max</f>
        <v>0.98025103285967408</v>
      </c>
      <c r="CD207" s="1134">
        <f>'2025'!R\Max</f>
        <v>0.98042827400915278</v>
      </c>
      <c r="CE207" s="1134">
        <f>'2026'!R\Max</f>
        <v>0.98039420967072566</v>
      </c>
      <c r="CF207" s="1135">
        <f>'2027'!R\Max</f>
        <v>0.98036334569559658</v>
      </c>
    </row>
    <row r="208" spans="1:84" s="6" customFormat="1" ht="11.25" x14ac:dyDescent="0.2">
      <c r="A208" s="11">
        <v>43294</v>
      </c>
      <c r="B208" s="380">
        <f>'2023'!Maxi_hp</f>
        <v>55.706325273109343</v>
      </c>
      <c r="C208" s="85">
        <f>'2023'!An_max</f>
        <v>2022</v>
      </c>
      <c r="D208" s="1087">
        <f t="shared" si="97"/>
        <v>0.98723316675591488</v>
      </c>
      <c r="E208" s="747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836">
        <f t="shared" si="100"/>
        <v>0.2857142857142857</v>
      </c>
      <c r="J208" s="827">
        <f t="shared" si="101"/>
        <v>56.42671574351823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836">
        <f t="shared" si="105"/>
        <v>0.35714285714285715</v>
      </c>
      <c r="AT208" s="853">
        <f t="shared" si="106"/>
        <v>56.412267401571647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836">
        <f t="shared" si="110"/>
        <v>0.8571428571428571</v>
      </c>
      <c r="AY208" s="853">
        <f t="shared" si="111"/>
        <v>56.445244775965271</v>
      </c>
      <c r="AZ208" s="827">
        <f t="shared" ref="AZ208:AZ271" si="115">(AY208+AT208)/2</f>
        <v>56.428756088768459</v>
      </c>
      <c r="BA208" s="660">
        <f t="shared" si="112"/>
        <v>0.98723316675591488</v>
      </c>
      <c r="BB208" s="655">
        <v>43294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924">
        <f>1+[2]!Salcycl*Ksac</f>
        <v>1.0493505056441634</v>
      </c>
      <c r="BH208" s="1080">
        <f t="shared" si="113"/>
        <v>5.6556860039610142E-2</v>
      </c>
      <c r="BI208" s="11">
        <v>44390</v>
      </c>
      <c r="BJ208" s="801">
        <v>7.8206061458992292E-3</v>
      </c>
      <c r="BK208" s="801">
        <v>1.8604246572901158E-2</v>
      </c>
      <c r="BL208" s="801">
        <v>3.5134172017563185E-2</v>
      </c>
      <c r="BM208" s="801">
        <v>5.6556031865697194E-2</v>
      </c>
      <c r="BN208" s="801">
        <v>7.8432991392827195E-2</v>
      </c>
      <c r="BO208" s="802">
        <v>9.7477267763352859E-2</v>
      </c>
      <c r="BP208" s="801">
        <v>0.11466422661241758</v>
      </c>
      <c r="BQ208" s="801">
        <v>0.13199222889872755</v>
      </c>
      <c r="BR208" s="801">
        <v>0.15075276404751065</v>
      </c>
      <c r="BS208" s="801">
        <v>0.17219466200270492</v>
      </c>
      <c r="BT208" s="801">
        <v>0.19599257216767713</v>
      </c>
      <c r="BW208" s="1136">
        <f>'2018'!R\Max</f>
        <v>0.96414471599561269</v>
      </c>
      <c r="BX208" s="1134">
        <f>'2019'!R\Max</f>
        <v>0.9671910861666051</v>
      </c>
      <c r="BY208" s="1134">
        <f>'2020'!R\Max</f>
        <v>0.64632369611139051</v>
      </c>
      <c r="BZ208" s="1134">
        <f>'2021'!R\Max</f>
        <v>0.48908309009551243</v>
      </c>
      <c r="CA208" s="1134">
        <f>'2022'!R\Max</f>
        <v>0.98723316675591488</v>
      </c>
      <c r="CB208" s="1134">
        <f>'2023'!R\Max</f>
        <v>0.98721591234856965</v>
      </c>
      <c r="CC208" s="1134">
        <f>'2024'!R\Max</f>
        <v>0.98719851245314483</v>
      </c>
      <c r="CD208" s="1134">
        <f>'2025'!R\Max</f>
        <v>0.9873122656209754</v>
      </c>
      <c r="CE208" s="1134">
        <f>'2026'!R\Max</f>
        <v>0.98729048679225728</v>
      </c>
      <c r="CF208" s="1135">
        <f>'2027'!R\Max</f>
        <v>0.98727076462286023</v>
      </c>
    </row>
    <row r="209" spans="1:84" s="6" customFormat="1" ht="11.25" x14ac:dyDescent="0.2">
      <c r="A209" s="11">
        <v>43295</v>
      </c>
      <c r="B209" s="380">
        <f>'2023'!Maxi_hp</f>
        <v>56.367501147703905</v>
      </c>
      <c r="C209" s="85">
        <f>'2023'!An_max</f>
        <v>2019</v>
      </c>
      <c r="D209" s="1087">
        <f t="shared" si="97"/>
        <v>1.0008192564296639</v>
      </c>
      <c r="E209" s="747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836">
        <f t="shared" si="100"/>
        <v>0.35714285714285715</v>
      </c>
      <c r="J209" s="827">
        <f t="shared" si="101"/>
        <v>56.321359511796459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836">
        <f t="shared" si="105"/>
        <v>0.32142857142857145</v>
      </c>
      <c r="AT209" s="853">
        <f t="shared" si="106"/>
        <v>56.306801236879878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836">
        <f t="shared" si="110"/>
        <v>0.8214285714285714</v>
      </c>
      <c r="AY209" s="853">
        <f t="shared" si="111"/>
        <v>56.345230976879655</v>
      </c>
      <c r="AZ209" s="827">
        <f t="shared" si="115"/>
        <v>56.326016106879763</v>
      </c>
      <c r="BA209" s="660">
        <f t="shared" si="112"/>
        <v>1.0008192564296639</v>
      </c>
      <c r="BB209" s="655">
        <v>43295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924">
        <f>1+[2]!Salcycl*Ksac</f>
        <v>1.0494459155865847</v>
      </c>
      <c r="BH209" s="1080">
        <f t="shared" si="113"/>
        <v>5.552341234185889E-2</v>
      </c>
      <c r="BI209" s="11">
        <v>44391</v>
      </c>
      <c r="BJ209" s="801">
        <v>7.5693600359726144E-3</v>
      </c>
      <c r="BK209" s="801">
        <v>1.8242801453120946E-2</v>
      </c>
      <c r="BL209" s="801">
        <v>3.4537828750816034E-2</v>
      </c>
      <c r="BM209" s="801">
        <v>5.552260419112056E-2</v>
      </c>
      <c r="BN209" s="801">
        <v>7.6870633533569988E-2</v>
      </c>
      <c r="BO209" s="802">
        <v>9.5473824629215345E-2</v>
      </c>
      <c r="BP209" s="801">
        <v>0.11238752928853324</v>
      </c>
      <c r="BQ209" s="801">
        <v>0.1295088072865859</v>
      </c>
      <c r="BR209" s="801">
        <v>0.14812185882303805</v>
      </c>
      <c r="BS209" s="801">
        <v>0.16948751461967071</v>
      </c>
      <c r="BT209" s="801">
        <v>0.19325065544688544</v>
      </c>
      <c r="BW209" s="1136">
        <f>'2018'!R\Max</f>
        <v>0.91771151643246518</v>
      </c>
      <c r="BX209" s="1134">
        <f>'2019'!R\Max</f>
        <v>1.0008192564296639</v>
      </c>
      <c r="BY209" s="1134">
        <f>'2020'!R\Max</f>
        <v>0.98757928246206339</v>
      </c>
      <c r="BZ209" s="1134">
        <f>'2021'!R\Max</f>
        <v>0.52553291636871347</v>
      </c>
      <c r="CA209" s="1134">
        <f>'2022'!R\Max</f>
        <v>0.9736975124503322</v>
      </c>
      <c r="CB209" s="1134">
        <f>'2023'!R\Max</f>
        <v>0.97366292138301236</v>
      </c>
      <c r="CC209" s="1134">
        <f>'2024'!R\Max</f>
        <v>0.97362792584082858</v>
      </c>
      <c r="CD209" s="1134">
        <f>'2025'!R\Max</f>
        <v>0.97385503414645969</v>
      </c>
      <c r="CE209" s="1134">
        <f>'2026'!R\Max</f>
        <v>0.97381172597988097</v>
      </c>
      <c r="CF209" s="1135">
        <f>'2027'!R\Max</f>
        <v>0.97377251886068372</v>
      </c>
    </row>
    <row r="210" spans="1:84" s="6" customFormat="1" ht="11.25" x14ac:dyDescent="0.2">
      <c r="A210" s="11">
        <v>43296</v>
      </c>
      <c r="B210" s="380">
        <f>'2023'!Maxi_hp</f>
        <v>57.830639820469678</v>
      </c>
      <c r="C210" s="85">
        <f>'2023'!An_max</f>
        <v>2019</v>
      </c>
      <c r="D210" s="1087">
        <f t="shared" si="97"/>
        <v>1.0287390881207668</v>
      </c>
      <c r="E210" s="747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836">
        <f t="shared" si="100"/>
        <v>0.42857142857142855</v>
      </c>
      <c r="J210" s="827">
        <f t="shared" si="101"/>
        <v>56.215069970862011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836">
        <f t="shared" si="105"/>
        <v>0.2857142857142857</v>
      </c>
      <c r="AT210" s="853">
        <f t="shared" si="106"/>
        <v>56.200998542338084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836">
        <f t="shared" si="110"/>
        <v>0.7857142857142857</v>
      </c>
      <c r="AY210" s="853">
        <f t="shared" si="111"/>
        <v>56.244240182002876</v>
      </c>
      <c r="AZ210" s="827">
        <f t="shared" si="115"/>
        <v>56.222619362170477</v>
      </c>
      <c r="BA210" s="660">
        <f t="shared" si="112"/>
        <v>1.0287390881207668</v>
      </c>
      <c r="BB210" s="655">
        <v>43296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924">
        <f>1+[2]!Salcycl*Ksac</f>
        <v>1.0495315822307516</v>
      </c>
      <c r="BH210" s="1080">
        <f t="shared" si="113"/>
        <v>5.4441307443885346E-2</v>
      </c>
      <c r="BI210" s="11">
        <v>44392</v>
      </c>
      <c r="BJ210" s="801">
        <v>7.313095121076728E-3</v>
      </c>
      <c r="BK210" s="801">
        <v>1.7864865280800234E-2</v>
      </c>
      <c r="BL210" s="801">
        <v>3.3905661576048067E-2</v>
      </c>
      <c r="BM210" s="801">
        <v>5.4440519616544614E-2</v>
      </c>
      <c r="BN210" s="801">
        <v>7.5251688113936219E-2</v>
      </c>
      <c r="BO210" s="802">
        <v>9.3413518546246022E-2</v>
      </c>
      <c r="BP210" s="801">
        <v>0.11004573804442448</v>
      </c>
      <c r="BQ210" s="801">
        <v>0.12695524750757761</v>
      </c>
      <c r="BR210" s="801">
        <v>0.14541788236044662</v>
      </c>
      <c r="BS210" s="801">
        <v>0.16670808605372067</v>
      </c>
      <c r="BT210" s="801">
        <v>0.19043778792788793</v>
      </c>
      <c r="BW210" s="1136">
        <f>'2018'!R\Max</f>
        <v>0.97719636318692604</v>
      </c>
      <c r="BX210" s="1134">
        <f>'2019'!R\Max</f>
        <v>1.0287390881207668</v>
      </c>
      <c r="BY210" s="1134">
        <f>'2020'!R\Max</f>
        <v>0.83441537656667286</v>
      </c>
      <c r="BZ210" s="1134">
        <f>'2021'!R\Max</f>
        <v>0.53633302084485102</v>
      </c>
      <c r="CA210" s="1134">
        <f>'2022'!R\Max</f>
        <v>0.93548910716365452</v>
      </c>
      <c r="CB210" s="1134">
        <f>'2023'!R\Max</f>
        <v>0.93540875600187823</v>
      </c>
      <c r="CC210" s="1134">
        <f>'2024'!R\Max</f>
        <v>0.93532718288493799</v>
      </c>
      <c r="CD210" s="1134">
        <f>'2025'!R\Max</f>
        <v>0.93585266499138753</v>
      </c>
      <c r="CE210" s="1134">
        <f>'2026'!R\Max</f>
        <v>0.93575287441316302</v>
      </c>
      <c r="CF210" s="1135">
        <f>'2027'!R\Max</f>
        <v>0.93566253541822608</v>
      </c>
    </row>
    <row r="211" spans="1:84" s="6" customFormat="1" ht="11.25" x14ac:dyDescent="0.2">
      <c r="A211" s="11">
        <v>43297</v>
      </c>
      <c r="B211" s="380">
        <f>'2023'!Maxi_hp</f>
        <v>57.203978991704709</v>
      </c>
      <c r="C211" s="85">
        <f>'2023'!An_max</f>
        <v>2019</v>
      </c>
      <c r="D211" s="1087">
        <f t="shared" si="97"/>
        <v>1.0195322462193368</v>
      </c>
      <c r="E211" s="747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836">
        <f t="shared" si="100"/>
        <v>0.5</v>
      </c>
      <c r="J211" s="827">
        <f t="shared" si="101"/>
        <v>56.108062500063532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836">
        <f t="shared" si="105"/>
        <v>0.25</v>
      </c>
      <c r="AT211" s="853">
        <f t="shared" si="106"/>
        <v>56.09498046877561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836">
        <f t="shared" si="110"/>
        <v>0.75</v>
      </c>
      <c r="AY211" s="853">
        <f t="shared" si="111"/>
        <v>56.14232389162062</v>
      </c>
      <c r="AZ211" s="827">
        <f t="shared" si="115"/>
        <v>56.118652180198112</v>
      </c>
      <c r="BA211" s="660">
        <f t="shared" si="112"/>
        <v>1.0195322462193368</v>
      </c>
      <c r="BB211" s="655">
        <v>43297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924">
        <f>1+[2]!Salcycl*Ksac</f>
        <v>1.0496080358112205</v>
      </c>
      <c r="BH211" s="1080">
        <f t="shared" si="113"/>
        <v>5.3310595207185701E-2</v>
      </c>
      <c r="BI211" s="11">
        <v>44393</v>
      </c>
      <c r="BJ211" s="801">
        <v>7.0518123650871066E-3</v>
      </c>
      <c r="BK211" s="801">
        <v>1.7470454187374463E-2</v>
      </c>
      <c r="BL211" s="801">
        <v>3.3237709327742802E-2</v>
      </c>
      <c r="BM211" s="801">
        <v>5.3309828003371466E-2</v>
      </c>
      <c r="BN211" s="801">
        <v>7.3576207480684844E-2</v>
      </c>
      <c r="BO211" s="802">
        <v>9.1296397463046255E-2</v>
      </c>
      <c r="BP211" s="801">
        <v>0.10763891030142825</v>
      </c>
      <c r="BQ211" s="801">
        <v>0.12433161552859079</v>
      </c>
      <c r="BR211" s="801">
        <v>0.14264090995449327</v>
      </c>
      <c r="BS211" s="801">
        <v>0.16385646116031716</v>
      </c>
      <c r="BT211" s="801">
        <v>0.18755406644325323</v>
      </c>
      <c r="BW211" s="1136">
        <f>'2018'!R\Max</f>
        <v>0.4354233526231413</v>
      </c>
      <c r="BX211" s="1134">
        <f>'2019'!R\Max</f>
        <v>1.0195322462193368</v>
      </c>
      <c r="BY211" s="1134">
        <f>'2020'!R\Max</f>
        <v>0.36724511425760525</v>
      </c>
      <c r="BZ211" s="1134">
        <f>'2021'!R\Max</f>
        <v>0.80535603083583662</v>
      </c>
      <c r="CA211" s="1134">
        <f>'2022'!R\Max</f>
        <v>0.97313828197663943</v>
      </c>
      <c r="CB211" s="1134">
        <f>'2023'!R\Max</f>
        <v>0.97310399880685494</v>
      </c>
      <c r="CC211" s="1134">
        <f>'2024'!R\Max</f>
        <v>0.97306905490376916</v>
      </c>
      <c r="CD211" s="1134">
        <f>'2025'!R\Max</f>
        <v>0.97329232558018541</v>
      </c>
      <c r="CE211" s="1134">
        <f>'2026'!R\Max</f>
        <v>0.97325013955446227</v>
      </c>
      <c r="CF211" s="1135">
        <f>'2027'!R\Max</f>
        <v>0.97321192653774546</v>
      </c>
    </row>
    <row r="212" spans="1:84" s="6" customFormat="1" ht="11.25" x14ac:dyDescent="0.2">
      <c r="A212" s="11">
        <v>43298</v>
      </c>
      <c r="B212" s="380">
        <f>'2023'!Maxi_hp</f>
        <v>57.205914857920881</v>
      </c>
      <c r="C212" s="85">
        <f>'2023'!An_max</f>
        <v>2021</v>
      </c>
      <c r="D212" s="1087">
        <f t="shared" si="97"/>
        <v>1.0215241158608572</v>
      </c>
      <c r="E212" s="747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836">
        <f t="shared" si="100"/>
        <v>0.5714285714285714</v>
      </c>
      <c r="J212" s="827">
        <f t="shared" si="101"/>
        <v>56.000552478110023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836">
        <f t="shared" si="105"/>
        <v>0.21428571428571427</v>
      </c>
      <c r="AT212" s="853">
        <f t="shared" si="106"/>
        <v>55.988868167008533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836">
        <f t="shared" si="110"/>
        <v>0.7142857142857143</v>
      </c>
      <c r="AY212" s="853">
        <f t="shared" si="111"/>
        <v>56.0395336067171</v>
      </c>
      <c r="AZ212" s="827">
        <f t="shared" si="115"/>
        <v>56.014200886862817</v>
      </c>
      <c r="BA212" s="660">
        <f t="shared" si="112"/>
        <v>1.0215241158608572</v>
      </c>
      <c r="BB212" s="655">
        <v>43298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924">
        <f>1+[2]!Salcycl*Ksac</f>
        <v>1.0496757984372078</v>
      </c>
      <c r="BH212" s="1080">
        <f t="shared" si="113"/>
        <v>5.2126646737693128E-2</v>
      </c>
      <c r="BI212" s="11">
        <v>44394</v>
      </c>
      <c r="BJ212" s="801">
        <v>6.7866229641511747E-3</v>
      </c>
      <c r="BK212" s="801">
        <v>1.7058295711944522E-2</v>
      </c>
      <c r="BL212" s="801">
        <v>3.2531115188906751E-2</v>
      </c>
      <c r="BM212" s="801">
        <v>5.2125900466565157E-2</v>
      </c>
      <c r="BN212" s="801">
        <v>7.1839324190134654E-2</v>
      </c>
      <c r="BO212" s="802">
        <v>8.9114824189043415E-2</v>
      </c>
      <c r="BP212" s="801">
        <v>0.10515850168308499</v>
      </c>
      <c r="BQ212" s="801">
        <v>0.12162898281464669</v>
      </c>
      <c r="BR212" s="801">
        <v>0.13978428269370005</v>
      </c>
      <c r="BS212" s="801">
        <v>0.16092895503093962</v>
      </c>
      <c r="BT212" s="801">
        <v>0.18460042780872157</v>
      </c>
      <c r="BW212" s="1136">
        <f>'2018'!R\Max</f>
        <v>0.84196775829801895</v>
      </c>
      <c r="BX212" s="1134">
        <f>'2019'!R\Max</f>
        <v>0.89326136296898451</v>
      </c>
      <c r="BY212" s="1134">
        <f>'2020'!R\Max</f>
        <v>0.45393504690934244</v>
      </c>
      <c r="BZ212" s="1134">
        <f>'2021'!R\Max</f>
        <v>1.0215241158608572</v>
      </c>
      <c r="CA212" s="1134">
        <f>'2022'!R\Max</f>
        <v>0.97457270064827461</v>
      </c>
      <c r="CB212" s="1134">
        <f>'2023'!R\Max</f>
        <v>0.97454071840590284</v>
      </c>
      <c r="CC212" s="1134">
        <f>'2024'!R\Max</f>
        <v>0.97450798018762586</v>
      </c>
      <c r="CD212" s="1134">
        <f>'2025'!R\Max</f>
        <v>0.97471544859648251</v>
      </c>
      <c r="CE212" s="1134">
        <f>'2026'!R\Max</f>
        <v>0.97467644876076054</v>
      </c>
      <c r="CF212" s="1135">
        <f>'2027'!R\Max</f>
        <v>0.97464109438852209</v>
      </c>
    </row>
    <row r="213" spans="1:84" s="6" customFormat="1" ht="11.25" x14ac:dyDescent="0.2">
      <c r="A213" s="11">
        <v>43299</v>
      </c>
      <c r="B213" s="380">
        <f>'2023'!Maxi_hp</f>
        <v>55.44122686400182</v>
      </c>
      <c r="C213" s="85">
        <f>'2023'!An_max</f>
        <v>2022</v>
      </c>
      <c r="D213" s="1087">
        <f t="shared" si="97"/>
        <v>0.99192152152746105</v>
      </c>
      <c r="E213" s="747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836">
        <f t="shared" si="100"/>
        <v>0.6428571428571429</v>
      </c>
      <c r="J213" s="827">
        <f t="shared" si="101"/>
        <v>55.892755284337227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836">
        <f t="shared" si="105"/>
        <v>0.17857142857142858</v>
      </c>
      <c r="AT213" s="853">
        <f t="shared" si="106"/>
        <v>55.882782787550241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836">
        <f t="shared" si="110"/>
        <v>0.6785714285714286</v>
      </c>
      <c r="AY213" s="853">
        <f t="shared" si="111"/>
        <v>55.93592082755972</v>
      </c>
      <c r="AZ213" s="827">
        <f t="shared" si="115"/>
        <v>55.909351807554984</v>
      </c>
      <c r="BA213" s="660">
        <f t="shared" si="112"/>
        <v>0.99192152152746105</v>
      </c>
      <c r="BB213" s="655">
        <v>43299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924">
        <f>1+[2]!Salcycl*Ksac</f>
        <v>1.0497353815329027</v>
      </c>
      <c r="BH213" s="1080">
        <f t="shared" si="113"/>
        <v>5.0909294058029624E-2</v>
      </c>
      <c r="BI213" s="11">
        <v>44395</v>
      </c>
      <c r="BJ213" s="801">
        <v>6.5213076253935985E-3</v>
      </c>
      <c r="BK213" s="801">
        <v>1.6634866069626109E-2</v>
      </c>
      <c r="BL213" s="801">
        <v>3.1798246593275618E-2</v>
      </c>
      <c r="BM213" s="801">
        <v>5.0908568697027312E-2</v>
      </c>
      <c r="BN213" s="801">
        <v>7.0069632625694045E-2</v>
      </c>
      <c r="BO213" s="802">
        <v>8.6903437102070824E-2</v>
      </c>
      <c r="BP213" s="801">
        <v>0.1026446801731038</v>
      </c>
      <c r="BQ213" s="801">
        <v>0.11889085241842372</v>
      </c>
      <c r="BR213" s="801">
        <v>0.13689381718621987</v>
      </c>
      <c r="BS213" s="801">
        <v>0.15797134197368273</v>
      </c>
      <c r="BT213" s="801">
        <v>0.18162221672537343</v>
      </c>
      <c r="BW213" s="1136">
        <f>'2018'!R\Max</f>
        <v>0.78156421408562293</v>
      </c>
      <c r="BX213" s="1134">
        <f>'2019'!R\Max</f>
        <v>0.70838670032168882</v>
      </c>
      <c r="BY213" s="1134">
        <f>'2020'!R\Max</f>
        <v>0.47633588871147498</v>
      </c>
      <c r="BZ213" s="1134">
        <f>'2021'!R\Max</f>
        <v>0.95650936517812568</v>
      </c>
      <c r="CA213" s="1134">
        <f>'2022'!R\Max</f>
        <v>0.99192152152746105</v>
      </c>
      <c r="CB213" s="1134">
        <f>'2023'!R\Max</f>
        <v>0.99191135068938963</v>
      </c>
      <c r="CC213" s="1134">
        <f>'2024'!R\Max</f>
        <v>0.99190089150626337</v>
      </c>
      <c r="CD213" s="1134">
        <f>'2025'!R\Max</f>
        <v>0.99196661160616062</v>
      </c>
      <c r="CE213" s="1134">
        <f>'2026'!R\Max</f>
        <v>0.99195432524875782</v>
      </c>
      <c r="CF213" s="1135">
        <f>'2027'!R\Max</f>
        <v>0.99194317531789977</v>
      </c>
    </row>
    <row r="214" spans="1:84" s="6" customFormat="1" ht="11.25" x14ac:dyDescent="0.2">
      <c r="A214" s="11">
        <v>43300</v>
      </c>
      <c r="B214" s="380">
        <f>'2023'!Maxi_hp</f>
        <v>57.76277955645417</v>
      </c>
      <c r="C214" s="85">
        <f>'2023'!An_max</f>
        <v>2021</v>
      </c>
      <c r="D214" s="1087">
        <f t="shared" si="97"/>
        <v>1.035455719107637</v>
      </c>
      <c r="E214" s="747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836">
        <f t="shared" si="100"/>
        <v>0.7142857142857143</v>
      </c>
      <c r="J214" s="827">
        <f t="shared" si="101"/>
        <v>55.78488629744065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836">
        <f t="shared" si="105"/>
        <v>0.14285714285714285</v>
      </c>
      <c r="AT214" s="853">
        <f t="shared" si="106"/>
        <v>55.776845481060448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836">
        <f t="shared" si="110"/>
        <v>0.6428571428571429</v>
      </c>
      <c r="AY214" s="853">
        <f t="shared" si="111"/>
        <v>55.831537055197565</v>
      </c>
      <c r="AZ214" s="827">
        <f t="shared" si="115"/>
        <v>55.804191268129003</v>
      </c>
      <c r="BA214" s="660">
        <f t="shared" si="112"/>
        <v>1.035455719107637</v>
      </c>
      <c r="BB214" s="655">
        <v>43300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924">
        <f>1+[2]!Salcycl*Ksac</f>
        <v>1.0497872834426762</v>
      </c>
      <c r="BH214" s="1080">
        <f t="shared" si="113"/>
        <v>4.9658551983867621E-2</v>
      </c>
      <c r="BI214" s="11">
        <v>44396</v>
      </c>
      <c r="BJ214" s="801">
        <v>6.2558594613055518E-3</v>
      </c>
      <c r="BK214" s="801">
        <v>1.6200169393984071E-2</v>
      </c>
      <c r="BL214" s="801">
        <v>3.1039119444104285E-2</v>
      </c>
      <c r="BM214" s="801">
        <v>4.9657847510874979E-2</v>
      </c>
      <c r="BN214" s="801">
        <v>6.8267135858414166E-2</v>
      </c>
      <c r="BO214" s="802">
        <v>8.4662228258649205E-2</v>
      </c>
      <c r="BP214" s="801">
        <v>0.100097438649076</v>
      </c>
      <c r="BQ214" s="801">
        <v>0.11611722006982149</v>
      </c>
      <c r="BR214" s="801">
        <v>0.13396951229802009</v>
      </c>
      <c r="BS214" s="801">
        <v>0.15498362734445212</v>
      </c>
      <c r="BT214" s="801">
        <v>0.17861944674380692</v>
      </c>
      <c r="BW214" s="1136">
        <f>'2018'!R\Max</f>
        <v>0.98050800489711953</v>
      </c>
      <c r="BX214" s="1134">
        <f>'2019'!R\Max</f>
        <v>0.99358268427693741</v>
      </c>
      <c r="BY214" s="1134">
        <f>'2020'!R\Max</f>
        <v>1.0158941921774756</v>
      </c>
      <c r="BZ214" s="1134">
        <f>'2021'!R\Max</f>
        <v>1.035455719107637</v>
      </c>
      <c r="CA214" s="1134">
        <f>'2022'!R\Max</f>
        <v>0.67751007146170583</v>
      </c>
      <c r="CB214" s="1134">
        <f>'2023'!R\Max</f>
        <v>0.677237631650081</v>
      </c>
      <c r="CC214" s="1134">
        <f>'2024'!R\Max</f>
        <v>0.67695633204460215</v>
      </c>
      <c r="CD214" s="1134">
        <f>'2025'!R\Max</f>
        <v>0.67871245642797262</v>
      </c>
      <c r="CE214" s="1134">
        <f>'2026'!R\Max</f>
        <v>0.67838532943174235</v>
      </c>
      <c r="CF214" s="1135">
        <f>'2027'!R\Max</f>
        <v>0.67808833931283075</v>
      </c>
    </row>
    <row r="215" spans="1:84" s="6" customFormat="1" ht="11.25" x14ac:dyDescent="0.2">
      <c r="A215" s="11">
        <v>43301</v>
      </c>
      <c r="B215" s="380">
        <f>'2023'!Maxi_hp</f>
        <v>55.682250887635263</v>
      </c>
      <c r="C215" s="85">
        <f>'2023'!An_max</f>
        <v>2020</v>
      </c>
      <c r="D215" s="1087">
        <f t="shared" si="97"/>
        <v>1.0000914197315955</v>
      </c>
      <c r="E215" s="747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836">
        <f t="shared" si="100"/>
        <v>0.7857142857142857</v>
      </c>
      <c r="J215" s="827">
        <f t="shared" si="101"/>
        <v>55.677160896530097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836">
        <f t="shared" si="105"/>
        <v>0.10714285714285714</v>
      </c>
      <c r="AT215" s="853">
        <f t="shared" si="106"/>
        <v>55.671177398488261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836">
        <f t="shared" si="110"/>
        <v>0.6071428571428571</v>
      </c>
      <c r="AY215" s="853">
        <f t="shared" si="111"/>
        <v>55.726433789966222</v>
      </c>
      <c r="AZ215" s="827">
        <f t="shared" si="115"/>
        <v>55.698805594227238</v>
      </c>
      <c r="BA215" s="660">
        <f t="shared" si="112"/>
        <v>1.0000914197315955</v>
      </c>
      <c r="BB215" s="655">
        <v>43301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924">
        <f>1+[2]!Salcycl*Ksac</f>
        <v>1.0498319872144657</v>
      </c>
      <c r="BH215" s="1080">
        <f t="shared" si="113"/>
        <v>4.8374429398751626E-2</v>
      </c>
      <c r="BI215" s="11">
        <v>44397</v>
      </c>
      <c r="BJ215" s="801">
        <v>5.9902709255146716E-3</v>
      </c>
      <c r="BK215" s="801">
        <v>1.5754207786380012E-2</v>
      </c>
      <c r="BL215" s="801">
        <v>3.0253745528219574E-2</v>
      </c>
      <c r="BM215" s="801">
        <v>4.8373745792146421E-2</v>
      </c>
      <c r="BN215" s="801">
        <v>6.6431829729176203E-2</v>
      </c>
      <c r="BO215" s="802">
        <v>8.239118166899502E-2</v>
      </c>
      <c r="BP215" s="801">
        <v>9.7516760882582432E-2</v>
      </c>
      <c r="BQ215" s="801">
        <v>0.11330807165659519</v>
      </c>
      <c r="BR215" s="801">
        <v>0.13101135682194884</v>
      </c>
      <c r="BS215" s="801">
        <v>0.15196580658404699</v>
      </c>
      <c r="BT215" s="801">
        <v>0.17559212192901927</v>
      </c>
      <c r="BW215" s="1136">
        <f>'2018'!R\Max</f>
        <v>0.42920748932266023</v>
      </c>
      <c r="BX215" s="1134">
        <f>'2019'!R\Max</f>
        <v>0.50694321887887905</v>
      </c>
      <c r="BY215" s="1134">
        <f>'2020'!R\Max</f>
        <v>1.0000914197315955</v>
      </c>
      <c r="BZ215" s="1134">
        <f>'2021'!R\Max</f>
        <v>0.8875426605386737</v>
      </c>
      <c r="CA215" s="1134">
        <f>'2022'!R\Max</f>
        <v>0.77332194769502083</v>
      </c>
      <c r="CB215" s="1134">
        <f>'2023'!R\Max</f>
        <v>0.77310725239637312</v>
      </c>
      <c r="CC215" s="1134">
        <f>'2024'!R\Max</f>
        <v>0.77288437288666223</v>
      </c>
      <c r="CD215" s="1134">
        <f>'2025'!R\Max</f>
        <v>0.77426261772380767</v>
      </c>
      <c r="CE215" s="1134">
        <f>'2026'!R\Max</f>
        <v>0.77400757378435558</v>
      </c>
      <c r="CF215" s="1135">
        <f>'2027'!R\Max</f>
        <v>0.77377558717455475</v>
      </c>
    </row>
    <row r="216" spans="1:84" s="6" customFormat="1" ht="11.25" x14ac:dyDescent="0.2">
      <c r="A216" s="11">
        <v>43302</v>
      </c>
      <c r="B216" s="380">
        <f>'2023'!Maxi_hp</f>
        <v>53.809875905535357</v>
      </c>
      <c r="C216" s="85">
        <f>'2023'!An_max</f>
        <v>2022</v>
      </c>
      <c r="D216" s="1087" t="str">
        <f t="shared" si="97"/>
        <v/>
      </c>
      <c r="E216" s="747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836">
        <f t="shared" si="100"/>
        <v>0.8571428571428571</v>
      </c>
      <c r="J216" s="827">
        <f t="shared" si="101"/>
        <v>55.56979446066002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836">
        <f t="shared" si="105"/>
        <v>7.1428571428571425E-2</v>
      </c>
      <c r="AT216" s="853">
        <f t="shared" si="106"/>
        <v>55.565899690287189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836">
        <f t="shared" si="110"/>
        <v>0.5714285714285714</v>
      </c>
      <c r="AY216" s="853">
        <f t="shared" si="111"/>
        <v>55.620662532760093</v>
      </c>
      <c r="AZ216" s="827">
        <f t="shared" si="115"/>
        <v>55.593281111523638</v>
      </c>
      <c r="BA216" s="660">
        <f t="shared" si="112"/>
        <v>0.96832958314483997</v>
      </c>
      <c r="BB216" s="655">
        <v>43302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924">
        <f>1+[2]!Salcycl*Ksac</f>
        <v>1.0498699585727433</v>
      </c>
      <c r="BH216" s="1080">
        <f t="shared" si="113"/>
        <v>4.7056929046607784E-2</v>
      </c>
      <c r="BI216" s="11">
        <v>44398</v>
      </c>
      <c r="BJ216" s="801">
        <v>5.724533810336687E-3</v>
      </c>
      <c r="BK216" s="801">
        <v>1.5296981245957379E-2</v>
      </c>
      <c r="BL216" s="801">
        <v>2.9442132354504852E-2</v>
      </c>
      <c r="BM216" s="801">
        <v>4.7056266285310712E-2</v>
      </c>
      <c r="BN216" s="801">
        <v>6.4563702640678858E-2</v>
      </c>
      <c r="BO216" s="802">
        <v>8.0090273103360976E-2</v>
      </c>
      <c r="BP216" s="801">
        <v>9.4902621321531419E-2</v>
      </c>
      <c r="BQ216" s="801">
        <v>0.11046338299193847</v>
      </c>
      <c r="BR216" s="801">
        <v>0.1280193292528734</v>
      </c>
      <c r="BS216" s="801">
        <v>0.14891786501320006</v>
      </c>
      <c r="BT216" s="801">
        <v>0.17254023668598562</v>
      </c>
      <c r="BW216" s="1136">
        <f>'2018'!R\Max</f>
        <v>0.56031467344981811</v>
      </c>
      <c r="BX216" s="1134">
        <f>'2019'!R\Max</f>
        <v>0.79006114562534213</v>
      </c>
      <c r="BY216" s="1134">
        <f>'2020'!R\Max</f>
        <v>0.90957551842010054</v>
      </c>
      <c r="BZ216" s="1134">
        <f>'2021'!R\Max</f>
        <v>0.8269106566274077</v>
      </c>
      <c r="CA216" s="1134">
        <f>'2022'!R\Max</f>
        <v>0.96832958314483997</v>
      </c>
      <c r="CB216" s="1134">
        <f>'2023'!R\Max</f>
        <v>0.96829271246289117</v>
      </c>
      <c r="CC216" s="1134">
        <f>'2024'!R\Max</f>
        <v>0.96825420675762008</v>
      </c>
      <c r="CD216" s="1134">
        <f>'2025'!R\Max</f>
        <v>0.96848986418560801</v>
      </c>
      <c r="CE216" s="1134">
        <f>'2026'!R\Max</f>
        <v>0.96844658325022792</v>
      </c>
      <c r="CF216" s="1135">
        <f>'2027'!R\Max</f>
        <v>0.96840711770952115</v>
      </c>
    </row>
    <row r="217" spans="1:84" s="6" customFormat="1" ht="11.25" x14ac:dyDescent="0.2">
      <c r="A217" s="11">
        <v>43303</v>
      </c>
      <c r="B217" s="380">
        <f>'2023'!Maxi_hp</f>
        <v>54.507643131176636</v>
      </c>
      <c r="C217" s="85">
        <f>'2023'!An_max</f>
        <v>2021</v>
      </c>
      <c r="D217" s="1087">
        <f t="shared" si="97"/>
        <v>0.98277483733610327</v>
      </c>
      <c r="E217" s="747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836">
        <f t="shared" si="100"/>
        <v>0.9285714285714286</v>
      </c>
      <c r="J217" s="827">
        <f t="shared" si="101"/>
        <v>55.46300236880743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836">
        <f t="shared" si="105"/>
        <v>3.5714285714285712E-2</v>
      </c>
      <c r="AT217" s="853">
        <f t="shared" si="106"/>
        <v>55.461133507258332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836">
        <f t="shared" si="110"/>
        <v>0.5357142857142857</v>
      </c>
      <c r="AY217" s="853">
        <f t="shared" si="111"/>
        <v>55.514274783851576</v>
      </c>
      <c r="AZ217" s="827">
        <f t="shared" si="115"/>
        <v>55.487704145554957</v>
      </c>
      <c r="BA217" s="660">
        <f t="shared" si="112"/>
        <v>0.98277483733610327</v>
      </c>
      <c r="BB217" s="655">
        <v>43303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924">
        <f>1+[2]!Salcycl*Ksac</f>
        <v>1.0499016440905282</v>
      </c>
      <c r="BH217" s="1080">
        <f t="shared" si="113"/>
        <v>4.5706047324589827E-2</v>
      </c>
      <c r="BI217" s="11">
        <v>44399</v>
      </c>
      <c r="BJ217" s="801">
        <v>5.4586392443735409E-3</v>
      </c>
      <c r="BK217" s="801">
        <v>1.4828487599737435E-2</v>
      </c>
      <c r="BL217" s="801">
        <v>2.8604282992594054E-2</v>
      </c>
      <c r="BM217" s="801">
        <v>4.5705405388113685E-2</v>
      </c>
      <c r="BN217" s="801">
        <v>6.2662735349890766E-2</v>
      </c>
      <c r="BO217" s="802">
        <v>7.7759469898953451E-2</v>
      </c>
      <c r="BP217" s="801">
        <v>9.2254984873174503E-2</v>
      </c>
      <c r="BQ217" s="801">
        <v>0.10758311958284517</v>
      </c>
      <c r="BR217" s="801">
        <v>0.12499339756370688</v>
      </c>
      <c r="BS217" s="801">
        <v>0.14583977762862874</v>
      </c>
      <c r="BT217" s="801">
        <v>0.16946377558638651</v>
      </c>
      <c r="BW217" s="1136">
        <f>'2018'!R\Max</f>
        <v>0.93376365152997287</v>
      </c>
      <c r="BX217" s="1134">
        <f>'2019'!R\Max</f>
        <v>0.87029972346850182</v>
      </c>
      <c r="BY217" s="1134">
        <f>'2020'!R\Max</f>
        <v>0.94945686282855069</v>
      </c>
      <c r="BZ217" s="1134">
        <f>'2021'!R\Max</f>
        <v>0.98277483733610327</v>
      </c>
      <c r="CA217" s="1134">
        <f>'2022'!R\Max</f>
        <v>0.73950213234637674</v>
      </c>
      <c r="CB217" s="1134">
        <f>'2023'!R\Max</f>
        <v>0.73927506688242561</v>
      </c>
      <c r="CC217" s="1134">
        <f>'2024'!R\Max</f>
        <v>0.73903667397239448</v>
      </c>
      <c r="CD217" s="1134">
        <f>'2025'!R\Max</f>
        <v>0.74048416614876922</v>
      </c>
      <c r="CE217" s="1134">
        <f>'2026'!R\Max</f>
        <v>0.74021970698991646</v>
      </c>
      <c r="CF217" s="1135">
        <f>'2027'!R\Max</f>
        <v>0.73997815458987615</v>
      </c>
    </row>
    <row r="218" spans="1:84" s="6" customFormat="1" ht="11.25" x14ac:dyDescent="0.2">
      <c r="A218" s="11">
        <v>43304</v>
      </c>
      <c r="B218" s="380">
        <f>'2023'!Maxi_hp</f>
        <v>56.297408043792899</v>
      </c>
      <c r="C218" s="85">
        <f>'2023'!An_max</f>
        <v>2018</v>
      </c>
      <c r="D218" s="1087">
        <f t="shared" si="97"/>
        <v>1.0169880601151242</v>
      </c>
      <c r="E218" s="835">
        <f>AB$13/10</f>
        <v>55.356999999999992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836">
        <f t="shared" si="100"/>
        <v>1</v>
      </c>
      <c r="J218" s="827">
        <f t="shared" si="101"/>
        <v>55.356999999999971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836">
        <f t="shared" si="105"/>
        <v>0</v>
      </c>
      <c r="AT218" s="853">
        <f t="shared" si="106"/>
        <v>55.357000000029799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836">
        <f t="shared" si="110"/>
        <v>0.5</v>
      </c>
      <c r="AY218" s="853">
        <f t="shared" si="111"/>
        <v>55.407322044158356</v>
      </c>
      <c r="AZ218" s="827">
        <f t="shared" si="115"/>
        <v>55.382161022094081</v>
      </c>
      <c r="BA218" s="660">
        <f t="shared" si="112"/>
        <v>1.0169880601151242</v>
      </c>
      <c r="BB218" s="655">
        <v>43304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924">
        <f>1+[2]!Salcycl*Ksac</f>
        <v>1.0499274695678706</v>
      </c>
      <c r="BH218" s="1080">
        <f t="shared" si="113"/>
        <v>4.43217740769433E-2</v>
      </c>
      <c r="BI218" s="11">
        <v>44400</v>
      </c>
      <c r="BJ218" s="801">
        <v>5.1925776902329666E-3</v>
      </c>
      <c r="BK218" s="801">
        <v>1.434872243304554E-2</v>
      </c>
      <c r="BL218" s="801">
        <v>2.7740195912203152E-2</v>
      </c>
      <c r="BM218" s="801">
        <v>4.4321152945442144E-2</v>
      </c>
      <c r="BN218" s="801">
        <v>6.0728900761898887E-2</v>
      </c>
      <c r="BO218" s="802">
        <v>7.5398730768581501E-2</v>
      </c>
      <c r="BP218" s="801">
        <v>8.9573806689176971E-2</v>
      </c>
      <c r="BQ218" s="801">
        <v>0.10466723640086706</v>
      </c>
      <c r="BR218" s="801">
        <v>0.1219335189842176</v>
      </c>
      <c r="BS218" s="801">
        <v>0.14273150890233344</v>
      </c>
      <c r="BT218" s="801">
        <v>0.16636271319910786</v>
      </c>
      <c r="BW218" s="1136">
        <f>'2018'!R\Max</f>
        <v>1.0169880601151242</v>
      </c>
      <c r="BX218" s="1134">
        <f>'2019'!R\Max</f>
        <v>0.96576249869235176</v>
      </c>
      <c r="BY218" s="1134">
        <f>'2020'!R\Max</f>
        <v>0.90261105430361543</v>
      </c>
      <c r="BZ218" s="1134">
        <f>'2021'!R\Max</f>
        <v>0.83313110148702363</v>
      </c>
      <c r="CA218" s="1134">
        <f>'2022'!R\Max</f>
        <v>0.8271568169535195</v>
      </c>
      <c r="CB218" s="1134">
        <f>'2023'!R\Max</f>
        <v>0.82699166981813454</v>
      </c>
      <c r="CC218" s="1134">
        <f>'2024'!R\Max</f>
        <v>0.8268171639564732</v>
      </c>
      <c r="CD218" s="1134">
        <f>'2025'!R\Max</f>
        <v>0.82786599232332736</v>
      </c>
      <c r="CE218" s="1134">
        <f>'2026'!R\Max</f>
        <v>0.82767581625573061</v>
      </c>
      <c r="CF218" s="1135">
        <f>'2027'!R\Max</f>
        <v>0.8275016062926619</v>
      </c>
    </row>
    <row r="219" spans="1:84" s="6" customFormat="1" ht="11.25" x14ac:dyDescent="0.2">
      <c r="A219" s="11">
        <v>43305</v>
      </c>
      <c r="B219" s="380">
        <f>'2023'!Maxi_hp</f>
        <v>54.267402568622785</v>
      </c>
      <c r="C219" s="85">
        <f>'2023'!An_max</f>
        <v>2022</v>
      </c>
      <c r="D219" s="1087">
        <f t="shared" si="97"/>
        <v>0.98218525245618193</v>
      </c>
      <c r="E219" s="747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836">
        <f t="shared" si="100"/>
        <v>0.9285714285714286</v>
      </c>
      <c r="J219" s="827">
        <f t="shared" si="101"/>
        <v>55.251697612965131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836">
        <f t="shared" si="105"/>
        <v>3.5714285714285712E-2</v>
      </c>
      <c r="AT219" s="853">
        <f t="shared" si="106"/>
        <v>55.253226667552795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836">
        <f t="shared" si="110"/>
        <v>0.4642857142857143</v>
      </c>
      <c r="AY219" s="853">
        <f t="shared" si="111"/>
        <v>55.299855814225566</v>
      </c>
      <c r="AZ219" s="827">
        <f t="shared" si="115"/>
        <v>55.276541240889181</v>
      </c>
      <c r="BA219" s="660">
        <f t="shared" si="112"/>
        <v>0.98218525245618193</v>
      </c>
      <c r="BB219" s="655">
        <v>43305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924">
        <f>1+[2]!Salcycl*Ksac</f>
        <v>1.0499478386221732</v>
      </c>
      <c r="BH219" s="1080">
        <f t="shared" si="113"/>
        <v>4.2904023104373384E-2</v>
      </c>
      <c r="BI219" s="11">
        <v>44401</v>
      </c>
      <c r="BJ219" s="801">
        <v>4.9263309868432907E-3</v>
      </c>
      <c r="BK219" s="801">
        <v>1.3857656641595098E-2</v>
      </c>
      <c r="BL219" s="801">
        <v>2.6849821463442697E-2</v>
      </c>
      <c r="BM219" s="801">
        <v>4.2903422759661212E-2</v>
      </c>
      <c r="BN219" s="801">
        <v>5.8762068830545765E-2</v>
      </c>
      <c r="BO219" s="802">
        <v>7.3007887710927866E-2</v>
      </c>
      <c r="BP219" s="801">
        <v>8.685889168472867E-2</v>
      </c>
      <c r="BQ219" s="801">
        <v>0.10171551339540046</v>
      </c>
      <c r="BR219" s="801">
        <v>0.11883944786945526</v>
      </c>
      <c r="BS219" s="801">
        <v>0.13959278715660042</v>
      </c>
      <c r="BT219" s="801">
        <v>0.16323675031456281</v>
      </c>
      <c r="BW219" s="1136">
        <f>'2018'!R\Max</f>
        <v>0.84585840145485258</v>
      </c>
      <c r="BX219" s="1134">
        <f>'2019'!R\Max</f>
        <v>0.97050656169592753</v>
      </c>
      <c r="BY219" s="1134">
        <f>'2020'!R\Max</f>
        <v>0.89835723406645163</v>
      </c>
      <c r="BZ219" s="1134">
        <f>'2021'!R\Max</f>
        <v>0.49978515254993211</v>
      </c>
      <c r="CA219" s="1134">
        <f>'2022'!R\Max</f>
        <v>0.98218525245618193</v>
      </c>
      <c r="CB219" s="1134">
        <f>'2023'!R\Max</f>
        <v>0.98216546000097182</v>
      </c>
      <c r="CC219" s="1134">
        <f>'2024'!R\Max</f>
        <v>0.98214439918056995</v>
      </c>
      <c r="CD219" s="1134">
        <f>'2025'!R\Max</f>
        <v>0.98226961128748769</v>
      </c>
      <c r="CE219" s="1134">
        <f>'2026'!R\Max</f>
        <v>0.98224709663371201</v>
      </c>
      <c r="CF219" s="1135">
        <f>'2027'!R\Max</f>
        <v>0.98222640016171459</v>
      </c>
    </row>
    <row r="220" spans="1:84" s="6" customFormat="1" ht="11.25" x14ac:dyDescent="0.2">
      <c r="A220" s="11">
        <v>43306</v>
      </c>
      <c r="B220" s="380">
        <f>'2023'!Maxi_hp</f>
        <v>54.530894378058939</v>
      </c>
      <c r="C220" s="85">
        <f>'2023'!An_max</f>
        <v>2018</v>
      </c>
      <c r="D220" s="1087">
        <f t="shared" si="97"/>
        <v>0.98883170337890869</v>
      </c>
      <c r="E220" s="747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836">
        <f t="shared" si="100"/>
        <v>0.8571428571428571</v>
      </c>
      <c r="J220" s="827">
        <f t="shared" si="101"/>
        <v>55.146790087456715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836">
        <f t="shared" si="105"/>
        <v>7.1428571428571425E-2</v>
      </c>
      <c r="AT220" s="853">
        <f t="shared" si="106"/>
        <v>55.149431810295219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836">
        <f t="shared" si="110"/>
        <v>0.42857142857142855</v>
      </c>
      <c r="AY220" s="853">
        <f t="shared" si="111"/>
        <v>55.191927594624985</v>
      </c>
      <c r="AZ220" s="827">
        <f t="shared" si="115"/>
        <v>55.170679702460106</v>
      </c>
      <c r="BA220" s="660">
        <f t="shared" si="112"/>
        <v>0.98883170337890869</v>
      </c>
      <c r="BB220" s="655">
        <v>43306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924">
        <f>1+[2]!Salcycl*Ksac</f>
        <v>1.0499631314936204</v>
      </c>
      <c r="BH220" s="1080">
        <f t="shared" si="113"/>
        <v>4.1455023346521888E-2</v>
      </c>
      <c r="BI220" s="11">
        <v>44402</v>
      </c>
      <c r="BJ220" s="801">
        <v>4.6633359421214739E-3</v>
      </c>
      <c r="BK220" s="801">
        <v>1.3357665540019525E-2</v>
      </c>
      <c r="BL220" s="801">
        <v>2.5935169625626087E-2</v>
      </c>
      <c r="BM220" s="801">
        <v>4.1454443744842008E-2</v>
      </c>
      <c r="BN220" s="801">
        <v>5.6765143942349307E-2</v>
      </c>
      <c r="BO220" s="802">
        <v>7.0589624636346937E-2</v>
      </c>
      <c r="BP220" s="801">
        <v>8.4113277745737916E-2</v>
      </c>
      <c r="BQ220" s="801">
        <v>9.8732483764483167E-2</v>
      </c>
      <c r="BR220" s="801">
        <v>0.11571807849766451</v>
      </c>
      <c r="BS220" s="801">
        <v>0.13643478108984666</v>
      </c>
      <c r="BT220" s="801">
        <v>0.16010240411507962</v>
      </c>
      <c r="BW220" s="1136">
        <f>'2018'!R\Max</f>
        <v>0.98883170337890869</v>
      </c>
      <c r="BX220" s="1134">
        <f>'2019'!R\Max</f>
        <v>0.98149219369647012</v>
      </c>
      <c r="BY220" s="1134">
        <f>'2020'!R\Max</f>
        <v>0.98695839591464574</v>
      </c>
      <c r="BZ220" s="1134">
        <f>'2021'!R\Max</f>
        <v>0.69239524559395249</v>
      </c>
      <c r="CA220" s="1134">
        <f>'2022'!R\Max</f>
        <v>0.5044853020669412</v>
      </c>
      <c r="CB220" s="1134">
        <f>'2023'!R\Max</f>
        <v>0.50420882606334749</v>
      </c>
      <c r="CC220" s="1134">
        <f>'2024'!R\Max</f>
        <v>0.50391285451019829</v>
      </c>
      <c r="CD220" s="1134">
        <f>'2025'!R\Max</f>
        <v>0.50565924181118505</v>
      </c>
      <c r="CE220" s="1134">
        <f>'2026'!R\Max</f>
        <v>0.50534682670245368</v>
      </c>
      <c r="CF220" s="1135">
        <f>'2027'!R\Max</f>
        <v>0.50505896234896808</v>
      </c>
    </row>
    <row r="221" spans="1:84" s="6" customFormat="1" ht="11.25" x14ac:dyDescent="0.2">
      <c r="A221" s="11">
        <v>43307</v>
      </c>
      <c r="B221" s="380">
        <f>'2023'!Maxi_hp</f>
        <v>54.739727703954557</v>
      </c>
      <c r="C221" s="85">
        <f>'2023'!An_max</f>
        <v>2020</v>
      </c>
      <c r="D221" s="1087">
        <f t="shared" si="97"/>
        <v>0.99450526693500252</v>
      </c>
      <c r="E221" s="747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836">
        <f t="shared" si="100"/>
        <v>0.7857142857142857</v>
      </c>
      <c r="J221" s="827">
        <f t="shared" si="101"/>
        <v>55.042169733960954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836">
        <f t="shared" si="105"/>
        <v>0.10714285714285714</v>
      </c>
      <c r="AT221" s="853">
        <f t="shared" si="106"/>
        <v>55.045572781704166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836">
        <f t="shared" si="110"/>
        <v>0.39285714285714285</v>
      </c>
      <c r="AY221" s="853">
        <f t="shared" si="111"/>
        <v>55.08358888606142</v>
      </c>
      <c r="AZ221" s="827">
        <f t="shared" si="115"/>
        <v>55.064580833882793</v>
      </c>
      <c r="BA221" s="660">
        <f t="shared" si="112"/>
        <v>0.99450526693500252</v>
      </c>
      <c r="BB221" s="655">
        <v>43307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924">
        <f>1+[2]!Salcycl*Ksac</f>
        <v>1.0499737040668844</v>
      </c>
      <c r="BH221" s="1080">
        <f t="shared" si="113"/>
        <v>4.0004925129826299E-2</v>
      </c>
      <c r="BI221" s="11">
        <v>44403</v>
      </c>
      <c r="BJ221" s="801">
        <v>4.4050879611485681E-3</v>
      </c>
      <c r="BK221" s="801">
        <v>1.2859211894548243E-2</v>
      </c>
      <c r="BL221" s="801">
        <v>2.502047752145313E-2</v>
      </c>
      <c r="BM221" s="801">
        <v>4.0004366235375101E-2</v>
      </c>
      <c r="BN221" s="801">
        <v>5.4768066344322873E-2</v>
      </c>
      <c r="BO221" s="802">
        <v>6.8168656161612121E-2</v>
      </c>
      <c r="BP221" s="801">
        <v>8.1364768030510556E-2</v>
      </c>
      <c r="BQ221" s="801">
        <v>9.5748004949744545E-2</v>
      </c>
      <c r="BR221" s="801">
        <v>0.11260020869769703</v>
      </c>
      <c r="BS221" s="801">
        <v>0.13328784729546739</v>
      </c>
      <c r="BT221" s="801">
        <v>0.1569894350524853</v>
      </c>
      <c r="BW221" s="1136">
        <f>'2018'!R\Max</f>
        <v>0.98891085954415969</v>
      </c>
      <c r="BX221" s="1134">
        <f>'2019'!R\Max</f>
        <v>0.3302606951528041</v>
      </c>
      <c r="BY221" s="1134">
        <f>'2020'!R\Max</f>
        <v>0.99450526693500252</v>
      </c>
      <c r="BZ221" s="1134">
        <f>'2021'!R\Max</f>
        <v>0.61385945689287047</v>
      </c>
      <c r="CA221" s="1134">
        <f>'2022'!R\Max</f>
        <v>0.96347921452385865</v>
      </c>
      <c r="CB221" s="1134">
        <f>'2023'!R\Max</f>
        <v>0.96344114892652843</v>
      </c>
      <c r="CC221" s="1134">
        <f>'2024'!R\Max</f>
        <v>0.96340004622209274</v>
      </c>
      <c r="CD221" s="1134">
        <f>'2025'!R\Max</f>
        <v>0.96363929828890815</v>
      </c>
      <c r="CE221" s="1134">
        <f>'2026'!R\Max</f>
        <v>0.96359696446529697</v>
      </c>
      <c r="CF221" s="1135">
        <f>'2027'!R\Max</f>
        <v>0.96355777138151444</v>
      </c>
    </row>
    <row r="222" spans="1:84" s="6" customFormat="1" ht="11.25" x14ac:dyDescent="0.2">
      <c r="A222" s="11">
        <v>43308</v>
      </c>
      <c r="B222" s="380">
        <f>'2023'!Maxi_hp</f>
        <v>57.435524145441832</v>
      </c>
      <c r="C222" s="85">
        <f>'2023'!An_max</f>
        <v>2023</v>
      </c>
      <c r="D222" s="1087">
        <f t="shared" si="97"/>
        <v>1.0454659363283156</v>
      </c>
      <c r="E222" s="747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836">
        <f t="shared" si="100"/>
        <v>0.7142857142857143</v>
      </c>
      <c r="J222" s="827">
        <f t="shared" si="101"/>
        <v>54.937728862937263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836">
        <f t="shared" si="105"/>
        <v>0.14285714285714285</v>
      </c>
      <c r="AT222" s="853">
        <f t="shared" si="106"/>
        <v>54.941606935140285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836">
        <f t="shared" si="110"/>
        <v>0.35714285714285715</v>
      </c>
      <c r="AY222" s="853">
        <f t="shared" si="111"/>
        <v>54.974891189203063</v>
      </c>
      <c r="AZ222" s="827">
        <f t="shared" si="115"/>
        <v>54.958249062171674</v>
      </c>
      <c r="BA222" s="660">
        <f t="shared" si="112"/>
        <v>1.0454659363283156</v>
      </c>
      <c r="BB222" s="655">
        <v>43308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924">
        <f>1+[2]!Salcycl*Ksac</f>
        <v>1.0499798871082027</v>
      </c>
      <c r="BH222" s="1080">
        <f t="shared" si="113"/>
        <v>3.8553657521953076E-2</v>
      </c>
      <c r="BI222" s="11">
        <v>44404</v>
      </c>
      <c r="BJ222" s="801">
        <v>4.1515719853219904E-3</v>
      </c>
      <c r="BK222" s="801">
        <v>1.2362270335782133E-2</v>
      </c>
      <c r="BL222" s="801">
        <v>2.4105700045475787E-2</v>
      </c>
      <c r="BM222" s="801">
        <v>3.8553119299969775E-2</v>
      </c>
      <c r="BN222" s="801">
        <v>5.2770737557559226E-2</v>
      </c>
      <c r="BO222" s="802">
        <v>6.5744864028584163E-2</v>
      </c>
      <c r="BP222" s="801">
        <v>7.8613227006119515E-2</v>
      </c>
      <c r="BQ222" s="801">
        <v>9.2761926516464019E-2</v>
      </c>
      <c r="BR222" s="801">
        <v>0.10948567437126333</v>
      </c>
      <c r="BS222" s="801">
        <v>0.13015180949519822</v>
      </c>
      <c r="BT222" s="801">
        <v>0.15389765461394198</v>
      </c>
      <c r="BW222" s="1136">
        <f>'2018'!R\Max</f>
        <v>0.9133408565394604</v>
      </c>
      <c r="BX222" s="1134">
        <f>'2019'!R\Max</f>
        <v>0.21692388966986706</v>
      </c>
      <c r="BY222" s="1134">
        <f>'2020'!R\Max</f>
        <v>0.7961305217392336</v>
      </c>
      <c r="BZ222" s="1134">
        <f>'2021'!R\Max</f>
        <v>0.93332675156813949</v>
      </c>
      <c r="CA222" s="1134">
        <f>'2022'!R\Max</f>
        <v>1.0454659363283154</v>
      </c>
      <c r="CB222" s="1134">
        <f>'2023'!R\Max</f>
        <v>1.0454659363283156</v>
      </c>
      <c r="CC222" s="1134">
        <f>'2024'!R\Max</f>
        <v>1.0454659363283154</v>
      </c>
      <c r="CD222" s="1134">
        <f>'2025'!R\Max</f>
        <v>1.0454659363283154</v>
      </c>
      <c r="CE222" s="1134">
        <f>'2026'!R\Max</f>
        <v>1.0454659363283154</v>
      </c>
      <c r="CF222" s="1135">
        <f>'2027'!R\Max</f>
        <v>1.0454659363283154</v>
      </c>
    </row>
    <row r="223" spans="1:84" s="6" customFormat="1" ht="11.25" x14ac:dyDescent="0.2">
      <c r="A223" s="11">
        <v>43309</v>
      </c>
      <c r="B223" s="380">
        <f>'2023'!Maxi_hp</f>
        <v>52.534108463708804</v>
      </c>
      <c r="C223" s="85">
        <f>'2023'!An_max</f>
        <v>2020</v>
      </c>
      <c r="D223" s="1087" t="str">
        <f t="shared" si="97"/>
        <v/>
      </c>
      <c r="E223" s="747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836">
        <f t="shared" si="100"/>
        <v>0.6428571428571429</v>
      </c>
      <c r="J223" s="827">
        <f t="shared" si="101"/>
        <v>54.83335978495036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836">
        <f t="shared" si="105"/>
        <v>0.17857142857142858</v>
      </c>
      <c r="AT223" s="853">
        <f t="shared" si="106"/>
        <v>54.837491624067262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836">
        <f t="shared" si="110"/>
        <v>0.32142857142857145</v>
      </c>
      <c r="AY223" s="853">
        <f t="shared" si="111"/>
        <v>54.865886004482</v>
      </c>
      <c r="AZ223" s="827">
        <f t="shared" si="115"/>
        <v>54.851688814274631</v>
      </c>
      <c r="BA223" s="660">
        <f t="shared" si="112"/>
        <v>0.95806838518998405</v>
      </c>
      <c r="BB223" s="655">
        <v>43309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924">
        <f>1+[2]!Salcycl*Ksac</f>
        <v>1.0499819857148778</v>
      </c>
      <c r="BH223" s="1080">
        <f t="shared" si="113"/>
        <v>3.710115118982607E-2</v>
      </c>
      <c r="BI223" s="11">
        <v>44405</v>
      </c>
      <c r="BJ223" s="801">
        <v>3.9027736470885034E-3</v>
      </c>
      <c r="BK223" s="801">
        <v>1.1866816201218046E-2</v>
      </c>
      <c r="BL223" s="801">
        <v>2.3190793154460421E-2</v>
      </c>
      <c r="BM223" s="801">
        <v>3.7100633606565687E-2</v>
      </c>
      <c r="BN223" s="801">
        <v>5.0773061416847974E-2</v>
      </c>
      <c r="BO223" s="802">
        <v>6.3318132576232047E-2</v>
      </c>
      <c r="BP223" s="801">
        <v>7.5858522096874242E-2</v>
      </c>
      <c r="BQ223" s="801">
        <v>8.9774101368749304E-2</v>
      </c>
      <c r="BR223" s="801">
        <v>0.10637431529879544</v>
      </c>
      <c r="BS223" s="801">
        <v>0.12702649591217396</v>
      </c>
      <c r="BT223" s="801">
        <v>0.15082687955311422</v>
      </c>
      <c r="BW223" s="1136">
        <f>'2018'!R\Max</f>
        <v>0.44596520051169575</v>
      </c>
      <c r="BX223" s="1134">
        <f>'2019'!R\Max</f>
        <v>0.93159366459634196</v>
      </c>
      <c r="BY223" s="1134">
        <f>'2020'!R\Max</f>
        <v>0.95806838518998405</v>
      </c>
      <c r="BZ223" s="1134">
        <f>'2021'!R\Max</f>
        <v>0.50110002041560364</v>
      </c>
      <c r="CA223" s="1134">
        <f>'2022'!R\Max</f>
        <v>0.83150100196343191</v>
      </c>
      <c r="CB223" s="1134">
        <f>'2023'!R\Max</f>
        <v>0.83135645049902429</v>
      </c>
      <c r="CC223" s="1134">
        <f>'2024'!R\Max</f>
        <v>0.83119779728346066</v>
      </c>
      <c r="CD223" s="1134">
        <f>'2025'!R\Max</f>
        <v>0.83210013410213124</v>
      </c>
      <c r="CE223" s="1134">
        <f>'2026'!R\Max</f>
        <v>0.83194324326211599</v>
      </c>
      <c r="CF223" s="1135">
        <f>'2027'!R\Max</f>
        <v>0.8317968963008171</v>
      </c>
    </row>
    <row r="224" spans="1:84" s="6" customFormat="1" ht="11.25" x14ac:dyDescent="0.2">
      <c r="A224" s="11">
        <v>43310</v>
      </c>
      <c r="B224" s="380">
        <f>'2023'!Maxi_hp</f>
        <v>55.721551124095164</v>
      </c>
      <c r="C224" s="85">
        <f>'2023'!An_max</f>
        <v>2019</v>
      </c>
      <c r="D224" s="1087">
        <f t="shared" si="97"/>
        <v>1.0181365845016872</v>
      </c>
      <c r="E224" s="747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836">
        <f t="shared" si="100"/>
        <v>0.5714285714285714</v>
      </c>
      <c r="J224" s="827">
        <f t="shared" si="101"/>
        <v>54.728954810485767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836">
        <f t="shared" si="105"/>
        <v>0.21428571428571427</v>
      </c>
      <c r="AT224" s="853">
        <f t="shared" si="106"/>
        <v>54.733184201666155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836">
        <f t="shared" si="110"/>
        <v>0.2857142857142857</v>
      </c>
      <c r="AY224" s="853">
        <f t="shared" si="111"/>
        <v>54.756624832815895</v>
      </c>
      <c r="AZ224" s="827">
        <f t="shared" si="115"/>
        <v>54.744904517241025</v>
      </c>
      <c r="BA224" s="660">
        <f t="shared" si="112"/>
        <v>1.0181365845016872</v>
      </c>
      <c r="BB224" s="655">
        <v>43310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924">
        <f>1+[2]!Salcycl*Ksac</f>
        <v>1.0499802789722741</v>
      </c>
      <c r="BH224" s="1080">
        <f t="shared" si="113"/>
        <v>3.5647338406347519E-2</v>
      </c>
      <c r="BI224" s="11">
        <v>44406</v>
      </c>
      <c r="BJ224" s="801">
        <v>3.6586792557311929E-3</v>
      </c>
      <c r="BK224" s="801">
        <v>1.137282553159339E-2</v>
      </c>
      <c r="BL224" s="801">
        <v>2.2275713869597032E-2</v>
      </c>
      <c r="BM224" s="801">
        <v>3.5646841429053895E-2</v>
      </c>
      <c r="BN224" s="801">
        <v>4.8774944075704124E-2</v>
      </c>
      <c r="BO224" s="802">
        <v>6.0888348754598337E-2</v>
      </c>
      <c r="BP224" s="801">
        <v>7.3100523699751688E-2</v>
      </c>
      <c r="BQ224" s="801">
        <v>8.678438576126013E-2</v>
      </c>
      <c r="BR224" s="801">
        <v>0.10326597513652967</v>
      </c>
      <c r="BS224" s="801">
        <v>0.12391173924519912</v>
      </c>
      <c r="BT224" s="801">
        <v>0.14777693183315518</v>
      </c>
      <c r="BW224" s="1136">
        <f>'2018'!R\Max</f>
        <v>0.98216157798003678</v>
      </c>
      <c r="BX224" s="1134">
        <f>'2019'!R\Max</f>
        <v>1.0181365845016872</v>
      </c>
      <c r="BY224" s="1134">
        <f>'2020'!R\Max</f>
        <v>0.60765351700764902</v>
      </c>
      <c r="BZ224" s="1134">
        <f>'2021'!R\Max</f>
        <v>1.0010171751665651</v>
      </c>
      <c r="CA224" s="1134">
        <f>'2022'!R\Max</f>
        <v>0.55420080148895801</v>
      </c>
      <c r="CB224" s="1134">
        <f>'2023'!R\Max</f>
        <v>0.55395219308094801</v>
      </c>
      <c r="CC224" s="1134">
        <f>'2024'!R\Max</f>
        <v>0.55367699840581763</v>
      </c>
      <c r="CD224" s="1134">
        <f>'2025'!R\Max</f>
        <v>0.55522406211508846</v>
      </c>
      <c r="CE224" s="1134">
        <f>'2026'!R\Max</f>
        <v>0.55495736750712044</v>
      </c>
      <c r="CF224" s="1135">
        <f>'2027'!R\Max</f>
        <v>0.55470769934657915</v>
      </c>
    </row>
    <row r="225" spans="1:84" s="6" customFormat="1" ht="11.25" x14ac:dyDescent="0.2">
      <c r="A225" s="11">
        <v>43311</v>
      </c>
      <c r="B225" s="380">
        <f>'2023'!Maxi_hp</f>
        <v>53.533900381500366</v>
      </c>
      <c r="C225" s="85">
        <f>'2023'!An_max</f>
        <v>2018</v>
      </c>
      <c r="D225" s="1087">
        <f t="shared" si="97"/>
        <v>0.98003628884459848</v>
      </c>
      <c r="E225" s="747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836">
        <f t="shared" si="100"/>
        <v>0.5</v>
      </c>
      <c r="J225" s="827">
        <f t="shared" si="101"/>
        <v>54.624406249908859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836">
        <f t="shared" si="105"/>
        <v>0.25</v>
      </c>
      <c r="AT225" s="853">
        <f t="shared" si="106"/>
        <v>54.628642021550334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836">
        <f t="shared" si="110"/>
        <v>0.25</v>
      </c>
      <c r="AY225" s="853">
        <f t="shared" si="111"/>
        <v>54.647159174655101</v>
      </c>
      <c r="AZ225" s="827">
        <f t="shared" si="115"/>
        <v>54.637900598102718</v>
      </c>
      <c r="BA225" s="660">
        <f t="shared" si="112"/>
        <v>0.98003628884459848</v>
      </c>
      <c r="BB225" s="655">
        <v>43311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924">
        <f>1+[2]!Salcycl*Ksac</f>
        <v>1.0499750198114846</v>
      </c>
      <c r="BH225" s="1080">
        <f t="shared" si="113"/>
        <v>3.4192153058375994E-2</v>
      </c>
      <c r="BI225" s="11">
        <v>44407</v>
      </c>
      <c r="BJ225" s="801">
        <v>3.4192757832896335E-3</v>
      </c>
      <c r="BK225" s="801">
        <v>1.0880275067633095E-2</v>
      </c>
      <c r="BL225" s="801">
        <v>2.1360420279494152E-2</v>
      </c>
      <c r="BM225" s="801">
        <v>3.4191676655254834E-2</v>
      </c>
      <c r="BN225" s="801">
        <v>4.6776294013116941E-2</v>
      </c>
      <c r="BO225" s="802">
        <v>5.845540214090917E-2</v>
      </c>
      <c r="BP225" s="801">
        <v>7.03391052023951E-2</v>
      </c>
      <c r="BQ225" s="801">
        <v>8.3792639313968534E-2</v>
      </c>
      <c r="BR225" s="801">
        <v>0.10016050141718406</v>
      </c>
      <c r="BS225" s="801">
        <v>0.1208073766473059</v>
      </c>
      <c r="BT225" s="801">
        <v>0.14474763857477846</v>
      </c>
      <c r="BW225" s="1136">
        <f>'2018'!R\Max</f>
        <v>0.98003628884459848</v>
      </c>
      <c r="BX225" s="1134">
        <f>'2019'!R\Max</f>
        <v>0.47060071552456767</v>
      </c>
      <c r="BY225" s="1134">
        <f>'2020'!R\Max</f>
        <v>0.87111807199692859</v>
      </c>
      <c r="BZ225" s="1134">
        <f>'2021'!R\Max</f>
        <v>0.32255361955696943</v>
      </c>
      <c r="CA225" s="1134">
        <f>'2022'!R\Max</f>
        <v>0.83804532273461596</v>
      </c>
      <c r="CB225" s="1134">
        <f>'2023'!R\Max</f>
        <v>0.83791214567015104</v>
      </c>
      <c r="CC225" s="1134">
        <f>'2024'!R\Max</f>
        <v>0.83776320355248435</v>
      </c>
      <c r="CD225" s="1134">
        <f>'2025'!R\Max</f>
        <v>0.8385877801243673</v>
      </c>
      <c r="CE225" s="1134">
        <f>'2026'!R\Max</f>
        <v>0.83844735096720546</v>
      </c>
      <c r="CF225" s="1135">
        <f>'2027'!R\Max</f>
        <v>0.83831523263997476</v>
      </c>
    </row>
    <row r="226" spans="1:84" s="6" customFormat="1" ht="11.25" x14ac:dyDescent="0.2">
      <c r="A226" s="11">
        <v>43312</v>
      </c>
      <c r="B226" s="380">
        <f>'2023'!Maxi_hp</f>
        <v>55.075837023601316</v>
      </c>
      <c r="C226" s="85">
        <f>'2023'!An_max</f>
        <v>2023</v>
      </c>
      <c r="D226" s="1087">
        <f t="shared" si="97"/>
        <v>1.0102023959132445</v>
      </c>
      <c r="E226" s="747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836">
        <f t="shared" si="100"/>
        <v>0.42857142857142855</v>
      </c>
      <c r="J226" s="827">
        <f t="shared" si="101"/>
        <v>54.519606413932124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836">
        <f t="shared" si="105"/>
        <v>0.2857142857142857</v>
      </c>
      <c r="AT226" s="853">
        <f t="shared" si="106"/>
        <v>54.523822436880856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836">
        <f t="shared" si="110"/>
        <v>0.21428571428571427</v>
      </c>
      <c r="AY226" s="853">
        <f t="shared" si="111"/>
        <v>54.537540530666185</v>
      </c>
      <c r="AZ226" s="827">
        <f t="shared" si="115"/>
        <v>54.53068148377352</v>
      </c>
      <c r="BA226" s="660">
        <f t="shared" si="112"/>
        <v>1.0102023959132445</v>
      </c>
      <c r="BB226" s="655">
        <v>43312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924">
        <f>1+[2]!Salcycl*Ksac</f>
        <v>1.0499664350590441</v>
      </c>
      <c r="BH226" s="1080">
        <f t="shared" si="113"/>
        <v>3.2747504587850494E-2</v>
      </c>
      <c r="BI226" s="11">
        <v>44408</v>
      </c>
      <c r="BJ226" s="801">
        <v>3.1889122861311955E-3</v>
      </c>
      <c r="BK226" s="801">
        <v>1.0393737516817237E-2</v>
      </c>
      <c r="BL226" s="801">
        <v>2.0452615062121694E-2</v>
      </c>
      <c r="BM226" s="801">
        <v>3.2747048529447605E-2</v>
      </c>
      <c r="BN226" s="801">
        <v>4.4794241837479799E-2</v>
      </c>
      <c r="BO226" s="802">
        <v>5.6041128738874874E-2</v>
      </c>
      <c r="BP226" s="801">
        <v>6.7600225479928389E-2</v>
      </c>
      <c r="BQ226" s="801">
        <v>8.0829399964864421E-2</v>
      </c>
      <c r="BR226" s="801">
        <v>9.7092355476807182E-2</v>
      </c>
      <c r="BS226" s="801">
        <v>0.11775200302839128</v>
      </c>
      <c r="BT226" s="801">
        <v>0.14178232300863869</v>
      </c>
      <c r="BW226" s="1136">
        <f>'2018'!R\Max</f>
        <v>0.91952744471494174</v>
      </c>
      <c r="BX226" s="1134">
        <f>'2019'!R\Max</f>
        <v>0.99924769595275131</v>
      </c>
      <c r="BY226" s="1134">
        <f>'2020'!R\Max</f>
        <v>0.96246416214515074</v>
      </c>
      <c r="BZ226" s="1134">
        <f>'2021'!R\Max</f>
        <v>0.23391106290559216</v>
      </c>
      <c r="CA226" s="1134">
        <f>'2022'!R\Max</f>
        <v>1.010202395913244</v>
      </c>
      <c r="CB226" s="1134">
        <f>'2023'!R\Max</f>
        <v>1.0102023959132445</v>
      </c>
      <c r="CC226" s="1134">
        <f>'2024'!R\Max</f>
        <v>1.0102023959132442</v>
      </c>
      <c r="CD226" s="1134">
        <f>'2025'!R\Max</f>
        <v>1.0102023959132445</v>
      </c>
      <c r="CE226" s="1134">
        <f>'2026'!R\Max</f>
        <v>1.0102023959132442</v>
      </c>
      <c r="CF226" s="1135">
        <f>'2027'!R\Max</f>
        <v>1.0102023959132442</v>
      </c>
    </row>
    <row r="227" spans="1:84" s="6" customFormat="1" ht="11.25" x14ac:dyDescent="0.2">
      <c r="A227" s="11">
        <v>43313</v>
      </c>
      <c r="B227" s="380">
        <f>'2023'!Maxi_hp</f>
        <v>54.998968794704098</v>
      </c>
      <c r="C227" s="85">
        <f>'2023'!An_max</f>
        <v>2023</v>
      </c>
      <c r="D227" s="1087">
        <f t="shared" si="97"/>
        <v>1.0107420217858487</v>
      </c>
      <c r="E227" s="747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836">
        <f t="shared" si="100"/>
        <v>0.35714285714285715</v>
      </c>
      <c r="J227" s="827">
        <f t="shared" si="101"/>
        <v>54.414447612980538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836">
        <f t="shared" si="105"/>
        <v>0.32142857142857145</v>
      </c>
      <c r="AT227" s="853">
        <f t="shared" si="106"/>
        <v>54.418682801101497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836">
        <f t="shared" si="110"/>
        <v>0.17857142857142858</v>
      </c>
      <c r="AY227" s="853">
        <f t="shared" si="111"/>
        <v>54.427820401522332</v>
      </c>
      <c r="AZ227" s="827">
        <f t="shared" si="115"/>
        <v>54.423251601311918</v>
      </c>
      <c r="BA227" s="660">
        <f t="shared" si="112"/>
        <v>1.0107420217858487</v>
      </c>
      <c r="BB227" s="655">
        <v>43313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924">
        <f>1+[2]!Salcycl*Ksac</f>
        <v>1.0499547256683865</v>
      </c>
      <c r="BH227" s="1080">
        <f t="shared" si="113"/>
        <v>3.1317980996418603E-2</v>
      </c>
      <c r="BI227" s="11">
        <v>44409</v>
      </c>
      <c r="BJ227" s="801">
        <v>2.9664678591849424E-3</v>
      </c>
      <c r="BK227" s="801">
        <v>9.914470943346165E-3</v>
      </c>
      <c r="BL227" s="801">
        <v>1.9555136348208272E-2</v>
      </c>
      <c r="BM227" s="801">
        <v>3.1317545045250923E-2</v>
      </c>
      <c r="BN227" s="801">
        <v>4.2833587632345377E-2</v>
      </c>
      <c r="BO227" s="802">
        <v>5.3653062896090009E-2</v>
      </c>
      <c r="BP227" s="801">
        <v>6.4892313796465276E-2</v>
      </c>
      <c r="BQ227" s="801">
        <v>7.7903472439088892E-2</v>
      </c>
      <c r="BR227" s="801">
        <v>9.4068076355603672E-2</v>
      </c>
      <c r="BS227" s="801">
        <v>0.11474919227548495</v>
      </c>
      <c r="BT227" s="801">
        <v>0.13887995482652116</v>
      </c>
      <c r="BW227" s="1136">
        <f>'2018'!R\Max</f>
        <v>0.96600786295082974</v>
      </c>
      <c r="BX227" s="1134">
        <f>'2019'!R\Max</f>
        <v>0.81174643355977993</v>
      </c>
      <c r="BY227" s="1134">
        <f>'2020'!R\Max</f>
        <v>0.940022737039513</v>
      </c>
      <c r="BZ227" s="1134">
        <f>'2021'!R\Max</f>
        <v>0.87434376245166767</v>
      </c>
      <c r="CA227" s="1134">
        <f>'2022'!R\Max</f>
        <v>1.0107420217858489</v>
      </c>
      <c r="CB227" s="1134">
        <f>'2023'!R\Max</f>
        <v>1.0107420217858487</v>
      </c>
      <c r="CC227" s="1134">
        <f>'2024'!R\Max</f>
        <v>1.0107420217858487</v>
      </c>
      <c r="CD227" s="1134">
        <f>'2025'!R\Max</f>
        <v>1.0107420217858487</v>
      </c>
      <c r="CE227" s="1134">
        <f>'2026'!R\Max</f>
        <v>1.0107420217858487</v>
      </c>
      <c r="CF227" s="1135">
        <f>'2027'!R\Max</f>
        <v>1.0107420217858487</v>
      </c>
    </row>
    <row r="228" spans="1:84" s="6" customFormat="1" ht="11.25" x14ac:dyDescent="0.2">
      <c r="A228" s="11">
        <v>43314</v>
      </c>
      <c r="B228" s="380">
        <f>'2023'!Maxi_hp</f>
        <v>55.053769932764382</v>
      </c>
      <c r="C228" s="85">
        <f>'2023'!An_max</f>
        <v>2023</v>
      </c>
      <c r="D228" s="1087">
        <f t="shared" si="97"/>
        <v>1.0137168832934345</v>
      </c>
      <c r="E228" s="747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836">
        <f t="shared" si="100"/>
        <v>0.2857142857142857</v>
      </c>
      <c r="J228" s="827">
        <f t="shared" si="101"/>
        <v>54.308822157427073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836">
        <f t="shared" si="105"/>
        <v>0.35714285714285715</v>
      </c>
      <c r="AT228" s="853">
        <f t="shared" si="106"/>
        <v>54.313180467579514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836">
        <f t="shared" si="110"/>
        <v>0.14285714285714285</v>
      </c>
      <c r="AY228" s="853">
        <f t="shared" si="111"/>
        <v>54.318050287783684</v>
      </c>
      <c r="AZ228" s="827">
        <f t="shared" si="115"/>
        <v>54.315615377681596</v>
      </c>
      <c r="BA228" s="660">
        <f t="shared" si="112"/>
        <v>1.0137168832934345</v>
      </c>
      <c r="BB228" s="655">
        <v>43314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924">
        <f>1+[2]!Salcycl*Ksac</f>
        <v>1.0499400671211936</v>
      </c>
      <c r="BH228" s="1080">
        <f t="shared" si="113"/>
        <v>2.9903515089873767E-2</v>
      </c>
      <c r="BI228" s="11">
        <v>44410</v>
      </c>
      <c r="BJ228" s="801">
        <v>2.7519302822217322E-3</v>
      </c>
      <c r="BK228" s="801">
        <v>9.4424520713843052E-3</v>
      </c>
      <c r="BL228" s="801">
        <v>1.8667941635295757E-2</v>
      </c>
      <c r="BM228" s="801">
        <v>2.9903099009412393E-2</v>
      </c>
      <c r="BN228" s="801">
        <v>4.0894238999642063E-2</v>
      </c>
      <c r="BO228" s="802">
        <v>5.1291091566129376E-2</v>
      </c>
      <c r="BP228" s="801">
        <v>6.2215240221949686E-2</v>
      </c>
      <c r="BQ228" s="801">
        <v>7.5014712389585611E-2</v>
      </c>
      <c r="BR228" s="801">
        <v>9.1087508558972255E-2</v>
      </c>
      <c r="BS228" s="801">
        <v>0.11179877980159526</v>
      </c>
      <c r="BT228" s="801">
        <v>0.13604036144513404</v>
      </c>
      <c r="BW228" s="1136">
        <f>'2018'!R\Max</f>
        <v>0.97177544467619947</v>
      </c>
      <c r="BX228" s="1134">
        <f>'2019'!R\Max</f>
        <v>0.92119057139042881</v>
      </c>
      <c r="BY228" s="1134">
        <f>'2020'!R\Max</f>
        <v>0.78078203103715704</v>
      </c>
      <c r="BZ228" s="1134">
        <f>'2021'!R\Max</f>
        <v>0.92130098366852298</v>
      </c>
      <c r="CA228" s="1134">
        <f>'2022'!R\Max</f>
        <v>1.0137168832934345</v>
      </c>
      <c r="CB228" s="1134">
        <f>'2023'!R\Max</f>
        <v>1.0137168832934345</v>
      </c>
      <c r="CC228" s="1134">
        <f>'2024'!R\Max</f>
        <v>1.0137168832934345</v>
      </c>
      <c r="CD228" s="1134">
        <f>'2025'!R\Max</f>
        <v>1.0137168832934342</v>
      </c>
      <c r="CE228" s="1134">
        <f>'2026'!R\Max</f>
        <v>1.0137168832934345</v>
      </c>
      <c r="CF228" s="1135">
        <f>'2027'!R\Max</f>
        <v>1.0137168832934345</v>
      </c>
    </row>
    <row r="229" spans="1:84" s="6" customFormat="1" ht="11.25" x14ac:dyDescent="0.2">
      <c r="A229" s="11">
        <v>43315</v>
      </c>
      <c r="B229" s="380">
        <f>'2023'!Maxi_hp</f>
        <v>53.74274506897126</v>
      </c>
      <c r="C229" s="85">
        <f>'2023'!An_max</f>
        <v>2019</v>
      </c>
      <c r="D229" s="1087">
        <f t="shared" si="97"/>
        <v>0.99151558967515674</v>
      </c>
      <c r="E229" s="747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836">
        <f t="shared" si="100"/>
        <v>0.21428571428571427</v>
      </c>
      <c r="J229" s="827">
        <f t="shared" si="101"/>
        <v>54.202622357736821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836">
        <f t="shared" si="105"/>
        <v>0.39285714285714285</v>
      </c>
      <c r="AT229" s="853">
        <f t="shared" si="106"/>
        <v>54.207272789808599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836">
        <f t="shared" si="110"/>
        <v>0.10714285714285714</v>
      </c>
      <c r="AY229" s="853">
        <f t="shared" si="111"/>
        <v>54.208281690090168</v>
      </c>
      <c r="AZ229" s="827">
        <f t="shared" si="115"/>
        <v>54.20777723994938</v>
      </c>
      <c r="BA229" s="660">
        <f t="shared" si="112"/>
        <v>0.99151558967515674</v>
      </c>
      <c r="BB229" s="655">
        <v>43315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924">
        <f>1+[2]!Salcycl*Ksac</f>
        <v>1.0499226099853973</v>
      </c>
      <c r="BH229" s="1080">
        <f t="shared" si="113"/>
        <v>2.8504042450664523E-2</v>
      </c>
      <c r="BI229" s="11">
        <v>44411</v>
      </c>
      <c r="BJ229" s="801">
        <v>2.5452881605289549E-3</v>
      </c>
      <c r="BK229" s="801">
        <v>8.9776587113708315E-3</v>
      </c>
      <c r="BL229" s="801">
        <v>1.7790990222709559E-2</v>
      </c>
      <c r="BM229" s="801">
        <v>2.8503646005293898E-2</v>
      </c>
      <c r="BN229" s="801">
        <v>3.8976107395696825E-2</v>
      </c>
      <c r="BO229" s="802">
        <v>4.8955106405875547E-2</v>
      </c>
      <c r="BP229" s="801">
        <v>5.9568880243355327E-2</v>
      </c>
      <c r="BQ229" s="801">
        <v>7.2162981585300115E-2</v>
      </c>
      <c r="BR229" s="801">
        <v>8.8150503272830319E-2</v>
      </c>
      <c r="BS229" s="801">
        <v>0.10890060826446646</v>
      </c>
      <c r="BT229" s="801">
        <v>0.13326337810895988</v>
      </c>
      <c r="BW229" s="1136">
        <f>'2018'!R\Max</f>
        <v>0.97766970083339366</v>
      </c>
      <c r="BX229" s="1134">
        <f>'2019'!R\Max</f>
        <v>0.99151558967515674</v>
      </c>
      <c r="BY229" s="1134">
        <f>'2020'!R\Max</f>
        <v>0.64024488629125909</v>
      </c>
      <c r="BZ229" s="1134">
        <f>'2021'!R\Max</f>
        <v>0.68967633867231248</v>
      </c>
      <c r="CA229" s="1134">
        <f>'2022'!R\Max</f>
        <v>0.98354897828546106</v>
      </c>
      <c r="CB229" s="1134">
        <f>'2023'!R\Max</f>
        <v>0.98353469678188576</v>
      </c>
      <c r="CC229" s="1134">
        <f>'2024'!R\Max</f>
        <v>0.98351798936545742</v>
      </c>
      <c r="CD229" s="1134">
        <f>'2025'!R\Max</f>
        <v>0.98360472600362503</v>
      </c>
      <c r="CE229" s="1134">
        <f>'2026'!R\Max</f>
        <v>0.98359070115732972</v>
      </c>
      <c r="CF229" s="1135">
        <f>'2027'!R\Max</f>
        <v>0.98357722380381607</v>
      </c>
    </row>
    <row r="230" spans="1:84" s="6" customFormat="1" ht="11.25" x14ac:dyDescent="0.2">
      <c r="A230" s="11">
        <v>43316</v>
      </c>
      <c r="B230" s="380">
        <f>'2023'!Maxi_hp</f>
        <v>52.735892100965984</v>
      </c>
      <c r="C230" s="85">
        <f>'2023'!An_max</f>
        <v>2022</v>
      </c>
      <c r="D230" s="1087">
        <f t="shared" si="97"/>
        <v>0.9748621904309458</v>
      </c>
      <c r="E230" s="747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836">
        <f t="shared" si="100"/>
        <v>0.14285714285714285</v>
      </c>
      <c r="J230" s="827">
        <f t="shared" si="101"/>
        <v>54.09574052477474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836">
        <f t="shared" si="105"/>
        <v>0.42857142857142855</v>
      </c>
      <c r="AT230" s="853">
        <f t="shared" si="106"/>
        <v>54.100917120983027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836">
        <f t="shared" si="110"/>
        <v>7.1428571428571425E-2</v>
      </c>
      <c r="AY230" s="853">
        <f t="shared" si="111"/>
        <v>54.098566109191495</v>
      </c>
      <c r="AZ230" s="827">
        <f t="shared" si="115"/>
        <v>54.099741615087261</v>
      </c>
      <c r="BA230" s="660">
        <f t="shared" si="112"/>
        <v>0.9748621904309458</v>
      </c>
      <c r="BB230" s="655">
        <v>43316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924">
        <f>1+[2]!Salcycl*Ksac</f>
        <v>1.0499024806153623</v>
      </c>
      <c r="BH230" s="1080">
        <f t="shared" si="113"/>
        <v>2.7119501393577796E-2</v>
      </c>
      <c r="BI230" s="11">
        <v>44412</v>
      </c>
      <c r="BJ230" s="801">
        <v>2.3465309006575632E-3</v>
      </c>
      <c r="BK230" s="801">
        <v>8.5200697383072659E-3</v>
      </c>
      <c r="BL230" s="801">
        <v>1.6924243181151995E-2</v>
      </c>
      <c r="BM230" s="801">
        <v>2.7119124348555613E-2</v>
      </c>
      <c r="BN230" s="801">
        <v>3.707910806841902E-2</v>
      </c>
      <c r="BO230" s="802">
        <v>4.6645003698619548E-2</v>
      </c>
      <c r="BP230" s="801">
        <v>5.6953114673770587E-2</v>
      </c>
      <c r="BQ230" s="801">
        <v>6.9348147801308602E-2</v>
      </c>
      <c r="BR230" s="801">
        <v>8.5256918234145551E-2</v>
      </c>
      <c r="BS230" s="801">
        <v>0.10605452741093625</v>
      </c>
      <c r="BT230" s="801">
        <v>0.13054884770326267</v>
      </c>
      <c r="BW230" s="1136">
        <f>'2018'!R\Max</f>
        <v>0.94470945529573191</v>
      </c>
      <c r="BX230" s="1134">
        <f>'2019'!R\Max</f>
        <v>0.9626064200134351</v>
      </c>
      <c r="BY230" s="1134">
        <f>'2020'!R\Max</f>
        <v>0.87565310671934027</v>
      </c>
      <c r="BZ230" s="1134">
        <f>'2021'!R\Max</f>
        <v>0.61217176310806365</v>
      </c>
      <c r="CA230" s="1134">
        <f>'2022'!R\Max</f>
        <v>0.9748621904309458</v>
      </c>
      <c r="CB230" s="1134">
        <f>'2023'!R\Max</f>
        <v>0.97484114718021764</v>
      </c>
      <c r="CC230" s="1134">
        <f>'2024'!R\Max</f>
        <v>0.97481621348283543</v>
      </c>
      <c r="CD230" s="1134">
        <f>'2025'!R\Max</f>
        <v>0.97494334239727809</v>
      </c>
      <c r="CE230" s="1134">
        <f>'2026'!R\Max</f>
        <v>0.97492310113620217</v>
      </c>
      <c r="CF230" s="1135">
        <f>'2027'!R\Max</f>
        <v>0.97490352375733136</v>
      </c>
    </row>
    <row r="231" spans="1:84" s="6" customFormat="1" ht="11.25" x14ac:dyDescent="0.2">
      <c r="A231" s="11">
        <v>43317</v>
      </c>
      <c r="B231" s="380">
        <f>'2023'!Maxi_hp</f>
        <v>53.36011340472448</v>
      </c>
      <c r="C231" s="85">
        <f>'2023'!An_max</f>
        <v>2020</v>
      </c>
      <c r="D231" s="1087">
        <f t="shared" si="97"/>
        <v>0.98836862336540154</v>
      </c>
      <c r="E231" s="747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836">
        <f t="shared" si="100"/>
        <v>7.1428571428571425E-2</v>
      </c>
      <c r="J231" s="827">
        <f t="shared" si="101"/>
        <v>53.988068968673801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836">
        <f t="shared" si="105"/>
        <v>0.4642857142857143</v>
      </c>
      <c r="AT231" s="853">
        <f t="shared" si="106"/>
        <v>53.994070814626426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836">
        <f t="shared" si="110"/>
        <v>3.5714285714285712E-2</v>
      </c>
      <c r="AY231" s="853">
        <f t="shared" si="111"/>
        <v>53.988955045611192</v>
      </c>
      <c r="AZ231" s="827">
        <f t="shared" si="115"/>
        <v>53.991512930118809</v>
      </c>
      <c r="BA231" s="660">
        <f t="shared" si="112"/>
        <v>0.98836862336540154</v>
      </c>
      <c r="BB231" s="655">
        <v>43317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924">
        <f>1+[2]!Salcycl*Ksac</f>
        <v>1.0498797819787251</v>
      </c>
      <c r="BH231" s="1080">
        <f t="shared" si="113"/>
        <v>2.5749832921300873E-2</v>
      </c>
      <c r="BI231" s="11">
        <v>44413</v>
      </c>
      <c r="BJ231" s="801">
        <v>2.1556486861570748E-3</v>
      </c>
      <c r="BK231" s="801">
        <v>8.0696650700064418E-3</v>
      </c>
      <c r="BL231" s="801">
        <v>1.6067663322219834E-2</v>
      </c>
      <c r="BM231" s="801">
        <v>2.5749475042718684E-2</v>
      </c>
      <c r="BN231" s="801">
        <v>3.5203159994318146E-2</v>
      </c>
      <c r="BO231" s="802">
        <v>4.4360684276954082E-2</v>
      </c>
      <c r="BP231" s="801">
        <v>5.4367829561233129E-2</v>
      </c>
      <c r="BQ231" s="801">
        <v>6.657008470864785E-2</v>
      </c>
      <c r="BR231" s="801">
        <v>8.2406617601109636E-2</v>
      </c>
      <c r="BS231" s="801">
        <v>0.1032603939208605</v>
      </c>
      <c r="BT231" s="801">
        <v>0.12789662056657486</v>
      </c>
      <c r="BW231" s="1136">
        <f>'2018'!R\Max</f>
        <v>0.9582858736100589</v>
      </c>
      <c r="BX231" s="1134">
        <f>'2019'!R\Max</f>
        <v>0.9517653922190471</v>
      </c>
      <c r="BY231" s="1134">
        <f>'2020'!R\Max</f>
        <v>0.98836862336540154</v>
      </c>
      <c r="BZ231" s="1134">
        <f>'2021'!R\Max</f>
        <v>0.9076850851642172</v>
      </c>
      <c r="CA231" s="1134">
        <f>'2022'!R\Max</f>
        <v>0.88045189500226373</v>
      </c>
      <c r="CB231" s="1134">
        <f>'2023'!R\Max</f>
        <v>0.88036400530251935</v>
      </c>
      <c r="CC231" s="1134">
        <f>'2024'!R\Max</f>
        <v>0.88025847378760547</v>
      </c>
      <c r="CD231" s="1134">
        <f>'2025'!R\Max</f>
        <v>0.88078659476848475</v>
      </c>
      <c r="CE231" s="1134">
        <f>'2026'!R\Max</f>
        <v>0.88070387487762869</v>
      </c>
      <c r="CF231" s="1135">
        <f>'2027'!R\Max</f>
        <v>0.88062330897596353</v>
      </c>
    </row>
    <row r="232" spans="1:84" s="6" customFormat="1" ht="11.25" x14ac:dyDescent="0.2">
      <c r="A232" s="11">
        <v>43318</v>
      </c>
      <c r="B232" s="380">
        <f>'2023'!Maxi_hp</f>
        <v>54.203152791652954</v>
      </c>
      <c r="C232" s="85">
        <f>'2023'!An_max</f>
        <v>2020</v>
      </c>
      <c r="D232" s="1087">
        <f t="shared" si="97"/>
        <v>1.0060069746704061</v>
      </c>
      <c r="E232" s="835">
        <f>AC$13/10</f>
        <v>53.879499999999993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836">
        <f t="shared" si="100"/>
        <v>0</v>
      </c>
      <c r="J232" s="827">
        <f t="shared" si="101"/>
        <v>53.879499999899416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836">
        <f t="shared" si="105"/>
        <v>0.5</v>
      </c>
      <c r="AT232" s="853">
        <f t="shared" si="106"/>
        <v>53.8866912240861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836">
        <f t="shared" si="110"/>
        <v>0</v>
      </c>
      <c r="AY232" s="853">
        <f t="shared" si="111"/>
        <v>53.879499999945985</v>
      </c>
      <c r="AZ232" s="827">
        <f t="shared" si="115"/>
        <v>53.883095612016042</v>
      </c>
      <c r="BA232" s="660">
        <f t="shared" si="112"/>
        <v>1.0060069746704061</v>
      </c>
      <c r="BB232" s="655">
        <v>43318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924">
        <f>1+[2]!Salcycl*Ksac</f>
        <v>1.0498545945935089</v>
      </c>
      <c r="BH232" s="1080">
        <f t="shared" si="113"/>
        <v>2.4394980680079333E-2</v>
      </c>
      <c r="BI232" s="11">
        <v>44414</v>
      </c>
      <c r="BJ232" s="801">
        <v>1.9726324533184455E-3</v>
      </c>
      <c r="BK232" s="801">
        <v>7.6264256453715609E-3</v>
      </c>
      <c r="BL232" s="801">
        <v>1.5221215167981764E-2</v>
      </c>
      <c r="BM232" s="801">
        <v>2.4394641734823849E-2</v>
      </c>
      <c r="BN232" s="801">
        <v>3.3348185815652867E-2</v>
      </c>
      <c r="BO232" s="802">
        <v>4.2102053445832073E-2</v>
      </c>
      <c r="BP232" s="801">
        <v>5.1812916097767871E-2</v>
      </c>
      <c r="BQ232" s="801">
        <v>6.3828671764395009E-2</v>
      </c>
      <c r="BR232" s="801">
        <v>7.959947182362194E-2</v>
      </c>
      <c r="BS232" s="801">
        <v>0.10051807125142791</v>
      </c>
      <c r="BT232" s="801">
        <v>0.1253065543036691</v>
      </c>
      <c r="BW232" s="1136">
        <f>'2018'!R\Max</f>
        <v>0.96909700186013248</v>
      </c>
      <c r="BX232" s="1134">
        <f>'2019'!R\Max</f>
        <v>0.73589729396657544</v>
      </c>
      <c r="BY232" s="1134">
        <f>'2020'!R\Max</f>
        <v>1.0060069746704061</v>
      </c>
      <c r="BZ232" s="1134">
        <f>'2021'!R\Max</f>
        <v>0.34068146525357423</v>
      </c>
      <c r="CA232" s="1134">
        <f>'2022'!R\Max</f>
        <v>0.93290677534484778</v>
      </c>
      <c r="CB232" s="1134">
        <f>'2023'!R\Max</f>
        <v>0.93285596819503769</v>
      </c>
      <c r="CC232" s="1134">
        <f>'2024'!R\Max</f>
        <v>0.93279408545528097</v>
      </c>
      <c r="CD232" s="1134">
        <f>'2025'!R\Max</f>
        <v>0.93309755494261637</v>
      </c>
      <c r="CE232" s="1134">
        <f>'2026'!R\Max</f>
        <v>0.93305089277523479</v>
      </c>
      <c r="CF232" s="1135">
        <f>'2027'!R\Max</f>
        <v>0.93300508534346893</v>
      </c>
    </row>
    <row r="233" spans="1:84" s="6" customFormat="1" ht="11.25" x14ac:dyDescent="0.2">
      <c r="A233" s="11">
        <v>43319</v>
      </c>
      <c r="B233" s="380">
        <f>'2023'!Maxi_hp</f>
        <v>53.636667435087631</v>
      </c>
      <c r="C233" s="85">
        <f>'2023'!An_max</f>
        <v>2022</v>
      </c>
      <c r="D233" s="1087">
        <f t="shared" si="97"/>
        <v>0.99752027123007669</v>
      </c>
      <c r="E233" s="747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836">
        <f t="shared" si="100"/>
        <v>7.1428571428571425E-2</v>
      </c>
      <c r="J233" s="827">
        <f t="shared" si="101"/>
        <v>53.770002457139448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836">
        <f t="shared" si="105"/>
        <v>0.5357142857142857</v>
      </c>
      <c r="AT233" s="853">
        <f t="shared" si="106"/>
        <v>53.778735702473206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836">
        <f t="shared" si="110"/>
        <v>3.5714285714285712E-2</v>
      </c>
      <c r="AY233" s="853">
        <f t="shared" si="111"/>
        <v>53.770941113176683</v>
      </c>
      <c r="AZ233" s="827">
        <f t="shared" si="115"/>
        <v>53.774838407824944</v>
      </c>
      <c r="BA233" s="660">
        <f t="shared" si="112"/>
        <v>0.99752027123007669</v>
      </c>
      <c r="BB233" s="655">
        <v>43319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924">
        <f>1+[2]!Salcycl*Ksac</f>
        <v>1.049826977558451</v>
      </c>
      <c r="BH233" s="1080">
        <f t="shared" si="113"/>
        <v>2.3054890915217556E-2</v>
      </c>
      <c r="BI233" s="11">
        <v>44415</v>
      </c>
      <c r="BJ233" s="801">
        <v>1.7974738669031278E-3</v>
      </c>
      <c r="BK233" s="801">
        <v>7.1903334026256855E-3</v>
      </c>
      <c r="BL233" s="801">
        <v>1.4384864920457555E-2</v>
      </c>
      <c r="BM233" s="801">
        <v>2.3054570670932643E-2</v>
      </c>
      <c r="BN233" s="801">
        <v>3.1514111777364698E-2</v>
      </c>
      <c r="BO233" s="802">
        <v>3.9869020905354817E-2</v>
      </c>
      <c r="BP233" s="801">
        <v>4.9288270528095375E-2</v>
      </c>
      <c r="BQ233" s="801">
        <v>6.1123794101347328E-2</v>
      </c>
      <c r="BR233" s="801">
        <v>7.6835357513283978E-2</v>
      </c>
      <c r="BS233" s="801">
        <v>9.7827429480868477E-2</v>
      </c>
      <c r="BT233" s="801">
        <v>0.1227785135977866</v>
      </c>
      <c r="BW233" s="1136">
        <f>'2018'!R\Max</f>
        <v>0.56981023999486391</v>
      </c>
      <c r="BX233" s="1134">
        <f>'2019'!R\Max</f>
        <v>0.74873458494260592</v>
      </c>
      <c r="BY233" s="1134">
        <f>'2020'!R\Max</f>
        <v>0.98375096236308324</v>
      </c>
      <c r="BZ233" s="1134">
        <f>'2021'!R\Max</f>
        <v>0.44700009849666988</v>
      </c>
      <c r="CA233" s="1134">
        <f>'2022'!R\Max</f>
        <v>0.99752027123007669</v>
      </c>
      <c r="CB233" s="1134">
        <f>'2023'!R\Max</f>
        <v>0.99751832018541242</v>
      </c>
      <c r="CC233" s="1134">
        <f>'2024'!R\Max</f>
        <v>0.99751590780957455</v>
      </c>
      <c r="CD233" s="1134">
        <f>'2025'!R\Max</f>
        <v>0.99752748782333023</v>
      </c>
      <c r="CE233" s="1134">
        <f>'2026'!R\Max</f>
        <v>0.99752574279836248</v>
      </c>
      <c r="CF233" s="1135">
        <f>'2027'!R\Max</f>
        <v>0.99752401476539987</v>
      </c>
    </row>
    <row r="234" spans="1:84" s="6" customFormat="1" ht="11.25" x14ac:dyDescent="0.2">
      <c r="A234" s="11">
        <v>43320</v>
      </c>
      <c r="B234" s="380">
        <f>'2023'!Maxi_hp</f>
        <v>54.294471719651781</v>
      </c>
      <c r="C234" s="85">
        <f>'2023'!An_max</f>
        <v>2023</v>
      </c>
      <c r="D234" s="1087">
        <f t="shared" si="97"/>
        <v>1.0118300277067902</v>
      </c>
      <c r="E234" s="747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836">
        <f t="shared" si="100"/>
        <v>0.14285714285714285</v>
      </c>
      <c r="J234" s="827">
        <f t="shared" si="101"/>
        <v>53.659676262726336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836">
        <f t="shared" si="105"/>
        <v>0.5714285714285714</v>
      </c>
      <c r="AT234" s="853">
        <f t="shared" si="106"/>
        <v>53.670161603550824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836">
        <f t="shared" si="110"/>
        <v>7.1428571428571425E-2</v>
      </c>
      <c r="AY234" s="853">
        <f t="shared" si="111"/>
        <v>53.663845294534369</v>
      </c>
      <c r="AZ234" s="827">
        <f t="shared" si="115"/>
        <v>53.667003449042596</v>
      </c>
      <c r="BA234" s="660">
        <f t="shared" si="112"/>
        <v>1.0118300277067902</v>
      </c>
      <c r="BB234" s="655">
        <v>43320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924">
        <f>1+[2]!Salcycl*Ksac</f>
        <v>1.0497969696590292</v>
      </c>
      <c r="BH234" s="1080">
        <f t="shared" si="113"/>
        <v>2.1749297056518766E-2</v>
      </c>
      <c r="BI234" s="11">
        <v>44416</v>
      </c>
      <c r="BJ234" s="801">
        <v>1.6344757746820135E-3</v>
      </c>
      <c r="BK234" s="801">
        <v>6.7687209920355698E-3</v>
      </c>
      <c r="BL234" s="801">
        <v>1.3571302789060177E-2</v>
      </c>
      <c r="BM234" s="801">
        <v>2.1748995067382704E-2</v>
      </c>
      <c r="BN234" s="801">
        <v>2.9726309981482669E-2</v>
      </c>
      <c r="BO234" s="802">
        <v>3.7691938608766982E-2</v>
      </c>
      <c r="BP234" s="801">
        <v>4.6828775337859001E-2</v>
      </c>
      <c r="BQ234" s="801">
        <v>5.849501252935646E-2</v>
      </c>
      <c r="BR234" s="801">
        <v>7.4159380390565591E-2</v>
      </c>
      <c r="BS234" s="801">
        <v>9.523945489203807E-2</v>
      </c>
      <c r="BT234" s="801">
        <v>0.12037088669956975</v>
      </c>
      <c r="BW234" s="1136">
        <f>'2018'!R\Max</f>
        <v>0.86282877097613475</v>
      </c>
      <c r="BX234" s="1134">
        <f>'2019'!R\Max</f>
        <v>0.96541454219770528</v>
      </c>
      <c r="BY234" s="1134">
        <f>'2020'!R\Max</f>
        <v>0.95771611810404478</v>
      </c>
      <c r="BZ234" s="1134">
        <f>'2021'!R\Max</f>
        <v>0.71362268633149917</v>
      </c>
      <c r="CA234" s="1134">
        <f>'2022'!R\Max</f>
        <v>1.0118300277067904</v>
      </c>
      <c r="CB234" s="1134">
        <f>'2023'!R\Max</f>
        <v>1.0118300277067902</v>
      </c>
      <c r="CC234" s="1134">
        <f>'2024'!R\Max</f>
        <v>1.0118300277067904</v>
      </c>
      <c r="CD234" s="1134">
        <f>'2025'!R\Max</f>
        <v>1.0118300277067904</v>
      </c>
      <c r="CE234" s="1134">
        <f>'2026'!R\Max</f>
        <v>1.0118300277067904</v>
      </c>
      <c r="CF234" s="1135">
        <f>'2027'!R\Max</f>
        <v>1.0118300277067902</v>
      </c>
    </row>
    <row r="235" spans="1:84" s="6" customFormat="1" ht="11.25" x14ac:dyDescent="0.2">
      <c r="A235" s="11">
        <v>43321</v>
      </c>
      <c r="B235" s="380">
        <f>'2023'!Maxi_hp</f>
        <v>54.505372378920782</v>
      </c>
      <c r="C235" s="85">
        <f>'2023'!An_max</f>
        <v>2021</v>
      </c>
      <c r="D235" s="1087">
        <f t="shared" si="97"/>
        <v>1.0178671681605389</v>
      </c>
      <c r="E235" s="747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836">
        <f t="shared" si="100"/>
        <v>0.21428571428571427</v>
      </c>
      <c r="J235" s="827">
        <f t="shared" si="101"/>
        <v>53.548610352980901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836">
        <f t="shared" si="105"/>
        <v>0.6071428571428571</v>
      </c>
      <c r="AT235" s="853">
        <f t="shared" si="106"/>
        <v>53.560926280446758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836">
        <f t="shared" si="110"/>
        <v>0.10714285714285714</v>
      </c>
      <c r="AY235" s="853">
        <f t="shared" si="111"/>
        <v>53.558004197290373</v>
      </c>
      <c r="AZ235" s="827">
        <f t="shared" si="115"/>
        <v>53.559465238868569</v>
      </c>
      <c r="BA235" s="660">
        <f t="shared" si="112"/>
        <v>1.0178671681605389</v>
      </c>
      <c r="BB235" s="655">
        <v>43321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924">
        <f>1+[2]!Salcycl*Ksac</f>
        <v>1.0497645905313977</v>
      </c>
      <c r="BH235" s="1080">
        <f t="shared" si="113"/>
        <v>2.0475814026321825E-2</v>
      </c>
      <c r="BI235" s="11">
        <v>44417</v>
      </c>
      <c r="BJ235" s="801">
        <v>1.480180577068312E-3</v>
      </c>
      <c r="BK235" s="801">
        <v>6.3591642047165749E-3</v>
      </c>
      <c r="BL235" s="801">
        <v>1.2778425959029262E-2</v>
      </c>
      <c r="BM235" s="801">
        <v>2.047552987467265E-2</v>
      </c>
      <c r="BN235" s="801">
        <v>2.7981651513397959E-2</v>
      </c>
      <c r="BO235" s="802">
        <v>3.5567837631591548E-2</v>
      </c>
      <c r="BP235" s="801">
        <v>4.4431061156553701E-2</v>
      </c>
      <c r="BQ235" s="801">
        <v>5.5937421621439963E-2</v>
      </c>
      <c r="BR235" s="801">
        <v>7.1564235006643662E-2</v>
      </c>
      <c r="BS235" s="801">
        <v>9.2742531410600293E-2</v>
      </c>
      <c r="BT235" s="801">
        <v>0.11806667249371888</v>
      </c>
      <c r="BW235" s="1136">
        <f>'2018'!R\Max</f>
        <v>0.27800121468174843</v>
      </c>
      <c r="BX235" s="1134">
        <f>'2019'!R\Max</f>
        <v>0.94464076117230422</v>
      </c>
      <c r="BY235" s="1134">
        <f>'2020'!R\Max</f>
        <v>0.93445213422994322</v>
      </c>
      <c r="BZ235" s="1134">
        <f>'2021'!R\Max</f>
        <v>1.0178671681605389</v>
      </c>
      <c r="CA235" s="1134">
        <f>'2022'!R\Max</f>
        <v>0.97688333821306872</v>
      </c>
      <c r="CB235" s="1134">
        <f>'2023'!R\Max</f>
        <v>0.9768665198244717</v>
      </c>
      <c r="CC235" s="1134">
        <f>'2024'!R\Max</f>
        <v>0.97684505264864574</v>
      </c>
      <c r="CD235" s="1134">
        <f>'2025'!R\Max</f>
        <v>0.97694356156289197</v>
      </c>
      <c r="CE235" s="1134">
        <f>'2026'!R\Max</f>
        <v>0.97692937087398546</v>
      </c>
      <c r="CF235" s="1135">
        <f>'2027'!R\Max</f>
        <v>0.97691503591314122</v>
      </c>
    </row>
    <row r="236" spans="1:84" s="6" customFormat="1" ht="11.25" x14ac:dyDescent="0.2">
      <c r="A236" s="11">
        <v>43322</v>
      </c>
      <c r="B236" s="380">
        <f>'2023'!Maxi_hp</f>
        <v>52.854099421104479</v>
      </c>
      <c r="C236" s="85">
        <f>'2023'!An_max</f>
        <v>2021</v>
      </c>
      <c r="D236" s="1087">
        <f t="shared" si="97"/>
        <v>0.98909378514077395</v>
      </c>
      <c r="E236" s="747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836">
        <f t="shared" si="100"/>
        <v>0.2857142857142857</v>
      </c>
      <c r="J236" s="827">
        <f t="shared" si="101"/>
        <v>53.436893664822648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836">
        <f t="shared" si="105"/>
        <v>0.6428571428571429</v>
      </c>
      <c r="AT236" s="853">
        <f t="shared" si="106"/>
        <v>53.450987086691228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836">
        <f t="shared" si="110"/>
        <v>0.14285714285714285</v>
      </c>
      <c r="AY236" s="853">
        <f t="shared" si="111"/>
        <v>53.453209474882371</v>
      </c>
      <c r="AZ236" s="827">
        <f t="shared" si="115"/>
        <v>53.452098280786799</v>
      </c>
      <c r="BA236" s="660">
        <f t="shared" si="112"/>
        <v>0.98909378514077395</v>
      </c>
      <c r="BB236" s="655">
        <v>43322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924">
        <f>1+[2]!Salcycl*Ksac</f>
        <v>1.0497298418664025</v>
      </c>
      <c r="BH236" s="1080">
        <f t="shared" si="113"/>
        <v>1.9234393818017035E-2</v>
      </c>
      <c r="BI236" s="11">
        <v>44418</v>
      </c>
      <c r="BJ236" s="801">
        <v>1.3345819843464761E-3</v>
      </c>
      <c r="BK236" s="801">
        <v>5.9616473904960865E-3</v>
      </c>
      <c r="BL236" s="801">
        <v>1.2006204419485004E-2</v>
      </c>
      <c r="BM236" s="801">
        <v>1.9234127086859166E-2</v>
      </c>
      <c r="BN236" s="801">
        <v>2.6280070763759895E-2</v>
      </c>
      <c r="BO236" s="802">
        <v>3.3496637559756633E-2</v>
      </c>
      <c r="BP236" s="801">
        <v>4.2095035573852572E-2</v>
      </c>
      <c r="BQ236" s="801">
        <v>5.3450919318261257E-2</v>
      </c>
      <c r="BR236" s="801">
        <v>6.904981185340163E-2</v>
      </c>
      <c r="BS236" s="801">
        <v>9.0336544168884925E-2</v>
      </c>
      <c r="BT236" s="801">
        <v>0.11586575183759973</v>
      </c>
      <c r="BW236" s="1136">
        <f>'2018'!R\Max</f>
        <v>0.91957473049212268</v>
      </c>
      <c r="BX236" s="1134">
        <f>'2019'!R\Max</f>
        <v>0.6895616034387323</v>
      </c>
      <c r="BY236" s="1134">
        <f>'2020'!R\Max</f>
        <v>0.77771797137613274</v>
      </c>
      <c r="BZ236" s="1134">
        <f>'2021'!R\Max</f>
        <v>0.98909378514077395</v>
      </c>
      <c r="CA236" s="1134">
        <f>'2022'!R\Max</f>
        <v>0.95081999802174144</v>
      </c>
      <c r="CB236" s="1134">
        <f>'2023'!R\Max</f>
        <v>0.95078615459184512</v>
      </c>
      <c r="CC236" s="1134">
        <f>'2024'!R\Max</f>
        <v>0.9507422252417389</v>
      </c>
      <c r="CD236" s="1134">
        <f>'2025'!R\Max</f>
        <v>0.95093905647360499</v>
      </c>
      <c r="CE236" s="1134">
        <f>'2026'!R\Max</f>
        <v>0.95091141782305355</v>
      </c>
      <c r="CF236" s="1135">
        <f>'2027'!R\Max</f>
        <v>0.95088317158381841</v>
      </c>
    </row>
    <row r="237" spans="1:84" s="6" customFormat="1" ht="11.25" x14ac:dyDescent="0.2">
      <c r="A237" s="11">
        <v>43323</v>
      </c>
      <c r="B237" s="380">
        <f>'2023'!Maxi_hp</f>
        <v>52.879735063277003</v>
      </c>
      <c r="C237" s="85">
        <f>'2023'!An_max</f>
        <v>2018</v>
      </c>
      <c r="D237" s="1087">
        <f t="shared" si="97"/>
        <v>0.99165713488529417</v>
      </c>
      <c r="E237" s="747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836">
        <f t="shared" si="100"/>
        <v>0.35714285714285715</v>
      </c>
      <c r="J237" s="827">
        <f t="shared" si="101"/>
        <v>53.324615134638897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836">
        <f t="shared" si="105"/>
        <v>0.6785714285714286</v>
      </c>
      <c r="AT237" s="853">
        <f t="shared" si="106"/>
        <v>53.340301375322248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836">
        <f t="shared" si="110"/>
        <v>0.17857142857142858</v>
      </c>
      <c r="AY237" s="853">
        <f t="shared" si="111"/>
        <v>53.349252780669907</v>
      </c>
      <c r="AZ237" s="827">
        <f t="shared" si="115"/>
        <v>53.344777077996078</v>
      </c>
      <c r="BA237" s="660">
        <f t="shared" si="112"/>
        <v>0.99165713488529417</v>
      </c>
      <c r="BB237" s="655">
        <v>43323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924">
        <f>1+[2]!Salcycl*Ksac</f>
        <v>1.0496927086359877</v>
      </c>
      <c r="BH237" s="1080">
        <f t="shared" si="113"/>
        <v>1.8024991768203928E-2</v>
      </c>
      <c r="BI237" s="11">
        <v>44419</v>
      </c>
      <c r="BJ237" s="801">
        <v>1.1976743795099141E-3</v>
      </c>
      <c r="BK237" s="801">
        <v>5.5761560704498973E-3</v>
      </c>
      <c r="BL237" s="801">
        <v>1.1254610279478092E-2</v>
      </c>
      <c r="BM237" s="801">
        <v>1.8024742041163139E-2</v>
      </c>
      <c r="BN237" s="801">
        <v>2.4621506656358667E-2</v>
      </c>
      <c r="BO237" s="802">
        <v>3.147826352255137E-2</v>
      </c>
      <c r="BP237" s="801">
        <v>3.9820612543807844E-2</v>
      </c>
      <c r="BQ237" s="801">
        <v>5.1035410637526597E-2</v>
      </c>
      <c r="BR237" s="801">
        <v>6.6616009071550283E-2</v>
      </c>
      <c r="BS237" s="801">
        <v>8.8021386380693636E-2</v>
      </c>
      <c r="BT237" s="801">
        <v>0.11376801410223067</v>
      </c>
      <c r="BW237" s="1136">
        <f>'2018'!R\Max</f>
        <v>0.99165713488529417</v>
      </c>
      <c r="BX237" s="1134">
        <f>'2019'!R\Max</f>
        <v>0.44400646071754341</v>
      </c>
      <c r="BY237" s="1134">
        <f>'2020'!R\Max</f>
        <v>0.74148950223472654</v>
      </c>
      <c r="BZ237" s="1134">
        <f>'2021'!R\Max</f>
        <v>0.9581264803228996</v>
      </c>
      <c r="CA237" s="1134">
        <f>'2022'!R\Max</f>
        <v>0.90147879496939187</v>
      </c>
      <c r="CB237" s="1134">
        <f>'2023'!R\Max</f>
        <v>0.90141632360912904</v>
      </c>
      <c r="CC237" s="1134">
        <f>'2024'!R\Max</f>
        <v>0.90133381584835159</v>
      </c>
      <c r="CD237" s="1134">
        <f>'2025'!R\Max</f>
        <v>0.90169447571537109</v>
      </c>
      <c r="CE237" s="1134">
        <f>'2026'!R\Max</f>
        <v>0.90164522483795739</v>
      </c>
      <c r="CF237" s="1135">
        <f>'2027'!R\Max</f>
        <v>0.90159423551887385</v>
      </c>
    </row>
    <row r="238" spans="1:84" s="6" customFormat="1" ht="11.25" x14ac:dyDescent="0.2">
      <c r="A238" s="11">
        <v>43324</v>
      </c>
      <c r="B238" s="380">
        <f>'2023'!Maxi_hp</f>
        <v>51.227825043986797</v>
      </c>
      <c r="C238" s="85">
        <f>'2023'!An_max</f>
        <v>2018</v>
      </c>
      <c r="D238" s="1087" t="str">
        <f t="shared" si="97"/>
        <v/>
      </c>
      <c r="E238" s="747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836">
        <f t="shared" si="100"/>
        <v>0.42857142857142855</v>
      </c>
      <c r="J238" s="827">
        <f t="shared" si="101"/>
        <v>53.21186369874215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836">
        <f t="shared" si="105"/>
        <v>0.7142857142857143</v>
      </c>
      <c r="AT238" s="853">
        <f t="shared" si="106"/>
        <v>53.228826500209308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836">
        <f t="shared" si="110"/>
        <v>0.21428571428571427</v>
      </c>
      <c r="AY238" s="853">
        <f t="shared" si="111"/>
        <v>53.245925768009123</v>
      </c>
      <c r="AZ238" s="827">
        <f t="shared" si="115"/>
        <v>53.237376134109212</v>
      </c>
      <c r="BA238" s="660">
        <f t="shared" si="112"/>
        <v>0.96271435509216619</v>
      </c>
      <c r="BB238" s="655">
        <v>43324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924">
        <f>1+[2]!Salcycl*Ksac</f>
        <v>1.0496531603246717</v>
      </c>
      <c r="BH238" s="1080">
        <f t="shared" si="113"/>
        <v>1.6847566458396333E-2</v>
      </c>
      <c r="BI238" s="11">
        <v>44420</v>
      </c>
      <c r="BJ238" s="801">
        <v>1.0694527913497375E-3</v>
      </c>
      <c r="BK238" s="801">
        <v>5.2026768999077003E-3</v>
      </c>
      <c r="BL238" s="801">
        <v>1.0523617704638952E-2</v>
      </c>
      <c r="BM238" s="801">
        <v>1.6847333319675972E-2</v>
      </c>
      <c r="BN238" s="801">
        <v>2.300590251609454E-2</v>
      </c>
      <c r="BO238" s="802">
        <v>2.9512646030538298E-2</v>
      </c>
      <c r="BP238" s="801">
        <v>3.7607712195951576E-2</v>
      </c>
      <c r="BQ238" s="801">
        <v>4.8690807456459262E-2</v>
      </c>
      <c r="BR238" s="801">
        <v>6.4262732203904202E-2</v>
      </c>
      <c r="BS238" s="801">
        <v>8.5796959063792352E-2</v>
      </c>
      <c r="BT238" s="801">
        <v>0.11177335685749455</v>
      </c>
      <c r="BW238" s="1136">
        <f>'2018'!R\Max</f>
        <v>0.96271435509216619</v>
      </c>
      <c r="BX238" s="1134">
        <f>'2019'!R\Max</f>
        <v>0.48790712546934223</v>
      </c>
      <c r="BY238" s="1134">
        <f>'2020'!R\Max</f>
        <v>0.83894670142700234</v>
      </c>
      <c r="BZ238" s="1134">
        <f>'2021'!R\Max</f>
        <v>0.93010779737543281</v>
      </c>
      <c r="CA238" s="1134">
        <f>'2022'!R\Max</f>
        <v>0.93178929265783117</v>
      </c>
      <c r="CB238" s="1134">
        <f>'2023'!R\Max</f>
        <v>0.93174583582527004</v>
      </c>
      <c r="CC238" s="1134">
        <f>'2024'!R\Max</f>
        <v>0.93168739494408714</v>
      </c>
      <c r="CD238" s="1134">
        <f>'2025'!R\Max</f>
        <v>0.93193632112214697</v>
      </c>
      <c r="CE238" s="1134">
        <f>'2026'!R\Max</f>
        <v>0.93190336008955155</v>
      </c>
      <c r="CF238" s="1135">
        <f>'2027'!R\Max</f>
        <v>0.93186873505616252</v>
      </c>
    </row>
    <row r="239" spans="1:84" s="6" customFormat="1" ht="11.25" x14ac:dyDescent="0.2">
      <c r="A239" s="11">
        <v>43325</v>
      </c>
      <c r="B239" s="380">
        <f>'2023'!Maxi_hp</f>
        <v>48.536022746732414</v>
      </c>
      <c r="C239" s="85">
        <f>'2023'!An_max</f>
        <v>2019</v>
      </c>
      <c r="D239" s="1087" t="str">
        <f t="shared" si="97"/>
        <v/>
      </c>
      <c r="E239" s="747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836">
        <f t="shared" si="100"/>
        <v>0.5</v>
      </c>
      <c r="J239" s="827">
        <f t="shared" si="101"/>
        <v>53.098728294076864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836">
        <f t="shared" si="105"/>
        <v>0.75</v>
      </c>
      <c r="AT239" s="853">
        <f t="shared" si="106"/>
        <v>53.116519814438654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836">
        <f t="shared" si="110"/>
        <v>0.25</v>
      </c>
      <c r="AY239" s="853">
        <f t="shared" si="111"/>
        <v>53.143020090123173</v>
      </c>
      <c r="AZ239" s="827">
        <f t="shared" si="115"/>
        <v>53.12976995228091</v>
      </c>
      <c r="BA239" s="660">
        <f t="shared" si="112"/>
        <v>0.91407128392840586</v>
      </c>
      <c r="BB239" s="655">
        <v>43325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924">
        <f>1+[2]!Salcycl*Ksac</f>
        <v>1.0496111521493217</v>
      </c>
      <c r="BH239" s="1080">
        <f t="shared" si="113"/>
        <v>1.5702079616216964E-2</v>
      </c>
      <c r="BI239" s="11">
        <v>44421</v>
      </c>
      <c r="BJ239" s="801">
        <v>9.4991286750611872E-4</v>
      </c>
      <c r="BK239" s="801">
        <v>4.8411976312999283E-3</v>
      </c>
      <c r="BL239" s="801">
        <v>9.8132028535084515E-3</v>
      </c>
      <c r="BM239" s="801">
        <v>1.5701862650555464E-2</v>
      </c>
      <c r="BN239" s="801">
        <v>2.1433205936249453E-2</v>
      </c>
      <c r="BO239" s="802">
        <v>2.7599720812579859E-2</v>
      </c>
      <c r="BP239" s="801">
        <v>3.5456260645291809E-2</v>
      </c>
      <c r="BQ239" s="801">
        <v>4.6417028292887318E-2</v>
      </c>
      <c r="BR239" s="801">
        <v>6.1989893946890327E-2</v>
      </c>
      <c r="BS239" s="801">
        <v>8.3663170760120323E-2</v>
      </c>
      <c r="BT239" s="801">
        <v>0.10988168555445128</v>
      </c>
      <c r="BW239" s="1136">
        <f>'2018'!R\Max</f>
        <v>0.52364595626682553</v>
      </c>
      <c r="BX239" s="1134">
        <f>'2019'!R\Max</f>
        <v>0.91407128392840586</v>
      </c>
      <c r="BY239" s="1134">
        <f>'2020'!R\Max</f>
        <v>0.49819188427980249</v>
      </c>
      <c r="BZ239" s="1134">
        <f>'2021'!R\Max</f>
        <v>0.61910381644719359</v>
      </c>
      <c r="CA239" s="1134">
        <f>'2022'!R\Max</f>
        <v>0.73263089477605503</v>
      </c>
      <c r="CB239" s="1134">
        <f>'2023'!R\Max</f>
        <v>0.73250070235511455</v>
      </c>
      <c r="CC239" s="1134">
        <f>'2024'!R\Max</f>
        <v>0.73232239065531335</v>
      </c>
      <c r="CD239" s="1134">
        <f>'2025'!R\Max</f>
        <v>0.73306228887874769</v>
      </c>
      <c r="CE239" s="1134">
        <f>'2026'!R\Max</f>
        <v>0.73296750207736849</v>
      </c>
      <c r="CF239" s="1135">
        <f>'2027'!R\Max</f>
        <v>0.73286631578928751</v>
      </c>
    </row>
    <row r="240" spans="1:84" s="6" customFormat="1" ht="11.25" x14ac:dyDescent="0.2">
      <c r="A240" s="11">
        <v>43326</v>
      </c>
      <c r="B240" s="380">
        <f>'2023'!Maxi_hp</f>
        <v>53.538915966622881</v>
      </c>
      <c r="C240" s="85">
        <f>'2023'!An_max</f>
        <v>2019</v>
      </c>
      <c r="D240" s="1087">
        <f t="shared" si="97"/>
        <v>1.0104485231193459</v>
      </c>
      <c r="E240" s="747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836">
        <f t="shared" si="100"/>
        <v>0.5714285714285714</v>
      </c>
      <c r="J240" s="827">
        <f t="shared" si="101"/>
        <v>52.985297856978811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836">
        <f t="shared" si="105"/>
        <v>0.7857142857142857</v>
      </c>
      <c r="AT240" s="853">
        <f t="shared" si="106"/>
        <v>53.003338671459019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836">
        <f t="shared" si="110"/>
        <v>0.2857142857142857</v>
      </c>
      <c r="AY240" s="853">
        <f t="shared" si="111"/>
        <v>53.040327400527893</v>
      </c>
      <c r="AZ240" s="827">
        <f t="shared" si="115"/>
        <v>53.021833035993453</v>
      </c>
      <c r="BA240" s="660">
        <f t="shared" si="112"/>
        <v>1.0104485231193459</v>
      </c>
      <c r="BB240" s="655">
        <v>43326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924">
        <f>1+[2]!Salcycl*Ksac</f>
        <v>1.0495666262512084</v>
      </c>
      <c r="BH240" s="1080">
        <f t="shared" si="113"/>
        <v>1.4609962049702791E-2</v>
      </c>
      <c r="BI240" s="11">
        <v>44422</v>
      </c>
      <c r="BJ240" s="801">
        <v>8.423225527288816E-4</v>
      </c>
      <c r="BK240" s="801">
        <v>4.4986280878830083E-3</v>
      </c>
      <c r="BL240" s="801">
        <v>9.1365168661090342E-3</v>
      </c>
      <c r="BM240" s="801">
        <v>1.4609760446132476E-2</v>
      </c>
      <c r="BN240" s="801">
        <v>1.9935300262550873E-2</v>
      </c>
      <c r="BO240" s="802">
        <v>2.578031349028026E-2</v>
      </c>
      <c r="BP240" s="801">
        <v>3.3414157844650898E-2</v>
      </c>
      <c r="BQ240" s="801">
        <v>4.426846235271558E-2</v>
      </c>
      <c r="BR240" s="801">
        <v>5.9858230133599165E-2</v>
      </c>
      <c r="BS240" s="801">
        <v>8.1691997802741764E-2</v>
      </c>
      <c r="BT240" s="801">
        <v>0.1081791127142477</v>
      </c>
      <c r="BW240" s="1136">
        <f>'2018'!R\Max</f>
        <v>0.69600259177495294</v>
      </c>
      <c r="BX240" s="1134">
        <f>'2019'!R\Max</f>
        <v>1.0104485231193459</v>
      </c>
      <c r="BY240" s="1134">
        <f>'2020'!R\Max</f>
        <v>0.33172868870203986</v>
      </c>
      <c r="BZ240" s="1134">
        <f>'2021'!R\Max</f>
        <v>0.9495983226803677</v>
      </c>
      <c r="CA240" s="1134">
        <f>'2022'!R\Max</f>
        <v>0.67245302998792289</v>
      </c>
      <c r="CB240" s="1134">
        <f>'2023'!R\Max</f>
        <v>0.67231054581379912</v>
      </c>
      <c r="CC240" s="1134">
        <f>'2024'!R\Max</f>
        <v>0.67211170843691714</v>
      </c>
      <c r="CD240" s="1134">
        <f>'2025'!R\Max</f>
        <v>0.67291482653410351</v>
      </c>
      <c r="CE240" s="1134">
        <f>'2026'!R\Max</f>
        <v>0.67281558905199834</v>
      </c>
      <c r="CF240" s="1135">
        <f>'2027'!R\Max</f>
        <v>0.67270774086694074</v>
      </c>
    </row>
    <row r="241" spans="1:84" s="6" customFormat="1" ht="11.25" x14ac:dyDescent="0.2">
      <c r="A241" s="11">
        <v>43327</v>
      </c>
      <c r="B241" s="380">
        <f>'2023'!Maxi_hp</f>
        <v>53.803189402990363</v>
      </c>
      <c r="C241" s="85">
        <f>'2023'!An_max</f>
        <v>2018</v>
      </c>
      <c r="D241" s="1087">
        <f t="shared" si="97"/>
        <v>1.0176186648138223</v>
      </c>
      <c r="E241" s="747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836">
        <f t="shared" si="100"/>
        <v>0.6428571428571429</v>
      </c>
      <c r="J241" s="827">
        <f t="shared" si="101"/>
        <v>52.871661323973342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836">
        <f t="shared" si="105"/>
        <v>0.8214285714285714</v>
      </c>
      <c r="AT241" s="853">
        <f t="shared" si="106"/>
        <v>52.889240424451415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836">
        <f t="shared" si="110"/>
        <v>0.32142857142857145</v>
      </c>
      <c r="AY241" s="853">
        <f t="shared" si="111"/>
        <v>52.937639352584462</v>
      </c>
      <c r="AZ241" s="827">
        <f t="shared" si="115"/>
        <v>52.913439888517942</v>
      </c>
      <c r="BA241" s="660">
        <f t="shared" si="112"/>
        <v>1.0176186648138223</v>
      </c>
      <c r="BB241" s="655">
        <v>43327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924">
        <f>1+[2]!Salcycl*Ksac</f>
        <v>1.0495195128452506</v>
      </c>
      <c r="BH241" s="1080">
        <f t="shared" si="113"/>
        <v>1.3559219329887916E-2</v>
      </c>
      <c r="BI241" s="11">
        <v>44423</v>
      </c>
      <c r="BJ241" s="801">
        <v>7.4232154207612997E-4</v>
      </c>
      <c r="BK241" s="801">
        <v>4.1703673661073895E-3</v>
      </c>
      <c r="BL241" s="801">
        <v>8.4858038008944342E-3</v>
      </c>
      <c r="BM241" s="801">
        <v>1.3559032476294865E-2</v>
      </c>
      <c r="BN241" s="801">
        <v>1.849493836363468E-2</v>
      </c>
      <c r="BO241" s="802">
        <v>2.4032447535098467E-2</v>
      </c>
      <c r="BP241" s="801">
        <v>3.145528448381215E-2</v>
      </c>
      <c r="BQ241" s="801">
        <v>4.22143960246876E-2</v>
      </c>
      <c r="BR241" s="801">
        <v>5.7833091157251992E-2</v>
      </c>
      <c r="BS241" s="801">
        <v>7.9844647726919696E-2</v>
      </c>
      <c r="BT241" s="801">
        <v>0.10662211031925184</v>
      </c>
      <c r="BW241" s="1136">
        <f>'2018'!R\Max</f>
        <v>1.0176186648138223</v>
      </c>
      <c r="BX241" s="1134">
        <f>'2019'!R\Max</f>
        <v>0.49605484813539313</v>
      </c>
      <c r="BY241" s="1134">
        <f>'2020'!R\Max</f>
        <v>0.91618323107000055</v>
      </c>
      <c r="BZ241" s="1134">
        <f>'2021'!R\Max</f>
        <v>0.38546601806912262</v>
      </c>
      <c r="CA241" s="1134">
        <f>'2022'!R\Max</f>
        <v>0.76449293574983301</v>
      </c>
      <c r="CB241" s="1134">
        <f>'2023'!R\Max</f>
        <v>0.76437948608204931</v>
      </c>
      <c r="CC241" s="1134">
        <f>'2024'!R\Max</f>
        <v>0.76421808969875982</v>
      </c>
      <c r="CD241" s="1134">
        <f>'2025'!R\Max</f>
        <v>0.7648520710044393</v>
      </c>
      <c r="CE241" s="1134">
        <f>'2026'!R\Max</f>
        <v>0.76477677854919135</v>
      </c>
      <c r="CF241" s="1135">
        <f>'2027'!R\Max</f>
        <v>0.76469330210853015</v>
      </c>
    </row>
    <row r="242" spans="1:84" s="6" customFormat="1" ht="11.25" x14ac:dyDescent="0.2">
      <c r="A242" s="11">
        <v>43328</v>
      </c>
      <c r="B242" s="380">
        <f>'2023'!Maxi_hp</f>
        <v>53.769916943030935</v>
      </c>
      <c r="C242" s="85">
        <f>'2023'!An_max</f>
        <v>2019</v>
      </c>
      <c r="D242" s="1087">
        <f t="shared" si="97"/>
        <v>1.0191821350933172</v>
      </c>
      <c r="E242" s="747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836">
        <f t="shared" si="100"/>
        <v>0.7142857142857143</v>
      </c>
      <c r="J242" s="827">
        <f t="shared" si="101"/>
        <v>52.757907631600816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836">
        <f t="shared" si="105"/>
        <v>0.8571428571428571</v>
      </c>
      <c r="AT242" s="853">
        <f t="shared" si="106"/>
        <v>52.774182427069171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836">
        <f t="shared" si="110"/>
        <v>0.35714285714285715</v>
      </c>
      <c r="AY242" s="853">
        <f t="shared" si="111"/>
        <v>52.834747599248239</v>
      </c>
      <c r="AZ242" s="827">
        <f t="shared" si="115"/>
        <v>52.804465013158705</v>
      </c>
      <c r="BA242" s="660">
        <f t="shared" si="112"/>
        <v>1.0191821350933172</v>
      </c>
      <c r="BB242" s="655">
        <v>43328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924">
        <f>1+[2]!Salcycl*Ksac</f>
        <v>1.0494697313124659</v>
      </c>
      <c r="BH242" s="1080">
        <f t="shared" si="113"/>
        <v>1.2549822653805116E-2</v>
      </c>
      <c r="BI242" s="11">
        <v>44424</v>
      </c>
      <c r="BJ242" s="801">
        <v>6.4990723553750445E-4</v>
      </c>
      <c r="BK242" s="801">
        <v>3.8564064770669725E-3</v>
      </c>
      <c r="BL242" s="801">
        <v>7.8610457901559603E-3</v>
      </c>
      <c r="BM242" s="801">
        <v>1.2549649938478907E-2</v>
      </c>
      <c r="BN242" s="801">
        <v>1.7112080778314154E-2</v>
      </c>
      <c r="BO242" s="802">
        <v>2.2356074553893185E-2</v>
      </c>
      <c r="BP242" s="801">
        <v>2.9579584898298924E-2</v>
      </c>
      <c r="BQ242" s="801">
        <v>4.0254768013753585E-2</v>
      </c>
      <c r="BR242" s="801">
        <v>5.5914411442119984E-2</v>
      </c>
      <c r="BS242" s="801">
        <v>7.8121052085003861E-2</v>
      </c>
      <c r="BT242" s="801">
        <v>0.10521060813251869</v>
      </c>
      <c r="BW242" s="1136">
        <f>'2018'!R\Max</f>
        <v>0.96254363423868439</v>
      </c>
      <c r="BX242" s="1134">
        <f>'2019'!R\Max</f>
        <v>1.0191821350933172</v>
      </c>
      <c r="BY242" s="1134">
        <f>'2020'!R\Max</f>
        <v>0.90927067292801644</v>
      </c>
      <c r="BZ242" s="1134">
        <f>'2021'!R\Max</f>
        <v>0.57347034227303539</v>
      </c>
      <c r="CA242" s="1134">
        <f>'2022'!R\Max</f>
        <v>0.7095039083079081</v>
      </c>
      <c r="CB242" s="1134">
        <f>'2023'!R\Max</f>
        <v>0.70937731183983843</v>
      </c>
      <c r="CC242" s="1134">
        <f>'2024'!R\Max</f>
        <v>0.70919371426545663</v>
      </c>
      <c r="CD242" s="1134">
        <f>'2025'!R\Max</f>
        <v>0.70989508638933463</v>
      </c>
      <c r="CE242" s="1134">
        <f>'2026'!R\Max</f>
        <v>0.70981525877868856</v>
      </c>
      <c r="CF242" s="1135">
        <f>'2027'!R\Max</f>
        <v>0.70972478197439359</v>
      </c>
    </row>
    <row r="243" spans="1:84" s="6" customFormat="1" ht="11.25" x14ac:dyDescent="0.2">
      <c r="A243" s="11">
        <v>43329</v>
      </c>
      <c r="B243" s="380">
        <f>'2023'!Maxi_hp</f>
        <v>51.890414604753857</v>
      </c>
      <c r="C243" s="85">
        <f>'2023'!An_max</f>
        <v>2019</v>
      </c>
      <c r="D243" s="1087">
        <f t="shared" si="97"/>
        <v>0.98568290190951002</v>
      </c>
      <c r="E243" s="747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836">
        <f t="shared" si="100"/>
        <v>0.7857142857142857</v>
      </c>
      <c r="J243" s="827">
        <f t="shared" si="101"/>
        <v>52.644125716525437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836">
        <f t="shared" si="105"/>
        <v>0.8928571428571429</v>
      </c>
      <c r="AT243" s="853">
        <f t="shared" si="106"/>
        <v>52.658122032599728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836">
        <f t="shared" si="110"/>
        <v>0.39285714285714285</v>
      </c>
      <c r="AY243" s="853">
        <f t="shared" si="111"/>
        <v>52.731443794417601</v>
      </c>
      <c r="AZ243" s="827">
        <f t="shared" si="115"/>
        <v>52.694782913508661</v>
      </c>
      <c r="BA243" s="660">
        <f t="shared" si="112"/>
        <v>0.98568290190951002</v>
      </c>
      <c r="BB243" s="655">
        <v>43329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924">
        <f>1+[2]!Salcycl*Ksac</f>
        <v>1.0494171912229011</v>
      </c>
      <c r="BH243" s="1080">
        <f t="shared" si="113"/>
        <v>1.1581746352674244E-2</v>
      </c>
      <c r="BI243" s="11">
        <v>44425</v>
      </c>
      <c r="BJ243" s="801">
        <v>5.6507749338849129E-4</v>
      </c>
      <c r="BK243" s="801">
        <v>3.5567374723076209E-3</v>
      </c>
      <c r="BL243" s="801">
        <v>7.2622269226281814E-3</v>
      </c>
      <c r="BM243" s="801">
        <v>1.1581587164262561E-2</v>
      </c>
      <c r="BN243" s="801">
        <v>1.578669237843509E-2</v>
      </c>
      <c r="BO243" s="802">
        <v>2.0751151486959708E-2</v>
      </c>
      <c r="BP243" s="801">
        <v>2.7787009534603158E-2</v>
      </c>
      <c r="BQ243" s="801">
        <v>3.838952374981721E-2</v>
      </c>
      <c r="BR243" s="801">
        <v>5.4102132629000869E-2</v>
      </c>
      <c r="BS243" s="801">
        <v>7.6521150183962494E-2</v>
      </c>
      <c r="BT243" s="801">
        <v>0.10394454426550946</v>
      </c>
      <c r="BW243" s="1136">
        <f>'2018'!R\Max</f>
        <v>0.71822297407157154</v>
      </c>
      <c r="BX243" s="1134">
        <f>'2019'!R\Max</f>
        <v>0.98568290190951002</v>
      </c>
      <c r="BY243" s="1134">
        <f>'2020'!R\Max</f>
        <v>0.39321887660574473</v>
      </c>
      <c r="BZ243" s="1134">
        <f>'2021'!R\Max</f>
        <v>0.87435371169026821</v>
      </c>
      <c r="CA243" s="1134">
        <f>'2022'!R\Max</f>
        <v>0.51887479642653345</v>
      </c>
      <c r="CB243" s="1134">
        <f>'2023'!R\Max</f>
        <v>0.51872520821126356</v>
      </c>
      <c r="CC243" s="1134">
        <f>'2024'!R\Max</f>
        <v>0.51850406404416394</v>
      </c>
      <c r="CD243" s="1134">
        <f>'2025'!R\Max</f>
        <v>0.519325666533615</v>
      </c>
      <c r="CE243" s="1134">
        <f>'2026'!R\Max</f>
        <v>0.51923633802532976</v>
      </c>
      <c r="CF243" s="1135">
        <f>'2027'!R\Max</f>
        <v>0.51913259173449777</v>
      </c>
    </row>
    <row r="244" spans="1:84" s="6" customFormat="1" ht="11.25" x14ac:dyDescent="0.2">
      <c r="A244" s="11">
        <v>43330</v>
      </c>
      <c r="B244" s="380">
        <f>'2023'!Maxi_hp</f>
        <v>49.183966953911138</v>
      </c>
      <c r="C244" s="85">
        <f>'2023'!An_max</f>
        <v>2021</v>
      </c>
      <c r="D244" s="1087" t="str">
        <f t="shared" si="97"/>
        <v/>
      </c>
      <c r="E244" s="747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836">
        <f t="shared" si="100"/>
        <v>0.8571428571428571</v>
      </c>
      <c r="J244" s="827">
        <f t="shared" si="101"/>
        <v>52.530404515175277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836">
        <f t="shared" si="105"/>
        <v>0.9285714285714286</v>
      </c>
      <c r="AT244" s="853">
        <f t="shared" si="106"/>
        <v>52.541016594363782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836">
        <f t="shared" si="110"/>
        <v>0.42857142857142855</v>
      </c>
      <c r="AY244" s="853">
        <f t="shared" si="111"/>
        <v>52.627519591312321</v>
      </c>
      <c r="AZ244" s="827">
        <f t="shared" si="115"/>
        <v>52.584268092838052</v>
      </c>
      <c r="BA244" s="660">
        <f t="shared" si="112"/>
        <v>0.93629522574307611</v>
      </c>
      <c r="BB244" s="655">
        <v>43330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924">
        <f>1+[2]!Salcycl*Ksac</f>
        <v>1.0493617932777271</v>
      </c>
      <c r="BH244" s="1080">
        <f t="shared" si="113"/>
        <v>1.0654967763548283E-2</v>
      </c>
      <c r="BI244" s="11">
        <v>44426</v>
      </c>
      <c r="BJ244" s="801">
        <v>4.8783061261792565E-4</v>
      </c>
      <c r="BK244" s="801">
        <v>3.2713533994289286E-3</v>
      </c>
      <c r="BL244" s="801">
        <v>6.6893331629142129E-3</v>
      </c>
      <c r="BM244" s="801">
        <v>1.0654821491013431E-2</v>
      </c>
      <c r="BN244" s="801">
        <v>1.45187421903561E-2</v>
      </c>
      <c r="BO244" s="802">
        <v>1.9217640386095372E-2</v>
      </c>
      <c r="BP244" s="801">
        <v>2.6077514692031577E-2</v>
      </c>
      <c r="BQ244" s="801">
        <v>3.661861509469614E-2</v>
      </c>
      <c r="BR244" s="801">
        <v>5.2396203245000113E-2</v>
      </c>
      <c r="BS244" s="801">
        <v>7.5044888701666479E-2</v>
      </c>
      <c r="BT244" s="801">
        <v>0.10282386472710171</v>
      </c>
      <c r="BW244" s="1136">
        <f>'2018'!R\Max</f>
        <v>0.5956325822474311</v>
      </c>
      <c r="BX244" s="1134">
        <f>'2019'!R\Max</f>
        <v>0.64654701740135612</v>
      </c>
      <c r="BY244" s="1134">
        <f>'2020'!R\Max</f>
        <v>0.84072050130795073</v>
      </c>
      <c r="BZ244" s="1134">
        <f>'2021'!R\Max</f>
        <v>0.93629522574307611</v>
      </c>
      <c r="CA244" s="1134">
        <f>'2022'!R\Max</f>
        <v>0.69216882159639159</v>
      </c>
      <c r="CB244" s="1134">
        <f>'2023'!R\Max</f>
        <v>0.69204412079060851</v>
      </c>
      <c r="CC244" s="1134">
        <f>'2024'!R\Max</f>
        <v>0.69185608176189617</v>
      </c>
      <c r="CD244" s="1134">
        <f>'2025'!R\Max</f>
        <v>0.69253477519122786</v>
      </c>
      <c r="CE244" s="1134">
        <f>'2026'!R\Max</f>
        <v>0.69246463744307718</v>
      </c>
      <c r="CF244" s="1135">
        <f>'2027'!R\Max</f>
        <v>0.69238091233311072</v>
      </c>
    </row>
    <row r="245" spans="1:84" s="6" customFormat="1" ht="11.25" x14ac:dyDescent="0.2">
      <c r="A245" s="11">
        <v>43331</v>
      </c>
      <c r="B245" s="380">
        <f>'2023'!Maxi_hp</f>
        <v>49.967163493960541</v>
      </c>
      <c r="C245" s="85">
        <f>'2023'!An_max</f>
        <v>2018</v>
      </c>
      <c r="D245" s="1087" t="str">
        <f t="shared" si="97"/>
        <v/>
      </c>
      <c r="E245" s="747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836">
        <f t="shared" si="100"/>
        <v>0.9285714285714286</v>
      </c>
      <c r="J245" s="827">
        <f t="shared" si="101"/>
        <v>52.416832964163042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836">
        <f t="shared" si="105"/>
        <v>0.9642857142857143</v>
      </c>
      <c r="AT245" s="853">
        <f t="shared" si="106"/>
        <v>52.422823465798459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836">
        <f t="shared" si="110"/>
        <v>0.4642857142857143</v>
      </c>
      <c r="AY245" s="853">
        <f t="shared" si="111"/>
        <v>52.522766642768069</v>
      </c>
      <c r="AZ245" s="827">
        <f t="shared" si="115"/>
        <v>52.472795054283267</v>
      </c>
      <c r="BA245" s="660">
        <f t="shared" si="112"/>
        <v>0.95326559557924229</v>
      </c>
      <c r="BB245" s="655">
        <v>43331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924">
        <f>1+[2]!Salcycl*Ksac</f>
        <v>1.0493034301607054</v>
      </c>
      <c r="BH245" s="1080">
        <f t="shared" si="113"/>
        <v>9.7694671011794802E-3</v>
      </c>
      <c r="BI245" s="11">
        <v>44427</v>
      </c>
      <c r="BJ245" s="801">
        <v>4.1816530336760064E-4</v>
      </c>
      <c r="BK245" s="801">
        <v>3.0002482577536661E-3</v>
      </c>
      <c r="BL245" s="801">
        <v>6.1423522710487019E-3</v>
      </c>
      <c r="BM245" s="801">
        <v>9.7693331337567937E-3</v>
      </c>
      <c r="BN245" s="801">
        <v>1.3308203216729214E-2</v>
      </c>
      <c r="BO245" s="802">
        <v>1.7755508193054631E-2</v>
      </c>
      <c r="BP245" s="801">
        <v>2.4451062265060591E-2</v>
      </c>
      <c r="BQ245" s="801">
        <v>3.4942000049762632E-2</v>
      </c>
      <c r="BR245" s="801">
        <v>5.0796578374240536E-2</v>
      </c>
      <c r="BS245" s="801">
        <v>7.3692221304450981E-2</v>
      </c>
      <c r="BT245" s="801">
        <v>0.10184852297430115</v>
      </c>
      <c r="BW245" s="1136">
        <f>'2018'!R\Max</f>
        <v>0.95326559557924229</v>
      </c>
      <c r="BX245" s="1134">
        <f>'2019'!R\Max</f>
        <v>0.62339450127828888</v>
      </c>
      <c r="BY245" s="1134">
        <f>'2020'!R\Max</f>
        <v>0.73726590398634817</v>
      </c>
      <c r="BZ245" s="1134">
        <f>'2021'!R\Max</f>
        <v>0.84310715404406866</v>
      </c>
      <c r="CA245" s="1134">
        <f>'2022'!R\Max</f>
        <v>0.70792675958226792</v>
      </c>
      <c r="CB245" s="1134">
        <f>'2023'!R\Max</f>
        <v>0.70780845155475813</v>
      </c>
      <c r="CC245" s="1134">
        <f>'2024'!R\Max</f>
        <v>0.70762652718146424</v>
      </c>
      <c r="CD245" s="1134">
        <f>'2025'!R\Max</f>
        <v>0.70826462685812708</v>
      </c>
      <c r="CE245" s="1134">
        <f>'2026'!R\Max</f>
        <v>0.70820218659844258</v>
      </c>
      <c r="CF245" s="1135">
        <f>'2027'!R\Max</f>
        <v>0.70812534724845155</v>
      </c>
    </row>
    <row r="246" spans="1:84" s="6" customFormat="1" ht="11.25" x14ac:dyDescent="0.2">
      <c r="A246" s="11">
        <v>43332</v>
      </c>
      <c r="B246" s="380">
        <f>'2023'!Maxi_hp</f>
        <v>52.544338316202321</v>
      </c>
      <c r="C246" s="85">
        <f>'2023'!An_max</f>
        <v>2021</v>
      </c>
      <c r="D246" s="1087">
        <f t="shared" si="97"/>
        <v>1.0046046309747407</v>
      </c>
      <c r="E246" s="835">
        <f>AD$13/10</f>
        <v>52.3035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836">
        <f t="shared" si="100"/>
        <v>1</v>
      </c>
      <c r="J246" s="827">
        <f t="shared" si="101"/>
        <v>52.3035000000149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836">
        <f t="shared" si="105"/>
        <v>1</v>
      </c>
      <c r="AT246" s="853">
        <f t="shared" si="106"/>
        <v>52.3035000000149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836">
        <f t="shared" si="110"/>
        <v>0.5</v>
      </c>
      <c r="AY246" s="853">
        <f t="shared" si="111"/>
        <v>52.416976603050713</v>
      </c>
      <c r="AZ246" s="827">
        <f t="shared" si="115"/>
        <v>52.360238301532803</v>
      </c>
      <c r="BA246" s="660">
        <f t="shared" si="112"/>
        <v>1.0046046309747407</v>
      </c>
      <c r="BB246" s="655">
        <v>43332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924">
        <f>1+[2]!Salcycl*Ksac</f>
        <v>1.0492419872908867</v>
      </c>
      <c r="BH246" s="1080">
        <f t="shared" si="113"/>
        <v>8.9252273298896165E-3</v>
      </c>
      <c r="BI246" s="11">
        <v>44428</v>
      </c>
      <c r="BJ246" s="801">
        <v>3.5608066537076699E-4</v>
      </c>
      <c r="BK246" s="801">
        <v>2.7434169539984191E-3</v>
      </c>
      <c r="BL246" s="801">
        <v>5.6212737220636974E-3</v>
      </c>
      <c r="BM246" s="801">
        <v>8.9251050570477719E-3</v>
      </c>
      <c r="BN246" s="801">
        <v>1.2155052258285795E-2</v>
      </c>
      <c r="BO246" s="802">
        <v>1.636472651801614E-2</v>
      </c>
      <c r="BP246" s="801">
        <v>2.2907619485720305E-2</v>
      </c>
      <c r="BQ246" s="801">
        <v>3.3359642463646651E-2</v>
      </c>
      <c r="BR246" s="801">
        <v>4.9303219328689689E-2</v>
      </c>
      <c r="BS246" s="801">
        <v>7.2463108264879089E-2</v>
      </c>
      <c r="BT246" s="801">
        <v>0.10101847946326112</v>
      </c>
      <c r="BW246" s="1136">
        <f>'2018'!R\Max</f>
        <v>0.98560345442333142</v>
      </c>
      <c r="BX246" s="1134">
        <f>'2019'!R\Max</f>
        <v>0.58305896218143538</v>
      </c>
      <c r="BY246" s="1134">
        <f>'2020'!R\Max</f>
        <v>0.97193434574024429</v>
      </c>
      <c r="BZ246" s="1134">
        <f>'2021'!R\Max</f>
        <v>1.0046046309747407</v>
      </c>
      <c r="CA246" s="1134">
        <f>'2022'!R\Max</f>
        <v>1.0012955313911678</v>
      </c>
      <c r="CB246" s="1134">
        <f>'2023'!R\Max</f>
        <v>1.0012955313911678</v>
      </c>
      <c r="CC246" s="1134">
        <f>'2024'!R\Max</f>
        <v>1.001295531391168</v>
      </c>
      <c r="CD246" s="1134">
        <f>'2025'!R\Max</f>
        <v>1.0012955313911678</v>
      </c>
      <c r="CE246" s="1134">
        <f>'2026'!R\Max</f>
        <v>1.0012955313911678</v>
      </c>
      <c r="CF246" s="1135">
        <f>'2027'!R\Max</f>
        <v>1.0012955313911676</v>
      </c>
    </row>
    <row r="247" spans="1:84" s="6" customFormat="1" ht="11.25" x14ac:dyDescent="0.2">
      <c r="A247" s="11">
        <v>43333</v>
      </c>
      <c r="B247" s="380">
        <f>'2023'!Maxi_hp</f>
        <v>51.773522913939907</v>
      </c>
      <c r="C247" s="85">
        <f>'2023'!An_max</f>
        <v>2020</v>
      </c>
      <c r="D247" s="1087">
        <f t="shared" si="97"/>
        <v>0.99199420549839756</v>
      </c>
      <c r="E247" s="747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836">
        <f t="shared" si="100"/>
        <v>0.9285714285714286</v>
      </c>
      <c r="J247" s="827">
        <f t="shared" si="101"/>
        <v>52.191356186327582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836">
        <f t="shared" si="105"/>
        <v>0.9642857142857143</v>
      </c>
      <c r="AT247" s="853">
        <f t="shared" si="106"/>
        <v>52.184511782381946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836">
        <f t="shared" si="110"/>
        <v>0.5357142857142857</v>
      </c>
      <c r="AY247" s="853">
        <f t="shared" si="111"/>
        <v>52.309941124812966</v>
      </c>
      <c r="AZ247" s="827">
        <f t="shared" si="115"/>
        <v>52.247226453597456</v>
      </c>
      <c r="BA247" s="660">
        <f t="shared" si="112"/>
        <v>0.99199420549839756</v>
      </c>
      <c r="BB247" s="655">
        <v>43333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924">
        <f>1+[2]!Salcycl*Ksac</f>
        <v>1.0491773434701233</v>
      </c>
      <c r="BH247" s="1080">
        <f t="shared" si="113"/>
        <v>8.1222340352274883E-3</v>
      </c>
      <c r="BI247" s="11">
        <v>44429</v>
      </c>
      <c r="BJ247" s="801">
        <v>3.0157616438145323E-4</v>
      </c>
      <c r="BK247" s="801">
        <v>2.5008552578789024E-3</v>
      </c>
      <c r="BL247" s="801">
        <v>5.1260886254207716E-3</v>
      </c>
      <c r="BM247" s="801">
        <v>8.1221228466307038E-3</v>
      </c>
      <c r="BN247" s="801">
        <v>1.1059269735332699E-2</v>
      </c>
      <c r="BO247" s="802">
        <v>1.5045271417663828E-2</v>
      </c>
      <c r="BP247" s="801">
        <v>2.1447158665448243E-2</v>
      </c>
      <c r="BQ247" s="801">
        <v>3.1871511739183643E-2</v>
      </c>
      <c r="BR247" s="801">
        <v>4.7916093317892317E-2</v>
      </c>
      <c r="BS247" s="801">
        <v>7.1357516077920347E-2</v>
      </c>
      <c r="BT247" s="801">
        <v>0.10033370119811487</v>
      </c>
      <c r="BW247" s="1136">
        <f>'2018'!R\Max</f>
        <v>0.97817411636691831</v>
      </c>
      <c r="BX247" s="1134">
        <f>'2019'!R\Max</f>
        <v>0.92219872243346757</v>
      </c>
      <c r="BY247" s="1134">
        <f>'2020'!R\Max</f>
        <v>0.99199420549839756</v>
      </c>
      <c r="BZ247" s="1134">
        <f>'2021'!R\Max</f>
        <v>0.96781197518467221</v>
      </c>
      <c r="CA247" s="1134">
        <f>'2022'!R\Max</f>
        <v>0.66650921570935873</v>
      </c>
      <c r="CB247" s="1134">
        <f>'2023'!R\Max</f>
        <v>0.66638722446823828</v>
      </c>
      <c r="CC247" s="1134">
        <f>'2024'!R\Max</f>
        <v>0.6661922366884</v>
      </c>
      <c r="CD247" s="1134">
        <f>'2025'!R\Max</f>
        <v>0.66683840341421596</v>
      </c>
      <c r="CE247" s="1134">
        <f>'2026'!R\Max</f>
        <v>0.66678250147258578</v>
      </c>
      <c r="CF247" s="1135">
        <f>'2027'!R\Max</f>
        <v>0.66670859684822725</v>
      </c>
    </row>
    <row r="248" spans="1:84" s="6" customFormat="1" ht="11.25" x14ac:dyDescent="0.2">
      <c r="A248" s="11">
        <v>43334</v>
      </c>
      <c r="B248" s="380">
        <f>'2023'!Maxi_hp</f>
        <v>53.717329476513434</v>
      </c>
      <c r="C248" s="85">
        <f>'2023'!An_max</f>
        <v>2019</v>
      </c>
      <c r="D248" s="1087">
        <f t="shared" si="97"/>
        <v>1.0314197401972047</v>
      </c>
      <c r="E248" s="747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836">
        <f t="shared" si="100"/>
        <v>0.8571428571428571</v>
      </c>
      <c r="J248" s="827">
        <f t="shared" si="101"/>
        <v>52.08095926711934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836">
        <f t="shared" si="105"/>
        <v>0.9285714285714286</v>
      </c>
      <c r="AT248" s="853">
        <f t="shared" si="106"/>
        <v>52.067159924276972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836">
        <f t="shared" si="110"/>
        <v>0.5714285714285714</v>
      </c>
      <c r="AY248" s="853">
        <f t="shared" si="111"/>
        <v>52.201451861432624</v>
      </c>
      <c r="AZ248" s="827">
        <f t="shared" si="115"/>
        <v>52.134305892854798</v>
      </c>
      <c r="BA248" s="660">
        <f t="shared" si="112"/>
        <v>1.0314197401972047</v>
      </c>
      <c r="BB248" s="655">
        <v>43334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924">
        <f>1+[2]!Salcycl*Ksac</f>
        <v>1.049109371420784</v>
      </c>
      <c r="BH248" s="1080">
        <f t="shared" si="113"/>
        <v>7.3818059259961625E-3</v>
      </c>
      <c r="BI248" s="11">
        <v>44430</v>
      </c>
      <c r="BJ248" s="801">
        <v>2.5609967625461738E-4</v>
      </c>
      <c r="BK248" s="801">
        <v>2.2787722827875352E-3</v>
      </c>
      <c r="BL248" s="801">
        <v>4.6696143418706168E-3</v>
      </c>
      <c r="BM248" s="801">
        <v>7.3817048109286422E-3</v>
      </c>
      <c r="BN248" s="801">
        <v>1.0052750354792436E-2</v>
      </c>
      <c r="BO248" s="802">
        <v>1.3837967937466828E-2</v>
      </c>
      <c r="BP248" s="801">
        <v>2.0119295102152105E-2</v>
      </c>
      <c r="BQ248" s="801">
        <v>3.0535361007334328E-2</v>
      </c>
      <c r="BR248" s="801">
        <v>4.6702941684346466E-2</v>
      </c>
      <c r="BS248" s="801">
        <v>7.0445102065839427E-2</v>
      </c>
      <c r="BT248" s="801">
        <v>9.9857269548526681E-2</v>
      </c>
      <c r="BW248" s="1136">
        <f>'2018'!R\Max</f>
        <v>0.96549907639499977</v>
      </c>
      <c r="BX248" s="1134">
        <f>'2019'!R\Max</f>
        <v>1.0314197401972047</v>
      </c>
      <c r="BY248" s="1134">
        <f>'2020'!R\Max</f>
        <v>0.89018690119696198</v>
      </c>
      <c r="BZ248" s="1134">
        <f>'2021'!R\Max</f>
        <v>0.31983320289058093</v>
      </c>
      <c r="CA248" s="1134">
        <f>'2022'!R\Max</f>
        <v>0.47806238403275697</v>
      </c>
      <c r="CB248" s="1134">
        <f>'2023'!R\Max</f>
        <v>0.47792782701174685</v>
      </c>
      <c r="CC248" s="1134">
        <f>'2024'!R\Max</f>
        <v>0.47770881323382824</v>
      </c>
      <c r="CD248" s="1134">
        <f>'2025'!R\Max</f>
        <v>0.47841542521797659</v>
      </c>
      <c r="CE248" s="1134">
        <f>'2026'!R\Max</f>
        <v>0.47835823879306633</v>
      </c>
      <c r="CF248" s="1135">
        <f>'2027'!R\Max</f>
        <v>0.47827950625897819</v>
      </c>
    </row>
    <row r="249" spans="1:84" s="6" customFormat="1" ht="11.25" x14ac:dyDescent="0.2">
      <c r="A249" s="11">
        <v>43335</v>
      </c>
      <c r="B249" s="380">
        <f>'2023'!Maxi_hp</f>
        <v>51.339633290441888</v>
      </c>
      <c r="C249" s="85">
        <f>'2023'!An_max</f>
        <v>2019</v>
      </c>
      <c r="D249" s="1087">
        <f t="shared" si="97"/>
        <v>0.98783618135591655</v>
      </c>
      <c r="E249" s="747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836">
        <f t="shared" si="100"/>
        <v>0.7857142857142857</v>
      </c>
      <c r="J249" s="827">
        <f t="shared" si="101"/>
        <v>51.971808949103739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836">
        <f t="shared" si="105"/>
        <v>0.8928571428571429</v>
      </c>
      <c r="AT249" s="853">
        <f t="shared" si="106"/>
        <v>51.951155068638869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836">
        <f t="shared" si="110"/>
        <v>0.6071428571428571</v>
      </c>
      <c r="AY249" s="853">
        <f t="shared" si="111"/>
        <v>52.0913004666467</v>
      </c>
      <c r="AZ249" s="827">
        <f t="shared" si="115"/>
        <v>52.021227767642785</v>
      </c>
      <c r="BA249" s="660">
        <f t="shared" si="112"/>
        <v>0.98783618135591655</v>
      </c>
      <c r="BB249" s="655">
        <v>43335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924">
        <f>1+[2]!Salcycl*Ksac</f>
        <v>1.0490379382109087</v>
      </c>
      <c r="BH249" s="1080">
        <f t="shared" si="113"/>
        <v>6.6841513247283086E-3</v>
      </c>
      <c r="BI249" s="11">
        <v>44431</v>
      </c>
      <c r="BJ249" s="801">
        <v>2.1534092899232527E-4</v>
      </c>
      <c r="BK249" s="801">
        <v>2.0698163391759308E-3</v>
      </c>
      <c r="BL249" s="801">
        <v>4.2391241336145122E-3</v>
      </c>
      <c r="BM249" s="801">
        <v>6.68405948673344E-3</v>
      </c>
      <c r="BN249" s="801">
        <v>9.110042804218392E-3</v>
      </c>
      <c r="BO249" s="802">
        <v>1.2712367458802091E-2</v>
      </c>
      <c r="BP249" s="801">
        <v>1.8889035389756274E-2</v>
      </c>
      <c r="BQ249" s="801">
        <v>2.9311507011572788E-2</v>
      </c>
      <c r="BR249" s="801">
        <v>4.5618527877079602E-2</v>
      </c>
      <c r="BS249" s="801">
        <v>6.9674742890455554E-2</v>
      </c>
      <c r="BT249" s="801">
        <v>9.9530654013094105E-2</v>
      </c>
      <c r="BW249" s="1136">
        <f>'2018'!R\Max</f>
        <v>0.4694097324286351</v>
      </c>
      <c r="BX249" s="1134">
        <f>'2019'!R\Max</f>
        <v>0.98783618135591655</v>
      </c>
      <c r="BY249" s="1134">
        <f>'2020'!R\Max</f>
        <v>0.67439837248069745</v>
      </c>
      <c r="BZ249" s="1134">
        <f>'2021'!R\Max</f>
        <v>0.919765199143464</v>
      </c>
      <c r="CA249" s="1134">
        <f>'2022'!R\Max</f>
        <v>0.93029145140018488</v>
      </c>
      <c r="CB249" s="1134">
        <f>'2023'!R\Max</f>
        <v>0.93025700354503815</v>
      </c>
      <c r="CC249" s="1134">
        <f>'2024'!R\Max</f>
        <v>0.93019989774893996</v>
      </c>
      <c r="CD249" s="1134">
        <f>'2025'!R\Max</f>
        <v>0.93037923487043672</v>
      </c>
      <c r="CE249" s="1134">
        <f>'2026'!R\Max</f>
        <v>0.93036573077223594</v>
      </c>
      <c r="CF249" s="1135">
        <f>'2027'!R\Max</f>
        <v>0.93034629611900488</v>
      </c>
    </row>
    <row r="250" spans="1:84" s="6" customFormat="1" ht="11.25" x14ac:dyDescent="0.2">
      <c r="A250" s="11">
        <v>43336</v>
      </c>
      <c r="B250" s="380">
        <f>'2023'!Maxi_hp</f>
        <v>51.228164501997107</v>
      </c>
      <c r="C250" s="85">
        <f>'2023'!An_max</f>
        <v>2019</v>
      </c>
      <c r="D250" s="1087">
        <f t="shared" si="97"/>
        <v>0.98775166347008991</v>
      </c>
      <c r="E250" s="747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836">
        <f t="shared" si="100"/>
        <v>0.7142857142857143</v>
      </c>
      <c r="J250" s="827">
        <f t="shared" si="101"/>
        <v>51.863404939280414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836">
        <f t="shared" si="105"/>
        <v>0.8571428571428571</v>
      </c>
      <c r="AT250" s="853">
        <f t="shared" si="106"/>
        <v>51.836207858340018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836">
        <f t="shared" si="110"/>
        <v>0.6428571428571429</v>
      </c>
      <c r="AY250" s="853">
        <f t="shared" si="111"/>
        <v>51.979278593537003</v>
      </c>
      <c r="AZ250" s="827">
        <f t="shared" si="115"/>
        <v>51.907743225938511</v>
      </c>
      <c r="BA250" s="660">
        <f t="shared" si="112"/>
        <v>0.98775166347008991</v>
      </c>
      <c r="BB250" s="655">
        <v>43336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924">
        <f>1+[2]!Salcycl*Ksac</f>
        <v>1.048962905565918</v>
      </c>
      <c r="BH250" s="1080">
        <f t="shared" si="113"/>
        <v>6.0292683461788798E-3</v>
      </c>
      <c r="BI250" s="11">
        <v>44432</v>
      </c>
      <c r="BJ250" s="801">
        <v>1.7930005074913728E-4</v>
      </c>
      <c r="BK250" s="801">
        <v>1.8739869422045707E-3</v>
      </c>
      <c r="BL250" s="801">
        <v>3.8346168341030513E-3</v>
      </c>
      <c r="BM250" s="801">
        <v>6.0291849887903143E-3</v>
      </c>
      <c r="BN250" s="801">
        <v>8.2311454555552693E-3</v>
      </c>
      <c r="BO250" s="802">
        <v>1.1668469752608138E-2</v>
      </c>
      <c r="BP250" s="801">
        <v>1.7756382964910323E-2</v>
      </c>
      <c r="BQ250" s="801">
        <v>2.819996060154974E-2</v>
      </c>
      <c r="BR250" s="801">
        <v>4.466287551042173E-2</v>
      </c>
      <c r="BS250" s="801">
        <v>6.9046481174124236E-2</v>
      </c>
      <c r="BT250" s="801">
        <v>9.9353920407284496E-2</v>
      </c>
      <c r="BW250" s="1136">
        <f>'2018'!R\Max</f>
        <v>0.31062478251723386</v>
      </c>
      <c r="BX250" s="1134">
        <f>'2019'!R\Max</f>
        <v>0.98775166347008991</v>
      </c>
      <c r="BY250" s="1134">
        <f>'2020'!R\Max</f>
        <v>0.78473980655096864</v>
      </c>
      <c r="BZ250" s="1134">
        <f>'2021'!R\Max</f>
        <v>0.90436888608272914</v>
      </c>
      <c r="CA250" s="1134">
        <f>'2022'!R\Max</f>
        <v>0.96249053653028716</v>
      </c>
      <c r="CB250" s="1134">
        <f>'2023'!R\Max</f>
        <v>0.96247160674306542</v>
      </c>
      <c r="CC250" s="1134">
        <f>'2024'!R\Max</f>
        <v>0.96243969304746169</v>
      </c>
      <c r="CD250" s="1134">
        <f>'2025'!R\Max</f>
        <v>0.96253744877693526</v>
      </c>
      <c r="CE250" s="1134">
        <f>'2026'!R\Max</f>
        <v>0.96253061529542427</v>
      </c>
      <c r="CF250" s="1135">
        <f>'2027'!R\Max</f>
        <v>0.96252030321571225</v>
      </c>
    </row>
    <row r="251" spans="1:84" s="6" customFormat="1" ht="11.25" x14ac:dyDescent="0.2">
      <c r="A251" s="11">
        <v>43337</v>
      </c>
      <c r="B251" s="380">
        <f>'2023'!Maxi_hp</f>
        <v>50.680972332086561</v>
      </c>
      <c r="C251" s="85">
        <f>'2023'!An_max</f>
        <v>2021</v>
      </c>
      <c r="D251" s="1087">
        <f t="shared" si="97"/>
        <v>0.97924317483081014</v>
      </c>
      <c r="E251" s="747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836">
        <f t="shared" si="100"/>
        <v>0.6428571428571429</v>
      </c>
      <c r="J251" s="827">
        <f t="shared" si="101"/>
        <v>51.755246944501835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836">
        <f t="shared" si="105"/>
        <v>0.8214285714285714</v>
      </c>
      <c r="AT251" s="853">
        <f t="shared" si="106"/>
        <v>51.722028936881443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836">
        <f t="shared" si="110"/>
        <v>0.6785714285714286</v>
      </c>
      <c r="AY251" s="853">
        <f t="shared" si="111"/>
        <v>51.865177895308342</v>
      </c>
      <c r="AZ251" s="827">
        <f t="shared" si="115"/>
        <v>51.793603416094896</v>
      </c>
      <c r="BA251" s="660">
        <f t="shared" si="112"/>
        <v>0.97924317483081014</v>
      </c>
      <c r="BB251" s="655">
        <v>43337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924">
        <f>1+[2]!Salcycl*Ksac</f>
        <v>1.0488841300678782</v>
      </c>
      <c r="BH251" s="1080">
        <f t="shared" si="113"/>
        <v>5.4171570132301632E-3</v>
      </c>
      <c r="BI251" s="11">
        <v>44433</v>
      </c>
      <c r="BJ251" s="801">
        <v>1.4797730601083905E-4</v>
      </c>
      <c r="BK251" s="801">
        <v>1.6912842121847716E-3</v>
      </c>
      <c r="BL251" s="801">
        <v>3.4560924763320246E-3</v>
      </c>
      <c r="BM251" s="801">
        <v>5.4170813399371008E-3</v>
      </c>
      <c r="BN251" s="801">
        <v>7.4160595058889852E-3</v>
      </c>
      <c r="BO251" s="802">
        <v>1.070627876147278E-2</v>
      </c>
      <c r="BP251" s="801">
        <v>1.6721347750475856E-2</v>
      </c>
      <c r="BQ251" s="801">
        <v>2.7200743053394167E-2</v>
      </c>
      <c r="BR251" s="801">
        <v>4.3836024889640134E-2</v>
      </c>
      <c r="BS251" s="801">
        <v>6.8560385353945555E-2</v>
      </c>
      <c r="BT251" s="801">
        <v>9.9327171504026937E-2</v>
      </c>
      <c r="BW251" s="1136">
        <f>'2018'!R\Max</f>
        <v>0.45908213306000961</v>
      </c>
      <c r="BX251" s="1134">
        <f>'2019'!R\Max</f>
        <v>0.85752984743338989</v>
      </c>
      <c r="BY251" s="1134">
        <f>'2020'!R\Max</f>
        <v>0.92221459780345638</v>
      </c>
      <c r="BZ251" s="1134">
        <f>'2021'!R\Max</f>
        <v>0.97924317483081014</v>
      </c>
      <c r="CA251" s="1134">
        <f>'2022'!R\Max</f>
        <v>0.6226104470458812</v>
      </c>
      <c r="CB251" s="1134">
        <f>'2023'!R\Max</f>
        <v>0.62248856822964926</v>
      </c>
      <c r="CC251" s="1134">
        <f>'2024'!R\Max</f>
        <v>0.62227992062405291</v>
      </c>
      <c r="CD251" s="1134">
        <f>'2025'!R\Max</f>
        <v>0.62290461674734521</v>
      </c>
      <c r="CE251" s="1134">
        <f>'2026'!R\Max</f>
        <v>0.62286415022547859</v>
      </c>
      <c r="CF251" s="1135">
        <f>'2027'!R\Max</f>
        <v>0.62279993465714389</v>
      </c>
    </row>
    <row r="252" spans="1:84" s="6" customFormat="1" ht="11.25" x14ac:dyDescent="0.2">
      <c r="A252" s="11">
        <v>43338</v>
      </c>
      <c r="B252" s="380">
        <f>'2023'!Maxi_hp</f>
        <v>53.637175533284911</v>
      </c>
      <c r="C252" s="85">
        <f>'2023'!An_max</f>
        <v>2018</v>
      </c>
      <c r="D252" s="1087">
        <f t="shared" si="97"/>
        <v>1.0385375188006487</v>
      </c>
      <c r="E252" s="747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836">
        <f t="shared" si="100"/>
        <v>0.5714285714285714</v>
      </c>
      <c r="J252" s="827">
        <f t="shared" si="101"/>
        <v>51.646834671151417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836">
        <f t="shared" si="105"/>
        <v>0.7857142857142857</v>
      </c>
      <c r="AT252" s="853">
        <f t="shared" si="106"/>
        <v>51.608328947165454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836">
        <f t="shared" si="110"/>
        <v>0.7142857142857143</v>
      </c>
      <c r="AY252" s="853">
        <f t="shared" si="111"/>
        <v>51.74879002603037</v>
      </c>
      <c r="AZ252" s="827">
        <f t="shared" si="115"/>
        <v>51.678559486597912</v>
      </c>
      <c r="BA252" s="660">
        <f t="shared" si="112"/>
        <v>1.0385375188006487</v>
      </c>
      <c r="BB252" s="655">
        <v>43338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924">
        <f>1+[2]!Salcycl*Ksac</f>
        <v>1.0488014632451865</v>
      </c>
      <c r="BH252" s="1080">
        <f t="shared" si="113"/>
        <v>4.847813845319647E-3</v>
      </c>
      <c r="BI252" s="11">
        <v>44434</v>
      </c>
      <c r="BJ252" s="801">
        <v>1.2137295815853034E-4</v>
      </c>
      <c r="BK252" s="801">
        <v>1.5217071892604176E-3</v>
      </c>
      <c r="BL252" s="801">
        <v>3.1035488408302915E-3</v>
      </c>
      <c r="BM252" s="801">
        <v>4.8477450596060298E-3</v>
      </c>
      <c r="BN252" s="801">
        <v>6.6647816135408586E-3</v>
      </c>
      <c r="BO252" s="802">
        <v>9.8257920504695589E-3</v>
      </c>
      <c r="BP252" s="801">
        <v>1.5783929817053097E-2</v>
      </c>
      <c r="BQ252" s="801">
        <v>2.6313859678540941E-2</v>
      </c>
      <c r="BR252" s="801">
        <v>4.3137990698744473E-2</v>
      </c>
      <c r="BS252" s="801">
        <v>6.821648369964832E-2</v>
      </c>
      <c r="BT252" s="801">
        <v>9.945045157054877E-2</v>
      </c>
      <c r="BW252" s="1136">
        <f>'2018'!R\Max</f>
        <v>1.0385375188006487</v>
      </c>
      <c r="BX252" s="1134">
        <f>'2019'!R\Max</f>
        <v>0.87421417449885064</v>
      </c>
      <c r="BY252" s="1134">
        <f>'2020'!R\Max</f>
        <v>0.98070147683089581</v>
      </c>
      <c r="BZ252" s="1134">
        <f>'2021'!R\Max</f>
        <v>1.0012697815122873</v>
      </c>
      <c r="CA252" s="1134">
        <f>'2022'!R\Max</f>
        <v>0.85715571632382059</v>
      </c>
      <c r="CB252" s="1134">
        <f>'2023'!R\Max</f>
        <v>0.85709271097786099</v>
      </c>
      <c r="CC252" s="1134">
        <f>'2024'!R\Max</f>
        <v>0.85698321760119012</v>
      </c>
      <c r="CD252" s="1134">
        <f>'2025'!R\Max</f>
        <v>0.85730384728722941</v>
      </c>
      <c r="CE252" s="1134">
        <f>'2026'!R\Max</f>
        <v>0.85728466245776613</v>
      </c>
      <c r="CF252" s="1135">
        <f>'2027'!R\Max</f>
        <v>0.8572525595262086</v>
      </c>
    </row>
    <row r="253" spans="1:84" s="6" customFormat="1" ht="11.25" x14ac:dyDescent="0.2">
      <c r="A253" s="11">
        <v>43339</v>
      </c>
      <c r="B253" s="380">
        <f>'2023'!Maxi_hp</f>
        <v>51.403994258295555</v>
      </c>
      <c r="C253" s="85">
        <f>'2023'!An_max</f>
        <v>2018</v>
      </c>
      <c r="D253" s="1087">
        <f t="shared" si="97"/>
        <v>0.99740629380101453</v>
      </c>
      <c r="E253" s="747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836">
        <f t="shared" si="100"/>
        <v>0.5</v>
      </c>
      <c r="J253" s="827">
        <f t="shared" si="101"/>
        <v>51.537667826819231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836">
        <f t="shared" si="105"/>
        <v>0.75</v>
      </c>
      <c r="AT253" s="853">
        <f t="shared" si="106"/>
        <v>51.494818532001226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836">
        <f t="shared" si="110"/>
        <v>0.75</v>
      </c>
      <c r="AY253" s="853">
        <f t="shared" si="111"/>
        <v>51.629906638269311</v>
      </c>
      <c r="AZ253" s="827">
        <f t="shared" si="115"/>
        <v>51.562362585135268</v>
      </c>
      <c r="BA253" s="660">
        <f t="shared" si="112"/>
        <v>0.99740629380101453</v>
      </c>
      <c r="BB253" s="655">
        <v>43339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924">
        <f>1+[2]!Salcycl*Ksac</f>
        <v>1.0487147515573738</v>
      </c>
      <c r="BH253" s="1080">
        <f t="shared" si="113"/>
        <v>4.3212366924043006E-3</v>
      </c>
      <c r="BI253" s="11">
        <v>44435</v>
      </c>
      <c r="BJ253" s="801">
        <v>9.9487442887895809E-5</v>
      </c>
      <c r="BK253" s="801">
        <v>1.3652553255208086E-3</v>
      </c>
      <c r="BL253" s="801">
        <v>2.7769845116514826E-3</v>
      </c>
      <c r="BM253" s="801">
        <v>4.3211739977214196E-3</v>
      </c>
      <c r="BN253" s="801">
        <v>5.9773104909132376E-3</v>
      </c>
      <c r="BO253" s="802">
        <v>9.0270098715733455E-3</v>
      </c>
      <c r="BP253" s="801">
        <v>1.4944132524422967E-2</v>
      </c>
      <c r="BQ253" s="801">
        <v>2.553931970528733E-2</v>
      </c>
      <c r="BR253" s="801">
        <v>4.2568792332630501E-2</v>
      </c>
      <c r="BS253" s="801">
        <v>6.801480997332697E-2</v>
      </c>
      <c r="BT253" s="801">
        <v>9.9723811000744636E-2</v>
      </c>
      <c r="BW253" s="1136">
        <f>'2018'!R\Max</f>
        <v>0.99740629380101453</v>
      </c>
      <c r="BX253" s="1134">
        <f>'2019'!R\Max</f>
        <v>0.61575955492180301</v>
      </c>
      <c r="BY253" s="1134">
        <f>'2020'!R\Max</f>
        <v>0.46680670190067053</v>
      </c>
      <c r="BZ253" s="1134">
        <f>'2021'!R\Max</f>
        <v>0.90480331475931053</v>
      </c>
      <c r="CA253" s="1134">
        <f>'2022'!R\Max</f>
        <v>0.96518029268213623</v>
      </c>
      <c r="CB253" s="1134">
        <f>'2023'!R\Max</f>
        <v>0.96516309309293824</v>
      </c>
      <c r="CC253" s="1134">
        <f>'2024'!R\Max</f>
        <v>0.96513279224009119</v>
      </c>
      <c r="CD253" s="1134">
        <f>'2025'!R\Max</f>
        <v>0.9652197536008974</v>
      </c>
      <c r="CE253" s="1134">
        <f>'2026'!R\Max</f>
        <v>0.96521494832692356</v>
      </c>
      <c r="CF253" s="1135">
        <f>'2027'!R\Max</f>
        <v>0.96520645563125762</v>
      </c>
    </row>
    <row r="254" spans="1:84" s="6" customFormat="1" ht="11.25" x14ac:dyDescent="0.2">
      <c r="A254" s="11">
        <v>43340</v>
      </c>
      <c r="B254" s="380">
        <f>'2023'!Maxi_hp</f>
        <v>53.343274555388398</v>
      </c>
      <c r="C254" s="85">
        <f>'2023'!An_max</f>
        <v>2021</v>
      </c>
      <c r="D254" s="1087">
        <f t="shared" si="97"/>
        <v>1.0372570686188689</v>
      </c>
      <c r="E254" s="747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836">
        <f t="shared" si="100"/>
        <v>0.42857142857142855</v>
      </c>
      <c r="J254" s="827">
        <f t="shared" si="101"/>
        <v>51.427246117894541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836">
        <f t="shared" si="105"/>
        <v>0.7142857142857143</v>
      </c>
      <c r="AT254" s="853">
        <f t="shared" si="106"/>
        <v>51.381208334557186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836">
        <f t="shared" si="110"/>
        <v>0.7857142857142857</v>
      </c>
      <c r="AY254" s="853">
        <f t="shared" si="111"/>
        <v>51.508319385050392</v>
      </c>
      <c r="AZ254" s="827">
        <f t="shared" si="115"/>
        <v>51.444763859803786</v>
      </c>
      <c r="BA254" s="660">
        <f t="shared" si="112"/>
        <v>1.0372570686188689</v>
      </c>
      <c r="BB254" s="655">
        <v>43340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924">
        <f>1+[2]!Salcycl*Ksac</f>
        <v>1.0486238362814864</v>
      </c>
      <c r="BH254" s="1080">
        <f t="shared" si="113"/>
        <v>3.8541649555139047E-3</v>
      </c>
      <c r="BI254" s="11">
        <v>44436</v>
      </c>
      <c r="BJ254" s="801">
        <v>8.3672795640433835E-5</v>
      </c>
      <c r="BK254" s="801">
        <v>1.227262792254875E-3</v>
      </c>
      <c r="BL254" s="801">
        <v>2.4868061295077108E-3</v>
      </c>
      <c r="BM254" s="801">
        <v>3.8541073635467646E-3</v>
      </c>
      <c r="BN254" s="801">
        <v>5.3754510264057967E-3</v>
      </c>
      <c r="BO254" s="802">
        <v>8.3357745020372388E-3</v>
      </c>
      <c r="BP254" s="801">
        <v>1.4234455626728862E-2</v>
      </c>
      <c r="BQ254" s="801">
        <v>2.491501788372107E-2</v>
      </c>
      <c r="BR254" s="801">
        <v>4.2168094273614926E-2</v>
      </c>
      <c r="BS254" s="801">
        <v>6.7976033744424041E-2</v>
      </c>
      <c r="BT254" s="801">
        <v>0.10013231168231373</v>
      </c>
      <c r="BW254" s="1136">
        <f>'2018'!R\Max</f>
        <v>0.84114857100510232</v>
      </c>
      <c r="BX254" s="1134">
        <f>'2019'!R\Max</f>
        <v>0.71276655975523473</v>
      </c>
      <c r="BY254" s="1134">
        <f>'2020'!R\Max</f>
        <v>0.96074181868525765</v>
      </c>
      <c r="BZ254" s="1134">
        <f>'2021'!R\Max</f>
        <v>1.0372570686188689</v>
      </c>
      <c r="CA254" s="1134">
        <f>'2022'!R\Max</f>
        <v>0.96966704518199132</v>
      </c>
      <c r="CB254" s="1134">
        <f>'2023'!R\Max</f>
        <v>0.96965201817078472</v>
      </c>
      <c r="CC254" s="1134">
        <f>'2024'!R\Max</f>
        <v>0.96962523579324311</v>
      </c>
      <c r="CD254" s="1134">
        <f>'2025'!R\Max</f>
        <v>0.96970077321803738</v>
      </c>
      <c r="CE254" s="1134">
        <f>'2026'!R\Max</f>
        <v>0.96969690449914525</v>
      </c>
      <c r="CF254" s="1135">
        <f>'2027'!R\Max</f>
        <v>0.96968969335324162</v>
      </c>
    </row>
    <row r="255" spans="1:84" s="6" customFormat="1" ht="11.25" x14ac:dyDescent="0.2">
      <c r="A255" s="11">
        <v>43341</v>
      </c>
      <c r="B255" s="380">
        <f>'2023'!Maxi_hp</f>
        <v>52.809812213553279</v>
      </c>
      <c r="C255" s="85">
        <f>'2023'!An_max</f>
        <v>2021</v>
      </c>
      <c r="D255" s="1087">
        <f t="shared" si="97"/>
        <v>1.0291287332153849</v>
      </c>
      <c r="E255" s="747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836">
        <f t="shared" si="100"/>
        <v>0.35714285714285715</v>
      </c>
      <c r="J255" s="827">
        <f t="shared" si="101"/>
        <v>51.315069251400246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836">
        <f t="shared" si="105"/>
        <v>0.6785714285714286</v>
      </c>
      <c r="AT255" s="853">
        <f t="shared" si="106"/>
        <v>51.267208998161365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836">
        <f t="shared" si="110"/>
        <v>0.8214285714285714</v>
      </c>
      <c r="AY255" s="853">
        <f t="shared" si="111"/>
        <v>51.38381992090892</v>
      </c>
      <c r="AZ255" s="827">
        <f t="shared" si="115"/>
        <v>51.325514459535142</v>
      </c>
      <c r="BA255" s="660">
        <f t="shared" si="112"/>
        <v>1.0291287332153849</v>
      </c>
      <c r="BB255" s="655">
        <v>43341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924">
        <f>1+[2]!Salcycl*Ksac</f>
        <v>1.0485285533082049</v>
      </c>
      <c r="BH255" s="1080">
        <f t="shared" si="113"/>
        <v>3.4251238659054589E-3</v>
      </c>
      <c r="BI255" s="11">
        <v>44437</v>
      </c>
      <c r="BJ255" s="801">
        <v>7.0656351029176561E-5</v>
      </c>
      <c r="BK255" s="801">
        <v>1.100805852881154E-3</v>
      </c>
      <c r="BL255" s="801">
        <v>2.2198351934782866E-3</v>
      </c>
      <c r="BM255" s="801">
        <v>3.4250707846536963E-3</v>
      </c>
      <c r="BN255" s="801">
        <v>4.8272598397497389E-3</v>
      </c>
      <c r="BO255" s="802">
        <v>7.7111874999160569E-3</v>
      </c>
      <c r="BP255" s="801">
        <v>1.3606919050583024E-2</v>
      </c>
      <c r="BQ255" s="801">
        <v>2.438648233758996E-2</v>
      </c>
      <c r="BR255" s="801">
        <v>4.1875080862423426E-2</v>
      </c>
      <c r="BS255" s="801">
        <v>6.8028098631403286E-2</v>
      </c>
      <c r="BT255" s="801">
        <v>0.10058975747199439</v>
      </c>
      <c r="BW255" s="1136">
        <f>'2018'!R\Max</f>
        <v>0.62530136930888325</v>
      </c>
      <c r="BX255" s="1134">
        <f>'2019'!R\Max</f>
        <v>0.95857952757993004</v>
      </c>
      <c r="BY255" s="1134">
        <f>'2020'!R\Max</f>
        <v>0.18401918412516277</v>
      </c>
      <c r="BZ255" s="1134">
        <f>'2021'!R\Max</f>
        <v>1.0291287332153849</v>
      </c>
      <c r="CA255" s="1134">
        <f>'2022'!R\Max</f>
        <v>0.68271137291575945</v>
      </c>
      <c r="CB255" s="1134">
        <f>'2023'!R\Max</f>
        <v>0.68260062027801605</v>
      </c>
      <c r="CC255" s="1134">
        <f>'2024'!R\Max</f>
        <v>0.68240128544320677</v>
      </c>
      <c r="CD255" s="1134">
        <f>'2025'!R\Max</f>
        <v>0.68295497069452338</v>
      </c>
      <c r="CE255" s="1134">
        <f>'2026'!R\Max</f>
        <v>0.68292865686993143</v>
      </c>
      <c r="CF255" s="1135">
        <f>'2027'!R\Max</f>
        <v>0.6828769102627128</v>
      </c>
    </row>
    <row r="256" spans="1:84" s="6" customFormat="1" ht="11.25" x14ac:dyDescent="0.2">
      <c r="A256" s="11">
        <v>43342</v>
      </c>
      <c r="B256" s="380">
        <f>'2023'!Maxi_hp</f>
        <v>51.020688029577649</v>
      </c>
      <c r="C256" s="85">
        <f>'2023'!An_max</f>
        <v>2021</v>
      </c>
      <c r="D256" s="1087">
        <f t="shared" si="97"/>
        <v>0.99648541667786139</v>
      </c>
      <c r="E256" s="747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836">
        <f t="shared" si="100"/>
        <v>0.2857142857142857</v>
      </c>
      <c r="J256" s="827">
        <f t="shared" si="101"/>
        <v>51.200636934229564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836">
        <f t="shared" si="105"/>
        <v>0.6428571428571429</v>
      </c>
      <c r="AT256" s="853">
        <f t="shared" si="106"/>
        <v>51.152531165543145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836">
        <f t="shared" si="110"/>
        <v>0.8571428571428571</v>
      </c>
      <c r="AY256" s="853">
        <f t="shared" si="111"/>
        <v>51.256199898916705</v>
      </c>
      <c r="AZ256" s="827">
        <f t="shared" si="115"/>
        <v>51.204365532229929</v>
      </c>
      <c r="BA256" s="660">
        <f t="shared" si="112"/>
        <v>0.99648541667786139</v>
      </c>
      <c r="BB256" s="655">
        <v>43342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924">
        <f>1+[2]!Salcycl*Ksac</f>
        <v>1.0484287328574349</v>
      </c>
      <c r="BH256" s="1080">
        <f t="shared" si="113"/>
        <v>3.0341147192395139E-3</v>
      </c>
      <c r="BI256" s="11">
        <v>44438</v>
      </c>
      <c r="BJ256" s="801">
        <v>6.0438583681891861E-5</v>
      </c>
      <c r="BK256" s="801">
        <v>9.858849925576407E-4</v>
      </c>
      <c r="BL256" s="801">
        <v>1.9760724024547286E-3</v>
      </c>
      <c r="BM256" s="801">
        <v>3.0340655566346575E-3</v>
      </c>
      <c r="BN256" s="801">
        <v>4.3327400256977771E-3</v>
      </c>
      <c r="BO256" s="802">
        <v>7.1532542481541452E-3</v>
      </c>
      <c r="BP256" s="801">
        <v>1.3061533285982403E-2</v>
      </c>
      <c r="BQ256" s="801">
        <v>2.395373126242727E-2</v>
      </c>
      <c r="BR256" s="801">
        <v>4.1689781721113865E-2</v>
      </c>
      <c r="BS256" s="801">
        <v>6.8171041887993764E-2</v>
      </c>
      <c r="BT256" s="801">
        <v>0.1010961889759924</v>
      </c>
      <c r="BW256" s="1136">
        <f>'2018'!R\Max</f>
        <v>0.9268597523718104</v>
      </c>
      <c r="BX256" s="1134">
        <f>'2019'!R\Max</f>
        <v>0.95143146790816213</v>
      </c>
      <c r="BY256" s="1134">
        <f>'2020'!R\Max</f>
        <v>0.48658345004430054</v>
      </c>
      <c r="BZ256" s="1134">
        <f>'2021'!R\Max</f>
        <v>0.99648541667786139</v>
      </c>
      <c r="CA256" s="1134">
        <f>'2022'!R\Max</f>
        <v>0.96762432095548789</v>
      </c>
      <c r="CB256" s="1134">
        <f>'2023'!R\Max</f>
        <v>0.96760824453964656</v>
      </c>
      <c r="CC256" s="1134">
        <f>'2024'!R\Max</f>
        <v>0.96757904321374144</v>
      </c>
      <c r="CD256" s="1134">
        <f>'2025'!R\Max</f>
        <v>0.96765898976166931</v>
      </c>
      <c r="CE256" s="1134">
        <f>'2026'!R\Max</f>
        <v>0.96765546223607179</v>
      </c>
      <c r="CF256" s="1135">
        <f>'2027'!R\Max</f>
        <v>0.96764814748723671</v>
      </c>
    </row>
    <row r="257" spans="1:84" s="6" customFormat="1" ht="11.25" x14ac:dyDescent="0.2">
      <c r="A257" s="11">
        <v>43343</v>
      </c>
      <c r="B257" s="380">
        <f>'2023'!Maxi_hp</f>
        <v>51.639133296774915</v>
      </c>
      <c r="C257" s="85">
        <f>'2023'!An_max</f>
        <v>2021</v>
      </c>
      <c r="D257" s="1087">
        <f t="shared" si="97"/>
        <v>1.0108779739107316</v>
      </c>
      <c r="E257" s="747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836">
        <f t="shared" si="100"/>
        <v>0.21428571428571427</v>
      </c>
      <c r="J257" s="827">
        <f t="shared" si="101"/>
        <v>51.083448872667837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836">
        <f t="shared" si="105"/>
        <v>0.6071428571428571</v>
      </c>
      <c r="AT257" s="853">
        <f t="shared" si="106"/>
        <v>51.036885479734543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836">
        <f t="shared" si="110"/>
        <v>0.8928571428571429</v>
      </c>
      <c r="AY257" s="853">
        <f t="shared" si="111"/>
        <v>51.125250971141007</v>
      </c>
      <c r="AZ257" s="827">
        <f t="shared" si="115"/>
        <v>51.081068225437775</v>
      </c>
      <c r="BA257" s="660">
        <f t="shared" si="112"/>
        <v>1.0108779739107316</v>
      </c>
      <c r="BB257" s="655">
        <v>43343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924">
        <f>1+[2]!Salcycl*Ksac</f>
        <v>1.048324199124582</v>
      </c>
      <c r="BH257" s="1080">
        <f t="shared" si="113"/>
        <v>2.6811402372945983E-3</v>
      </c>
      <c r="BI257" s="11">
        <v>44439</v>
      </c>
      <c r="BJ257" s="801">
        <v>5.3020086187219122E-5</v>
      </c>
      <c r="BK257" s="801">
        <v>8.8250113156397179E-4</v>
      </c>
      <c r="BL257" s="801">
        <v>1.7555193219343176E-3</v>
      </c>
      <c r="BM257" s="801">
        <v>2.6810944011763532E-3</v>
      </c>
      <c r="BN257" s="801">
        <v>3.8918967315191345E-3</v>
      </c>
      <c r="BO257" s="802">
        <v>6.6619827171834414E-3</v>
      </c>
      <c r="BP257" s="801">
        <v>1.2598312109545375E-2</v>
      </c>
      <c r="BQ257" s="801">
        <v>2.3616786824017671E-2</v>
      </c>
      <c r="BR257" s="801">
        <v>4.1612231140726944E-2</v>
      </c>
      <c r="BS257" s="801">
        <v>6.8404904902441235E-2</v>
      </c>
      <c r="BT257" s="801">
        <v>0.10165164930233803</v>
      </c>
      <c r="BW257" s="1136">
        <f>'2018'!R\Max</f>
        <v>0.93098482887761147</v>
      </c>
      <c r="BX257" s="1134">
        <f>'2019'!R\Max</f>
        <v>0.92080621141362373</v>
      </c>
      <c r="BY257" s="1134">
        <f>'2020'!R\Max</f>
        <v>0.52844545802956067</v>
      </c>
      <c r="BZ257" s="1134">
        <f>'2021'!R\Max</f>
        <v>1.0108779739107316</v>
      </c>
      <c r="CA257" s="1134">
        <f>'2022'!R\Max</f>
        <v>0.44073187653641527</v>
      </c>
      <c r="CB257" s="1134">
        <f>'2023'!R\Max</f>
        <v>0.44060463710735959</v>
      </c>
      <c r="CC257" s="1134">
        <f>'2024'!R\Max</f>
        <v>0.44037200300688095</v>
      </c>
      <c r="CD257" s="1134">
        <f>'2025'!R\Max</f>
        <v>0.44100171972553831</v>
      </c>
      <c r="CE257" s="1134">
        <f>'2026'!R\Max</f>
        <v>0.44097577687223505</v>
      </c>
      <c r="CF257" s="1135">
        <f>'2027'!R\Max</f>
        <v>0.44091919076842084</v>
      </c>
    </row>
    <row r="258" spans="1:84" s="6" customFormat="1" ht="11.25" x14ac:dyDescent="0.2">
      <c r="A258" s="11">
        <v>43344</v>
      </c>
      <c r="B258" s="380">
        <f>'2023'!Maxi_hp</f>
        <v>52.083506608695828</v>
      </c>
      <c r="C258" s="85">
        <f>'2023'!An_max</f>
        <v>2018</v>
      </c>
      <c r="D258" s="1087">
        <f t="shared" si="97"/>
        <v>1.0219865731869024</v>
      </c>
      <c r="E258" s="747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836">
        <f t="shared" si="100"/>
        <v>0.14285714285714285</v>
      </c>
      <c r="J258" s="827">
        <f t="shared" si="101"/>
        <v>50.963004774399039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836">
        <f t="shared" si="105"/>
        <v>0.5714285714285714</v>
      </c>
      <c r="AT258" s="853">
        <f t="shared" si="106"/>
        <v>50.91998258398047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836">
        <f t="shared" si="110"/>
        <v>0.9285714285714286</v>
      </c>
      <c r="AY258" s="853">
        <f t="shared" si="111"/>
        <v>50.990764792908784</v>
      </c>
      <c r="AZ258" s="827">
        <f t="shared" si="115"/>
        <v>50.955373688444624</v>
      </c>
      <c r="BA258" s="660">
        <f t="shared" si="112"/>
        <v>1.0219865731869024</v>
      </c>
      <c r="BB258" s="655">
        <v>43344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924">
        <f>1+[2]!Salcycl*Ksac</f>
        <v>1.0482147698700481</v>
      </c>
      <c r="BH258" s="1080">
        <f t="shared" si="113"/>
        <v>2.366204635204434E-3</v>
      </c>
      <c r="BI258" s="11">
        <v>44440</v>
      </c>
      <c r="BJ258" s="801">
        <v>4.840157403689936E-5</v>
      </c>
      <c r="BK258" s="801">
        <v>7.906556456947529E-4</v>
      </c>
      <c r="BL258" s="801">
        <v>1.558178425051371E-3</v>
      </c>
      <c r="BM258" s="801">
        <v>2.3661615332959229E-3</v>
      </c>
      <c r="BN258" s="801">
        <v>3.504737251866613E-3</v>
      </c>
      <c r="BO258" s="802">
        <v>6.2373835827121728E-3</v>
      </c>
      <c r="BP258" s="801">
        <v>1.2217272729622959E-2</v>
      </c>
      <c r="BQ258" s="801">
        <v>2.3375675327490325E-2</v>
      </c>
      <c r="BR258" s="801">
        <v>4.1642468271283629E-2</v>
      </c>
      <c r="BS258" s="801">
        <v>6.8729733357584935E-2</v>
      </c>
      <c r="BT258" s="801">
        <v>0.10225618414678656</v>
      </c>
      <c r="BW258" s="1136">
        <f>'2018'!R\Max</f>
        <v>1.0219865731869024</v>
      </c>
      <c r="BX258" s="1134">
        <f>'2019'!R\Max</f>
        <v>0.3134067250489766</v>
      </c>
      <c r="BY258" s="1134">
        <f>'2020'!R\Max</f>
        <v>0.84600921988996325</v>
      </c>
      <c r="BZ258" s="1134">
        <f>'2021'!R\Max</f>
        <v>0.7364063007845727</v>
      </c>
      <c r="CA258" s="1134">
        <f>'2022'!R\Max</f>
        <v>0.89847224898830091</v>
      </c>
      <c r="CB258" s="1134">
        <f>'2023'!R\Max</f>
        <v>0.89842473374429654</v>
      </c>
      <c r="CC258" s="1134">
        <f>'2024'!R\Max</f>
        <v>0.89833729389226191</v>
      </c>
      <c r="CD258" s="1134">
        <f>'2025'!R\Max</f>
        <v>0.89857137844999635</v>
      </c>
      <c r="CE258" s="1134">
        <f>'2026'!R\Max</f>
        <v>0.89856234555889147</v>
      </c>
      <c r="CF258" s="1135">
        <f>'2027'!R\Max</f>
        <v>0.89854169377929349</v>
      </c>
    </row>
    <row r="259" spans="1:84" s="6" customFormat="1" ht="11.25" x14ac:dyDescent="0.2">
      <c r="A259" s="11">
        <v>43345</v>
      </c>
      <c r="B259" s="380">
        <f>'2023'!Maxi_hp</f>
        <v>50.502495754224739</v>
      </c>
      <c r="C259" s="85">
        <f>'2023'!An_max</f>
        <v>2018</v>
      </c>
      <c r="D259" s="1087">
        <f t="shared" si="97"/>
        <v>0.99338480525283646</v>
      </c>
      <c r="E259" s="747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836">
        <f t="shared" si="100"/>
        <v>7.1428571428571425E-2</v>
      </c>
      <c r="J259" s="827">
        <f t="shared" si="101"/>
        <v>50.838804345684387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836">
        <f t="shared" si="105"/>
        <v>0.5357142857142857</v>
      </c>
      <c r="AT259" s="853">
        <f t="shared" si="106"/>
        <v>50.801533121193231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836">
        <f t="shared" si="110"/>
        <v>0.9642857142857143</v>
      </c>
      <c r="AY259" s="853">
        <f t="shared" si="111"/>
        <v>50.852533016234105</v>
      </c>
      <c r="AZ259" s="827">
        <f t="shared" si="115"/>
        <v>50.827033068713668</v>
      </c>
      <c r="BA259" s="660">
        <f t="shared" si="112"/>
        <v>0.99338480525283646</v>
      </c>
      <c r="BB259" s="655">
        <v>43345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924">
        <f>1+[2]!Salcycl*Ksac</f>
        <v>1.0481002559656611</v>
      </c>
      <c r="BH259" s="1080">
        <f t="shared" si="113"/>
        <v>2.0893136886627616E-3</v>
      </c>
      <c r="BI259" s="11">
        <v>44441</v>
      </c>
      <c r="BJ259" s="801">
        <v>4.6583890567307864E-5</v>
      </c>
      <c r="BK259" s="801">
        <v>7.1035038664280707E-4</v>
      </c>
      <c r="BL259" s="801">
        <v>1.384053133587803E-3</v>
      </c>
      <c r="BM259" s="801">
        <v>2.0892727285447194E-3</v>
      </c>
      <c r="BN259" s="801">
        <v>3.1712711235998502E-3</v>
      </c>
      <c r="BO259" s="802">
        <v>5.8794703434508549E-3</v>
      </c>
      <c r="BP259" s="801">
        <v>1.19184359313132E-2</v>
      </c>
      <c r="BQ259" s="801">
        <v>2.323042738625546E-2</v>
      </c>
      <c r="BR259" s="801">
        <v>4.1780537311530912E-2</v>
      </c>
      <c r="BS259" s="801">
        <v>6.9145577390538712E-2</v>
      </c>
      <c r="BT259" s="801">
        <v>0.10290984187814195</v>
      </c>
      <c r="BW259" s="1136">
        <f>'2018'!R\Max</f>
        <v>0.99338480525283646</v>
      </c>
      <c r="BX259" s="1134">
        <f>'2019'!R\Max</f>
        <v>0.97016080611778843</v>
      </c>
      <c r="BY259" s="1134">
        <f>'2020'!R\Max</f>
        <v>0.85668160812999961</v>
      </c>
      <c r="BZ259" s="1134">
        <f>'2021'!R\Max</f>
        <v>0.37757442703838434</v>
      </c>
      <c r="CA259" s="1134">
        <f>'2022'!R\Max</f>
        <v>0.8399747550498321</v>
      </c>
      <c r="CB259" s="1134">
        <f>'2023'!R\Max</f>
        <v>0.83990394244598898</v>
      </c>
      <c r="CC259" s="1134">
        <f>'2024'!R\Max</f>
        <v>0.83977306946453123</v>
      </c>
      <c r="CD259" s="1134">
        <f>'2025'!R\Max</f>
        <v>0.84012051032714008</v>
      </c>
      <c r="CE259" s="1134">
        <f>'2026'!R\Max</f>
        <v>0.84010784068893696</v>
      </c>
      <c r="CF259" s="1135">
        <f>'2027'!R\Max</f>
        <v>0.84007765352543151</v>
      </c>
    </row>
    <row r="260" spans="1:84" s="6" customFormat="1" ht="11.25" x14ac:dyDescent="0.2">
      <c r="A260" s="11">
        <v>43346</v>
      </c>
      <c r="B260" s="380">
        <f>'2023'!Maxi_hp</f>
        <v>52.236523625300045</v>
      </c>
      <c r="C260" s="85">
        <f>'2023'!An_max</f>
        <v>2020</v>
      </c>
      <c r="D260" s="1087">
        <f t="shared" si="97"/>
        <v>1.0300959550205322</v>
      </c>
      <c r="E260" s="835">
        <f>AE$13/10</f>
        <v>50.710347293908853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836">
        <f t="shared" si="100"/>
        <v>0</v>
      </c>
      <c r="J260" s="827">
        <f t="shared" si="101"/>
        <v>50.710347294062373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836">
        <f t="shared" si="105"/>
        <v>0.5</v>
      </c>
      <c r="AT260" s="853">
        <f t="shared" si="106"/>
        <v>50.681247735070066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836">
        <f t="shared" si="110"/>
        <v>1</v>
      </c>
      <c r="AY260" s="853">
        <f t="shared" si="111"/>
        <v>50.710347294062373</v>
      </c>
      <c r="AZ260" s="827">
        <f t="shared" si="115"/>
        <v>50.695797514566223</v>
      </c>
      <c r="BA260" s="660">
        <f t="shared" si="112"/>
        <v>1.0300959550205322</v>
      </c>
      <c r="BB260" s="655">
        <v>43346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924">
        <f>1+[2]!Salcycl*Ksac</f>
        <v>1.0479804609127588</v>
      </c>
      <c r="BH260" s="1080">
        <f t="shared" si="113"/>
        <v>1.8504748011045585E-3</v>
      </c>
      <c r="BI260" s="11">
        <v>44442</v>
      </c>
      <c r="BJ260" s="801">
        <v>4.7568011900584294E-5</v>
      </c>
      <c r="BK260" s="801">
        <v>6.4158770237450263E-4</v>
      </c>
      <c r="BL260" s="801">
        <v>1.2331478589680791E-3</v>
      </c>
      <c r="BM260" s="801">
        <v>1.8504353901884808E-3</v>
      </c>
      <c r="BN260" s="801">
        <v>2.891510220573558E-3</v>
      </c>
      <c r="BO260" s="802">
        <v>5.5882594387748966E-3</v>
      </c>
      <c r="BP260" s="801">
        <v>1.1701826221349616E-2</v>
      </c>
      <c r="BQ260" s="801">
        <v>2.3181078090697582E-2</v>
      </c>
      <c r="BR260" s="801">
        <v>4.2026487698251784E-2</v>
      </c>
      <c r="BS260" s="801">
        <v>6.9652491751649268E-2</v>
      </c>
      <c r="BT260" s="801">
        <v>0.10361267362250183</v>
      </c>
      <c r="BW260" s="1136">
        <f>'2018'!R\Max</f>
        <v>1.0181154311950718</v>
      </c>
      <c r="BX260" s="1134">
        <f>'2019'!R\Max</f>
        <v>1.0244496211876524</v>
      </c>
      <c r="BY260" s="1134">
        <f>'2020'!R\Max</f>
        <v>1.0300959550205322</v>
      </c>
      <c r="BZ260" s="1134">
        <f>'2021'!R\Max</f>
        <v>0.58352890568433124</v>
      </c>
      <c r="CA260" s="1134">
        <f>'2022'!R\Max</f>
        <v>0.80038010934808523</v>
      </c>
      <c r="CB260" s="1134">
        <f>'2023'!R\Max</f>
        <v>0.80029476860638926</v>
      </c>
      <c r="CC260" s="1134">
        <f>'2024'!R\Max</f>
        <v>0.80013658992355208</v>
      </c>
      <c r="CD260" s="1134">
        <f>'2025'!R\Max</f>
        <v>0.80055379287829453</v>
      </c>
      <c r="CE260" s="1134">
        <f>'2026'!R\Max</f>
        <v>0.80053927929955804</v>
      </c>
      <c r="CF260" s="1135">
        <f>'2027'!R\Max</f>
        <v>0.80050350480647448</v>
      </c>
    </row>
    <row r="261" spans="1:84" s="6" customFormat="1" ht="11.25" x14ac:dyDescent="0.2">
      <c r="A261" s="11">
        <v>43347</v>
      </c>
      <c r="B261" s="380">
        <f>'2023'!Maxi_hp</f>
        <v>51.364733019215166</v>
      </c>
      <c r="C261" s="85">
        <f>'2023'!An_max</f>
        <v>2019</v>
      </c>
      <c r="D261" s="1087">
        <f t="shared" si="97"/>
        <v>1.0155329957627435</v>
      </c>
      <c r="E261" s="747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836">
        <f t="shared" si="100"/>
        <v>7.1428571428571425E-2</v>
      </c>
      <c r="J261" s="827">
        <f t="shared" si="101"/>
        <v>50.579088255656622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836">
        <f t="shared" si="105"/>
        <v>0.4642857142857143</v>
      </c>
      <c r="AT261" s="853">
        <f t="shared" si="106"/>
        <v>50.55883706720612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836">
        <f t="shared" si="110"/>
        <v>0.9642857142857143</v>
      </c>
      <c r="AY261" s="853">
        <f t="shared" si="111"/>
        <v>50.5655831137273</v>
      </c>
      <c r="AZ261" s="827">
        <f t="shared" si="115"/>
        <v>50.562210090466706</v>
      </c>
      <c r="BA261" s="660">
        <f t="shared" si="112"/>
        <v>1.0155329957627435</v>
      </c>
      <c r="BB261" s="655">
        <v>43347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924">
        <f>1+[2]!Salcycl*Ksac</f>
        <v>1.0478551803474718</v>
      </c>
      <c r="BH261" s="1080">
        <f t="shared" si="113"/>
        <v>1.649697070896331E-3</v>
      </c>
      <c r="BI261" s="11">
        <v>44443</v>
      </c>
      <c r="BJ261" s="801">
        <v>5.1355051885754609E-5</v>
      </c>
      <c r="BK261" s="801">
        <v>5.8437045750754386E-4</v>
      </c>
      <c r="BL261" s="801">
        <v>1.10546804325977E-3</v>
      </c>
      <c r="BM261" s="801">
        <v>1.6496586163965803E-3</v>
      </c>
      <c r="BN261" s="801">
        <v>2.6654688484356315E-3</v>
      </c>
      <c r="BO261" s="802">
        <v>5.3637703663939858E-3</v>
      </c>
      <c r="BP261" s="801">
        <v>1.1567471972984448E-2</v>
      </c>
      <c r="BQ261" s="801">
        <v>2.3227667176839412E-2</v>
      </c>
      <c r="BR261" s="801">
        <v>4.2380374295505042E-2</v>
      </c>
      <c r="BS261" s="801">
        <v>7.0250535963330654E-2</v>
      </c>
      <c r="BT261" s="801">
        <v>0.10436473334731677</v>
      </c>
      <c r="BW261" s="1136">
        <f>'2018'!R\Max</f>
        <v>0.9428509472959089</v>
      </c>
      <c r="BX261" s="1134">
        <f>'2019'!R\Max</f>
        <v>1.0155329957627435</v>
      </c>
      <c r="BY261" s="1134">
        <f>'2020'!R\Max</f>
        <v>0.99541256014330393</v>
      </c>
      <c r="BZ261" s="1134">
        <f>'2021'!R\Max</f>
        <v>0.7749693454396045</v>
      </c>
      <c r="CA261" s="1134">
        <f>'2022'!R\Max</f>
        <v>0.95923866468412111</v>
      </c>
      <c r="CB261" s="1134">
        <f>'2023'!R\Max</f>
        <v>0.95921743659169834</v>
      </c>
      <c r="CC261" s="1134">
        <f>'2024'!R\Max</f>
        <v>0.95917801968014582</v>
      </c>
      <c r="CD261" s="1134">
        <f>'2025'!R\Max</f>
        <v>0.95928146552194882</v>
      </c>
      <c r="CE261" s="1134">
        <f>'2026'!R\Max</f>
        <v>0.9592779956348193</v>
      </c>
      <c r="CF261" s="1135">
        <f>'2027'!R\Max</f>
        <v>0.95926922486371891</v>
      </c>
    </row>
    <row r="262" spans="1:84" s="6" customFormat="1" ht="11.25" x14ac:dyDescent="0.2">
      <c r="A262" s="11">
        <v>43348</v>
      </c>
      <c r="B262" s="380">
        <f>'2023'!Maxi_hp</f>
        <v>50.98450100113412</v>
      </c>
      <c r="C262" s="85">
        <f>'2023'!An_max</f>
        <v>2020</v>
      </c>
      <c r="D262" s="1087">
        <f t="shared" si="97"/>
        <v>1.0106628057359599</v>
      </c>
      <c r="E262" s="747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836">
        <f t="shared" si="100"/>
        <v>0.14285714285714285</v>
      </c>
      <c r="J262" s="827">
        <f t="shared" si="101"/>
        <v>50.446598718953986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836">
        <f t="shared" si="105"/>
        <v>0.42857142857142855</v>
      </c>
      <c r="AT262" s="853">
        <f t="shared" si="106"/>
        <v>50.434011762003806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836">
        <f t="shared" si="110"/>
        <v>0.9285714285714286</v>
      </c>
      <c r="AY262" s="853">
        <f t="shared" si="111"/>
        <v>50.419669402816467</v>
      </c>
      <c r="AZ262" s="827">
        <f t="shared" si="115"/>
        <v>50.426840582410136</v>
      </c>
      <c r="BA262" s="660">
        <f t="shared" si="112"/>
        <v>1.0106628057359599</v>
      </c>
      <c r="BB262" s="655">
        <v>43348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924">
        <f>1+[2]!Salcycl*Ksac</f>
        <v>1.0477242015493811</v>
      </c>
      <c r="BH262" s="1080">
        <f t="shared" si="113"/>
        <v>1.4984143068088496E-3</v>
      </c>
      <c r="BI262" s="11">
        <v>44444</v>
      </c>
      <c r="BJ262" s="801">
        <v>5.960008669202953E-5</v>
      </c>
      <c r="BK262" s="801">
        <v>5.4339053796153322E-4</v>
      </c>
      <c r="BL262" s="801">
        <v>1.0090365615993723E-3</v>
      </c>
      <c r="BM262" s="801">
        <v>1.4983761598023257E-3</v>
      </c>
      <c r="BN262" s="801">
        <v>2.5060636814135556E-3</v>
      </c>
      <c r="BO262" s="802">
        <v>5.2217137301766997E-3</v>
      </c>
      <c r="BP262" s="801">
        <v>1.1532727665922676E-2</v>
      </c>
      <c r="BQ262" s="801">
        <v>2.3387071250300474E-2</v>
      </c>
      <c r="BR262" s="801">
        <v>4.2846640697107176E-2</v>
      </c>
      <c r="BS262" s="801">
        <v>7.0932002698546895E-2</v>
      </c>
      <c r="BT262" s="801">
        <v>0.10514826245141898</v>
      </c>
      <c r="BW262" s="1136">
        <f>'2018'!R\Max</f>
        <v>0.8732764508726969</v>
      </c>
      <c r="BX262" s="1134">
        <f>'2019'!R\Max</f>
        <v>0.78182947203025843</v>
      </c>
      <c r="BY262" s="1134">
        <f>'2020'!R\Max</f>
        <v>1.0106628057359599</v>
      </c>
      <c r="BZ262" s="1134">
        <f>'2021'!R\Max</f>
        <v>0.9185580042624184</v>
      </c>
      <c r="CA262" s="1134">
        <f>'2022'!R\Max</f>
        <v>0.88297883469455662</v>
      </c>
      <c r="CB262" s="1134">
        <f>'2023'!R\Max</f>
        <v>0.88292167872398175</v>
      </c>
      <c r="CC262" s="1134">
        <f>'2024'!R\Max</f>
        <v>0.88281557130975286</v>
      </c>
      <c r="CD262" s="1134">
        <f>'2025'!R\Max</f>
        <v>0.88309335947545398</v>
      </c>
      <c r="CE262" s="1134">
        <f>'2026'!R\Max</f>
        <v>0.88308424757551651</v>
      </c>
      <c r="CF262" s="1135">
        <f>'2027'!R\Max</f>
        <v>0.8830608743501146</v>
      </c>
    </row>
    <row r="263" spans="1:84" s="6" customFormat="1" ht="11.25" x14ac:dyDescent="0.2">
      <c r="A263" s="11">
        <v>43349</v>
      </c>
      <c r="B263" s="380">
        <f>'2023'!Maxi_hp</f>
        <v>50.093779259666192</v>
      </c>
      <c r="C263" s="85">
        <f>'2023'!An_max</f>
        <v>2019</v>
      </c>
      <c r="D263" s="1087">
        <f t="shared" si="97"/>
        <v>0.99565169335313952</v>
      </c>
      <c r="E263" s="747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836">
        <f t="shared" si="100"/>
        <v>0.21428571428571427</v>
      </c>
      <c r="J263" s="827">
        <f t="shared" si="101"/>
        <v>50.312553671215262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836">
        <f t="shared" si="105"/>
        <v>0.39285714285714285</v>
      </c>
      <c r="AT263" s="853">
        <f t="shared" si="106"/>
        <v>50.306482461743457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836">
        <f t="shared" si="110"/>
        <v>0.8928571428571429</v>
      </c>
      <c r="AY263" s="853">
        <f t="shared" si="111"/>
        <v>50.272477977949059</v>
      </c>
      <c r="AZ263" s="827">
        <f t="shared" si="115"/>
        <v>50.289480219846254</v>
      </c>
      <c r="BA263" s="660">
        <f t="shared" si="112"/>
        <v>0.99565169335313952</v>
      </c>
      <c r="BB263" s="655">
        <v>43349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924">
        <f>1+[2]!Salcycl*Ksac</f>
        <v>1.0475873029701537</v>
      </c>
      <c r="BH263" s="1080">
        <f t="shared" si="113"/>
        <v>1.3752823126623641E-3</v>
      </c>
      <c r="BI263" s="11">
        <v>44445</v>
      </c>
      <c r="BJ263" s="801">
        <v>7.0855076739253866E-5</v>
      </c>
      <c r="BK263" s="801">
        <v>5.1243236072410602E-4</v>
      </c>
      <c r="BL263" s="801">
        <v>9.3102108851084045E-4</v>
      </c>
      <c r="BM263" s="801">
        <v>1.375244225075954E-3</v>
      </c>
      <c r="BN263" s="801">
        <v>2.3813621108825607E-3</v>
      </c>
      <c r="BO263" s="802">
        <v>5.1212175965428047E-3</v>
      </c>
      <c r="BP263" s="801">
        <v>1.1547926293240545E-2</v>
      </c>
      <c r="BQ263" s="801">
        <v>2.3601483732218011E-2</v>
      </c>
      <c r="BR263" s="801">
        <v>4.3357486448664349E-2</v>
      </c>
      <c r="BS263" s="801">
        <v>7.1627169881578204E-2</v>
      </c>
      <c r="BT263" s="801">
        <v>0.10590011101904795</v>
      </c>
      <c r="BW263" s="1136">
        <f>'2018'!R\Max</f>
        <v>0.6416820279521952</v>
      </c>
      <c r="BX263" s="1134">
        <f>'2019'!R\Max</f>
        <v>0.99565169335313952</v>
      </c>
      <c r="BY263" s="1134">
        <f>'2020'!R\Max</f>
        <v>0.90703094507704707</v>
      </c>
      <c r="BZ263" s="1134">
        <f>'2021'!R\Max</f>
        <v>0.99136440514842039</v>
      </c>
      <c r="CA263" s="1134">
        <f>'2022'!R\Max</f>
        <v>0.95337829616732905</v>
      </c>
      <c r="CB263" s="1134">
        <f>'2023'!R\Max</f>
        <v>0.9533532187129603</v>
      </c>
      <c r="CC263" s="1134">
        <f>'2024'!R\Max</f>
        <v>0.95330670276511698</v>
      </c>
      <c r="CD263" s="1134">
        <f>'2025'!R\Max</f>
        <v>0.9534282767733121</v>
      </c>
      <c r="CE263" s="1134">
        <f>'2026'!R\Max</f>
        <v>0.95342435782096357</v>
      </c>
      <c r="CF263" s="1135">
        <f>'2027'!R\Max</f>
        <v>0.95341419545712469</v>
      </c>
    </row>
    <row r="264" spans="1:84" s="6" customFormat="1" ht="11.25" x14ac:dyDescent="0.2">
      <c r="A264" s="11">
        <v>43350</v>
      </c>
      <c r="B264" s="380">
        <f>'2023'!Maxi_hp</f>
        <v>51.37719632099251</v>
      </c>
      <c r="C264" s="85">
        <f>'2023'!An_max</f>
        <v>2019</v>
      </c>
      <c r="D264" s="1087">
        <f t="shared" si="97"/>
        <v>1.02392684141227</v>
      </c>
      <c r="E264" s="747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836">
        <f t="shared" si="100"/>
        <v>0.2857142857142857</v>
      </c>
      <c r="J264" s="827">
        <f t="shared" si="101"/>
        <v>50.176628097891808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836">
        <f t="shared" si="105"/>
        <v>0.35714285714285715</v>
      </c>
      <c r="AT264" s="853">
        <f t="shared" si="106"/>
        <v>50.175959810035835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836">
        <f t="shared" si="110"/>
        <v>0.8571428571428571</v>
      </c>
      <c r="AY264" s="853">
        <f t="shared" si="111"/>
        <v>50.123880656595745</v>
      </c>
      <c r="AZ264" s="827">
        <f t="shared" si="115"/>
        <v>50.14992023331579</v>
      </c>
      <c r="BA264" s="660">
        <f t="shared" si="112"/>
        <v>1.02392684141227</v>
      </c>
      <c r="BB264" s="655">
        <v>43350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924">
        <f>1+[2]!Salcycl*Ksac</f>
        <v>1.0474442537989843</v>
      </c>
      <c r="BH264" s="1080">
        <f t="shared" si="113"/>
        <v>1.2803111178780358E-3</v>
      </c>
      <c r="BI264" s="11">
        <v>44446</v>
      </c>
      <c r="BJ264" s="801">
        <v>8.5121722683917538E-5</v>
      </c>
      <c r="BK264" s="801">
        <v>4.9149983818873874E-4</v>
      </c>
      <c r="BL264" s="801">
        <v>8.7142825701882803E-4</v>
      </c>
      <c r="BM264" s="801">
        <v>1.2802728415189505E-3</v>
      </c>
      <c r="BN264" s="801">
        <v>2.2913773274966577E-3</v>
      </c>
      <c r="BO264" s="802">
        <v>5.0622994264116093E-3</v>
      </c>
      <c r="BP264" s="801">
        <v>1.1613093314214526E-2</v>
      </c>
      <c r="BQ264" s="801">
        <v>2.3870939683866665E-2</v>
      </c>
      <c r="BR264" s="801">
        <v>4.3912952889037231E-2</v>
      </c>
      <c r="BS264" s="801">
        <v>7.2336074151707785E-2</v>
      </c>
      <c r="BT264" s="801">
        <v>0.10662030193597784</v>
      </c>
      <c r="BW264" s="1136">
        <f>'2018'!R\Max</f>
        <v>0.66259254456803407</v>
      </c>
      <c r="BX264" s="1134">
        <f>'2019'!R\Max</f>
        <v>1.02392684141227</v>
      </c>
      <c r="BY264" s="1134">
        <f>'2020'!R\Max</f>
        <v>0.54134325726669041</v>
      </c>
      <c r="BZ264" s="1134">
        <f>'2021'!R\Max</f>
        <v>0.79644395916970712</v>
      </c>
      <c r="CA264" s="1134">
        <f>'2022'!R\Max</f>
        <v>0.76470411335765776</v>
      </c>
      <c r="CB264" s="1134">
        <f>'2023'!R\Max</f>
        <v>0.76460048694515192</v>
      </c>
      <c r="CC264" s="1134">
        <f>'2024'!R\Max</f>
        <v>0.76440867239236276</v>
      </c>
      <c r="CD264" s="1134">
        <f>'2025'!R\Max</f>
        <v>0.76490986316176257</v>
      </c>
      <c r="CE264" s="1134">
        <f>'2026'!R\Max</f>
        <v>0.76489388921293333</v>
      </c>
      <c r="CF264" s="1135">
        <f>'2027'!R\Max</f>
        <v>0.76485218506133124</v>
      </c>
    </row>
    <row r="265" spans="1:84" s="6" customFormat="1" ht="11.25" x14ac:dyDescent="0.2">
      <c r="A265" s="11">
        <v>43351</v>
      </c>
      <c r="B265" s="380">
        <f>'2023'!Maxi_hp</f>
        <v>49.21838095853591</v>
      </c>
      <c r="C265" s="85">
        <f>'2023'!An_max</f>
        <v>2018</v>
      </c>
      <c r="D265" s="1087">
        <f t="shared" si="97"/>
        <v>0.9836102985322569</v>
      </c>
      <c r="E265" s="747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836">
        <f t="shared" si="100"/>
        <v>0.35714285714285715</v>
      </c>
      <c r="J265" s="827">
        <f t="shared" si="101"/>
        <v>50.038496986031532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836">
        <f t="shared" si="105"/>
        <v>0.32142857142857145</v>
      </c>
      <c r="AT265" s="853">
        <f t="shared" si="106"/>
        <v>50.042154449217819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836">
        <f t="shared" si="110"/>
        <v>0.8214285714285714</v>
      </c>
      <c r="AY265" s="853">
        <f t="shared" si="111"/>
        <v>49.973749255575243</v>
      </c>
      <c r="AZ265" s="827">
        <f t="shared" si="115"/>
        <v>50.007951852396531</v>
      </c>
      <c r="BA265" s="660">
        <f t="shared" si="112"/>
        <v>0.9836102985322569</v>
      </c>
      <c r="BB265" s="655">
        <v>43351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924">
        <f>1+[2]!Salcycl*Ksac</f>
        <v>1.0472948135816742</v>
      </c>
      <c r="BH265" s="1080">
        <f t="shared" si="113"/>
        <v>1.2135121817906742E-3</v>
      </c>
      <c r="BI265" s="11">
        <v>44447</v>
      </c>
      <c r="BJ265" s="801">
        <v>1.0240189495768672E-4</v>
      </c>
      <c r="BK265" s="801">
        <v>4.8059740066798521E-4</v>
      </c>
      <c r="BL265" s="801">
        <v>8.3026563731669004E-4</v>
      </c>
      <c r="BM265" s="801">
        <v>1.2134734683331557E-3</v>
      </c>
      <c r="BN265" s="801">
        <v>2.2361243029508124E-3</v>
      </c>
      <c r="BO265" s="802">
        <v>5.0449788459926027E-3</v>
      </c>
      <c r="BP265" s="801">
        <v>1.1728256880707224E-2</v>
      </c>
      <c r="BQ265" s="801">
        <v>2.4195477262089423E-2</v>
      </c>
      <c r="BR265" s="801">
        <v>4.4513084083905453E-2</v>
      </c>
      <c r="BS265" s="801">
        <v>7.3058753322933004E-2</v>
      </c>
      <c r="BT265" s="801">
        <v>0.10730885683823821</v>
      </c>
      <c r="BW265" s="1136">
        <f>'2018'!R\Max</f>
        <v>0.9836102985322569</v>
      </c>
      <c r="BX265" s="1134">
        <f>'2019'!R\Max</f>
        <v>0.88975699712556389</v>
      </c>
      <c r="BY265" s="1134">
        <f>'2020'!R\Max</f>
        <v>0.89264607171835764</v>
      </c>
      <c r="BZ265" s="1134">
        <f>'2021'!R\Max</f>
        <v>0.64769123944473839</v>
      </c>
      <c r="CA265" s="1134">
        <f>'2022'!R\Max</f>
        <v>0.84135186111360993</v>
      </c>
      <c r="CB265" s="1134">
        <f>'2023'!R\Max</f>
        <v>0.84127330792232768</v>
      </c>
      <c r="CC265" s="1134">
        <f>'2024'!R\Max</f>
        <v>0.84112825820311721</v>
      </c>
      <c r="CD265" s="1134">
        <f>'2025'!R\Max</f>
        <v>0.84150733291282753</v>
      </c>
      <c r="CE265" s="1134">
        <f>'2026'!R\Max</f>
        <v>0.84149533139121124</v>
      </c>
      <c r="CF265" s="1135">
        <f>'2027'!R\Max</f>
        <v>0.84146390838340579</v>
      </c>
    </row>
    <row r="266" spans="1:84" s="6" customFormat="1" ht="11.25" x14ac:dyDescent="0.2">
      <c r="A266" s="11">
        <v>43352</v>
      </c>
      <c r="B266" s="380">
        <f>'2023'!Maxi_hp</f>
        <v>48.849649959056784</v>
      </c>
      <c r="C266" s="85">
        <f>'2023'!An_max</f>
        <v>2020</v>
      </c>
      <c r="D266" s="1087">
        <f t="shared" si="97"/>
        <v>0.97899337006613074</v>
      </c>
      <c r="E266" s="747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836">
        <f t="shared" si="100"/>
        <v>0.42857142857142855</v>
      </c>
      <c r="J266" s="827">
        <f t="shared" si="101"/>
        <v>49.897835320127861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836">
        <f t="shared" si="105"/>
        <v>0.2857142857142857</v>
      </c>
      <c r="AT266" s="853">
        <f t="shared" si="106"/>
        <v>49.904777023143005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836">
        <f t="shared" si="110"/>
        <v>0.7857142857142857</v>
      </c>
      <c r="AY266" s="853">
        <f t="shared" si="111"/>
        <v>49.821955591546633</v>
      </c>
      <c r="AZ266" s="827">
        <f t="shared" si="115"/>
        <v>49.863366307344819</v>
      </c>
      <c r="BA266" s="660">
        <f t="shared" si="112"/>
        <v>0.97899337006613074</v>
      </c>
      <c r="BB266" s="655">
        <v>43352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924">
        <f>1+[2]!Salcycl*Ksac</f>
        <v>1.0471387319099719</v>
      </c>
      <c r="BH266" s="1080">
        <f t="shared" si="113"/>
        <v>1.1748984433672146E-3</v>
      </c>
      <c r="BI266" s="11">
        <v>44448</v>
      </c>
      <c r="BJ266" s="801">
        <v>1.2269763907031095E-4</v>
      </c>
      <c r="BK266" s="801">
        <v>4.7973001408717066E-4</v>
      </c>
      <c r="BL266" s="801">
        <v>8.0754176929099598E-4</v>
      </c>
      <c r="BM266" s="801">
        <v>1.1748590443388053E-3</v>
      </c>
      <c r="BN266" s="801">
        <v>2.2156198512669092E-3</v>
      </c>
      <c r="BO266" s="802">
        <v>5.069277720181932E-3</v>
      </c>
      <c r="BP266" s="801">
        <v>1.18934479253606E-2</v>
      </c>
      <c r="BQ266" s="801">
        <v>2.4575137816460525E-2</v>
      </c>
      <c r="BR266" s="801">
        <v>4.515792690461623E-2</v>
      </c>
      <c r="BS266" s="801">
        <v>7.3795246408591905E-2</v>
      </c>
      <c r="BT266" s="801">
        <v>0.10796579605707798</v>
      </c>
      <c r="BW266" s="1136">
        <f>'2018'!R\Max</f>
        <v>0.62895777632344674</v>
      </c>
      <c r="BX266" s="1134">
        <f>'2019'!R\Max</f>
        <v>0.84630571120803</v>
      </c>
      <c r="BY266" s="1134">
        <f>'2020'!R\Max</f>
        <v>0.97899337006613074</v>
      </c>
      <c r="BZ266" s="1134">
        <f>'2021'!R\Max</f>
        <v>0.37138265117051833</v>
      </c>
      <c r="CA266" s="1134">
        <f>'2022'!R\Max</f>
        <v>0.43640521519797831</v>
      </c>
      <c r="CB266" s="1134">
        <f>'2023'!R\Max</f>
        <v>0.43625722324244809</v>
      </c>
      <c r="CC266" s="1134">
        <f>'2024'!R\Max</f>
        <v>0.43598504072400801</v>
      </c>
      <c r="CD266" s="1134">
        <f>'2025'!R\Max</f>
        <v>0.43669774031840997</v>
      </c>
      <c r="CE266" s="1134">
        <f>'2026'!R\Max</f>
        <v>0.43667517883146079</v>
      </c>
      <c r="CF266" s="1135">
        <f>'2027'!R\Max</f>
        <v>0.4366161766612251</v>
      </c>
    </row>
    <row r="267" spans="1:84" s="6" customFormat="1" ht="11.25" x14ac:dyDescent="0.2">
      <c r="A267" s="11">
        <v>43353</v>
      </c>
      <c r="B267" s="380">
        <f>'2023'!Maxi_hp</f>
        <v>47.574516743281514</v>
      </c>
      <c r="C267" s="85">
        <f>'2023'!An_max</f>
        <v>2022</v>
      </c>
      <c r="D267" s="1087" t="str">
        <f t="shared" si="97"/>
        <v/>
      </c>
      <c r="E267" s="747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836">
        <f t="shared" si="100"/>
        <v>0.5</v>
      </c>
      <c r="J267" s="827">
        <f t="shared" si="101"/>
        <v>49.754318087361753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836">
        <f t="shared" si="105"/>
        <v>0.25</v>
      </c>
      <c r="AT267" s="853">
        <f t="shared" si="106"/>
        <v>49.763538174587303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836">
        <f t="shared" si="110"/>
        <v>0.75</v>
      </c>
      <c r="AY267" s="853">
        <f t="shared" si="111"/>
        <v>49.668371481914072</v>
      </c>
      <c r="AZ267" s="827">
        <f t="shared" si="115"/>
        <v>49.715954828250688</v>
      </c>
      <c r="BA267" s="660">
        <f t="shared" si="112"/>
        <v>0.95618870023999103</v>
      </c>
      <c r="BB267" s="655">
        <v>43353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924">
        <f>1+[2]!Salcycl*Ksac</f>
        <v>1.0469757481973758</v>
      </c>
      <c r="BH267" s="1080">
        <f t="shared" si="113"/>
        <v>1.1644843708678995E-3</v>
      </c>
      <c r="BI267" s="11">
        <v>44449</v>
      </c>
      <c r="BJ267" s="801">
        <v>1.4601118090940018E-4</v>
      </c>
      <c r="BK267" s="801">
        <v>4.8890319765657628E-4</v>
      </c>
      <c r="BL267" s="801">
        <v>8.0326619500719601E-4</v>
      </c>
      <c r="BM267" s="801">
        <v>1.1644440376352753E-3</v>
      </c>
      <c r="BN267" s="801">
        <v>2.2298826899794697E-3</v>
      </c>
      <c r="BO267" s="802">
        <v>5.1352202257412818E-3</v>
      </c>
      <c r="BP267" s="801">
        <v>1.2108700249295556E-2</v>
      </c>
      <c r="BQ267" s="801">
        <v>2.5009965985437439E-2</v>
      </c>
      <c r="BR267" s="801">
        <v>4.584753110517404E-2</v>
      </c>
      <c r="BS267" s="801">
        <v>7.4545593642919683E-2</v>
      </c>
      <c r="BT267" s="801">
        <v>0.10859113855939263</v>
      </c>
      <c r="BW267" s="1136">
        <f>'2018'!R\Max</f>
        <v>0.7674129506493409</v>
      </c>
      <c r="BX267" s="1134">
        <f>'2019'!R\Max</f>
        <v>0.29481677004666162</v>
      </c>
      <c r="BY267" s="1134">
        <f>'2020'!R\Max</f>
        <v>0.48227360517546758</v>
      </c>
      <c r="BZ267" s="1134">
        <f>'2021'!R\Max</f>
        <v>0.7827229603015885</v>
      </c>
      <c r="CA267" s="1134">
        <f>'2022'!R\Max</f>
        <v>0.95618870023999103</v>
      </c>
      <c r="CB267" s="1134">
        <f>'2023'!R\Max</f>
        <v>0.95616289388995379</v>
      </c>
      <c r="CC267" s="1134">
        <f>'2024'!R\Max</f>
        <v>0.95611557779598833</v>
      </c>
      <c r="CD267" s="1134">
        <f>'2025'!R\Max</f>
        <v>0.95623960900905958</v>
      </c>
      <c r="CE267" s="1134">
        <f>'2026'!R\Max</f>
        <v>0.95623567383924313</v>
      </c>
      <c r="CF267" s="1135">
        <f>'2027'!R\Max</f>
        <v>0.95622542940151545</v>
      </c>
    </row>
    <row r="268" spans="1:84" s="6" customFormat="1" ht="11.25" x14ac:dyDescent="0.2">
      <c r="A268" s="11">
        <v>43354</v>
      </c>
      <c r="B268" s="380">
        <f>'2023'!Maxi_hp</f>
        <v>48.470044256349112</v>
      </c>
      <c r="C268" s="85">
        <f>'2023'!An_max</f>
        <v>2022</v>
      </c>
      <c r="D268" s="1087">
        <f t="shared" si="97"/>
        <v>0.97706852270080924</v>
      </c>
      <c r="E268" s="747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836">
        <f t="shared" si="100"/>
        <v>0.5714285714285714</v>
      </c>
      <c r="J268" s="827">
        <f t="shared" si="101"/>
        <v>49.607620274541638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836">
        <f t="shared" si="105"/>
        <v>0.21428571428571427</v>
      </c>
      <c r="AT268" s="853">
        <f t="shared" si="106"/>
        <v>49.618148546399809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836">
        <f t="shared" si="110"/>
        <v>0.7142857142857143</v>
      </c>
      <c r="AY268" s="853">
        <f t="shared" si="111"/>
        <v>49.512868743176973</v>
      </c>
      <c r="AZ268" s="827">
        <f t="shared" si="115"/>
        <v>49.565508644788395</v>
      </c>
      <c r="BA268" s="660">
        <f t="shared" si="112"/>
        <v>0.97706852270080924</v>
      </c>
      <c r="BB268" s="655">
        <v>43354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924">
        <f>1+[2]!Salcycl*Ksac</f>
        <v>1.0468055915569632</v>
      </c>
      <c r="BH268" s="1080">
        <f t="shared" si="113"/>
        <v>1.1866799130527163E-3</v>
      </c>
      <c r="BI268" s="11">
        <v>44450</v>
      </c>
      <c r="BJ268" s="801">
        <v>1.738786326050181E-4</v>
      </c>
      <c r="BK268" s="801">
        <v>5.105006954375514E-4</v>
      </c>
      <c r="BL268" s="801">
        <v>8.207401852128774E-4</v>
      </c>
      <c r="BM268" s="801">
        <v>1.1866383727835612E-3</v>
      </c>
      <c r="BN268" s="801">
        <v>2.2839619817983129E-3</v>
      </c>
      <c r="BO268" s="802">
        <v>5.2509171097366476E-3</v>
      </c>
      <c r="BP268" s="801">
        <v>1.2380790936270697E-2</v>
      </c>
      <c r="BQ268" s="801">
        <v>2.5504312249742769E-2</v>
      </c>
      <c r="BR268" s="801">
        <v>4.6587321718546605E-2</v>
      </c>
      <c r="BS268" s="801">
        <v>7.5326284149104861E-2</v>
      </c>
      <c r="BT268" s="801">
        <v>0.10922007624197658</v>
      </c>
      <c r="BW268" s="1136">
        <f>'2018'!R\Max</f>
        <v>0.96812709502660566</v>
      </c>
      <c r="BX268" s="1134">
        <f>'2019'!R\Max</f>
        <v>0.90528873966167234</v>
      </c>
      <c r="BY268" s="1134">
        <f>'2020'!R\Max</f>
        <v>0.68930024052293637</v>
      </c>
      <c r="BZ268" s="1134">
        <f>'2021'!R\Max</f>
        <v>0.77593425937155769</v>
      </c>
      <c r="CA268" s="1134">
        <f>'2022'!R\Max</f>
        <v>0.97706852270080924</v>
      </c>
      <c r="CB268" s="1134">
        <f>'2023'!R\Max</f>
        <v>0.97705438828313229</v>
      </c>
      <c r="CC268" s="1134">
        <f>'2024'!R\Max</f>
        <v>0.97702859091209948</v>
      </c>
      <c r="CD268" s="1134">
        <f>'2025'!R\Max</f>
        <v>0.97709641752596188</v>
      </c>
      <c r="CE268" s="1134">
        <f>'2026'!R\Max</f>
        <v>0.9770942466200303</v>
      </c>
      <c r="CF268" s="1135">
        <f>'2027'!R\Max</f>
        <v>0.97708863828435</v>
      </c>
    </row>
    <row r="269" spans="1:84" s="6" customFormat="1" ht="11.25" x14ac:dyDescent="0.2">
      <c r="A269" s="11">
        <v>43355</v>
      </c>
      <c r="B269" s="380">
        <f>'2023'!Maxi_hp</f>
        <v>49.547587041399964</v>
      </c>
      <c r="C269" s="85">
        <f>'2023'!An_max</f>
        <v>2019</v>
      </c>
      <c r="D269" s="1087">
        <f t="shared" si="97"/>
        <v>1.0018231881284128</v>
      </c>
      <c r="E269" s="747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836">
        <f t="shared" si="100"/>
        <v>0.6428571428571429</v>
      </c>
      <c r="J269" s="827">
        <f t="shared" si="101"/>
        <v>49.457416866107714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836">
        <f t="shared" si="105"/>
        <v>0.17857142857142858</v>
      </c>
      <c r="AT269" s="853">
        <f t="shared" si="106"/>
        <v>49.468318781253352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836">
        <f t="shared" si="110"/>
        <v>0.6785714285714286</v>
      </c>
      <c r="AY269" s="853">
        <f t="shared" si="111"/>
        <v>49.355319192180673</v>
      </c>
      <c r="AZ269" s="827">
        <f t="shared" si="115"/>
        <v>49.411818986717009</v>
      </c>
      <c r="BA269" s="660">
        <f t="shared" si="112"/>
        <v>1.0018231881284128</v>
      </c>
      <c r="BB269" s="655">
        <v>43355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924">
        <f>1+[2]!Salcycl*Ksac</f>
        <v>1.0466279807959624</v>
      </c>
      <c r="BH269" s="1080">
        <f t="shared" si="113"/>
        <v>1.2247283931763199E-3</v>
      </c>
      <c r="BI269" s="11">
        <v>44451</v>
      </c>
      <c r="BJ269" s="801">
        <v>2.0494915920974953E-4</v>
      </c>
      <c r="BK269" s="801">
        <v>5.3918461802243646E-4</v>
      </c>
      <c r="BL269" s="801">
        <v>8.4954726238452695E-4</v>
      </c>
      <c r="BM269" s="801">
        <v>1.2246855649609594E-3</v>
      </c>
      <c r="BN269" s="801">
        <v>2.3560314325451171E-3</v>
      </c>
      <c r="BO269" s="802">
        <v>5.3905062180251116E-3</v>
      </c>
      <c r="BP269" s="801">
        <v>1.2677199330370608E-2</v>
      </c>
      <c r="BQ269" s="801">
        <v>2.6020265744533009E-2</v>
      </c>
      <c r="BR269" s="801">
        <v>4.7337630173556446E-2</v>
      </c>
      <c r="BS269" s="801">
        <v>7.611669540589984E-2</v>
      </c>
      <c r="BT269" s="801">
        <v>0.10986767536245026</v>
      </c>
      <c r="BW269" s="1136">
        <f>'2018'!R\Max</f>
        <v>0.65103619182084105</v>
      </c>
      <c r="BX269" s="1134">
        <f>'2019'!R\Max</f>
        <v>1.0018231881284128</v>
      </c>
      <c r="BY269" s="1134">
        <f>'2020'!R\Max</f>
        <v>0.87577169512659181</v>
      </c>
      <c r="BZ269" s="1134">
        <f>'2021'!R\Max</f>
        <v>0.9735917563127684</v>
      </c>
      <c r="CA269" s="1134">
        <f>'2022'!R\Max</f>
        <v>0.68917708060771632</v>
      </c>
      <c r="CB269" s="1134">
        <f>'2023'!R\Max</f>
        <v>0.68903877932526014</v>
      </c>
      <c r="CC269" s="1134">
        <f>'2024'!R\Max</f>
        <v>0.68878767274303276</v>
      </c>
      <c r="CD269" s="1134">
        <f>'2025'!R\Max</f>
        <v>0.68945055154856383</v>
      </c>
      <c r="CE269" s="1134">
        <f>'2026'!R\Max</f>
        <v>0.68942910453125195</v>
      </c>
      <c r="CF269" s="1135">
        <f>'2027'!R\Max</f>
        <v>0.68937410393879206</v>
      </c>
    </row>
    <row r="270" spans="1:84" s="6" customFormat="1" ht="11.25" x14ac:dyDescent="0.2">
      <c r="A270" s="11">
        <v>43356</v>
      </c>
      <c r="B270" s="380">
        <f>'2023'!Maxi_hp</f>
        <v>47.552887947991515</v>
      </c>
      <c r="C270" s="85">
        <f>'2023'!An_max</f>
        <v>2020</v>
      </c>
      <c r="D270" s="1087" t="str">
        <f t="shared" si="97"/>
        <v/>
      </c>
      <c r="E270" s="747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836">
        <f t="shared" si="100"/>
        <v>0.7142857142857143</v>
      </c>
      <c r="J270" s="827">
        <f t="shared" si="101"/>
        <v>49.303382848948239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836">
        <f t="shared" si="105"/>
        <v>0.14285714285714285</v>
      </c>
      <c r="AT270" s="853">
        <f t="shared" si="106"/>
        <v>49.313759523111266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836">
        <f t="shared" si="110"/>
        <v>0.6428571428571429</v>
      </c>
      <c r="AY270" s="853">
        <f t="shared" si="111"/>
        <v>49.195594646728466</v>
      </c>
      <c r="AZ270" s="827">
        <f t="shared" si="115"/>
        <v>49.254677084919862</v>
      </c>
      <c r="BA270" s="660">
        <f t="shared" si="112"/>
        <v>0.96449544027597967</v>
      </c>
      <c r="BB270" s="655">
        <v>43356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924">
        <f>1+[2]!Salcycl*Ksac</f>
        <v>1.0464426245407421</v>
      </c>
      <c r="BH270" s="1080">
        <f t="shared" si="113"/>
        <v>1.278641123371959E-3</v>
      </c>
      <c r="BI270" s="11">
        <v>44452</v>
      </c>
      <c r="BJ270" s="801">
        <v>2.392257239437471E-4</v>
      </c>
      <c r="BK270" s="801">
        <v>5.7496036252457016E-4</v>
      </c>
      <c r="BL270" s="801">
        <v>8.8969555621866989E-4</v>
      </c>
      <c r="BM270" s="801">
        <v>1.2785969262049722E-3</v>
      </c>
      <c r="BN270" s="801">
        <v>2.4461048834826435E-3</v>
      </c>
      <c r="BO270" s="802">
        <v>5.5540075877042322E-3</v>
      </c>
      <c r="BP270" s="801">
        <v>1.2997951521514756E-2</v>
      </c>
      <c r="BQ270" s="801">
        <v>2.6557859463118994E-2</v>
      </c>
      <c r="BR270" s="801">
        <v>4.8098492822294177E-2</v>
      </c>
      <c r="BS270" s="801">
        <v>7.6916869149933662E-2</v>
      </c>
      <c r="BT270" s="801">
        <v>0.11053398464219731</v>
      </c>
      <c r="BW270" s="1136">
        <f>'2018'!R\Max</f>
        <v>0.54761520070362257</v>
      </c>
      <c r="BX270" s="1134">
        <f>'2019'!R\Max</f>
        <v>0.80214754947395117</v>
      </c>
      <c r="BY270" s="1134">
        <f>'2020'!R\Max</f>
        <v>0.96449544027597967</v>
      </c>
      <c r="BZ270" s="1134">
        <f>'2021'!R\Max</f>
        <v>0.7088438582431561</v>
      </c>
      <c r="CA270" s="1134">
        <f>'2022'!R\Max</f>
        <v>0.24967213696963456</v>
      </c>
      <c r="CB270" s="1134">
        <f>'2023'!R\Max</f>
        <v>0.24955665994987888</v>
      </c>
      <c r="CC270" s="1134">
        <f>'2024'!R\Max</f>
        <v>0.24934814621006721</v>
      </c>
      <c r="CD270" s="1134">
        <f>'2025'!R\Max</f>
        <v>0.24990116786405747</v>
      </c>
      <c r="CE270" s="1134">
        <f>'2026'!R\Max</f>
        <v>0.24988305645152584</v>
      </c>
      <c r="CF270" s="1135">
        <f>'2027'!R\Max</f>
        <v>0.24983693186115649</v>
      </c>
    </row>
    <row r="271" spans="1:84" s="6" customFormat="1" ht="11.25" x14ac:dyDescent="0.2">
      <c r="A271" s="11">
        <v>43357</v>
      </c>
      <c r="B271" s="380">
        <f>'2023'!Maxi_hp</f>
        <v>47.223329847400791</v>
      </c>
      <c r="C271" s="85">
        <f>'2023'!An_max</f>
        <v>2020</v>
      </c>
      <c r="D271" s="1087" t="str">
        <f t="shared" ref="D271:D334" si="116">IF($BA271&gt;$D$11,BA271,"")</f>
        <v/>
      </c>
      <c r="E271" s="747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836">
        <f t="shared" ref="I271:I334" si="119">($A271-H271)/(INDEX(x.2m,G271)-H271)</f>
        <v>0.7857142857142857</v>
      </c>
      <c r="J271" s="827">
        <f t="shared" ref="J271:J334" si="120">((1-I271)*(INDEX(a.m,F271)*$A271*$A271+INDEX(b.m,F271)*$A271+INDEX(c.m,F271))+I271*(INDEX(a.m,G271)*$A271*$A271+INDEX(b.m,G271)*$A271+INDEX(c.m,G271)))/10</f>
        <v>49.145193210457052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836">
        <f t="shared" ref="AS271:AS334" si="124">($A271-AR271)/(INDEX(x.2lg,AQ271)-AR271)</f>
        <v>0.10714285714285714</v>
      </c>
      <c r="AT271" s="853">
        <f t="shared" ref="AT271:AT334" si="125">((1-AS271)*(INDEX(a.lg,AP271)*$A271*$A271+INDEX(b.lg,AP271)*$A271+INDEX(c.lg,AP271))+AS271*(INDEX(a.lg,AQ271)*$A271*$A271+INDEX(b.lg,AQ271)*$A271+INDEX(c.lg,AQ271)))/10</f>
        <v>49.154181414732847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836">
        <f t="shared" ref="AX271:AX334" si="129">($A271-AW271)/(INDEX(x.2ld,AV271)-AW271)</f>
        <v>0.6071428571428571</v>
      </c>
      <c r="AY271" s="853">
        <f t="shared" ref="AY271:AY334" si="130">((1-AX271)*(INDEX(a.ld,AU271)*$A271*$A271+INDEX(b.ld,AU271)*$A271+INDEX(c.ld,AU271))+AX271*(INDEX(a.ld,AV271)*$A271*$A271+INDEX(b.ld,AV271)*$A271+INDEX(c.ld,AV271)))/10</f>
        <v>49.033566923466111</v>
      </c>
      <c r="AZ271" s="827">
        <f t="shared" si="115"/>
        <v>49.093874169099479</v>
      </c>
      <c r="BA271" s="660">
        <f t="shared" ref="BA271:BA334" si="131">+B271/J271</f>
        <v>0.96089417423131973</v>
      </c>
      <c r="BB271" s="655">
        <v>43357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924">
        <f>1+[2]!Salcycl*Ksac</f>
        <v>1.0462492215046542</v>
      </c>
      <c r="BH271" s="1080">
        <f t="shared" ref="BH271:BH334" si="132">INDEX($BJ271:$BT271,,$BH$10)*(1-Ratini)+INDEX($BJ271:$BT271,,$BH$10+1)*Ratini</f>
        <v>1.3484303939694403E-3</v>
      </c>
      <c r="BI271" s="11">
        <v>44453</v>
      </c>
      <c r="BJ271" s="801">
        <v>2.7671150361221423E-4</v>
      </c>
      <c r="BK271" s="801">
        <v>6.1783377127165627E-4</v>
      </c>
      <c r="BL271" s="801">
        <v>9.4119389682565432E-4</v>
      </c>
      <c r="BM271" s="801">
        <v>1.3483847467439501E-3</v>
      </c>
      <c r="BN271" s="801">
        <v>2.5541973049016831E-3</v>
      </c>
      <c r="BO271" s="802">
        <v>5.7414427835106585E-3</v>
      </c>
      <c r="BP271" s="801">
        <v>1.3343075254247093E-2</v>
      </c>
      <c r="BQ271" s="801">
        <v>2.7117128030137782E-2</v>
      </c>
      <c r="BR271" s="801">
        <v>4.8869947125350484E-2</v>
      </c>
      <c r="BS271" s="801">
        <v>7.7726848184758168E-2</v>
      </c>
      <c r="BT271" s="801">
        <v>0.11121905428537958</v>
      </c>
      <c r="BW271" s="1136">
        <f>'2018'!R\Max</f>
        <v>0.58967699625346182</v>
      </c>
      <c r="BX271" s="1134">
        <f>'2019'!R\Max</f>
        <v>0.85662427532663454</v>
      </c>
      <c r="BY271" s="1134">
        <f>'2020'!R\Max</f>
        <v>0.96089417423131973</v>
      </c>
      <c r="BZ271" s="1134">
        <f>'2021'!R\Max</f>
        <v>0.42740024076342009</v>
      </c>
      <c r="CA271" s="1134">
        <f>'2022'!R\Max</f>
        <v>0.75773297191887112</v>
      </c>
      <c r="CB271" s="1134">
        <f>'2023'!R\Max</f>
        <v>0.75760892012657766</v>
      </c>
      <c r="CC271" s="1134">
        <f>'2024'!R\Max</f>
        <v>0.75738582113288355</v>
      </c>
      <c r="CD271" s="1134">
        <f>'2025'!R\Max</f>
        <v>0.75797954069942108</v>
      </c>
      <c r="CE271" s="1134">
        <f>'2026'!R\Max</f>
        <v>0.75795989224721727</v>
      </c>
      <c r="CF271" s="1135">
        <f>'2027'!R\Max</f>
        <v>0.75791016248110898</v>
      </c>
    </row>
    <row r="272" spans="1:84" s="6" customFormat="1" ht="11.25" x14ac:dyDescent="0.2">
      <c r="A272" s="11">
        <v>43358</v>
      </c>
      <c r="B272" s="380">
        <f>'2023'!Maxi_hp</f>
        <v>48.01660304214726</v>
      </c>
      <c r="C272" s="85">
        <f>'2023'!An_max</f>
        <v>2020</v>
      </c>
      <c r="D272" s="1087">
        <f t="shared" si="116"/>
        <v>0.98028031562074436</v>
      </c>
      <c r="E272" s="747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836">
        <f t="shared" si="119"/>
        <v>0.8571428571428571</v>
      </c>
      <c r="J272" s="827">
        <f t="shared" si="120"/>
        <v>48.982522934515558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836">
        <f t="shared" si="124"/>
        <v>7.1428571428571425E-2</v>
      </c>
      <c r="AT272" s="853">
        <f t="shared" si="125"/>
        <v>48.989295098484895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836">
        <f t="shared" si="129"/>
        <v>0.5714285714285714</v>
      </c>
      <c r="AY272" s="853">
        <f t="shared" si="130"/>
        <v>48.869107838134681</v>
      </c>
      <c r="AZ272" s="827">
        <f t="shared" ref="AZ272:AZ335" si="134">(AY272+AT272)/2</f>
        <v>48.929201468309785</v>
      </c>
      <c r="BA272" s="660">
        <f t="shared" si="131"/>
        <v>0.98028031562074436</v>
      </c>
      <c r="BB272" s="655">
        <v>43358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924">
        <f>1+[2]!Salcycl*Ksac</f>
        <v>1.0460474609097461</v>
      </c>
      <c r="BH272" s="1080">
        <f t="shared" si="132"/>
        <v>1.4341095013635152E-3</v>
      </c>
      <c r="BI272" s="11">
        <v>44454</v>
      </c>
      <c r="BJ272" s="801">
        <v>3.1740989422060452E-4</v>
      </c>
      <c r="BK272" s="801">
        <v>6.6781114425510226E-4</v>
      </c>
      <c r="BL272" s="801">
        <v>1.0040518346519675E-3</v>
      </c>
      <c r="BM272" s="801">
        <v>1.434062322865337E-3</v>
      </c>
      <c r="BN272" s="801">
        <v>2.6803248277012192E-3</v>
      </c>
      <c r="BO272" s="802">
        <v>5.9528349396717308E-3</v>
      </c>
      <c r="BP272" s="801">
        <v>1.3712599970039027E-2</v>
      </c>
      <c r="BQ272" s="801">
        <v>2.7698107738583038E-2</v>
      </c>
      <c r="BR272" s="801">
        <v>4.9652031668598912E-2</v>
      </c>
      <c r="BS272" s="801">
        <v>7.8546676395462187E-2</v>
      </c>
      <c r="BT272" s="801">
        <v>0.11192293600853993</v>
      </c>
      <c r="BW272" s="1136">
        <f>'2018'!R\Max</f>
        <v>0.82767693424481381</v>
      </c>
      <c r="BX272" s="1134">
        <f>'2019'!R\Max</f>
        <v>0.84701007487407687</v>
      </c>
      <c r="BY272" s="1134">
        <f>'2020'!R\Max</f>
        <v>0.98028031562074436</v>
      </c>
      <c r="BZ272" s="1134">
        <f>'2021'!R\Max</f>
        <v>0.61342100550549261</v>
      </c>
      <c r="CA272" s="1134">
        <f>'2022'!R\Max</f>
        <v>0.87272955559644272</v>
      </c>
      <c r="CB272" s="1134">
        <f>'2023'!R\Max</f>
        <v>0.87265280134242629</v>
      </c>
      <c r="CC272" s="1134">
        <f>'2024'!R\Max</f>
        <v>0.87251541423853674</v>
      </c>
      <c r="CD272" s="1134">
        <f>'2025'!R\Max</f>
        <v>0.87288265989250202</v>
      </c>
      <c r="CE272" s="1134">
        <f>'2026'!R\Max</f>
        <v>0.87287035627839504</v>
      </c>
      <c r="CF272" s="1135">
        <f>'2027'!R\Max</f>
        <v>0.87283939868513027</v>
      </c>
    </row>
    <row r="273" spans="1:84" s="6" customFormat="1" ht="11.25" x14ac:dyDescent="0.2">
      <c r="A273" s="11">
        <v>43359</v>
      </c>
      <c r="B273" s="380">
        <f>'2023'!Maxi_hp</f>
        <v>47.259197332077989</v>
      </c>
      <c r="C273" s="85">
        <f>'2023'!An_max</f>
        <v>2018</v>
      </c>
      <c r="D273" s="1087" t="str">
        <f t="shared" si="116"/>
        <v/>
      </c>
      <c r="E273" s="747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836">
        <f t="shared" si="119"/>
        <v>0.9285714285714286</v>
      </c>
      <c r="J273" s="827">
        <f t="shared" si="120"/>
        <v>48.815047009236046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836">
        <f t="shared" si="124"/>
        <v>3.5714285714285712E-2</v>
      </c>
      <c r="AT273" s="853">
        <f t="shared" si="125"/>
        <v>48.818811218473797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836">
        <f t="shared" si="129"/>
        <v>0.5357142857142857</v>
      </c>
      <c r="AY273" s="853">
        <f t="shared" si="130"/>
        <v>48.702089209588507</v>
      </c>
      <c r="AZ273" s="827">
        <f t="shared" si="134"/>
        <v>48.760450214031152</v>
      </c>
      <c r="BA273" s="660">
        <f t="shared" si="131"/>
        <v>0.9681276620124184</v>
      </c>
      <c r="BB273" s="655">
        <v>43359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924">
        <f>1+[2]!Salcycl*Ksac</f>
        <v>1.0458370230717819</v>
      </c>
      <c r="BH273" s="1080">
        <f t="shared" si="132"/>
        <v>1.5356927758927589E-3</v>
      </c>
      <c r="BI273" s="11">
        <v>44455</v>
      </c>
      <c r="BJ273" s="801">
        <v>3.6132451659124119E-4</v>
      </c>
      <c r="BK273" s="801">
        <v>7.2489925158382288E-4</v>
      </c>
      <c r="BL273" s="801">
        <v>1.0782796604097812E-3</v>
      </c>
      <c r="BM273" s="801">
        <v>1.53564398479441E-3</v>
      </c>
      <c r="BN273" s="801">
        <v>2.8245047749894496E-3</v>
      </c>
      <c r="BO273" s="802">
        <v>6.1882088018060432E-3</v>
      </c>
      <c r="BP273" s="801">
        <v>1.4106556849709568E-2</v>
      </c>
      <c r="BQ273" s="801">
        <v>2.8300836587078566E-2</v>
      </c>
      <c r="BR273" s="801">
        <v>5.0444786180424861E-2</v>
      </c>
      <c r="BS273" s="801">
        <v>7.9376398764008552E-2</v>
      </c>
      <c r="BT273" s="801">
        <v>0.11264568307125475</v>
      </c>
      <c r="BW273" s="1136">
        <f>'2018'!R\Max</f>
        <v>0.9681276620124184</v>
      </c>
      <c r="BX273" s="1134">
        <f>'2019'!R\Max</f>
        <v>0.8955185119140513</v>
      </c>
      <c r="BY273" s="1134">
        <f>'2020'!R\Max</f>
        <v>0.84952314621451719</v>
      </c>
      <c r="BZ273" s="1134">
        <f>'2021'!R\Max</f>
        <v>0.48822854577119718</v>
      </c>
      <c r="CA273" s="1134">
        <f>'2022'!R\Max</f>
        <v>0.58302971416363092</v>
      </c>
      <c r="CB273" s="1134">
        <f>'2023'!R\Max</f>
        <v>0.58285802976089807</v>
      </c>
      <c r="CC273" s="1134">
        <f>'2024'!R\Max</f>
        <v>0.58255243297627179</v>
      </c>
      <c r="CD273" s="1134">
        <f>'2025'!R\Max</f>
        <v>0.58337393300457729</v>
      </c>
      <c r="CE273" s="1134">
        <f>'2026'!R\Max</f>
        <v>0.58334601521947882</v>
      </c>
      <c r="CF273" s="1135">
        <f>'2027'!R\Max</f>
        <v>0.58327616269539106</v>
      </c>
    </row>
    <row r="274" spans="1:84" s="6" customFormat="1" ht="11.25" x14ac:dyDescent="0.2">
      <c r="A274" s="11">
        <v>43360</v>
      </c>
      <c r="B274" s="380">
        <f>'2023'!Maxi_hp</f>
        <v>50.234869420638525</v>
      </c>
      <c r="C274" s="85">
        <f>'2023'!An_max</f>
        <v>2023</v>
      </c>
      <c r="D274" s="1087">
        <f t="shared" si="116"/>
        <v>1.0327374405723733</v>
      </c>
      <c r="E274" s="835">
        <f>AF$13/10</f>
        <v>48.642440417059532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836">
        <f t="shared" si="119"/>
        <v>1</v>
      </c>
      <c r="J274" s="827">
        <f t="shared" si="120"/>
        <v>48.642440418154003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836">
        <f t="shared" si="124"/>
        <v>0</v>
      </c>
      <c r="AT274" s="853">
        <f t="shared" si="125"/>
        <v>48.642440417408942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836">
        <f t="shared" si="129"/>
        <v>0.5</v>
      </c>
      <c r="AY274" s="853">
        <f t="shared" si="130"/>
        <v>48.532382853329182</v>
      </c>
      <c r="AZ274" s="827">
        <f t="shared" si="134"/>
        <v>48.587411635369065</v>
      </c>
      <c r="BA274" s="660">
        <f t="shared" si="131"/>
        <v>1.0327374405723733</v>
      </c>
      <c r="BB274" s="655">
        <v>43360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924">
        <f>1+[2]!Salcycl*Ksac</f>
        <v>1.0456175801562704</v>
      </c>
      <c r="BH274" s="1080">
        <f t="shared" si="132"/>
        <v>1.6531956097408874E-3</v>
      </c>
      <c r="BI274" s="11">
        <v>44456</v>
      </c>
      <c r="BJ274" s="801">
        <v>4.0845922198565752E-4</v>
      </c>
      <c r="BK274" s="801">
        <v>7.8910534594884456E-4</v>
      </c>
      <c r="BL274" s="801">
        <v>1.1638884250223015E-3</v>
      </c>
      <c r="BM274" s="801">
        <v>1.6531451245954531E-3</v>
      </c>
      <c r="BN274" s="801">
        <v>2.9867556937257836E-3</v>
      </c>
      <c r="BO274" s="802">
        <v>6.447590768912906E-3</v>
      </c>
      <c r="BP274" s="801">
        <v>1.4524978856046837E-2</v>
      </c>
      <c r="BQ274" s="801">
        <v>2.8925354317553293E-2</v>
      </c>
      <c r="BR274" s="801">
        <v>5.124825154966603E-2</v>
      </c>
      <c r="BS274" s="801">
        <v>8.0216061385682394E-2</v>
      </c>
      <c r="BT274" s="801">
        <v>0.11338735030835351</v>
      </c>
      <c r="BW274" s="1136">
        <f>'2018'!R\Max</f>
        <v>0.92698578279978194</v>
      </c>
      <c r="BX274" s="1134">
        <f>'2019'!R\Max</f>
        <v>0.87987411532770698</v>
      </c>
      <c r="BY274" s="1134">
        <f>'2020'!R\Max</f>
        <v>0.87710968953536428</v>
      </c>
      <c r="BZ274" s="1134">
        <f>'2021'!R\Max</f>
        <v>0.92263096441684267</v>
      </c>
      <c r="CA274" s="1134">
        <f>'2022'!R\Max</f>
        <v>1.0327374405723733</v>
      </c>
      <c r="CB274" s="1134">
        <f>'2023'!R\Max</f>
        <v>1.0327374405723733</v>
      </c>
      <c r="CC274" s="1134">
        <f>'2024'!R\Max</f>
        <v>1.0327374405723733</v>
      </c>
      <c r="CD274" s="1134">
        <f>'2025'!R\Max</f>
        <v>1.0327374405723733</v>
      </c>
      <c r="CE274" s="1134">
        <f>'2026'!R\Max</f>
        <v>1.0327374405723733</v>
      </c>
      <c r="CF274" s="1135">
        <f>'2027'!R\Max</f>
        <v>1.032737440572373</v>
      </c>
    </row>
    <row r="275" spans="1:84" s="6" customFormat="1" ht="11.25" x14ac:dyDescent="0.2">
      <c r="A275" s="11">
        <v>43361</v>
      </c>
      <c r="B275" s="380">
        <f>'2023'!Maxi_hp</f>
        <v>48.590162662386255</v>
      </c>
      <c r="C275" s="85">
        <f>'2023'!An_max</f>
        <v>2023</v>
      </c>
      <c r="D275" s="1087">
        <f t="shared" si="116"/>
        <v>1.0025818254182672</v>
      </c>
      <c r="E275" s="747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836">
        <f t="shared" si="119"/>
        <v>0.9285714285714286</v>
      </c>
      <c r="J275" s="827">
        <f t="shared" si="120"/>
        <v>48.465034404663101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836">
        <f t="shared" si="124"/>
        <v>3.5714285714285712E-2</v>
      </c>
      <c r="AT275" s="853">
        <f t="shared" si="125"/>
        <v>48.461019571178731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836">
        <f t="shared" si="129"/>
        <v>0.4642857142857143</v>
      </c>
      <c r="AY275" s="853">
        <f t="shared" si="130"/>
        <v>48.359860586641091</v>
      </c>
      <c r="AZ275" s="827">
        <f t="shared" si="134"/>
        <v>48.410440078909915</v>
      </c>
      <c r="BA275" s="660">
        <f t="shared" si="131"/>
        <v>1.0025818254182672</v>
      </c>
      <c r="BB275" s="655">
        <v>43361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924">
        <f>1+[2]!Salcycl*Ksac</f>
        <v>1.0453887971113371</v>
      </c>
      <c r="BH275" s="1080">
        <f t="shared" si="132"/>
        <v>1.7866344847945587E-3</v>
      </c>
      <c r="BI275" s="11">
        <v>44457</v>
      </c>
      <c r="BJ275" s="801">
        <v>4.5881809771725155E-4</v>
      </c>
      <c r="BK275" s="801">
        <v>8.6043717506761625E-4</v>
      </c>
      <c r="BL275" s="801">
        <v>1.2608899595386522E-3</v>
      </c>
      <c r="BM275" s="801">
        <v>1.7865822240294192E-3</v>
      </c>
      <c r="BN275" s="801">
        <v>3.1670973862812295E-3</v>
      </c>
      <c r="BO275" s="802">
        <v>6.7310089351802398E-3</v>
      </c>
      <c r="BP275" s="801">
        <v>1.4967900776010609E-2</v>
      </c>
      <c r="BQ275" s="801">
        <v>2.9571702452069599E-2</v>
      </c>
      <c r="BR275" s="801">
        <v>5.2062469842034477E-2</v>
      </c>
      <c r="BS275" s="801">
        <v>8.1065711483138139E-2</v>
      </c>
      <c r="BT275" s="801">
        <v>0.114147994158718</v>
      </c>
      <c r="BW275" s="1136">
        <f>'2018'!R\Max</f>
        <v>0.85888692972475555</v>
      </c>
      <c r="BX275" s="1134">
        <f>'2019'!R\Max</f>
        <v>0.55263494324036322</v>
      </c>
      <c r="BY275" s="1134">
        <f>'2020'!R\Max</f>
        <v>0.89752944930890033</v>
      </c>
      <c r="BZ275" s="1134">
        <f>'2021'!R\Max</f>
        <v>0.17152387224725027</v>
      </c>
      <c r="CA275" s="1134">
        <f>'2022'!R\Max</f>
        <v>1.0025818254182672</v>
      </c>
      <c r="CB275" s="1134">
        <f>'2023'!R\Max</f>
        <v>1.0025818254182672</v>
      </c>
      <c r="CC275" s="1134">
        <f>'2024'!R\Max</f>
        <v>1.0025818254182675</v>
      </c>
      <c r="CD275" s="1134">
        <f>'2025'!R\Max</f>
        <v>1.002581825418267</v>
      </c>
      <c r="CE275" s="1134">
        <f>'2026'!R\Max</f>
        <v>1.0025818254182672</v>
      </c>
      <c r="CF275" s="1135">
        <f>'2027'!R\Max</f>
        <v>1.0025818254182672</v>
      </c>
    </row>
    <row r="276" spans="1:84" s="6" customFormat="1" ht="11.25" x14ac:dyDescent="0.2">
      <c r="A276" s="11">
        <v>43362</v>
      </c>
      <c r="B276" s="380">
        <f>'2023'!Maxi_hp</f>
        <v>47.993332219109192</v>
      </c>
      <c r="C276" s="85">
        <f>'2023'!An_max</f>
        <v>2022</v>
      </c>
      <c r="D276" s="1087">
        <f t="shared" si="116"/>
        <v>0.99399187705103009</v>
      </c>
      <c r="E276" s="747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836">
        <f t="shared" si="119"/>
        <v>0.8571428571428571</v>
      </c>
      <c r="J276" s="827">
        <f t="shared" si="120"/>
        <v>48.283424972742793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836">
        <f t="shared" si="124"/>
        <v>7.1428571428571425E-2</v>
      </c>
      <c r="AT276" s="853">
        <f t="shared" si="125"/>
        <v>48.275618804804978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836">
        <f t="shared" si="129"/>
        <v>0.42857142857142855</v>
      </c>
      <c r="AY276" s="853">
        <f t="shared" si="130"/>
        <v>48.184394226595757</v>
      </c>
      <c r="AZ276" s="827">
        <f t="shared" si="134"/>
        <v>48.230006515700367</v>
      </c>
      <c r="BA276" s="660">
        <f t="shared" si="131"/>
        <v>0.99399187705103009</v>
      </c>
      <c r="BB276" s="655">
        <v>43362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924">
        <f>1+[2]!Salcycl*Ksac</f>
        <v>1.0451503327812959</v>
      </c>
      <c r="BH276" s="1080">
        <f t="shared" si="132"/>
        <v>1.9460780967027308E-3</v>
      </c>
      <c r="BI276" s="11">
        <v>44458</v>
      </c>
      <c r="BJ276" s="801">
        <v>5.1317419339830294E-4</v>
      </c>
      <c r="BK276" s="801">
        <v>9.4046117285089199E-4</v>
      </c>
      <c r="BL276" s="801">
        <v>1.3746961760321824E-3</v>
      </c>
      <c r="BM276" s="801">
        <v>1.946023775134721E-3</v>
      </c>
      <c r="BN276" s="801">
        <v>3.3809769005842503E-3</v>
      </c>
      <c r="BO276" s="802">
        <v>7.0561509389743954E-3</v>
      </c>
      <c r="BP276" s="801">
        <v>1.5452521919194308E-2</v>
      </c>
      <c r="BQ276" s="801">
        <v>3.0253765305897361E-2</v>
      </c>
      <c r="BR276" s="801">
        <v>5.2900076368033976E-2</v>
      </c>
      <c r="BS276" s="801">
        <v>8.1936561280384804E-2</v>
      </c>
      <c r="BT276" s="801">
        <v>0.11493748315169809</v>
      </c>
      <c r="BW276" s="1136">
        <f>'2018'!R\Max</f>
        <v>0.76520196397627616</v>
      </c>
      <c r="BX276" s="1134">
        <f>'2019'!R\Max</f>
        <v>0.8723902671819469</v>
      </c>
      <c r="BY276" s="1134">
        <f>'2020'!R\Max</f>
        <v>0.41194329967092852</v>
      </c>
      <c r="BZ276" s="1134">
        <f>'2021'!R\Max</f>
        <v>0.63464357233811564</v>
      </c>
      <c r="CA276" s="1134">
        <f>'2022'!R\Max</f>
        <v>0.99399187705103009</v>
      </c>
      <c r="CB276" s="1134">
        <f>'2023'!R\Max</f>
        <v>0.99398737969033235</v>
      </c>
      <c r="CC276" s="1134">
        <f>'2024'!R\Max</f>
        <v>0.99397949224266036</v>
      </c>
      <c r="CD276" s="1134">
        <f>'2025'!R\Max</f>
        <v>0.99400104750535501</v>
      </c>
      <c r="CE276" s="1134">
        <f>'2026'!R\Max</f>
        <v>0.99400028086981462</v>
      </c>
      <c r="CF276" s="1135">
        <f>'2027'!R\Max</f>
        <v>0.9939983947175296</v>
      </c>
    </row>
    <row r="277" spans="1:84" s="6" customFormat="1" ht="11.25" x14ac:dyDescent="0.2">
      <c r="A277" s="11">
        <v>43363</v>
      </c>
      <c r="B277" s="380">
        <f>'2023'!Maxi_hp</f>
        <v>49.443507967747351</v>
      </c>
      <c r="C277" s="85">
        <f>'2023'!An_max</f>
        <v>2023</v>
      </c>
      <c r="D277" s="1087">
        <f t="shared" si="116"/>
        <v>1.0279810502340776</v>
      </c>
      <c r="E277" s="747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836">
        <f t="shared" si="119"/>
        <v>0.7857142857142857</v>
      </c>
      <c r="J277" s="827">
        <f t="shared" si="120"/>
        <v>48.097684248643262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836">
        <f t="shared" si="124"/>
        <v>0.10714285714285714</v>
      </c>
      <c r="AT277" s="853">
        <f t="shared" si="125"/>
        <v>48.086298636107571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836">
        <f t="shared" si="129"/>
        <v>0.39285714285714285</v>
      </c>
      <c r="AY277" s="853">
        <f t="shared" si="130"/>
        <v>48.005855591049688</v>
      </c>
      <c r="AZ277" s="827">
        <f t="shared" si="134"/>
        <v>48.046077113578633</v>
      </c>
      <c r="BA277" s="660">
        <f t="shared" si="131"/>
        <v>1.0279810502340776</v>
      </c>
      <c r="BB277" s="655">
        <v>43363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924">
        <f>1+[2]!Salcycl*Ksac</f>
        <v>1.0449018412026969</v>
      </c>
      <c r="BH277" s="1080">
        <f t="shared" si="132"/>
        <v>2.1200930810738672E-3</v>
      </c>
      <c r="BI277" s="11">
        <v>44459</v>
      </c>
      <c r="BJ277" s="801">
        <v>5.6987343790043188E-4</v>
      </c>
      <c r="BK277" s="801">
        <v>1.0244833957010395E-3</v>
      </c>
      <c r="BL277" s="801">
        <v>1.4972822397354771E-3</v>
      </c>
      <c r="BM277" s="801">
        <v>2.1200364692991187E-3</v>
      </c>
      <c r="BN277" s="801">
        <v>3.6154874676548212E-3</v>
      </c>
      <c r="BO277" s="802">
        <v>7.4073238125635203E-3</v>
      </c>
      <c r="BP277" s="801">
        <v>1.5961516227876133E-2</v>
      </c>
      <c r="BQ277" s="801">
        <v>3.0954712193351608E-2</v>
      </c>
      <c r="BR277" s="801">
        <v>5.3756729006212312E-2</v>
      </c>
      <c r="BS277" s="801">
        <v>8.2836467810124756E-2</v>
      </c>
      <c r="BT277" s="801">
        <v>0.11577376049492005</v>
      </c>
      <c r="BW277" s="1136">
        <f>'2018'!R\Max</f>
        <v>0.97326731485466234</v>
      </c>
      <c r="BX277" s="1134">
        <f>'2019'!R\Max</f>
        <v>0.97701984149973153</v>
      </c>
      <c r="BY277" s="1134">
        <f>'2020'!R\Max</f>
        <v>0.69210733094937338</v>
      </c>
      <c r="BZ277" s="1134">
        <f>'2021'!R\Max</f>
        <v>0.66462342153255027</v>
      </c>
      <c r="CA277" s="1134">
        <f>'2022'!R\Max</f>
        <v>1.0279810502340774</v>
      </c>
      <c r="CB277" s="1134">
        <f>'2023'!R\Max</f>
        <v>1.0279810502340776</v>
      </c>
      <c r="CC277" s="1134">
        <f>'2024'!R\Max</f>
        <v>1.0279810502340776</v>
      </c>
      <c r="CD277" s="1134">
        <f>'2025'!R\Max</f>
        <v>1.0279810502340776</v>
      </c>
      <c r="CE277" s="1134">
        <f>'2026'!R\Max</f>
        <v>1.0279810502340776</v>
      </c>
      <c r="CF277" s="1135">
        <f>'2027'!R\Max</f>
        <v>1.0279810502340774</v>
      </c>
    </row>
    <row r="278" spans="1:84" s="6" customFormat="1" ht="11.25" x14ac:dyDescent="0.2">
      <c r="A278" s="11">
        <v>43364</v>
      </c>
      <c r="B278" s="380">
        <f>'2023'!Maxi_hp</f>
        <v>48.360373595586253</v>
      </c>
      <c r="C278" s="85">
        <f>'2023'!An_max</f>
        <v>2023</v>
      </c>
      <c r="D278" s="1087">
        <f t="shared" si="116"/>
        <v>1.0094449846448981</v>
      </c>
      <c r="E278" s="747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836">
        <f t="shared" si="119"/>
        <v>0.7142857142857143</v>
      </c>
      <c r="J278" s="827">
        <f t="shared" si="120"/>
        <v>47.907884363404342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836">
        <f t="shared" si="124"/>
        <v>0.14285714285714285</v>
      </c>
      <c r="AT278" s="853">
        <f t="shared" si="125"/>
        <v>47.89311958146947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836">
        <f t="shared" si="129"/>
        <v>0.35714285714285715</v>
      </c>
      <c r="AY278" s="853">
        <f t="shared" si="130"/>
        <v>47.824116494932341</v>
      </c>
      <c r="AZ278" s="827">
        <f t="shared" si="134"/>
        <v>47.858618038200902</v>
      </c>
      <c r="BA278" s="660">
        <f t="shared" si="131"/>
        <v>1.0094449846448981</v>
      </c>
      <c r="BB278" s="655">
        <v>43364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924">
        <f>1+[2]!Salcycl*Ksac</f>
        <v>1.0446429730824829</v>
      </c>
      <c r="BH278" s="1080">
        <f t="shared" si="132"/>
        <v>2.3086984092947388E-3</v>
      </c>
      <c r="BI278" s="11">
        <v>44460</v>
      </c>
      <c r="BJ278" s="801">
        <v>6.2891987077996823E-4</v>
      </c>
      <c r="BK278" s="801">
        <v>1.1125103222409307E-3</v>
      </c>
      <c r="BL278" s="801">
        <v>1.6286602046333201E-3</v>
      </c>
      <c r="BM278" s="801">
        <v>2.3086392776219965E-3</v>
      </c>
      <c r="BN278" s="801">
        <v>3.8706556501802007E-3</v>
      </c>
      <c r="BO278" s="802">
        <v>7.7845633500591331E-3</v>
      </c>
      <c r="BP278" s="801">
        <v>1.6494924606205323E-2</v>
      </c>
      <c r="BQ278" s="801">
        <v>3.1674587883977812E-2</v>
      </c>
      <c r="BR278" s="801">
        <v>5.4632481396886867E-2</v>
      </c>
      <c r="BS278" s="801">
        <v>8.3765499526264442E-2</v>
      </c>
      <c r="BT278" s="801">
        <v>0.11665691332733345</v>
      </c>
      <c r="BW278" s="1136">
        <f>'2018'!R\Max</f>
        <v>0.71551358279538479</v>
      </c>
      <c r="BX278" s="1134">
        <f>'2019'!R\Max</f>
        <v>0.721612701476126</v>
      </c>
      <c r="BY278" s="1134">
        <f>'2020'!R\Max</f>
        <v>0.64488291846070589</v>
      </c>
      <c r="BZ278" s="1134">
        <f>'2021'!R\Max</f>
        <v>0.29203910394097787</v>
      </c>
      <c r="CA278" s="1134">
        <f>'2022'!R\Max</f>
        <v>1.0094449846448981</v>
      </c>
      <c r="CB278" s="1134">
        <f>'2023'!R\Max</f>
        <v>1.0094449846448981</v>
      </c>
      <c r="CC278" s="1134">
        <f>'2024'!R\Max</f>
        <v>1.0094449846448981</v>
      </c>
      <c r="CD278" s="1134">
        <f>'2025'!R\Max</f>
        <v>1.0094449846448981</v>
      </c>
      <c r="CE278" s="1134">
        <f>'2026'!R\Max</f>
        <v>1.0094449846448981</v>
      </c>
      <c r="CF278" s="1135">
        <f>'2027'!R\Max</f>
        <v>1.0094449846448985</v>
      </c>
    </row>
    <row r="279" spans="1:84" s="6" customFormat="1" ht="11.25" x14ac:dyDescent="0.2">
      <c r="A279" s="11">
        <v>43365</v>
      </c>
      <c r="B279" s="380">
        <f>'2023'!Maxi_hp</f>
        <v>47.032719072917807</v>
      </c>
      <c r="C279" s="85">
        <f>'2023'!An_max</f>
        <v>2022</v>
      </c>
      <c r="D279" s="1087">
        <f t="shared" si="116"/>
        <v>0.98571955856886784</v>
      </c>
      <c r="E279" s="747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836">
        <f t="shared" si="119"/>
        <v>0.6428571428571429</v>
      </c>
      <c r="J279" s="827">
        <f t="shared" si="120"/>
        <v>47.714097446948287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836">
        <f t="shared" si="124"/>
        <v>0.17857142857142858</v>
      </c>
      <c r="AT279" s="853">
        <f t="shared" si="125"/>
        <v>47.696142157326854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836">
        <f t="shared" si="129"/>
        <v>0.32142857142857145</v>
      </c>
      <c r="AY279" s="853">
        <f t="shared" si="130"/>
        <v>47.639048757111389</v>
      </c>
      <c r="AZ279" s="827">
        <f t="shared" si="134"/>
        <v>47.667595457219122</v>
      </c>
      <c r="BA279" s="660">
        <f t="shared" si="131"/>
        <v>0.98571955856886784</v>
      </c>
      <c r="BB279" s="655">
        <v>43365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924">
        <f>1+[2]!Salcycl*Ksac</f>
        <v>1.0443733774556943</v>
      </c>
      <c r="BH279" s="1080">
        <f t="shared" si="132"/>
        <v>2.5119142844031665E-3</v>
      </c>
      <c r="BI279" s="11">
        <v>44461</v>
      </c>
      <c r="BJ279" s="801">
        <v>6.90317762258321E-4</v>
      </c>
      <c r="BK279" s="801">
        <v>1.2045488174610168E-3</v>
      </c>
      <c r="BL279" s="801">
        <v>1.7688428906603548E-3</v>
      </c>
      <c r="BM279" s="801">
        <v>2.5118524028336464E-3</v>
      </c>
      <c r="BN279" s="801">
        <v>4.1465097745449382E-3</v>
      </c>
      <c r="BO279" s="802">
        <v>8.1879077468104116E-3</v>
      </c>
      <c r="BP279" s="801">
        <v>1.7052790768344213E-2</v>
      </c>
      <c r="BQ279" s="801">
        <v>3.2413440432192679E-2</v>
      </c>
      <c r="BR279" s="801">
        <v>5.5527391667613529E-2</v>
      </c>
      <c r="BS279" s="801">
        <v>8.4723731457767973E-2</v>
      </c>
      <c r="BT279" s="801">
        <v>0.11758703808063475</v>
      </c>
      <c r="BW279" s="1136">
        <f>'2018'!R\Max</f>
        <v>0.96051768799876225</v>
      </c>
      <c r="BX279" s="1134">
        <f>'2019'!R\Max</f>
        <v>0.21175386123484879</v>
      </c>
      <c r="BY279" s="1134">
        <f>'2020'!R\Max</f>
        <v>0.61305763622449438</v>
      </c>
      <c r="BZ279" s="1134">
        <f>'2021'!R\Max</f>
        <v>0.9785245214702939</v>
      </c>
      <c r="CA279" s="1134">
        <f>'2022'!R\Max</f>
        <v>0.98571955856886784</v>
      </c>
      <c r="CB279" s="1134">
        <f>'2023'!R\Max</f>
        <v>0.98570830515633845</v>
      </c>
      <c r="CC279" s="1134">
        <f>'2024'!R\Max</f>
        <v>0.98568888689476208</v>
      </c>
      <c r="CD279" s="1134">
        <f>'2025'!R\Max</f>
        <v>0.98574308889437712</v>
      </c>
      <c r="CE279" s="1134">
        <f>'2026'!R\Max</f>
        <v>0.98574101948252701</v>
      </c>
      <c r="CF279" s="1135">
        <f>'2027'!R\Max</f>
        <v>0.98573609450237887</v>
      </c>
    </row>
    <row r="280" spans="1:84" s="6" customFormat="1" ht="11.25" x14ac:dyDescent="0.2">
      <c r="A280" s="11">
        <v>43366</v>
      </c>
      <c r="B280" s="380">
        <f>'2023'!Maxi_hp</f>
        <v>46.242324699542912</v>
      </c>
      <c r="C280" s="85">
        <f>'2023'!An_max</f>
        <v>2018</v>
      </c>
      <c r="D280" s="1087">
        <f t="shared" si="116"/>
        <v>0.97318670937170504</v>
      </c>
      <c r="E280" s="747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836">
        <f t="shared" si="119"/>
        <v>0.5714285714285714</v>
      </c>
      <c r="J280" s="827">
        <f t="shared" si="120"/>
        <v>47.516395625046322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836">
        <f t="shared" si="124"/>
        <v>0.21428571428571427</v>
      </c>
      <c r="AT280" s="853">
        <f t="shared" si="125"/>
        <v>47.495426880461835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836">
        <f t="shared" si="129"/>
        <v>0.2857142857142857</v>
      </c>
      <c r="AY280" s="853">
        <f t="shared" si="130"/>
        <v>47.450524193261352</v>
      </c>
      <c r="AZ280" s="827">
        <f t="shared" si="134"/>
        <v>47.472975536861597</v>
      </c>
      <c r="BA280" s="660">
        <f t="shared" si="131"/>
        <v>0.97318670937170504</v>
      </c>
      <c r="BB280" s="655">
        <v>43366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924">
        <f>1+[2]!Salcycl*Ksac</f>
        <v>1.0440927035179295</v>
      </c>
      <c r="BH280" s="1080">
        <f t="shared" si="132"/>
        <v>2.7297767152343363E-3</v>
      </c>
      <c r="BI280" s="11">
        <v>44462</v>
      </c>
      <c r="BJ280" s="801">
        <v>7.5407563708777326E-4</v>
      </c>
      <c r="BK280" s="801">
        <v>1.3006130695938335E-3</v>
      </c>
      <c r="BL280" s="801">
        <v>1.9178541194957474E-3</v>
      </c>
      <c r="BM280" s="801">
        <v>2.7297118530960189E-3</v>
      </c>
      <c r="BN280" s="801">
        <v>4.4431036330410531E-3</v>
      </c>
      <c r="BO280" s="802">
        <v>8.6174435106052532E-3</v>
      </c>
      <c r="BP280" s="801">
        <v>1.7635255072102722E-2</v>
      </c>
      <c r="BQ280" s="801">
        <v>3.317149754793166E-2</v>
      </c>
      <c r="BR280" s="801">
        <v>5.6441822417790277E-2</v>
      </c>
      <c r="BS280" s="801">
        <v>8.5711700665182591E-2</v>
      </c>
      <c r="BT280" s="801">
        <v>0.11856487043025525</v>
      </c>
      <c r="BW280" s="1136">
        <f>'2018'!R\Max</f>
        <v>0.97318670937170504</v>
      </c>
      <c r="BX280" s="1134">
        <f>'2019'!R\Max</f>
        <v>0.8545887250691232</v>
      </c>
      <c r="BY280" s="1134">
        <f>'2020'!R\Max</f>
        <v>0.50001606986306091</v>
      </c>
      <c r="BZ280" s="1134">
        <f>'2021'!R\Max</f>
        <v>0.86418378065088641</v>
      </c>
      <c r="CA280" s="1134">
        <f>'2022'!R\Max</f>
        <v>0.65220266940959393</v>
      </c>
      <c r="CB280" s="1134">
        <f>'2023'!R\Max</f>
        <v>0.65201791137888609</v>
      </c>
      <c r="CC280" s="1134">
        <f>'2024'!R\Max</f>
        <v>0.65170106632301383</v>
      </c>
      <c r="CD280" s="1134">
        <f>'2025'!R\Max</f>
        <v>0.65259306913301129</v>
      </c>
      <c r="CE280" s="1134">
        <f>'2026'!R\Max</f>
        <v>0.65255801569975114</v>
      </c>
      <c r="CF280" s="1135">
        <f>'2027'!R\Max</f>
        <v>0.65247576082646341</v>
      </c>
    </row>
    <row r="281" spans="1:84" s="6" customFormat="1" ht="11.25" x14ac:dyDescent="0.2">
      <c r="A281" s="11">
        <v>43367</v>
      </c>
      <c r="B281" s="380">
        <f>'2023'!Maxi_hp</f>
        <v>42.341790799167022</v>
      </c>
      <c r="C281" s="85">
        <f>'2023'!An_max</f>
        <v>2021</v>
      </c>
      <c r="D281" s="1087" t="str">
        <f t="shared" si="116"/>
        <v/>
      </c>
      <c r="E281" s="747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836">
        <f t="shared" si="119"/>
        <v>0.5</v>
      </c>
      <c r="J281" s="827">
        <f t="shared" si="120"/>
        <v>47.314851029217245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836">
        <f t="shared" si="124"/>
        <v>0.25</v>
      </c>
      <c r="AT281" s="853">
        <f t="shared" si="125"/>
        <v>47.291034267935899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836">
        <f t="shared" si="129"/>
        <v>0.25</v>
      </c>
      <c r="AY281" s="853">
        <f t="shared" si="130"/>
        <v>47.258414621464908</v>
      </c>
      <c r="AZ281" s="827">
        <f t="shared" si="134"/>
        <v>47.274724444700404</v>
      </c>
      <c r="BA281" s="660">
        <f t="shared" si="131"/>
        <v>0.8948943065047521</v>
      </c>
      <c r="BB281" s="655">
        <v>43367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924">
        <f>1+[2]!Salcycl*Ksac</f>
        <v>1.0438006026255537</v>
      </c>
      <c r="BH281" s="1080">
        <f t="shared" si="132"/>
        <v>2.9623201129754186E-3</v>
      </c>
      <c r="BI281" s="11">
        <v>44463</v>
      </c>
      <c r="BJ281" s="801">
        <v>8.2020149873284257E-4</v>
      </c>
      <c r="BK281" s="801">
        <v>1.4007160905063366E-3</v>
      </c>
      <c r="BL281" s="801">
        <v>2.075716380484649E-3</v>
      </c>
      <c r="BM281" s="801">
        <v>2.9622520390146282E-3</v>
      </c>
      <c r="BN281" s="801">
        <v>4.7604870012327083E-3</v>
      </c>
      <c r="BO281" s="802">
        <v>9.0732452444197125E-3</v>
      </c>
      <c r="BP281" s="801">
        <v>1.8242425099601594E-2</v>
      </c>
      <c r="BQ281" s="801">
        <v>3.3948916245034662E-2</v>
      </c>
      <c r="BR281" s="801">
        <v>5.7376007405354201E-2</v>
      </c>
      <c r="BS281" s="801">
        <v>8.6729740685620824E-2</v>
      </c>
      <c r="BT281" s="801">
        <v>0.11959085746131154</v>
      </c>
      <c r="BW281" s="1136">
        <f>'2018'!R\Max</f>
        <v>0.72403774463940951</v>
      </c>
      <c r="BX281" s="1134">
        <f>'2019'!R\Max</f>
        <v>0.59052165819640645</v>
      </c>
      <c r="BY281" s="1134">
        <f>'2020'!R\Max</f>
        <v>0.82090622711971173</v>
      </c>
      <c r="BZ281" s="1134">
        <f>'2021'!R\Max</f>
        <v>0.8948943065047521</v>
      </c>
      <c r="CA281" s="1134">
        <f>'2022'!R\Max</f>
        <v>0.47861258992572242</v>
      </c>
      <c r="CB281" s="1134">
        <f>'2023'!R\Max</f>
        <v>0.4784055768246353</v>
      </c>
      <c r="CC281" s="1134">
        <f>'2024'!R\Max</f>
        <v>0.47805264130700942</v>
      </c>
      <c r="CD281" s="1134">
        <f>'2025'!R\Max</f>
        <v>0.47905472006499589</v>
      </c>
      <c r="CE281" s="1134">
        <f>'2026'!R\Max</f>
        <v>0.47901415180407159</v>
      </c>
      <c r="CF281" s="1135">
        <f>'2027'!R\Max</f>
        <v>0.47892037840852142</v>
      </c>
    </row>
    <row r="282" spans="1:84" s="6" customFormat="1" ht="11.25" x14ac:dyDescent="0.2">
      <c r="A282" s="11">
        <v>43368</v>
      </c>
      <c r="B282" s="380">
        <f>'2023'!Maxi_hp</f>
        <v>48.914209724554347</v>
      </c>
      <c r="C282" s="85">
        <f>'2023'!An_max</f>
        <v>2018</v>
      </c>
      <c r="D282" s="1087">
        <f t="shared" si="116"/>
        <v>1.0383080390468189</v>
      </c>
      <c r="E282" s="747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836">
        <f t="shared" si="119"/>
        <v>0.42857142857142855</v>
      </c>
      <c r="J282" s="827">
        <f t="shared" si="120"/>
        <v>47.109535788106065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836">
        <f t="shared" si="124"/>
        <v>0.2857142857142857</v>
      </c>
      <c r="AT282" s="853">
        <f t="shared" si="125"/>
        <v>47.083024836384823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836">
        <f t="shared" si="129"/>
        <v>0.21428571428571427</v>
      </c>
      <c r="AY282" s="853">
        <f t="shared" si="130"/>
        <v>47.062591857436516</v>
      </c>
      <c r="AZ282" s="827">
        <f t="shared" si="134"/>
        <v>47.072808346910669</v>
      </c>
      <c r="BA282" s="660">
        <f t="shared" si="131"/>
        <v>1.0383080390468189</v>
      </c>
      <c r="BB282" s="655">
        <v>43368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924">
        <f>1+[2]!Salcycl*Ksac</f>
        <v>1.043496730454434</v>
      </c>
      <c r="BH282" s="1080">
        <f t="shared" si="132"/>
        <v>3.2125063793356952E-3</v>
      </c>
      <c r="BI282" s="11">
        <v>44464</v>
      </c>
      <c r="BJ282" s="801">
        <v>8.9203159846294538E-4</v>
      </c>
      <c r="BK282" s="801">
        <v>1.5082023539305007E-3</v>
      </c>
      <c r="BL282" s="801">
        <v>2.2458219595879124E-3</v>
      </c>
      <c r="BM282" s="801">
        <v>3.2124348522557834E-3</v>
      </c>
      <c r="BN282" s="801">
        <v>5.1018870649591321E-3</v>
      </c>
      <c r="BO282" s="802">
        <v>9.5542189761161911E-3</v>
      </c>
      <c r="BP282" s="801">
        <v>1.8868549504288432E-2</v>
      </c>
      <c r="BQ282" s="801">
        <v>3.4730257511823029E-2</v>
      </c>
      <c r="BR282" s="801">
        <v>5.8291936769006188E-2</v>
      </c>
      <c r="BS282" s="801">
        <v>8.7715880962017587E-2</v>
      </c>
      <c r="BT282" s="801">
        <v>0.12058084560616612</v>
      </c>
      <c r="BW282" s="1136">
        <f>'2018'!R\Max</f>
        <v>1.0383080390468189</v>
      </c>
      <c r="BX282" s="1134">
        <f>'2019'!R\Max</f>
        <v>0.59046068962862408</v>
      </c>
      <c r="BY282" s="1134">
        <f>'2020'!R\Max</f>
        <v>0.48188666687963749</v>
      </c>
      <c r="BZ282" s="1134">
        <f>'2021'!R\Max</f>
        <v>0.74874450621273825</v>
      </c>
      <c r="CA282" s="1134">
        <f>'2022'!R\Max</f>
        <v>0.7093320820299972</v>
      </c>
      <c r="CB282" s="1134">
        <f>'2023'!R\Max</f>
        <v>0.70915798419658005</v>
      </c>
      <c r="CC282" s="1134">
        <f>'2024'!R\Max</f>
        <v>0.70886267266955094</v>
      </c>
      <c r="CD282" s="1134">
        <f>'2025'!R\Max</f>
        <v>0.70970765711106776</v>
      </c>
      <c r="CE282" s="1134">
        <f>'2026'!R\Max</f>
        <v>0.70967240303829127</v>
      </c>
      <c r="CF282" s="1135">
        <f>'2027'!R\Max</f>
        <v>0.70959226436917711</v>
      </c>
    </row>
    <row r="283" spans="1:84" s="6" customFormat="1" ht="11.25" x14ac:dyDescent="0.2">
      <c r="A283" s="11">
        <v>43369</v>
      </c>
      <c r="B283" s="380">
        <f>'2023'!Maxi_hp</f>
        <v>47.979649608380406</v>
      </c>
      <c r="C283" s="85">
        <f>'2023'!An_max</f>
        <v>2018</v>
      </c>
      <c r="D283" s="1087">
        <f t="shared" si="116"/>
        <v>1.0230088607180976</v>
      </c>
      <c r="E283" s="747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836">
        <f t="shared" si="119"/>
        <v>0.35714285714285715</v>
      </c>
      <c r="J283" s="827">
        <f t="shared" si="120"/>
        <v>46.900522029399873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836">
        <f t="shared" si="124"/>
        <v>0.32142857142857145</v>
      </c>
      <c r="AT283" s="853">
        <f t="shared" si="125"/>
        <v>46.871459102630617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836">
        <f t="shared" si="129"/>
        <v>0.17857142857142858</v>
      </c>
      <c r="AY283" s="853">
        <f t="shared" si="130"/>
        <v>46.862927719391884</v>
      </c>
      <c r="AZ283" s="827">
        <f t="shared" si="134"/>
        <v>46.86719341101125</v>
      </c>
      <c r="BA283" s="660">
        <f t="shared" si="131"/>
        <v>1.0230088607180976</v>
      </c>
      <c r="BB283" s="655">
        <v>43369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924">
        <f>1+[2]!Salcycl*Ksac</f>
        <v>1.0431807493058287</v>
      </c>
      <c r="BH283" s="1080">
        <f t="shared" si="132"/>
        <v>3.4759523465742207E-3</v>
      </c>
      <c r="BI283" s="11">
        <v>44465</v>
      </c>
      <c r="BJ283" s="801">
        <v>9.6803488364443236E-4</v>
      </c>
      <c r="BK283" s="801">
        <v>1.6206963230103767E-3</v>
      </c>
      <c r="BL283" s="801">
        <v>2.424886349984349E-3</v>
      </c>
      <c r="BM283" s="801">
        <v>3.475877148828375E-3</v>
      </c>
      <c r="BN283" s="801">
        <v>5.4622933069222125E-3</v>
      </c>
      <c r="BO283" s="802">
        <v>1.005228909517388E-2</v>
      </c>
      <c r="BP283" s="801">
        <v>1.9506892766671672E-2</v>
      </c>
      <c r="BQ283" s="801">
        <v>3.5511207899907908E-2</v>
      </c>
      <c r="BR283" s="801">
        <v>5.9184178234073875E-2</v>
      </c>
      <c r="BS283" s="801">
        <v>8.8653520750867576E-2</v>
      </c>
      <c r="BT283" s="801">
        <v>0.12149938411075235</v>
      </c>
      <c r="BW283" s="1136">
        <f>'2018'!R\Max</f>
        <v>1.0230088607180976</v>
      </c>
      <c r="BX283" s="1134">
        <f>'2019'!R\Max</f>
        <v>0.76423647020490537</v>
      </c>
      <c r="BY283" s="1134">
        <f>'2020'!R\Max</f>
        <v>0.35812251347825497</v>
      </c>
      <c r="BZ283" s="1134">
        <f>'2021'!R\Max</f>
        <v>0.81992339089692257</v>
      </c>
      <c r="CA283" s="1134">
        <f>'2022'!R\Max</f>
        <v>0.74460857119810253</v>
      </c>
      <c r="CB283" s="1134">
        <f>'2023'!R\Max</f>
        <v>0.74444527720587073</v>
      </c>
      <c r="CC283" s="1134">
        <f>'2024'!R\Max</f>
        <v>0.74416985552072623</v>
      </c>
      <c r="CD283" s="1134">
        <f>'2025'!R\Max</f>
        <v>0.7449645496541385</v>
      </c>
      <c r="CE283" s="1134">
        <f>'2026'!R\Max</f>
        <v>0.7449303089955881</v>
      </c>
      <c r="CF283" s="1135">
        <f>'2027'!R\Max</f>
        <v>0.74485391919069921</v>
      </c>
    </row>
    <row r="284" spans="1:84" s="6" customFormat="1" ht="11.25" x14ac:dyDescent="0.2">
      <c r="A284" s="11">
        <v>43370</v>
      </c>
      <c r="B284" s="380">
        <f>'2023'!Maxi_hp</f>
        <v>46.988763169188566</v>
      </c>
      <c r="C284" s="85">
        <f>'2023'!An_max</f>
        <v>2018</v>
      </c>
      <c r="D284" s="1087">
        <f t="shared" si="116"/>
        <v>1.0064445263653861</v>
      </c>
      <c r="E284" s="747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836">
        <f t="shared" si="119"/>
        <v>0.2857142857142857</v>
      </c>
      <c r="J284" s="827">
        <f t="shared" si="120"/>
        <v>46.687881883446664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836">
        <f t="shared" si="124"/>
        <v>0.35714285714285715</v>
      </c>
      <c r="AT284" s="853">
        <f t="shared" si="125"/>
        <v>46.656397583069541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836">
        <f t="shared" si="129"/>
        <v>0.14285714285714285</v>
      </c>
      <c r="AY284" s="853">
        <f t="shared" si="130"/>
        <v>46.659294023151915</v>
      </c>
      <c r="AZ284" s="827">
        <f t="shared" si="134"/>
        <v>46.657845803110732</v>
      </c>
      <c r="BA284" s="660">
        <f t="shared" si="131"/>
        <v>1.0064445263653861</v>
      </c>
      <c r="BB284" s="655">
        <v>43370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924">
        <f>1+[2]!Salcycl*Ksac</f>
        <v>1.0428523305459694</v>
      </c>
      <c r="BH284" s="1080">
        <f t="shared" si="132"/>
        <v>3.7526831793365462E-3</v>
      </c>
      <c r="BI284" s="11">
        <v>44466</v>
      </c>
      <c r="BJ284" s="801">
        <v>1.0482190611462484E-3</v>
      </c>
      <c r="BK284" s="801">
        <v>1.7382078213144432E-3</v>
      </c>
      <c r="BL284" s="801">
        <v>2.6129265219395612E-3</v>
      </c>
      <c r="BM284" s="801">
        <v>3.7526040930195071E-3</v>
      </c>
      <c r="BN284" s="801">
        <v>5.8417403601195546E-3</v>
      </c>
      <c r="BO284" s="802">
        <v>1.0567489866842363E-2</v>
      </c>
      <c r="BP284" s="801">
        <v>2.0157479886836287E-2</v>
      </c>
      <c r="BQ284" s="801">
        <v>3.6291766728916507E-2</v>
      </c>
      <c r="BR284" s="801">
        <v>6.0052682547691118E-2</v>
      </c>
      <c r="BS284" s="801">
        <v>8.9542550426269393E-2</v>
      </c>
      <c r="BT284" s="801">
        <v>0.12234629796840601</v>
      </c>
      <c r="BW284" s="1136">
        <f>'2018'!R\Max</f>
        <v>1.0064445263653861</v>
      </c>
      <c r="BX284" s="1134">
        <f>'2019'!R\Max</f>
        <v>0.79916604783009992</v>
      </c>
      <c r="BY284" s="1134">
        <f>'2020'!R\Max</f>
        <v>0.32242203598161356</v>
      </c>
      <c r="BZ284" s="1134">
        <f>'2021'!R\Max</f>
        <v>0.55368854906254983</v>
      </c>
      <c r="CA284" s="1134">
        <f>'2022'!R\Max</f>
        <v>0.35909361851679805</v>
      </c>
      <c r="CB284" s="1134">
        <f>'2023'!R\Max</f>
        <v>0.35889287344291848</v>
      </c>
      <c r="CC284" s="1134">
        <f>'2024'!R\Max</f>
        <v>0.35855657439360228</v>
      </c>
      <c r="CD284" s="1134">
        <f>'2025'!R\Max</f>
        <v>0.35953635319129618</v>
      </c>
      <c r="CE284" s="1134">
        <f>'2026'!R\Max</f>
        <v>0.35949263357046912</v>
      </c>
      <c r="CF284" s="1135">
        <f>'2027'!R\Max</f>
        <v>0.35939708858219455</v>
      </c>
    </row>
    <row r="285" spans="1:84" s="6" customFormat="1" ht="11.25" x14ac:dyDescent="0.2">
      <c r="A285" s="11">
        <v>43371</v>
      </c>
      <c r="B285" s="380">
        <f>'2023'!Maxi_hp</f>
        <v>44.138858996476266</v>
      </c>
      <c r="C285" s="85">
        <f>'2023'!An_max</f>
        <v>2018</v>
      </c>
      <c r="D285" s="1087" t="str">
        <f t="shared" si="116"/>
        <v/>
      </c>
      <c r="E285" s="747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836">
        <f t="shared" si="119"/>
        <v>0.21428571428571427</v>
      </c>
      <c r="J285" s="827">
        <f t="shared" si="120"/>
        <v>46.47168747921075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836">
        <f t="shared" si="124"/>
        <v>0.39285714285714285</v>
      </c>
      <c r="AT285" s="853">
        <f t="shared" si="125"/>
        <v>46.437900795029215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836">
        <f t="shared" si="129"/>
        <v>0.10714285714285714</v>
      </c>
      <c r="AY285" s="853">
        <f t="shared" si="130"/>
        <v>46.45156258624047</v>
      </c>
      <c r="AZ285" s="827">
        <f t="shared" si="134"/>
        <v>46.444731690634839</v>
      </c>
      <c r="BA285" s="660">
        <f t="shared" si="131"/>
        <v>0.94980108084566361</v>
      </c>
      <c r="BB285" s="655">
        <v>43371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924">
        <f>1+[2]!Salcycl*Ksac</f>
        <v>1.0425111571638683</v>
      </c>
      <c r="BH285" s="1080">
        <f t="shared" si="132"/>
        <v>4.0427241679760369E-3</v>
      </c>
      <c r="BI285" s="11">
        <v>44467</v>
      </c>
      <c r="BJ285" s="801">
        <v>1.1325919083609776E-3</v>
      </c>
      <c r="BK285" s="801">
        <v>1.8607466616428106E-3</v>
      </c>
      <c r="BL285" s="801">
        <v>2.8099595258624533E-3</v>
      </c>
      <c r="BM285" s="801">
        <v>4.0426409748191153E-3</v>
      </c>
      <c r="BN285" s="801">
        <v>6.2402631148524802E-3</v>
      </c>
      <c r="BO285" s="802">
        <v>1.1099855008802553E-2</v>
      </c>
      <c r="BP285" s="801">
        <v>2.0820334208445521E-2</v>
      </c>
      <c r="BQ285" s="801">
        <v>3.7071929781179715E-2</v>
      </c>
      <c r="BR285" s="801">
        <v>6.089739412650521E-2</v>
      </c>
      <c r="BS285" s="801">
        <v>9.0382851384615256E-2</v>
      </c>
      <c r="BT285" s="801">
        <v>0.12312140102007375</v>
      </c>
      <c r="BW285" s="1136">
        <f>'2018'!R\Max</f>
        <v>0.94980108084566361</v>
      </c>
      <c r="BX285" s="1134">
        <f>'2019'!R\Max</f>
        <v>0.75717954194744719</v>
      </c>
      <c r="BY285" s="1134">
        <f>'2020'!R\Max</f>
        <v>0.28431956322689322</v>
      </c>
      <c r="BZ285" s="1134">
        <f>'2021'!R\Max</f>
        <v>0.58581472189344341</v>
      </c>
      <c r="CA285" s="1134">
        <f>'2022'!R\Max</f>
        <v>0.35281266992276628</v>
      </c>
      <c r="CB285" s="1134">
        <f>'2023'!R\Max</f>
        <v>0.35261043723762775</v>
      </c>
      <c r="CC285" s="1134">
        <f>'2024'!R\Max</f>
        <v>0.35227369379853912</v>
      </c>
      <c r="CD285" s="1134">
        <f>'2025'!R\Max</f>
        <v>0.35326342148336792</v>
      </c>
      <c r="CE285" s="1134">
        <f>'2026'!R\Max</f>
        <v>0.35321771166458654</v>
      </c>
      <c r="CF285" s="1135">
        <f>'2027'!R\Max</f>
        <v>0.35311997215959406</v>
      </c>
    </row>
    <row r="286" spans="1:84" s="6" customFormat="1" ht="11.25" x14ac:dyDescent="0.2">
      <c r="A286" s="11">
        <v>43372</v>
      </c>
      <c r="B286" s="380">
        <f>'2023'!Maxi_hp</f>
        <v>45.467806820564945</v>
      </c>
      <c r="C286" s="85">
        <f>'2023'!An_max</f>
        <v>2018</v>
      </c>
      <c r="D286" s="1087">
        <f t="shared" si="116"/>
        <v>0.98304497237688671</v>
      </c>
      <c r="E286" s="747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836">
        <f t="shared" si="119"/>
        <v>0.14285714285714285</v>
      </c>
      <c r="J286" s="827">
        <f t="shared" si="120"/>
        <v>46.252010943740608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836">
        <f t="shared" si="124"/>
        <v>0.42857142857142855</v>
      </c>
      <c r="AT286" s="853">
        <f t="shared" si="125"/>
        <v>46.216029254719615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836">
        <f t="shared" si="129"/>
        <v>7.1428571428571425E-2</v>
      </c>
      <c r="AY286" s="853">
        <f t="shared" si="130"/>
        <v>46.239605225223514</v>
      </c>
      <c r="AZ286" s="827">
        <f t="shared" si="134"/>
        <v>46.227817239971564</v>
      </c>
      <c r="BA286" s="660">
        <f t="shared" si="131"/>
        <v>0.98304497237688671</v>
      </c>
      <c r="BB286" s="655">
        <v>43372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924">
        <f>1+[2]!Salcycl*Ksac</f>
        <v>1.0421569264300203</v>
      </c>
      <c r="BH286" s="1080">
        <f t="shared" si="132"/>
        <v>4.3461005851813837E-3</v>
      </c>
      <c r="BI286" s="11">
        <v>44468</v>
      </c>
      <c r="BJ286" s="801">
        <v>1.221161228003012E-3</v>
      </c>
      <c r="BK286" s="801">
        <v>1.988322592040894E-3</v>
      </c>
      <c r="BL286" s="801">
        <v>3.016002395458758E-3</v>
      </c>
      <c r="BM286" s="801">
        <v>4.3460130665498344E-3</v>
      </c>
      <c r="BN286" s="801">
        <v>6.6578965131602608E-3</v>
      </c>
      <c r="BO286" s="802">
        <v>1.1649417508576261E-2</v>
      </c>
      <c r="BP286" s="801">
        <v>2.1495477292697403E-2</v>
      </c>
      <c r="BQ286" s="801">
        <v>3.7851689318607919E-2</v>
      </c>
      <c r="BR286" s="801">
        <v>6.1718251335330133E-2</v>
      </c>
      <c r="BS286" s="801">
        <v>9.1174296602185692E-2</v>
      </c>
      <c r="BT286" s="801">
        <v>0.12382449677036468</v>
      </c>
      <c r="BW286" s="1136">
        <f>'2018'!R\Max</f>
        <v>0.98304497237688671</v>
      </c>
      <c r="BX286" s="1134">
        <f>'2019'!R\Max</f>
        <v>0.95748399762176828</v>
      </c>
      <c r="BY286" s="1134">
        <f>'2020'!R\Max</f>
        <v>0.70281515449459275</v>
      </c>
      <c r="BZ286" s="1134">
        <f>'2021'!R\Max</f>
        <v>0.6284647638523071</v>
      </c>
      <c r="CA286" s="1134">
        <f>'2022'!R\Max</f>
        <v>0.51099930256954895</v>
      </c>
      <c r="CB286" s="1134">
        <f>'2023'!R\Max</f>
        <v>0.51077470709450778</v>
      </c>
      <c r="CC286" s="1134">
        <f>'2024'!R\Max</f>
        <v>0.51040290032942481</v>
      </c>
      <c r="CD286" s="1134">
        <f>'2025'!R\Max</f>
        <v>0.51150496705557924</v>
      </c>
      <c r="CE286" s="1134">
        <f>'2026'!R\Max</f>
        <v>0.51145228417333288</v>
      </c>
      <c r="CF286" s="1135">
        <f>'2027'!R\Max</f>
        <v>0.51134218207035431</v>
      </c>
    </row>
    <row r="287" spans="1:84" s="6" customFormat="1" ht="11.25" x14ac:dyDescent="0.2">
      <c r="A287" s="11">
        <v>43373</v>
      </c>
      <c r="B287" s="380">
        <f>'2023'!Maxi_hp</f>
        <v>41.385817820684117</v>
      </c>
      <c r="C287" s="85">
        <f>'2023'!An_max</f>
        <v>2018</v>
      </c>
      <c r="D287" s="1087" t="str">
        <f t="shared" si="116"/>
        <v/>
      </c>
      <c r="E287" s="747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836">
        <f t="shared" si="119"/>
        <v>7.1428571428571425E-2</v>
      </c>
      <c r="J287" s="827">
        <f t="shared" si="120"/>
        <v>46.028924407597103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836">
        <f t="shared" si="124"/>
        <v>0.4642857142857143</v>
      </c>
      <c r="AT287" s="853">
        <f t="shared" si="125"/>
        <v>45.990843479029301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836">
        <f t="shared" si="129"/>
        <v>3.5714285714285712E-2</v>
      </c>
      <c r="AY287" s="853">
        <f t="shared" si="130"/>
        <v>46.02329375765153</v>
      </c>
      <c r="AZ287" s="827">
        <f t="shared" si="134"/>
        <v>46.007068618340412</v>
      </c>
      <c r="BA287" s="660">
        <f t="shared" si="131"/>
        <v>0.89912632878845555</v>
      </c>
      <c r="BB287" s="655">
        <v>43373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924">
        <f>1+[2]!Salcycl*Ksac</f>
        <v>1.0417893526369084</v>
      </c>
      <c r="BH287" s="1080">
        <f t="shared" si="132"/>
        <v>4.6628375426965608E-3</v>
      </c>
      <c r="BI287" s="11">
        <v>44469</v>
      </c>
      <c r="BJ287" s="801">
        <v>1.3139348029324257E-3</v>
      </c>
      <c r="BK287" s="801">
        <v>2.1209452418563261E-3</v>
      </c>
      <c r="BL287" s="801">
        <v>3.2310720509491236E-3</v>
      </c>
      <c r="BM287" s="801">
        <v>4.6627454795893069E-3</v>
      </c>
      <c r="BN287" s="801">
        <v>7.0946753434003619E-3</v>
      </c>
      <c r="BO287" s="802">
        <v>1.2216209441206697E-2</v>
      </c>
      <c r="BP287" s="801">
        <v>2.2182928792811547E-2</v>
      </c>
      <c r="BQ287" s="801">
        <v>3.8631034100537288E-2</v>
      </c>
      <c r="BR287" s="801">
        <v>6.2515186767422973E-2</v>
      </c>
      <c r="BS287" s="801">
        <v>9.1916751195181071E-2</v>
      </c>
      <c r="BT287" s="801">
        <v>0.12445537920694644</v>
      </c>
      <c r="BW287" s="1136">
        <f>'2018'!R\Max</f>
        <v>0.89912632878845555</v>
      </c>
      <c r="BX287" s="1134">
        <f>'2019'!R\Max</f>
        <v>0.57421330053195485</v>
      </c>
      <c r="BY287" s="1134">
        <f>'2020'!R\Max</f>
        <v>0.76429869831305752</v>
      </c>
      <c r="BZ287" s="1134">
        <f>'2021'!R\Max</f>
        <v>0.33037500534681707</v>
      </c>
      <c r="CA287" s="1134">
        <f>'2022'!R\Max</f>
        <v>0.740655883385267</v>
      </c>
      <c r="CB287" s="1134">
        <f>'2023'!R\Max</f>
        <v>0.74048078119240945</v>
      </c>
      <c r="CC287" s="1134">
        <f>'2024'!R\Max</f>
        <v>0.74019258907662511</v>
      </c>
      <c r="CD287" s="1134">
        <f>'2025'!R\Max</f>
        <v>0.74105401708016361</v>
      </c>
      <c r="CE287" s="1134">
        <f>'2026'!R\Max</f>
        <v>0.74101138232202812</v>
      </c>
      <c r="CF287" s="1135">
        <f>'2027'!R\Max</f>
        <v>0.74092437562169333</v>
      </c>
    </row>
    <row r="288" spans="1:84" s="6" customFormat="1" ht="11.25" x14ac:dyDescent="0.2">
      <c r="A288" s="11">
        <v>43374</v>
      </c>
      <c r="B288" s="380">
        <f>'2023'!Maxi_hp</f>
        <v>43.981299080889379</v>
      </c>
      <c r="C288" s="85">
        <f>'2023'!An_max</f>
        <v>2020</v>
      </c>
      <c r="D288" s="1087" t="str">
        <f t="shared" si="116"/>
        <v/>
      </c>
      <c r="E288" s="835">
        <f>AG$13/10</f>
        <v>45.802499999999995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836">
        <f t="shared" si="119"/>
        <v>0</v>
      </c>
      <c r="J288" s="827">
        <f t="shared" si="120"/>
        <v>45.802500001341102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836">
        <f t="shared" si="124"/>
        <v>0.5</v>
      </c>
      <c r="AT288" s="853">
        <f t="shared" si="125"/>
        <v>45.762403984740374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836">
        <f t="shared" si="129"/>
        <v>0</v>
      </c>
      <c r="AY288" s="853">
        <f t="shared" si="130"/>
        <v>45.802500000223517</v>
      </c>
      <c r="AZ288" s="827">
        <f t="shared" si="134"/>
        <v>45.782451992481946</v>
      </c>
      <c r="BA288" s="660">
        <f t="shared" si="131"/>
        <v>0.96023795818135693</v>
      </c>
      <c r="BB288" s="655">
        <v>43374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924">
        <f>1+[2]!Salcycl*Ksac</f>
        <v>1.0414081699006479</v>
      </c>
      <c r="BH288" s="1080">
        <f t="shared" si="132"/>
        <v>4.9929598479901026E-3</v>
      </c>
      <c r="BI288" s="11">
        <v>44470</v>
      </c>
      <c r="BJ288" s="801">
        <v>1.4109203509646534E-3</v>
      </c>
      <c r="BK288" s="801">
        <v>2.2586240677725505E-3</v>
      </c>
      <c r="BL288" s="801">
        <v>3.455185202251966E-3</v>
      </c>
      <c r="BM288" s="801">
        <v>4.9928630210418134E-3</v>
      </c>
      <c r="BN288" s="801">
        <v>7.550634034750388E-3</v>
      </c>
      <c r="BO288" s="802">
        <v>1.2800261786799716E-2</v>
      </c>
      <c r="BP288" s="801">
        <v>2.2882706328254409E-2</v>
      </c>
      <c r="BQ288" s="801">
        <v>3.9409949401109909E-2</v>
      </c>
      <c r="BR288" s="801">
        <v>6.3288127523993792E-2</v>
      </c>
      <c r="BS288" s="801">
        <v>9.2610072978614941E-2</v>
      </c>
      <c r="BT288" s="801">
        <v>0.12501383361839047</v>
      </c>
      <c r="BW288" s="1136">
        <f>'2018'!R\Max</f>
        <v>0.68698695566027668</v>
      </c>
      <c r="BX288" s="1134">
        <f>'2019'!R\Max</f>
        <v>0.69421527286166906</v>
      </c>
      <c r="BY288" s="1134">
        <f>'2020'!R\Max</f>
        <v>0.96023795818135693</v>
      </c>
      <c r="BZ288" s="1134">
        <f>'2021'!R\Max</f>
        <v>0.72264174595670316</v>
      </c>
      <c r="CA288" s="1134">
        <f>'2022'!R\Max</f>
        <v>0.9014597883240405</v>
      </c>
      <c r="CB288" s="1134">
        <f>'2023'!R\Max</f>
        <v>0.90137772076391354</v>
      </c>
      <c r="CC288" s="1134">
        <f>'2024'!R\Max</f>
        <v>0.90124347775276792</v>
      </c>
      <c r="CD288" s="1134">
        <f>'2025'!R\Max</f>
        <v>0.90164827023091709</v>
      </c>
      <c r="CE288" s="1134">
        <f>'2026'!R\Max</f>
        <v>0.90162751264013963</v>
      </c>
      <c r="CF288" s="1135">
        <f>'2027'!R\Max</f>
        <v>0.90158618329352302</v>
      </c>
    </row>
    <row r="289" spans="1:84" s="6" customFormat="1" ht="11.25" x14ac:dyDescent="0.2">
      <c r="A289" s="11">
        <v>43375</v>
      </c>
      <c r="B289" s="380">
        <f>'2023'!Maxi_hp</f>
        <v>47.647904130278036</v>
      </c>
      <c r="C289" s="85">
        <f>'2023'!An_max</f>
        <v>2018</v>
      </c>
      <c r="D289" s="1087">
        <f t="shared" si="116"/>
        <v>1.0455493472194759</v>
      </c>
      <c r="E289" s="747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836">
        <f t="shared" si="119"/>
        <v>7.1428571428571425E-2</v>
      </c>
      <c r="J289" s="827">
        <f t="shared" si="120"/>
        <v>45.572123646762755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836">
        <f t="shared" si="124"/>
        <v>0.5357142857142857</v>
      </c>
      <c r="AT289" s="853">
        <f t="shared" si="125"/>
        <v>45.530771288754678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836">
        <f t="shared" si="129"/>
        <v>3.5714285714285712E-2</v>
      </c>
      <c r="AY289" s="853">
        <f t="shared" si="130"/>
        <v>45.576614416457183</v>
      </c>
      <c r="AZ289" s="827">
        <f t="shared" si="134"/>
        <v>45.553692852605934</v>
      </c>
      <c r="BA289" s="660">
        <f t="shared" si="131"/>
        <v>1.0455493472194759</v>
      </c>
      <c r="BB289" s="655">
        <v>43375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924">
        <f>1+[2]!Salcycl*Ksac</f>
        <v>1.0410131350016905</v>
      </c>
      <c r="BH289" s="1080">
        <f t="shared" si="132"/>
        <v>5.3364918609825991E-3</v>
      </c>
      <c r="BI289" s="11">
        <v>44471</v>
      </c>
      <c r="BJ289" s="801">
        <v>1.5121254796965362E-3</v>
      </c>
      <c r="BK289" s="801">
        <v>2.4013682998690025E-3</v>
      </c>
      <c r="BL289" s="801">
        <v>3.6883582522067109E-3</v>
      </c>
      <c r="BM289" s="801">
        <v>5.3363900504681226E-3</v>
      </c>
      <c r="BN289" s="801">
        <v>8.0258064517990026E-3</v>
      </c>
      <c r="BO289" s="802">
        <v>1.3401604248219998E-2</v>
      </c>
      <c r="BP289" s="801">
        <v>2.3594825359248988E-2</v>
      </c>
      <c r="BQ289" s="801">
        <v>4.0188417027153166E-2</v>
      </c>
      <c r="BR289" s="801">
        <v>6.4036995494527987E-2</v>
      </c>
      <c r="BS289" s="801">
        <v>9.325411302640553E-2</v>
      </c>
      <c r="BT289" s="801">
        <v>0.12549963741364234</v>
      </c>
      <c r="BW289" s="1136">
        <f>'2018'!R\Max</f>
        <v>1.0455493472194759</v>
      </c>
      <c r="BX289" s="1134">
        <f>'2019'!R\Max</f>
        <v>0.51234728185793343</v>
      </c>
      <c r="BY289" s="1134">
        <f>'2020'!R\Max</f>
        <v>0.18325412117354789</v>
      </c>
      <c r="BZ289" s="1134">
        <f>'2021'!R\Max</f>
        <v>0.92039889566499755</v>
      </c>
      <c r="CA289" s="1134">
        <f>'2022'!R\Max</f>
        <v>0.89225616130086283</v>
      </c>
      <c r="CB289" s="1134">
        <f>'2023'!R\Max</f>
        <v>0.89216621921722272</v>
      </c>
      <c r="CC289" s="1134">
        <f>'2024'!R\Max</f>
        <v>0.8920200843129813</v>
      </c>
      <c r="CD289" s="1134">
        <f>'2025'!R\Max</f>
        <v>0.89246492413992629</v>
      </c>
      <c r="CE289" s="1134">
        <f>'2026'!R\Max</f>
        <v>0.89244126421185477</v>
      </c>
      <c r="CF289" s="1135">
        <f>'2027'!R\Max</f>
        <v>0.89239533941182303</v>
      </c>
    </row>
    <row r="290" spans="1:84" s="6" customFormat="1" ht="11.25" x14ac:dyDescent="0.2">
      <c r="A290" s="11">
        <v>43376</v>
      </c>
      <c r="B290" s="380">
        <f>'2023'!Maxi_hp</f>
        <v>43.351504842538631</v>
      </c>
      <c r="C290" s="85">
        <f>'2023'!An_max</f>
        <v>2018</v>
      </c>
      <c r="D290" s="1087" t="str">
        <f t="shared" si="116"/>
        <v/>
      </c>
      <c r="E290" s="747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836">
        <f t="shared" si="119"/>
        <v>0.14285714285714285</v>
      </c>
      <c r="J290" s="827">
        <f t="shared" si="120"/>
        <v>45.337288841498754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836">
        <f t="shared" si="124"/>
        <v>0.5714285714285714</v>
      </c>
      <c r="AT290" s="853">
        <f t="shared" si="125"/>
        <v>45.296005907814411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836">
        <f t="shared" si="129"/>
        <v>7.1428571428571425E-2</v>
      </c>
      <c r="AY290" s="853">
        <f t="shared" si="130"/>
        <v>45.345276021678004</v>
      </c>
      <c r="AZ290" s="827">
        <f t="shared" si="134"/>
        <v>45.320640964746204</v>
      </c>
      <c r="BA290" s="660">
        <f t="shared" si="131"/>
        <v>0.95619976293901221</v>
      </c>
      <c r="BB290" s="655">
        <v>43376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924">
        <f>1+[2]!Salcycl*Ksac</f>
        <v>1.0406040302412958</v>
      </c>
      <c r="BH290" s="1080">
        <f t="shared" si="132"/>
        <v>5.6755287886572333E-3</v>
      </c>
      <c r="BI290" s="11">
        <v>44472</v>
      </c>
      <c r="BJ290" s="801">
        <v>1.6184079391061085E-3</v>
      </c>
      <c r="BK290" s="801">
        <v>2.547892887685818E-3</v>
      </c>
      <c r="BL290" s="801">
        <v>3.9213855671609956E-3</v>
      </c>
      <c r="BM290" s="801">
        <v>5.6754221042934474E-3</v>
      </c>
      <c r="BN290" s="801">
        <v>8.4935856231157549E-3</v>
      </c>
      <c r="BO290" s="802">
        <v>1.3988007677284331E-2</v>
      </c>
      <c r="BP290" s="801">
        <v>2.4281466866337347E-2</v>
      </c>
      <c r="BQ290" s="801">
        <v>4.0921610505261517E-2</v>
      </c>
      <c r="BR290" s="801">
        <v>6.4710917675946653E-2</v>
      </c>
      <c r="BS290" s="801">
        <v>9.385193480101435E-2</v>
      </c>
      <c r="BT290" s="801">
        <v>0.12603090563527883</v>
      </c>
      <c r="BW290" s="1136">
        <f>'2018'!R\Max</f>
        <v>0.95619976293901221</v>
      </c>
      <c r="BX290" s="1134">
        <f>'2019'!R\Max</f>
        <v>0.7684092063385336</v>
      </c>
      <c r="BY290" s="1134">
        <f>'2020'!R\Max</f>
        <v>0.11883750418964328</v>
      </c>
      <c r="BZ290" s="1134">
        <f>'2021'!R\Max</f>
        <v>0.1539651108223215</v>
      </c>
      <c r="CA290" s="1134">
        <f>'2022'!R\Max</f>
        <v>0.83845201016937221</v>
      </c>
      <c r="CB290" s="1134">
        <f>'2023'!R\Max</f>
        <v>0.83832383288528223</v>
      </c>
      <c r="CC290" s="1134">
        <f>'2024'!R\Max</f>
        <v>0.83811701272236405</v>
      </c>
      <c r="CD290" s="1134">
        <f>'2025'!R\Max</f>
        <v>0.83875257572846673</v>
      </c>
      <c r="CE290" s="1134">
        <f>'2026'!R\Max</f>
        <v>0.83871757995721541</v>
      </c>
      <c r="CF290" s="1135">
        <f>'2027'!R\Max</f>
        <v>0.83865126361762077</v>
      </c>
    </row>
    <row r="291" spans="1:84" s="6" customFormat="1" ht="11.25" x14ac:dyDescent="0.2">
      <c r="A291" s="11">
        <v>43377</v>
      </c>
      <c r="B291" s="380">
        <f>'2023'!Maxi_hp</f>
        <v>44.844605022343991</v>
      </c>
      <c r="C291" s="85">
        <f>'2023'!An_max</f>
        <v>2018</v>
      </c>
      <c r="D291" s="1087">
        <f t="shared" si="116"/>
        <v>0.994376186132363</v>
      </c>
      <c r="E291" s="747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836">
        <f t="shared" si="119"/>
        <v>0.21428571428571427</v>
      </c>
      <c r="J291" s="827">
        <f t="shared" si="120"/>
        <v>45.09822906838464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836">
        <f t="shared" si="124"/>
        <v>0.6071428571428571</v>
      </c>
      <c r="AT291" s="853">
        <f t="shared" si="125"/>
        <v>45.058168358369059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836">
        <f t="shared" si="129"/>
        <v>0.10714285714285714</v>
      </c>
      <c r="AY291" s="853">
        <f t="shared" si="130"/>
        <v>45.108729462405407</v>
      </c>
      <c r="AZ291" s="827">
        <f t="shared" si="134"/>
        <v>45.083448910387233</v>
      </c>
      <c r="BA291" s="660">
        <f t="shared" si="131"/>
        <v>0.994376186132363</v>
      </c>
      <c r="BB291" s="655">
        <v>43377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924">
        <f>1+[2]!Salcycl*Ksac</f>
        <v>1.0401806662894686</v>
      </c>
      <c r="BH291" s="1080">
        <f t="shared" si="132"/>
        <v>5.9999556655017062E-3</v>
      </c>
      <c r="BI291" s="11">
        <v>44473</v>
      </c>
      <c r="BJ291" s="801">
        <v>1.7290028934952865E-3</v>
      </c>
      <c r="BK291" s="801">
        <v>2.6966369881772836E-3</v>
      </c>
      <c r="BL291" s="801">
        <v>4.1488372852052412E-3</v>
      </c>
      <c r="BM291" s="801">
        <v>5.9998444218503843E-3</v>
      </c>
      <c r="BN291" s="801">
        <v>8.9384456257168496E-3</v>
      </c>
      <c r="BO291" s="802">
        <v>1.4541687071634639E-2</v>
      </c>
      <c r="BP291" s="801">
        <v>2.4925319908071369E-2</v>
      </c>
      <c r="BQ291" s="801">
        <v>4.1595514411857472E-2</v>
      </c>
      <c r="BR291" s="801">
        <v>6.5297063622918469E-2</v>
      </c>
      <c r="BS291" s="801">
        <v>9.4392151340003602E-2</v>
      </c>
      <c r="BT291" s="801">
        <v>0.1265977076715202</v>
      </c>
      <c r="BW291" s="1136">
        <f>'2018'!R\Max</f>
        <v>0.994376186132363</v>
      </c>
      <c r="BX291" s="1134">
        <f>'2019'!R\Max</f>
        <v>0.24634442977576079</v>
      </c>
      <c r="BY291" s="1134">
        <f>'2020'!R\Max</f>
        <v>0.38737654151728546</v>
      </c>
      <c r="BZ291" s="1134">
        <f>'2021'!R\Max</f>
        <v>0.789730378639808</v>
      </c>
      <c r="CA291" s="1134">
        <f>'2022'!R\Max</f>
        <v>0.98763260692691768</v>
      </c>
      <c r="CB291" s="1134">
        <f>'2023'!R\Max</f>
        <v>0.98762092621460307</v>
      </c>
      <c r="CC291" s="1134">
        <f>'2024'!R\Max</f>
        <v>0.98760219848846176</v>
      </c>
      <c r="CD291" s="1134">
        <f>'2025'!R\Max</f>
        <v>0.98766023624179056</v>
      </c>
      <c r="CE291" s="1134">
        <f>'2026'!R\Max</f>
        <v>0.98765694240157031</v>
      </c>
      <c r="CF291" s="1135">
        <f>'2027'!R\Max</f>
        <v>0.98765083184265012</v>
      </c>
    </row>
    <row r="292" spans="1:84" s="6" customFormat="1" ht="11.25" x14ac:dyDescent="0.2">
      <c r="A292" s="11">
        <v>43378</v>
      </c>
      <c r="B292" s="380">
        <f>'2023'!Maxi_hp</f>
        <v>44.683643039833356</v>
      </c>
      <c r="C292" s="85">
        <f>'2023'!An_max</f>
        <v>2018</v>
      </c>
      <c r="D292" s="1087">
        <f t="shared" si="116"/>
        <v>0.99617580888278223</v>
      </c>
      <c r="E292" s="747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836">
        <f t="shared" si="119"/>
        <v>0.2857142857142857</v>
      </c>
      <c r="J292" s="827">
        <f t="shared" si="120"/>
        <v>44.855177812384703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836">
        <f t="shared" si="124"/>
        <v>0.6428571428571429</v>
      </c>
      <c r="AT292" s="853">
        <f t="shared" si="125"/>
        <v>44.817319157506738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836">
        <f t="shared" si="129"/>
        <v>0.14285714285714285</v>
      </c>
      <c r="AY292" s="853">
        <f t="shared" si="130"/>
        <v>44.867219384121043</v>
      </c>
      <c r="AZ292" s="827">
        <f t="shared" si="134"/>
        <v>44.842269270813887</v>
      </c>
      <c r="BA292" s="660">
        <f t="shared" si="131"/>
        <v>0.99617580888278223</v>
      </c>
      <c r="BB292" s="655">
        <v>43378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924">
        <f>1+[2]!Salcycl*Ksac</f>
        <v>1.0397428849992889</v>
      </c>
      <c r="BH292" s="1080">
        <f t="shared" si="132"/>
        <v>6.3097521629505958E-3</v>
      </c>
      <c r="BI292" s="11">
        <v>44474</v>
      </c>
      <c r="BJ292" s="801">
        <v>1.8439174849594086E-3</v>
      </c>
      <c r="BK292" s="801">
        <v>2.8476045052337278E-3</v>
      </c>
      <c r="BL292" s="801">
        <v>4.3707061081396962E-3</v>
      </c>
      <c r="BM292" s="801">
        <v>6.3096366750506712E-3</v>
      </c>
      <c r="BN292" s="801">
        <v>9.3603535269490903E-3</v>
      </c>
      <c r="BO292" s="802">
        <v>1.5062591409521908E-2</v>
      </c>
      <c r="BP292" s="801">
        <v>2.5526309165138206E-2</v>
      </c>
      <c r="BQ292" s="801">
        <v>4.2210011093588656E-2</v>
      </c>
      <c r="BR292" s="801">
        <v>6.5795244867347988E-2</v>
      </c>
      <c r="BS292" s="801">
        <v>9.4874584914094132E-2</v>
      </c>
      <c r="BT292" s="801">
        <v>0.12719996776518336</v>
      </c>
      <c r="BW292" s="1136">
        <f>'2018'!R\Max</f>
        <v>0.99617580888278223</v>
      </c>
      <c r="BX292" s="1134">
        <f>'2019'!R\Max</f>
        <v>0.78167478563190007</v>
      </c>
      <c r="BY292" s="1134">
        <f>'2020'!R\Max</f>
        <v>0.41967803957576111</v>
      </c>
      <c r="BZ292" s="1134">
        <f>'2021'!R\Max</f>
        <v>0.27924465988951691</v>
      </c>
      <c r="CA292" s="1134">
        <f>'2022'!R\Max</f>
        <v>0.99178927123086369</v>
      </c>
      <c r="CB292" s="1134">
        <f>'2023'!R\Max</f>
        <v>0.99178141091744099</v>
      </c>
      <c r="CC292" s="1134">
        <f>'2024'!R\Max</f>
        <v>0.99176889251614664</v>
      </c>
      <c r="CD292" s="1134">
        <f>'2025'!R\Max</f>
        <v>0.99180801939287022</v>
      </c>
      <c r="CE292" s="1134">
        <f>'2026'!R\Max</f>
        <v>0.99180573608498956</v>
      </c>
      <c r="CF292" s="1135">
        <f>'2027'!R\Max</f>
        <v>0.99180158043701772</v>
      </c>
    </row>
    <row r="293" spans="1:84" s="6" customFormat="1" ht="11.25" x14ac:dyDescent="0.2">
      <c r="A293" s="11">
        <v>43379</v>
      </c>
      <c r="B293" s="380">
        <f>'2023'!Maxi_hp</f>
        <v>42.282942542755286</v>
      </c>
      <c r="C293" s="85">
        <f>'2023'!An_max</f>
        <v>2018</v>
      </c>
      <c r="D293" s="1087" t="str">
        <f t="shared" si="116"/>
        <v/>
      </c>
      <c r="E293" s="747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836">
        <f t="shared" si="119"/>
        <v>0.35714285714285715</v>
      </c>
      <c r="J293" s="827">
        <f t="shared" si="120"/>
        <v>44.608368555190303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836">
        <f t="shared" si="124"/>
        <v>0.6785714285714286</v>
      </c>
      <c r="AT293" s="853">
        <f t="shared" si="125"/>
        <v>44.573518821836579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836">
        <f t="shared" si="129"/>
        <v>0.17857142857142858</v>
      </c>
      <c r="AY293" s="853">
        <f t="shared" si="130"/>
        <v>44.62099043164136</v>
      </c>
      <c r="AZ293" s="827">
        <f t="shared" si="134"/>
        <v>44.597254626738973</v>
      </c>
      <c r="BA293" s="660">
        <f t="shared" si="131"/>
        <v>0.94787018472648343</v>
      </c>
      <c r="BB293" s="655">
        <v>43379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924">
        <f>1+[2]!Salcycl*Ksac</f>
        <v>1.0392905621619961</v>
      </c>
      <c r="BH293" s="1080">
        <f t="shared" si="132"/>
        <v>6.6048958602906932E-3</v>
      </c>
      <c r="BI293" s="11">
        <v>44475</v>
      </c>
      <c r="BJ293" s="801">
        <v>1.9631585640822609E-3</v>
      </c>
      <c r="BK293" s="801">
        <v>3.0007987886455701E-3</v>
      </c>
      <c r="BL293" s="801">
        <v>4.5869834829547736E-3</v>
      </c>
      <c r="BM293" s="801">
        <v>6.6047764436925711E-3</v>
      </c>
      <c r="BN293" s="801">
        <v>9.7592733955151542E-3</v>
      </c>
      <c r="BO293" s="802">
        <v>1.5550665752330156E-2</v>
      </c>
      <c r="BP293" s="801">
        <v>2.6084354562518869E-2</v>
      </c>
      <c r="BQ293" s="801">
        <v>4.2764977287904758E-2</v>
      </c>
      <c r="BR293" s="801">
        <v>6.6205266468848514E-2</v>
      </c>
      <c r="BS293" s="801">
        <v>9.5299052947918003E-2</v>
      </c>
      <c r="BT293" s="801">
        <v>0.12783760948419429</v>
      </c>
      <c r="BW293" s="1136">
        <f>'2018'!R\Max</f>
        <v>0.94787018472648343</v>
      </c>
      <c r="BX293" s="1134">
        <f>'2019'!R\Max</f>
        <v>0.4268730251165182</v>
      </c>
      <c r="BY293" s="1134">
        <f>'2020'!R\Max</f>
        <v>0.68418022341948848</v>
      </c>
      <c r="BZ293" s="1134">
        <f>'2021'!R\Max</f>
        <v>0.92537133952109651</v>
      </c>
      <c r="CA293" s="1134">
        <f>'2022'!R\Max</f>
        <v>0.36921838246117195</v>
      </c>
      <c r="CB293" s="1134">
        <f>'2023'!R\Max</f>
        <v>0.3689918534491935</v>
      </c>
      <c r="CC293" s="1134">
        <f>'2024'!R\Max</f>
        <v>0.36863404639839809</v>
      </c>
      <c r="CD293" s="1134">
        <f>'2025'!R\Max</f>
        <v>0.36976393256256607</v>
      </c>
      <c r="CE293" s="1134">
        <f>'2026'!R\Max</f>
        <v>0.36969611989178464</v>
      </c>
      <c r="CF293" s="1135">
        <f>'2027'!R\Max</f>
        <v>0.36957486588595306</v>
      </c>
    </row>
    <row r="294" spans="1:84" s="6" customFormat="1" ht="11.25" x14ac:dyDescent="0.2">
      <c r="A294" s="11">
        <v>43380</v>
      </c>
      <c r="B294" s="380">
        <f>'2023'!Maxi_hp</f>
        <v>44.5855001708373</v>
      </c>
      <c r="C294" s="85">
        <f>'2023'!An_max</f>
        <v>2021</v>
      </c>
      <c r="D294" s="1087">
        <f t="shared" si="116"/>
        <v>1.0051279410966996</v>
      </c>
      <c r="E294" s="747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836">
        <f t="shared" si="119"/>
        <v>0.42857142857142855</v>
      </c>
      <c r="J294" s="827">
        <f t="shared" si="120"/>
        <v>44.358034781313371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836">
        <f t="shared" si="124"/>
        <v>0.7142857142857143</v>
      </c>
      <c r="AT294" s="853">
        <f t="shared" si="125"/>
        <v>44.326827868766017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836">
        <f t="shared" si="129"/>
        <v>0.21428571428571427</v>
      </c>
      <c r="AY294" s="853">
        <f t="shared" si="130"/>
        <v>44.370287250567756</v>
      </c>
      <c r="AZ294" s="827">
        <f t="shared" si="134"/>
        <v>44.348557559666887</v>
      </c>
      <c r="BA294" s="660">
        <f t="shared" si="131"/>
        <v>1.0051279410966996</v>
      </c>
      <c r="BB294" s="655">
        <v>43380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924">
        <f>1+[2]!Salcycl*Ksac</f>
        <v>1.0388236101769062</v>
      </c>
      <c r="BH294" s="1080">
        <f t="shared" si="132"/>
        <v>6.8853624091220625E-3</v>
      </c>
      <c r="BI294" s="11">
        <v>44476</v>
      </c>
      <c r="BJ294" s="801">
        <v>2.0867326438980642E-3</v>
      </c>
      <c r="BK294" s="801">
        <v>3.1562226115468147E-3</v>
      </c>
      <c r="BL294" s="801">
        <v>4.7976596658619369E-3</v>
      </c>
      <c r="BM294" s="801">
        <v>6.8852393799184314E-3</v>
      </c>
      <c r="BN294" s="801">
        <v>1.0135166558745119E-2</v>
      </c>
      <c r="BO294" s="802">
        <v>1.6005851611205432E-2</v>
      </c>
      <c r="BP294" s="801">
        <v>2.6599371748560419E-2</v>
      </c>
      <c r="BQ294" s="801">
        <v>4.3260284785203516E-2</v>
      </c>
      <c r="BR294" s="801">
        <v>6.6526927990996174E-2</v>
      </c>
      <c r="BS294" s="801">
        <v>9.5665368667021952E-2</v>
      </c>
      <c r="BT294" s="801">
        <v>0.12851055534875705</v>
      </c>
      <c r="BW294" s="1136">
        <f>'2018'!R\Max</f>
        <v>0.24346245743266806</v>
      </c>
      <c r="BX294" s="1134">
        <f>'2019'!R\Max</f>
        <v>0.74812670391564862</v>
      </c>
      <c r="BY294" s="1134">
        <f>'2020'!R\Max</f>
        <v>0.14543980378726823</v>
      </c>
      <c r="BZ294" s="1134">
        <f>'2021'!R\Max</f>
        <v>1.0051279410966996</v>
      </c>
      <c r="CA294" s="1134">
        <f>'2022'!R\Max</f>
        <v>0.7411462978994191</v>
      </c>
      <c r="CB294" s="1134">
        <f>'2023'!R\Max</f>
        <v>0.74095827467919873</v>
      </c>
      <c r="CC294" s="1134">
        <f>'2024'!R\Max</f>
        <v>0.74066299502001309</v>
      </c>
      <c r="CD294" s="1134">
        <f>'2025'!R\Max</f>
        <v>0.74160168613915811</v>
      </c>
      <c r="CE294" s="1134">
        <f>'2026'!R\Max</f>
        <v>0.74154414171004357</v>
      </c>
      <c r="CF294" s="1135">
        <f>'2027'!R\Max</f>
        <v>0.74144280316640843</v>
      </c>
    </row>
    <row r="295" spans="1:84" s="6" customFormat="1" ht="11.25" x14ac:dyDescent="0.2">
      <c r="A295" s="11">
        <v>43381</v>
      </c>
      <c r="B295" s="380">
        <f>'2023'!Maxi_hp</f>
        <v>41.761638375375632</v>
      </c>
      <c r="C295" s="85">
        <f>'2023'!An_max</f>
        <v>2021</v>
      </c>
      <c r="D295" s="1087" t="str">
        <f t="shared" si="116"/>
        <v/>
      </c>
      <c r="E295" s="747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836">
        <f t="shared" si="119"/>
        <v>0.5</v>
      </c>
      <c r="J295" s="827">
        <f t="shared" si="120"/>
        <v>44.104409974068403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836">
        <f t="shared" si="124"/>
        <v>0.75</v>
      </c>
      <c r="AT295" s="853">
        <f t="shared" si="125"/>
        <v>44.077306813653557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836">
        <f t="shared" si="129"/>
        <v>0.25</v>
      </c>
      <c r="AY295" s="853">
        <f t="shared" si="130"/>
        <v>44.115354487532748</v>
      </c>
      <c r="AZ295" s="827">
        <f t="shared" si="134"/>
        <v>44.096330650593153</v>
      </c>
      <c r="BA295" s="660">
        <f t="shared" si="131"/>
        <v>0.94688123931211809</v>
      </c>
      <c r="BB295" s="655">
        <v>43381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924">
        <f>1+[2]!Salcycl*Ksac</f>
        <v>1.0383419806101646</v>
      </c>
      <c r="BH295" s="1080">
        <f t="shared" si="132"/>
        <v>7.1511256978804942E-3</v>
      </c>
      <c r="BI295" s="11">
        <v>44477</v>
      </c>
      <c r="BJ295" s="801">
        <v>2.2146458538717709E-3</v>
      </c>
      <c r="BK295" s="801">
        <v>3.3138781478865183E-3</v>
      </c>
      <c r="BL295" s="801">
        <v>5.0027237863672618E-3</v>
      </c>
      <c r="BM295" s="801">
        <v>7.1509993727336104E-3</v>
      </c>
      <c r="BN295" s="801">
        <v>1.0487991859958752E-2</v>
      </c>
      <c r="BO295" s="802">
        <v>1.6428087313829786E-2</v>
      </c>
      <c r="BP295" s="801">
        <v>2.7071272574292007E-2</v>
      </c>
      <c r="BQ295" s="801">
        <v>4.369580109137744E-2</v>
      </c>
      <c r="BR295" s="801">
        <v>6.6760024478205324E-2</v>
      </c>
      <c r="BS295" s="801">
        <v>9.5973341745766882E-2</v>
      </c>
      <c r="BT295" s="801">
        <v>0.12921872645972543</v>
      </c>
      <c r="BW295" s="1136">
        <f>'2018'!R\Max</f>
        <v>0.30739804003445448</v>
      </c>
      <c r="BX295" s="1134">
        <f>'2019'!R\Max</f>
        <v>0.92730165649528118</v>
      </c>
      <c r="BY295" s="1134">
        <f>'2020'!R\Max</f>
        <v>0.77347231718226028</v>
      </c>
      <c r="BZ295" s="1134">
        <f>'2021'!R\Max</f>
        <v>0.94688123931211809</v>
      </c>
      <c r="CA295" s="1134">
        <f>'2022'!R\Max</f>
        <v>0.43083226213619047</v>
      </c>
      <c r="CB295" s="1134">
        <f>'2023'!R\Max</f>
        <v>0.43059051764841222</v>
      </c>
      <c r="CC295" s="1134">
        <f>'2024'!R\Max</f>
        <v>0.43021371056320634</v>
      </c>
      <c r="CD295" s="1134">
        <f>'2025'!R\Max</f>
        <v>0.43142204447327953</v>
      </c>
      <c r="CE295" s="1134">
        <f>'2026'!R\Max</f>
        <v>0.43134630417374586</v>
      </c>
      <c r="CF295" s="1135">
        <f>'2027'!R\Max</f>
        <v>0.43121481890303692</v>
      </c>
    </row>
    <row r="296" spans="1:84" s="6" customFormat="1" ht="11.25" x14ac:dyDescent="0.2">
      <c r="A296" s="11">
        <v>43382</v>
      </c>
      <c r="B296" s="380">
        <f>'2023'!Maxi_hp</f>
        <v>41.511067536404447</v>
      </c>
      <c r="C296" s="85">
        <f>'2023'!An_max</f>
        <v>2022</v>
      </c>
      <c r="D296" s="1087" t="str">
        <f t="shared" si="116"/>
        <v/>
      </c>
      <c r="E296" s="747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836">
        <f t="shared" si="119"/>
        <v>0.5714285714285714</v>
      </c>
      <c r="J296" s="827">
        <f t="shared" si="120"/>
        <v>43.847727616557052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836">
        <f t="shared" si="124"/>
        <v>0.7857142857142857</v>
      </c>
      <c r="AT296" s="853">
        <f t="shared" si="125"/>
        <v>43.82501617419932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836">
        <f t="shared" si="129"/>
        <v>0.2857142857142857</v>
      </c>
      <c r="AY296" s="853">
        <f t="shared" si="130"/>
        <v>43.856436786055568</v>
      </c>
      <c r="AZ296" s="827">
        <f t="shared" si="134"/>
        <v>43.840726480127444</v>
      </c>
      <c r="BA296" s="660">
        <f t="shared" si="131"/>
        <v>0.94670966530839618</v>
      </c>
      <c r="BB296" s="655">
        <v>43382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924">
        <f>1+[2]!Salcycl*Ksac</f>
        <v>1.0378456666165599</v>
      </c>
      <c r="BH296" s="1080">
        <f t="shared" si="132"/>
        <v>7.3903298797249059E-3</v>
      </c>
      <c r="BI296" s="11">
        <v>44478</v>
      </c>
      <c r="BJ296" s="801">
        <v>2.337787302373732E-3</v>
      </c>
      <c r="BK296" s="801">
        <v>3.4640949797597968E-3</v>
      </c>
      <c r="BL296" s="801">
        <v>5.1916291345487009E-3</v>
      </c>
      <c r="BM296" s="801">
        <v>7.3902007084332803E-3</v>
      </c>
      <c r="BN296" s="801">
        <v>1.0802376671447641E-2</v>
      </c>
      <c r="BO296" s="802">
        <v>1.6800047398405668E-2</v>
      </c>
      <c r="BP296" s="801">
        <v>2.7479017791384064E-2</v>
      </c>
      <c r="BQ296" s="801">
        <v>4.4049402592711374E-2</v>
      </c>
      <c r="BR296" s="801">
        <v>6.6936903742479584E-2</v>
      </c>
      <c r="BS296" s="801">
        <v>9.6372536862233682E-2</v>
      </c>
      <c r="BT296" s="801">
        <v>0.13028929696489014</v>
      </c>
      <c r="BW296" s="1136">
        <f>'2018'!R\Max</f>
        <v>0.83711320685961066</v>
      </c>
      <c r="BX296" s="1134">
        <f>'2019'!R\Max</f>
        <v>0.2189262741435736</v>
      </c>
      <c r="BY296" s="1134">
        <f>'2020'!R\Max</f>
        <v>0.85290662984811183</v>
      </c>
      <c r="BZ296" s="1134">
        <f>'2021'!R\Max</f>
        <v>0.35128795173739014</v>
      </c>
      <c r="CA296" s="1134">
        <f>'2022'!R\Max</f>
        <v>0.94670966530839618</v>
      </c>
      <c r="CB296" s="1134">
        <f>'2023'!R\Max</f>
        <v>0.94665966323813899</v>
      </c>
      <c r="CC296" s="1134">
        <f>'2024'!R\Max</f>
        <v>0.94658212801481367</v>
      </c>
      <c r="CD296" s="1134">
        <f>'2025'!R\Max</f>
        <v>0.94683211641553855</v>
      </c>
      <c r="CE296" s="1134">
        <f>'2026'!R\Max</f>
        <v>0.94681619672352313</v>
      </c>
      <c r="CF296" s="1135">
        <f>'2027'!R\Max</f>
        <v>0.9467888801461074</v>
      </c>
    </row>
    <row r="297" spans="1:84" s="6" customFormat="1" ht="11.25" x14ac:dyDescent="0.2">
      <c r="A297" s="11">
        <v>43383</v>
      </c>
      <c r="B297" s="380">
        <f>'2023'!Maxi_hp</f>
        <v>33.871711557012716</v>
      </c>
      <c r="C297" s="85">
        <f>'2023'!An_max</f>
        <v>2022</v>
      </c>
      <c r="D297" s="1087" t="str">
        <f t="shared" si="116"/>
        <v/>
      </c>
      <c r="E297" s="747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836">
        <f t="shared" si="119"/>
        <v>0.6428571428571429</v>
      </c>
      <c r="J297" s="827">
        <f t="shared" si="120"/>
        <v>43.588221192359924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836">
        <f t="shared" si="124"/>
        <v>0.8214285714285714</v>
      </c>
      <c r="AT297" s="853">
        <f t="shared" si="125"/>
        <v>43.570016467039075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836">
        <f t="shared" si="129"/>
        <v>0.32142857142857145</v>
      </c>
      <c r="AY297" s="853">
        <f t="shared" si="130"/>
        <v>43.593778793314208</v>
      </c>
      <c r="AZ297" s="827">
        <f t="shared" si="134"/>
        <v>43.581897630176641</v>
      </c>
      <c r="BA297" s="660">
        <f t="shared" si="131"/>
        <v>0.77708405230699562</v>
      </c>
      <c r="BB297" s="655">
        <v>43383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924">
        <f>1+[2]!Salcycl*Ksac</f>
        <v>1.0373347051990596</v>
      </c>
      <c r="BH297" s="1080">
        <f t="shared" si="132"/>
        <v>7.5999702831700822E-3</v>
      </c>
      <c r="BI297" s="11">
        <v>44479</v>
      </c>
      <c r="BJ297" s="801">
        <v>2.4527934264437683E-3</v>
      </c>
      <c r="BK297" s="801">
        <v>3.6034991951834163E-3</v>
      </c>
      <c r="BL297" s="801">
        <v>5.360946221837277E-3</v>
      </c>
      <c r="BM297" s="801">
        <v>7.599838726109906E-3</v>
      </c>
      <c r="BN297" s="801">
        <v>1.1075036913306385E-2</v>
      </c>
      <c r="BO297" s="802">
        <v>1.7122784125667947E-2</v>
      </c>
      <c r="BP297" s="801">
        <v>2.7828313731131319E-2</v>
      </c>
      <c r="BQ297" s="801">
        <v>4.4336492062806765E-2</v>
      </c>
      <c r="BR297" s="801">
        <v>6.7095696100659394E-2</v>
      </c>
      <c r="BS297" s="801">
        <v>9.6925396727350829E-2</v>
      </c>
      <c r="BT297" s="801">
        <v>0.1318074228375751</v>
      </c>
      <c r="BW297" s="1136">
        <f>'2018'!R\Max</f>
        <v>0.54230049648259637</v>
      </c>
      <c r="BX297" s="1134">
        <f>'2019'!R\Max</f>
        <v>0.7299443710477006</v>
      </c>
      <c r="BY297" s="1134">
        <f>'2020'!R\Max</f>
        <v>0.59106206952240981</v>
      </c>
      <c r="BZ297" s="1134">
        <f>'2021'!R\Max</f>
        <v>0.73756552724092506</v>
      </c>
      <c r="CA297" s="1134">
        <f>'2022'!R\Max</f>
        <v>0.77708405230699562</v>
      </c>
      <c r="CB297" s="1134">
        <f>'2023'!R\Max</f>
        <v>0.77691172653068707</v>
      </c>
      <c r="CC297" s="1134">
        <f>'2024'!R\Max</f>
        <v>0.77664625586068126</v>
      </c>
      <c r="CD297" s="1134">
        <f>'2025'!R\Max</f>
        <v>0.77750839212549083</v>
      </c>
      <c r="CE297" s="1134">
        <f>'2026'!R\Max</f>
        <v>0.77745260097829127</v>
      </c>
      <c r="CF297" s="1135">
        <f>'2027'!R\Max</f>
        <v>0.77735779085723844</v>
      </c>
    </row>
    <row r="298" spans="1:84" s="6" customFormat="1" ht="11.25" x14ac:dyDescent="0.2">
      <c r="A298" s="11">
        <v>43384</v>
      </c>
      <c r="B298" s="380">
        <f>'2023'!Maxi_hp</f>
        <v>43.516621662814977</v>
      </c>
      <c r="C298" s="85">
        <f>'2023'!An_max</f>
        <v>2021</v>
      </c>
      <c r="D298" s="1087">
        <f t="shared" si="116"/>
        <v>1.0043968270975496</v>
      </c>
      <c r="E298" s="747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836">
        <f t="shared" si="119"/>
        <v>0.7142857142857143</v>
      </c>
      <c r="J298" s="827">
        <f t="shared" si="120"/>
        <v>43.326124185962335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836">
        <f t="shared" si="124"/>
        <v>0.8571428571428571</v>
      </c>
      <c r="AT298" s="853">
        <f t="shared" si="125"/>
        <v>43.31236820886177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836">
        <f t="shared" si="129"/>
        <v>0.35714285714285715</v>
      </c>
      <c r="AY298" s="853">
        <f t="shared" si="130"/>
        <v>43.327625154184972</v>
      </c>
      <c r="AZ298" s="827">
        <f t="shared" si="134"/>
        <v>43.319996681523371</v>
      </c>
      <c r="BA298" s="660">
        <f t="shared" si="131"/>
        <v>1.0043968270975496</v>
      </c>
      <c r="BB298" s="655">
        <v>43384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924">
        <f>1+[2]!Salcycl*Ksac</f>
        <v>1.0368091792814609</v>
      </c>
      <c r="BH298" s="1080">
        <f t="shared" si="132"/>
        <v>7.7799932490726694E-3</v>
      </c>
      <c r="BI298" s="11">
        <v>44480</v>
      </c>
      <c r="BJ298" s="801">
        <v>2.5596493259999772E-3</v>
      </c>
      <c r="BK298" s="801">
        <v>3.7320705508146861E-3</v>
      </c>
      <c r="BL298" s="801">
        <v>5.51063927675495E-3</v>
      </c>
      <c r="BM298" s="801">
        <v>7.7798597674743021E-3</v>
      </c>
      <c r="BN298" s="801">
        <v>1.130589636367184E-2</v>
      </c>
      <c r="BO298" s="802">
        <v>1.7396203116292818E-2</v>
      </c>
      <c r="BP298" s="801">
        <v>2.8119039921740658E-2</v>
      </c>
      <c r="BQ298" s="801">
        <v>4.4556917965726993E-2</v>
      </c>
      <c r="BR298" s="801">
        <v>6.7236300164067064E-2</v>
      </c>
      <c r="BS298" s="801">
        <v>9.7632057703156708E-2</v>
      </c>
      <c r="BT298" s="801">
        <v>0.133773666380433</v>
      </c>
      <c r="BW298" s="1136">
        <f>'2018'!R\Max</f>
        <v>0.73287050380535934</v>
      </c>
      <c r="BX298" s="1134">
        <f>'2019'!R\Max</f>
        <v>0.99168658134839716</v>
      </c>
      <c r="BY298" s="1134">
        <f>'2020'!R\Max</f>
        <v>0.52475816682521514</v>
      </c>
      <c r="BZ298" s="1134">
        <f>'2021'!R\Max</f>
        <v>1.0043968270975496</v>
      </c>
      <c r="CA298" s="1134">
        <f>'2022'!R\Max</f>
        <v>0.55718888775728748</v>
      </c>
      <c r="CB298" s="1134">
        <f>'2023'!R\Max</f>
        <v>0.55694276274194987</v>
      </c>
      <c r="CC298" s="1134">
        <f>'2024'!R\Max</f>
        <v>0.55656599296145348</v>
      </c>
      <c r="CD298" s="1134">
        <f>'2025'!R\Max</f>
        <v>0.55779805144728833</v>
      </c>
      <c r="CE298" s="1134">
        <f>'2026'!R\Max</f>
        <v>0.55771723403578621</v>
      </c>
      <c r="CF298" s="1135">
        <f>'2027'!R\Max</f>
        <v>0.55758089867100147</v>
      </c>
    </row>
    <row r="299" spans="1:84" s="6" customFormat="1" ht="11.25" x14ac:dyDescent="0.2">
      <c r="A299" s="11">
        <v>43385</v>
      </c>
      <c r="B299" s="380">
        <f>'2023'!Maxi_hp</f>
        <v>42.807452061099632</v>
      </c>
      <c r="C299" s="85">
        <f>'2023'!An_max</f>
        <v>2021</v>
      </c>
      <c r="D299" s="1087">
        <f t="shared" si="116"/>
        <v>0.99409641988741404</v>
      </c>
      <c r="E299" s="747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836">
        <f t="shared" si="119"/>
        <v>0.7857142857142857</v>
      </c>
      <c r="J299" s="827">
        <f t="shared" si="120"/>
        <v>43.061670080199839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836">
        <f t="shared" si="124"/>
        <v>0.8928571428571429</v>
      </c>
      <c r="AT299" s="853">
        <f t="shared" si="125"/>
        <v>43.052131916077016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836">
        <f t="shared" si="129"/>
        <v>0.39285714285714285</v>
      </c>
      <c r="AY299" s="853">
        <f t="shared" si="130"/>
        <v>43.058220514295883</v>
      </c>
      <c r="AZ299" s="827">
        <f t="shared" si="134"/>
        <v>43.055176215186449</v>
      </c>
      <c r="BA299" s="660">
        <f t="shared" si="131"/>
        <v>0.99409641988741404</v>
      </c>
      <c r="BB299" s="655">
        <v>43385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924">
        <f>1+[2]!Salcycl*Ksac</f>
        <v>1.0362692195704986</v>
      </c>
      <c r="BH299" s="1080">
        <f t="shared" si="132"/>
        <v>7.9303440426857653E-3</v>
      </c>
      <c r="BI299" s="11">
        <v>44481</v>
      </c>
      <c r="BJ299" s="801">
        <v>2.6583395545074231E-3</v>
      </c>
      <c r="BK299" s="801">
        <v>3.8497881367700153E-3</v>
      </c>
      <c r="BL299" s="801">
        <v>5.6406716825513235E-3</v>
      </c>
      <c r="BM299" s="801">
        <v>7.9302090986466001E-3</v>
      </c>
      <c r="BN299" s="801">
        <v>1.1494877385204045E-2</v>
      </c>
      <c r="BO299" s="802">
        <v>1.7620208325599133E-2</v>
      </c>
      <c r="BP299" s="801">
        <v>2.8351074079715679E-2</v>
      </c>
      <c r="BQ299" s="801">
        <v>4.4710527216671465E-2</v>
      </c>
      <c r="BR299" s="801">
        <v>6.7358613893973823E-2</v>
      </c>
      <c r="BS299" s="801">
        <v>9.8492654851244185E-2</v>
      </c>
      <c r="BT299" s="801">
        <v>0.13618858617040691</v>
      </c>
      <c r="BW299" s="1136">
        <f>'2018'!R\Max</f>
        <v>0.93986014637188831</v>
      </c>
      <c r="BX299" s="1134">
        <f>'2019'!R\Max</f>
        <v>0.49659546713674912</v>
      </c>
      <c r="BY299" s="1134">
        <f>'2020'!R\Max</f>
        <v>0.37799649108383315</v>
      </c>
      <c r="BZ299" s="1134">
        <f>'2021'!R\Max</f>
        <v>0.99409641988741404</v>
      </c>
      <c r="CA299" s="1134">
        <f>'2022'!R\Max</f>
        <v>0.78443916772380451</v>
      </c>
      <c r="CB299" s="1134">
        <f>'2023'!R\Max</f>
        <v>0.7842701050950005</v>
      </c>
      <c r="CC299" s="1134">
        <f>'2024'!R\Max</f>
        <v>0.78401255491086885</v>
      </c>
      <c r="CD299" s="1134">
        <f>'2025'!R\Max</f>
        <v>0.78485885254762022</v>
      </c>
      <c r="CE299" s="1134">
        <f>'2026'!R\Max</f>
        <v>0.78480284519775634</v>
      </c>
      <c r="CF299" s="1135">
        <f>'2027'!R\Max</f>
        <v>0.78470880425690626</v>
      </c>
    </row>
    <row r="300" spans="1:84" s="6" customFormat="1" ht="11.25" x14ac:dyDescent="0.2">
      <c r="A300" s="11">
        <v>43386</v>
      </c>
      <c r="B300" s="380">
        <f>'2023'!Maxi_hp</f>
        <v>41.038729599738197</v>
      </c>
      <c r="C300" s="85">
        <f>'2023'!An_max</f>
        <v>2019</v>
      </c>
      <c r="D300" s="1087" t="str">
        <f t="shared" si="116"/>
        <v/>
      </c>
      <c r="E300" s="747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836">
        <f t="shared" si="119"/>
        <v>0.8571428571428571</v>
      </c>
      <c r="J300" s="827">
        <f t="shared" si="120"/>
        <v>42.795092358120854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836">
        <f t="shared" si="124"/>
        <v>0.9285714285714286</v>
      </c>
      <c r="AT300" s="853">
        <f t="shared" si="125"/>
        <v>42.789368105892628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836">
        <f t="shared" si="129"/>
        <v>0.42857142857142855</v>
      </c>
      <c r="AY300" s="853">
        <f t="shared" si="130"/>
        <v>42.785809518875816</v>
      </c>
      <c r="AZ300" s="827">
        <f t="shared" si="134"/>
        <v>42.787588812384222</v>
      </c>
      <c r="BA300" s="660">
        <f t="shared" si="131"/>
        <v>0.95895878098159149</v>
      </c>
      <c r="BB300" s="655">
        <v>43386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924">
        <f>1+[2]!Salcycl*Ksac</f>
        <v>1.0357150061849709</v>
      </c>
      <c r="BH300" s="1080">
        <f t="shared" si="132"/>
        <v>8.0509671799251035E-3</v>
      </c>
      <c r="BI300" s="11">
        <v>44482</v>
      </c>
      <c r="BJ300" s="801">
        <v>2.7488482094173657E-3</v>
      </c>
      <c r="BK300" s="801">
        <v>3.9566304966804086E-3</v>
      </c>
      <c r="BL300" s="801">
        <v>5.7510061937312562E-3</v>
      </c>
      <c r="BM300" s="801">
        <v>8.0508312364173593E-3</v>
      </c>
      <c r="BN300" s="801">
        <v>1.1641901385301363E-2</v>
      </c>
      <c r="BO300" s="802">
        <v>1.7794702586557357E-2</v>
      </c>
      <c r="BP300" s="801">
        <v>2.8524292754387615E-2</v>
      </c>
      <c r="BQ300" s="801">
        <v>4.4797165914383812E-2</v>
      </c>
      <c r="BR300" s="801">
        <v>6.7462534802649812E-2</v>
      </c>
      <c r="BS300" s="801">
        <v>9.9507320257974083E-2</v>
      </c>
      <c r="BT300" s="801">
        <v>0.13905273217715353</v>
      </c>
      <c r="BW300" s="1136">
        <f>'2018'!R\Max</f>
        <v>0.74008628307961988</v>
      </c>
      <c r="BX300" s="1134">
        <f>'2019'!R\Max</f>
        <v>0.95895878098159149</v>
      </c>
      <c r="BY300" s="1134">
        <f>'2020'!R\Max</f>
        <v>0.60069207065367813</v>
      </c>
      <c r="BZ300" s="1134">
        <f>'2021'!R\Max</f>
        <v>0.94839016141963539</v>
      </c>
      <c r="CA300" s="1134">
        <f>'2022'!R\Max</f>
        <v>0.57093847222795291</v>
      </c>
      <c r="CB300" s="1134">
        <f>'2023'!R\Max</f>
        <v>0.57069333238629194</v>
      </c>
      <c r="CC300" s="1134">
        <f>'2024'!R\Max</f>
        <v>0.57032198070640383</v>
      </c>
      <c r="CD300" s="1134">
        <f>'2025'!R\Max</f>
        <v>0.57154943686629001</v>
      </c>
      <c r="CE300" s="1134">
        <f>'2026'!R\Max</f>
        <v>0.57146751728745881</v>
      </c>
      <c r="CF300" s="1135">
        <f>'2027'!R\Max</f>
        <v>0.57133036480269683</v>
      </c>
    </row>
    <row r="301" spans="1:84" s="6" customFormat="1" ht="11.25" x14ac:dyDescent="0.2">
      <c r="A301" s="11">
        <v>43387</v>
      </c>
      <c r="B301" s="380">
        <f>'2023'!Maxi_hp</f>
        <v>44.446308487241133</v>
      </c>
      <c r="C301" s="85">
        <f>'2023'!An_max</f>
        <v>2021</v>
      </c>
      <c r="D301" s="1087">
        <f t="shared" si="116"/>
        <v>1.0451407560811183</v>
      </c>
      <c r="E301" s="747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836">
        <f t="shared" si="119"/>
        <v>0.9285714285714286</v>
      </c>
      <c r="J301" s="827">
        <f t="shared" si="120"/>
        <v>42.52662450357208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836">
        <f t="shared" si="124"/>
        <v>0.9642857142857143</v>
      </c>
      <c r="AT301" s="853">
        <f t="shared" si="125"/>
        <v>42.524137294997594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836">
        <f t="shared" si="129"/>
        <v>0.4642857142857143</v>
      </c>
      <c r="AY301" s="853">
        <f t="shared" si="130"/>
        <v>42.510636813466306</v>
      </c>
      <c r="AZ301" s="827">
        <f t="shared" si="134"/>
        <v>42.517387054231946</v>
      </c>
      <c r="BA301" s="660">
        <f t="shared" si="131"/>
        <v>1.0451407560811183</v>
      </c>
      <c r="BB301" s="655">
        <v>43387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924">
        <f>1+[2]!Salcycl*Ksac</f>
        <v>1.0351467700308898</v>
      </c>
      <c r="BH301" s="1080">
        <f t="shared" si="132"/>
        <v>8.1418067537111227E-3</v>
      </c>
      <c r="BI301" s="11">
        <v>44483</v>
      </c>
      <c r="BJ301" s="801">
        <v>2.8311590226319139E-3</v>
      </c>
      <c r="BK301" s="801">
        <v>4.0525757477837517E-3</v>
      </c>
      <c r="BL301" s="801">
        <v>5.8416051526364353E-3</v>
      </c>
      <c r="BM301" s="801">
        <v>8.141670274584574E-3</v>
      </c>
      <c r="BN301" s="801">
        <v>1.174688927642562E-2</v>
      </c>
      <c r="BO301" s="802">
        <v>1.7919588152967011E-2</v>
      </c>
      <c r="BP301" s="801">
        <v>2.863857197271728E-2</v>
      </c>
      <c r="BQ301" s="801">
        <v>4.4816680073987453E-2</v>
      </c>
      <c r="BR301" s="801">
        <v>6.7547960155057526E-2</v>
      </c>
      <c r="BS301" s="801">
        <v>0.1006761813606281</v>
      </c>
      <c r="BT301" s="801">
        <v>0.14236664088276332</v>
      </c>
      <c r="BW301" s="1136">
        <f>'2018'!R\Max</f>
        <v>0.83299235888553802</v>
      </c>
      <c r="BX301" s="1134">
        <f>'2019'!R\Max</f>
        <v>0.28534816635905613</v>
      </c>
      <c r="BY301" s="1134">
        <f>'2020'!R\Max</f>
        <v>0.50201999326071634</v>
      </c>
      <c r="BZ301" s="1134">
        <f>'2021'!R\Max</f>
        <v>1.0451407560811183</v>
      </c>
      <c r="CA301" s="1134">
        <f>'2022'!R\Max</f>
        <v>0.4290437547350448</v>
      </c>
      <c r="CB301" s="1134">
        <f>'2023'!R\Max</f>
        <v>0.42879861250579715</v>
      </c>
      <c r="CC301" s="1134">
        <f>'2024'!R\Max</f>
        <v>0.42842915100713436</v>
      </c>
      <c r="CD301" s="1134">
        <f>'2025'!R\Max</f>
        <v>0.42965668069418256</v>
      </c>
      <c r="CE301" s="1134">
        <f>'2026'!R\Max</f>
        <v>0.42957429022229354</v>
      </c>
      <c r="CF301" s="1135">
        <f>'2027'!R\Max</f>
        <v>0.42943644683002519</v>
      </c>
    </row>
    <row r="302" spans="1:84" s="6" customFormat="1" ht="11.25" x14ac:dyDescent="0.2">
      <c r="A302" s="11">
        <v>43388</v>
      </c>
      <c r="B302" s="380">
        <f>'2023'!Maxi_hp</f>
        <v>40.810683160447986</v>
      </c>
      <c r="C302" s="85">
        <f>'2023'!An_max</f>
        <v>2022</v>
      </c>
      <c r="D302" s="1087" t="str">
        <f t="shared" si="116"/>
        <v/>
      </c>
      <c r="E302" s="835">
        <f>AH$13/10</f>
        <v>42.256500000000003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836">
        <f t="shared" si="119"/>
        <v>1</v>
      </c>
      <c r="J302" s="827">
        <f t="shared" si="120"/>
        <v>42.25650000013411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836">
        <f t="shared" si="124"/>
        <v>1</v>
      </c>
      <c r="AT302" s="853">
        <f t="shared" si="125"/>
        <v>42.25650000013411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836">
        <f t="shared" si="129"/>
        <v>0.5</v>
      </c>
      <c r="AY302" s="853">
        <f t="shared" si="130"/>
        <v>42.232947044074535</v>
      </c>
      <c r="AZ302" s="827">
        <f t="shared" si="134"/>
        <v>42.244723522104323</v>
      </c>
      <c r="BA302" s="660">
        <f t="shared" si="131"/>
        <v>0.96578474696954231</v>
      </c>
      <c r="BB302" s="655">
        <v>43388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924">
        <f>1+[2]!Salcycl*Ksac</f>
        <v>1.0345647939033349</v>
      </c>
      <c r="BH302" s="1080">
        <f t="shared" si="132"/>
        <v>8.2028067602335029E-3</v>
      </c>
      <c r="BI302" s="11">
        <v>44484</v>
      </c>
      <c r="BJ302" s="801">
        <v>2.9052554509430826E-3</v>
      </c>
      <c r="BK302" s="801">
        <v>4.1376017009798587E-3</v>
      </c>
      <c r="BL302" s="801">
        <v>5.912430705971969E-3</v>
      </c>
      <c r="BM302" s="801">
        <v>8.2026702102131269E-3</v>
      </c>
      <c r="BN302" s="801">
        <v>1.1809761936314582E-2</v>
      </c>
      <c r="BO302" s="802">
        <v>1.7994767242461015E-2</v>
      </c>
      <c r="BP302" s="801">
        <v>2.8693787883817545E-2</v>
      </c>
      <c r="BQ302" s="801">
        <v>4.4768916359378887E-2</v>
      </c>
      <c r="BR302" s="801">
        <v>6.7614787169878662E-2</v>
      </c>
      <c r="BS302" s="801">
        <v>0.1019993592725945</v>
      </c>
      <c r="BT302" s="801">
        <v>0.14613083040015587</v>
      </c>
      <c r="BW302" s="1136">
        <f>'2018'!R\Max</f>
        <v>0.28393004642440545</v>
      </c>
      <c r="BX302" s="1134">
        <f>'2019'!R\Max</f>
        <v>0.74310919382532747</v>
      </c>
      <c r="BY302" s="1134">
        <f>'2020'!R\Max</f>
        <v>0.37852861657454934</v>
      </c>
      <c r="BZ302" s="1134">
        <f>'2021'!R\Max</f>
        <v>0.88739216735312387</v>
      </c>
      <c r="CA302" s="1134">
        <f>'2022'!R\Max</f>
        <v>0.96578474696954231</v>
      </c>
      <c r="CB302" s="1134">
        <f>'2023'!R\Max</f>
        <v>0.96575168682946044</v>
      </c>
      <c r="CC302" s="1134">
        <f>'2024'!R\Max</f>
        <v>0.96570201452327986</v>
      </c>
      <c r="CD302" s="1134">
        <f>'2025'!R\Max</f>
        <v>0.96586743107232653</v>
      </c>
      <c r="CE302" s="1134">
        <f>'2026'!R\Max</f>
        <v>0.96585632715283753</v>
      </c>
      <c r="CF302" s="1135">
        <f>'2027'!R\Max</f>
        <v>0.96583771248411965</v>
      </c>
    </row>
    <row r="303" spans="1:84" s="6" customFormat="1" ht="11.25" x14ac:dyDescent="0.2">
      <c r="A303" s="11">
        <v>43389</v>
      </c>
      <c r="B303" s="380">
        <f>'2023'!Maxi_hp</f>
        <v>39.359495276629886</v>
      </c>
      <c r="C303" s="85">
        <f>'2023'!An_max</f>
        <v>2021</v>
      </c>
      <c r="D303" s="1087" t="str">
        <f t="shared" si="116"/>
        <v/>
      </c>
      <c r="E303" s="747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836">
        <f t="shared" si="119"/>
        <v>0.9285714285714286</v>
      </c>
      <c r="J303" s="827">
        <f t="shared" si="120"/>
        <v>41.984601949181936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836">
        <f t="shared" si="124"/>
        <v>0.9642857142857143</v>
      </c>
      <c r="AT303" s="853">
        <f t="shared" si="125"/>
        <v>41.983488166079454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836">
        <f t="shared" si="129"/>
        <v>0.5357142857142857</v>
      </c>
      <c r="AY303" s="853">
        <f t="shared" si="130"/>
        <v>41.952984855882825</v>
      </c>
      <c r="AZ303" s="827">
        <f t="shared" si="134"/>
        <v>41.968236510981143</v>
      </c>
      <c r="BA303" s="660">
        <f t="shared" si="131"/>
        <v>0.93747453707601003</v>
      </c>
      <c r="BB303" s="655">
        <v>43389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924">
        <f>1+[2]!Salcycl*Ksac</f>
        <v>1.0339694132975772</v>
      </c>
      <c r="BH303" s="1080">
        <f t="shared" si="132"/>
        <v>8.2339114252448602E-3</v>
      </c>
      <c r="BI303" s="11">
        <v>44485</v>
      </c>
      <c r="BJ303" s="801">
        <v>2.9711207664813574E-3</v>
      </c>
      <c r="BK303" s="801">
        <v>4.2116859808994126E-3</v>
      </c>
      <c r="BL303" s="801">
        <v>5.9634450213536293E-3</v>
      </c>
      <c r="BM303" s="801">
        <v>8.2337752699234226E-3</v>
      </c>
      <c r="BN303" s="801">
        <v>1.183044066823693E-2</v>
      </c>
      <c r="BO303" s="802">
        <v>1.8020142579575654E-2</v>
      </c>
      <c r="BP303" s="801">
        <v>2.8689817403582285E-2</v>
      </c>
      <c r="BQ303" s="801">
        <v>4.465372281579022E-2</v>
      </c>
      <c r="BR303" s="801">
        <v>6.7662913220797039E-2</v>
      </c>
      <c r="BS303" s="801">
        <v>0.10347696710892433</v>
      </c>
      <c r="BT303" s="801">
        <v>0.15034579559198011</v>
      </c>
      <c r="BW303" s="1136">
        <f>'2018'!R\Max</f>
        <v>0.62034648151733207</v>
      </c>
      <c r="BX303" s="1134">
        <f>'2019'!R\Max</f>
        <v>0.85384744748904307</v>
      </c>
      <c r="BY303" s="1134">
        <f>'2020'!R\Max</f>
        <v>0.40777989618327548</v>
      </c>
      <c r="BZ303" s="1134">
        <f>'2021'!R\Max</f>
        <v>0.93747453707601003</v>
      </c>
      <c r="CA303" s="1134">
        <f>'2022'!R\Max</f>
        <v>0.87745333222725086</v>
      </c>
      <c r="CB303" s="1134">
        <f>'2023'!R\Max</f>
        <v>0.87734594925801701</v>
      </c>
      <c r="CC303" s="1134">
        <f>'2024'!R\Max</f>
        <v>0.87718530650681759</v>
      </c>
      <c r="CD303" s="1134">
        <f>'2025'!R\Max</f>
        <v>0.87772242752494212</v>
      </c>
      <c r="CE303" s="1134">
        <f>'2026'!R\Max</f>
        <v>0.87768634801871726</v>
      </c>
      <c r="CF303" s="1135">
        <f>'2027'!R\Max</f>
        <v>0.87762564920065511</v>
      </c>
    </row>
    <row r="304" spans="1:84" s="6" customFormat="1" ht="11.25" x14ac:dyDescent="0.2">
      <c r="A304" s="11">
        <v>43390</v>
      </c>
      <c r="B304" s="380">
        <f>'2023'!Maxi_hp</f>
        <v>39.909622414686694</v>
      </c>
      <c r="C304" s="85">
        <f>'2023'!An_max</f>
        <v>2021</v>
      </c>
      <c r="D304" s="1087" t="str">
        <f t="shared" si="116"/>
        <v/>
      </c>
      <c r="E304" s="747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836">
        <f t="shared" si="119"/>
        <v>0.8571428571428571</v>
      </c>
      <c r="J304" s="827">
        <f t="shared" si="120"/>
        <v>41.710586005236422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836">
        <f t="shared" si="124"/>
        <v>0.9285714285714286</v>
      </c>
      <c r="AT304" s="853">
        <f t="shared" si="125"/>
        <v>41.702498737403332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836">
        <f t="shared" si="129"/>
        <v>0.5714285714285714</v>
      </c>
      <c r="AY304" s="853">
        <f t="shared" si="130"/>
        <v>41.670994894312962</v>
      </c>
      <c r="AZ304" s="827">
        <f t="shared" si="134"/>
        <v>41.686746815858143</v>
      </c>
      <c r="BA304" s="660">
        <f t="shared" si="131"/>
        <v>0.9568223858009659</v>
      </c>
      <c r="BB304" s="655">
        <v>43390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924">
        <f>1+[2]!Salcycl*Ksac</f>
        <v>1.0333610169141274</v>
      </c>
      <c r="BH304" s="1080">
        <f t="shared" si="132"/>
        <v>8.2348571704497792E-3</v>
      </c>
      <c r="BI304" s="11">
        <v>44486</v>
      </c>
      <c r="BJ304" s="801">
        <v>3.025617270541845E-3</v>
      </c>
      <c r="BK304" s="801">
        <v>4.2713654703555731E-3</v>
      </c>
      <c r="BL304" s="801">
        <v>5.9930724747399656E-3</v>
      </c>
      <c r="BM304" s="801">
        <v>8.2347218357349174E-3</v>
      </c>
      <c r="BN304" s="801">
        <v>1.180971017254445E-2</v>
      </c>
      <c r="BO304" s="802">
        <v>1.7994616085637554E-2</v>
      </c>
      <c r="BP304" s="801">
        <v>2.8623523598750134E-2</v>
      </c>
      <c r="BQ304" s="801">
        <v>4.4487774174056437E-2</v>
      </c>
      <c r="BR304" s="801">
        <v>6.7808408832589304E-2</v>
      </c>
      <c r="BS304" s="801">
        <v>0.1052666047331597</v>
      </c>
      <c r="BT304" s="801">
        <v>0.15513055868615705</v>
      </c>
      <c r="BW304" s="1136">
        <f>'2018'!R\Max</f>
        <v>0.56287395255585071</v>
      </c>
      <c r="BX304" s="1134">
        <f>'2019'!R\Max</f>
        <v>0.49438069591895578</v>
      </c>
      <c r="BY304" s="1134">
        <f>'2020'!R\Max</f>
        <v>0.25895105978790145</v>
      </c>
      <c r="BZ304" s="1134">
        <f>'2021'!R\Max</f>
        <v>0.9568223858009659</v>
      </c>
      <c r="CA304" s="1134">
        <f>'2022'!R\Max</f>
        <v>0.59438995759794155</v>
      </c>
      <c r="CB304" s="1134">
        <f>'2023'!R\Max</f>
        <v>0.59414995521744707</v>
      </c>
      <c r="CC304" s="1134">
        <f>'2024'!R\Max</f>
        <v>0.59379201565049167</v>
      </c>
      <c r="CD304" s="1134">
        <f>'2025'!R\Max</f>
        <v>0.59499268175044095</v>
      </c>
      <c r="CE304" s="1134">
        <f>'2026'!R\Max</f>
        <v>0.59491209268607459</v>
      </c>
      <c r="CF304" s="1135">
        <f>'2027'!R\Max</f>
        <v>0.59477584216054002</v>
      </c>
    </row>
    <row r="305" spans="1:84" s="6" customFormat="1" ht="11.25" x14ac:dyDescent="0.2">
      <c r="A305" s="11">
        <v>43391</v>
      </c>
      <c r="B305" s="380">
        <f>'2023'!Maxi_hp</f>
        <v>40.636688636439388</v>
      </c>
      <c r="C305" s="85">
        <f>'2023'!An_max</f>
        <v>2020</v>
      </c>
      <c r="D305" s="1087">
        <f t="shared" si="116"/>
        <v>0.98074892092461274</v>
      </c>
      <c r="E305" s="747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836">
        <f t="shared" si="119"/>
        <v>0.7857142857142857</v>
      </c>
      <c r="J305" s="827">
        <f t="shared" si="120"/>
        <v>41.434344478430489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836">
        <f t="shared" si="124"/>
        <v>0.8928571428571429</v>
      </c>
      <c r="AT305" s="853">
        <f t="shared" si="125"/>
        <v>41.41413973032364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836">
        <f t="shared" si="129"/>
        <v>0.6071428571428571</v>
      </c>
      <c r="AY305" s="853">
        <f t="shared" si="130"/>
        <v>41.38722180470026</v>
      </c>
      <c r="AZ305" s="827">
        <f t="shared" si="134"/>
        <v>41.40068076751195</v>
      </c>
      <c r="BA305" s="660">
        <f t="shared" si="131"/>
        <v>0.98074892092461274</v>
      </c>
      <c r="BB305" s="655">
        <v>43391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924">
        <f>1+[2]!Salcycl*Ksac</f>
        <v>1.0327400468446191</v>
      </c>
      <c r="BH305" s="1080">
        <f t="shared" si="132"/>
        <v>8.2236562425359819E-3</v>
      </c>
      <c r="BI305" s="11">
        <v>44487</v>
      </c>
      <c r="BJ305" s="801">
        <v>3.0678666000202828E-3</v>
      </c>
      <c r="BK305" s="801">
        <v>4.3179166076925202E-3</v>
      </c>
      <c r="BL305" s="801">
        <v>6.0105664043246841E-3</v>
      </c>
      <c r="BM305" s="801">
        <v>8.2235218227725889E-3</v>
      </c>
      <c r="BN305" s="801">
        <v>1.1774340892799823E-2</v>
      </c>
      <c r="BO305" s="802">
        <v>1.7950597909259514E-2</v>
      </c>
      <c r="BP305" s="801">
        <v>2.8532906432703189E-2</v>
      </c>
      <c r="BQ305" s="801">
        <v>4.4316099198390156E-2</v>
      </c>
      <c r="BR305" s="801">
        <v>6.8102528302131538E-2</v>
      </c>
      <c r="BS305" s="801">
        <v>0.10736535695102423</v>
      </c>
      <c r="BT305" s="801">
        <v>0.1603664733180484</v>
      </c>
      <c r="BW305" s="1136">
        <f>'2018'!R\Max</f>
        <v>0.26148511510776073</v>
      </c>
      <c r="BX305" s="1134">
        <f>'2019'!R\Max</f>
        <v>0.38922588688156606</v>
      </c>
      <c r="BY305" s="1134">
        <f>'2020'!R\Max</f>
        <v>0.98074892092461274</v>
      </c>
      <c r="BZ305" s="1134">
        <f>'2021'!R\Max</f>
        <v>0.90488492305084489</v>
      </c>
      <c r="CA305" s="1134">
        <f>'2022'!R\Max</f>
        <v>0.9166162170261053</v>
      </c>
      <c r="CB305" s="1134">
        <f>'2023'!R\Max</f>
        <v>0.91654037267129784</v>
      </c>
      <c r="CC305" s="1134">
        <f>'2024'!R\Max</f>
        <v>0.91642724338185932</v>
      </c>
      <c r="CD305" s="1134">
        <f>'2025'!R\Max</f>
        <v>0.91680668373282626</v>
      </c>
      <c r="CE305" s="1134">
        <f>'2026'!R\Max</f>
        <v>0.91678132324790396</v>
      </c>
      <c r="CF305" s="1135">
        <f>'2027'!R\Max</f>
        <v>0.91673820654804994</v>
      </c>
    </row>
    <row r="306" spans="1:84" s="6" customFormat="1" ht="11.25" x14ac:dyDescent="0.2">
      <c r="A306" s="11">
        <v>43392</v>
      </c>
      <c r="B306" s="380">
        <f>'2023'!Maxi_hp</f>
        <v>39.555235344496339</v>
      </c>
      <c r="C306" s="85">
        <f>'2023'!An_max</f>
        <v>2020</v>
      </c>
      <c r="D306" s="1087" t="str">
        <f t="shared" si="116"/>
        <v/>
      </c>
      <c r="E306" s="747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836">
        <f t="shared" si="119"/>
        <v>0.7142857142857143</v>
      </c>
      <c r="J306" s="827">
        <f t="shared" si="120"/>
        <v>41.155769678897094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836">
        <f t="shared" si="124"/>
        <v>0.8571428571428571</v>
      </c>
      <c r="AT306" s="853">
        <f t="shared" si="125"/>
        <v>41.119019162016258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836">
        <f t="shared" si="129"/>
        <v>0.6428571428571429</v>
      </c>
      <c r="AY306" s="853">
        <f t="shared" si="130"/>
        <v>41.101910233337968</v>
      </c>
      <c r="AZ306" s="827">
        <f t="shared" si="134"/>
        <v>41.110464697677116</v>
      </c>
      <c r="BA306" s="660">
        <f t="shared" si="131"/>
        <v>0.96111032919835193</v>
      </c>
      <c r="BB306" s="655">
        <v>43392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924">
        <f>1+[2]!Salcycl*Ksac</f>
        <v>1.0321069984278735</v>
      </c>
      <c r="BH306" s="1080">
        <f t="shared" si="132"/>
        <v>8.200281882604462E-3</v>
      </c>
      <c r="BI306" s="11">
        <v>44488</v>
      </c>
      <c r="BJ306" s="801">
        <v>3.0978462102553127E-3</v>
      </c>
      <c r="BK306" s="801">
        <v>4.3513140984148832E-3</v>
      </c>
      <c r="BL306" s="801">
        <v>6.0159018209561864E-3</v>
      </c>
      <c r="BM306" s="801">
        <v>8.200148472402918E-3</v>
      </c>
      <c r="BN306" s="801">
        <v>1.1724299057254162E-2</v>
      </c>
      <c r="BO306" s="802">
        <v>1.7888042085331107E-2</v>
      </c>
      <c r="BP306" s="801">
        <v>2.841790088493527E-2</v>
      </c>
      <c r="BQ306" s="801">
        <v>4.4138645606663529E-2</v>
      </c>
      <c r="BR306" s="801">
        <v>6.8545415253433092E-2</v>
      </c>
      <c r="BS306" s="801">
        <v>0.1097735271870199</v>
      </c>
      <c r="BT306" s="801">
        <v>0.16605393173799463</v>
      </c>
      <c r="BW306" s="1136">
        <f>'2018'!R\Max</f>
        <v>0.62001804288008999</v>
      </c>
      <c r="BX306" s="1134">
        <f>'2019'!R\Max</f>
        <v>0.80768746882684073</v>
      </c>
      <c r="BY306" s="1134">
        <f>'2020'!R\Max</f>
        <v>0.96111032919835193</v>
      </c>
      <c r="BZ306" s="1134">
        <f>'2021'!R\Max</f>
        <v>0.88666053377500043</v>
      </c>
      <c r="CA306" s="1134">
        <f>'2022'!R\Max</f>
        <v>0.39233272848604706</v>
      </c>
      <c r="CB306" s="1134">
        <f>'2023'!R\Max</f>
        <v>0.39209724560499992</v>
      </c>
      <c r="CC306" s="1134">
        <f>'2024'!R\Max</f>
        <v>0.39174608120012</v>
      </c>
      <c r="CD306" s="1134">
        <f>'2025'!R\Max</f>
        <v>0.39292580056514387</v>
      </c>
      <c r="CE306" s="1134">
        <f>'2026'!R\Max</f>
        <v>0.39284703000577276</v>
      </c>
      <c r="CF306" s="1135">
        <f>'2027'!R\Max</f>
        <v>0.39271244370076258</v>
      </c>
    </row>
    <row r="307" spans="1:84" s="6" customFormat="1" ht="11.25" x14ac:dyDescent="0.2">
      <c r="A307" s="11">
        <v>43393</v>
      </c>
      <c r="B307" s="380">
        <f>'2023'!Maxi_hp</f>
        <v>32.753589060137877</v>
      </c>
      <c r="C307" s="85">
        <f>'2023'!An_max</f>
        <v>2020</v>
      </c>
      <c r="D307" s="1087" t="str">
        <f t="shared" si="116"/>
        <v/>
      </c>
      <c r="E307" s="747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836">
        <f t="shared" si="119"/>
        <v>0.6428571428571429</v>
      </c>
      <c r="J307" s="827">
        <f t="shared" si="120"/>
        <v>40.87475391700864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836">
        <f t="shared" si="124"/>
        <v>0.8214285714285714</v>
      </c>
      <c r="AT307" s="853">
        <f t="shared" si="125"/>
        <v>40.817745048273352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836">
        <f t="shared" si="129"/>
        <v>0.6785714285714286</v>
      </c>
      <c r="AY307" s="853">
        <f t="shared" si="130"/>
        <v>40.815304824536938</v>
      </c>
      <c r="AZ307" s="827">
        <f t="shared" si="134"/>
        <v>40.816524936405145</v>
      </c>
      <c r="BA307" s="660">
        <f t="shared" si="131"/>
        <v>0.80131587156806305</v>
      </c>
      <c r="BB307" s="655">
        <v>43393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924">
        <f>1+[2]!Salcycl*Ksac</f>
        <v>1.031462419768042</v>
      </c>
      <c r="BH307" s="1080">
        <f t="shared" si="132"/>
        <v>8.1647079600923097E-3</v>
      </c>
      <c r="BI307" s="11">
        <v>44489</v>
      </c>
      <c r="BJ307" s="801">
        <v>3.1155339494800434E-3</v>
      </c>
      <c r="BK307" s="801">
        <v>4.3715330656612659E-3</v>
      </c>
      <c r="BL307" s="801">
        <v>6.0090542353334582E-3</v>
      </c>
      <c r="BM307" s="801">
        <v>8.1645756543199024E-3</v>
      </c>
      <c r="BN307" s="801">
        <v>1.1659551749199309E-2</v>
      </c>
      <c r="BO307" s="802">
        <v>1.7806903731701827E-2</v>
      </c>
      <c r="BP307" s="801">
        <v>2.8278443509687889E-2</v>
      </c>
      <c r="BQ307" s="801">
        <v>4.3955362205807098E-2</v>
      </c>
      <c r="BR307" s="801">
        <v>6.9137205258626225E-2</v>
      </c>
      <c r="BS307" s="801">
        <v>0.11249139564178801</v>
      </c>
      <c r="BT307" s="801">
        <v>0.17219328293688793</v>
      </c>
      <c r="BW307" s="1136">
        <f>'2018'!R\Max</f>
        <v>0.24272563512724563</v>
      </c>
      <c r="BX307" s="1134">
        <f>'2019'!R\Max</f>
        <v>0.33473268746396462</v>
      </c>
      <c r="BY307" s="1134">
        <f>'2020'!R\Max</f>
        <v>0.80131587156806305</v>
      </c>
      <c r="BZ307" s="1134">
        <f>'2021'!R\Max</f>
        <v>0.73451516885967327</v>
      </c>
      <c r="CA307" s="1134">
        <f>'2022'!R\Max</f>
        <v>0.22653348274106228</v>
      </c>
      <c r="CB307" s="1134">
        <f>'2023'!R\Max</f>
        <v>0.22637747992316559</v>
      </c>
      <c r="CC307" s="1134">
        <f>'2024'!R\Max</f>
        <v>0.22614423777018114</v>
      </c>
      <c r="CD307" s="1134">
        <f>'2025'!R\Max</f>
        <v>0.22692690453732831</v>
      </c>
      <c r="CE307" s="1134">
        <f>'2026'!R\Max</f>
        <v>0.22687483711163517</v>
      </c>
      <c r="CF307" s="1135">
        <f>'2027'!R\Max</f>
        <v>0.22678538751605798</v>
      </c>
    </row>
    <row r="308" spans="1:84" s="6" customFormat="1" ht="11.25" x14ac:dyDescent="0.2">
      <c r="A308" s="11">
        <v>43394</v>
      </c>
      <c r="B308" s="380">
        <f>'2023'!Maxi_hp</f>
        <v>25.301063614108177</v>
      </c>
      <c r="C308" s="85">
        <f>'2023'!An_max</f>
        <v>2019</v>
      </c>
      <c r="D308" s="1087" t="str">
        <f t="shared" si="116"/>
        <v/>
      </c>
      <c r="E308" s="747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836">
        <f t="shared" si="119"/>
        <v>0.5714285714285714</v>
      </c>
      <c r="J308" s="827">
        <f t="shared" si="120"/>
        <v>40.591189503722958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836">
        <f t="shared" si="124"/>
        <v>0.7857142857142857</v>
      </c>
      <c r="AT308" s="853">
        <f t="shared" si="125"/>
        <v>40.510925406297403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836">
        <f t="shared" si="129"/>
        <v>0.7142857142857143</v>
      </c>
      <c r="AY308" s="853">
        <f t="shared" si="130"/>
        <v>40.527650224710143</v>
      </c>
      <c r="AZ308" s="827">
        <f t="shared" si="134"/>
        <v>40.519287815503773</v>
      </c>
      <c r="BA308" s="660">
        <f t="shared" si="131"/>
        <v>0.62331417047503879</v>
      </c>
      <c r="BB308" s="655">
        <v>43394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924">
        <f>1+[2]!Salcycl*Ksac</f>
        <v>1.0308069109094153</v>
      </c>
      <c r="BH308" s="1080">
        <f t="shared" si="132"/>
        <v>8.1169091045351846E-3</v>
      </c>
      <c r="BI308" s="11">
        <v>44490</v>
      </c>
      <c r="BJ308" s="801">
        <v>3.1209081926337114E-3</v>
      </c>
      <c r="BK308" s="801">
        <v>4.3785491935849829E-3</v>
      </c>
      <c r="BL308" s="801">
        <v>5.9899997900977704E-3</v>
      </c>
      <c r="BM308" s="801">
        <v>8.1167779983065142E-3</v>
      </c>
      <c r="BN308" s="801">
        <v>1.1580067065391069E-2</v>
      </c>
      <c r="BO308" s="802">
        <v>1.7707139249091487E-2</v>
      </c>
      <c r="BP308" s="801">
        <v>2.8114472698198067E-2</v>
      </c>
      <c r="BQ308" s="801">
        <v>4.3766198949240741E-2</v>
      </c>
      <c r="BR308" s="801">
        <v>6.9878024215593873E-2</v>
      </c>
      <c r="BS308" s="801">
        <v>0.11551921593665189</v>
      </c>
      <c r="BT308" s="801">
        <v>0.17878482777261437</v>
      </c>
      <c r="BW308" s="1136">
        <f>'2018'!R\Max</f>
        <v>0.45878095981023626</v>
      </c>
      <c r="BX308" s="1134">
        <f>'2019'!R\Max</f>
        <v>0.62331417047503879</v>
      </c>
      <c r="BY308" s="1134">
        <f>'2020'!R\Max</f>
        <v>0.15946553192224341</v>
      </c>
      <c r="BZ308" s="1134">
        <f>'2021'!R\Max</f>
        <v>0.35647655810618095</v>
      </c>
      <c r="CA308" s="1134">
        <f>'2022'!R\Max</f>
        <v>0.41710791366212002</v>
      </c>
      <c r="CB308" s="1134">
        <f>'2023'!R\Max</f>
        <v>0.41687017852577207</v>
      </c>
      <c r="CC308" s="1134">
        <f>'2024'!R\Max</f>
        <v>0.41651299940880038</v>
      </c>
      <c r="CD308" s="1134">
        <f>'2025'!R\Max</f>
        <v>0.41770778851314294</v>
      </c>
      <c r="CE308" s="1134">
        <f>'2026'!R\Max</f>
        <v>0.41762872847137322</v>
      </c>
      <c r="CF308" s="1135">
        <f>'2027'!R\Max</f>
        <v>0.41749211605627251</v>
      </c>
    </row>
    <row r="309" spans="1:84" s="6" customFormat="1" ht="11.25" x14ac:dyDescent="0.2">
      <c r="A309" s="11">
        <v>43395</v>
      </c>
      <c r="B309" s="380">
        <f>'2023'!Maxi_hp</f>
        <v>36.5759320707512</v>
      </c>
      <c r="C309" s="85">
        <f>'2023'!An_max</f>
        <v>2022</v>
      </c>
      <c r="D309" s="1087" t="str">
        <f t="shared" si="116"/>
        <v/>
      </c>
      <c r="E309" s="747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836">
        <f t="shared" si="119"/>
        <v>0.5</v>
      </c>
      <c r="J309" s="827">
        <f t="shared" si="120"/>
        <v>40.304968749359247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836">
        <f t="shared" si="124"/>
        <v>0.75</v>
      </c>
      <c r="AT309" s="853">
        <f t="shared" si="125"/>
        <v>40.19916825192049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836">
        <f t="shared" si="129"/>
        <v>0.75</v>
      </c>
      <c r="AY309" s="853">
        <f t="shared" si="130"/>
        <v>40.239191078906877</v>
      </c>
      <c r="AZ309" s="827">
        <f t="shared" si="134"/>
        <v>40.219179665413684</v>
      </c>
      <c r="BA309" s="660">
        <f t="shared" si="131"/>
        <v>0.90747947971880438</v>
      </c>
      <c r="BB309" s="655">
        <v>43395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924">
        <f>1+[2]!Salcycl*Ksac</f>
        <v>1.0301411226652488</v>
      </c>
      <c r="BH309" s="1080">
        <f t="shared" si="132"/>
        <v>8.0568608372976937E-3</v>
      </c>
      <c r="BI309" s="11">
        <v>44491</v>
      </c>
      <c r="BJ309" s="801">
        <v>3.1139479751615862E-3</v>
      </c>
      <c r="BK309" s="801">
        <v>4.3723388707181884E-3</v>
      </c>
      <c r="BL309" s="801">
        <v>5.9587153919010228E-3</v>
      </c>
      <c r="BM309" s="801">
        <v>8.0567310259640756E-3</v>
      </c>
      <c r="BN309" s="801">
        <v>1.1485814274426506E-2</v>
      </c>
      <c r="BO309" s="802">
        <v>1.7588706520930492E-2</v>
      </c>
      <c r="BP309" s="801">
        <v>2.7925928940834625E-2</v>
      </c>
      <c r="BQ309" s="801">
        <v>4.3571106994131796E-2</v>
      </c>
      <c r="BR309" s="801">
        <v>7.076798672533674E-2</v>
      </c>
      <c r="BS309" s="801">
        <v>0.11885721175775917</v>
      </c>
      <c r="BT309" s="801">
        <v>0.18582881409591034</v>
      </c>
      <c r="BW309" s="1136">
        <f>'2018'!R\Max</f>
        <v>0.60533392479820713</v>
      </c>
      <c r="BX309" s="1134">
        <f>'2019'!R\Max</f>
        <v>0.11195873028569872</v>
      </c>
      <c r="BY309" s="1134">
        <f>'2020'!R\Max</f>
        <v>0.69359370312434054</v>
      </c>
      <c r="BZ309" s="1134">
        <f>'2021'!R\Max</f>
        <v>0.36999718986441532</v>
      </c>
      <c r="CA309" s="1134">
        <f>'2022'!R\Max</f>
        <v>0.90747947971880438</v>
      </c>
      <c r="CB309" s="1134">
        <f>'2023'!R\Max</f>
        <v>0.90739783428412368</v>
      </c>
      <c r="CC309" s="1134">
        <f>'2024'!R\Max</f>
        <v>0.9072742348525572</v>
      </c>
      <c r="CD309" s="1134">
        <f>'2025'!R\Max</f>
        <v>0.90768533794663575</v>
      </c>
      <c r="CE309" s="1134">
        <f>'2026'!R\Max</f>
        <v>0.90765834573605808</v>
      </c>
      <c r="CF309" s="1135">
        <f>'2027'!R\Max</f>
        <v>0.90761140986118338</v>
      </c>
    </row>
    <row r="310" spans="1:84" s="6" customFormat="1" ht="11.25" x14ac:dyDescent="0.2">
      <c r="A310" s="11">
        <v>43396</v>
      </c>
      <c r="B310" s="380">
        <f>'2023'!Maxi_hp</f>
        <v>40.417600881584974</v>
      </c>
      <c r="C310" s="85">
        <f>'2023'!An_max</f>
        <v>2021</v>
      </c>
      <c r="D310" s="1087">
        <f t="shared" si="116"/>
        <v>1.0100364123815417</v>
      </c>
      <c r="E310" s="747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836">
        <f t="shared" si="119"/>
        <v>0.42857142857142855</v>
      </c>
      <c r="J310" s="827">
        <f t="shared" si="120"/>
        <v>40.01598396466246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836">
        <f t="shared" si="124"/>
        <v>0.7142857142857143</v>
      </c>
      <c r="AT310" s="853">
        <f t="shared" si="125"/>
        <v>39.883081602145516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836">
        <f t="shared" si="129"/>
        <v>0.7857142857142857</v>
      </c>
      <c r="AY310" s="853">
        <f t="shared" si="130"/>
        <v>39.950172033107705</v>
      </c>
      <c r="AZ310" s="827">
        <f t="shared" si="134"/>
        <v>39.916626817626607</v>
      </c>
      <c r="BA310" s="660">
        <f t="shared" si="131"/>
        <v>1.0100364123815417</v>
      </c>
      <c r="BB310" s="655">
        <v>43396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924">
        <f>1+[2]!Salcycl*Ksac</f>
        <v>1.0294657551007962</v>
      </c>
      <c r="BH310" s="1080">
        <f t="shared" si="132"/>
        <v>7.9819622512828318E-3</v>
      </c>
      <c r="BI310" s="11">
        <v>44492</v>
      </c>
      <c r="BJ310" s="801">
        <v>3.0970097581969548E-3</v>
      </c>
      <c r="BK310" s="801">
        <v>4.3534191348895352E-3</v>
      </c>
      <c r="BL310" s="801">
        <v>5.9137495299431547E-3</v>
      </c>
      <c r="BM310" s="801">
        <v>7.9818338047489227E-3</v>
      </c>
      <c r="BN310" s="801">
        <v>1.1374864640164151E-2</v>
      </c>
      <c r="BO310" s="802">
        <v>1.7449954064279977E-2</v>
      </c>
      <c r="BP310" s="801">
        <v>2.7713209357712727E-2</v>
      </c>
      <c r="BQ310" s="801">
        <v>4.3478197153647036E-2</v>
      </c>
      <c r="BR310" s="801">
        <v>7.1941866374782767E-2</v>
      </c>
      <c r="BS310" s="801">
        <v>0.12255303616655633</v>
      </c>
      <c r="BT310" s="801">
        <v>0.19306724779061477</v>
      </c>
      <c r="BW310" s="1136">
        <f>'2018'!R\Max</f>
        <v>0.99550403542653865</v>
      </c>
      <c r="BX310" s="1134">
        <f>'2019'!R\Max</f>
        <v>0.4895510047690973</v>
      </c>
      <c r="BY310" s="1134">
        <f>'2020'!R\Max</f>
        <v>0.14621597585054216</v>
      </c>
      <c r="BZ310" s="1134">
        <f>'2021'!R\Max</f>
        <v>1.0100364123815417</v>
      </c>
      <c r="CA310" s="1134">
        <f>'2022'!R\Max</f>
        <v>0.52010633659118277</v>
      </c>
      <c r="CB310" s="1134">
        <f>'2023'!R\Max</f>
        <v>0.51986527123185922</v>
      </c>
      <c r="CC310" s="1134">
        <f>'2024'!R\Max</f>
        <v>0.51949523008679377</v>
      </c>
      <c r="CD310" s="1134">
        <f>'2025'!R\Max</f>
        <v>0.52071544708470607</v>
      </c>
      <c r="CE310" s="1134">
        <f>'2026'!R\Max</f>
        <v>0.52063584808639618</v>
      </c>
      <c r="CF310" s="1135">
        <f>'2027'!R\Max</f>
        <v>0.52049666572831987</v>
      </c>
    </row>
    <row r="311" spans="1:84" s="6" customFormat="1" ht="11.25" x14ac:dyDescent="0.2">
      <c r="A311" s="11">
        <v>43397</v>
      </c>
      <c r="B311" s="380">
        <f>'2023'!Maxi_hp</f>
        <v>41.588960428568228</v>
      </c>
      <c r="C311" s="85">
        <f>'2023'!An_max</f>
        <v>2021</v>
      </c>
      <c r="D311" s="1087">
        <f t="shared" si="116"/>
        <v>1.0469445923345255</v>
      </c>
      <c r="E311" s="747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836">
        <f t="shared" si="119"/>
        <v>0.35714285714285715</v>
      </c>
      <c r="J311" s="827">
        <f t="shared" si="120"/>
        <v>39.724127459153536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836">
        <f t="shared" si="124"/>
        <v>0.6785714285714286</v>
      </c>
      <c r="AT311" s="853">
        <f t="shared" si="125"/>
        <v>39.563273473456505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836">
        <f t="shared" si="129"/>
        <v>0.8214285714285714</v>
      </c>
      <c r="AY311" s="853">
        <f t="shared" si="130"/>
        <v>39.66083773229537</v>
      </c>
      <c r="AZ311" s="827">
        <f t="shared" si="134"/>
        <v>39.612055602875941</v>
      </c>
      <c r="BA311" s="660">
        <f t="shared" si="131"/>
        <v>1.0469445923345255</v>
      </c>
      <c r="BB311" s="655">
        <v>43397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924">
        <f>1+[2]!Salcycl*Ksac</f>
        <v>1.0287815556736208</v>
      </c>
      <c r="BH311" s="1080">
        <f t="shared" si="132"/>
        <v>7.9041998249703913E-3</v>
      </c>
      <c r="BI311" s="11">
        <v>44493</v>
      </c>
      <c r="BJ311" s="801">
        <v>3.0792993821869238E-3</v>
      </c>
      <c r="BK311" s="801">
        <v>4.3315655723740881E-3</v>
      </c>
      <c r="BL311" s="801">
        <v>5.8657636277579641E-3</v>
      </c>
      <c r="BM311" s="801">
        <v>7.9040726782475795E-3</v>
      </c>
      <c r="BN311" s="801">
        <v>1.12627678333181E-2</v>
      </c>
      <c r="BO311" s="802">
        <v>1.730844064331272E-2</v>
      </c>
      <c r="BP311" s="801">
        <v>2.7497697155420595E-2</v>
      </c>
      <c r="BQ311" s="801">
        <v>4.3510243818525661E-2</v>
      </c>
      <c r="BR311" s="801">
        <v>7.3368016591392332E-2</v>
      </c>
      <c r="BS311" s="801">
        <v>0.12645756135657779</v>
      </c>
      <c r="BT311" s="801">
        <v>0.20017264408415925</v>
      </c>
      <c r="BW311" s="1136">
        <f>'2018'!R\Max</f>
        <v>0.92543753677702678</v>
      </c>
      <c r="BX311" s="1134">
        <f>'2019'!R\Max</f>
        <v>0.43422815592654723</v>
      </c>
      <c r="BY311" s="1134">
        <f>'2020'!R\Max</f>
        <v>0.2745974373053825</v>
      </c>
      <c r="BZ311" s="1134">
        <f>'2021'!R\Max</f>
        <v>1.0469445923345255</v>
      </c>
      <c r="CA311" s="1134">
        <f>'2022'!R\Max</f>
        <v>0.69934005370478558</v>
      </c>
      <c r="CB311" s="1134">
        <f>'2023'!R\Max</f>
        <v>0.69913825632009019</v>
      </c>
      <c r="CC311" s="1134">
        <f>'2024'!R\Max</f>
        <v>0.69882120004744386</v>
      </c>
      <c r="CD311" s="1134">
        <f>'2025'!R\Max</f>
        <v>0.69985002144935016</v>
      </c>
      <c r="CE311" s="1134">
        <f>'2026'!R\Max</f>
        <v>0.69978364882951383</v>
      </c>
      <c r="CF311" s="1135">
        <f>'2027'!R\Max</f>
        <v>0.69966696722056732</v>
      </c>
    </row>
    <row r="312" spans="1:84" s="6" customFormat="1" ht="11.25" x14ac:dyDescent="0.2">
      <c r="A312" s="11">
        <v>43398</v>
      </c>
      <c r="B312" s="380">
        <f>'2023'!Maxi_hp</f>
        <v>39.380465592356508</v>
      </c>
      <c r="C312" s="85">
        <f>'2023'!An_max</f>
        <v>2018</v>
      </c>
      <c r="D312" s="1087">
        <f t="shared" si="116"/>
        <v>0.99876168323739611</v>
      </c>
      <c r="E312" s="747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836">
        <f t="shared" si="119"/>
        <v>0.2857142857142857</v>
      </c>
      <c r="J312" s="827">
        <f t="shared" si="120"/>
        <v>39.429291545014294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836">
        <f t="shared" si="124"/>
        <v>0.6428571428571429</v>
      </c>
      <c r="AT312" s="853">
        <f t="shared" si="125"/>
        <v>39.240351882470506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836">
        <f t="shared" si="129"/>
        <v>0.8571428571428571</v>
      </c>
      <c r="AY312" s="853">
        <f t="shared" si="130"/>
        <v>39.371432822304115</v>
      </c>
      <c r="AZ312" s="827">
        <f t="shared" si="134"/>
        <v>39.30589235238731</v>
      </c>
      <c r="BA312" s="660">
        <f t="shared" si="131"/>
        <v>0.99876168323739611</v>
      </c>
      <c r="BB312" s="655">
        <v>43398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924">
        <f>1+[2]!Salcycl*Ksac</f>
        <v>1.0280893170371455</v>
      </c>
      <c r="BH312" s="1080">
        <f t="shared" si="132"/>
        <v>7.8236273668842813E-3</v>
      </c>
      <c r="BI312" s="11">
        <v>44494</v>
      </c>
      <c r="BJ312" s="801">
        <v>3.0608383316223921E-3</v>
      </c>
      <c r="BK312" s="801">
        <v>4.306805908370002E-3</v>
      </c>
      <c r="BL312" s="801">
        <v>5.814796444258339E-3</v>
      </c>
      <c r="BM312" s="801">
        <v>7.8235014539677437E-3</v>
      </c>
      <c r="BN312" s="801">
        <v>1.1149604505436053E-2</v>
      </c>
      <c r="BO312" s="802">
        <v>1.7164288981330905E-2</v>
      </c>
      <c r="BP312" s="801">
        <v>2.7279589508637542E-2</v>
      </c>
      <c r="BQ312" s="801">
        <v>4.3667736365380093E-2</v>
      </c>
      <c r="BR312" s="801">
        <v>7.5047325060485129E-2</v>
      </c>
      <c r="BS312" s="801">
        <v>0.13057201654060496</v>
      </c>
      <c r="BT312" s="801">
        <v>0.20714632330521304</v>
      </c>
      <c r="BW312" s="1136">
        <f>'2018'!R\Max</f>
        <v>0.99876168323739611</v>
      </c>
      <c r="BX312" s="1134">
        <f>'2019'!R\Max</f>
        <v>0.81772058024472716</v>
      </c>
      <c r="BY312" s="1134">
        <f>'2020'!R\Max</f>
        <v>0.85067739812772758</v>
      </c>
      <c r="BZ312" s="1134">
        <f>'2021'!R\Max</f>
        <v>0.92779501802744635</v>
      </c>
      <c r="CA312" s="1134">
        <f>'2022'!R\Max</f>
        <v>0.62216553164190724</v>
      </c>
      <c r="CB312" s="1134">
        <f>'2023'!R\Max</f>
        <v>0.62194140767811856</v>
      </c>
      <c r="CC312" s="1134">
        <f>'2024'!R\Max</f>
        <v>0.62157844573119614</v>
      </c>
      <c r="CD312" s="1134">
        <f>'2025'!R\Max</f>
        <v>0.62273247492487271</v>
      </c>
      <c r="CE312" s="1134">
        <f>'2026'!R\Max</f>
        <v>0.62265890858378303</v>
      </c>
      <c r="CF312" s="1135">
        <f>'2027'!R\Max</f>
        <v>0.62252900087475493</v>
      </c>
    </row>
    <row r="313" spans="1:84" s="6" customFormat="1" ht="11.25" x14ac:dyDescent="0.2">
      <c r="A313" s="11">
        <v>43399</v>
      </c>
      <c r="B313" s="380">
        <f>'2023'!Maxi_hp</f>
        <v>38.95254653773808</v>
      </c>
      <c r="C313" s="85">
        <f>'2023'!An_max</f>
        <v>2019</v>
      </c>
      <c r="D313" s="1087">
        <f t="shared" si="116"/>
        <v>0.99543021366786899</v>
      </c>
      <c r="E313" s="747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836">
        <f t="shared" si="119"/>
        <v>0.21428571428571427</v>
      </c>
      <c r="J313" s="827">
        <f t="shared" si="120"/>
        <v>39.131368530807748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836">
        <f t="shared" si="124"/>
        <v>0.6071428571428571</v>
      </c>
      <c r="AT313" s="853">
        <f t="shared" si="125"/>
        <v>38.91492484561833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836">
        <f t="shared" si="129"/>
        <v>0.8928571428571429</v>
      </c>
      <c r="AY313" s="853">
        <f t="shared" si="130"/>
        <v>39.0822019483495</v>
      </c>
      <c r="AZ313" s="827">
        <f t="shared" si="134"/>
        <v>38.998563396983911</v>
      </c>
      <c r="BA313" s="660">
        <f t="shared" si="131"/>
        <v>0.99543021366786899</v>
      </c>
      <c r="BB313" s="655">
        <v>43399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924">
        <f>1+[2]!Salcycl*Ksac</f>
        <v>1.0273898745162759</v>
      </c>
      <c r="BH313" s="1080">
        <f t="shared" si="132"/>
        <v>7.7402322050457951E-3</v>
      </c>
      <c r="BI313" s="11">
        <v>44495</v>
      </c>
      <c r="BJ313" s="801">
        <v>3.0416223634772478E-3</v>
      </c>
      <c r="BK313" s="801">
        <v>4.2791316607259551E-3</v>
      </c>
      <c r="BL313" s="801">
        <v>5.7608375000255917E-3</v>
      </c>
      <c r="BM313" s="801">
        <v>7.7401074599811491E-3</v>
      </c>
      <c r="BN313" s="801">
        <v>1.1035360652320433E-2</v>
      </c>
      <c r="BO313" s="802">
        <v>1.7017476700010813E-2</v>
      </c>
      <c r="BP313" s="801">
        <v>2.7058853238906718E-2</v>
      </c>
      <c r="BQ313" s="801">
        <v>4.3950808407488516E-2</v>
      </c>
      <c r="BR313" s="801">
        <v>7.6980098428250862E-2</v>
      </c>
      <c r="BS313" s="801">
        <v>0.13489664109122165</v>
      </c>
      <c r="BT313" s="801">
        <v>0.21398803665751134</v>
      </c>
      <c r="BW313" s="1136">
        <f>'2018'!R\Max</f>
        <v>0.11677491022829266</v>
      </c>
      <c r="BX313" s="1134">
        <f>'2019'!R\Max</f>
        <v>0.99543021366786899</v>
      </c>
      <c r="BY313" s="1134">
        <f>'2020'!R\Max</f>
        <v>0.61952459796905068</v>
      </c>
      <c r="BZ313" s="1134">
        <f>'2021'!R\Max</f>
        <v>0.79244347915437086</v>
      </c>
      <c r="CA313" s="1134">
        <f>'2022'!R\Max</f>
        <v>0.35020288943311312</v>
      </c>
      <c r="CB313" s="1134">
        <f>'2023'!R\Max</f>
        <v>0.34998740575262094</v>
      </c>
      <c r="CC313" s="1134">
        <f>'2024'!R\Max</f>
        <v>0.34962531058233587</v>
      </c>
      <c r="CD313" s="1134">
        <f>'2025'!R\Max</f>
        <v>0.35074883768177256</v>
      </c>
      <c r="CE313" s="1134">
        <f>'2026'!R\Max</f>
        <v>0.35067814245459089</v>
      </c>
      <c r="CF313" s="1135">
        <f>'2027'!R\Max</f>
        <v>0.35055285421305066</v>
      </c>
    </row>
    <row r="314" spans="1:84" s="6" customFormat="1" ht="11.25" x14ac:dyDescent="0.2">
      <c r="A314" s="11">
        <v>43400</v>
      </c>
      <c r="B314" s="380">
        <f>'2023'!Maxi_hp</f>
        <v>33.191570367929572</v>
      </c>
      <c r="C314" s="85">
        <f>'2023'!An_max</f>
        <v>2021</v>
      </c>
      <c r="D314" s="1087" t="str">
        <f t="shared" si="116"/>
        <v/>
      </c>
      <c r="E314" s="747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836">
        <f t="shared" si="119"/>
        <v>0.14285714285714285</v>
      </c>
      <c r="J314" s="827">
        <f t="shared" si="120"/>
        <v>38.830250728343216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836">
        <f t="shared" si="124"/>
        <v>0.5714285714285714</v>
      </c>
      <c r="AT314" s="853">
        <f t="shared" si="125"/>
        <v>38.587600378958243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836">
        <f t="shared" si="129"/>
        <v>0.9285714285714286</v>
      </c>
      <c r="AY314" s="853">
        <f t="shared" si="130"/>
        <v>38.793389756751381</v>
      </c>
      <c r="AZ314" s="827">
        <f t="shared" si="134"/>
        <v>38.690495067854812</v>
      </c>
      <c r="BA314" s="660">
        <f t="shared" si="131"/>
        <v>0.85478640352178248</v>
      </c>
      <c r="BB314" s="655">
        <v>43400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924">
        <f>1+[2]!Salcycl*Ksac</f>
        <v>1.0266841032667804</v>
      </c>
      <c r="BH314" s="1080">
        <f t="shared" si="132"/>
        <v>7.6540018857645395E-3</v>
      </c>
      <c r="BI314" s="11">
        <v>44496</v>
      </c>
      <c r="BJ314" s="801">
        <v>3.0216472830612378E-3</v>
      </c>
      <c r="BK314" s="801">
        <v>4.2485343493104608E-3</v>
      </c>
      <c r="BL314" s="801">
        <v>5.7038764150040486E-3</v>
      </c>
      <c r="BM314" s="801">
        <v>7.653878242640859E-3</v>
      </c>
      <c r="BN314" s="801">
        <v>1.092002267228895E-2</v>
      </c>
      <c r="BO314" s="802">
        <v>1.6867981895617903E-2</v>
      </c>
      <c r="BP314" s="801">
        <v>2.683545593416907E-2</v>
      </c>
      <c r="BQ314" s="801">
        <v>4.4359597203859069E-2</v>
      </c>
      <c r="BR314" s="801">
        <v>7.9166645607719535E-2</v>
      </c>
      <c r="BS314" s="801">
        <v>0.139431666223086</v>
      </c>
      <c r="BT314" s="801">
        <v>0.22069750529853582</v>
      </c>
      <c r="BW314" s="1136">
        <f>'2018'!R\Max</f>
        <v>0.22421882637526563</v>
      </c>
      <c r="BX314" s="1134">
        <f>'2019'!R\Max</f>
        <v>0.67880703133523146</v>
      </c>
      <c r="BY314" s="1134">
        <f>'2020'!R\Max</f>
        <v>0.64563118300550737</v>
      </c>
      <c r="BZ314" s="1134">
        <f>'2021'!R\Max</f>
        <v>0.85478640352178248</v>
      </c>
      <c r="CA314" s="1134">
        <f>'2022'!R\Max</f>
        <v>0.38674262712385121</v>
      </c>
      <c r="CB314" s="1134">
        <f>'2023'!R\Max</f>
        <v>0.38651950822400977</v>
      </c>
      <c r="CC314" s="1134">
        <f>'2024'!R\Max</f>
        <v>0.38612763638165448</v>
      </c>
      <c r="CD314" s="1134">
        <f>'2025'!R\Max</f>
        <v>0.38730819984260378</v>
      </c>
      <c r="CE314" s="1134">
        <f>'2026'!R\Max</f>
        <v>0.3872351226593127</v>
      </c>
      <c r="CF314" s="1135">
        <f>'2027'!R\Max</f>
        <v>0.38710520478682514</v>
      </c>
    </row>
    <row r="315" spans="1:84" s="6" customFormat="1" ht="11.25" x14ac:dyDescent="0.2">
      <c r="A315" s="11">
        <v>43401</v>
      </c>
      <c r="B315" s="380">
        <f>'2023'!Maxi_hp</f>
        <v>38.41572407667438</v>
      </c>
      <c r="C315" s="85">
        <f>'2023'!An_max</f>
        <v>2021</v>
      </c>
      <c r="D315" s="1087">
        <f t="shared" si="116"/>
        <v>0.99714201174397965</v>
      </c>
      <c r="E315" s="747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836">
        <f t="shared" si="119"/>
        <v>7.1428571428571425E-2</v>
      </c>
      <c r="J315" s="827">
        <f t="shared" si="120"/>
        <v>38.525830447647188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836">
        <f t="shared" si="124"/>
        <v>0.5357142857142857</v>
      </c>
      <c r="AT315" s="853">
        <f t="shared" si="125"/>
        <v>38.25898649999872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836">
        <f t="shared" si="129"/>
        <v>0.9642857142857143</v>
      </c>
      <c r="AY315" s="853">
        <f t="shared" si="130"/>
        <v>38.505240891973621</v>
      </c>
      <c r="AZ315" s="827">
        <f t="shared" si="134"/>
        <v>38.38211369598617</v>
      </c>
      <c r="BA315" s="660">
        <f t="shared" si="131"/>
        <v>0.99714201174397965</v>
      </c>
      <c r="BB315" s="655">
        <v>43401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924">
        <f>1+[2]!Salcycl*Ksac</f>
        <v>1.0259729151328667</v>
      </c>
      <c r="BH315" s="1080">
        <f t="shared" si="132"/>
        <v>7.5649241994101392E-3</v>
      </c>
      <c r="BI315" s="11">
        <v>44497</v>
      </c>
      <c r="BJ315" s="801">
        <v>3.0009089509888502E-3</v>
      </c>
      <c r="BK315" s="801">
        <v>4.2150055229228179E-3</v>
      </c>
      <c r="BL315" s="801">
        <v>5.6439029359800193E-3</v>
      </c>
      <c r="BM315" s="801">
        <v>7.5648015923535971E-3</v>
      </c>
      <c r="BN315" s="801">
        <v>1.0803577375764076E-2</v>
      </c>
      <c r="BO315" s="802">
        <v>1.6715783163227232E-2</v>
      </c>
      <c r="BP315" s="801">
        <v>2.6609365972585064E-2</v>
      </c>
      <c r="BQ315" s="801">
        <v>4.4894242503891145E-2</v>
      </c>
      <c r="BR315" s="801">
        <v>8.1607275457742212E-2</v>
      </c>
      <c r="BS315" s="801">
        <v>0.14417731309501058</v>
      </c>
      <c r="BT315" s="801">
        <v>0.22727442162728914</v>
      </c>
      <c r="BW315" s="1136">
        <f>'2018'!R\Max</f>
        <v>9.7604978898193126E-2</v>
      </c>
      <c r="BX315" s="1134">
        <f>'2019'!R\Max</f>
        <v>0.25603831695946633</v>
      </c>
      <c r="BY315" s="1134">
        <f>'2020'!R\Max</f>
        <v>0.6329881745421353</v>
      </c>
      <c r="BZ315" s="1134">
        <f>'2021'!R\Max</f>
        <v>0.99714201174397965</v>
      </c>
      <c r="CA315" s="1134">
        <f>'2022'!R\Max</f>
        <v>0.49120643643857415</v>
      </c>
      <c r="CB315" s="1134">
        <f>'2023'!R\Max</f>
        <v>0.49097284603954727</v>
      </c>
      <c r="CC315" s="1134">
        <f>'2024'!R\Max</f>
        <v>0.49054146178215857</v>
      </c>
      <c r="CD315" s="1134">
        <f>'2025'!R\Max</f>
        <v>0.49179868549390227</v>
      </c>
      <c r="CE315" s="1134">
        <f>'2026'!R\Max</f>
        <v>0.4917222957402374</v>
      </c>
      <c r="CF315" s="1135">
        <f>'2027'!R\Max</f>
        <v>0.49158615361347313</v>
      </c>
    </row>
    <row r="316" spans="1:84" s="6" customFormat="1" ht="11.25" x14ac:dyDescent="0.2">
      <c r="A316" s="11">
        <v>43402</v>
      </c>
      <c r="B316" s="380">
        <f>'2023'!Maxi_hp</f>
        <v>30.720187323726929</v>
      </c>
      <c r="C316" s="85">
        <f>'2023'!An_max</f>
        <v>2019</v>
      </c>
      <c r="D316" s="1087" t="str">
        <f t="shared" si="116"/>
        <v/>
      </c>
      <c r="E316" s="835">
        <f>AI$13/10</f>
        <v>38.218000000000004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836">
        <f t="shared" si="119"/>
        <v>0</v>
      </c>
      <c r="J316" s="827">
        <f t="shared" si="120"/>
        <v>38.217999998852612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836">
        <f t="shared" si="124"/>
        <v>0.5</v>
      </c>
      <c r="AT316" s="853">
        <f t="shared" si="125"/>
        <v>37.929691224172714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836">
        <f t="shared" si="129"/>
        <v>1</v>
      </c>
      <c r="AY316" s="853">
        <f t="shared" si="130"/>
        <v>38.217999999970196</v>
      </c>
      <c r="AZ316" s="827">
        <f t="shared" si="134"/>
        <v>38.073845612071452</v>
      </c>
      <c r="BA316" s="660">
        <f t="shared" si="131"/>
        <v>0.80381462464412623</v>
      </c>
      <c r="BB316" s="655">
        <v>43402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924">
        <f>1+[2]!Salcycl*Ksac</f>
        <v>1.0252572552200814</v>
      </c>
      <c r="BH316" s="1080">
        <f t="shared" si="132"/>
        <v>7.4729872061602672E-3</v>
      </c>
      <c r="BI316" s="11">
        <v>44498</v>
      </c>
      <c r="BJ316" s="801">
        <v>2.9794032901389158E-3</v>
      </c>
      <c r="BK316" s="801">
        <v>4.1785367861909943E-3</v>
      </c>
      <c r="BL316" s="801">
        <v>5.5809069640431787E-3</v>
      </c>
      <c r="BM316" s="801">
        <v>7.4728655693283852E-3</v>
      </c>
      <c r="BN316" s="801">
        <v>1.0686011994828755E-2</v>
      </c>
      <c r="BO316" s="802">
        <v>1.6560859620891905E-2</v>
      </c>
      <c r="BP316" s="801">
        <v>2.6380552546273878E-2</v>
      </c>
      <c r="BQ316" s="801">
        <v>4.5554885391903839E-2</v>
      </c>
      <c r="BR316" s="801">
        <v>8.4302294461741187E-2</v>
      </c>
      <c r="BS316" s="801">
        <v>0.14913379091163975</v>
      </c>
      <c r="BT316" s="801">
        <v>0.23371845057142979</v>
      </c>
      <c r="BW316" s="1136">
        <f>'2018'!R\Max</f>
        <v>0.12362671662008812</v>
      </c>
      <c r="BX316" s="1134">
        <f>'2019'!R\Max</f>
        <v>0.80381462464412623</v>
      </c>
      <c r="BY316" s="1134">
        <f>'2020'!R\Max</f>
        <v>0.34567370413291082</v>
      </c>
      <c r="BZ316" s="1134">
        <f>'2021'!R\Max</f>
        <v>0.48157991333791733</v>
      </c>
      <c r="CA316" s="1134">
        <f>'2022'!R\Max</f>
        <v>0.74005018429979053</v>
      </c>
      <c r="CB316" s="1134">
        <f>'2023'!R\Max</f>
        <v>0.73987152061096395</v>
      </c>
      <c r="CC316" s="1134">
        <f>'2024'!R\Max</f>
        <v>0.7395226819834323</v>
      </c>
      <c r="CD316" s="1134">
        <f>'2025'!R\Max</f>
        <v>0.74050303775559767</v>
      </c>
      <c r="CE316" s="1134">
        <f>'2026'!R\Max</f>
        <v>0.74044471366916176</v>
      </c>
      <c r="CF316" s="1135">
        <f>'2027'!R\Max</f>
        <v>0.74034057819855326</v>
      </c>
    </row>
    <row r="317" spans="1:84" s="6" customFormat="1" ht="11.25" x14ac:dyDescent="0.2">
      <c r="A317" s="11">
        <v>43403</v>
      </c>
      <c r="B317" s="380">
        <f>'2023'!Maxi_hp</f>
        <v>35.207799824990232</v>
      </c>
      <c r="C317" s="85">
        <f>'2023'!An_max</f>
        <v>2018</v>
      </c>
      <c r="D317" s="1087" t="str">
        <f t="shared" si="116"/>
        <v/>
      </c>
      <c r="E317" s="747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836">
        <f t="shared" si="119"/>
        <v>7.1428571428571425E-2</v>
      </c>
      <c r="J317" s="827">
        <f t="shared" si="120"/>
        <v>37.903654335758517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836">
        <f t="shared" si="124"/>
        <v>0.4642857142857143</v>
      </c>
      <c r="AT317" s="853">
        <f t="shared" si="125"/>
        <v>37.600322568496424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836">
        <f t="shared" si="129"/>
        <v>0.9642857142857143</v>
      </c>
      <c r="AY317" s="853">
        <f t="shared" si="130"/>
        <v>37.926488998745171</v>
      </c>
      <c r="AZ317" s="827">
        <f t="shared" si="134"/>
        <v>37.763405783620797</v>
      </c>
      <c r="BA317" s="660">
        <f t="shared" si="131"/>
        <v>0.92887613191889518</v>
      </c>
      <c r="BB317" s="655">
        <v>43403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924">
        <f>1+[2]!Salcycl*Ksac</f>
        <v>1.0245380982032151</v>
      </c>
      <c r="BH317" s="1080">
        <f t="shared" si="132"/>
        <v>7.3781792617659209E-3</v>
      </c>
      <c r="BI317" s="11">
        <v>44499</v>
      </c>
      <c r="BJ317" s="801">
        <v>2.9571262926210164E-3</v>
      </c>
      <c r="BK317" s="801">
        <v>4.1391198264790754E-3</v>
      </c>
      <c r="BL317" s="801">
        <v>5.514878582060765E-3</v>
      </c>
      <c r="BM317" s="801">
        <v>7.3780585293424352E-3</v>
      </c>
      <c r="BN317" s="801">
        <v>1.0567314192806723E-2</v>
      </c>
      <c r="BO317" s="802">
        <v>1.6403190933849496E-2</v>
      </c>
      <c r="BP317" s="801">
        <v>2.6148985685112969E-2</v>
      </c>
      <c r="BQ317" s="801">
        <v>4.6341667131763853E-2</v>
      </c>
      <c r="BR317" s="801">
        <v>8.7252004406636607E-2</v>
      </c>
      <c r="BS317" s="801">
        <v>0.15430129502543663</v>
      </c>
      <c r="BT317" s="801">
        <v>0.240029230874897</v>
      </c>
      <c r="BW317" s="1136">
        <f>'2018'!R\Max</f>
        <v>0.92887613191889518</v>
      </c>
      <c r="BX317" s="1134">
        <f>'2019'!R\Max</f>
        <v>0.57847182379591711</v>
      </c>
      <c r="BY317" s="1134">
        <f>'2020'!R\Max</f>
        <v>0.84510125091950028</v>
      </c>
      <c r="BZ317" s="1134">
        <f>'2021'!R\Max</f>
        <v>0.32348159565757972</v>
      </c>
      <c r="CA317" s="1134">
        <f>'2022'!R\Max</f>
        <v>0.61087843708479028</v>
      </c>
      <c r="CB317" s="1134">
        <f>'2023'!R\Max</f>
        <v>0.61065913146114104</v>
      </c>
      <c r="CC317" s="1134">
        <f>'2024'!R\Max</f>
        <v>0.61020493392801767</v>
      </c>
      <c r="CD317" s="1134">
        <f>'2025'!R\Max</f>
        <v>0.61143480415329221</v>
      </c>
      <c r="CE317" s="1134">
        <f>'2026'!R\Max</f>
        <v>0.61136315608132985</v>
      </c>
      <c r="CF317" s="1135">
        <f>'2027'!R\Max</f>
        <v>0.61123513774812466</v>
      </c>
    </row>
    <row r="318" spans="1:84" s="6" customFormat="1" ht="11.25" x14ac:dyDescent="0.2">
      <c r="A318" s="11">
        <v>43404</v>
      </c>
      <c r="B318" s="380">
        <f>'2023'!Maxi_hp</f>
        <v>35.869115091380415</v>
      </c>
      <c r="C318" s="85">
        <f>'2023'!An_max</f>
        <v>2020</v>
      </c>
      <c r="D318" s="1087" t="str">
        <f t="shared" si="116"/>
        <v/>
      </c>
      <c r="E318" s="747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836">
        <f t="shared" si="119"/>
        <v>0.14285714285714285</v>
      </c>
      <c r="J318" s="827">
        <f t="shared" si="120"/>
        <v>37.580765305246629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836">
        <f t="shared" si="124"/>
        <v>0.42857142857142855</v>
      </c>
      <c r="AT318" s="853">
        <f t="shared" si="125"/>
        <v>37.27148854950709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836">
        <f t="shared" si="129"/>
        <v>0.9285714285714286</v>
      </c>
      <c r="AY318" s="853">
        <f t="shared" si="130"/>
        <v>37.625994897926496</v>
      </c>
      <c r="AZ318" s="827">
        <f t="shared" si="134"/>
        <v>37.448741723716793</v>
      </c>
      <c r="BA318" s="660">
        <f t="shared" si="131"/>
        <v>0.95445408841561696</v>
      </c>
      <c r="BB318" s="655">
        <v>43404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924">
        <f>1+[2]!Salcycl*Ksac</f>
        <v>1.0238164443913023</v>
      </c>
      <c r="BH318" s="1080">
        <f t="shared" si="132"/>
        <v>7.2815704992644954E-3</v>
      </c>
      <c r="BI318" s="11">
        <v>44500</v>
      </c>
      <c r="BJ318" s="801">
        <v>2.9312551396421501E-3</v>
      </c>
      <c r="BK318" s="801">
        <v>4.0943950418386435E-3</v>
      </c>
      <c r="BL318" s="801">
        <v>5.4446463715668095E-3</v>
      </c>
      <c r="BM318" s="801">
        <v>7.2814505698929081E-3</v>
      </c>
      <c r="BN318" s="801">
        <v>1.0449492894469498E-2</v>
      </c>
      <c r="BO318" s="802">
        <v>1.6246548745509206E-2</v>
      </c>
      <c r="BP318" s="801">
        <v>2.5986968012504847E-2</v>
      </c>
      <c r="BQ318" s="801">
        <v>4.7376409217724659E-2</v>
      </c>
      <c r="BR318" s="801">
        <v>9.0482787380314275E-2</v>
      </c>
      <c r="BS318" s="801">
        <v>0.1594869942734107</v>
      </c>
      <c r="BT318" s="801">
        <v>0.24575861995149853</v>
      </c>
      <c r="BW318" s="1136">
        <f>'2018'!R\Max</f>
        <v>0.2070841838172805</v>
      </c>
      <c r="BX318" s="1134">
        <f>'2019'!R\Max</f>
        <v>0.47329370479797855</v>
      </c>
      <c r="BY318" s="1134">
        <f>'2020'!R\Max</f>
        <v>0.95445408841561696</v>
      </c>
      <c r="BZ318" s="1134">
        <f>'2021'!R\Max</f>
        <v>0.57697018923820753</v>
      </c>
      <c r="CA318" s="1134">
        <f>'2022'!R\Max</f>
        <v>0.6370939191045023</v>
      </c>
      <c r="CB318" s="1134">
        <f>'2023'!R\Max</f>
        <v>0.6368804513638987</v>
      </c>
      <c r="CC318" s="1134">
        <f>'2024'!R\Max</f>
        <v>0.63641183265720769</v>
      </c>
      <c r="CD318" s="1134">
        <f>'2025'!R\Max</f>
        <v>0.63763344043716363</v>
      </c>
      <c r="CE318" s="1134">
        <f>'2026'!R\Max</f>
        <v>0.63756413463870187</v>
      </c>
      <c r="CF318" s="1135">
        <f>'2027'!R\Max</f>
        <v>0.63744029219444831</v>
      </c>
    </row>
    <row r="319" spans="1:84" s="6" customFormat="1" ht="11.25" x14ac:dyDescent="0.2">
      <c r="A319" s="11">
        <v>43405</v>
      </c>
      <c r="B319" s="380">
        <f>'2023'!Maxi_hp</f>
        <v>32.156200585342432</v>
      </c>
      <c r="C319" s="85">
        <f>'2023'!An_max</f>
        <v>2020</v>
      </c>
      <c r="D319" s="1087" t="str">
        <f t="shared" si="116"/>
        <v/>
      </c>
      <c r="E319" s="747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836">
        <f t="shared" si="119"/>
        <v>0.21428571428571427</v>
      </c>
      <c r="J319" s="827">
        <f t="shared" si="120"/>
        <v>37.250840560160576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836">
        <f t="shared" si="124"/>
        <v>0.39285714285714285</v>
      </c>
      <c r="AT319" s="853">
        <f t="shared" si="125"/>
        <v>36.943797183715347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836">
        <f t="shared" si="129"/>
        <v>0.8928571428571429</v>
      </c>
      <c r="AY319" s="853">
        <f t="shared" si="130"/>
        <v>37.317459980824161</v>
      </c>
      <c r="AZ319" s="827">
        <f t="shared" si="134"/>
        <v>37.13062858226975</v>
      </c>
      <c r="BA319" s="660">
        <f t="shared" si="131"/>
        <v>0.86323422778634384</v>
      </c>
      <c r="BB319" s="655">
        <v>43405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924">
        <f>1+[2]!Salcycl*Ksac</f>
        <v>1.0230933155740607</v>
      </c>
      <c r="BH319" s="1080">
        <f t="shared" si="132"/>
        <v>7.1833613275462819E-3</v>
      </c>
      <c r="BI319" s="11">
        <v>44501</v>
      </c>
      <c r="BJ319" s="801">
        <v>2.9049249724495529E-3</v>
      </c>
      <c r="BK319" s="801">
        <v>4.0478160921978111E-3</v>
      </c>
      <c r="BL319" s="801">
        <v>5.3717481423165543E-3</v>
      </c>
      <c r="BM319" s="801">
        <v>7.1832421406650979E-3</v>
      </c>
      <c r="BN319" s="801">
        <v>1.0331670912765042E-2</v>
      </c>
      <c r="BO319" s="802">
        <v>1.6091928271310584E-2</v>
      </c>
      <c r="BP319" s="801">
        <v>2.5897611391116068E-2</v>
      </c>
      <c r="BQ319" s="801">
        <v>4.8642479854810072E-2</v>
      </c>
      <c r="BR319" s="801">
        <v>9.3877969022903615E-2</v>
      </c>
      <c r="BS319" s="801">
        <v>0.16453216068285983</v>
      </c>
      <c r="BT319" s="801">
        <v>0.25078617106791162</v>
      </c>
      <c r="BW319" s="1136">
        <f>'2018'!R\Max</f>
        <v>0.6816531126440849</v>
      </c>
      <c r="BX319" s="1134">
        <f>'2019'!R\Max</f>
        <v>0.22367763263688387</v>
      </c>
      <c r="BY319" s="1134">
        <f>'2020'!R\Max</f>
        <v>0.86323422778634384</v>
      </c>
      <c r="BZ319" s="1134">
        <f>'2021'!R\Max</f>
        <v>0.46283109730060523</v>
      </c>
      <c r="CA319" s="1134">
        <f>'2022'!R\Max</f>
        <v>0.69271261952099317</v>
      </c>
      <c r="CB319" s="1134">
        <f>'2023'!R\Max</f>
        <v>0.69251446873225897</v>
      </c>
      <c r="CC319" s="1134">
        <f>'2024'!R\Max</f>
        <v>0.6920548851065268</v>
      </c>
      <c r="CD319" s="1134">
        <f>'2025'!R\Max</f>
        <v>0.69320943082078523</v>
      </c>
      <c r="CE319" s="1134">
        <f>'2026'!R\Max</f>
        <v>0.6931459406869771</v>
      </c>
      <c r="CF319" s="1135">
        <f>'2027'!R\Max</f>
        <v>0.69303249659630617</v>
      </c>
    </row>
    <row r="320" spans="1:84" s="6" customFormat="1" ht="11.25" x14ac:dyDescent="0.2">
      <c r="A320" s="11">
        <v>43406</v>
      </c>
      <c r="B320" s="380">
        <f>'2023'!Maxi_hp</f>
        <v>32.355042356085981</v>
      </c>
      <c r="C320" s="85">
        <f>'2023'!An_max</f>
        <v>2022</v>
      </c>
      <c r="D320" s="1087" t="str">
        <f t="shared" si="116"/>
        <v/>
      </c>
      <c r="E320" s="747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836">
        <f t="shared" si="119"/>
        <v>0.2857142857142857</v>
      </c>
      <c r="J320" s="827">
        <f t="shared" si="120"/>
        <v>36.915387754461591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836">
        <f t="shared" si="124"/>
        <v>0.35714285714285715</v>
      </c>
      <c r="AT320" s="853">
        <f t="shared" si="125"/>
        <v>36.617856487871279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836">
        <f t="shared" si="129"/>
        <v>0.8571428571428571</v>
      </c>
      <c r="AY320" s="853">
        <f t="shared" si="130"/>
        <v>37.001826530482084</v>
      </c>
      <c r="AZ320" s="827">
        <f t="shared" si="134"/>
        <v>36.809841509176678</v>
      </c>
      <c r="BA320" s="660">
        <f t="shared" si="131"/>
        <v>0.87646491948809491</v>
      </c>
      <c r="BB320" s="655">
        <v>43406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924">
        <f>1+[2]!Salcycl*Ksac</f>
        <v>1.0223697506761618</v>
      </c>
      <c r="BH320" s="1080">
        <f t="shared" si="132"/>
        <v>7.0835429855311454E-3</v>
      </c>
      <c r="BI320" s="11">
        <v>44502</v>
      </c>
      <c r="BJ320" s="801">
        <v>2.8781324986218498E-3</v>
      </c>
      <c r="BK320" s="801">
        <v>3.9993766670067951E-3</v>
      </c>
      <c r="BL320" s="801">
        <v>5.2961752414168442E-3</v>
      </c>
      <c r="BM320" s="801">
        <v>7.0834244806009111E-3</v>
      </c>
      <c r="BN320" s="801">
        <v>1.021383890437981E-2</v>
      </c>
      <c r="BO320" s="802">
        <v>1.5939317810732771E-2</v>
      </c>
      <c r="BP320" s="801">
        <v>2.5880996002492402E-2</v>
      </c>
      <c r="BQ320" s="801">
        <v>5.0140163271696618E-2</v>
      </c>
      <c r="BR320" s="801">
        <v>9.7437693308523074E-2</v>
      </c>
      <c r="BS320" s="801">
        <v>0.16943643497699198</v>
      </c>
      <c r="BT320" s="801">
        <v>0.2551106431117483</v>
      </c>
      <c r="BW320" s="1136">
        <f>'2018'!R\Max</f>
        <v>0.19991323627544494</v>
      </c>
      <c r="BX320" s="1134">
        <f>'2019'!R\Max</f>
        <v>0.1725382826338413</v>
      </c>
      <c r="BY320" s="1134">
        <f>'2020'!R\Max</f>
        <v>0.84828133759356306</v>
      </c>
      <c r="BZ320" s="1134">
        <f>'2021'!R\Max</f>
        <v>0.82493989616071706</v>
      </c>
      <c r="CA320" s="1134">
        <f>'2022'!R\Max</f>
        <v>0.87646491948809491</v>
      </c>
      <c r="CB320" s="1134">
        <f>'2023'!R\Max</f>
        <v>0.87636254372774969</v>
      </c>
      <c r="CC320" s="1134">
        <f>'2024'!R\Max</f>
        <v>0.87611258383005663</v>
      </c>
      <c r="CD320" s="1134">
        <f>'2025'!R\Max</f>
        <v>0.8767184259802665</v>
      </c>
      <c r="CE320" s="1134">
        <f>'2026'!R\Max</f>
        <v>0.87668628918089264</v>
      </c>
      <c r="CF320" s="1135">
        <f>'2027'!R\Max</f>
        <v>0.87662887337617923</v>
      </c>
    </row>
    <row r="321" spans="1:84" s="6" customFormat="1" ht="11.25" x14ac:dyDescent="0.2">
      <c r="A321" s="11">
        <v>43407</v>
      </c>
      <c r="B321" s="380">
        <f>'2023'!Maxi_hp</f>
        <v>31.18806335046073</v>
      </c>
      <c r="C321" s="85">
        <f>'2023'!An_max</f>
        <v>2018</v>
      </c>
      <c r="D321" s="1087" t="str">
        <f t="shared" si="116"/>
        <v/>
      </c>
      <c r="E321" s="747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836">
        <f t="shared" si="119"/>
        <v>0.35714285714285715</v>
      </c>
      <c r="J321" s="827">
        <f t="shared" si="120"/>
        <v>36.575914540221646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836">
        <f t="shared" si="124"/>
        <v>0.32142857142857145</v>
      </c>
      <c r="AT321" s="853">
        <f t="shared" si="125"/>
        <v>36.294274478778242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836">
        <f t="shared" si="129"/>
        <v>0.8214285714285714</v>
      </c>
      <c r="AY321" s="853">
        <f t="shared" si="130"/>
        <v>36.680036830236872</v>
      </c>
      <c r="AZ321" s="827">
        <f t="shared" si="134"/>
        <v>36.487155654507561</v>
      </c>
      <c r="BA321" s="660">
        <f t="shared" si="131"/>
        <v>0.85269401305506587</v>
      </c>
      <c r="BB321" s="655">
        <v>43407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924">
        <f>1+[2]!Salcycl*Ksac</f>
        <v>1.0216468012475763</v>
      </c>
      <c r="BH321" s="1080">
        <f t="shared" si="132"/>
        <v>6.982107094815314E-3</v>
      </c>
      <c r="BI321" s="11">
        <v>44503</v>
      </c>
      <c r="BJ321" s="801">
        <v>2.8508745302184449E-3</v>
      </c>
      <c r="BK321" s="801">
        <v>3.9490706444371233E-3</v>
      </c>
      <c r="BL321" s="801">
        <v>5.217919308328791E-3</v>
      </c>
      <c r="BM321" s="801">
        <v>6.9819892113160168E-3</v>
      </c>
      <c r="BN321" s="801">
        <v>1.0095987977413496E-2</v>
      </c>
      <c r="BO321" s="802">
        <v>1.5788706248831979E-2</v>
      </c>
      <c r="BP321" s="801">
        <v>2.5937201997463036E-2</v>
      </c>
      <c r="BQ321" s="801">
        <v>5.1869737837862216E-2</v>
      </c>
      <c r="BR321" s="801">
        <v>0.10116209097452773</v>
      </c>
      <c r="BS321" s="801">
        <v>0.17419944039700561</v>
      </c>
      <c r="BT321" s="801">
        <v>0.25873078083137396</v>
      </c>
      <c r="BW321" s="1136">
        <f>'2018'!R\Max</f>
        <v>0.85269401305506587</v>
      </c>
      <c r="BX321" s="1134">
        <f>'2019'!R\Max</f>
        <v>0.28828782379036855</v>
      </c>
      <c r="BY321" s="1134">
        <f>'2020'!R\Max</f>
        <v>0.84343973966313868</v>
      </c>
      <c r="BZ321" s="1134">
        <f>'2021'!R\Max</f>
        <v>0.54174058933225666</v>
      </c>
      <c r="CA321" s="1134">
        <f>'2022'!R\Max</f>
        <v>0.30721020922755005</v>
      </c>
      <c r="CB321" s="1134">
        <f>'2023'!R\Max</f>
        <v>0.30700452733004741</v>
      </c>
      <c r="CC321" s="1134">
        <f>'2024'!R\Max</f>
        <v>0.30647959509928668</v>
      </c>
      <c r="CD321" s="1134">
        <f>'2025'!R\Max</f>
        <v>0.30771260047856808</v>
      </c>
      <c r="CE321" s="1134">
        <f>'2026'!R\Max</f>
        <v>0.30764949099098909</v>
      </c>
      <c r="CF321" s="1135">
        <f>'2027'!R\Max</f>
        <v>0.30753683947795446</v>
      </c>
    </row>
    <row r="322" spans="1:84" s="6" customFormat="1" ht="11.25" x14ac:dyDescent="0.2">
      <c r="A322" s="11">
        <v>43408</v>
      </c>
      <c r="B322" s="380">
        <f>'2023'!Maxi_hp</f>
        <v>29.822160701304174</v>
      </c>
      <c r="C322" s="85">
        <f>'2023'!An_max</f>
        <v>2018</v>
      </c>
      <c r="D322" s="1087" t="str">
        <f t="shared" si="116"/>
        <v/>
      </c>
      <c r="E322" s="747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836">
        <f t="shared" si="119"/>
        <v>0.42857142857142855</v>
      </c>
      <c r="J322" s="827">
        <f t="shared" si="120"/>
        <v>36.233928571002821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836">
        <f t="shared" si="124"/>
        <v>0.2857142857142857</v>
      </c>
      <c r="AT322" s="853">
        <f t="shared" si="125"/>
        <v>35.973659171323689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836">
        <f t="shared" si="129"/>
        <v>0.7857142857142857</v>
      </c>
      <c r="AY322" s="853">
        <f t="shared" si="130"/>
        <v>36.353033163212238</v>
      </c>
      <c r="AZ322" s="827">
        <f t="shared" si="134"/>
        <v>36.16334616726796</v>
      </c>
      <c r="BA322" s="660">
        <f t="shared" si="131"/>
        <v>0.82304519210125515</v>
      </c>
      <c r="BB322" s="655">
        <v>43408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924">
        <f>1+[2]!Salcycl*Ksac</f>
        <v>1.0209255268198572</v>
      </c>
      <c r="BH322" s="1080">
        <f t="shared" si="132"/>
        <v>6.8790456735541121E-3</v>
      </c>
      <c r="BI322" s="11">
        <v>44504</v>
      </c>
      <c r="BJ322" s="801">
        <v>2.8231479877777943E-3</v>
      </c>
      <c r="BK322" s="801">
        <v>3.896892108053765E-3</v>
      </c>
      <c r="BL322" s="801">
        <v>5.1369722987876232E-3</v>
      </c>
      <c r="BM322" s="801">
        <v>6.8789283509831404E-3</v>
      </c>
      <c r="BN322" s="801">
        <v>9.978109690355454E-3</v>
      </c>
      <c r="BO322" s="802">
        <v>1.5640083036268616E-2</v>
      </c>
      <c r="BP322" s="801">
        <v>2.6066308826064939E-2</v>
      </c>
      <c r="BQ322" s="801">
        <v>5.3831473943891317E-2</v>
      </c>
      <c r="BR322" s="801">
        <v>0.10505127803704943</v>
      </c>
      <c r="BS322" s="801">
        <v>0.17882078404097534</v>
      </c>
      <c r="BT322" s="801">
        <v>0.26164532134503515</v>
      </c>
      <c r="BW322" s="1136">
        <f>'2018'!R\Max</f>
        <v>0.82304519210125515</v>
      </c>
      <c r="BX322" s="1134">
        <f>'2019'!R\Max</f>
        <v>0.37957320789764565</v>
      </c>
      <c r="BY322" s="1134">
        <f>'2020'!R\Max</f>
        <v>0.14814242779530706</v>
      </c>
      <c r="BZ322" s="1134">
        <f>'2021'!R\Max</f>
        <v>0.46734919970779581</v>
      </c>
      <c r="CA322" s="1134">
        <f>'2022'!R\Max</f>
        <v>0.36212550451539571</v>
      </c>
      <c r="CB322" s="1134">
        <f>'2023'!R\Max</f>
        <v>0.36189571350407423</v>
      </c>
      <c r="CC322" s="1134">
        <f>'2024'!R\Max</f>
        <v>0.36128439106748494</v>
      </c>
      <c r="CD322" s="1134">
        <f>'2025'!R\Max</f>
        <v>0.36267615583830115</v>
      </c>
      <c r="CE322" s="1134">
        <f>'2026'!R\Max</f>
        <v>0.36260787417965651</v>
      </c>
      <c r="CF322" s="1135">
        <f>'2027'!R\Max</f>
        <v>0.36248605551226415</v>
      </c>
    </row>
    <row r="323" spans="1:84" s="6" customFormat="1" ht="11.25" x14ac:dyDescent="0.2">
      <c r="A323" s="11">
        <v>43409</v>
      </c>
      <c r="B323" s="380">
        <f>'2023'!Maxi_hp</f>
        <v>34.533091978208354</v>
      </c>
      <c r="C323" s="85">
        <f>'2023'!An_max</f>
        <v>2022</v>
      </c>
      <c r="D323" s="1087" t="str">
        <f t="shared" si="116"/>
        <v/>
      </c>
      <c r="E323" s="747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836">
        <f t="shared" si="119"/>
        <v>0.5</v>
      </c>
      <c r="J323" s="827">
        <f t="shared" si="120"/>
        <v>35.890937499329446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836">
        <f t="shared" si="124"/>
        <v>0.25</v>
      </c>
      <c r="AT323" s="853">
        <f t="shared" si="125"/>
        <v>35.656618584040551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836">
        <f t="shared" si="129"/>
        <v>0.75</v>
      </c>
      <c r="AY323" s="853">
        <f t="shared" si="130"/>
        <v>36.02175781223923</v>
      </c>
      <c r="AZ323" s="827">
        <f t="shared" si="134"/>
        <v>35.839188198139894</v>
      </c>
      <c r="BA323" s="660">
        <f t="shared" si="131"/>
        <v>0.96216745463540865</v>
      </c>
      <c r="BB323" s="655">
        <v>43409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924">
        <f>1+[2]!Salcycl*Ksac</f>
        <v>1.0202069901595878</v>
      </c>
      <c r="BH323" s="1080">
        <f t="shared" si="132"/>
        <v>6.7743511502866127E-3</v>
      </c>
      <c r="BI323" s="11">
        <v>44505</v>
      </c>
      <c r="BJ323" s="801">
        <v>2.7949499042918538E-3</v>
      </c>
      <c r="BK323" s="801">
        <v>3.8428353634543458E-3</v>
      </c>
      <c r="BL323" s="801">
        <v>5.0533265086790888E-3</v>
      </c>
      <c r="BM323" s="801">
        <v>6.7742343281572831E-3</v>
      </c>
      <c r="BN323" s="801">
        <v>9.8601960509769621E-3</v>
      </c>
      <c r="BO323" s="802">
        <v>1.5493438169202534E-2</v>
      </c>
      <c r="BP323" s="801">
        <v>2.6268394567249203E-2</v>
      </c>
      <c r="BQ323" s="801">
        <v>5.6025631881336024E-2</v>
      </c>
      <c r="BR323" s="801">
        <v>0.10910535430566722</v>
      </c>
      <c r="BS323" s="801">
        <v>0.18330005820124751</v>
      </c>
      <c r="BT323" s="801">
        <v>0.26385300064779138</v>
      </c>
      <c r="BW323" s="1136">
        <f>'2018'!R\Max</f>
        <v>0.34584479864279516</v>
      </c>
      <c r="BX323" s="1134">
        <f>'2019'!R\Max</f>
        <v>0.33122908754773478</v>
      </c>
      <c r="BY323" s="1134">
        <f>'2020'!R\Max</f>
        <v>0.43134604688335798</v>
      </c>
      <c r="BZ323" s="1134">
        <f>'2021'!R\Max</f>
        <v>0.30487901486568886</v>
      </c>
      <c r="CA323" s="1134">
        <f>'2022'!R\Max</f>
        <v>0.96216745463540865</v>
      </c>
      <c r="CB323" s="1134">
        <f>'2023'!R\Max</f>
        <v>0.96212993285739157</v>
      </c>
      <c r="CC323" s="1134">
        <f>'2024'!R\Max</f>
        <v>0.96202616657747142</v>
      </c>
      <c r="CD323" s="1134">
        <f>'2025'!R\Max</f>
        <v>0.96225524237617022</v>
      </c>
      <c r="CE323" s="1134">
        <f>'2026'!R\Max</f>
        <v>0.962244535636123</v>
      </c>
      <c r="CF323" s="1135">
        <f>'2027'!R\Max</f>
        <v>0.96222543898838175</v>
      </c>
    </row>
    <row r="324" spans="1:84" s="6" customFormat="1" ht="11.25" x14ac:dyDescent="0.2">
      <c r="A324" s="11">
        <v>43410</v>
      </c>
      <c r="B324" s="380">
        <f>'2023'!Maxi_hp</f>
        <v>34.134579731767737</v>
      </c>
      <c r="C324" s="85">
        <f>'2023'!An_max</f>
        <v>2022</v>
      </c>
      <c r="D324" s="1087" t="str">
        <f t="shared" si="116"/>
        <v/>
      </c>
      <c r="E324" s="747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836">
        <f t="shared" si="119"/>
        <v>0.5714285714285714</v>
      </c>
      <c r="J324" s="827">
        <f t="shared" si="120"/>
        <v>35.548448978949871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836">
        <f t="shared" si="124"/>
        <v>0.21428571428571427</v>
      </c>
      <c r="AT324" s="853">
        <f t="shared" si="125"/>
        <v>35.343760732188819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836">
        <f t="shared" si="129"/>
        <v>0.7142857142857143</v>
      </c>
      <c r="AY324" s="853">
        <f t="shared" si="130"/>
        <v>35.687153060840707</v>
      </c>
      <c r="AZ324" s="827">
        <f t="shared" si="134"/>
        <v>35.515456896514763</v>
      </c>
      <c r="BA324" s="660">
        <f t="shared" si="131"/>
        <v>0.96022697789095213</v>
      </c>
      <c r="BB324" s="655">
        <v>43410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924">
        <f>1+[2]!Salcycl*Ksac</f>
        <v>1.0194922524513546</v>
      </c>
      <c r="BH324" s="1080">
        <f t="shared" si="132"/>
        <v>6.6729052959383804E-3</v>
      </c>
      <c r="BI324" s="11">
        <v>44506</v>
      </c>
      <c r="BJ324" s="801">
        <v>2.7657118951183932E-3</v>
      </c>
      <c r="BK324" s="801">
        <v>3.7878010572236164E-3</v>
      </c>
      <c r="BL324" s="801">
        <v>4.9694101826219042E-3</v>
      </c>
      <c r="BM324" s="801">
        <v>6.6727887997094391E-3</v>
      </c>
      <c r="BN324" s="801">
        <v>9.7501415703650212E-3</v>
      </c>
      <c r="BO324" s="802">
        <v>1.5360536181695444E-2</v>
      </c>
      <c r="BP324" s="801">
        <v>2.6616671226727045E-2</v>
      </c>
      <c r="BQ324" s="801">
        <v>5.8391746827141454E-2</v>
      </c>
      <c r="BR324" s="801">
        <v>0.11315728969647432</v>
      </c>
      <c r="BS324" s="801">
        <v>0.18735392037852186</v>
      </c>
      <c r="BT324" s="801">
        <v>0.26519736899468255</v>
      </c>
      <c r="BW324" s="1136">
        <f>'2018'!R\Max</f>
        <v>0.60990608305141747</v>
      </c>
      <c r="BX324" s="1134">
        <f>'2019'!R\Max</f>
        <v>0.33054174450077062</v>
      </c>
      <c r="BY324" s="1134">
        <f>'2020'!R\Max</f>
        <v>0.67459007196620002</v>
      </c>
      <c r="BZ324" s="1134">
        <f>'2021'!R\Max</f>
        <v>0.53452468997066083</v>
      </c>
      <c r="CA324" s="1134">
        <f>'2022'!R\Max</f>
        <v>0.96022697789095213</v>
      </c>
      <c r="CB324" s="1134">
        <f>'2023'!R\Max</f>
        <v>0.96018576663027266</v>
      </c>
      <c r="CC324" s="1134">
        <f>'2024'!R\Max</f>
        <v>0.96006924777813918</v>
      </c>
      <c r="CD324" s="1134">
        <f>'2025'!R\Max</f>
        <v>0.96032082788001272</v>
      </c>
      <c r="CE324" s="1134">
        <f>'2026'!R\Max</f>
        <v>0.96030960337491311</v>
      </c>
      <c r="CF324" s="1135">
        <f>'2027'!R\Max</f>
        <v>0.96028960711634292</v>
      </c>
    </row>
    <row r="325" spans="1:84" s="6" customFormat="1" ht="11.25" x14ac:dyDescent="0.2">
      <c r="A325" s="11">
        <v>43411</v>
      </c>
      <c r="B325" s="380">
        <f>'2023'!Maxi_hp</f>
        <v>32.630609215696907</v>
      </c>
      <c r="C325" s="85">
        <f>'2023'!An_max</f>
        <v>2022</v>
      </c>
      <c r="D325" s="1087" t="str">
        <f t="shared" si="116"/>
        <v/>
      </c>
      <c r="E325" s="747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836">
        <f t="shared" si="119"/>
        <v>0.6428571428571429</v>
      </c>
      <c r="J325" s="827">
        <f t="shared" si="120"/>
        <v>35.207970662920602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836">
        <f t="shared" si="124"/>
        <v>0.17857142857142858</v>
      </c>
      <c r="AT325" s="853">
        <f t="shared" si="125"/>
        <v>35.03569363265165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836">
        <f t="shared" si="129"/>
        <v>0.6785714285714286</v>
      </c>
      <c r="AY325" s="853">
        <f t="shared" si="130"/>
        <v>35.350161192439764</v>
      </c>
      <c r="AZ325" s="827">
        <f t="shared" si="134"/>
        <v>35.192927412545707</v>
      </c>
      <c r="BA325" s="660">
        <f t="shared" si="131"/>
        <v>0.92679608058359209</v>
      </c>
      <c r="BB325" s="655">
        <v>43411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924">
        <f>1+[2]!Salcycl*Ksac</f>
        <v>1.0187823684434278</v>
      </c>
      <c r="BH325" s="1080">
        <f t="shared" si="132"/>
        <v>6.5773045434338075E-3</v>
      </c>
      <c r="BI325" s="11">
        <v>44507</v>
      </c>
      <c r="BJ325" s="801">
        <v>2.7330374034748753E-3</v>
      </c>
      <c r="BK325" s="801">
        <v>3.7312420792058646E-3</v>
      </c>
      <c r="BL325" s="801">
        <v>4.8866597032562915E-3</v>
      </c>
      <c r="BM325" s="801">
        <v>6.5771882242613251E-3</v>
      </c>
      <c r="BN325" s="801">
        <v>9.6498638891606096E-3</v>
      </c>
      <c r="BO325" s="802">
        <v>1.5243008466375788E-2</v>
      </c>
      <c r="BP325" s="801">
        <v>2.7110857969523356E-2</v>
      </c>
      <c r="BQ325" s="801">
        <v>6.0821053490596189E-2</v>
      </c>
      <c r="BR325" s="801">
        <v>0.11707130469110816</v>
      </c>
      <c r="BS325" s="801">
        <v>0.19093376439707654</v>
      </c>
      <c r="BT325" s="801">
        <v>0.26593698882087413</v>
      </c>
      <c r="BW325" s="1136">
        <f>'2018'!R\Max</f>
        <v>0.29807647556248545</v>
      </c>
      <c r="BX325" s="1134">
        <f>'2019'!R\Max</f>
        <v>0.11264231145739799</v>
      </c>
      <c r="BY325" s="1134">
        <f>'2020'!R\Max</f>
        <v>0.48667833496012985</v>
      </c>
      <c r="BZ325" s="1134">
        <f>'2021'!R\Max</f>
        <v>0.29394662005710898</v>
      </c>
      <c r="CA325" s="1134">
        <f>'2022'!R\Max</f>
        <v>0.92679608058359209</v>
      </c>
      <c r="CB325" s="1134">
        <f>'2023'!R\Max</f>
        <v>0.92671872871937944</v>
      </c>
      <c r="CC325" s="1134">
        <f>'2024'!R\Max</f>
        <v>0.92649865137351772</v>
      </c>
      <c r="CD325" s="1134">
        <f>'2025'!R\Max</f>
        <v>0.92696688015129569</v>
      </c>
      <c r="CE325" s="1134">
        <f>'2026'!R\Max</f>
        <v>0.92694692696642234</v>
      </c>
      <c r="CF325" s="1135">
        <f>'2027'!R\Max</f>
        <v>0.92691143399672005</v>
      </c>
    </row>
    <row r="326" spans="1:84" s="6" customFormat="1" ht="11.25" x14ac:dyDescent="0.2">
      <c r="A326" s="11">
        <v>43412</v>
      </c>
      <c r="B326" s="380">
        <f>'2023'!Maxi_hp</f>
        <v>27.419796880522092</v>
      </c>
      <c r="C326" s="85">
        <f>'2023'!An_max</f>
        <v>2021</v>
      </c>
      <c r="D326" s="1087" t="str">
        <f t="shared" si="116"/>
        <v/>
      </c>
      <c r="E326" s="747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836">
        <f t="shared" si="119"/>
        <v>0.7142857142857143</v>
      </c>
      <c r="J326" s="827">
        <f t="shared" si="120"/>
        <v>34.871010203446659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836">
        <f t="shared" si="124"/>
        <v>0.14285714285714285</v>
      </c>
      <c r="AT326" s="853">
        <f t="shared" si="125"/>
        <v>34.733025302258987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836">
        <f t="shared" si="129"/>
        <v>0.6428571428571429</v>
      </c>
      <c r="AY326" s="853">
        <f t="shared" si="130"/>
        <v>35.011724489488238</v>
      </c>
      <c r="AZ326" s="827">
        <f t="shared" si="134"/>
        <v>34.872374895873612</v>
      </c>
      <c r="BA326" s="660">
        <f t="shared" si="131"/>
        <v>0.78632069218952294</v>
      </c>
      <c r="BB326" s="655">
        <v>43412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924">
        <f>1+[2]!Salcycl*Ksac</f>
        <v>1.0180783815899199</v>
      </c>
      <c r="BH326" s="1080">
        <f t="shared" si="132"/>
        <v>6.4875526874553554E-3</v>
      </c>
      <c r="BI326" s="11">
        <v>44508</v>
      </c>
      <c r="BJ326" s="801">
        <v>2.6969198265181043E-3</v>
      </c>
      <c r="BK326" s="801">
        <v>3.6731539766478327E-3</v>
      </c>
      <c r="BL326" s="801">
        <v>4.8050737364609842E-3</v>
      </c>
      <c r="BM326" s="801">
        <v>6.4874363963928214E-3</v>
      </c>
      <c r="BN326" s="801">
        <v>9.5593695116930558E-3</v>
      </c>
      <c r="BO326" s="802">
        <v>1.5140864474158591E-2</v>
      </c>
      <c r="BP326" s="801">
        <v>2.7751121884909458E-2</v>
      </c>
      <c r="BQ326" s="801">
        <v>6.3313540473821511E-2</v>
      </c>
      <c r="BR326" s="801">
        <v>0.12084703451648167</v>
      </c>
      <c r="BS326" s="801">
        <v>0.19403870326856598</v>
      </c>
      <c r="BT326" s="801">
        <v>0.26607077655283534</v>
      </c>
      <c r="BW326" s="1136">
        <f>'2018'!R\Max</f>
        <v>0.51378376410161752</v>
      </c>
      <c r="BX326" s="1134">
        <f>'2019'!R\Max</f>
        <v>0.40309628351128007</v>
      </c>
      <c r="BY326" s="1134">
        <f>'2020'!R\Max</f>
        <v>0.1242666682520802</v>
      </c>
      <c r="BZ326" s="1134">
        <f>'2021'!R\Max</f>
        <v>0.78632069218952294</v>
      </c>
      <c r="CA326" s="1134">
        <f>'2022'!R\Max</f>
        <v>0.63971862028074244</v>
      </c>
      <c r="CB326" s="1134">
        <f>'2023'!R\Max</f>
        <v>0.63943890195006392</v>
      </c>
      <c r="CC326" s="1134">
        <f>'2024'!R\Max</f>
        <v>0.63864963980701772</v>
      </c>
      <c r="CD326" s="1134">
        <f>'2025'!R\Max</f>
        <v>0.64031638430665261</v>
      </c>
      <c r="CE326" s="1134">
        <f>'2026'!R\Max</f>
        <v>0.64024838475706825</v>
      </c>
      <c r="CF326" s="1135">
        <f>'2027'!R\Max</f>
        <v>0.6401276662324521</v>
      </c>
    </row>
    <row r="327" spans="1:84" s="6" customFormat="1" ht="11.25" x14ac:dyDescent="0.2">
      <c r="A327" s="11">
        <v>43413</v>
      </c>
      <c r="B327" s="380">
        <f>'2023'!Maxi_hp</f>
        <v>26.175340990445164</v>
      </c>
      <c r="C327" s="85">
        <f>'2023'!An_max</f>
        <v>2020</v>
      </c>
      <c r="D327" s="1087" t="str">
        <f t="shared" si="116"/>
        <v/>
      </c>
      <c r="E327" s="747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836">
        <f t="shared" si="119"/>
        <v>0.7857142857142857</v>
      </c>
      <c r="J327" s="827">
        <f t="shared" si="120"/>
        <v>34.539075255048061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836">
        <f t="shared" si="124"/>
        <v>0.10714285714285714</v>
      </c>
      <c r="AT327" s="853">
        <f t="shared" si="125"/>
        <v>34.436363757188829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836">
        <f t="shared" si="129"/>
        <v>0.6071428571428571</v>
      </c>
      <c r="AY327" s="853">
        <f t="shared" si="130"/>
        <v>34.672785236905995</v>
      </c>
      <c r="AZ327" s="827">
        <f t="shared" si="134"/>
        <v>34.554574497047412</v>
      </c>
      <c r="BA327" s="660">
        <f t="shared" si="131"/>
        <v>0.75784718603951351</v>
      </c>
      <c r="BB327" s="655">
        <v>43413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924">
        <f>1+[2]!Salcycl*Ksac</f>
        <v>1.0173813192234564</v>
      </c>
      <c r="BH327" s="1080">
        <f t="shared" si="132"/>
        <v>6.4036536542098101E-3</v>
      </c>
      <c r="BI327" s="11">
        <v>44509</v>
      </c>
      <c r="BJ327" s="801">
        <v>2.6573528169423115E-3</v>
      </c>
      <c r="BK327" s="801">
        <v>3.6135325668136854E-3</v>
      </c>
      <c r="BL327" s="801">
        <v>4.7246512111568115E-3</v>
      </c>
      <c r="BM327" s="801">
        <v>6.403537242213069E-3</v>
      </c>
      <c r="BN327" s="801">
        <v>9.4786649434651128E-3</v>
      </c>
      <c r="BO327" s="802">
        <v>1.5054113511852256E-2</v>
      </c>
      <c r="BP327" s="801">
        <v>2.8537622669367536E-2</v>
      </c>
      <c r="BQ327" s="801">
        <v>6.5869185192807364E-2</v>
      </c>
      <c r="BR327" s="801">
        <v>0.12448410566343886</v>
      </c>
      <c r="BS327" s="801">
        <v>0.19666785557222025</v>
      </c>
      <c r="BT327" s="801">
        <v>0.26559766967190523</v>
      </c>
      <c r="BW327" s="1136">
        <f>'2018'!R\Max</f>
        <v>0.15555134602828841</v>
      </c>
      <c r="BX327" s="1134">
        <f>'2019'!R\Max</f>
        <v>0.57288475604038658</v>
      </c>
      <c r="BY327" s="1134">
        <f>'2020'!R\Max</f>
        <v>0.75784718603951351</v>
      </c>
      <c r="BZ327" s="1134">
        <f>'2021'!R\Max</f>
        <v>0.73072295162604894</v>
      </c>
      <c r="CA327" s="1134">
        <f>'2022'!R\Max</f>
        <v>0.34137766906262274</v>
      </c>
      <c r="CB327" s="1134">
        <f>'2023'!R\Max</f>
        <v>0.34108539532896315</v>
      </c>
      <c r="CC327" s="1134">
        <f>'2024'!R\Max</f>
        <v>0.34027680695661766</v>
      </c>
      <c r="CD327" s="1134">
        <f>'2025'!R\Max</f>
        <v>0.34198119665690618</v>
      </c>
      <c r="CE327" s="1134">
        <f>'2026'!R\Max</f>
        <v>0.34191455684292016</v>
      </c>
      <c r="CF327" s="1135">
        <f>'2027'!R\Max</f>
        <v>0.34179652032053165</v>
      </c>
    </row>
    <row r="328" spans="1:84" s="6" customFormat="1" ht="11.25" x14ac:dyDescent="0.2">
      <c r="A328" s="11">
        <v>43414</v>
      </c>
      <c r="B328" s="380">
        <f>'2023'!Maxi_hp</f>
        <v>26.335268053066518</v>
      </c>
      <c r="C328" s="85">
        <f>'2023'!An_max</f>
        <v>2022</v>
      </c>
      <c r="D328" s="1087" t="str">
        <f t="shared" si="116"/>
        <v/>
      </c>
      <c r="E328" s="747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836">
        <f t="shared" si="119"/>
        <v>0.8571428571428571</v>
      </c>
      <c r="J328" s="827">
        <f t="shared" si="120"/>
        <v>34.213673468945288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836">
        <f t="shared" si="124"/>
        <v>7.1428571428571425E-2</v>
      </c>
      <c r="AT328" s="853">
        <f t="shared" si="125"/>
        <v>34.146317014044953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836">
        <f t="shared" si="129"/>
        <v>0.5714285714285714</v>
      </c>
      <c r="AY328" s="853">
        <f t="shared" si="130"/>
        <v>34.334285715115918</v>
      </c>
      <c r="AZ328" s="827">
        <f t="shared" si="134"/>
        <v>34.240301364580432</v>
      </c>
      <c r="BA328" s="660">
        <f t="shared" si="131"/>
        <v>0.76972933283443656</v>
      </c>
      <c r="BB328" s="655">
        <v>43414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924">
        <f>1+[2]!Salcycl*Ksac</f>
        <v>1.0166921877923896</v>
      </c>
      <c r="BH328" s="1080">
        <f t="shared" si="132"/>
        <v>6.3256114466140002E-3</v>
      </c>
      <c r="BI328" s="11">
        <v>44510</v>
      </c>
      <c r="BJ328" s="801">
        <v>2.6143303141359553E-3</v>
      </c>
      <c r="BK328" s="801">
        <v>3.5523739503308411E-3</v>
      </c>
      <c r="BL328" s="801">
        <v>4.645391307661906E-3</v>
      </c>
      <c r="BM328" s="801">
        <v>6.3254947645475608E-3</v>
      </c>
      <c r="BN328" s="801">
        <v>9.4077566000394658E-3</v>
      </c>
      <c r="BO328" s="802">
        <v>1.4982764599218596E-2</v>
      </c>
      <c r="BP328" s="801">
        <v>2.9470511289295554E-2</v>
      </c>
      <c r="BQ328" s="801">
        <v>6.8487953314758723E-2</v>
      </c>
      <c r="BR328" s="801">
        <v>0.12798213718130658</v>
      </c>
      <c r="BS328" s="801">
        <v>0.19882034983015995</v>
      </c>
      <c r="BT328" s="801">
        <v>0.26451663226266237</v>
      </c>
      <c r="BW328" s="1136">
        <f>'2018'!R\Max</f>
        <v>0.63311451635592686</v>
      </c>
      <c r="BX328" s="1134">
        <f>'2019'!R\Max</f>
        <v>0.61489568443712306</v>
      </c>
      <c r="BY328" s="1134">
        <f>'2020'!R\Max</f>
        <v>0.62829177011599491</v>
      </c>
      <c r="BZ328" s="1134">
        <f>'2021'!R\Max</f>
        <v>0.20971791242356264</v>
      </c>
      <c r="CA328" s="1134">
        <f>'2022'!R\Max</f>
        <v>0.76972933283443656</v>
      </c>
      <c r="CB328" s="1134">
        <f>'2023'!R\Max</f>
        <v>0.76948111534024621</v>
      </c>
      <c r="CC328" s="1134">
        <f>'2024'!R\Max</f>
        <v>0.7688116163514912</v>
      </c>
      <c r="CD328" s="1134">
        <f>'2025'!R\Max</f>
        <v>0.77022277378534953</v>
      </c>
      <c r="CE328" s="1134">
        <f>'2026'!R\Max</f>
        <v>0.77017013114236965</v>
      </c>
      <c r="CF328" s="1135">
        <f>'2027'!R\Max</f>
        <v>0.77007706782608876</v>
      </c>
    </row>
    <row r="329" spans="1:84" s="6" customFormat="1" ht="11.25" x14ac:dyDescent="0.2">
      <c r="A329" s="11">
        <v>43415</v>
      </c>
      <c r="B329" s="380">
        <f>'2023'!Maxi_hp</f>
        <v>32.851303072778975</v>
      </c>
      <c r="C329" s="85">
        <f>'2023'!An_max</f>
        <v>2022</v>
      </c>
      <c r="D329" s="1087" t="str">
        <f t="shared" si="116"/>
        <v/>
      </c>
      <c r="E329" s="747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836">
        <f t="shared" si="119"/>
        <v>0.9285714285714286</v>
      </c>
      <c r="J329" s="827">
        <f t="shared" si="120"/>
        <v>33.896312499498677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836">
        <f t="shared" si="124"/>
        <v>3.5714285714285712E-2</v>
      </c>
      <c r="AT329" s="853">
        <f t="shared" si="125"/>
        <v>33.863493089630666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836">
        <f t="shared" si="129"/>
        <v>0.5357142857142857</v>
      </c>
      <c r="AY329" s="853">
        <f t="shared" si="130"/>
        <v>33.997168208319422</v>
      </c>
      <c r="AZ329" s="827">
        <f t="shared" si="134"/>
        <v>33.930330648975044</v>
      </c>
      <c r="BA329" s="660">
        <f t="shared" si="131"/>
        <v>0.96917040970945856</v>
      </c>
      <c r="BB329" s="655">
        <v>43415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924">
        <f>1+[2]!Salcycl*Ksac</f>
        <v>1.0160119681962887</v>
      </c>
      <c r="BH329" s="1080">
        <f t="shared" si="132"/>
        <v>6.2534300894213505E-3</v>
      </c>
      <c r="BI329" s="11">
        <v>44511</v>
      </c>
      <c r="BJ329" s="801">
        <v>2.5678465753140012E-3</v>
      </c>
      <c r="BK329" s="801">
        <v>3.4896745245024036E-3</v>
      </c>
      <c r="BL329" s="801">
        <v>4.5672934460031711E-3</v>
      </c>
      <c r="BM329" s="801">
        <v>6.2533129880660678E-3</v>
      </c>
      <c r="BN329" s="801">
        <v>9.3466507158379234E-3</v>
      </c>
      <c r="BO329" s="802">
        <v>1.4926826325894496E-2</v>
      </c>
      <c r="BP329" s="801">
        <v>3.0549928643454755E-2</v>
      </c>
      <c r="BQ329" s="801">
        <v>7.1169798194856124E-2</v>
      </c>
      <c r="BR329" s="801">
        <v>0.13134074197133513</v>
      </c>
      <c r="BS329" s="801">
        <v>0.20049532888093657</v>
      </c>
      <c r="BT329" s="801">
        <v>0.26282666055887</v>
      </c>
      <c r="BW329" s="1136">
        <f>'2018'!R\Max</f>
        <v>0.86009113150075711</v>
      </c>
      <c r="BX329" s="1134">
        <f>'2019'!R\Max</f>
        <v>0.75963603387591472</v>
      </c>
      <c r="BY329" s="1134">
        <f>'2020'!R\Max</f>
        <v>0.49469469307056169</v>
      </c>
      <c r="BZ329" s="1134">
        <f>'2021'!R\Max</f>
        <v>0.28419129902317208</v>
      </c>
      <c r="CA329" s="1134">
        <f>'2022'!R\Max</f>
        <v>0.96917040970945856</v>
      </c>
      <c r="CB329" s="1134">
        <f>'2023'!R\Max</f>
        <v>0.96912518473912623</v>
      </c>
      <c r="CC329" s="1134">
        <f>'2024'!R\Max</f>
        <v>0.96900727041780776</v>
      </c>
      <c r="CD329" s="1134">
        <f>'2025'!R\Max</f>
        <v>0.96925703652570916</v>
      </c>
      <c r="CE329" s="1134">
        <f>'2026'!R\Max</f>
        <v>0.96924812408345551</v>
      </c>
      <c r="CF329" s="1135">
        <f>'2027'!R\Max</f>
        <v>0.96923240588787496</v>
      </c>
    </row>
    <row r="330" spans="1:84" s="6" customFormat="1" ht="11.25" x14ac:dyDescent="0.2">
      <c r="A330" s="11">
        <v>43416</v>
      </c>
      <c r="B330" s="380">
        <f>'2023'!Maxi_hp</f>
        <v>32.840746587016881</v>
      </c>
      <c r="C330" s="85">
        <f>'2023'!An_max</f>
        <v>2020</v>
      </c>
      <c r="D330" s="1087">
        <f t="shared" si="116"/>
        <v>0.97773781466720222</v>
      </c>
      <c r="E330" s="835">
        <f>AJ$13/10</f>
        <v>33.588499999999996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836">
        <f t="shared" si="119"/>
        <v>1</v>
      </c>
      <c r="J330" s="827">
        <f t="shared" si="120"/>
        <v>33.588499999046327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836">
        <f t="shared" si="124"/>
        <v>0</v>
      </c>
      <c r="AT330" s="853">
        <f t="shared" si="125"/>
        <v>33.588499999791381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836">
        <f t="shared" si="129"/>
        <v>0.5</v>
      </c>
      <c r="AY330" s="853">
        <f t="shared" si="130"/>
        <v>33.662375000584873</v>
      </c>
      <c r="AZ330" s="827">
        <f t="shared" si="134"/>
        <v>33.625437500188127</v>
      </c>
      <c r="BA330" s="660">
        <f t="shared" si="131"/>
        <v>0.97773781466720222</v>
      </c>
      <c r="BB330" s="655">
        <v>43416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924">
        <f>1+[2]!Salcycl*Ksac</f>
        <v>1.0153416112528404</v>
      </c>
      <c r="BH330" s="1080">
        <f t="shared" si="132"/>
        <v>6.1871135744283341E-3</v>
      </c>
      <c r="BI330" s="11">
        <v>44512</v>
      </c>
      <c r="BJ330" s="801">
        <v>2.5178962066832542E-3</v>
      </c>
      <c r="BK330" s="801">
        <v>3.4254309966645128E-3</v>
      </c>
      <c r="BL330" s="801">
        <v>4.4903572742865088E-3</v>
      </c>
      <c r="BM330" s="801">
        <v>6.1869959044904693E-3</v>
      </c>
      <c r="BN330" s="801">
        <v>9.295353253059262E-3</v>
      </c>
      <c r="BO330" s="802">
        <v>1.4886306708502328E-2</v>
      </c>
      <c r="BP330" s="801">
        <v>3.1776004225784027E-2</v>
      </c>
      <c r="BQ330" s="801">
        <v>7.3914660313865607E-2</v>
      </c>
      <c r="BR330" s="801">
        <v>0.1345595280817305</v>
      </c>
      <c r="BS330" s="801">
        <v>0.20169195425556063</v>
      </c>
      <c r="BT330" s="801">
        <v>0.26052678849274907</v>
      </c>
      <c r="BW330" s="1136">
        <f>'2018'!R\Max</f>
        <v>0.82823729637265686</v>
      </c>
      <c r="BX330" s="1134">
        <f>'2019'!R\Max</f>
        <v>0.53994086892856641</v>
      </c>
      <c r="BY330" s="1134">
        <f>'2020'!R\Max</f>
        <v>0.97773781466720222</v>
      </c>
      <c r="BZ330" s="1134">
        <f>'2021'!R\Max</f>
        <v>0.34587553056452613</v>
      </c>
      <c r="CA330" s="1134">
        <f>'2022'!R\Max</f>
        <v>0.93397404668237283</v>
      </c>
      <c r="CB330" s="1134">
        <f>'2023'!R\Max</f>
        <v>0.93387295850015117</v>
      </c>
      <c r="CC330" s="1134">
        <f>'2024'!R\Max</f>
        <v>0.93362002949679068</v>
      </c>
      <c r="CD330" s="1134">
        <f>'2025'!R\Max</f>
        <v>0.93416093201070394</v>
      </c>
      <c r="CE330" s="1134">
        <f>'2026'!R\Max</f>
        <v>0.93414241510140206</v>
      </c>
      <c r="CF330" s="1135">
        <f>'2027'!R\Max</f>
        <v>0.93410985029977689</v>
      </c>
    </row>
    <row r="331" spans="1:84" s="6" customFormat="1" ht="11.25" x14ac:dyDescent="0.2">
      <c r="A331" s="11">
        <v>43417</v>
      </c>
      <c r="B331" s="380">
        <f>'2023'!Maxi_hp</f>
        <v>31.584962137547372</v>
      </c>
      <c r="C331" s="85">
        <f>'2023'!An_max</f>
        <v>2022</v>
      </c>
      <c r="D331" s="1087" t="str">
        <f t="shared" si="116"/>
        <v/>
      </c>
      <c r="E331" s="747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836">
        <f t="shared" si="119"/>
        <v>0.9285714285714286</v>
      </c>
      <c r="J331" s="827">
        <f t="shared" si="120"/>
        <v>33.287041180474418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836">
        <f t="shared" si="124"/>
        <v>3.5714285714285712E-2</v>
      </c>
      <c r="AT331" s="853">
        <f t="shared" si="125"/>
        <v>33.314630565326659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836">
        <f t="shared" si="129"/>
        <v>0.4642857142857143</v>
      </c>
      <c r="AY331" s="853">
        <f t="shared" si="130"/>
        <v>33.330848374284265</v>
      </c>
      <c r="AZ331" s="827">
        <f t="shared" si="134"/>
        <v>33.322739469805462</v>
      </c>
      <c r="BA331" s="660">
        <f t="shared" si="131"/>
        <v>0.94886661648000559</v>
      </c>
      <c r="BB331" s="655">
        <v>43417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924">
        <f>1+[2]!Salcycl*Ksac</f>
        <v>1.014682033328427</v>
      </c>
      <c r="BH331" s="1080">
        <f t="shared" si="132"/>
        <v>6.1266658055831331E-3</v>
      </c>
      <c r="BI331" s="11">
        <v>44513</v>
      </c>
      <c r="BJ331" s="801">
        <v>2.4644741945672897E-3</v>
      </c>
      <c r="BK331" s="801">
        <v>3.359640397488805E-3</v>
      </c>
      <c r="BL331" s="801">
        <v>4.4145826569952631E-3</v>
      </c>
      <c r="BM331" s="801">
        <v>6.1265474177047878E-3</v>
      </c>
      <c r="BN331" s="801">
        <v>9.2538698104515597E-3</v>
      </c>
      <c r="BO331" s="802">
        <v>1.4861213047528609E-2</v>
      </c>
      <c r="BP331" s="801">
        <v>3.314885478775733E-2</v>
      </c>
      <c r="BQ331" s="801">
        <v>7.6722466714686813E-2</v>
      </c>
      <c r="BR331" s="801">
        <v>0.13763810000070467</v>
      </c>
      <c r="BS331" s="801">
        <v>0.20240941055045339</v>
      </c>
      <c r="BT331" s="801">
        <v>0.25761609324016249</v>
      </c>
      <c r="BW331" s="1136">
        <f>'2018'!R\Max</f>
        <v>0.2601612110291146</v>
      </c>
      <c r="BX331" s="1134">
        <f>'2019'!R\Max</f>
        <v>0.58598053400864392</v>
      </c>
      <c r="BY331" s="1134">
        <f>'2020'!R\Max</f>
        <v>0.92553991574410055</v>
      </c>
      <c r="BZ331" s="1134">
        <f>'2021'!R\Max</f>
        <v>0.18406881058413677</v>
      </c>
      <c r="CA331" s="1134">
        <f>'2022'!R\Max</f>
        <v>0.94886661648000559</v>
      </c>
      <c r="CB331" s="1134">
        <f>'2023'!R\Max</f>
        <v>0.9487803374849596</v>
      </c>
      <c r="CC331" s="1134">
        <f>'2024'!R\Max</f>
        <v>0.9485741052914286</v>
      </c>
      <c r="CD331" s="1134">
        <f>'2025'!R\Max</f>
        <v>0.94902071137082511</v>
      </c>
      <c r="CE331" s="1134">
        <f>'2026'!R\Max</f>
        <v>0.94900603190251498</v>
      </c>
      <c r="CF331" s="1135">
        <f>'2027'!R\Max</f>
        <v>0.94898029358714309</v>
      </c>
    </row>
    <row r="332" spans="1:84" s="6" customFormat="1" ht="11.25" x14ac:dyDescent="0.2">
      <c r="A332" s="11">
        <v>43418</v>
      </c>
      <c r="B332" s="380">
        <f>'2023'!Maxi_hp</f>
        <v>20.754830581758107</v>
      </c>
      <c r="C332" s="85">
        <f>'2023'!An_max</f>
        <v>2020</v>
      </c>
      <c r="D332" s="1087" t="str">
        <f t="shared" si="116"/>
        <v/>
      </c>
      <c r="E332" s="747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836">
        <f t="shared" si="119"/>
        <v>0.8571428571428571</v>
      </c>
      <c r="J332" s="827">
        <f t="shared" si="120"/>
        <v>32.988023323672152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836">
        <f t="shared" si="124"/>
        <v>7.1428571428571425E-2</v>
      </c>
      <c r="AT332" s="853">
        <f t="shared" si="125"/>
        <v>33.035420625417359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836">
        <f t="shared" si="129"/>
        <v>0.42857142857142855</v>
      </c>
      <c r="AY332" s="853">
        <f t="shared" si="130"/>
        <v>33.003530612534711</v>
      </c>
      <c r="AZ332" s="827">
        <f t="shared" si="134"/>
        <v>33.019475618976031</v>
      </c>
      <c r="BA332" s="660">
        <f t="shared" si="131"/>
        <v>0.62916260177567152</v>
      </c>
      <c r="BB332" s="655">
        <v>43418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924">
        <f>1+[2]!Salcycl*Ksac</f>
        <v>1.0140341121634935</v>
      </c>
      <c r="BH332" s="1080">
        <f t="shared" si="132"/>
        <v>6.0721190688826695E-3</v>
      </c>
      <c r="BI332" s="11">
        <v>44514</v>
      </c>
      <c r="BJ332" s="801">
        <v>2.4106040216054546E-3</v>
      </c>
      <c r="BK332" s="801">
        <v>3.2947350703470464E-3</v>
      </c>
      <c r="BL332" s="801">
        <v>4.3415286429854165E-3</v>
      </c>
      <c r="BM332" s="801">
        <v>6.071999839453268E-3</v>
      </c>
      <c r="BN332" s="801">
        <v>9.2215525610007381E-3</v>
      </c>
      <c r="BO332" s="802">
        <v>1.489237690780488E-2</v>
      </c>
      <c r="BP332" s="801">
        <v>3.4637995406976145E-2</v>
      </c>
      <c r="BQ332" s="801">
        <v>7.9484348562446613E-2</v>
      </c>
      <c r="BR332" s="801">
        <v>0.14040909686977779</v>
      </c>
      <c r="BS332" s="801">
        <v>0.20258850002729364</v>
      </c>
      <c r="BT332" s="801">
        <v>0.25420321635716969</v>
      </c>
      <c r="BW332" s="1136">
        <f>'2018'!R\Max</f>
        <v>0.58206417180416414</v>
      </c>
      <c r="BX332" s="1134">
        <f>'2019'!R\Max</f>
        <v>0.18058374886007303</v>
      </c>
      <c r="BY332" s="1134">
        <f>'2020'!R\Max</f>
        <v>0.62916260177567152</v>
      </c>
      <c r="BZ332" s="1134">
        <f>'2021'!R\Max</f>
        <v>0.15542582157348658</v>
      </c>
      <c r="CA332" s="1134">
        <f>'2022'!R\Max</f>
        <v>0.35718347604148121</v>
      </c>
      <c r="CB332" s="1134">
        <f>'2023'!R\Max</f>
        <v>0.3567422792218865</v>
      </c>
      <c r="CC332" s="1134">
        <f>'2024'!R\Max</f>
        <v>0.35574052296564118</v>
      </c>
      <c r="CD332" s="1134">
        <f>'2025'!R\Max</f>
        <v>0.35795131323483886</v>
      </c>
      <c r="CE332" s="1134">
        <f>'2026'!R\Max</f>
        <v>0.35788097336872654</v>
      </c>
      <c r="CF332" s="1135">
        <f>'2027'!R\Max</f>
        <v>0.35775719915260212</v>
      </c>
    </row>
    <row r="333" spans="1:84" s="6" customFormat="1" ht="11.25" x14ac:dyDescent="0.2">
      <c r="A333" s="11">
        <v>43419</v>
      </c>
      <c r="B333" s="380">
        <f>'2023'!Maxi_hp</f>
        <v>29.501536808911666</v>
      </c>
      <c r="C333" s="85">
        <f>'2023'!An_max</f>
        <v>2020</v>
      </c>
      <c r="D333" s="1087" t="str">
        <f t="shared" si="116"/>
        <v/>
      </c>
      <c r="E333" s="747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836">
        <f t="shared" si="119"/>
        <v>0.7857142857142857</v>
      </c>
      <c r="J333" s="827">
        <f t="shared" si="120"/>
        <v>32.691877186458029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836">
        <f t="shared" si="124"/>
        <v>0.10714285714285714</v>
      </c>
      <c r="AT333" s="853">
        <f t="shared" si="125"/>
        <v>32.751842723853358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836">
        <f t="shared" si="129"/>
        <v>0.39285714285714285</v>
      </c>
      <c r="AY333" s="853">
        <f t="shared" si="130"/>
        <v>32.681363999357984</v>
      </c>
      <c r="AZ333" s="827">
        <f t="shared" si="134"/>
        <v>32.716603361605671</v>
      </c>
      <c r="BA333" s="660">
        <f t="shared" si="131"/>
        <v>0.90241183278187831</v>
      </c>
      <c r="BB333" s="655">
        <v>43419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924">
        <f>1+[2]!Salcycl*Ksac</f>
        <v>1.0133986829223893</v>
      </c>
      <c r="BH333" s="1080">
        <f t="shared" si="132"/>
        <v>6.022388296224093E-3</v>
      </c>
      <c r="BI333" s="11">
        <v>44515</v>
      </c>
      <c r="BJ333" s="801">
        <v>2.3591226726912841E-3</v>
      </c>
      <c r="BK333" s="801">
        <v>3.2330825939303463E-3</v>
      </c>
      <c r="BL333" s="801">
        <v>4.2723667341728264E-3</v>
      </c>
      <c r="BM333" s="801">
        <v>6.0222681374224067E-3</v>
      </c>
      <c r="BN333" s="801">
        <v>9.1963710646121976E-3</v>
      </c>
      <c r="BO333" s="802">
        <v>1.497603380767451E-2</v>
      </c>
      <c r="BP333" s="801">
        <v>3.6170664436886074E-2</v>
      </c>
      <c r="BQ333" s="801">
        <v>8.2077587457804427E-2</v>
      </c>
      <c r="BR333" s="801">
        <v>0.14284566750663025</v>
      </c>
      <c r="BS333" s="801">
        <v>0.20242269694320289</v>
      </c>
      <c r="BT333" s="801">
        <v>0.25073820459267321</v>
      </c>
      <c r="BW333" s="1136">
        <f>'2018'!R\Max</f>
        <v>0.66839313907897879</v>
      </c>
      <c r="BX333" s="1134">
        <f>'2019'!R\Max</f>
        <v>0.41009353376902546</v>
      </c>
      <c r="BY333" s="1134">
        <f>'2020'!R\Max</f>
        <v>0.90241183278187831</v>
      </c>
      <c r="BZ333" s="1134">
        <f>'2021'!R\Max</f>
        <v>0.23268409052822983</v>
      </c>
      <c r="CA333" s="1134">
        <f>'2022'!R\Max</f>
        <v>0.43059007828028051</v>
      </c>
      <c r="CB333" s="1134">
        <f>'2023'!R\Max</f>
        <v>0.43008331650528314</v>
      </c>
      <c r="CC333" s="1134">
        <f>'2024'!R\Max</f>
        <v>0.42898539730839097</v>
      </c>
      <c r="CD333" s="1134">
        <f>'2025'!R\Max</f>
        <v>0.43145179841044734</v>
      </c>
      <c r="CE333" s="1134">
        <f>'2026'!R\Max</f>
        <v>0.43137599346520411</v>
      </c>
      <c r="CF333" s="1135">
        <f>'2027'!R\Max</f>
        <v>0.43124112523937924</v>
      </c>
    </row>
    <row r="334" spans="1:84" s="6" customFormat="1" ht="11.25" x14ac:dyDescent="0.2">
      <c r="A334" s="11">
        <v>43420</v>
      </c>
      <c r="B334" s="380">
        <f>'2023'!Maxi_hp</f>
        <v>31.259740180325817</v>
      </c>
      <c r="C334" s="85">
        <f>'2023'!An_max</f>
        <v>2022</v>
      </c>
      <c r="D334" s="1087" t="str">
        <f t="shared" si="116"/>
        <v/>
      </c>
      <c r="E334" s="747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836">
        <f t="shared" si="119"/>
        <v>0.7142857142857143</v>
      </c>
      <c r="J334" s="827">
        <f t="shared" si="120"/>
        <v>32.399033528034174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836">
        <f t="shared" si="124"/>
        <v>0.14285714285714285</v>
      </c>
      <c r="AT334" s="853">
        <f t="shared" si="125"/>
        <v>32.464869405542103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836">
        <f t="shared" si="129"/>
        <v>0.35714285714285715</v>
      </c>
      <c r="AY334" s="853">
        <f t="shared" si="130"/>
        <v>32.365290816048422</v>
      </c>
      <c r="AZ334" s="827">
        <f t="shared" si="134"/>
        <v>32.415080110795259</v>
      </c>
      <c r="BA334" s="660">
        <f t="shared" si="131"/>
        <v>0.96483557613770943</v>
      </c>
      <c r="BB334" s="655">
        <v>43420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924">
        <f>1+[2]!Salcycl*Ksac</f>
        <v>1.0127765344957014</v>
      </c>
      <c r="BH334" s="1080">
        <f t="shared" si="132"/>
        <v>5.977475626850655E-3</v>
      </c>
      <c r="BI334" s="11">
        <v>44516</v>
      </c>
      <c r="BJ334" s="801">
        <v>2.310032820161408E-3</v>
      </c>
      <c r="BK334" s="801">
        <v>3.1746862563396421E-3</v>
      </c>
      <c r="BL334" s="801">
        <v>4.207100325991941E-3</v>
      </c>
      <c r="BM334" s="801">
        <v>5.9773544508978553E-3</v>
      </c>
      <c r="BN334" s="801">
        <v>9.1783263404974936E-3</v>
      </c>
      <c r="BO334" s="802">
        <v>1.5112227294537782E-2</v>
      </c>
      <c r="BP334" s="801">
        <v>3.7746819377127989E-2</v>
      </c>
      <c r="BQ334" s="801">
        <v>8.4501815618782006E-2</v>
      </c>
      <c r="BR334" s="801">
        <v>0.14494720670049854</v>
      </c>
      <c r="BS334" s="801">
        <v>0.20191143377292783</v>
      </c>
      <c r="BT334" s="801">
        <v>0.2472209126471131</v>
      </c>
      <c r="BW334" s="1136">
        <f>'2018'!R\Max</f>
        <v>0.81404167210692902</v>
      </c>
      <c r="BX334" s="1134">
        <f>'2019'!R\Max</f>
        <v>0.45720114656986416</v>
      </c>
      <c r="BY334" s="1134">
        <f>'2020'!R\Max</f>
        <v>0.6537191759656642</v>
      </c>
      <c r="BZ334" s="1134">
        <f>'2021'!R\Max</f>
        <v>0.2504476128817783</v>
      </c>
      <c r="CA334" s="1134">
        <f>'2022'!R\Max</f>
        <v>0.96483557613770943</v>
      </c>
      <c r="CB334" s="1134">
        <f>'2023'!R\Max</f>
        <v>0.96476044626569102</v>
      </c>
      <c r="CC334" s="1134">
        <f>'2024'!R\Max</f>
        <v>0.96460463576144229</v>
      </c>
      <c r="CD334" s="1134">
        <f>'2025'!R\Max</f>
        <v>0.96496069372425697</v>
      </c>
      <c r="CE334" s="1134">
        <f>'2026'!R\Max</f>
        <v>0.96495013436773391</v>
      </c>
      <c r="CF334" s="1135">
        <f>'2027'!R\Max</f>
        <v>0.96493100846130408</v>
      </c>
    </row>
    <row r="335" spans="1:84" s="6" customFormat="1" ht="11.25" x14ac:dyDescent="0.2">
      <c r="A335" s="11">
        <v>43421</v>
      </c>
      <c r="B335" s="380">
        <f>'2023'!Maxi_hp</f>
        <v>31.482813740825435</v>
      </c>
      <c r="C335" s="85">
        <f>'2023'!An_max</f>
        <v>2018</v>
      </c>
      <c r="D335" s="1087">
        <f t="shared" ref="D335:D380" si="135">IF($BA335&gt;$D$11,BA335,"")</f>
        <v>0.98046992010709288</v>
      </c>
      <c r="E335" s="747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836">
        <f t="shared" ref="I335:I380" si="138">($A335-H335)/(INDEX(x.2m,G335)-H335)</f>
        <v>0.6428571428571429</v>
      </c>
      <c r="J335" s="827">
        <f t="shared" ref="J335:J380" si="139">((1-I335)*(INDEX(a.m,F335)*$A335*$A335+INDEX(b.m,F335)*$A335+INDEX(c.m,F335))+I335*(INDEX(a.m,G335)*$A335*$A335+INDEX(b.m,G335)*$A335+INDEX(c.m,G335)))/10</f>
        <v>32.10992310440966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836">
        <f t="shared" ref="AS335:AS380" si="143">($A335-AR335)/(INDEX(x.2lg,AQ335)-AR335)</f>
        <v>0.17857142857142858</v>
      </c>
      <c r="AT335" s="853">
        <f t="shared" ref="AT335:AT380" si="144">((1-AS335)*(INDEX(a.lg,AP335)*$A335*$A335+INDEX(b.lg,AP335)*$A335+INDEX(c.lg,AP335))+AS335*(INDEX(a.lg,AQ335)*$A335*$A335+INDEX(b.lg,AQ335)*$A335+INDEX(c.lg,AQ335)))/10</f>
        <v>32.175473214047294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836">
        <f t="shared" ref="AX335:AX380" si="148">($A335-AW335)/(INDEX(x.2ld,AV335)-AW335)</f>
        <v>0.32142857142857145</v>
      </c>
      <c r="AY335" s="853">
        <f t="shared" ref="AY335:AY380" si="149">((1-AX335)*(INDEX(a.ld,AU335)*$A335*$A335+INDEX(b.ld,AU335)*$A335+INDEX(c.ld,AU335))+AX335*(INDEX(a.ld,AV335)*$A335*$A335+INDEX(b.ld,AV335)*$A335+INDEX(c.ld,AV335)))/10</f>
        <v>32.056253347725473</v>
      </c>
      <c r="AZ335" s="827">
        <f t="shared" si="134"/>
        <v>32.115863280886387</v>
      </c>
      <c r="BA335" s="660">
        <f t="shared" ref="BA335:BA380" si="150">+B335/J335</f>
        <v>0.98046992010709288</v>
      </c>
      <c r="BB335" s="655">
        <v>43421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924">
        <f>1+[2]!Salcycl*Ksac</f>
        <v>1.0121684060811635</v>
      </c>
      <c r="BH335" s="1080">
        <f t="shared" ref="BH335:BH380" si="151">INDEX($BJ335:$BT335,,$BH$10)*(1-Ratini)+INDEX($BJ335:$BT335,,$BH$10+1)*Ratini</f>
        <v>5.9373829838771045E-3</v>
      </c>
      <c r="BI335" s="11">
        <v>44517</v>
      </c>
      <c r="BJ335" s="801">
        <v>2.2633371253255249E-3</v>
      </c>
      <c r="BK335" s="801">
        <v>3.1195493002935926E-3</v>
      </c>
      <c r="BL335" s="801">
        <v>4.1457327431531736E-3</v>
      </c>
      <c r="BM335" s="801">
        <v>5.9372607030473042E-3</v>
      </c>
      <c r="BN335" s="801">
        <v>9.1674189133641379E-3</v>
      </c>
      <c r="BO335" s="802">
        <v>1.5300996293604449E-2</v>
      </c>
      <c r="BP335" s="801">
        <v>3.936640864229856E-2</v>
      </c>
      <c r="BQ335" s="801">
        <v>8.6756669868712721E-2</v>
      </c>
      <c r="BR335" s="801">
        <v>0.1467131280936762</v>
      </c>
      <c r="BS335" s="801">
        <v>0.20105417208204215</v>
      </c>
      <c r="BT335" s="801">
        <v>0.24365121205869059</v>
      </c>
      <c r="BW335" s="1136">
        <f>'2018'!R\Max</f>
        <v>0.98046992010709288</v>
      </c>
      <c r="BX335" s="1134">
        <f>'2019'!R\Max</f>
        <v>0.28652510784812668</v>
      </c>
      <c r="BY335" s="1134">
        <f>'2020'!R\Max</f>
        <v>0.72819697379240678</v>
      </c>
      <c r="BZ335" s="1134">
        <f>'2021'!R\Max</f>
        <v>0.1041741011111141</v>
      </c>
      <c r="CA335" s="1134">
        <f>'2022'!R\Max</f>
        <v>0.51931517277755512</v>
      </c>
      <c r="CB335" s="1134">
        <f>'2023'!R\Max</f>
        <v>0.51872678905643599</v>
      </c>
      <c r="CC335" s="1134">
        <f>'2024'!R\Max</f>
        <v>0.51756690578196041</v>
      </c>
      <c r="CD335" s="1134">
        <f>'2025'!R\Max</f>
        <v>0.52028456600964101</v>
      </c>
      <c r="CE335" s="1134">
        <f>'2026'!R\Max</f>
        <v>0.52020576115606798</v>
      </c>
      <c r="CF335" s="1135">
        <f>'2027'!R\Max</f>
        <v>0.52005970375695598</v>
      </c>
    </row>
    <row r="336" spans="1:84" s="6" customFormat="1" ht="11.25" x14ac:dyDescent="0.2">
      <c r="A336" s="11">
        <v>43422</v>
      </c>
      <c r="B336" s="380">
        <f>'2023'!Maxi_hp</f>
        <v>29.94043779612808</v>
      </c>
      <c r="C336" s="85">
        <f>'2023'!An_max</f>
        <v>2020</v>
      </c>
      <c r="D336" s="1087" t="str">
        <f t="shared" si="135"/>
        <v/>
      </c>
      <c r="E336" s="747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836">
        <f t="shared" si="138"/>
        <v>0.5714285714285714</v>
      </c>
      <c r="J336" s="827">
        <f t="shared" si="139"/>
        <v>31.824976676702498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836">
        <f t="shared" si="143"/>
        <v>0.21428571428571427</v>
      </c>
      <c r="AT336" s="853">
        <f t="shared" si="144"/>
        <v>31.884626694635621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836">
        <f t="shared" si="148"/>
        <v>0.2857142857142857</v>
      </c>
      <c r="AY336" s="853">
        <f t="shared" si="149"/>
        <v>31.755193877592681</v>
      </c>
      <c r="AZ336" s="827">
        <f t="shared" ref="AZ336:AZ380" si="153">(AY336+AT336)/2</f>
        <v>31.819910286114151</v>
      </c>
      <c r="BA336" s="660">
        <f t="shared" si="150"/>
        <v>0.94078428085843668</v>
      </c>
      <c r="BB336" s="655">
        <v>43422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924">
        <f>1+[2]!Salcycl*Ksac</f>
        <v>1.0115749840670962</v>
      </c>
      <c r="BH336" s="1080">
        <f t="shared" si="151"/>
        <v>5.9021120291603852E-3</v>
      </c>
      <c r="BI336" s="11">
        <v>44518</v>
      </c>
      <c r="BJ336" s="801">
        <v>2.2190382159598598E-3</v>
      </c>
      <c r="BK336" s="801">
        <v>3.0676748925400807E-3</v>
      </c>
      <c r="BL336" s="801">
        <v>4.0882672030300759E-3</v>
      </c>
      <c r="BM336" s="801">
        <v>5.9019885557919857E-3</v>
      </c>
      <c r="BN336" s="801">
        <v>9.1636487468665876E-3</v>
      </c>
      <c r="BO336" s="802">
        <v>1.5542374626308674E-2</v>
      </c>
      <c r="BP336" s="801">
        <v>4.1029371170440539E-2</v>
      </c>
      <c r="BQ336" s="801">
        <v>8.8841793189143523E-2</v>
      </c>
      <c r="BR336" s="801">
        <v>0.14814286724375356</v>
      </c>
      <c r="BS336" s="801">
        <v>0.19985040565939619</v>
      </c>
      <c r="BT336" s="801">
        <v>0.24002899162685806</v>
      </c>
      <c r="BW336" s="1136">
        <f>'2018'!R\Max</f>
        <v>0.72706638718428773</v>
      </c>
      <c r="BX336" s="1134">
        <f>'2019'!R\Max</f>
        <v>0.38429081511857988</v>
      </c>
      <c r="BY336" s="1134">
        <f>'2020'!R\Max</f>
        <v>0.94078428085843668</v>
      </c>
      <c r="BZ336" s="1134">
        <f>'2021'!R\Max</f>
        <v>0.60128885356715311</v>
      </c>
      <c r="CA336" s="1134">
        <f>'2022'!R\Max</f>
        <v>0.47837923404889138</v>
      </c>
      <c r="CB336" s="1134">
        <f>'2023'!R\Max</f>
        <v>0.47775502366588013</v>
      </c>
      <c r="CC336" s="1134">
        <f>'2024'!R\Max</f>
        <v>0.47658303320577139</v>
      </c>
      <c r="CD336" s="1134">
        <f>'2025'!R\Max</f>
        <v>0.4793980548574116</v>
      </c>
      <c r="CE336" s="1134">
        <f>'2026'!R\Max</f>
        <v>0.47931832057355894</v>
      </c>
      <c r="CF336" s="1135">
        <f>'2027'!R\Max</f>
        <v>0.47916624058442869</v>
      </c>
    </row>
    <row r="337" spans="1:84" s="6" customFormat="1" ht="11.25" x14ac:dyDescent="0.2">
      <c r="A337" s="11">
        <v>43423</v>
      </c>
      <c r="B337" s="380">
        <f>'2023'!Maxi_hp</f>
        <v>31.549585507891482</v>
      </c>
      <c r="C337" s="85">
        <f>'2023'!An_max</f>
        <v>2021</v>
      </c>
      <c r="D337" s="1087">
        <f t="shared" si="135"/>
        <v>1.0001572536678087</v>
      </c>
      <c r="E337" s="747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836">
        <f t="shared" si="138"/>
        <v>0.5</v>
      </c>
      <c r="J337" s="827">
        <f t="shared" si="139"/>
        <v>31.544624999910592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836">
        <f t="shared" si="143"/>
        <v>0.25</v>
      </c>
      <c r="AT337" s="853">
        <f t="shared" si="144"/>
        <v>31.593302390817552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836">
        <f t="shared" si="148"/>
        <v>0.25</v>
      </c>
      <c r="AY337" s="853">
        <f t="shared" si="149"/>
        <v>31.463054686691613</v>
      </c>
      <c r="AZ337" s="827">
        <f t="shared" si="153"/>
        <v>31.528178538754581</v>
      </c>
      <c r="BA337" s="660">
        <f t="shared" si="150"/>
        <v>1.0001572536678087</v>
      </c>
      <c r="BB337" s="655">
        <v>43423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924">
        <f>1+[2]!Salcycl*Ksac</f>
        <v>1.0109968992399678</v>
      </c>
      <c r="BH337" s="1080">
        <f t="shared" si="151"/>
        <v>5.8716641181944026E-3</v>
      </c>
      <c r="BI337" s="11">
        <v>44519</v>
      </c>
      <c r="BJ337" s="801">
        <v>2.1771386638090306E-3</v>
      </c>
      <c r="BK337" s="801">
        <v>3.0190660932795377E-3</v>
      </c>
      <c r="BL337" s="801">
        <v>4.0347067790625002E-3</v>
      </c>
      <c r="BM337" s="801">
        <v>5.8715393647022539E-3</v>
      </c>
      <c r="BN337" s="801">
        <v>9.1670151770956269E-3</v>
      </c>
      <c r="BO337" s="802">
        <v>1.5836390528793143E-2</v>
      </c>
      <c r="BP337" s="801">
        <v>4.2735636031738973E-2</v>
      </c>
      <c r="BQ337" s="801">
        <v>9.0756836273158156E-2</v>
      </c>
      <c r="BR337" s="801">
        <v>0.14923588468651983</v>
      </c>
      <c r="BS337" s="801">
        <v>0.19829966365039295</v>
      </c>
      <c r="BT337" s="801">
        <v>0.23635415783674901</v>
      </c>
      <c r="BW337" s="1136">
        <f>'2018'!R\Max</f>
        <v>0.7321234643615524</v>
      </c>
      <c r="BX337" s="1134">
        <f>'2019'!R\Max</f>
        <v>0.64951961790088475</v>
      </c>
      <c r="BY337" s="1134">
        <f>'2020'!R\Max</f>
        <v>0.97547189377022403</v>
      </c>
      <c r="BZ337" s="1134">
        <f>'2021'!R\Max</f>
        <v>1.0001572536678087</v>
      </c>
      <c r="CA337" s="1134">
        <f>'2022'!R\Max</f>
        <v>0.20800292793826811</v>
      </c>
      <c r="CB337" s="1134">
        <f>'2023'!R\Max</f>
        <v>0.20761730205585557</v>
      </c>
      <c r="CC337" s="1134">
        <f>'2024'!R\Max</f>
        <v>0.20692913924878401</v>
      </c>
      <c r="CD337" s="1134">
        <f>'2025'!R\Max</f>
        <v>0.20862908487623374</v>
      </c>
      <c r="CE337" s="1134">
        <f>'2026'!R\Max</f>
        <v>0.20858184114339437</v>
      </c>
      <c r="CF337" s="1135">
        <f>'2027'!R\Max</f>
        <v>0.20848868912326665</v>
      </c>
    </row>
    <row r="338" spans="1:84" s="6" customFormat="1" ht="11.25" x14ac:dyDescent="0.2">
      <c r="A338" s="11">
        <v>43424</v>
      </c>
      <c r="B338" s="380">
        <f>'2023'!Maxi_hp</f>
        <v>31.724603682982458</v>
      </c>
      <c r="C338" s="85">
        <f>'2023'!An_max</f>
        <v>2019</v>
      </c>
      <c r="D338" s="1087">
        <f t="shared" si="135"/>
        <v>1.0145607629823961</v>
      </c>
      <c r="E338" s="747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836">
        <f t="shared" si="138"/>
        <v>0.42857142857142855</v>
      </c>
      <c r="J338" s="827">
        <f t="shared" si="139"/>
        <v>31.269298834034373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836">
        <f t="shared" si="143"/>
        <v>0.2857142857142857</v>
      </c>
      <c r="AT338" s="853">
        <f t="shared" si="144"/>
        <v>31.302472847487245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836">
        <f t="shared" si="148"/>
        <v>0.21428571428571427</v>
      </c>
      <c r="AY338" s="853">
        <f t="shared" si="149"/>
        <v>31.18077806028138</v>
      </c>
      <c r="AZ338" s="827">
        <f t="shared" si="153"/>
        <v>31.241625453884311</v>
      </c>
      <c r="BA338" s="660">
        <f t="shared" si="150"/>
        <v>1.0145607629823961</v>
      </c>
      <c r="BB338" s="655">
        <v>43424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924">
        <f>1+[2]!Salcycl*Ksac</f>
        <v>1.0104347243351413</v>
      </c>
      <c r="BH338" s="1080">
        <f t="shared" si="151"/>
        <v>5.8733091828483365E-3</v>
      </c>
      <c r="BI338" s="11">
        <v>44520</v>
      </c>
      <c r="BJ338" s="801">
        <v>2.1631789899091056E-3</v>
      </c>
      <c r="BK338" s="801">
        <v>3.0006267193023878E-3</v>
      </c>
      <c r="BL338" s="801">
        <v>4.0134793186059857E-3</v>
      </c>
      <c r="BM338" s="801">
        <v>5.873183225956387E-3</v>
      </c>
      <c r="BN338" s="801">
        <v>9.2004479275553074E-3</v>
      </c>
      <c r="BO338" s="802">
        <v>1.6226979704683425E-2</v>
      </c>
      <c r="BP338" s="801">
        <v>4.4452444631218023E-2</v>
      </c>
      <c r="BQ338" s="801">
        <v>9.2477365258960206E-2</v>
      </c>
      <c r="BR338" s="801">
        <v>0.14995123313844935</v>
      </c>
      <c r="BS338" s="801">
        <v>0.19644462470489402</v>
      </c>
      <c r="BT338" s="801">
        <v>0.23267099320398324</v>
      </c>
      <c r="BW338" s="1136">
        <f>'2018'!R\Max</f>
        <v>0.33851891805066542</v>
      </c>
      <c r="BX338" s="1134">
        <f>'2019'!R\Max</f>
        <v>1.0145607629823961</v>
      </c>
      <c r="BY338" s="1134">
        <f>'2020'!R\Max</f>
        <v>0.30208529879167417</v>
      </c>
      <c r="BZ338" s="1134">
        <f>'2021'!R\Max</f>
        <v>0.7517202521265357</v>
      </c>
      <c r="CA338" s="1134">
        <f>'2022'!R\Max</f>
        <v>0.62247583925742767</v>
      </c>
      <c r="CB338" s="1134">
        <f>'2023'!R\Max</f>
        <v>0.62182156978133607</v>
      </c>
      <c r="CC338" s="1134">
        <f>'2024'!R\Max</f>
        <v>0.62070601511760914</v>
      </c>
      <c r="CD338" s="1134">
        <f>'2025'!R\Max</f>
        <v>0.62353386661648524</v>
      </c>
      <c r="CE338" s="1134">
        <f>'2026'!R\Max</f>
        <v>0.62345702579488482</v>
      </c>
      <c r="CF338" s="1135">
        <f>'2027'!R\Max</f>
        <v>0.62329904206616193</v>
      </c>
    </row>
    <row r="339" spans="1:84" s="6" customFormat="1" ht="11.25" x14ac:dyDescent="0.2">
      <c r="A339" s="11">
        <v>43425</v>
      </c>
      <c r="B339" s="380">
        <f>'2023'!Maxi_hp</f>
        <v>30.885830486283265</v>
      </c>
      <c r="C339" s="85">
        <f>'2023'!An_max</f>
        <v>2018</v>
      </c>
      <c r="D339" s="1087">
        <f t="shared" si="135"/>
        <v>0.99633546636946158</v>
      </c>
      <c r="E339" s="747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836">
        <f t="shared" si="138"/>
        <v>0.35714285714285715</v>
      </c>
      <c r="J339" s="827">
        <f t="shared" si="139"/>
        <v>30.999428936147261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836">
        <f t="shared" si="143"/>
        <v>0.32142857142857145</v>
      </c>
      <c r="AT339" s="853">
        <f t="shared" si="144"/>
        <v>31.013110609153024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836">
        <f t="shared" si="148"/>
        <v>0.17857142857142858</v>
      </c>
      <c r="AY339" s="853">
        <f t="shared" si="149"/>
        <v>30.909306282982499</v>
      </c>
      <c r="AZ339" s="827">
        <f t="shared" si="153"/>
        <v>30.961208446067761</v>
      </c>
      <c r="BA339" s="660">
        <f t="shared" si="150"/>
        <v>0.99633546636946158</v>
      </c>
      <c r="BB339" s="655">
        <v>43425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924">
        <f>1+[2]!Salcycl*Ksac</f>
        <v>1.0098889719471693</v>
      </c>
      <c r="BH339" s="1080">
        <f t="shared" si="151"/>
        <v>5.9021539969155582E-3</v>
      </c>
      <c r="BI339" s="11">
        <v>44521</v>
      </c>
      <c r="BJ339" s="801">
        <v>2.1777523844013057E-3</v>
      </c>
      <c r="BK339" s="801">
        <v>3.0114713160926967E-3</v>
      </c>
      <c r="BL339" s="801">
        <v>4.022162236567998E-3</v>
      </c>
      <c r="BM339" s="801">
        <v>5.9020270283241917E-3</v>
      </c>
      <c r="BN339" s="801">
        <v>9.2560166808705376E-3</v>
      </c>
      <c r="BO339" s="802">
        <v>1.6702353197153439E-2</v>
      </c>
      <c r="BP339" s="801">
        <v>4.6106116400547216E-2</v>
      </c>
      <c r="BQ339" s="801">
        <v>9.4064095583239082E-2</v>
      </c>
      <c r="BR339" s="801">
        <v>0.1504564799449242</v>
      </c>
      <c r="BS339" s="801">
        <v>0.19456949917374586</v>
      </c>
      <c r="BT339" s="801">
        <v>0.22913557121052414</v>
      </c>
      <c r="BW339" s="1136">
        <f>'2018'!R\Max</f>
        <v>0.99633546636946158</v>
      </c>
      <c r="BX339" s="1134">
        <f>'2019'!R\Max</f>
        <v>0.98008829364893713</v>
      </c>
      <c r="BY339" s="1134">
        <f>'2020'!R\Max</f>
        <v>0.7482781062876972</v>
      </c>
      <c r="BZ339" s="1134">
        <f>'2021'!R\Max</f>
        <v>0.34186034796809472</v>
      </c>
      <c r="CA339" s="1134">
        <f>'2022'!R\Max</f>
        <v>0.12513378220749805</v>
      </c>
      <c r="CB339" s="1134">
        <f>'2023'!R\Max</f>
        <v>0.1248789782724936</v>
      </c>
      <c r="CC339" s="1134">
        <f>'2024'!R\Max</f>
        <v>0.12446351423497393</v>
      </c>
      <c r="CD339" s="1134">
        <f>'2025'!R\Max</f>
        <v>0.12554798320520058</v>
      </c>
      <c r="CE339" s="1134">
        <f>'2026'!R\Max</f>
        <v>0.12551891856624531</v>
      </c>
      <c r="CF339" s="1135">
        <f>'2027'!R\Max</f>
        <v>0.12545619076971556</v>
      </c>
    </row>
    <row r="340" spans="1:84" s="6" customFormat="1" ht="11.25" x14ac:dyDescent="0.2">
      <c r="A340" s="11">
        <v>43426</v>
      </c>
      <c r="B340" s="380">
        <f>'2023'!Maxi_hp</f>
        <v>31.571381737013635</v>
      </c>
      <c r="C340" s="85">
        <f>'2023'!An_max</f>
        <v>2020</v>
      </c>
      <c r="D340" s="1087">
        <f t="shared" si="135"/>
        <v>1.0271977726257622</v>
      </c>
      <c r="E340" s="747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836">
        <f t="shared" si="138"/>
        <v>0.2857142857142857</v>
      </c>
      <c r="J340" s="827">
        <f t="shared" si="139"/>
        <v>30.735446063429116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836">
        <f t="shared" si="143"/>
        <v>0.35714285714285715</v>
      </c>
      <c r="AT340" s="853">
        <f t="shared" si="144"/>
        <v>30.726188220003884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836">
        <f t="shared" si="148"/>
        <v>0.14285714285714285</v>
      </c>
      <c r="AY340" s="853">
        <f t="shared" si="149"/>
        <v>30.649581634279873</v>
      </c>
      <c r="AZ340" s="827">
        <f t="shared" si="153"/>
        <v>30.68788492714188</v>
      </c>
      <c r="BA340" s="660">
        <f t="shared" si="150"/>
        <v>1.0271977726257622</v>
      </c>
      <c r="BB340" s="655">
        <v>43426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924">
        <f>1+[2]!Salcycl*Ksac</f>
        <v>1.009360092813167</v>
      </c>
      <c r="BH340" s="1080">
        <f t="shared" si="151"/>
        <v>5.9582148071320043E-3</v>
      </c>
      <c r="BI340" s="11">
        <v>44522</v>
      </c>
      <c r="BJ340" s="801">
        <v>2.2208805313672975E-3</v>
      </c>
      <c r="BK340" s="801">
        <v>3.0516216364818807E-3</v>
      </c>
      <c r="BL340" s="801">
        <v>4.06077699434617E-3</v>
      </c>
      <c r="BM340" s="801">
        <v>5.9580870188818275E-3</v>
      </c>
      <c r="BN340" s="801">
        <v>9.3337286968502142E-3</v>
      </c>
      <c r="BO340" s="802">
        <v>1.7262541892323471E-2</v>
      </c>
      <c r="BP340" s="801">
        <v>4.7696462118888637E-2</v>
      </c>
      <c r="BQ340" s="801">
        <v>9.551673589320836E-2</v>
      </c>
      <c r="BR340" s="801">
        <v>0.15075127503619348</v>
      </c>
      <c r="BS340" s="801">
        <v>0.19267419078194672</v>
      </c>
      <c r="BT340" s="801">
        <v>0.22574799938576554</v>
      </c>
      <c r="BW340" s="1136">
        <f>'2018'!R\Max</f>
        <v>0.75729332490789614</v>
      </c>
      <c r="BX340" s="1134">
        <f>'2019'!R\Max</f>
        <v>0.42736429949329402</v>
      </c>
      <c r="BY340" s="1134">
        <f>'2020'!R\Max</f>
        <v>1.0271977726257622</v>
      </c>
      <c r="BZ340" s="1134">
        <f>'2021'!R\Max</f>
        <v>0.60950868298572614</v>
      </c>
      <c r="CA340" s="1134">
        <f>'2022'!R\Max</f>
        <v>0.27959003494143841</v>
      </c>
      <c r="CB340" s="1134">
        <f>'2023'!R\Max</f>
        <v>0.27899932649182618</v>
      </c>
      <c r="CC340" s="1134">
        <f>'2024'!R\Max</f>
        <v>0.27807140318668971</v>
      </c>
      <c r="CD340" s="1134">
        <f>'2025'!R\Max</f>
        <v>0.28055694361055633</v>
      </c>
      <c r="CE340" s="1134">
        <f>'2026'!R\Max</f>
        <v>0.28049142395199128</v>
      </c>
      <c r="CF340" s="1135">
        <f>'2027'!R\Max</f>
        <v>0.28034201041497969</v>
      </c>
    </row>
    <row r="341" spans="1:84" s="6" customFormat="1" ht="11.25" x14ac:dyDescent="0.2">
      <c r="A341" s="11">
        <v>43427</v>
      </c>
      <c r="B341" s="380">
        <f>'2023'!Maxi_hp</f>
        <v>31.553325364511156</v>
      </c>
      <c r="C341" s="85">
        <f>'2023'!An_max</f>
        <v>2020</v>
      </c>
      <c r="D341" s="1087">
        <f t="shared" si="135"/>
        <v>1.0352894585271946</v>
      </c>
      <c r="E341" s="747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836">
        <f t="shared" si="138"/>
        <v>0.21428571428571427</v>
      </c>
      <c r="J341" s="827">
        <f t="shared" si="139"/>
        <v>30.477780976731861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836">
        <f t="shared" si="143"/>
        <v>0.39285714285714285</v>
      </c>
      <c r="AT341" s="853">
        <f t="shared" si="144"/>
        <v>30.442678225040435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836">
        <f t="shared" si="148"/>
        <v>0.10714285714285714</v>
      </c>
      <c r="AY341" s="853">
        <f t="shared" si="149"/>
        <v>30.402546398481356</v>
      </c>
      <c r="AZ341" s="827">
        <f t="shared" si="153"/>
        <v>30.422612311760894</v>
      </c>
      <c r="BA341" s="660">
        <f t="shared" si="150"/>
        <v>1.0352894585271946</v>
      </c>
      <c r="BB341" s="655">
        <v>43427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924">
        <f>1+[2]!Salcycl*Ksac</f>
        <v>1.0088484744798363</v>
      </c>
      <c r="BH341" s="1080">
        <f t="shared" si="151"/>
        <v>6.0414670245154739E-3</v>
      </c>
      <c r="BI341" s="11">
        <v>44523</v>
      </c>
      <c r="BJ341" s="801">
        <v>2.292567500022059E-3</v>
      </c>
      <c r="BK341" s="801">
        <v>3.1210765920038235E-3</v>
      </c>
      <c r="BL341" s="801">
        <v>4.1293158759875418E-3</v>
      </c>
      <c r="BM341" s="801">
        <v>6.0413386097678363E-3</v>
      </c>
      <c r="BN341" s="801">
        <v>9.4335297821915558E-3</v>
      </c>
      <c r="BO341" s="802">
        <v>1.790745366781232E-2</v>
      </c>
      <c r="BP341" s="801">
        <v>4.9222987358973978E-2</v>
      </c>
      <c r="BQ341" s="801">
        <v>9.6834401879173096E-2</v>
      </c>
      <c r="BR341" s="801">
        <v>0.1508343524151112</v>
      </c>
      <c r="BS341" s="801">
        <v>0.19075742609375909</v>
      </c>
      <c r="BT341" s="801">
        <v>0.22250699752798644</v>
      </c>
      <c r="BW341" s="1136">
        <f>'2018'!R\Max</f>
        <v>0.43656789618823549</v>
      </c>
      <c r="BX341" s="1134">
        <f>'2019'!R\Max</f>
        <v>0.2766147445730569</v>
      </c>
      <c r="BY341" s="1134">
        <f>'2020'!R\Max</f>
        <v>1.0352894585271946</v>
      </c>
      <c r="BZ341" s="1134">
        <f>'2021'!R\Max</f>
        <v>0.37980313622448764</v>
      </c>
      <c r="CA341" s="1134">
        <f>'2022'!R\Max</f>
        <v>0.43782868265205827</v>
      </c>
      <c r="CB341" s="1134">
        <f>'2023'!R\Max</f>
        <v>0.43706328858817395</v>
      </c>
      <c r="CC341" s="1134">
        <f>'2024'!R\Max</f>
        <v>0.43589860577782663</v>
      </c>
      <c r="CD341" s="1134">
        <f>'2025'!R\Max</f>
        <v>0.43909344085659879</v>
      </c>
      <c r="CE341" s="1134">
        <f>'2026'!R\Max</f>
        <v>0.43901068137420812</v>
      </c>
      <c r="CF341" s="1135">
        <f>'2027'!R\Max</f>
        <v>0.43881019125150234</v>
      </c>
    </row>
    <row r="342" spans="1:84" s="6" customFormat="1" ht="11.25" x14ac:dyDescent="0.2">
      <c r="A342" s="11">
        <v>43428</v>
      </c>
      <c r="B342" s="380">
        <f>'2023'!Maxi_hp</f>
        <v>29.21125181785667</v>
      </c>
      <c r="C342" s="85">
        <f>'2023'!An_max</f>
        <v>2020</v>
      </c>
      <c r="D342" s="1087" t="str">
        <f t="shared" si="135"/>
        <v/>
      </c>
      <c r="E342" s="747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836">
        <f t="shared" si="138"/>
        <v>0.14285714285714285</v>
      </c>
      <c r="J342" s="827">
        <f t="shared" si="139"/>
        <v>30.2268644310534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836">
        <f t="shared" si="143"/>
        <v>0.42857142857142855</v>
      </c>
      <c r="AT342" s="853">
        <f t="shared" si="144"/>
        <v>30.163553167453834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836">
        <f t="shared" si="148"/>
        <v>7.1428571428571425E-2</v>
      </c>
      <c r="AY342" s="853">
        <f t="shared" si="149"/>
        <v>30.169142858750586</v>
      </c>
      <c r="AZ342" s="827">
        <f t="shared" si="153"/>
        <v>30.166348013102208</v>
      </c>
      <c r="BA342" s="660">
        <f t="shared" si="150"/>
        <v>0.96640033187983121</v>
      </c>
      <c r="BB342" s="655">
        <v>43428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924">
        <f>1+[2]!Salcycl*Ksac</f>
        <v>1.0083544403616933</v>
      </c>
      <c r="BH342" s="1080">
        <f t="shared" si="151"/>
        <v>6.1519053076712002E-3</v>
      </c>
      <c r="BI342" s="11">
        <v>44524</v>
      </c>
      <c r="BJ342" s="801">
        <v>2.3928211581950593E-3</v>
      </c>
      <c r="BK342" s="801">
        <v>3.219842279734242E-3</v>
      </c>
      <c r="BL342" s="801">
        <v>4.2277824683698969E-3</v>
      </c>
      <c r="BM342" s="801">
        <v>6.151776460164439E-3</v>
      </c>
      <c r="BN342" s="801">
        <v>9.5553993544731184E-3</v>
      </c>
      <c r="BO342" s="802">
        <v>1.8637043108529105E-2</v>
      </c>
      <c r="BP342" s="801">
        <v>5.0685373130286128E-2</v>
      </c>
      <c r="BQ342" s="801">
        <v>9.8016597038822414E-2</v>
      </c>
      <c r="BR342" s="801">
        <v>0.15070509870444401</v>
      </c>
      <c r="BS342" s="801">
        <v>0.18881877262331115</v>
      </c>
      <c r="BT342" s="801">
        <v>0.21941226731337979</v>
      </c>
      <c r="BW342" s="1136">
        <f>'2018'!R\Max</f>
        <v>0.77569864891560136</v>
      </c>
      <c r="BX342" s="1134">
        <f>'2019'!R\Max</f>
        <v>0.33951272008727923</v>
      </c>
      <c r="BY342" s="1134">
        <f>'2020'!R\Max</f>
        <v>0.96640033187983121</v>
      </c>
      <c r="BZ342" s="1134">
        <f>'2021'!R\Max</f>
        <v>5.1831111196642743E-2</v>
      </c>
      <c r="CA342" s="1134">
        <f>'2022'!R\Max</f>
        <v>0.52174677000660818</v>
      </c>
      <c r="CB342" s="1134">
        <f>'2023'!R\Max</f>
        <v>0.52095050610633753</v>
      </c>
      <c r="CC342" s="1134">
        <f>'2024'!R\Max</f>
        <v>0.51977269717280838</v>
      </c>
      <c r="CD342" s="1134">
        <f>'2025'!R\Max</f>
        <v>0.52308011026832668</v>
      </c>
      <c r="CE342" s="1134">
        <f>'2026'!R\Max</f>
        <v>0.52299579977319743</v>
      </c>
      <c r="CF342" s="1135">
        <f>'2027'!R\Max</f>
        <v>0.52277790030466487</v>
      </c>
    </row>
    <row r="343" spans="1:84" s="6" customFormat="1" ht="11.25" x14ac:dyDescent="0.2">
      <c r="A343" s="11">
        <v>43429</v>
      </c>
      <c r="B343" s="380">
        <f>'2023'!Maxi_hp</f>
        <v>27.276647569608237</v>
      </c>
      <c r="C343" s="85">
        <f>'2023'!An_max</f>
        <v>2020</v>
      </c>
      <c r="D343" s="1087" t="str">
        <f t="shared" si="135"/>
        <v/>
      </c>
      <c r="E343" s="747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836">
        <f t="shared" si="138"/>
        <v>7.1428571428571425E-2</v>
      </c>
      <c r="J343" s="827">
        <f t="shared" si="139"/>
        <v>29.983127186553816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836">
        <f t="shared" si="143"/>
        <v>0.4642857142857143</v>
      </c>
      <c r="AT343" s="853">
        <f t="shared" si="144"/>
        <v>29.889785590967431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836">
        <f t="shared" si="148"/>
        <v>3.5714285714285712E-2</v>
      </c>
      <c r="AY343" s="853">
        <f t="shared" si="149"/>
        <v>29.950313298171388</v>
      </c>
      <c r="AZ343" s="827">
        <f t="shared" si="153"/>
        <v>29.920049444569408</v>
      </c>
      <c r="BA343" s="660">
        <f t="shared" si="150"/>
        <v>0.90973324429750202</v>
      </c>
      <c r="BB343" s="655">
        <v>43429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924">
        <f>1+[2]!Salcycl*Ksac</f>
        <v>1.007878249194941</v>
      </c>
      <c r="BH343" s="1080">
        <f t="shared" si="151"/>
        <v>6.289550613476665E-3</v>
      </c>
      <c r="BI343" s="11">
        <v>44525</v>
      </c>
      <c r="BJ343" s="801">
        <v>2.5216562562895149E-3</v>
      </c>
      <c r="BK343" s="801">
        <v>3.3479358053259338E-3</v>
      </c>
      <c r="BL343" s="801">
        <v>4.3561964324507476E-3</v>
      </c>
      <c r="BM343" s="801">
        <v>6.2894215268372092E-3</v>
      </c>
      <c r="BN343" s="801">
        <v>9.69936132654922E-3</v>
      </c>
      <c r="BO343" s="802">
        <v>1.9451341333189993E-2</v>
      </c>
      <c r="BP343" s="801">
        <v>5.2083560441115138E-2</v>
      </c>
      <c r="BQ343" s="801">
        <v>9.9063341019381079E-2</v>
      </c>
      <c r="BR343" s="801">
        <v>0.15036370837842417</v>
      </c>
      <c r="BS343" s="801">
        <v>0.18685878246126575</v>
      </c>
      <c r="BT343" s="801">
        <v>0.21646463227795448</v>
      </c>
      <c r="BW343" s="1136">
        <f>'2018'!R\Max</f>
        <v>0.40168500124508366</v>
      </c>
      <c r="BX343" s="1134">
        <f>'2019'!R\Max</f>
        <v>0.45338250452943857</v>
      </c>
      <c r="BY343" s="1134">
        <f>'2020'!R\Max</f>
        <v>0.90973324429750202</v>
      </c>
      <c r="BZ343" s="1134">
        <f>'2021'!R\Max</f>
        <v>0.46681403794359139</v>
      </c>
      <c r="CA343" s="1134">
        <f>'2022'!R\Max</f>
        <v>0.16158297902658728</v>
      </c>
      <c r="CB343" s="1134">
        <f>'2023'!R\Max</f>
        <v>0.16121417732104557</v>
      </c>
      <c r="CC343" s="1134">
        <f>'2024'!R\Max</f>
        <v>0.16068331983782799</v>
      </c>
      <c r="CD343" s="1134">
        <f>'2025'!R\Max</f>
        <v>0.16221247681768794</v>
      </c>
      <c r="CE343" s="1134">
        <f>'2026'!R\Max</f>
        <v>0.16217393847588013</v>
      </c>
      <c r="CF343" s="1135">
        <f>'2027'!R\Max</f>
        <v>0.1620673488228489</v>
      </c>
    </row>
    <row r="344" spans="1:84" s="6" customFormat="1" ht="11.25" x14ac:dyDescent="0.2">
      <c r="A344" s="11">
        <v>43430</v>
      </c>
      <c r="B344" s="380">
        <f>'2023'!Maxi_hp</f>
        <v>27.777098112719983</v>
      </c>
      <c r="C344" s="85">
        <f>'2023'!An_max</f>
        <v>2020</v>
      </c>
      <c r="D344" s="1087" t="str">
        <f t="shared" si="135"/>
        <v/>
      </c>
      <c r="E344" s="835">
        <f>AK$13/10</f>
        <v>29.746999999999996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836">
        <f t="shared" si="138"/>
        <v>0</v>
      </c>
      <c r="J344" s="827">
        <f t="shared" si="139"/>
        <v>29.746999999135731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836">
        <f t="shared" si="143"/>
        <v>0.5</v>
      </c>
      <c r="AT344" s="853">
        <f t="shared" si="144"/>
        <v>29.622348041646184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836">
        <f t="shared" si="148"/>
        <v>0</v>
      </c>
      <c r="AY344" s="853">
        <f t="shared" si="149"/>
        <v>29.747000001370907</v>
      </c>
      <c r="AZ344" s="827">
        <f t="shared" si="153"/>
        <v>29.684674021508545</v>
      </c>
      <c r="BA344" s="660">
        <f t="shared" si="150"/>
        <v>0.93377813270336563</v>
      </c>
      <c r="BB344" s="655">
        <v>43430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924">
        <f>1+[2]!Salcycl*Ksac</f>
        <v>1.007420094888319</v>
      </c>
      <c r="BH344" s="1080">
        <f t="shared" si="151"/>
        <v>6.4544204832686575E-3</v>
      </c>
      <c r="BI344" s="11">
        <v>44526</v>
      </c>
      <c r="BJ344" s="801">
        <v>2.6790838490437941E-3</v>
      </c>
      <c r="BK344" s="801">
        <v>3.5053704431696371E-3</v>
      </c>
      <c r="BL344" s="801">
        <v>4.5145734912791467E-3</v>
      </c>
      <c r="BM344" s="801">
        <v>6.4542913509775465E-3</v>
      </c>
      <c r="BN344" s="801">
        <v>9.865437080266307E-3</v>
      </c>
      <c r="BO344" s="802">
        <v>2.0350372065784144E-2</v>
      </c>
      <c r="BP344" s="801">
        <v>5.3417512419721175E-2</v>
      </c>
      <c r="BQ344" s="801">
        <v>9.9974684224189828E-2</v>
      </c>
      <c r="BR344" s="801">
        <v>0.14981040747833527</v>
      </c>
      <c r="BS344" s="801">
        <v>0.18487799366400534</v>
      </c>
      <c r="BT344" s="801">
        <v>0.2136648653883027</v>
      </c>
      <c r="BW344" s="1136">
        <f>'2018'!R\Max</f>
        <v>0.14857027896145167</v>
      </c>
      <c r="BX344" s="1134">
        <f>'2019'!R\Max</f>
        <v>0.75017381380241255</v>
      </c>
      <c r="BY344" s="1134">
        <f>'2020'!R\Max</f>
        <v>0.93377813270336563</v>
      </c>
      <c r="BZ344" s="1134">
        <f>'2021'!R\Max</f>
        <v>0.27740979879653049</v>
      </c>
      <c r="CA344" s="1134">
        <f>'2022'!R\Max</f>
        <v>0.5058633618175733</v>
      </c>
      <c r="CB344" s="1134">
        <f>'2023'!R\Max</f>
        <v>0.50503632338150373</v>
      </c>
      <c r="CC344" s="1134">
        <f>'2024'!R\Max</f>
        <v>0.50387015254397027</v>
      </c>
      <c r="CD344" s="1134">
        <f>'2025'!R\Max</f>
        <v>0.50730133909880981</v>
      </c>
      <c r="CE344" s="1134">
        <f>'2026'!R\Max</f>
        <v>0.50721627881838049</v>
      </c>
      <c r="CF344" s="1135">
        <f>'2027'!R\Max</f>
        <v>0.50696366957297234</v>
      </c>
    </row>
    <row r="345" spans="1:84" s="6" customFormat="1" ht="11.25" x14ac:dyDescent="0.2">
      <c r="A345" s="11">
        <v>43431</v>
      </c>
      <c r="B345" s="380">
        <f>'2023'!Maxi_hp</f>
        <v>27.662208875171967</v>
      </c>
      <c r="C345" s="85">
        <f>'2023'!An_max</f>
        <v>2018</v>
      </c>
      <c r="D345" s="1087" t="str">
        <f t="shared" si="135"/>
        <v/>
      </c>
      <c r="E345" s="747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836">
        <f t="shared" si="138"/>
        <v>7.1428571428571425E-2</v>
      </c>
      <c r="J345" s="827">
        <f t="shared" si="139"/>
        <v>29.513870171351094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836">
        <f t="shared" si="143"/>
        <v>0.5357142857142857</v>
      </c>
      <c r="AT345" s="853">
        <f t="shared" si="144"/>
        <v>29.362213063758929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836">
        <f t="shared" si="148"/>
        <v>3.5714285714285712E-2</v>
      </c>
      <c r="AY345" s="853">
        <f t="shared" si="149"/>
        <v>29.554063230540073</v>
      </c>
      <c r="AZ345" s="827">
        <f t="shared" si="153"/>
        <v>29.458138147149501</v>
      </c>
      <c r="BA345" s="660">
        <f t="shared" si="150"/>
        <v>0.93726131864683326</v>
      </c>
      <c r="BB345" s="655">
        <v>43431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924">
        <f>1+[2]!Salcycl*Ksac</f>
        <v>1.0069801067691218</v>
      </c>
      <c r="BH345" s="1080">
        <f t="shared" si="151"/>
        <v>6.6465296115164139E-3</v>
      </c>
      <c r="BI345" s="11">
        <v>44527</v>
      </c>
      <c r="BJ345" s="801">
        <v>2.8651118907965581E-3</v>
      </c>
      <c r="BK345" s="801">
        <v>3.6921562476641945E-3</v>
      </c>
      <c r="BL345" s="801">
        <v>4.7029260547217927E-3</v>
      </c>
      <c r="BM345" s="801">
        <v>6.6464006268797697E-3</v>
      </c>
      <c r="BN345" s="801">
        <v>1.0053645930504089E-2</v>
      </c>
      <c r="BO345" s="802">
        <v>2.1334153402644652E-2</v>
      </c>
      <c r="BP345" s="801">
        <v>5.468721299449663E-2</v>
      </c>
      <c r="BQ345" s="801">
        <v>0.10075070503881833</v>
      </c>
      <c r="BR345" s="801">
        <v>0.14904544928306043</v>
      </c>
      <c r="BS345" s="801">
        <v>0.18287692993085303</v>
      </c>
      <c r="BT345" s="801">
        <v>0.21101369225042013</v>
      </c>
      <c r="BW345" s="1136">
        <f>'2018'!R\Max</f>
        <v>0.93726131864683326</v>
      </c>
      <c r="BX345" s="1134">
        <f>'2019'!R\Max</f>
        <v>0.72985170946674827</v>
      </c>
      <c r="BY345" s="1134">
        <f>'2020'!R\Max</f>
        <v>0.74454748428867834</v>
      </c>
      <c r="BZ345" s="1134">
        <f>'2021'!R\Max</f>
        <v>0.48730371641485154</v>
      </c>
      <c r="CA345" s="1134">
        <f>'2022'!R\Max</f>
        <v>0.54324525081653141</v>
      </c>
      <c r="CB345" s="1134">
        <f>'2023'!R\Max</f>
        <v>0.54241492403972358</v>
      </c>
      <c r="CC345" s="1134">
        <f>'2024'!R\Max</f>
        <v>0.54126609774412049</v>
      </c>
      <c r="CD345" s="1134">
        <f>'2025'!R\Max</f>
        <v>0.5447225468409691</v>
      </c>
      <c r="CE345" s="1134">
        <f>'2026'!R\Max</f>
        <v>0.54463803217436879</v>
      </c>
      <c r="CF345" s="1135">
        <f>'2027'!R\Max</f>
        <v>0.54436799269206348</v>
      </c>
    </row>
    <row r="346" spans="1:84" s="6" customFormat="1" ht="11.25" x14ac:dyDescent="0.2">
      <c r="A346" s="11">
        <v>43432</v>
      </c>
      <c r="B346" s="380">
        <f>'2023'!Maxi_hp</f>
        <v>20.343286490073936</v>
      </c>
      <c r="C346" s="85">
        <f>'2023'!An_max</f>
        <v>2018</v>
      </c>
      <c r="D346" s="1087" t="str">
        <f t="shared" si="135"/>
        <v/>
      </c>
      <c r="E346" s="747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836">
        <f t="shared" si="138"/>
        <v>0.14285714285714285</v>
      </c>
      <c r="J346" s="827">
        <f t="shared" si="139"/>
        <v>29.280058308584351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836">
        <f t="shared" si="143"/>
        <v>0.5714285714285714</v>
      </c>
      <c r="AT346" s="853">
        <f t="shared" si="144"/>
        <v>29.110353200776238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836">
        <f t="shared" si="148"/>
        <v>7.1428571428571425E-2</v>
      </c>
      <c r="AY346" s="853">
        <f t="shared" si="149"/>
        <v>29.365961383708889</v>
      </c>
      <c r="AZ346" s="827">
        <f t="shared" si="153"/>
        <v>29.238157292242562</v>
      </c>
      <c r="BA346" s="660">
        <f t="shared" si="150"/>
        <v>0.69478299106083663</v>
      </c>
      <c r="BB346" s="655">
        <v>43432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924">
        <f>1+[2]!Salcycl*Ksac</f>
        <v>1.0065583502194819</v>
      </c>
      <c r="BH346" s="1080">
        <f t="shared" si="151"/>
        <v>6.8944288961872435E-3</v>
      </c>
      <c r="BI346" s="11">
        <v>44528</v>
      </c>
      <c r="BJ346" s="801">
        <v>3.1010385553712216E-3</v>
      </c>
      <c r="BK346" s="801">
        <v>3.9321279324522444E-3</v>
      </c>
      <c r="BL346" s="801">
        <v>4.9476161207362909E-3</v>
      </c>
      <c r="BM346" s="801">
        <v>6.8943001610464946E-3</v>
      </c>
      <c r="BN346" s="801">
        <v>1.0294954805975953E-2</v>
      </c>
      <c r="BO346" s="802">
        <v>2.2377902093478067E-2</v>
      </c>
      <c r="BP346" s="801">
        <v>5.5855099430446697E-2</v>
      </c>
      <c r="BQ346" s="801">
        <v>0.10134409520869932</v>
      </c>
      <c r="BR346" s="801">
        <v>0.14807281374012063</v>
      </c>
      <c r="BS346" s="801">
        <v>0.18087037334195713</v>
      </c>
      <c r="BT346" s="801">
        <v>0.20853552467309425</v>
      </c>
      <c r="BW346" s="1136">
        <f>'2018'!R\Max</f>
        <v>0.69478299106083663</v>
      </c>
      <c r="BX346" s="1134">
        <f>'2019'!R\Max</f>
        <v>0.28497263928776906</v>
      </c>
      <c r="BY346" s="1134">
        <f>'2020'!R\Max</f>
        <v>0.64749096867332834</v>
      </c>
      <c r="BZ346" s="1134">
        <f>'2021'!R\Max</f>
        <v>0.21939077570201071</v>
      </c>
      <c r="CA346" s="1134">
        <f>'2022'!R\Max</f>
        <v>0.35309449910732221</v>
      </c>
      <c r="CB346" s="1134">
        <f>'2023'!R\Max</f>
        <v>0.35232556874796028</v>
      </c>
      <c r="CC346" s="1134">
        <f>'2024'!R\Max</f>
        <v>0.35128042320490055</v>
      </c>
      <c r="CD346" s="1134">
        <f>'2025'!R\Max</f>
        <v>0.35449944214575702</v>
      </c>
      <c r="CE346" s="1134">
        <f>'2026'!R\Max</f>
        <v>0.35442139842319015</v>
      </c>
      <c r="CF346" s="1135">
        <f>'2027'!R\Max</f>
        <v>0.35415413131432655</v>
      </c>
    </row>
    <row r="347" spans="1:84" s="6" customFormat="1" ht="11.25" x14ac:dyDescent="0.2">
      <c r="A347" s="11">
        <v>43433</v>
      </c>
      <c r="B347" s="380">
        <f>'2023'!Maxi_hp</f>
        <v>29.549892661364552</v>
      </c>
      <c r="C347" s="85">
        <f>'2023'!An_max</f>
        <v>2018</v>
      </c>
      <c r="D347" s="1087">
        <f t="shared" si="135"/>
        <v>1.0172992284558136</v>
      </c>
      <c r="E347" s="747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836">
        <f t="shared" si="138"/>
        <v>0.21428571428571427</v>
      </c>
      <c r="J347" s="827">
        <f t="shared" si="139"/>
        <v>29.047395136845967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836">
        <f t="shared" si="143"/>
        <v>0.6071428571428571</v>
      </c>
      <c r="AT347" s="853">
        <f t="shared" si="144"/>
        <v>28.867740997791827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836">
        <f t="shared" si="148"/>
        <v>0.10714285714285714</v>
      </c>
      <c r="AY347" s="853">
        <f t="shared" si="149"/>
        <v>29.183033937854429</v>
      </c>
      <c r="AZ347" s="827">
        <f t="shared" si="153"/>
        <v>29.02538746782313</v>
      </c>
      <c r="BA347" s="660">
        <f t="shared" si="150"/>
        <v>1.0172992284558136</v>
      </c>
      <c r="BB347" s="655">
        <v>43433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924">
        <f>1+[2]!Salcycl*Ksac</f>
        <v>1.0061548276949595</v>
      </c>
      <c r="BH347" s="1080">
        <f t="shared" si="151"/>
        <v>7.1981087885571796E-3</v>
      </c>
      <c r="BI347" s="11">
        <v>44529</v>
      </c>
      <c r="BJ347" s="801">
        <v>3.3838340940877173E-3</v>
      </c>
      <c r="BK347" s="801">
        <v>4.2228537540757059E-3</v>
      </c>
      <c r="BL347" s="801">
        <v>5.2470942061774188E-3</v>
      </c>
      <c r="BM347" s="801">
        <v>7.197980378607618E-3</v>
      </c>
      <c r="BN347" s="801">
        <v>1.0590044805544896E-2</v>
      </c>
      <c r="BO347" s="802">
        <v>2.3440643466226551E-2</v>
      </c>
      <c r="BP347" s="801">
        <v>5.6951885557230443E-2</v>
      </c>
      <c r="BQ347" s="801">
        <v>0.10186416017150017</v>
      </c>
      <c r="BR347" s="801">
        <v>0.14706039129288551</v>
      </c>
      <c r="BS347" s="801">
        <v>0.17891745280883833</v>
      </c>
      <c r="BT347" s="801">
        <v>0.20612108033195534</v>
      </c>
      <c r="BW347" s="1136">
        <f>'2018'!R\Max</f>
        <v>1.0172992284558136</v>
      </c>
      <c r="BX347" s="1134">
        <f>'2019'!R\Max</f>
        <v>0.70005252425280573</v>
      </c>
      <c r="BY347" s="1134">
        <f>'2020'!R\Max</f>
        <v>0.39172828273998145</v>
      </c>
      <c r="BZ347" s="1134">
        <f>'2021'!R\Max</f>
        <v>0.30028963576858186</v>
      </c>
      <c r="CA347" s="1134">
        <f>'2022'!R\Max</f>
        <v>0.50130854426596849</v>
      </c>
      <c r="CB347" s="1134">
        <f>'2023'!R\Max</f>
        <v>0.50046308402556539</v>
      </c>
      <c r="CC347" s="1134">
        <f>'2024'!R\Max</f>
        <v>0.49932829460230266</v>
      </c>
      <c r="CD347" s="1134">
        <f>'2025'!R\Max</f>
        <v>0.50288882893488329</v>
      </c>
      <c r="CE347" s="1134">
        <f>'2026'!R\Max</f>
        <v>0.50280352175809928</v>
      </c>
      <c r="CF347" s="1135">
        <f>'2027'!R\Max</f>
        <v>0.50249223526606868</v>
      </c>
    </row>
    <row r="348" spans="1:84" s="6" customFormat="1" ht="11.25" x14ac:dyDescent="0.2">
      <c r="A348" s="11">
        <v>43434</v>
      </c>
      <c r="B348" s="380">
        <f>'2023'!Maxi_hp</f>
        <v>27.333508248606524</v>
      </c>
      <c r="C348" s="85">
        <f>'2023'!An_max</f>
        <v>2020</v>
      </c>
      <c r="D348" s="1087" t="str">
        <f t="shared" si="135"/>
        <v/>
      </c>
      <c r="E348" s="747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836">
        <f t="shared" si="138"/>
        <v>0.2857142857142857</v>
      </c>
      <c r="J348" s="827">
        <f t="shared" si="139"/>
        <v>28.817711371289828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836">
        <f t="shared" si="143"/>
        <v>0.6428571428571429</v>
      </c>
      <c r="AT348" s="853">
        <f t="shared" si="144"/>
        <v>28.635348999127746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836">
        <f t="shared" si="148"/>
        <v>0.14285714285714285</v>
      </c>
      <c r="AY348" s="853">
        <f t="shared" si="149"/>
        <v>29.0056203697409</v>
      </c>
      <c r="AZ348" s="827">
        <f t="shared" si="153"/>
        <v>28.820484684434323</v>
      </c>
      <c r="BA348" s="660">
        <f t="shared" si="150"/>
        <v>0.94849684266870793</v>
      </c>
      <c r="BB348" s="655">
        <v>43434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924">
        <f>1+[2]!Salcycl*Ksac</f>
        <v>1.0057694801145109</v>
      </c>
      <c r="BH348" s="1080">
        <f t="shared" si="151"/>
        <v>7.5575843734722523E-3</v>
      </c>
      <c r="BI348" s="11">
        <v>44530</v>
      </c>
      <c r="BJ348" s="801">
        <v>3.713504114158191E-3</v>
      </c>
      <c r="BK348" s="801">
        <v>4.5643417928408012E-3</v>
      </c>
      <c r="BL348" s="801">
        <v>5.6013712510887522E-3</v>
      </c>
      <c r="BM348" s="801">
        <v>7.5574563641454583E-3</v>
      </c>
      <c r="BN348" s="801">
        <v>1.0938937979989788E-2</v>
      </c>
      <c r="BO348" s="802">
        <v>2.4522374556599291E-2</v>
      </c>
      <c r="BP348" s="801">
        <v>5.7977609993027569E-2</v>
      </c>
      <c r="BQ348" s="801">
        <v>0.10231106303790986</v>
      </c>
      <c r="BR348" s="801">
        <v>0.14600853250202142</v>
      </c>
      <c r="BS348" s="801">
        <v>0.17701866407975997</v>
      </c>
      <c r="BT348" s="801">
        <v>0.20377093984161151</v>
      </c>
      <c r="BW348" s="1136">
        <f>'2018'!R\Max</f>
        <v>0.38221264312649572</v>
      </c>
      <c r="BX348" s="1134">
        <f>'2019'!R\Max</f>
        <v>0.42118952047370906</v>
      </c>
      <c r="BY348" s="1134">
        <f>'2020'!R\Max</f>
        <v>0.94849684266870793</v>
      </c>
      <c r="BZ348" s="1134">
        <f>'2021'!R\Max</f>
        <v>0.77963497809151416</v>
      </c>
      <c r="CA348" s="1134">
        <f>'2022'!R\Max</f>
        <v>0.16414234862905777</v>
      </c>
      <c r="CB348" s="1134">
        <f>'2023'!R\Max</f>
        <v>0.16375263599103421</v>
      </c>
      <c r="CC348" s="1134">
        <f>'2024'!R\Max</f>
        <v>0.16323625758838936</v>
      </c>
      <c r="CD348" s="1134">
        <f>'2025'!R\Max</f>
        <v>0.16488973673740281</v>
      </c>
      <c r="CE348" s="1134">
        <f>'2026'!R\Max</f>
        <v>0.1648503466059705</v>
      </c>
      <c r="CF348" s="1135">
        <f>'2027'!R\Max</f>
        <v>0.16469810421649897</v>
      </c>
    </row>
    <row r="349" spans="1:84" s="6" customFormat="1" ht="11.25" x14ac:dyDescent="0.2">
      <c r="A349" s="11">
        <v>43435</v>
      </c>
      <c r="B349" s="380">
        <f>'2023'!Maxi_hp</f>
        <v>28.263329653266126</v>
      </c>
      <c r="C349" s="85">
        <f>'2023'!An_max</f>
        <v>2020</v>
      </c>
      <c r="D349" s="1087">
        <f t="shared" si="135"/>
        <v>0.98847585235940016</v>
      </c>
      <c r="E349" s="747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836">
        <f t="shared" si="138"/>
        <v>0.35714285714285715</v>
      </c>
      <c r="J349" s="827">
        <f t="shared" si="139"/>
        <v>28.592837736808825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836">
        <f t="shared" si="143"/>
        <v>0.6785714285714286</v>
      </c>
      <c r="AT349" s="853">
        <f t="shared" si="144"/>
        <v>28.414149748334399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836">
        <f t="shared" si="148"/>
        <v>0.17857142857142858</v>
      </c>
      <c r="AY349" s="853">
        <f t="shared" si="149"/>
        <v>28.834060157037207</v>
      </c>
      <c r="AZ349" s="827">
        <f t="shared" si="153"/>
        <v>28.624104952685805</v>
      </c>
      <c r="BA349" s="660">
        <f t="shared" si="150"/>
        <v>0.98847585235940016</v>
      </c>
      <c r="BB349" s="655">
        <v>43435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924">
        <f>1+[2]!Salcycl*Ksac</f>
        <v>1.0054021886080418</v>
      </c>
      <c r="BH349" s="1080">
        <f t="shared" si="151"/>
        <v>7.9728679084676013E-3</v>
      </c>
      <c r="BI349" s="11">
        <v>44531</v>
      </c>
      <c r="BJ349" s="801">
        <v>4.0900520846860388E-3</v>
      </c>
      <c r="BK349" s="801">
        <v>4.9565976828272124E-3</v>
      </c>
      <c r="BL349" s="801">
        <v>6.0104554333096005E-3</v>
      </c>
      <c r="BM349" s="801">
        <v>7.9727403749272428E-3</v>
      </c>
      <c r="BN349" s="801">
        <v>1.1341653663730392E-2</v>
      </c>
      <c r="BO349" s="802">
        <v>2.5623099386213419E-2</v>
      </c>
      <c r="BP349" s="801">
        <v>5.8932327166308689E-2</v>
      </c>
      <c r="BQ349" s="801">
        <v>0.10268497801311606</v>
      </c>
      <c r="BR349" s="801">
        <v>0.14491758290754883</v>
      </c>
      <c r="BS349" s="801">
        <v>0.17517448100583569</v>
      </c>
      <c r="BT349" s="801">
        <v>0.20148565703199961</v>
      </c>
      <c r="BW349" s="1136">
        <f>'2018'!R\Max</f>
        <v>0.7074002676695258</v>
      </c>
      <c r="BX349" s="1134">
        <f>'2019'!R\Max</f>
        <v>0.39272547785070194</v>
      </c>
      <c r="BY349" s="1134">
        <f>'2020'!R\Max</f>
        <v>0.98847585235940016</v>
      </c>
      <c r="BZ349" s="1134">
        <f>'2021'!R\Max</f>
        <v>0.14970825598759888</v>
      </c>
      <c r="CA349" s="1134">
        <f>'2022'!R\Max</f>
        <v>0.13380556745252431</v>
      </c>
      <c r="CB349" s="1134">
        <f>'2023'!R\Max</f>
        <v>0.13348819732752057</v>
      </c>
      <c r="CC349" s="1134">
        <f>'2024'!R\Max</f>
        <v>0.1330713600339847</v>
      </c>
      <c r="CD349" s="1134">
        <f>'2025'!R\Max</f>
        <v>0.13442867983527104</v>
      </c>
      <c r="CE349" s="1134">
        <f>'2026'!R\Max</f>
        <v>0.13439658084940886</v>
      </c>
      <c r="CF349" s="1135">
        <f>'2027'!R\Max</f>
        <v>0.13426574290823778</v>
      </c>
    </row>
    <row r="350" spans="1:84" s="6" customFormat="1" ht="11.25" x14ac:dyDescent="0.2">
      <c r="A350" s="11">
        <v>43436</v>
      </c>
      <c r="B350" s="380">
        <f>'2023'!Maxi_hp</f>
        <v>11.458603807529059</v>
      </c>
      <c r="C350" s="85">
        <f>'2023'!An_max</f>
        <v>2021</v>
      </c>
      <c r="D350" s="1087" t="str">
        <f t="shared" si="135"/>
        <v/>
      </c>
      <c r="E350" s="747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836">
        <f t="shared" si="138"/>
        <v>0.42857142857142855</v>
      </c>
      <c r="J350" s="827">
        <f t="shared" si="139"/>
        <v>28.37460495531559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836">
        <f t="shared" si="143"/>
        <v>0.7142857142857143</v>
      </c>
      <c r="AT350" s="853">
        <f t="shared" si="144"/>
        <v>28.205115793432508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836">
        <f t="shared" si="148"/>
        <v>0.21428571428571427</v>
      </c>
      <c r="AY350" s="853">
        <f t="shared" si="149"/>
        <v>28.668692777199404</v>
      </c>
      <c r="AZ350" s="827">
        <f t="shared" si="153"/>
        <v>28.436904285315954</v>
      </c>
      <c r="BA350" s="660">
        <f t="shared" si="150"/>
        <v>0.40383306923828899</v>
      </c>
      <c r="BB350" s="655">
        <v>43436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924">
        <f>1+[2]!Salcycl*Ksac</f>
        <v>1.0050527766050199</v>
      </c>
      <c r="BH350" s="1080">
        <f t="shared" si="151"/>
        <v>8.4439699855817073E-3</v>
      </c>
      <c r="BI350" s="11">
        <v>44532</v>
      </c>
      <c r="BJ350" s="801">
        <v>4.513480311668345E-3</v>
      </c>
      <c r="BK350" s="801">
        <v>5.3996256680125627E-3</v>
      </c>
      <c r="BL350" s="801">
        <v>6.4743533088831321E-3</v>
      </c>
      <c r="BM350" s="801">
        <v>8.4438430027208595E-3</v>
      </c>
      <c r="BN350" s="801">
        <v>1.1798209596439013E-2</v>
      </c>
      <c r="BO350" s="802">
        <v>2.674282936188678E-2</v>
      </c>
      <c r="BP350" s="801">
        <v>5.9816105854085533E-2</v>
      </c>
      <c r="BQ350" s="801">
        <v>0.10298608890946435</v>
      </c>
      <c r="BR350" s="801">
        <v>0.14378788226465403</v>
      </c>
      <c r="BS350" s="801">
        <v>0.17338535673760327</v>
      </c>
      <c r="BT350" s="801">
        <v>0.19926576036788463</v>
      </c>
      <c r="BW350" s="1136">
        <f>'2018'!R\Max</f>
        <v>0.27534673990414443</v>
      </c>
      <c r="BX350" s="1134">
        <f>'2019'!R\Max</f>
        <v>0.15289809827689652</v>
      </c>
      <c r="BY350" s="1134">
        <f>'2020'!R\Max</f>
        <v>0.15465315538959704</v>
      </c>
      <c r="BZ350" s="1134">
        <f>'2021'!R\Max</f>
        <v>0.40383306923828899</v>
      </c>
      <c r="CA350" s="1134">
        <f>'2022'!R\Max</f>
        <v>0.25466538185345672</v>
      </c>
      <c r="CB350" s="1134">
        <f>'2023'!R\Max</f>
        <v>0.25406358434373921</v>
      </c>
      <c r="CC350" s="1134">
        <f>'2024'!R\Max</f>
        <v>0.2532781321426506</v>
      </c>
      <c r="CD350" s="1134">
        <f>'2025'!R\Max</f>
        <v>0.25587493890997565</v>
      </c>
      <c r="CE350" s="1134">
        <f>'2026'!R\Max</f>
        <v>0.25581390324381614</v>
      </c>
      <c r="CF350" s="1135">
        <f>'2027'!R\Max</f>
        <v>0.25555258552510168</v>
      </c>
    </row>
    <row r="351" spans="1:84" s="6" customFormat="1" ht="11.25" x14ac:dyDescent="0.2">
      <c r="A351" s="11">
        <v>43437</v>
      </c>
      <c r="B351" s="380">
        <f>'2023'!Maxi_hp</f>
        <v>16.674095051480148</v>
      </c>
      <c r="C351" s="85">
        <f>'2023'!An_max</f>
        <v>2021</v>
      </c>
      <c r="D351" s="1087" t="str">
        <f t="shared" si="135"/>
        <v/>
      </c>
      <c r="E351" s="747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836">
        <f t="shared" si="138"/>
        <v>0.5</v>
      </c>
      <c r="J351" s="827">
        <f t="shared" si="139"/>
        <v>28.16484375037253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836">
        <f t="shared" si="143"/>
        <v>0.75</v>
      </c>
      <c r="AT351" s="853">
        <f t="shared" si="144"/>
        <v>28.009219673462212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836">
        <f t="shared" si="148"/>
        <v>0.25</v>
      </c>
      <c r="AY351" s="853">
        <f t="shared" si="149"/>
        <v>28.509857708960773</v>
      </c>
      <c r="AZ351" s="827">
        <f t="shared" si="153"/>
        <v>28.259538691211493</v>
      </c>
      <c r="BA351" s="660">
        <f t="shared" si="150"/>
        <v>0.59201802073762977</v>
      </c>
      <c r="BB351" s="655">
        <v>43437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924">
        <f>1+[2]!Salcycl*Ksac</f>
        <v>1.0047210122450463</v>
      </c>
      <c r="BH351" s="1080">
        <f t="shared" si="151"/>
        <v>8.9709006930741835E-3</v>
      </c>
      <c r="BI351" s="11">
        <v>44533</v>
      </c>
      <c r="BJ351" s="801">
        <v>4.9837909129522998E-3</v>
      </c>
      <c r="BK351" s="801">
        <v>5.8934296583397563E-3</v>
      </c>
      <c r="BL351" s="801">
        <v>6.9930709523937902E-3</v>
      </c>
      <c r="BM351" s="801">
        <v>8.970774335514178E-3</v>
      </c>
      <c r="BN351" s="801">
        <v>1.2308623044511052E-2</v>
      </c>
      <c r="BO351" s="802">
        <v>2.7881583674618956E-2</v>
      </c>
      <c r="BP351" s="801">
        <v>6.0629027719409423E-2</v>
      </c>
      <c r="BQ351" s="801">
        <v>0.10321458765777625</v>
      </c>
      <c r="BR351" s="801">
        <v>0.1426197637775686</v>
      </c>
      <c r="BS351" s="801">
        <v>0.17165172491924782</v>
      </c>
      <c r="BT351" s="801">
        <v>0.19711175436565148</v>
      </c>
      <c r="BW351" s="1136">
        <f>'2018'!R\Max</f>
        <v>0.36191343219245942</v>
      </c>
      <c r="BX351" s="1134">
        <f>'2019'!R\Max</f>
        <v>0.15309348078409632</v>
      </c>
      <c r="BY351" s="1134">
        <f>'2020'!R\Max</f>
        <v>4.0606740834359709E-2</v>
      </c>
      <c r="BZ351" s="1134">
        <f>'2021'!R\Max</f>
        <v>0.59201802073762977</v>
      </c>
      <c r="CA351" s="1134">
        <f>'2022'!R\Max</f>
        <v>0.28878005811040136</v>
      </c>
      <c r="CB351" s="1134">
        <f>'2023'!R\Max</f>
        <v>0.28810210165192812</v>
      </c>
      <c r="CC351" s="1134">
        <f>'2024'!R\Max</f>
        <v>0.28722053541784165</v>
      </c>
      <c r="CD351" s="1134">
        <f>'2025'!R\Max</f>
        <v>0.2901751781551844</v>
      </c>
      <c r="CE351" s="1134">
        <f>'2026'!R\Max</f>
        <v>0.29010607608765893</v>
      </c>
      <c r="CF351" s="1135">
        <f>'2027'!R\Max</f>
        <v>0.2897964147211507</v>
      </c>
    </row>
    <row r="352" spans="1:84" s="6" customFormat="1" ht="11.25" x14ac:dyDescent="0.2">
      <c r="A352" s="11">
        <v>43438</v>
      </c>
      <c r="B352" s="380">
        <f>'2023'!Maxi_hp</f>
        <v>22.627987820591123</v>
      </c>
      <c r="C352" s="85">
        <f>'2023'!An_max</f>
        <v>2022</v>
      </c>
      <c r="D352" s="1087" t="str">
        <f t="shared" si="135"/>
        <v/>
      </c>
      <c r="E352" s="747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836">
        <f t="shared" si="138"/>
        <v>0.5714285714285714</v>
      </c>
      <c r="J352" s="827">
        <f t="shared" si="139"/>
        <v>27.965384840433085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836">
        <f t="shared" si="143"/>
        <v>0.7857142857142857</v>
      </c>
      <c r="AT352" s="853">
        <f t="shared" si="144"/>
        <v>27.827433934488464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836">
        <f t="shared" si="148"/>
        <v>0.2857142857142857</v>
      </c>
      <c r="AY352" s="853">
        <f t="shared" si="149"/>
        <v>28.357894431267464</v>
      </c>
      <c r="AZ352" s="827">
        <f t="shared" si="153"/>
        <v>28.092664182877964</v>
      </c>
      <c r="BA352" s="660">
        <f t="shared" si="150"/>
        <v>0.80914272947443888</v>
      </c>
      <c r="BB352" s="655">
        <v>43438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924">
        <f>1+[2]!Salcycl*Ksac</f>
        <v>1.004406611088877</v>
      </c>
      <c r="BH352" s="1080">
        <f t="shared" si="151"/>
        <v>9.5250394848635962E-3</v>
      </c>
      <c r="BI352" s="11">
        <v>44534</v>
      </c>
      <c r="BJ352" s="801">
        <v>5.4763922845132299E-3</v>
      </c>
      <c r="BK352" s="801">
        <v>6.4118159349184391E-3</v>
      </c>
      <c r="BL352" s="801">
        <v>7.5388506900941179E-3</v>
      </c>
      <c r="BM352" s="801">
        <v>9.5249137699910946E-3</v>
      </c>
      <c r="BN352" s="801">
        <v>1.2845785309963005E-2</v>
      </c>
      <c r="BO352" s="802">
        <v>2.8986212989353406E-2</v>
      </c>
      <c r="BP352" s="801">
        <v>6.133097904626339E-2</v>
      </c>
      <c r="BQ352" s="801">
        <v>0.10334730885989474</v>
      </c>
      <c r="BR352" s="801">
        <v>0.14144000339188947</v>
      </c>
      <c r="BS352" s="801">
        <v>0.17001517819770476</v>
      </c>
      <c r="BT352" s="801">
        <v>0.19507834949719816</v>
      </c>
      <c r="BW352" s="1136">
        <f>'2018'!R\Max</f>
        <v>0.21843279605780436</v>
      </c>
      <c r="BX352" s="1134">
        <f>'2019'!R\Max</f>
        <v>0.22683911592024592</v>
      </c>
      <c r="BY352" s="1134">
        <f>'2020'!R\Max</f>
        <v>0.49325712389260989</v>
      </c>
      <c r="BZ352" s="1134">
        <f>'2021'!R\Max</f>
        <v>0.27110080451427321</v>
      </c>
      <c r="CA352" s="1134">
        <f>'2022'!R\Max</f>
        <v>0.80914272947443888</v>
      </c>
      <c r="CB352" s="1134">
        <f>'2023'!R\Max</f>
        <v>0.80862976856598323</v>
      </c>
      <c r="CC352" s="1134">
        <f>'2024'!R\Max</f>
        <v>0.80796086488779228</v>
      </c>
      <c r="CD352" s="1134">
        <f>'2025'!R\Max</f>
        <v>0.81021714383890786</v>
      </c>
      <c r="CE352" s="1134">
        <f>'2026'!R\Max</f>
        <v>0.81016493067163142</v>
      </c>
      <c r="CF352" s="1135">
        <f>'2027'!R\Max</f>
        <v>0.80992105071538323</v>
      </c>
    </row>
    <row r="353" spans="1:84" s="6" customFormat="1" ht="11.25" x14ac:dyDescent="0.2">
      <c r="A353" s="11">
        <v>43439</v>
      </c>
      <c r="B353" s="380">
        <f>'2023'!Maxi_hp</f>
        <v>28.775249573433712</v>
      </c>
      <c r="C353" s="85">
        <f>'2023'!An_max</f>
        <v>2023</v>
      </c>
      <c r="D353" s="1087">
        <f t="shared" si="135"/>
        <v>1.0358984992438316</v>
      </c>
      <c r="E353" s="747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836">
        <f t="shared" si="138"/>
        <v>0.6428571428571429</v>
      </c>
      <c r="J353" s="827">
        <f t="shared" si="139"/>
        <v>27.778058945387603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836">
        <f t="shared" si="143"/>
        <v>0.8214285714285714</v>
      </c>
      <c r="AT353" s="853">
        <f t="shared" si="144"/>
        <v>27.660731121312295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836">
        <f t="shared" si="148"/>
        <v>0.32142857142857145</v>
      </c>
      <c r="AY353" s="853">
        <f t="shared" si="149"/>
        <v>28.213142416573</v>
      </c>
      <c r="AZ353" s="827">
        <f t="shared" si="153"/>
        <v>27.936936768942648</v>
      </c>
      <c r="BA353" s="660">
        <f t="shared" si="150"/>
        <v>1.0358984992438316</v>
      </c>
      <c r="BB353" s="655">
        <v>43439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924">
        <f>1+[2]!Salcycl*Ksac</f>
        <v>1.0041092391061979</v>
      </c>
      <c r="BH353" s="1080">
        <f t="shared" si="151"/>
        <v>1.0079072456699542E-2</v>
      </c>
      <c r="BI353" s="11">
        <v>44535</v>
      </c>
      <c r="BJ353" s="801">
        <v>5.9656973690614739E-3</v>
      </c>
      <c r="BK353" s="801">
        <v>6.9278334272320852E-3</v>
      </c>
      <c r="BL353" s="801">
        <v>8.0832163002811392E-3</v>
      </c>
      <c r="BM353" s="801">
        <v>1.0078947237075598E-2</v>
      </c>
      <c r="BN353" s="801">
        <v>1.3386736340512684E-2</v>
      </c>
      <c r="BO353" s="802">
        <v>3.001274644540285E-2</v>
      </c>
      <c r="BP353" s="801">
        <v>6.1954802734615726E-2</v>
      </c>
      <c r="BQ353" s="801">
        <v>0.10340859662902309</v>
      </c>
      <c r="BR353" s="801">
        <v>0.14028943870034927</v>
      </c>
      <c r="BS353" s="801">
        <v>0.16843292035043236</v>
      </c>
      <c r="BT353" s="801">
        <v>0.19312156391292173</v>
      </c>
      <c r="BW353" s="1136">
        <f>'2018'!R\Max</f>
        <v>0.77783057365518871</v>
      </c>
      <c r="BX353" s="1134">
        <f>'2019'!R\Max</f>
        <v>0.37094625537739967</v>
      </c>
      <c r="BY353" s="1134">
        <f>'2020'!R\Max</f>
        <v>0.3543277131891362</v>
      </c>
      <c r="BZ353" s="1134">
        <f>'2021'!R\Max</f>
        <v>0.24937992958510288</v>
      </c>
      <c r="CA353" s="1134">
        <f>'2022'!R\Max</f>
        <v>1.0358984992438316</v>
      </c>
      <c r="CB353" s="1134">
        <f>'2023'!R\Max</f>
        <v>1.0358984992438316</v>
      </c>
      <c r="CC353" s="1134">
        <f>'2024'!R\Max</f>
        <v>1.0358984992438316</v>
      </c>
      <c r="CD353" s="1134">
        <f>'2025'!R\Max</f>
        <v>1.0358984992438316</v>
      </c>
      <c r="CE353" s="1134">
        <f>'2026'!R\Max</f>
        <v>1.0358984992438316</v>
      </c>
      <c r="CF353" s="1135">
        <f>'2027'!R\Max</f>
        <v>1.0358984992438316</v>
      </c>
    </row>
    <row r="354" spans="1:84" s="6" customFormat="1" ht="11.25" x14ac:dyDescent="0.2">
      <c r="A354" s="11">
        <v>43440</v>
      </c>
      <c r="B354" s="380">
        <f>'2023'!Maxi_hp</f>
        <v>23.022498392650729</v>
      </c>
      <c r="C354" s="85">
        <f>'2023'!An_max</f>
        <v>2020</v>
      </c>
      <c r="D354" s="1087" t="str">
        <f t="shared" si="135"/>
        <v/>
      </c>
      <c r="E354" s="747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836">
        <f t="shared" si="138"/>
        <v>0.7142857142857143</v>
      </c>
      <c r="J354" s="827">
        <f t="shared" si="139"/>
        <v>27.604696795557224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836">
        <f t="shared" si="143"/>
        <v>0.8571428571428571</v>
      </c>
      <c r="AT354" s="853">
        <f t="shared" si="144"/>
        <v>27.510083779000809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836">
        <f t="shared" si="148"/>
        <v>0.35714285714285715</v>
      </c>
      <c r="AY354" s="853">
        <f t="shared" si="149"/>
        <v>28.075941147229504</v>
      </c>
      <c r="AZ354" s="827">
        <f t="shared" si="153"/>
        <v>27.793012463115154</v>
      </c>
      <c r="BA354" s="660">
        <f t="shared" si="150"/>
        <v>0.83400656646067683</v>
      </c>
      <c r="BB354" s="655">
        <v>43440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924">
        <f>1+[2]!Salcycl*Ksac</f>
        <v>1.0038285159144638</v>
      </c>
      <c r="BH354" s="1080">
        <f t="shared" si="151"/>
        <v>1.0633011326799871E-2</v>
      </c>
      <c r="BI354" s="11">
        <v>44536</v>
      </c>
      <c r="BJ354" s="801">
        <v>6.4517101219703664E-3</v>
      </c>
      <c r="BK354" s="801">
        <v>7.4414877296338708E-3</v>
      </c>
      <c r="BL354" s="801">
        <v>8.6261753934454722E-3</v>
      </c>
      <c r="BM354" s="801">
        <v>1.0632886454703604E-2</v>
      </c>
      <c r="BN354" s="801">
        <v>1.3931495301725348E-2</v>
      </c>
      <c r="BO354" s="802">
        <v>3.0961222373869446E-2</v>
      </c>
      <c r="BP354" s="801">
        <v>6.2500610277238078E-2</v>
      </c>
      <c r="BQ354" s="801">
        <v>0.10339865867365682</v>
      </c>
      <c r="BR354" s="801">
        <v>0.13916838334369142</v>
      </c>
      <c r="BS354" s="801">
        <v>0.16690533300809027</v>
      </c>
      <c r="BT354" s="801">
        <v>0.1912418388459256</v>
      </c>
      <c r="BW354" s="1136">
        <f>'2018'!R\Max</f>
        <v>0.3975576076306182</v>
      </c>
      <c r="BX354" s="1134">
        <f>'2019'!R\Max</f>
        <v>0.47404647673596834</v>
      </c>
      <c r="BY354" s="1134">
        <f>'2020'!R\Max</f>
        <v>0.83400656646067683</v>
      </c>
      <c r="BZ354" s="1134">
        <f>'2021'!R\Max</f>
        <v>0.39940996584033622</v>
      </c>
      <c r="CA354" s="1134">
        <f>'2022'!R\Max</f>
        <v>0.45306305006779241</v>
      </c>
      <c r="CB354" s="1134">
        <f>'2023'!R\Max</f>
        <v>0.4522568059807891</v>
      </c>
      <c r="CC354" s="1134">
        <f>'2024'!R\Max</f>
        <v>0.45121017275351644</v>
      </c>
      <c r="CD354" s="1134">
        <f>'2025'!R\Max</f>
        <v>0.45482549963516217</v>
      </c>
      <c r="CE354" s="1134">
        <f>'2026'!R\Max</f>
        <v>0.45474140026649323</v>
      </c>
      <c r="CF354" s="1135">
        <f>'2027'!R\Max</f>
        <v>0.45432466725838638</v>
      </c>
    </row>
    <row r="355" spans="1:84" s="6" customFormat="1" ht="11.25" x14ac:dyDescent="0.2">
      <c r="A355" s="11">
        <v>43441</v>
      </c>
      <c r="B355" s="380">
        <f>'2023'!Maxi_hp</f>
        <v>23.615013833101326</v>
      </c>
      <c r="C355" s="85">
        <f>'2023'!An_max</f>
        <v>2018</v>
      </c>
      <c r="D355" s="1087" t="str">
        <f t="shared" si="135"/>
        <v/>
      </c>
      <c r="E355" s="747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836">
        <f t="shared" si="138"/>
        <v>0.7857142857142857</v>
      </c>
      <c r="J355" s="827">
        <f t="shared" si="139"/>
        <v>27.447129101998041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836">
        <f t="shared" si="143"/>
        <v>0.8928571428571429</v>
      </c>
      <c r="AT355" s="853">
        <f t="shared" si="144"/>
        <v>27.376464451024578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836">
        <f t="shared" si="148"/>
        <v>0.39285714285714285</v>
      </c>
      <c r="AY355" s="853">
        <f t="shared" si="149"/>
        <v>27.946630097712791</v>
      </c>
      <c r="AZ355" s="827">
        <f t="shared" si="153"/>
        <v>27.661547274368687</v>
      </c>
      <c r="BA355" s="660">
        <f t="shared" si="150"/>
        <v>0.86038192720790785</v>
      </c>
      <c r="BB355" s="655">
        <v>43441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924">
        <f>1+[2]!Salcycl*Ksac</f>
        <v>1.0035640182413659</v>
      </c>
      <c r="BH355" s="1080">
        <f t="shared" si="151"/>
        <v>1.1186872420618072E-2</v>
      </c>
      <c r="BI355" s="11">
        <v>44537</v>
      </c>
      <c r="BJ355" s="801">
        <v>6.9344386355182398E-3</v>
      </c>
      <c r="BK355" s="801">
        <v>7.9527887758784003E-3</v>
      </c>
      <c r="BL355" s="801">
        <v>9.167740134943321E-3</v>
      </c>
      <c r="BM355" s="801">
        <v>1.11867477480539E-2</v>
      </c>
      <c r="BN355" s="801">
        <v>1.4480085775068985E-2</v>
      </c>
      <c r="BO355" s="802">
        <v>3.183168926354682E-2</v>
      </c>
      <c r="BP355" s="801">
        <v>6.2968519963249467E-2</v>
      </c>
      <c r="BQ355" s="801">
        <v>0.10331770466383404</v>
      </c>
      <c r="BR355" s="801">
        <v>0.13807714072958513</v>
      </c>
      <c r="BS355" s="801">
        <v>0.16543278344297596</v>
      </c>
      <c r="BT355" s="801">
        <v>0.18943959758015047</v>
      </c>
      <c r="BW355" s="1136">
        <f>'2018'!R\Max</f>
        <v>0.86038192720790785</v>
      </c>
      <c r="BX355" s="1134">
        <f>'2019'!R\Max</f>
        <v>0.56302267349588453</v>
      </c>
      <c r="BY355" s="1134">
        <f>'2020'!R\Max</f>
        <v>0.5035029563708906</v>
      </c>
      <c r="BZ355" s="1134">
        <f>'2021'!R\Max</f>
        <v>0.22992340449641135</v>
      </c>
      <c r="CA355" s="1134">
        <f>'2022'!R\Max</f>
        <v>0.82091101649258735</v>
      </c>
      <c r="CB355" s="1134">
        <f>'2023'!R\Max</f>
        <v>0.82043709891887651</v>
      </c>
      <c r="CC355" s="1134">
        <f>'2024'!R\Max</f>
        <v>0.81982061421023067</v>
      </c>
      <c r="CD355" s="1134">
        <f>'2025'!R\Max</f>
        <v>0.82195997881924665</v>
      </c>
      <c r="CE355" s="1134">
        <f>'2026'!R\Max</f>
        <v>0.82191030051380176</v>
      </c>
      <c r="CF355" s="1135">
        <f>'2027'!R\Max</f>
        <v>0.82165893278176183</v>
      </c>
    </row>
    <row r="356" spans="1:84" s="6" customFormat="1" ht="11.25" x14ac:dyDescent="0.2">
      <c r="A356" s="11">
        <v>43442</v>
      </c>
      <c r="B356" s="380">
        <f>'2023'!Maxi_hp</f>
        <v>18.625313050324355</v>
      </c>
      <c r="C356" s="85">
        <f>'2023'!An_max</f>
        <v>2019</v>
      </c>
      <c r="D356" s="1087" t="str">
        <f t="shared" si="135"/>
        <v/>
      </c>
      <c r="E356" s="747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836">
        <f t="shared" si="138"/>
        <v>0.8571428571428571</v>
      </c>
      <c r="J356" s="827">
        <f t="shared" si="139"/>
        <v>27.307186588219235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836">
        <f t="shared" si="143"/>
        <v>0.9285714285714286</v>
      </c>
      <c r="AT356" s="853">
        <f t="shared" si="144"/>
        <v>27.260845682876447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836">
        <f t="shared" si="148"/>
        <v>0.42857142857142855</v>
      </c>
      <c r="AY356" s="853">
        <f t="shared" si="149"/>
        <v>27.825548749736377</v>
      </c>
      <c r="AZ356" s="827">
        <f t="shared" si="153"/>
        <v>27.54319721630641</v>
      </c>
      <c r="BA356" s="660">
        <f t="shared" si="150"/>
        <v>0.68206634873032357</v>
      </c>
      <c r="BB356" s="655">
        <v>43442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924">
        <f>1+[2]!Salcycl*Ksac</f>
        <v>1.0033152835819996</v>
      </c>
      <c r="BH356" s="1080">
        <f t="shared" si="151"/>
        <v>1.1740676669176019E-2</v>
      </c>
      <c r="BI356" s="11">
        <v>44538</v>
      </c>
      <c r="BJ356" s="801">
        <v>7.4138950704240782E-3</v>
      </c>
      <c r="BK356" s="801">
        <v>8.4617507900330638E-3</v>
      </c>
      <c r="BL356" s="801">
        <v>9.7079272158716191E-3</v>
      </c>
      <c r="BM356" s="801">
        <v>1.1740552047877835E-2</v>
      </c>
      <c r="BN356" s="801">
        <v>1.5032535837692229E-2</v>
      </c>
      <c r="BO356" s="802">
        <v>3.2624204139524826E-2</v>
      </c>
      <c r="BP356" s="801">
        <v>6.3358655260932151E-2</v>
      </c>
      <c r="BQ356" s="801">
        <v>0.1031659447595303</v>
      </c>
      <c r="BR356" s="801">
        <v>0.13701600466019789</v>
      </c>
      <c r="BS356" s="801">
        <v>0.16401562572278361</v>
      </c>
      <c r="BT356" s="801">
        <v>0.18771524707232348</v>
      </c>
      <c r="BW356" s="1136">
        <f>'2018'!R\Max</f>
        <v>0.66081534313372825</v>
      </c>
      <c r="BX356" s="1134">
        <f>'2019'!R\Max</f>
        <v>0.68206634873032357</v>
      </c>
      <c r="BY356" s="1134">
        <f>'2020'!R\Max</f>
        <v>9.0280819210011951E-2</v>
      </c>
      <c r="BZ356" s="1134">
        <f>'2021'!R\Max</f>
        <v>0.32972837725251081</v>
      </c>
      <c r="CA356" s="1134">
        <f>'2022'!R\Max</f>
        <v>0.18852087931450617</v>
      </c>
      <c r="CB356" s="1134">
        <f>'2023'!R\Max</f>
        <v>0.18809992361549602</v>
      </c>
      <c r="CC356" s="1134">
        <f>'2024'!R\Max</f>
        <v>0.18755472411826954</v>
      </c>
      <c r="CD356" s="1134">
        <f>'2025'!R\Max</f>
        <v>0.18947099869806341</v>
      </c>
      <c r="CE356" s="1134">
        <f>'2026'!R\Max</f>
        <v>0.18942590990399658</v>
      </c>
      <c r="CF356" s="1135">
        <f>'2027'!R\Max</f>
        <v>0.1891947887130758</v>
      </c>
    </row>
    <row r="357" spans="1:84" s="6" customFormat="1" ht="11.25" x14ac:dyDescent="0.2">
      <c r="A357" s="11">
        <v>43443</v>
      </c>
      <c r="B357" s="380">
        <f>'2023'!Maxi_hp</f>
        <v>9.4747658981708156</v>
      </c>
      <c r="C357" s="85">
        <f>'2023'!An_max</f>
        <v>2019</v>
      </c>
      <c r="D357" s="1087" t="str">
        <f t="shared" si="135"/>
        <v/>
      </c>
      <c r="E357" s="747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836">
        <f t="shared" si="138"/>
        <v>0.9285714285714286</v>
      </c>
      <c r="J357" s="827">
        <f t="shared" si="139"/>
        <v>27.186699982838974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836">
        <f t="shared" si="143"/>
        <v>0.9642857142857143</v>
      </c>
      <c r="AT357" s="853">
        <f t="shared" si="144"/>
        <v>27.164200017800823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836">
        <f t="shared" si="148"/>
        <v>0.4642857142857143</v>
      </c>
      <c r="AY357" s="853">
        <f t="shared" si="149"/>
        <v>27.713036575487685</v>
      </c>
      <c r="AZ357" s="827">
        <f t="shared" si="153"/>
        <v>27.438618296644254</v>
      </c>
      <c r="BA357" s="660">
        <f t="shared" si="150"/>
        <v>0.34850739163456984</v>
      </c>
      <c r="BB357" s="655">
        <v>43443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924">
        <f>1+[2]!Salcycl*Ksac</f>
        <v>1.0030818140205524</v>
      </c>
      <c r="BH357" s="1080">
        <f t="shared" si="151"/>
        <v>1.2294449607400107E-2</v>
      </c>
      <c r="BI357" s="11">
        <v>44539</v>
      </c>
      <c r="BJ357" s="801">
        <v>7.8900955873883061E-3</v>
      </c>
      <c r="BK357" s="801">
        <v>8.9683922373943424E-3</v>
      </c>
      <c r="BL357" s="801">
        <v>1.024675782394785E-2</v>
      </c>
      <c r="BM357" s="801">
        <v>1.2294324888832342E-2</v>
      </c>
      <c r="BN357" s="801">
        <v>1.5588878142202861E-2</v>
      </c>
      <c r="BO357" s="802">
        <v>3.3338830941788251E-2</v>
      </c>
      <c r="BP357" s="801">
        <v>6.3671143200508012E-2</v>
      </c>
      <c r="BQ357" s="801">
        <v>0.10294358813896982</v>
      </c>
      <c r="BR357" s="801">
        <v>0.13598525995963517</v>
      </c>
      <c r="BS357" s="801">
        <v>0.1626542018641994</v>
      </c>
      <c r="BT357" s="801">
        <v>0.18606917957371791</v>
      </c>
      <c r="BW357" s="1136">
        <f>'2018'!R\Max</f>
        <v>0.17269881570341919</v>
      </c>
      <c r="BX357" s="1134">
        <f>'2019'!R\Max</f>
        <v>0.34850739163456984</v>
      </c>
      <c r="BY357" s="1134">
        <f>'2020'!R\Max</f>
        <v>0.30278819415620284</v>
      </c>
      <c r="BZ357" s="1134">
        <f>'2021'!R\Max</f>
        <v>0.31529165510729978</v>
      </c>
      <c r="CA357" s="1134">
        <f>'2022'!R\Max</f>
        <v>0.23059034162984665</v>
      </c>
      <c r="CB357" s="1134">
        <f>'2023'!R\Max</f>
        <v>0.23008145304322547</v>
      </c>
      <c r="CC357" s="1134">
        <f>'2024'!R\Max</f>
        <v>0.22942259871361054</v>
      </c>
      <c r="CD357" s="1134">
        <f>'2025'!R\Max</f>
        <v>0.23175277957563953</v>
      </c>
      <c r="CE357" s="1134">
        <f>'2026'!R\Max</f>
        <v>0.23169750648816909</v>
      </c>
      <c r="CF357" s="1135">
        <f>'2027'!R\Max</f>
        <v>0.23141187220635351</v>
      </c>
    </row>
    <row r="358" spans="1:84" s="6" customFormat="1" ht="11.25" x14ac:dyDescent="0.2">
      <c r="A358" s="11">
        <v>43444</v>
      </c>
      <c r="B358" s="380">
        <f>'2023'!Maxi_hp</f>
        <v>22.134135091685113</v>
      </c>
      <c r="C358" s="85">
        <f>'2023'!An_max</f>
        <v>2019</v>
      </c>
      <c r="D358" s="1087" t="str">
        <f t="shared" si="135"/>
        <v/>
      </c>
      <c r="E358" s="835">
        <f>AL$13/10</f>
        <v>27.087499999999999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836">
        <f t="shared" si="138"/>
        <v>1</v>
      </c>
      <c r="J358" s="827">
        <f t="shared" si="139"/>
        <v>27.087499999999999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836">
        <f t="shared" si="143"/>
        <v>1</v>
      </c>
      <c r="AT358" s="853">
        <f t="shared" si="144"/>
        <v>27.087499999999999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836">
        <f t="shared" si="148"/>
        <v>0.5</v>
      </c>
      <c r="AY358" s="853">
        <f t="shared" si="149"/>
        <v>27.609433057904244</v>
      </c>
      <c r="AZ358" s="827">
        <f t="shared" si="153"/>
        <v>27.348466528952123</v>
      </c>
      <c r="BA358" s="660">
        <f t="shared" si="150"/>
        <v>0.81713465959151321</v>
      </c>
      <c r="BB358" s="655">
        <v>43444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924">
        <f>1+[2]!Salcycl*Ksac</f>
        <v>1.0028630801853782</v>
      </c>
      <c r="BH358" s="1080">
        <f t="shared" si="151"/>
        <v>1.2848221372312764E-2</v>
      </c>
      <c r="BI358" s="11">
        <v>44540</v>
      </c>
      <c r="BJ358" s="801">
        <v>8.3630602785415599E-3</v>
      </c>
      <c r="BK358" s="801">
        <v>9.4727357752993121E-3</v>
      </c>
      <c r="BL358" s="801">
        <v>1.0784257614269868E-2</v>
      </c>
      <c r="BM358" s="801">
        <v>1.2848096407668388E-2</v>
      </c>
      <c r="BN358" s="801">
        <v>1.6149149996262099E-2</v>
      </c>
      <c r="BO358" s="802">
        <v>3.3975638903416643E-2</v>
      </c>
      <c r="BP358" s="801">
        <v>6.3906112756147215E-2</v>
      </c>
      <c r="BQ358" s="801">
        <v>0.10265084152569159</v>
      </c>
      <c r="BR358" s="801">
        <v>0.13498518309973248</v>
      </c>
      <c r="BS358" s="801">
        <v>0.16134884298452573</v>
      </c>
      <c r="BT358" s="801">
        <v>0.18450177424965813</v>
      </c>
      <c r="BW358" s="1136">
        <f>'2018'!R\Max</f>
        <v>0.57080797489389667</v>
      </c>
      <c r="BX358" s="1134">
        <f>'2019'!R\Max</f>
        <v>0.81713465959151321</v>
      </c>
      <c r="BY358" s="1134">
        <f>'2020'!R\Max</f>
        <v>0.29362570831373908</v>
      </c>
      <c r="BZ358" s="1134">
        <f>'2021'!R\Max</f>
        <v>0.10266711396760125</v>
      </c>
      <c r="CA358" s="1134">
        <f>'2022'!R\Max</f>
        <v>0.57791586223296243</v>
      </c>
      <c r="CB358" s="1134">
        <f>'2023'!R\Max</f>
        <v>0.57715741706411205</v>
      </c>
      <c r="CC358" s="1134">
        <f>'2024'!R\Max</f>
        <v>0.57617368735001917</v>
      </c>
      <c r="CD358" s="1134">
        <f>'2025'!R\Max</f>
        <v>0.57966048696258099</v>
      </c>
      <c r="CE358" s="1134">
        <f>'2026'!R\Max</f>
        <v>0.57957723596211941</v>
      </c>
      <c r="CF358" s="1135">
        <f>'2027'!R\Max</f>
        <v>0.57914576281001218</v>
      </c>
    </row>
    <row r="359" spans="1:84" s="6" customFormat="1" ht="11.25" x14ac:dyDescent="0.2">
      <c r="A359" s="11">
        <v>43445</v>
      </c>
      <c r="B359" s="380">
        <f>'2023'!Maxi_hp</f>
        <v>23.016717284204159</v>
      </c>
      <c r="C359" s="85">
        <f>'2023'!An_max</f>
        <v>2018</v>
      </c>
      <c r="D359" s="1087" t="str">
        <f t="shared" si="135"/>
        <v/>
      </c>
      <c r="E359" s="747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836">
        <f t="shared" si="138"/>
        <v>0.9285714285714286</v>
      </c>
      <c r="J359" s="827">
        <f t="shared" si="139"/>
        <v>27.007959994354415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836">
        <f t="shared" si="143"/>
        <v>0.96551724137931039</v>
      </c>
      <c r="AT359" s="853">
        <f t="shared" si="144"/>
        <v>27.02951204596922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836">
        <f t="shared" si="148"/>
        <v>0.5357142857142857</v>
      </c>
      <c r="AY359" s="853">
        <f t="shared" si="149"/>
        <v>27.515077671834398</v>
      </c>
      <c r="AZ359" s="827">
        <f t="shared" si="153"/>
        <v>27.272294858901809</v>
      </c>
      <c r="BA359" s="660">
        <f t="shared" si="150"/>
        <v>0.852219763692461</v>
      </c>
      <c r="BB359" s="655">
        <v>43445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924">
        <f>1+[2]!Salcycl*Ksac</f>
        <v>1.0026585253056228</v>
      </c>
      <c r="BH359" s="1080">
        <f t="shared" si="151"/>
        <v>1.340202670140485E-2</v>
      </c>
      <c r="BI359" s="11">
        <v>44541</v>
      </c>
      <c r="BJ359" s="801">
        <v>8.8328130990068549E-3</v>
      </c>
      <c r="BK359" s="801">
        <v>9.9748082040668051E-3</v>
      </c>
      <c r="BL359" s="801">
        <v>1.132045668022473E-2</v>
      </c>
      <c r="BM359" s="801">
        <v>1.3401901341600284E-2</v>
      </c>
      <c r="BN359" s="801">
        <v>1.6713393442411413E-2</v>
      </c>
      <c r="BO359" s="802">
        <v>3.4534700929291826E-2</v>
      </c>
      <c r="BP359" s="801">
        <v>6.4063693228969987E-2</v>
      </c>
      <c r="BQ359" s="801">
        <v>0.10228790771723713</v>
      </c>
      <c r="BR359" s="801">
        <v>0.134016042828006</v>
      </c>
      <c r="BS359" s="801">
        <v>0.16009987045589075</v>
      </c>
      <c r="BT359" s="801">
        <v>0.18301339880198336</v>
      </c>
      <c r="BW359" s="1136">
        <f>'2018'!R\Max</f>
        <v>0.852219763692461</v>
      </c>
      <c r="BX359" s="1134">
        <f>'2019'!R\Max</f>
        <v>7.2265086249502952E-2</v>
      </c>
      <c r="BY359" s="1134">
        <f>'2020'!R\Max</f>
        <v>0.18418787887236532</v>
      </c>
      <c r="BZ359" s="1134">
        <f>'2021'!R\Max</f>
        <v>0.596237056834655</v>
      </c>
      <c r="CA359" s="1134">
        <f>'2022'!R\Max</f>
        <v>0.70740842118262837</v>
      </c>
      <c r="CB359" s="1134">
        <f>'2023'!R\Max</f>
        <v>0.70677305620240649</v>
      </c>
      <c r="CC359" s="1134">
        <f>'2024'!R\Max</f>
        <v>0.70594824777663301</v>
      </c>
      <c r="CD359" s="1134">
        <f>'2025'!R\Max</f>
        <v>0.70887930544643929</v>
      </c>
      <c r="CE359" s="1134">
        <f>'2026'!R\Max</f>
        <v>0.70880854568537999</v>
      </c>
      <c r="CF359" s="1135">
        <f>'2027'!R\Max</f>
        <v>0.70844295540865776</v>
      </c>
    </row>
    <row r="360" spans="1:84" s="6" customFormat="1" ht="11.25" x14ac:dyDescent="0.2">
      <c r="A360" s="11">
        <v>43446</v>
      </c>
      <c r="B360" s="380">
        <f>'2023'!Maxi_hp</f>
        <v>26.632515874966092</v>
      </c>
      <c r="C360" s="85">
        <f>'2023'!An_max</f>
        <v>2021</v>
      </c>
      <c r="D360" s="1087">
        <f t="shared" si="135"/>
        <v>0.98840698386997072</v>
      </c>
      <c r="E360" s="747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836">
        <f t="shared" si="138"/>
        <v>0.8571428571428571</v>
      </c>
      <c r="J360" s="827">
        <f t="shared" si="139"/>
        <v>26.94488840081862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836">
        <f t="shared" si="143"/>
        <v>0.93103448275862066</v>
      </c>
      <c r="AT360" s="853">
        <f t="shared" si="144"/>
        <v>26.987997855965432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836">
        <f t="shared" si="148"/>
        <v>0.5714285714285714</v>
      </c>
      <c r="AY360" s="853">
        <f t="shared" si="149"/>
        <v>27.430309895106724</v>
      </c>
      <c r="AZ360" s="827">
        <f t="shared" si="153"/>
        <v>27.209153875536078</v>
      </c>
      <c r="BA360" s="660">
        <f t="shared" si="150"/>
        <v>0.98840698386997072</v>
      </c>
      <c r="BB360" s="655">
        <v>43446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924">
        <f>1+[2]!Salcycl*Ksac</f>
        <v>1.0024675693371614</v>
      </c>
      <c r="BH360" s="1080">
        <f t="shared" si="151"/>
        <v>1.3955904930883259E-2</v>
      </c>
      <c r="BI360" s="11">
        <v>44542</v>
      </c>
      <c r="BJ360" s="801">
        <v>9.2993817983828015E-3</v>
      </c>
      <c r="BK360" s="801">
        <v>1.0474640417848508E-2</v>
      </c>
      <c r="BL360" s="801">
        <v>1.1855389524294284E-2</v>
      </c>
      <c r="BM360" s="801">
        <v>1.3955779026550201E-2</v>
      </c>
      <c r="BN360" s="801">
        <v>1.7281655337739777E-2</v>
      </c>
      <c r="BO360" s="802">
        <v>3.501609197446124E-2</v>
      </c>
      <c r="BP360" s="801">
        <v>6.4144012629380145E-2</v>
      </c>
      <c r="BQ360" s="801">
        <v>0.1018549841127508</v>
      </c>
      <c r="BR360" s="801">
        <v>0.13307810079415808</v>
      </c>
      <c r="BS360" s="801">
        <v>0.15890759705772697</v>
      </c>
      <c r="BT360" s="801">
        <v>0.18160441108953077</v>
      </c>
      <c r="BW360" s="1136">
        <f>'2018'!R\Max</f>
        <v>0.12837806428938964</v>
      </c>
      <c r="BX360" s="1134">
        <f>'2019'!R\Max</f>
        <v>0.21680396508913646</v>
      </c>
      <c r="BY360" s="1134">
        <f>'2020'!R\Max</f>
        <v>0.26287671566969328</v>
      </c>
      <c r="BZ360" s="1134">
        <f>'2021'!R\Max</f>
        <v>0.98840698386997072</v>
      </c>
      <c r="CA360" s="1134">
        <f>'2022'!R\Max</f>
        <v>0.20877969449604525</v>
      </c>
      <c r="CB360" s="1134">
        <f>'2023'!R\Max</f>
        <v>0.20833681119495528</v>
      </c>
      <c r="CC360" s="1134">
        <f>'2024'!R\Max</f>
        <v>0.20776343679873743</v>
      </c>
      <c r="CD360" s="1134">
        <f>'2025'!R\Max</f>
        <v>0.20981493374231383</v>
      </c>
      <c r="CE360" s="1134">
        <f>'2026'!R\Max</f>
        <v>0.20976436456172703</v>
      </c>
      <c r="CF360" s="1135">
        <f>'2027'!R\Max</f>
        <v>0.20950568564422903</v>
      </c>
    </row>
    <row r="361" spans="1:84" s="6" customFormat="1" ht="11.25" x14ac:dyDescent="0.2">
      <c r="A361" s="11">
        <v>43447</v>
      </c>
      <c r="B361" s="380">
        <f>'2023'!Maxi_hp</f>
        <v>27.848923412804474</v>
      </c>
      <c r="C361" s="85">
        <f>'2023'!An_max</f>
        <v>2021</v>
      </c>
      <c r="D361" s="1087">
        <f t="shared" si="135"/>
        <v>1.03536185034025</v>
      </c>
      <c r="E361" s="747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836">
        <f t="shared" si="138"/>
        <v>0.7857142857142857</v>
      </c>
      <c r="J361" s="827">
        <f t="shared" si="139"/>
        <v>26.897768546960187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836">
        <f t="shared" si="143"/>
        <v>0.89655172413793105</v>
      </c>
      <c r="AT361" s="853">
        <f t="shared" si="144"/>
        <v>26.962422887672638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836">
        <f t="shared" si="148"/>
        <v>0.6071428571428571</v>
      </c>
      <c r="AY361" s="853">
        <f t="shared" si="149"/>
        <v>27.355469206507717</v>
      </c>
      <c r="AZ361" s="827">
        <f t="shared" si="153"/>
        <v>27.158946047090176</v>
      </c>
      <c r="BA361" s="660">
        <f t="shared" si="150"/>
        <v>1.03536185034025</v>
      </c>
      <c r="BB361" s="655">
        <v>43447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924">
        <f>1+[2]!Salcycl*Ksac</f>
        <v>1.0022896131254821</v>
      </c>
      <c r="BH361" s="1080">
        <f t="shared" si="151"/>
        <v>1.4455910048420272E-2</v>
      </c>
      <c r="BI361" s="11">
        <v>44543</v>
      </c>
      <c r="BJ361" s="801">
        <v>9.7202509838222543E-3</v>
      </c>
      <c r="BK361" s="801">
        <v>1.0925611608313368E-2</v>
      </c>
      <c r="BL361" s="801">
        <v>1.2338202936077727E-2</v>
      </c>
      <c r="BM361" s="801">
        <v>1.4455783599950875E-2</v>
      </c>
      <c r="BN361" s="801">
        <v>1.7796033762394265E-2</v>
      </c>
      <c r="BO361" s="802">
        <v>3.5433984062052802E-2</v>
      </c>
      <c r="BP361" s="801">
        <v>6.4195705752931945E-2</v>
      </c>
      <c r="BQ361" s="801">
        <v>0.10143821322892159</v>
      </c>
      <c r="BR361" s="801">
        <v>0.13222024511632105</v>
      </c>
      <c r="BS361" s="801">
        <v>0.15782152426847726</v>
      </c>
      <c r="BT361" s="801">
        <v>0.18032418630962055</v>
      </c>
      <c r="BW361" s="1136">
        <f>'2018'!R\Max</f>
        <v>6.9436026208153923E-2</v>
      </c>
      <c r="BX361" s="1134">
        <f>'2019'!R\Max</f>
        <v>6.280581819525799E-2</v>
      </c>
      <c r="BY361" s="1134">
        <f>'2020'!R\Max</f>
        <v>0.42645452476757006</v>
      </c>
      <c r="BZ361" s="1134">
        <f>'2021'!R\Max</f>
        <v>1.03536185034025</v>
      </c>
      <c r="CA361" s="1134">
        <f>'2022'!R\Max</f>
        <v>0.22933297712989481</v>
      </c>
      <c r="CB361" s="1134">
        <f>'2023'!R\Max</f>
        <v>0.22885289415066426</v>
      </c>
      <c r="CC361" s="1134">
        <f>'2024'!R\Max</f>
        <v>0.22823126255592535</v>
      </c>
      <c r="CD361" s="1134">
        <f>'2025'!R\Max</f>
        <v>0.23046038603176999</v>
      </c>
      <c r="CE361" s="1134">
        <f>'2026'!R\Max</f>
        <v>0.23040463146788837</v>
      </c>
      <c r="CF361" s="1135">
        <f>'2027'!R\Max</f>
        <v>0.23012216788599021</v>
      </c>
    </row>
    <row r="362" spans="1:84" s="6" customFormat="1" ht="11.25" x14ac:dyDescent="0.2">
      <c r="A362" s="11">
        <v>43448</v>
      </c>
      <c r="B362" s="380">
        <f>'2023'!Maxi_hp</f>
        <v>27.918333223458241</v>
      </c>
      <c r="C362" s="85">
        <f>'2023'!An_max</f>
        <v>2021</v>
      </c>
      <c r="D362" s="1087">
        <f t="shared" si="135"/>
        <v>1.0391664619110799</v>
      </c>
      <c r="E362" s="747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836">
        <f t="shared" si="138"/>
        <v>0.7142857142857143</v>
      </c>
      <c r="J362" s="827">
        <f t="shared" si="139"/>
        <v>26.866083776525091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836">
        <f t="shared" si="143"/>
        <v>0.86206896551724133</v>
      </c>
      <c r="AT362" s="853">
        <f t="shared" si="144"/>
        <v>26.952252605043611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836">
        <f t="shared" si="148"/>
        <v>0.6428571428571429</v>
      </c>
      <c r="AY362" s="853">
        <f t="shared" si="149"/>
        <v>27.290895083227326</v>
      </c>
      <c r="AZ362" s="827">
        <f t="shared" si="153"/>
        <v>27.121573844135469</v>
      </c>
      <c r="BA362" s="660">
        <f t="shared" si="150"/>
        <v>1.0391664619110799</v>
      </c>
      <c r="BB362" s="655">
        <v>43448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924">
        <f>1+[2]!Salcycl*Ksac</f>
        <v>1.0021240425733078</v>
      </c>
      <c r="BH362" s="1080">
        <f t="shared" si="151"/>
        <v>1.4902079825169079E-2</v>
      </c>
      <c r="BI362" s="11">
        <v>44544</v>
      </c>
      <c r="BJ362" s="801">
        <v>1.0095447311048725E-2</v>
      </c>
      <c r="BK362" s="801">
        <v>1.132775141388421E-2</v>
      </c>
      <c r="BL362" s="801">
        <v>1.2768930008648531E-2</v>
      </c>
      <c r="BM362" s="801">
        <v>1.4901952832675086E-2</v>
      </c>
      <c r="BN362" s="801">
        <v>1.8256573894610984E-2</v>
      </c>
      <c r="BO362" s="802">
        <v>3.5788454191717563E-2</v>
      </c>
      <c r="BP362" s="801">
        <v>6.4218902841920444E-2</v>
      </c>
      <c r="BQ362" s="801">
        <v>0.10103779437805238</v>
      </c>
      <c r="BR362" s="801">
        <v>0.13144273481992033</v>
      </c>
      <c r="BS362" s="801">
        <v>0.15684196094402508</v>
      </c>
      <c r="BT362" s="801">
        <v>0.17917307726726411</v>
      </c>
      <c r="BW362" s="1136">
        <f>'2018'!R\Max</f>
        <v>6.4815000668408465E-2</v>
      </c>
      <c r="BX362" s="1134">
        <f>'2019'!R\Max</f>
        <v>0.46425410416438956</v>
      </c>
      <c r="BY362" s="1134">
        <f>'2020'!R\Max</f>
        <v>0.3659307024457798</v>
      </c>
      <c r="BZ362" s="1134">
        <f>'2021'!R\Max</f>
        <v>1.0391664619110799</v>
      </c>
      <c r="CA362" s="1134">
        <f>'2022'!R\Max</f>
        <v>0.70761618458517828</v>
      </c>
      <c r="CB362" s="1134">
        <f>'2023'!R\Max</f>
        <v>0.70700578598779207</v>
      </c>
      <c r="CC362" s="1134">
        <f>'2024'!R\Max</f>
        <v>0.70621310489748068</v>
      </c>
      <c r="CD362" s="1134">
        <f>'2025'!R\Max</f>
        <v>0.70904918515750026</v>
      </c>
      <c r="CE362" s="1134">
        <f>'2026'!R\Max</f>
        <v>0.70897764562545584</v>
      </c>
      <c r="CF362" s="1135">
        <f>'2027'!R\Max</f>
        <v>0.70861858619934404</v>
      </c>
    </row>
    <row r="363" spans="1:84" s="6" customFormat="1" ht="11.25" x14ac:dyDescent="0.2">
      <c r="A363" s="11">
        <v>43449</v>
      </c>
      <c r="B363" s="380">
        <f>'2023'!Maxi_hp</f>
        <v>27.64680505166011</v>
      </c>
      <c r="C363" s="85">
        <f>'2023'!An_max</f>
        <v>2019</v>
      </c>
      <c r="D363" s="1087">
        <f t="shared" si="135"/>
        <v>1.0297023424611333</v>
      </c>
      <c r="E363" s="747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836">
        <f t="shared" si="138"/>
        <v>0.6428571428571429</v>
      </c>
      <c r="J363" s="827">
        <f t="shared" si="139"/>
        <v>26.849317430491958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836">
        <f t="shared" si="143"/>
        <v>0.82758620689655171</v>
      </c>
      <c r="AT363" s="853">
        <f t="shared" si="144"/>
        <v>26.95695247442044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836">
        <f t="shared" si="148"/>
        <v>0.6785714285714286</v>
      </c>
      <c r="AY363" s="853">
        <f t="shared" si="149"/>
        <v>27.236927002029756</v>
      </c>
      <c r="AZ363" s="827">
        <f t="shared" si="153"/>
        <v>27.096939738225096</v>
      </c>
      <c r="BA363" s="660">
        <f t="shared" si="150"/>
        <v>1.0297023424611333</v>
      </c>
      <c r="BB363" s="655">
        <v>43449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924">
        <f>1+[2]!Salcycl*Ksac</f>
        <v>1.0019702327811828</v>
      </c>
      <c r="BH363" s="1080">
        <f t="shared" si="151"/>
        <v>1.5294451916271205E-2</v>
      </c>
      <c r="BI363" s="11">
        <v>44545</v>
      </c>
      <c r="BJ363" s="801">
        <v>1.0424997313374406E-2</v>
      </c>
      <c r="BK363" s="801">
        <v>1.1681089349623704E-2</v>
      </c>
      <c r="BL363" s="801">
        <v>1.3147603717319835E-2</v>
      </c>
      <c r="BM363" s="801">
        <v>1.5294324379579614E-2</v>
      </c>
      <c r="BN363" s="801">
        <v>1.8663320910994857E-2</v>
      </c>
      <c r="BO363" s="802">
        <v>3.6079577778634409E-2</v>
      </c>
      <c r="BP363" s="801">
        <v>6.4213732227657971E-2</v>
      </c>
      <c r="BQ363" s="801">
        <v>0.10065392455644319</v>
      </c>
      <c r="BR363" s="801">
        <v>0.1307458279567916</v>
      </c>
      <c r="BS363" s="801">
        <v>0.15596921509928671</v>
      </c>
      <c r="BT363" s="801">
        <v>0.17815143606573094</v>
      </c>
      <c r="BW363" s="1136">
        <f>'2018'!R\Max</f>
        <v>0.24507900982927536</v>
      </c>
      <c r="BX363" s="1134">
        <f>'2019'!R\Max</f>
        <v>1.0297023424611333</v>
      </c>
      <c r="BY363" s="1134">
        <f>'2020'!R\Max</f>
        <v>0.11446028537974151</v>
      </c>
      <c r="BZ363" s="1134">
        <f>'2021'!R\Max</f>
        <v>0.97723505599140537</v>
      </c>
      <c r="CA363" s="1134">
        <f>'2022'!R\Max</f>
        <v>0.2957071357788375</v>
      </c>
      <c r="CB363" s="1134">
        <f>'2023'!R\Max</f>
        <v>0.2951030785053223</v>
      </c>
      <c r="CC363" s="1134">
        <f>'2024'!R\Max</f>
        <v>0.29432069193824117</v>
      </c>
      <c r="CD363" s="1134">
        <f>'2025'!R\Max</f>
        <v>0.2971349988496586</v>
      </c>
      <c r="CE363" s="1134">
        <f>'2026'!R\Max</f>
        <v>0.29706266446111546</v>
      </c>
      <c r="CF363" s="1135">
        <f>'2027'!R\Max</f>
        <v>0.2967038104593101</v>
      </c>
    </row>
    <row r="364" spans="1:84" s="6" customFormat="1" ht="11.25" x14ac:dyDescent="0.2">
      <c r="A364" s="11">
        <v>43450</v>
      </c>
      <c r="B364" s="380">
        <f>'2023'!Maxi_hp</f>
        <v>27.611155388131891</v>
      </c>
      <c r="C364" s="85">
        <f>'2023'!An_max</f>
        <v>2021</v>
      </c>
      <c r="D364" s="1087">
        <f t="shared" si="135"/>
        <v>1.0284651502658102</v>
      </c>
      <c r="E364" s="747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836">
        <f t="shared" si="138"/>
        <v>0.5714285714285714</v>
      </c>
      <c r="J364" s="827">
        <f t="shared" si="139"/>
        <v>26.84695284132447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836">
        <f t="shared" si="143"/>
        <v>0.7931034482758621</v>
      </c>
      <c r="AT364" s="853">
        <f t="shared" si="144"/>
        <v>26.975987957726268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836">
        <f t="shared" si="148"/>
        <v>0.7142857142857143</v>
      </c>
      <c r="AY364" s="853">
        <f t="shared" si="149"/>
        <v>27.193904441382205</v>
      </c>
      <c r="AZ364" s="827">
        <f t="shared" si="153"/>
        <v>27.084946199554238</v>
      </c>
      <c r="BA364" s="660">
        <f t="shared" si="150"/>
        <v>1.0284651502658102</v>
      </c>
      <c r="BB364" s="655">
        <v>43450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924">
        <f>1+[2]!Salcycl*Ksac</f>
        <v>1.0018275521299589</v>
      </c>
      <c r="BH364" s="1080">
        <f t="shared" si="151"/>
        <v>1.5633062736739142E-2</v>
      </c>
      <c r="BI364" s="11">
        <v>44546</v>
      </c>
      <c r="BJ364" s="801">
        <v>1.0708926448709006E-2</v>
      </c>
      <c r="BK364" s="801">
        <v>1.1985653788193697E-2</v>
      </c>
      <c r="BL364" s="801">
        <v>1.3474255832490173E-2</v>
      </c>
      <c r="BM364" s="801">
        <v>1.5632934655387919E-2</v>
      </c>
      <c r="BN364" s="801">
        <v>1.9016318861412255E-2</v>
      </c>
      <c r="BO364" s="802">
        <v>3.6307427324728518E-2</v>
      </c>
      <c r="BP364" s="801">
        <v>6.4180319720880799E-2</v>
      </c>
      <c r="BQ364" s="801">
        <v>0.10028679875821384</v>
      </c>
      <c r="BR364" s="801">
        <v>0.13012978324202371</v>
      </c>
      <c r="BS364" s="801">
        <v>0.15520359608262077</v>
      </c>
      <c r="BT364" s="801">
        <v>0.17725961674531596</v>
      </c>
      <c r="BW364" s="1136">
        <f>'2018'!R\Max</f>
        <v>0.14643487245494111</v>
      </c>
      <c r="BX364" s="1134">
        <f>'2019'!R\Max</f>
        <v>0.58027775257010206</v>
      </c>
      <c r="BY364" s="1134">
        <f>'2020'!R\Max</f>
        <v>8.5040484666489141E-2</v>
      </c>
      <c r="BZ364" s="1134">
        <f>'2021'!R\Max</f>
        <v>1.0284651502658102</v>
      </c>
      <c r="CA364" s="1134">
        <f>'2022'!R\Max</f>
        <v>0.20091681893313221</v>
      </c>
      <c r="CB364" s="1134">
        <f>'2023'!R\Max</f>
        <v>0.20051094219492971</v>
      </c>
      <c r="CC364" s="1134">
        <f>'2024'!R\Max</f>
        <v>0.19998517256484447</v>
      </c>
      <c r="CD364" s="1134">
        <f>'2025'!R\Max</f>
        <v>0.20187799545326646</v>
      </c>
      <c r="CE364" s="1134">
        <f>'2026'!R\Max</f>
        <v>0.20182872762249709</v>
      </c>
      <c r="CF364" s="1135">
        <f>'2027'!R\Max</f>
        <v>0.20158706434183976</v>
      </c>
    </row>
    <row r="365" spans="1:84" s="6" customFormat="1" ht="11.25" x14ac:dyDescent="0.2">
      <c r="A365" s="11">
        <v>43451</v>
      </c>
      <c r="B365" s="380">
        <f>'2023'!Maxi_hp</f>
        <v>27.969819213232515</v>
      </c>
      <c r="C365" s="85">
        <f>'2023'!An_max</f>
        <v>2021</v>
      </c>
      <c r="D365" s="1087">
        <f t="shared" si="135"/>
        <v>1.0413778494310415</v>
      </c>
      <c r="E365" s="747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836">
        <f t="shared" si="138"/>
        <v>0.5</v>
      </c>
      <c r="J365" s="827">
        <f t="shared" si="139"/>
        <v>26.858473347127436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836">
        <f t="shared" si="143"/>
        <v>0.75862068965517238</v>
      </c>
      <c r="AT365" s="853">
        <f t="shared" si="144"/>
        <v>27.008824520481046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836">
        <f t="shared" si="148"/>
        <v>0.75</v>
      </c>
      <c r="AY365" s="853">
        <f t="shared" si="149"/>
        <v>27.162166877463459</v>
      </c>
      <c r="AZ365" s="827">
        <f t="shared" si="153"/>
        <v>27.085495698972252</v>
      </c>
      <c r="BA365" s="660">
        <f t="shared" si="150"/>
        <v>1.0413778494310415</v>
      </c>
      <c r="BB365" s="655">
        <v>43451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924">
        <f>1+[2]!Salcycl*Ksac</f>
        <v>1.0016953662750907</v>
      </c>
      <c r="BH365" s="1080">
        <f t="shared" si="151"/>
        <v>1.5917946337694163E-2</v>
      </c>
      <c r="BI365" s="11">
        <v>44547</v>
      </c>
      <c r="BJ365" s="801">
        <v>1.0947258146810166E-2</v>
      </c>
      <c r="BK365" s="801">
        <v>1.2241470941085365E-2</v>
      </c>
      <c r="BL365" s="801">
        <v>1.3748915832794265E-2</v>
      </c>
      <c r="BM365" s="801">
        <v>1.5917817710927974E-2</v>
      </c>
      <c r="BN365" s="801">
        <v>1.9315609544317588E-2</v>
      </c>
      <c r="BO365" s="802">
        <v>3.6472071090731736E-2</v>
      </c>
      <c r="BP365" s="801">
        <v>6.4118788003658708E-2</v>
      </c>
      <c r="BQ365" s="801">
        <v>9.9936610291485373E-2</v>
      </c>
      <c r="BR365" s="801">
        <v>0.12959486169386791</v>
      </c>
      <c r="BS365" s="801">
        <v>0.15454541675389621</v>
      </c>
      <c r="BT365" s="801">
        <v>0.17649797792628674</v>
      </c>
      <c r="BW365" s="1136">
        <f>'2018'!R\Max</f>
        <v>0.79230956892088811</v>
      </c>
      <c r="BX365" s="1134">
        <f>'2019'!R\Max</f>
        <v>0.27063200824866707</v>
      </c>
      <c r="BY365" s="1134">
        <f>'2020'!R\Max</f>
        <v>0.57213394214836855</v>
      </c>
      <c r="BZ365" s="1134">
        <f>'2021'!R\Max</f>
        <v>1.0413778494310415</v>
      </c>
      <c r="CA365" s="1134">
        <f>'2022'!R\Max</f>
        <v>0.11234469598370163</v>
      </c>
      <c r="CB365" s="1134">
        <f>'2023'!R\Max</f>
        <v>0.11212008114068912</v>
      </c>
      <c r="CC365" s="1134">
        <f>'2024'!R\Max</f>
        <v>0.11182908047205727</v>
      </c>
      <c r="CD365" s="1134">
        <f>'2025'!R\Max</f>
        <v>0.11287706983998841</v>
      </c>
      <c r="CE365" s="1134">
        <f>'2026'!R\Max</f>
        <v>0.11284946459189871</v>
      </c>
      <c r="CF365" s="1135">
        <f>'2027'!R\Max</f>
        <v>0.11271566393670585</v>
      </c>
    </row>
    <row r="366" spans="1:84" s="6" customFormat="1" ht="11.25" x14ac:dyDescent="0.2">
      <c r="A366" s="11">
        <v>43452</v>
      </c>
      <c r="B366" s="380">
        <f>'2023'!Maxi_hp</f>
        <v>28.032685021410803</v>
      </c>
      <c r="C366" s="85">
        <f>'2023'!An_max</f>
        <v>2021</v>
      </c>
      <c r="D366" s="1087">
        <f t="shared" si="135"/>
        <v>1.0427521944805132</v>
      </c>
      <c r="E366" s="747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836">
        <f t="shared" si="138"/>
        <v>0.42857142857142855</v>
      </c>
      <c r="J366" s="827">
        <f t="shared" si="139"/>
        <v>26.883362288560182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836">
        <f t="shared" si="143"/>
        <v>0.72413793103448276</v>
      </c>
      <c r="AT366" s="853">
        <f t="shared" si="144"/>
        <v>27.054927623888545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836">
        <f t="shared" si="148"/>
        <v>0.7857142857142857</v>
      </c>
      <c r="AY366" s="853">
        <f t="shared" si="149"/>
        <v>27.142053791561295</v>
      </c>
      <c r="AZ366" s="827">
        <f t="shared" si="153"/>
        <v>27.09849070772492</v>
      </c>
      <c r="BA366" s="660">
        <f t="shared" si="150"/>
        <v>1.0427521944805132</v>
      </c>
      <c r="BB366" s="655">
        <v>43452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924">
        <f>1+[2]!Salcycl*Ksac</f>
        <v>1.0015730420238711</v>
      </c>
      <c r="BH366" s="1080">
        <f t="shared" si="151"/>
        <v>1.6123688139718116E-2</v>
      </c>
      <c r="BI366" s="11">
        <v>44548</v>
      </c>
      <c r="BJ366" s="801">
        <v>1.111876230054354E-2</v>
      </c>
      <c r="BK366" s="801">
        <v>1.2425739851637099E-2</v>
      </c>
      <c r="BL366" s="801">
        <v>1.3947075321575691E-2</v>
      </c>
      <c r="BM366" s="801">
        <v>1.6123559025244861E-2</v>
      </c>
      <c r="BN366" s="801">
        <v>1.9534234079827451E-2</v>
      </c>
      <c r="BO366" s="802">
        <v>3.6562849075747417E-2</v>
      </c>
      <c r="BP366" s="801">
        <v>6.4040180005094149E-2</v>
      </c>
      <c r="BQ366" s="801">
        <v>9.9642078859620939E-2</v>
      </c>
      <c r="BR366" s="801">
        <v>0.12919369350733145</v>
      </c>
      <c r="BS366" s="801">
        <v>0.15405850597853379</v>
      </c>
      <c r="BT366" s="801">
        <v>0.17593969340627647</v>
      </c>
      <c r="BW366" s="1136">
        <f>'2018'!R\Max</f>
        <v>0.49929607612481391</v>
      </c>
      <c r="BX366" s="1134">
        <f>'2019'!R\Max</f>
        <v>0.65997091707780664</v>
      </c>
      <c r="BY366" s="1134">
        <f>'2020'!R\Max</f>
        <v>0.27936923971653638</v>
      </c>
      <c r="BZ366" s="1134">
        <f>'2021'!R\Max</f>
        <v>1.0427521944805132</v>
      </c>
      <c r="CA366" s="1134">
        <f>'2022'!R\Max</f>
        <v>0.88864081543368001</v>
      </c>
      <c r="CB366" s="1134">
        <f>'2023'!R\Max</f>
        <v>0.88836074184067948</v>
      </c>
      <c r="CC366" s="1134">
        <f>'2024'!R\Max</f>
        <v>0.88799646268013555</v>
      </c>
      <c r="CD366" s="1134">
        <f>'2025'!R\Max</f>
        <v>0.88930081925624727</v>
      </c>
      <c r="CE366" s="1134">
        <f>'2026'!R\Max</f>
        <v>0.88926637827941635</v>
      </c>
      <c r="CF366" s="1135">
        <f>'2027'!R\Max</f>
        <v>0.88910109622597111</v>
      </c>
    </row>
    <row r="367" spans="1:84" s="6" customFormat="1" ht="11.25" x14ac:dyDescent="0.2">
      <c r="A367" s="11">
        <v>43453</v>
      </c>
      <c r="B367" s="380">
        <f>'2023'!Maxi_hp</f>
        <v>27.478360183893841</v>
      </c>
      <c r="C367" s="85">
        <f>'2023'!An_max</f>
        <v>2021</v>
      </c>
      <c r="D367" s="1087">
        <f t="shared" si="135"/>
        <v>1.0206996413857079</v>
      </c>
      <c r="E367" s="747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836">
        <f t="shared" si="138"/>
        <v>0.35714285714285715</v>
      </c>
      <c r="J367" s="827">
        <f t="shared" si="139"/>
        <v>26.92110300596271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836">
        <f t="shared" si="143"/>
        <v>0.68965517241379315</v>
      </c>
      <c r="AT367" s="853">
        <f t="shared" si="144"/>
        <v>27.113762732672278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836">
        <f t="shared" si="148"/>
        <v>0.8214285714285714</v>
      </c>
      <c r="AY367" s="853">
        <f t="shared" si="149"/>
        <v>27.133904655118073</v>
      </c>
      <c r="AZ367" s="827">
        <f t="shared" si="153"/>
        <v>27.123833693895175</v>
      </c>
      <c r="BA367" s="660">
        <f t="shared" si="150"/>
        <v>1.0206996413857079</v>
      </c>
      <c r="BB367" s="655">
        <v>43453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924">
        <f>1+[2]!Salcycl*Ksac</f>
        <v>1.0014599510682043</v>
      </c>
      <c r="BH367" s="1080">
        <f t="shared" si="151"/>
        <v>1.6278960240261306E-2</v>
      </c>
      <c r="BI367" s="11">
        <v>44549</v>
      </c>
      <c r="BJ367" s="801">
        <v>1.1248062983959395E-2</v>
      </c>
      <c r="BK367" s="801">
        <v>1.2564691514732435E-2</v>
      </c>
      <c r="BL367" s="801">
        <v>1.4096534811352092E-2</v>
      </c>
      <c r="BM367" s="801">
        <v>1.6278830752532482E-2</v>
      </c>
      <c r="BN367" s="801">
        <v>1.9699365689048186E-2</v>
      </c>
      <c r="BO367" s="802">
        <v>3.6633038887100754E-2</v>
      </c>
      <c r="BP367" s="801">
        <v>6.3984860353190606E-2</v>
      </c>
      <c r="BQ367" s="801">
        <v>9.9426799848389924E-2</v>
      </c>
      <c r="BR367" s="801">
        <v>0.12890009927345314</v>
      </c>
      <c r="BS367" s="801">
        <v>0.15370200438992224</v>
      </c>
      <c r="BT367" s="801">
        <v>0.17553089406258793</v>
      </c>
      <c r="BW367" s="1136">
        <f>'2018'!R\Max</f>
        <v>0.92595808360636356</v>
      </c>
      <c r="BX367" s="1134">
        <f>'2019'!R\Max</f>
        <v>0.45691764435347643</v>
      </c>
      <c r="BY367" s="1134">
        <f>'2020'!R\Max</f>
        <v>0.36428089889174048</v>
      </c>
      <c r="BZ367" s="1134">
        <f>'2021'!R\Max</f>
        <v>1.0206996413857079</v>
      </c>
      <c r="CA367" s="1134">
        <f>'2022'!R\Max</f>
        <v>0.75050311573772066</v>
      </c>
      <c r="CB367" s="1134">
        <f>'2023'!R\Max</f>
        <v>0.74997731967931558</v>
      </c>
      <c r="CC367" s="1134">
        <f>'2024'!R\Max</f>
        <v>0.74929402170297676</v>
      </c>
      <c r="CD367" s="1134">
        <f>'2025'!R\Max</f>
        <v>0.75174369718666845</v>
      </c>
      <c r="CE367" s="1134">
        <f>'2026'!R\Max</f>
        <v>0.75167840907943639</v>
      </c>
      <c r="CF367" s="1135">
        <f>'2027'!R\Max</f>
        <v>0.75136779383758079</v>
      </c>
    </row>
    <row r="368" spans="1:84" s="6" customFormat="1" ht="11.25" x14ac:dyDescent="0.2">
      <c r="A368" s="11">
        <v>43454</v>
      </c>
      <c r="B368" s="380">
        <f>'2023'!Maxi_hp</f>
        <v>28.081044157306998</v>
      </c>
      <c r="C368" s="85">
        <f>'2023'!An_max</f>
        <v>2021</v>
      </c>
      <c r="D368" s="1087">
        <f t="shared" si="135"/>
        <v>1.0411500488225389</v>
      </c>
      <c r="E368" s="747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836">
        <f t="shared" si="138"/>
        <v>0.2857142857142857</v>
      </c>
      <c r="J368" s="827">
        <f t="shared" si="139"/>
        <v>26.971178831585814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836">
        <f t="shared" si="143"/>
        <v>0.65517241379310343</v>
      </c>
      <c r="AT368" s="853">
        <f t="shared" si="144"/>
        <v>27.184795311607161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836">
        <f t="shared" si="148"/>
        <v>0.8571428571428571</v>
      </c>
      <c r="AY368" s="853">
        <f t="shared" si="149"/>
        <v>27.138058953838691</v>
      </c>
      <c r="AZ368" s="827">
        <f t="shared" si="153"/>
        <v>27.161427132722928</v>
      </c>
      <c r="BA368" s="660">
        <f t="shared" si="150"/>
        <v>1.0411500488225389</v>
      </c>
      <c r="BB368" s="655">
        <v>43454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924">
        <f>1+[2]!Salcycl*Ksac</f>
        <v>1.0013554735471988</v>
      </c>
      <c r="BH368" s="1080">
        <f t="shared" si="151"/>
        <v>1.6383782730039716E-2</v>
      </c>
      <c r="BI368" s="11">
        <v>44550</v>
      </c>
      <c r="BJ368" s="801">
        <v>1.1335172099667499E-2</v>
      </c>
      <c r="BK368" s="801">
        <v>1.2658339719283729E-2</v>
      </c>
      <c r="BL368" s="801">
        <v>1.4197310350465842E-2</v>
      </c>
      <c r="BM368" s="801">
        <v>1.6383652983269523E-2</v>
      </c>
      <c r="BN368" s="801">
        <v>1.9811030730702315E-2</v>
      </c>
      <c r="BO368" s="802">
        <v>3.6682710839338502E-2</v>
      </c>
      <c r="BP368" s="801">
        <v>6.3952967858076137E-2</v>
      </c>
      <c r="BQ368" s="801">
        <v>9.9291000582772682E-2</v>
      </c>
      <c r="BR368" s="801">
        <v>0.12871437500724134</v>
      </c>
      <c r="BS368" s="801">
        <v>0.15347626553672813</v>
      </c>
      <c r="BT368" s="801">
        <v>0.17527198380505213</v>
      </c>
      <c r="BW368" s="1136">
        <f>'2018'!R\Max</f>
        <v>0.58897357269998341</v>
      </c>
      <c r="BX368" s="1134">
        <f>'2019'!R\Max</f>
        <v>0.31341187813640753</v>
      </c>
      <c r="BY368" s="1134">
        <f>'2020'!R\Max</f>
        <v>0.31290844347224428</v>
      </c>
      <c r="BZ368" s="1134">
        <f>'2021'!R\Max</f>
        <v>1.0411500488225389</v>
      </c>
      <c r="CA368" s="1134">
        <f>'2022'!R\Max</f>
        <v>0.18195395345668341</v>
      </c>
      <c r="CB368" s="1134">
        <f>'2023'!R\Max</f>
        <v>0.181598235882621</v>
      </c>
      <c r="CC368" s="1134">
        <f>'2024'!R\Max</f>
        <v>0.18113728728621747</v>
      </c>
      <c r="CD368" s="1134">
        <f>'2025'!R\Max</f>
        <v>0.18279676936722647</v>
      </c>
      <c r="CE368" s="1134">
        <f>'2026'!R\Max</f>
        <v>0.18275206272001912</v>
      </c>
      <c r="CF368" s="1135">
        <f>'2027'!R\Max</f>
        <v>0.18254074480462373</v>
      </c>
    </row>
    <row r="369" spans="1:84" s="6" customFormat="1" ht="11.25" x14ac:dyDescent="0.2">
      <c r="A369" s="11">
        <v>43455</v>
      </c>
      <c r="B369" s="380">
        <f>'2023'!Maxi_hp</f>
        <v>24.910992289500552</v>
      </c>
      <c r="C369" s="85">
        <f>'2023'!An_max</f>
        <v>2022</v>
      </c>
      <c r="D369" s="1087" t="str">
        <f t="shared" si="135"/>
        <v/>
      </c>
      <c r="E369" s="747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836">
        <f t="shared" si="138"/>
        <v>0.21428571428571427</v>
      </c>
      <c r="J369" s="827">
        <f t="shared" si="139"/>
        <v>27.033073105450189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836">
        <f t="shared" si="143"/>
        <v>0.62068965517241381</v>
      </c>
      <c r="AT369" s="853">
        <f t="shared" si="144"/>
        <v>27.267490824132132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836">
        <f t="shared" si="148"/>
        <v>0.8928571428571429</v>
      </c>
      <c r="AY369" s="853">
        <f t="shared" si="149"/>
        <v>27.154856159644471</v>
      </c>
      <c r="AZ369" s="827">
        <f t="shared" si="153"/>
        <v>27.211173491888303</v>
      </c>
      <c r="BA369" s="660">
        <f t="shared" si="150"/>
        <v>0.92150057051701606</v>
      </c>
      <c r="BB369" s="655">
        <v>43455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924">
        <f>1+[2]!Salcycl*Ksac</f>
        <v>1.001259001415761</v>
      </c>
      <c r="BH369" s="1080">
        <f t="shared" si="151"/>
        <v>1.643816914839983E-2</v>
      </c>
      <c r="BI369" s="11">
        <v>44551</v>
      </c>
      <c r="BJ369" s="801">
        <v>1.1380096078834888E-2</v>
      </c>
      <c r="BK369" s="801">
        <v>1.2706692377655713E-2</v>
      </c>
      <c r="BL369" s="801">
        <v>1.4249411670316743E-2</v>
      </c>
      <c r="BM369" s="801">
        <v>1.6438039256580311E-2</v>
      </c>
      <c r="BN369" s="801">
        <v>1.9869248612564727E-2</v>
      </c>
      <c r="BO369" s="802">
        <v>3.6711932486929229E-2</v>
      </c>
      <c r="BP369" s="801">
        <v>6.3944644144142207E-2</v>
      </c>
      <c r="BQ369" s="801">
        <v>9.9234918310411105E-2</v>
      </c>
      <c r="BR369" s="801">
        <v>0.12863683021000091</v>
      </c>
      <c r="BS369" s="801">
        <v>0.15338165932419032</v>
      </c>
      <c r="BT369" s="801">
        <v>0.17516338529458861</v>
      </c>
      <c r="BW369" s="1136">
        <f>'2018'!R\Max</f>
        <v>0.3313565060402861</v>
      </c>
      <c r="BX369" s="1134">
        <f>'2019'!R\Max</f>
        <v>0.83618098726725931</v>
      </c>
      <c r="BY369" s="1134">
        <f>'2020'!R\Max</f>
        <v>0.55056099652740897</v>
      </c>
      <c r="BZ369" s="1134">
        <f>'2021'!R\Max</f>
        <v>0.79593980639054496</v>
      </c>
      <c r="CA369" s="1134">
        <f>'2022'!R\Max</f>
        <v>0.92150057051701606</v>
      </c>
      <c r="CB369" s="1134">
        <f>'2023'!R\Max</f>
        <v>0.92129960956880397</v>
      </c>
      <c r="CC369" s="1134">
        <f>'2024'!R\Max</f>
        <v>0.9210381563509793</v>
      </c>
      <c r="CD369" s="1134">
        <f>'2025'!R\Max</f>
        <v>0.92197393684156292</v>
      </c>
      <c r="CE369" s="1134">
        <f>'2026'!R\Max</f>
        <v>0.92194886100889495</v>
      </c>
      <c r="CF369" s="1135">
        <f>'2027'!R\Max</f>
        <v>0.92183051767487578</v>
      </c>
    </row>
    <row r="370" spans="1:84" s="6" customFormat="1" ht="11.25" x14ac:dyDescent="0.2">
      <c r="A370" s="11">
        <v>43456</v>
      </c>
      <c r="B370" s="380">
        <f>'2023'!Maxi_hp</f>
        <v>27.058641236912877</v>
      </c>
      <c r="C370" s="85">
        <f>'2023'!An_max</f>
        <v>2021</v>
      </c>
      <c r="D370" s="1087">
        <f t="shared" si="135"/>
        <v>0.99824291827310518</v>
      </c>
      <c r="E370" s="747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836">
        <f t="shared" si="138"/>
        <v>0.14285714285714285</v>
      </c>
      <c r="J370" s="827">
        <f t="shared" si="139"/>
        <v>27.106269167150771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836">
        <f t="shared" si="143"/>
        <v>0.58620689655172409</v>
      </c>
      <c r="AT370" s="853">
        <f t="shared" si="144"/>
        <v>27.361314731168342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836">
        <f t="shared" si="148"/>
        <v>0.9285714285714286</v>
      </c>
      <c r="AY370" s="853">
        <f t="shared" si="149"/>
        <v>27.184635749246393</v>
      </c>
      <c r="AZ370" s="827">
        <f t="shared" si="153"/>
        <v>27.272975240207366</v>
      </c>
      <c r="BA370" s="660">
        <f t="shared" si="150"/>
        <v>0.99824291827310518</v>
      </c>
      <c r="BB370" s="655">
        <v>43456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924">
        <f>1+[2]!Salcycl*Ksac</f>
        <v>1.0011699415974418</v>
      </c>
      <c r="BH370" s="1080">
        <f t="shared" si="151"/>
        <v>1.6442125425170404E-2</v>
      </c>
      <c r="BI370" s="11">
        <v>44552</v>
      </c>
      <c r="BJ370" s="803">
        <v>1.1382834997588987E-2</v>
      </c>
      <c r="BK370" s="803">
        <v>1.2709750576621227E-2</v>
      </c>
      <c r="BL370" s="803">
        <v>1.4252841165163566E-2</v>
      </c>
      <c r="BM370" s="803">
        <v>1.644199550208901E-2</v>
      </c>
      <c r="BN370" s="803">
        <v>1.9874030668645608E-2</v>
      </c>
      <c r="BO370" s="804">
        <v>3.6720768176864628E-2</v>
      </c>
      <c r="BP370" s="803">
        <v>6.3960034100769766E-2</v>
      </c>
      <c r="BQ370" s="803">
        <v>9.9258801797592514E-2</v>
      </c>
      <c r="BR370" s="803">
        <v>0.12866779003883624</v>
      </c>
      <c r="BS370" s="803">
        <v>0.1534185746454976</v>
      </c>
      <c r="BT370" s="803">
        <v>0.17520554295983953</v>
      </c>
      <c r="BW370" s="1136">
        <f>'2018'!R\Max</f>
        <v>0.26433185381980795</v>
      </c>
      <c r="BX370" s="1134">
        <f>'2019'!R\Max</f>
        <v>0.25284598436861927</v>
      </c>
      <c r="BY370" s="1134">
        <f>'2020'!R\Max</f>
        <v>0.29572558501387214</v>
      </c>
      <c r="BZ370" s="1134">
        <f>'2021'!R\Max</f>
        <v>0.99824291827310518</v>
      </c>
      <c r="CA370" s="1134">
        <f>'2022'!R\Max</f>
        <v>0.70969850251971467</v>
      </c>
      <c r="CB370" s="1134">
        <f>'2023'!R\Max</f>
        <v>0.70912855409262032</v>
      </c>
      <c r="CC370" s="1134">
        <f>'2024'!R\Max</f>
        <v>0.70838805534743376</v>
      </c>
      <c r="CD370" s="1134">
        <f>'2025'!R\Max</f>
        <v>0.71104369855105387</v>
      </c>
      <c r="CE370" s="1134">
        <f>'2026'!R\Max</f>
        <v>0.71097234496335671</v>
      </c>
      <c r="CF370" s="1135">
        <f>'2027'!R\Max</f>
        <v>0.71063573623144149</v>
      </c>
    </row>
    <row r="371" spans="1:84" s="6" customFormat="1" ht="11.25" x14ac:dyDescent="0.2">
      <c r="A371" s="11">
        <v>43457</v>
      </c>
      <c r="B371" s="380">
        <f>'2023'!Maxi_hp</f>
        <v>22.375250435644084</v>
      </c>
      <c r="C371" s="85">
        <f>'2023'!An_max</f>
        <v>2020</v>
      </c>
      <c r="D371" s="1087" t="str">
        <f t="shared" si="135"/>
        <v/>
      </c>
      <c r="E371" s="747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836">
        <f t="shared" si="138"/>
        <v>7.1428571428571425E-2</v>
      </c>
      <c r="J371" s="827">
        <f t="shared" si="139"/>
        <v>27.1902503510671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836">
        <f t="shared" si="143"/>
        <v>0.55172413793103448</v>
      </c>
      <c r="AT371" s="853">
        <f t="shared" si="144"/>
        <v>27.465732497953134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836">
        <f t="shared" si="148"/>
        <v>0.9642857142857143</v>
      </c>
      <c r="AY371" s="853">
        <f t="shared" si="149"/>
        <v>27.227737206327067</v>
      </c>
      <c r="AZ371" s="827">
        <f t="shared" si="153"/>
        <v>27.346734852140102</v>
      </c>
      <c r="BA371" s="660">
        <f t="shared" si="150"/>
        <v>0.82291446922135281</v>
      </c>
      <c r="BB371" s="655">
        <v>43457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924">
        <f>1+[2]!Salcycl*Ksac</f>
        <v>1.0010877189020408</v>
      </c>
      <c r="BH371" s="1080">
        <f t="shared" si="151"/>
        <v>1.6395660153682965E-2</v>
      </c>
      <c r="BI371" s="11">
        <v>44553</v>
      </c>
      <c r="BJ371" s="801">
        <v>1.1343389532925451E-2</v>
      </c>
      <c r="BK371" s="801">
        <v>1.2667516382936039E-2</v>
      </c>
      <c r="BL371" s="801">
        <v>1.4207602690910393E-2</v>
      </c>
      <c r="BM371" s="801">
        <v>1.639553031285285E-2</v>
      </c>
      <c r="BN371" s="801">
        <v>1.9825392737857512E-2</v>
      </c>
      <c r="BO371" s="802">
        <v>3.6709303971352074E-2</v>
      </c>
      <c r="BP371" s="801">
        <v>6.3999330563503182E-2</v>
      </c>
      <c r="BQ371" s="801">
        <v>9.9362981595785091E-2</v>
      </c>
      <c r="BR371" s="801">
        <v>0.12880768649617688</v>
      </c>
      <c r="BS371" s="801">
        <v>0.15358752815873675</v>
      </c>
      <c r="BT371" s="801">
        <v>0.17539904723348912</v>
      </c>
      <c r="BW371" s="1136">
        <f>'2018'!R\Max</f>
        <v>0.18003189315263116</v>
      </c>
      <c r="BX371" s="1134">
        <f>'2019'!R\Max</f>
        <v>0.27904933665225828</v>
      </c>
      <c r="BY371" s="1134">
        <f>'2020'!R\Max</f>
        <v>0.82291446922135281</v>
      </c>
      <c r="BZ371" s="1134">
        <f>'2021'!R\Max</f>
        <v>0.35758336853166617</v>
      </c>
      <c r="CA371" s="1134">
        <f>'2022'!R\Max</f>
        <v>0.72998868266182926</v>
      </c>
      <c r="CB371" s="1134">
        <f>'2023'!R\Max</f>
        <v>0.72944464768041373</v>
      </c>
      <c r="CC371" s="1134">
        <f>'2024'!R\Max</f>
        <v>0.72873774788990364</v>
      </c>
      <c r="CD371" s="1134">
        <f>'2025'!R\Max</f>
        <v>0.73127253817675941</v>
      </c>
      <c r="CE371" s="1134">
        <f>'2026'!R\Max</f>
        <v>0.73120461881681587</v>
      </c>
      <c r="CF371" s="1135">
        <f>'2027'!R\Max</f>
        <v>0.7308832979579285</v>
      </c>
    </row>
    <row r="372" spans="1:84" s="6" customFormat="1" ht="11.25" x14ac:dyDescent="0.2">
      <c r="A372" s="11">
        <v>43458</v>
      </c>
      <c r="B372" s="380">
        <f>'2023'!Maxi_hp</f>
        <v>26.058366760207068</v>
      </c>
      <c r="C372" s="85">
        <f>'2023'!An_max</f>
        <v>2022</v>
      </c>
      <c r="D372" s="1087" t="str">
        <f t="shared" si="135"/>
        <v/>
      </c>
      <c r="E372" s="835">
        <f>AM$13/10</f>
        <v>27.284499999999998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836">
        <f t="shared" si="138"/>
        <v>0</v>
      </c>
      <c r="J372" s="827">
        <f t="shared" si="139"/>
        <v>27.28449999988079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836">
        <f t="shared" si="143"/>
        <v>0.51724137931034486</v>
      </c>
      <c r="AT372" s="853">
        <f t="shared" si="144"/>
        <v>27.580209588850369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836">
        <f t="shared" si="148"/>
        <v>1</v>
      </c>
      <c r="AY372" s="853">
        <f t="shared" si="149"/>
        <v>27.284500001370908</v>
      </c>
      <c r="AZ372" s="827">
        <f t="shared" si="153"/>
        <v>27.432354795110641</v>
      </c>
      <c r="BA372" s="660">
        <f t="shared" si="150"/>
        <v>0.95506117980248573</v>
      </c>
      <c r="BB372" s="655">
        <v>43458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924">
        <f>1+[2]!Salcycl*Ksac</f>
        <v>1.0010117786908568</v>
      </c>
      <c r="BH372" s="1080">
        <f t="shared" si="151"/>
        <v>1.6298724352388359E-2</v>
      </c>
      <c r="BI372" s="11">
        <v>44554</v>
      </c>
      <c r="BJ372" s="801">
        <v>1.1261719137346715E-2</v>
      </c>
      <c r="BK372" s="801">
        <v>1.2579946172786382E-2</v>
      </c>
      <c r="BL372" s="801">
        <v>1.4113649264026126E-2</v>
      </c>
      <c r="BM372" s="801">
        <v>1.6298594707449862E-2</v>
      </c>
      <c r="BN372" s="801">
        <v>1.9723282478976034E-2</v>
      </c>
      <c r="BO372" s="802">
        <v>3.6677514669179796E-2</v>
      </c>
      <c r="BP372" s="801">
        <v>6.406254369019676E-2</v>
      </c>
      <c r="BQ372" s="801">
        <v>9.9547512866398111E-2</v>
      </c>
      <c r="BR372" s="801">
        <v>0.12905659551016777</v>
      </c>
      <c r="BS372" s="801">
        <v>0.15388861235530085</v>
      </c>
      <c r="BT372" s="801">
        <v>0.17574400425026657</v>
      </c>
      <c r="BW372" s="1136">
        <f>'2018'!R\Max</f>
        <v>0.16953788640639622</v>
      </c>
      <c r="BX372" s="1134">
        <f>'2019'!R\Max</f>
        <v>0.55446226088680373</v>
      </c>
      <c r="BY372" s="1134">
        <f>'2020'!R\Max</f>
        <v>0.42356830165783127</v>
      </c>
      <c r="BZ372" s="1134">
        <f>'2021'!R\Max</f>
        <v>0.65545529897609967</v>
      </c>
      <c r="CA372" s="1134">
        <f>'2022'!R\Max</f>
        <v>0.95506117980248573</v>
      </c>
      <c r="CB372" s="1134">
        <f>'2023'!R\Max</f>
        <v>0.95494276060946304</v>
      </c>
      <c r="CC372" s="1134">
        <f>'2024'!R\Max</f>
        <v>0.95478867922385258</v>
      </c>
      <c r="CD372" s="1134">
        <f>'2025'!R\Max</f>
        <v>0.95534007565805246</v>
      </c>
      <c r="CE372" s="1134">
        <f>'2026'!R\Max</f>
        <v>0.95532541617084399</v>
      </c>
      <c r="CF372" s="1135">
        <f>'2027'!R\Max</f>
        <v>0.95525564258757445</v>
      </c>
    </row>
    <row r="373" spans="1:84" s="6" customFormat="1" ht="11.25" x14ac:dyDescent="0.2">
      <c r="A373" s="11">
        <v>43459</v>
      </c>
      <c r="B373" s="380">
        <f>'2023'!Maxi_hp</f>
        <v>18.791308820692279</v>
      </c>
      <c r="C373" s="85">
        <f>'2023'!An_max</f>
        <v>2019</v>
      </c>
      <c r="D373" s="1087" t="str">
        <f t="shared" si="135"/>
        <v/>
      </c>
      <c r="E373" s="747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836">
        <f t="shared" si="138"/>
        <v>6.6666666666666666E-2</v>
      </c>
      <c r="J373" s="827">
        <f t="shared" si="139"/>
        <v>27.393446282595399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836">
        <f t="shared" si="143"/>
        <v>0.48275862068965519</v>
      </c>
      <c r="AT373" s="853">
        <f t="shared" si="144"/>
        <v>27.704211466142841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836">
        <f t="shared" si="148"/>
        <v>0.96551724137931039</v>
      </c>
      <c r="AY373" s="853">
        <f t="shared" si="149"/>
        <v>27.356811829348068</v>
      </c>
      <c r="AZ373" s="827">
        <f t="shared" si="153"/>
        <v>27.530511647745456</v>
      </c>
      <c r="BA373" s="660">
        <f t="shared" si="150"/>
        <v>0.68597826745996027</v>
      </c>
      <c r="BB373" s="655">
        <v>43459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924">
        <f>1+[2]!Salcycl*Ksac</f>
        <v>1.0009415892749802</v>
      </c>
      <c r="BH373" s="1080">
        <f t="shared" si="151"/>
        <v>1.6151220516212365E-2</v>
      </c>
      <c r="BI373" s="11">
        <v>44555</v>
      </c>
      <c r="BJ373" s="801">
        <v>1.113774840019742E-2</v>
      </c>
      <c r="BK373" s="801">
        <v>1.2446957711028229E-2</v>
      </c>
      <c r="BL373" s="801">
        <v>1.3970890972524769E-2</v>
      </c>
      <c r="BM373" s="801">
        <v>1.6151091181266706E-2</v>
      </c>
      <c r="BN373" s="801">
        <v>1.9567590212900245E-2</v>
      </c>
      <c r="BO373" s="802">
        <v>3.6625282814091449E-2</v>
      </c>
      <c r="BP373" s="801">
        <v>6.4149533295196334E-2</v>
      </c>
      <c r="BQ373" s="801">
        <v>9.9812224995297891E-2</v>
      </c>
      <c r="BR373" s="801">
        <v>0.12941430118589134</v>
      </c>
      <c r="BS373" s="801">
        <v>0.1543215721425521</v>
      </c>
      <c r="BT373" s="801">
        <v>0.17624012329782296</v>
      </c>
      <c r="BW373" s="1136">
        <f>'2018'!R\Max</f>
        <v>0.49698257594667156</v>
      </c>
      <c r="BX373" s="1134">
        <f>'2019'!R\Max</f>
        <v>0.68597826745996027</v>
      </c>
      <c r="BY373" s="1134">
        <f>'2020'!R\Max</f>
        <v>0.40481777303884525</v>
      </c>
      <c r="BZ373" s="1134">
        <f>'2021'!R\Max</f>
        <v>0.42906987781284406</v>
      </c>
      <c r="CA373" s="1134">
        <f>'2022'!R\Max</f>
        <v>0.55575678028020992</v>
      </c>
      <c r="CB373" s="1134">
        <f>'2023'!R\Max</f>
        <v>0.55507621942694474</v>
      </c>
      <c r="CC373" s="1134">
        <f>'2024'!R\Max</f>
        <v>0.5541930116707291</v>
      </c>
      <c r="CD373" s="1134">
        <f>'2025'!R\Max</f>
        <v>0.55736573649372867</v>
      </c>
      <c r="CE373" s="1134">
        <f>'2026'!R\Max</f>
        <v>0.5572815976666029</v>
      </c>
      <c r="CF373" s="1135">
        <f>'2027'!R\Max</f>
        <v>0.55687807302152392</v>
      </c>
    </row>
    <row r="374" spans="1:84" s="6" customFormat="1" ht="11.25" x14ac:dyDescent="0.2">
      <c r="A374" s="11">
        <v>43460</v>
      </c>
      <c r="B374" s="380">
        <f>'2023'!Maxi_hp</f>
        <v>26.329619230701343</v>
      </c>
      <c r="C374" s="85">
        <f>'2023'!An_max</f>
        <v>2018</v>
      </c>
      <c r="D374" s="1087" t="str">
        <f t="shared" si="135"/>
        <v/>
      </c>
      <c r="E374" s="747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836">
        <f t="shared" si="138"/>
        <v>0.13333333333333333</v>
      </c>
      <c r="J374" s="827">
        <f t="shared" si="139"/>
        <v>27.520818050801758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836">
        <f t="shared" si="143"/>
        <v>0.44827586206896552</v>
      </c>
      <c r="AT374" s="853">
        <f t="shared" si="144"/>
        <v>27.837203593397966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836">
        <f t="shared" si="148"/>
        <v>0.93103448275862066</v>
      </c>
      <c r="AY374" s="853">
        <f t="shared" si="149"/>
        <v>27.445878477137665</v>
      </c>
      <c r="AZ374" s="827">
        <f t="shared" si="153"/>
        <v>27.641541035267814</v>
      </c>
      <c r="BA374" s="660">
        <f t="shared" si="150"/>
        <v>0.95671644578654846</v>
      </c>
      <c r="BB374" s="655">
        <v>43460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924">
        <f>1+[2]!Salcycl*Ksac</f>
        <v>1.0008766440346255</v>
      </c>
      <c r="BH374" s="1080">
        <f t="shared" si="151"/>
        <v>1.5953043551961772E-2</v>
      </c>
      <c r="BI374" s="11">
        <v>44556</v>
      </c>
      <c r="BJ374" s="801">
        <v>1.097139557362832E-2</v>
      </c>
      <c r="BK374" s="801">
        <v>1.2268461956097931E-2</v>
      </c>
      <c r="BL374" s="801">
        <v>1.3779230587894811E-2</v>
      </c>
      <c r="BM374" s="801">
        <v>1.5952914641588569E-2</v>
      </c>
      <c r="BN374" s="801">
        <v>1.935819820949489E-2</v>
      </c>
      <c r="BO374" s="802">
        <v>3.6552487751694056E-2</v>
      </c>
      <c r="BP374" s="801">
        <v>6.4260162449419608E-2</v>
      </c>
      <c r="BQ374" s="801">
        <v>0.10015695885594007</v>
      </c>
      <c r="BR374" s="801">
        <v>0.12988060324195186</v>
      </c>
      <c r="BS374" s="801">
        <v>0.15488617136449839</v>
      </c>
      <c r="BT374" s="801">
        <v>0.17688713537270989</v>
      </c>
      <c r="BW374" s="1136">
        <f>'2018'!R\Max</f>
        <v>0.95671644578654846</v>
      </c>
      <c r="BX374" s="1134">
        <f>'2019'!R\Max</f>
        <v>0.24536625030493048</v>
      </c>
      <c r="BY374" s="1134">
        <f>'2020'!R\Max</f>
        <v>0.1519218504106625</v>
      </c>
      <c r="BZ374" s="1134">
        <f>'2021'!R\Max</f>
        <v>0.43323616638857015</v>
      </c>
      <c r="CA374" s="1134">
        <f>'2022'!R\Max</f>
        <v>0.9156115019826967</v>
      </c>
      <c r="CB374" s="1134">
        <f>'2023'!R\Max</f>
        <v>0.91539805644558836</v>
      </c>
      <c r="CC374" s="1134">
        <f>'2024'!R\Max</f>
        <v>0.91512044788615721</v>
      </c>
      <c r="CD374" s="1134">
        <f>'2025'!R\Max</f>
        <v>0.91611451608029837</v>
      </c>
      <c r="CE374" s="1134">
        <f>'2026'!R\Max</f>
        <v>0.91608853331730344</v>
      </c>
      <c r="CF374" s="1135">
        <f>'2027'!R\Max</f>
        <v>0.91596243520431475</v>
      </c>
    </row>
    <row r="375" spans="1:84" s="6" customFormat="1" ht="11.25" x14ac:dyDescent="0.2">
      <c r="A375" s="11">
        <v>43461</v>
      </c>
      <c r="B375" s="380">
        <f>'2023'!Maxi_hp</f>
        <v>27.615988001355355</v>
      </c>
      <c r="C375" s="85">
        <f>'2023'!An_max</f>
        <v>2018</v>
      </c>
      <c r="D375" s="1087">
        <f t="shared" si="135"/>
        <v>0.99822658359005534</v>
      </c>
      <c r="E375" s="747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836">
        <f t="shared" si="138"/>
        <v>0.2</v>
      </c>
      <c r="J375" s="827">
        <f t="shared" si="139"/>
        <v>27.665049654394391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836">
        <f t="shared" si="143"/>
        <v>0.41379310344827586</v>
      </c>
      <c r="AT375" s="853">
        <f t="shared" si="144"/>
        <v>27.978651435724622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836">
        <f t="shared" si="148"/>
        <v>0.89655172413793105</v>
      </c>
      <c r="AY375" s="853">
        <f t="shared" si="149"/>
        <v>27.551016592105913</v>
      </c>
      <c r="AZ375" s="827">
        <f t="shared" si="153"/>
        <v>27.764834013915269</v>
      </c>
      <c r="BA375" s="660">
        <f t="shared" si="150"/>
        <v>0.99822658359005534</v>
      </c>
      <c r="BB375" s="655">
        <v>43461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924">
        <f>1+[2]!Salcycl*Ksac</f>
        <v>1.0008164632501737</v>
      </c>
      <c r="BH375" s="1080">
        <f t="shared" si="151"/>
        <v>1.5675358068918378E-2</v>
      </c>
      <c r="BI375" s="11">
        <v>44557</v>
      </c>
      <c r="BJ375" s="801">
        <v>1.0737899504664748E-2</v>
      </c>
      <c r="BK375" s="801">
        <v>1.2018081036577061E-2</v>
      </c>
      <c r="BL375" s="801">
        <v>1.3510710501412074E-2</v>
      </c>
      <c r="BM375" s="801">
        <v>1.5675229641042395E-2</v>
      </c>
      <c r="BN375" s="801">
        <v>1.9067767610554641E-2</v>
      </c>
      <c r="BO375" s="802">
        <v>3.6405657257348428E-2</v>
      </c>
      <c r="BP375" s="801">
        <v>6.4353959908198963E-2</v>
      </c>
      <c r="BQ375" s="801">
        <v>0.1005581252115199</v>
      </c>
      <c r="BR375" s="801">
        <v>0.13048185004437193</v>
      </c>
      <c r="BS375" s="801">
        <v>0.15562350021543658</v>
      </c>
      <c r="BT375" s="801">
        <v>0.17773919355623655</v>
      </c>
      <c r="BW375" s="1136">
        <f>'2018'!R\Max</f>
        <v>0.99822658359005534</v>
      </c>
      <c r="BX375" s="1134">
        <f>'2019'!R\Max</f>
        <v>0.88157795825984164</v>
      </c>
      <c r="BY375" s="1134">
        <f>'2020'!R\Max</f>
        <v>0.74053170337143537</v>
      </c>
      <c r="BZ375" s="1134">
        <f>'2021'!R\Max</f>
        <v>0.35723673610474177</v>
      </c>
      <c r="CA375" s="1134">
        <f>'2022'!R\Max</f>
        <v>0.24635475828185732</v>
      </c>
      <c r="CB375" s="1134">
        <f>'2023'!R\Max</f>
        <v>0.24587695914360086</v>
      </c>
      <c r="CC375" s="1134">
        <f>'2024'!R\Max</f>
        <v>0.24525803293964094</v>
      </c>
      <c r="CD375" s="1134">
        <f>'2025'!R\Max</f>
        <v>0.24748627163585077</v>
      </c>
      <c r="CE375" s="1134">
        <f>'2026'!R\Max</f>
        <v>0.24742827470014822</v>
      </c>
      <c r="CF375" s="1135">
        <f>'2027'!R\Max</f>
        <v>0.24714377226902554</v>
      </c>
    </row>
    <row r="376" spans="1:84" s="6" customFormat="1" ht="11.25" x14ac:dyDescent="0.2">
      <c r="A376" s="11">
        <v>43462</v>
      </c>
      <c r="B376" s="380">
        <f>'2023'!Maxi_hp</f>
        <v>26.692887258732487</v>
      </c>
      <c r="C376" s="85">
        <f>'2023'!An_max</f>
        <v>2022</v>
      </c>
      <c r="D376" s="1087" t="str">
        <f t="shared" si="135"/>
        <v/>
      </c>
      <c r="E376" s="747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836">
        <f t="shared" si="138"/>
        <v>0.26666666666666666</v>
      </c>
      <c r="J376" s="827">
        <f t="shared" si="139"/>
        <v>27.824575446049373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836">
        <f t="shared" si="143"/>
        <v>0.37931034482758619</v>
      </c>
      <c r="AT376" s="853">
        <f t="shared" si="144"/>
        <v>28.128020455765313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836">
        <f t="shared" si="148"/>
        <v>0.86206896551724133</v>
      </c>
      <c r="AY376" s="853">
        <f t="shared" si="149"/>
        <v>27.671542808721806</v>
      </c>
      <c r="AZ376" s="827">
        <f t="shared" si="153"/>
        <v>27.89978163224356</v>
      </c>
      <c r="BA376" s="660">
        <f t="shared" si="150"/>
        <v>0.95932774645524499</v>
      </c>
      <c r="BB376" s="655">
        <v>43462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924">
        <f>1+[2]!Salcycl*Ksac</f>
        <v>1.0007605956383083</v>
      </c>
      <c r="BH376" s="1080">
        <f t="shared" si="151"/>
        <v>1.5343530702571523E-2</v>
      </c>
      <c r="BI376" s="11">
        <v>44558</v>
      </c>
      <c r="BJ376" s="801">
        <v>1.0458450373224182E-2</v>
      </c>
      <c r="BK376" s="801">
        <v>1.1718573117664796E-2</v>
      </c>
      <c r="BL376" s="801">
        <v>1.318979342354377E-2</v>
      </c>
      <c r="BM376" s="801">
        <v>1.5343402756623945E-2</v>
      </c>
      <c r="BN376" s="801">
        <v>1.8723210153424694E-2</v>
      </c>
      <c r="BO376" s="802">
        <v>3.6195354525476814E-2</v>
      </c>
      <c r="BP376" s="801">
        <v>6.4419789434467356E-2</v>
      </c>
      <c r="BQ376" s="801">
        <v>0.10097691569601708</v>
      </c>
      <c r="BR376" s="801">
        <v>0.13116538183064594</v>
      </c>
      <c r="BS376" s="801">
        <v>0.15646970899205204</v>
      </c>
      <c r="BT376" s="801">
        <v>0.17872311109584194</v>
      </c>
      <c r="BW376" s="1136">
        <f>'2018'!R\Max</f>
        <v>0.11271613915876565</v>
      </c>
      <c r="BX376" s="1134">
        <f>'2019'!R\Max</f>
        <v>0.14291844379274957</v>
      </c>
      <c r="BY376" s="1134">
        <f>'2020'!R\Max</f>
        <v>0.24416036737441565</v>
      </c>
      <c r="BZ376" s="1134">
        <f>'2021'!R\Max</f>
        <v>0.17438291287850188</v>
      </c>
      <c r="CA376" s="1134">
        <f>'2022'!R\Max</f>
        <v>0.95932774645524499</v>
      </c>
      <c r="CB376" s="1134">
        <f>'2023'!R\Max</f>
        <v>0.95921930111205156</v>
      </c>
      <c r="CC376" s="1134">
        <f>'2024'!R\Max</f>
        <v>0.95907824911614881</v>
      </c>
      <c r="CD376" s="1134">
        <f>'2025'!R\Max</f>
        <v>0.95958251917233306</v>
      </c>
      <c r="CE376" s="1134">
        <f>'2026'!R\Max</f>
        <v>0.95956966599774574</v>
      </c>
      <c r="CF376" s="1135">
        <f>'2027'!R\Max</f>
        <v>0.95950581173138172</v>
      </c>
    </row>
    <row r="377" spans="1:84" s="6" customFormat="1" ht="11.25" x14ac:dyDescent="0.2">
      <c r="A377" s="11">
        <v>43463</v>
      </c>
      <c r="B377" s="380">
        <f>'2023'!Maxi_hp</f>
        <v>27.222037432287717</v>
      </c>
      <c r="C377" s="85">
        <f>'2023'!An_max</f>
        <v>2019</v>
      </c>
      <c r="D377" s="1087">
        <f t="shared" si="135"/>
        <v>0.97229098295402083</v>
      </c>
      <c r="E377" s="747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836">
        <f t="shared" si="138"/>
        <v>0.33333333333333331</v>
      </c>
      <c r="J377" s="827">
        <f t="shared" si="139"/>
        <v>27.997829774767162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836">
        <f t="shared" si="143"/>
        <v>0.34482758620689657</v>
      </c>
      <c r="AT377" s="853">
        <f t="shared" si="144"/>
        <v>28.284776117883883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836">
        <f t="shared" si="148"/>
        <v>0.82758620689655171</v>
      </c>
      <c r="AY377" s="853">
        <f t="shared" si="149"/>
        <v>27.806773767543252</v>
      </c>
      <c r="AZ377" s="827">
        <f t="shared" si="153"/>
        <v>28.045774942713567</v>
      </c>
      <c r="BA377" s="660">
        <f t="shared" si="150"/>
        <v>0.97229098295402083</v>
      </c>
      <c r="BB377" s="655">
        <v>43463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924">
        <f>1+[2]!Salcycl*Ksac</f>
        <v>1.0007086195893584</v>
      </c>
      <c r="BH377" s="1080">
        <f t="shared" si="151"/>
        <v>1.4957435723579784E-2</v>
      </c>
      <c r="BI377" s="11">
        <v>44559</v>
      </c>
      <c r="BJ377" s="801">
        <v>1.0132948288249044E-2</v>
      </c>
      <c r="BK377" s="801">
        <v>1.1369829960224405E-2</v>
      </c>
      <c r="BL377" s="801">
        <v>1.2816362018184429E-2</v>
      </c>
      <c r="BM377" s="801">
        <v>1.4957308259354081E-2</v>
      </c>
      <c r="BN377" s="801">
        <v>1.8324390539112556E-2</v>
      </c>
      <c r="BO377" s="802">
        <v>3.5921395503115371E-2</v>
      </c>
      <c r="BP377" s="801">
        <v>6.4457453104935405E-2</v>
      </c>
      <c r="BQ377" s="801">
        <v>0.10141311365877359</v>
      </c>
      <c r="BR377" s="801">
        <v>0.13193099758329832</v>
      </c>
      <c r="BS377" s="801">
        <v>0.15742457275112928</v>
      </c>
      <c r="BT377" s="801">
        <v>0.17983864118716661</v>
      </c>
      <c r="BW377" s="1136">
        <f>'2018'!R\Max</f>
        <v>0.12462839765983064</v>
      </c>
      <c r="BX377" s="1134">
        <f>'2019'!R\Max</f>
        <v>0.97229098295402083</v>
      </c>
      <c r="BY377" s="1134">
        <f>'2020'!R\Max</f>
        <v>0.25607173053616628</v>
      </c>
      <c r="BZ377" s="1134">
        <f>'2021'!R\Max</f>
        <v>0.15385729365425324</v>
      </c>
      <c r="CA377" s="1134">
        <f>'2022'!R\Max</f>
        <v>0.41362774403565017</v>
      </c>
      <c r="CB377" s="1134">
        <f>'2023'!R\Max</f>
        <v>0.41295189944439104</v>
      </c>
      <c r="CC377" s="1134">
        <f>'2024'!R\Max</f>
        <v>0.41207602095666884</v>
      </c>
      <c r="CD377" s="1134">
        <f>'2025'!R\Max</f>
        <v>0.4152191469549073</v>
      </c>
      <c r="CE377" s="1134">
        <f>'2026'!R\Max</f>
        <v>0.41513954602189279</v>
      </c>
      <c r="CF377" s="1135">
        <f>'2027'!R\Max</f>
        <v>0.41474023286730599</v>
      </c>
    </row>
    <row r="378" spans="1:84" s="6" customFormat="1" ht="11.25" x14ac:dyDescent="0.2">
      <c r="A378" s="11">
        <v>43464</v>
      </c>
      <c r="B378" s="380">
        <f>'2023'!Maxi_hp</f>
        <v>27.784365944966957</v>
      </c>
      <c r="C378" s="85">
        <f>'2023'!An_max</f>
        <v>2019</v>
      </c>
      <c r="D378" s="1087">
        <f t="shared" si="135"/>
        <v>0.9858468738740408</v>
      </c>
      <c r="E378" s="747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836">
        <f t="shared" si="138"/>
        <v>0.4</v>
      </c>
      <c r="J378" s="827">
        <f t="shared" si="139"/>
        <v>28.18324699431658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836">
        <f t="shared" si="143"/>
        <v>0.31034482758620691</v>
      </c>
      <c r="AT378" s="853">
        <f t="shared" si="144"/>
        <v>28.448383883823613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836">
        <f t="shared" si="148"/>
        <v>0.7931034482758621</v>
      </c>
      <c r="AY378" s="853">
        <f t="shared" si="149"/>
        <v>27.956026104246746</v>
      </c>
      <c r="AZ378" s="827">
        <f t="shared" si="153"/>
        <v>28.202204994035178</v>
      </c>
      <c r="BA378" s="660">
        <f t="shared" si="150"/>
        <v>0.9858468738740408</v>
      </c>
      <c r="BB378" s="655">
        <v>43464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924">
        <f>1+[2]!Salcycl*Ksac</f>
        <v>1.0006601441046969</v>
      </c>
      <c r="BH378" s="1080">
        <f t="shared" si="151"/>
        <v>1.4516945016906563E-2</v>
      </c>
      <c r="BI378" s="11">
        <v>44560</v>
      </c>
      <c r="BJ378" s="801">
        <v>9.761291306464635E-3</v>
      </c>
      <c r="BK378" s="801">
        <v>1.0971741139970195E-2</v>
      </c>
      <c r="BL378" s="801">
        <v>1.2390296635115596E-2</v>
      </c>
      <c r="BM378" s="801">
        <v>1.4516818034553217E-2</v>
      </c>
      <c r="BN378" s="801">
        <v>1.78711712221758E-2</v>
      </c>
      <c r="BO378" s="802">
        <v>3.5583591530093689E-2</v>
      </c>
      <c r="BP378" s="801">
        <v>6.4466749420501887E-2</v>
      </c>
      <c r="BQ378" s="801">
        <v>0.10186650021514343</v>
      </c>
      <c r="BR378" s="801">
        <v>0.13277849834748345</v>
      </c>
      <c r="BS378" s="801">
        <v>0.15848786984809968</v>
      </c>
      <c r="BT378" s="801">
        <v>0.18108554142264061</v>
      </c>
      <c r="BW378" s="1136">
        <f>'2018'!R\Max</f>
        <v>0.12228748865784882</v>
      </c>
      <c r="BX378" s="1134">
        <f>'2019'!R\Max</f>
        <v>0.9858468738740408</v>
      </c>
      <c r="BY378" s="1134">
        <f>'2020'!R\Max</f>
        <v>0.22657692581689987</v>
      </c>
      <c r="BZ378" s="1134">
        <f>'2021'!R\Max</f>
        <v>0.7554548349767638</v>
      </c>
      <c r="CA378" s="1134">
        <f>'2022'!R\Max</f>
        <v>0.59093931518321841</v>
      </c>
      <c r="CB378" s="1134">
        <f>'2023'!R\Max</f>
        <v>0.59026211462876355</v>
      </c>
      <c r="CC378" s="1134">
        <f>'2024'!R\Max</f>
        <v>0.58938360160999115</v>
      </c>
      <c r="CD378" s="1134">
        <f>'2025'!R\Max</f>
        <v>0.59252533130969953</v>
      </c>
      <c r="CE378" s="1134">
        <f>'2026'!R\Max</f>
        <v>0.59244704431696649</v>
      </c>
      <c r="CF378" s="1135">
        <f>'2027'!R\Max</f>
        <v>0.59205014892821306</v>
      </c>
    </row>
    <row r="379" spans="1:84" s="6" customFormat="1" ht="11.25" x14ac:dyDescent="0.2">
      <c r="A379" s="11">
        <v>43465</v>
      </c>
      <c r="B379" s="380">
        <f>'2023'!Maxi_hp</f>
        <v>28.039920073924794</v>
      </c>
      <c r="C379" s="85">
        <f>'2023'!An_max</f>
        <v>2021</v>
      </c>
      <c r="D379" s="1087">
        <f t="shared" si="135"/>
        <v>0.98804262815170918</v>
      </c>
      <c r="E379" s="747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836">
        <f t="shared" si="138"/>
        <v>0.46666666666666667</v>
      </c>
      <c r="J379" s="827">
        <f t="shared" si="139"/>
        <v>28.379261455933253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836">
        <f t="shared" si="143"/>
        <v>0.27586206896551724</v>
      </c>
      <c r="AT379" s="853">
        <f t="shared" si="144"/>
        <v>28.618309218976002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836">
        <f t="shared" si="148"/>
        <v>0.75862068965517238</v>
      </c>
      <c r="AY379" s="853">
        <f t="shared" si="149"/>
        <v>28.118616461753845</v>
      </c>
      <c r="AZ379" s="827">
        <f t="shared" si="153"/>
        <v>28.368462840364923</v>
      </c>
      <c r="BA379" s="660">
        <f t="shared" si="150"/>
        <v>0.98804262815170918</v>
      </c>
      <c r="BB379" s="655">
        <v>43465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924">
        <f>1+[2]!Salcycl*Ksac</f>
        <v>1.000614809435719</v>
      </c>
      <c r="BH379" s="1080">
        <f t="shared" si="151"/>
        <v>1.4021929469940157E-2</v>
      </c>
      <c r="BI379" s="11">
        <v>44561</v>
      </c>
      <c r="BJ379" s="801">
        <v>9.3433766091667019E-3</v>
      </c>
      <c r="BK379" s="801">
        <v>1.0524195305818884E-2</v>
      </c>
      <c r="BL379" s="801">
        <v>1.1911476652471069E-2</v>
      </c>
      <c r="BM379" s="801">
        <v>1.402180296996134E-2</v>
      </c>
      <c r="BN379" s="801">
        <v>1.7363413800087098E-2</v>
      </c>
      <c r="BO379" s="802">
        <v>3.5181750979995992E-2</v>
      </c>
      <c r="BP379" s="801">
        <v>6.4447474059369014E-2</v>
      </c>
      <c r="BQ379" s="801">
        <v>0.10233685385964268</v>
      </c>
      <c r="BR379" s="801">
        <v>0.13370768521071988</v>
      </c>
      <c r="BS379" s="801">
        <v>0.15965937925317306</v>
      </c>
      <c r="BT379" s="801">
        <v>0.18246357053438711</v>
      </c>
      <c r="BW379" s="1136">
        <f>'2018'!R\Max</f>
        <v>0.20533810117101289</v>
      </c>
      <c r="BX379" s="1134">
        <f>'2019'!R\Max</f>
        <v>0.57666521912167801</v>
      </c>
      <c r="BY379" s="1134">
        <f>'2020'!R\Max</f>
        <v>0.23598442237235473</v>
      </c>
      <c r="BZ379" s="1134">
        <f>'2021'!R\Max</f>
        <v>0.98804262815170918</v>
      </c>
      <c r="CA379" s="1134">
        <f>'2022'!R\Max</f>
        <v>0.44339869450135722</v>
      </c>
      <c r="CB379" s="1134">
        <f>'2023'!R\Max</f>
        <v>0.44270368364373225</v>
      </c>
      <c r="CC379" s="1134">
        <f>'2024'!R\Max</f>
        <v>0.44180305290724214</v>
      </c>
      <c r="CD379" s="1134">
        <f>'2025'!R\Max</f>
        <v>0.44502114072251925</v>
      </c>
      <c r="CE379" s="1134">
        <f>'2026'!R\Max</f>
        <v>0.44494196459295832</v>
      </c>
      <c r="CF379" s="1135">
        <f>'2027'!R\Max</f>
        <v>0.44453677820096477</v>
      </c>
    </row>
    <row r="380" spans="1:84" s="6" customFormat="1" ht="12" customHeight="1" thickBot="1" x14ac:dyDescent="0.25">
      <c r="A380" s="11">
        <v>43466</v>
      </c>
      <c r="B380" s="381">
        <f>'2023'!Maxi_hp</f>
        <v>15.624559392660943</v>
      </c>
      <c r="C380" s="128">
        <f>'2023'!An_max</f>
        <v>2020</v>
      </c>
      <c r="D380" s="1088" t="str">
        <f t="shared" si="135"/>
        <v/>
      </c>
      <c r="E380" s="837"/>
      <c r="F380" s="14">
        <f t="shared" si="152"/>
        <v>27</v>
      </c>
      <c r="G380" s="14">
        <f t="shared" si="136"/>
        <v>28</v>
      </c>
      <c r="H380" s="829">
        <f t="shared" si="137"/>
        <v>43458</v>
      </c>
      <c r="I380" s="830">
        <f t="shared" si="138"/>
        <v>0.53333333333333333</v>
      </c>
      <c r="J380" s="828">
        <f t="shared" si="139"/>
        <v>28.584307509462043</v>
      </c>
      <c r="M380" s="913" t="s">
        <v>254</v>
      </c>
      <c r="N380" s="914">
        <f>$AZ22*10</f>
        <v>299.79252324343241</v>
      </c>
      <c r="O380" s="914">
        <f>$AZ36*10</f>
        <v>337.88207558868453</v>
      </c>
      <c r="P380" s="914">
        <f>$AZ50*10</f>
        <v>383.668561139144</v>
      </c>
      <c r="Q380" s="914">
        <f>$AZ64*10</f>
        <v>431.61468749912456</v>
      </c>
      <c r="R380" s="914">
        <f>$AZ78*10</f>
        <v>477.17093749856576</v>
      </c>
      <c r="S380" s="914">
        <f>$AZ92*10</f>
        <v>518.35624999832362</v>
      </c>
      <c r="T380" s="914">
        <f>$AZ106*10</f>
        <v>552.40031250659376</v>
      </c>
      <c r="U380" s="914">
        <f>$AZ120*10</f>
        <v>576.47125000506639</v>
      </c>
      <c r="V380" s="914">
        <f>$AZ134*10</f>
        <v>590.75375000294298</v>
      </c>
      <c r="W380" s="914">
        <f>$AZ148*10</f>
        <v>597.09468750003725</v>
      </c>
      <c r="X380" s="914">
        <f>$AZ162*10</f>
        <v>597.06390625145286</v>
      </c>
      <c r="Y380" s="914">
        <f>$AZ176*10</f>
        <v>591.55406250059605</v>
      </c>
      <c r="Z380" s="914">
        <f>$AZ190*10</f>
        <v>581.42703125043772</v>
      </c>
      <c r="AA380" s="914">
        <f>$AZ204*10</f>
        <v>568.3142187501071</v>
      </c>
      <c r="AB380" s="914">
        <f>$AZ218*10</f>
        <v>553.82161022094078</v>
      </c>
      <c r="AC380" s="914">
        <f>$AZ232*10</f>
        <v>538.83095612016041</v>
      </c>
      <c r="AD380" s="914">
        <f>$AZ246*10</f>
        <v>523.60238301532809</v>
      </c>
      <c r="AE380" s="914">
        <f>$AZ260*10</f>
        <v>506.9579751456622</v>
      </c>
      <c r="AF380" s="914">
        <f>$AZ274*10</f>
        <v>485.87411635369062</v>
      </c>
      <c r="AG380" s="914">
        <f>$AZ288*10</f>
        <v>457.82451992481947</v>
      </c>
      <c r="AH380" s="914">
        <f>$AZ302*10</f>
        <v>422.44723522104323</v>
      </c>
      <c r="AI380" s="914">
        <f>$AZ316*10</f>
        <v>380.73845612071455</v>
      </c>
      <c r="AJ380" s="914">
        <f>$AZ330*10</f>
        <v>336.25437500188127</v>
      </c>
      <c r="AK380" s="914">
        <f>$AZ344*10</f>
        <v>296.84674021508545</v>
      </c>
      <c r="AL380" s="914">
        <f>$AZ358*10</f>
        <v>273.48466528952122</v>
      </c>
      <c r="AM380" s="914">
        <f>$AZ372*10</f>
        <v>274.32354795110643</v>
      </c>
      <c r="AP380" s="14">
        <f t="shared" si="140"/>
        <v>15</v>
      </c>
      <c r="AQ380" s="14">
        <f t="shared" si="141"/>
        <v>14</v>
      </c>
      <c r="AR380" s="829">
        <f t="shared" si="142"/>
        <v>43473</v>
      </c>
      <c r="AS380" s="830">
        <f t="shared" si="143"/>
        <v>0.2413793103448276</v>
      </c>
      <c r="AT380" s="854">
        <f t="shared" si="144"/>
        <v>28.794017586728621</v>
      </c>
      <c r="AU380" s="14">
        <f t="shared" si="145"/>
        <v>15</v>
      </c>
      <c r="AV380" s="14">
        <f t="shared" si="146"/>
        <v>14</v>
      </c>
      <c r="AW380" s="829">
        <f t="shared" si="147"/>
        <v>43487</v>
      </c>
      <c r="AX380" s="830">
        <f t="shared" si="148"/>
        <v>0.72413793103448276</v>
      </c>
      <c r="AY380" s="854">
        <f t="shared" si="149"/>
        <v>28.293861473994006</v>
      </c>
      <c r="AZ380" s="828">
        <f t="shared" si="153"/>
        <v>28.543939530361314</v>
      </c>
      <c r="BA380" s="660">
        <f t="shared" si="150"/>
        <v>0.54661318583592988</v>
      </c>
      <c r="BB380" s="655">
        <v>43466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925">
        <f>1+[2]!Salcycl*Ksac</f>
        <v>1.0005722874285767</v>
      </c>
      <c r="BH380" s="1078">
        <f t="shared" si="151"/>
        <v>1.3472260360404432E-2</v>
      </c>
      <c r="BI380" s="11">
        <v>44562</v>
      </c>
      <c r="BJ380" s="931">
        <v>8.8791016788630356E-3</v>
      </c>
      <c r="BK380" s="805">
        <v>1.0027081438078282E-2</v>
      </c>
      <c r="BL380" s="805">
        <v>1.1379781819019974E-2</v>
      </c>
      <c r="BM380" s="805">
        <v>1.3472134343648646E-2</v>
      </c>
      <c r="BN380" s="805">
        <v>1.6800980402347638E-2</v>
      </c>
      <c r="BO380" s="806">
        <v>3.4715680900661836E-2</v>
      </c>
      <c r="BP380" s="805">
        <v>6.4399420629365725E-2</v>
      </c>
      <c r="BQ380" s="805">
        <v>0.10282395007787799</v>
      </c>
      <c r="BR380" s="805">
        <v>0.13471835728104828</v>
      </c>
      <c r="BS380" s="805">
        <v>0.16093887786559072</v>
      </c>
      <c r="BT380" s="805">
        <v>0.18397248513498288</v>
      </c>
      <c r="BW380" s="1137">
        <f>'2018'!R\Max</f>
        <v>0</v>
      </c>
      <c r="BX380" s="1138">
        <f>'2019'!R\Max</f>
        <v>0</v>
      </c>
      <c r="BY380" s="1138">
        <f>'2020'!R\Max</f>
        <v>0.54661318583592988</v>
      </c>
      <c r="BZ380" s="1138">
        <f>'2021'!R\Max</f>
        <v>0</v>
      </c>
      <c r="CA380" s="1138">
        <f>'2022'!R\Max</f>
        <v>0</v>
      </c>
      <c r="CB380" s="1138">
        <f>'2023'!R\Max</f>
        <v>0</v>
      </c>
      <c r="CC380" s="1138">
        <f>'2024'!R\Max</f>
        <v>0.63287903263918033</v>
      </c>
      <c r="CD380" s="1138">
        <f>'2025'!R\Max</f>
        <v>0</v>
      </c>
      <c r="CE380" s="1138">
        <f>'2026'!R\Max</f>
        <v>0</v>
      </c>
      <c r="CF380" s="1139">
        <f>'2027'!R\Max</f>
        <v>0</v>
      </c>
    </row>
    <row r="381" spans="1:84" ht="12" customHeight="1" x14ac:dyDescent="0.25">
      <c r="B381" s="651" t="s">
        <v>334</v>
      </c>
      <c r="M381" s="136" t="s">
        <v>255</v>
      </c>
      <c r="N381" s="915">
        <f t="shared" ref="N381:AM381" si="154">1-N3/N380*Ajust_M</f>
        <v>-5.3953205339087873E-3</v>
      </c>
      <c r="O381" s="915">
        <f t="shared" si="154"/>
        <v>2.9953515199681036E-3</v>
      </c>
      <c r="P381" s="915">
        <f t="shared" si="154"/>
        <v>-1.254830104991056E-3</v>
      </c>
      <c r="Q381" s="915">
        <f t="shared" si="154"/>
        <v>-1.8542290706384801E-3</v>
      </c>
      <c r="R381" s="915">
        <f t="shared" si="154"/>
        <v>9.0310927321946011E-4</v>
      </c>
      <c r="S381" s="915">
        <f t="shared" si="154"/>
        <v>4.7505937919023467E-4</v>
      </c>
      <c r="T381" s="915">
        <f t="shared" si="154"/>
        <v>-2.1174634896541367E-3</v>
      </c>
      <c r="U381" s="915">
        <f t="shared" si="154"/>
        <v>4.2716788576058207E-4</v>
      </c>
      <c r="V381" s="915">
        <f t="shared" si="154"/>
        <v>-4.1684034516209501E-4</v>
      </c>
      <c r="W381" s="915">
        <f t="shared" si="154"/>
        <v>3.0931023823121961E-4</v>
      </c>
      <c r="X381" s="915">
        <f t="shared" si="154"/>
        <v>2.5777182281727651E-4</v>
      </c>
      <c r="Y381" s="915">
        <f t="shared" si="154"/>
        <v>-7.2848371217704155E-4</v>
      </c>
      <c r="Z381" s="915">
        <f t="shared" si="154"/>
        <v>4.7646778623611219E-4</v>
      </c>
      <c r="AA381" s="915">
        <f t="shared" si="154"/>
        <v>-5.4162378623212604E-5</v>
      </c>
      <c r="AB381" s="915">
        <f t="shared" si="154"/>
        <v>4.5431636522885732E-4</v>
      </c>
      <c r="AC381" s="915">
        <f t="shared" si="154"/>
        <v>6.6729870940140934E-5</v>
      </c>
      <c r="AD381" s="915">
        <f t="shared" si="154"/>
        <v>1.0836142724572895E-3</v>
      </c>
      <c r="AE381" s="915">
        <f t="shared" si="154"/>
        <v>-2.8700168566131445E-4</v>
      </c>
      <c r="AF381" s="915">
        <f t="shared" si="154"/>
        <v>-1.1325728174911287E-3</v>
      </c>
      <c r="AG381" s="915">
        <f t="shared" si="154"/>
        <v>-4.3789719959397289E-4</v>
      </c>
      <c r="AH381" s="915">
        <f t="shared" si="154"/>
        <v>-2.7876801914716864E-4</v>
      </c>
      <c r="AI381" s="915">
        <f t="shared" si="154"/>
        <v>-3.7861788220006076E-3</v>
      </c>
      <c r="AJ381" s="915">
        <f t="shared" si="154"/>
        <v>1.0984987240068023E-3</v>
      </c>
      <c r="AK381" s="915">
        <f t="shared" si="154"/>
        <v>-2.0996012436012013E-3</v>
      </c>
      <c r="AL381" s="915">
        <f t="shared" si="154"/>
        <v>9.5422728245421196E-3</v>
      </c>
      <c r="AM381" s="915">
        <f t="shared" si="154"/>
        <v>5.3897959622845049E-3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50" priority="22" stopIfTrue="1" operator="lessThan">
      <formula>0.01</formula>
    </cfRule>
    <cfRule type="cellIs" dxfId="49" priority="23" stopIfTrue="1" operator="greaterThan">
      <formula>0.05</formula>
    </cfRule>
  </conditionalFormatting>
  <conditionalFormatting sqref="A9:J9 A7:E7 G7:J7">
    <cfRule type="cellIs" dxfId="48" priority="52" stopIfTrue="1" operator="lessThan">
      <formula>0.01</formula>
    </cfRule>
    <cfRule type="cellIs" dxfId="47" priority="53" stopIfTrue="1" operator="greaterThan">
      <formula>0.05</formula>
    </cfRule>
  </conditionalFormatting>
  <conditionalFormatting sqref="N381:AM381">
    <cfRule type="cellIs" dxfId="46" priority="3" stopIfTrue="1" operator="notBetween">
      <formula>-0.01</formula>
      <formula>0.01</formula>
    </cfRule>
  </conditionalFormatting>
  <conditionalFormatting sqref="F7">
    <cfRule type="cellIs" dxfId="14" priority="1" stopIfTrue="1" operator="lessThan">
      <formula>0.01</formula>
    </cfRule>
    <cfRule type="cellIs" dxfId="13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G5" sqref="AG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24</v>
      </c>
      <c r="H1" s="1207" t="s">
        <v>25</v>
      </c>
      <c r="I1" s="1207"/>
      <c r="J1" s="1207"/>
      <c r="K1" s="1207"/>
      <c r="L1" s="15"/>
      <c r="M1" s="34"/>
      <c r="N1" s="538"/>
      <c r="O1" s="539"/>
      <c r="P1" s="540" t="s">
        <v>4</v>
      </c>
      <c r="Q1" s="1131">
        <v>8.0000000000000002E-3</v>
      </c>
      <c r="R1" s="541"/>
      <c r="S1" s="542" t="s">
        <v>108</v>
      </c>
      <c r="T1" s="928">
        <f>PertePVan/365.25</f>
        <v>2.1902806297056812E-5</v>
      </c>
      <c r="U1" s="539"/>
      <c r="V1" s="543"/>
      <c r="W1" s="208"/>
      <c r="X1" s="544"/>
      <c r="Y1" s="536" t="s">
        <v>172</v>
      </c>
      <c r="Z1" s="1205">
        <v>0.14000000000000001</v>
      </c>
      <c r="AA1" s="1206"/>
      <c r="AB1" s="640"/>
      <c r="AC1" s="641"/>
      <c r="AE1" s="536" t="s">
        <v>258</v>
      </c>
      <c r="AF1" s="926">
        <v>0.05</v>
      </c>
      <c r="AG1" s="539"/>
      <c r="AH1" s="208"/>
      <c r="AI1" s="208"/>
      <c r="AJ1" s="208"/>
      <c r="AK1" s="208"/>
      <c r="AL1" s="536" t="s">
        <v>126</v>
      </c>
      <c r="AM1" s="664">
        <v>0.7</v>
      </c>
      <c r="AN1" s="639"/>
      <c r="AO1" s="208"/>
      <c r="AP1" s="208"/>
      <c r="AQ1" s="208"/>
      <c r="AR1" s="536" t="s">
        <v>107</v>
      </c>
      <c r="AS1" s="368">
        <v>0.6</v>
      </c>
      <c r="AT1" s="665" t="s">
        <v>55</v>
      </c>
      <c r="AU1" s="537"/>
    </row>
    <row r="2" spans="1:78" s="533" customFormat="1" ht="18" customHeight="1" thickBot="1" x14ac:dyDescent="0.35">
      <c r="A2" s="83" t="s">
        <v>135</v>
      </c>
      <c r="B2" s="1161" t="str">
        <f>Station</f>
        <v>Aureville</v>
      </c>
      <c r="C2" s="1162"/>
      <c r="D2" s="1162"/>
      <c r="E2" s="1162"/>
      <c r="F2" s="1163"/>
      <c r="G2" s="927" t="s">
        <v>259</v>
      </c>
      <c r="K2" s="81"/>
      <c r="L2" s="534"/>
      <c r="M2" s="38"/>
      <c r="U2" s="35"/>
      <c r="V2" s="35"/>
      <c r="W2" s="35">
        <f>+U5/Recap!L38</f>
        <v>0.10394178187484843</v>
      </c>
      <c r="X2" s="535"/>
      <c r="AA2" s="537"/>
      <c r="AB2" s="537"/>
      <c r="AC2" s="537"/>
      <c r="AD2" s="537"/>
      <c r="AE2" s="536" t="s">
        <v>173</v>
      </c>
      <c r="AF2" s="670">
        <v>3</v>
      </c>
      <c r="AG2" s="671">
        <f>+Tau_i*365</f>
        <v>1095</v>
      </c>
      <c r="AH2" s="543"/>
      <c r="AI2" s="240"/>
      <c r="AJ2" s="544"/>
      <c r="AL2" s="662" t="s">
        <v>206</v>
      </c>
      <c r="AM2" s="1202">
        <v>0.5</v>
      </c>
      <c r="AN2" s="1203"/>
      <c r="AS2" s="209" t="s">
        <v>127</v>
      </c>
      <c r="AT2" s="666">
        <f>H_i</f>
        <v>-1.9999621440122004</v>
      </c>
      <c r="AU2" s="663"/>
      <c r="AY2" s="673"/>
      <c r="AZ2" s="673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199">
        <f>'2018'!An</f>
        <v>2018</v>
      </c>
      <c r="B3" s="1200"/>
      <c r="C3" s="1200"/>
      <c r="D3" s="1200"/>
      <c r="E3" s="1200"/>
      <c r="F3" s="1201"/>
      <c r="G3" s="1199">
        <f>'2019'!An</f>
        <v>2019</v>
      </c>
      <c r="H3" s="1200"/>
      <c r="I3" s="1200"/>
      <c r="J3" s="1200"/>
      <c r="K3" s="1200"/>
      <c r="L3" s="1201"/>
      <c r="M3" s="1199">
        <f>'2020'!An</f>
        <v>2020</v>
      </c>
      <c r="N3" s="1200"/>
      <c r="O3" s="1200"/>
      <c r="P3" s="1200"/>
      <c r="Q3" s="1200"/>
      <c r="R3" s="1201"/>
      <c r="S3" s="1199">
        <f>'2021'!An</f>
        <v>2021</v>
      </c>
      <c r="T3" s="1200"/>
      <c r="U3" s="1200"/>
      <c r="V3" s="1200"/>
      <c r="W3" s="1200"/>
      <c r="X3" s="1201"/>
      <c r="Y3" s="1199">
        <f>'2022'!An</f>
        <v>2022</v>
      </c>
      <c r="Z3" s="1200"/>
      <c r="AA3" s="1200"/>
      <c r="AB3" s="1200"/>
      <c r="AC3" s="1200"/>
      <c r="AD3" s="1201"/>
      <c r="AE3" s="1199">
        <f>'2023'!An</f>
        <v>2023</v>
      </c>
      <c r="AF3" s="1200"/>
      <c r="AG3" s="1200"/>
      <c r="AH3" s="1200"/>
      <c r="AI3" s="1200"/>
      <c r="AJ3" s="1201"/>
      <c r="AK3" s="1199">
        <f>'2024'!An</f>
        <v>2024</v>
      </c>
      <c r="AL3" s="1200"/>
      <c r="AM3" s="1204"/>
      <c r="AN3" s="1204"/>
      <c r="AO3" s="1200"/>
      <c r="AP3" s="1201"/>
      <c r="AQ3" s="1199">
        <f>'2025'!An</f>
        <v>2025</v>
      </c>
      <c r="AR3" s="1200"/>
      <c r="AS3" s="1200"/>
      <c r="AT3" s="1200"/>
      <c r="AU3" s="1200"/>
      <c r="AV3" s="1201"/>
      <c r="AW3" s="1199">
        <f>'2026'!An</f>
        <v>2026</v>
      </c>
      <c r="AX3" s="1200"/>
      <c r="AY3" s="1200"/>
      <c r="AZ3" s="1200"/>
      <c r="BA3" s="1200"/>
      <c r="BB3" s="1201"/>
      <c r="BC3" s="1199">
        <f>'2027'!An</f>
        <v>2027</v>
      </c>
      <c r="BD3" s="1200"/>
      <c r="BE3" s="1200"/>
      <c r="BF3" s="1200"/>
      <c r="BG3" s="1200"/>
      <c r="BH3" s="1201"/>
      <c r="BI3" s="1195" t="e">
        <v>#NAME?</v>
      </c>
      <c r="BJ3" s="1196"/>
      <c r="BK3" s="1196"/>
      <c r="BL3" s="1196"/>
      <c r="BM3" s="1196"/>
      <c r="BN3" s="1197"/>
      <c r="BO3" s="1195" t="e">
        <v>#NAME?</v>
      </c>
      <c r="BP3" s="1196"/>
      <c r="BQ3" s="1196"/>
      <c r="BR3" s="1196"/>
      <c r="BS3" s="1196"/>
      <c r="BT3" s="1197"/>
      <c r="BU3" s="1195" t="e">
        <v>#NAME?</v>
      </c>
      <c r="BV3" s="1196"/>
      <c r="BW3" s="1196"/>
      <c r="BX3" s="1196"/>
      <c r="BY3" s="1196"/>
      <c r="BZ3" s="1197"/>
    </row>
    <row r="4" spans="1:78" s="427" customFormat="1" ht="15" customHeight="1" x14ac:dyDescent="0.25">
      <c r="A4" s="213" t="s">
        <v>79</v>
      </c>
      <c r="B4" s="441" t="s">
        <v>138</v>
      </c>
      <c r="C4" s="442" t="s">
        <v>138</v>
      </c>
      <c r="D4" s="443" t="s">
        <v>82</v>
      </c>
      <c r="E4" s="578" t="s">
        <v>82</v>
      </c>
      <c r="F4" s="431"/>
      <c r="G4" s="358" t="s">
        <v>95</v>
      </c>
      <c r="H4" s="441" t="s">
        <v>138</v>
      </c>
      <c r="I4" s="442" t="s">
        <v>138</v>
      </c>
      <c r="J4" s="443" t="s">
        <v>82</v>
      </c>
      <c r="K4" s="578" t="s">
        <v>82</v>
      </c>
      <c r="L4" s="431"/>
      <c r="M4" s="358" t="s">
        <v>95</v>
      </c>
      <c r="N4" s="441" t="s">
        <v>138</v>
      </c>
      <c r="O4" s="442" t="s">
        <v>138</v>
      </c>
      <c r="P4" s="443" t="s">
        <v>82</v>
      </c>
      <c r="Q4" s="578" t="s">
        <v>82</v>
      </c>
      <c r="R4" s="431"/>
      <c r="S4" s="358" t="s">
        <v>95</v>
      </c>
      <c r="T4" s="441" t="s">
        <v>138</v>
      </c>
      <c r="U4" s="442" t="s">
        <v>138</v>
      </c>
      <c r="V4" s="443" t="s">
        <v>82</v>
      </c>
      <c r="W4" s="578" t="s">
        <v>82</v>
      </c>
      <c r="X4" s="431"/>
      <c r="Y4" s="358" t="s">
        <v>95</v>
      </c>
      <c r="Z4" s="441" t="s">
        <v>138</v>
      </c>
      <c r="AA4" s="442" t="s">
        <v>138</v>
      </c>
      <c r="AB4" s="443" t="s">
        <v>82</v>
      </c>
      <c r="AC4" s="578" t="s">
        <v>82</v>
      </c>
      <c r="AD4" s="431"/>
      <c r="AE4" s="358" t="s">
        <v>95</v>
      </c>
      <c r="AF4" s="441" t="s">
        <v>138</v>
      </c>
      <c r="AG4" s="442" t="s">
        <v>138</v>
      </c>
      <c r="AH4" s="443" t="s">
        <v>82</v>
      </c>
      <c r="AI4" s="578" t="s">
        <v>82</v>
      </c>
      <c r="AJ4" s="431"/>
      <c r="AK4" s="358" t="s">
        <v>95</v>
      </c>
      <c r="AL4" s="441" t="s">
        <v>138</v>
      </c>
      <c r="AM4" s="442" t="s">
        <v>138</v>
      </c>
      <c r="AN4" s="443" t="s">
        <v>82</v>
      </c>
      <c r="AO4" s="578" t="s">
        <v>82</v>
      </c>
      <c r="AP4" s="431"/>
      <c r="AQ4" s="358" t="s">
        <v>95</v>
      </c>
      <c r="AR4" s="441" t="s">
        <v>138</v>
      </c>
      <c r="AS4" s="442" t="s">
        <v>138</v>
      </c>
      <c r="AT4" s="443" t="s">
        <v>82</v>
      </c>
      <c r="AU4" s="578" t="s">
        <v>82</v>
      </c>
      <c r="AV4" s="431"/>
      <c r="AW4" s="358" t="s">
        <v>95</v>
      </c>
      <c r="AX4" s="441" t="s">
        <v>138</v>
      </c>
      <c r="AY4" s="442" t="s">
        <v>138</v>
      </c>
      <c r="AZ4" s="443" t="s">
        <v>82</v>
      </c>
      <c r="BA4" s="578" t="s">
        <v>82</v>
      </c>
      <c r="BB4" s="431"/>
      <c r="BC4" s="358" t="s">
        <v>95</v>
      </c>
      <c r="BD4" s="441" t="s">
        <v>138</v>
      </c>
      <c r="BE4" s="442" t="s">
        <v>138</v>
      </c>
      <c r="BF4" s="443" t="s">
        <v>82</v>
      </c>
      <c r="BG4" s="578" t="s">
        <v>82</v>
      </c>
      <c r="BH4" s="431"/>
      <c r="BI4" s="358" t="s">
        <v>95</v>
      </c>
      <c r="BJ4" s="441" t="s">
        <v>138</v>
      </c>
      <c r="BK4" s="442" t="s">
        <v>138</v>
      </c>
      <c r="BL4" s="443" t="s">
        <v>82</v>
      </c>
      <c r="BM4" s="578" t="s">
        <v>82</v>
      </c>
      <c r="BN4" s="431"/>
      <c r="BO4" s="358" t="s">
        <v>95</v>
      </c>
      <c r="BP4" s="441" t="s">
        <v>138</v>
      </c>
      <c r="BQ4" s="442" t="s">
        <v>138</v>
      </c>
      <c r="BR4" s="443" t="s">
        <v>82</v>
      </c>
      <c r="BS4" s="578" t="s">
        <v>82</v>
      </c>
      <c r="BT4" s="431"/>
      <c r="BU4" s="358" t="s">
        <v>95</v>
      </c>
      <c r="BV4" s="441" t="s">
        <v>138</v>
      </c>
      <c r="BW4" s="442" t="s">
        <v>138</v>
      </c>
      <c r="BX4" s="443" t="s">
        <v>82</v>
      </c>
      <c r="BY4" s="578" t="s">
        <v>82</v>
      </c>
      <c r="BZ4" s="431"/>
    </row>
    <row r="5" spans="1:78" s="427" customFormat="1" ht="15" customHeight="1" x14ac:dyDescent="0.25">
      <c r="A5" s="213" t="s">
        <v>17</v>
      </c>
      <c r="B5" s="432" t="s">
        <v>138</v>
      </c>
      <c r="C5" s="438" t="s">
        <v>138</v>
      </c>
      <c r="D5" s="439" t="s">
        <v>138</v>
      </c>
      <c r="E5" s="440" t="s">
        <v>138</v>
      </c>
      <c r="F5" s="187"/>
      <c r="G5" s="358" t="s">
        <v>96</v>
      </c>
      <c r="H5" s="432">
        <v>43678</v>
      </c>
      <c r="I5" s="438" t="s">
        <v>294</v>
      </c>
      <c r="J5" s="439">
        <v>0.08</v>
      </c>
      <c r="K5" s="1091">
        <v>0.5</v>
      </c>
      <c r="L5" s="187"/>
      <c r="M5" s="358" t="s">
        <v>96</v>
      </c>
      <c r="N5" s="432">
        <v>43831</v>
      </c>
      <c r="O5" s="438" t="s">
        <v>294</v>
      </c>
      <c r="P5" s="439">
        <v>0.12</v>
      </c>
      <c r="Q5" s="440">
        <v>3</v>
      </c>
      <c r="R5" s="187"/>
      <c r="S5" s="358" t="s">
        <v>96</v>
      </c>
      <c r="T5" s="432">
        <v>44306</v>
      </c>
      <c r="U5" s="438">
        <v>8.0000000000000002E-3</v>
      </c>
      <c r="V5" s="439" t="s">
        <v>138</v>
      </c>
      <c r="W5" s="440" t="s">
        <v>138</v>
      </c>
      <c r="X5" s="187"/>
      <c r="Y5" s="358" t="s">
        <v>96</v>
      </c>
      <c r="Z5" s="432">
        <v>44562</v>
      </c>
      <c r="AA5" s="438" t="s">
        <v>294</v>
      </c>
      <c r="AB5" s="1147">
        <v>0.18</v>
      </c>
      <c r="AC5" s="1091">
        <v>1.7</v>
      </c>
      <c r="AD5" s="187"/>
      <c r="AE5" s="358" t="s">
        <v>96</v>
      </c>
      <c r="AF5" s="432">
        <v>45046</v>
      </c>
      <c r="AG5" s="438" t="s">
        <v>138</v>
      </c>
      <c r="AH5" s="439">
        <f>AVERAGE(AB10,V10,P10)</f>
        <v>0.13999999999999999</v>
      </c>
      <c r="AI5" s="440">
        <f>AVERAGE(AC10,W10,Q10)</f>
        <v>2.5666666666666669</v>
      </c>
      <c r="AJ5" s="187"/>
      <c r="AK5" s="358" t="s">
        <v>96</v>
      </c>
      <c r="AL5" s="432" t="s">
        <v>138</v>
      </c>
      <c r="AM5" s="438" t="s">
        <v>138</v>
      </c>
      <c r="AN5" s="439" t="s">
        <v>138</v>
      </c>
      <c r="AO5" s="440" t="s">
        <v>138</v>
      </c>
      <c r="AP5" s="187"/>
      <c r="AQ5" s="358" t="s">
        <v>96</v>
      </c>
      <c r="AR5" s="432" t="s">
        <v>138</v>
      </c>
      <c r="AS5" s="438" t="s">
        <v>138</v>
      </c>
      <c r="AT5" s="439" t="s">
        <v>138</v>
      </c>
      <c r="AU5" s="440" t="s">
        <v>138</v>
      </c>
      <c r="AV5" s="187"/>
      <c r="AW5" s="358" t="s">
        <v>96</v>
      </c>
      <c r="AX5" s="432" t="s">
        <v>138</v>
      </c>
      <c r="AY5" s="438" t="s">
        <v>138</v>
      </c>
      <c r="AZ5" s="439" t="s">
        <v>138</v>
      </c>
      <c r="BA5" s="440" t="s">
        <v>138</v>
      </c>
      <c r="BB5" s="187"/>
      <c r="BC5" s="358" t="s">
        <v>96</v>
      </c>
      <c r="BD5" s="432" t="s">
        <v>138</v>
      </c>
      <c r="BE5" s="438" t="s">
        <v>138</v>
      </c>
      <c r="BF5" s="439" t="s">
        <v>138</v>
      </c>
      <c r="BG5" s="440" t="s">
        <v>138</v>
      </c>
      <c r="BH5" s="187"/>
      <c r="BI5" s="358" t="s">
        <v>96</v>
      </c>
      <c r="BJ5" s="432" t="s">
        <v>138</v>
      </c>
      <c r="BK5" s="438" t="s">
        <v>138</v>
      </c>
      <c r="BL5" s="439" t="s">
        <v>138</v>
      </c>
      <c r="BM5" s="440" t="s">
        <v>138</v>
      </c>
      <c r="BN5" s="187"/>
      <c r="BO5" s="358" t="s">
        <v>96</v>
      </c>
      <c r="BP5" s="432" t="s">
        <v>138</v>
      </c>
      <c r="BQ5" s="438" t="s">
        <v>138</v>
      </c>
      <c r="BR5" s="439" t="s">
        <v>138</v>
      </c>
      <c r="BS5" s="440" t="s">
        <v>138</v>
      </c>
      <c r="BT5" s="187"/>
      <c r="BU5" s="358" t="s">
        <v>96</v>
      </c>
      <c r="BV5" s="432" t="s">
        <v>138</v>
      </c>
      <c r="BW5" s="438" t="s">
        <v>138</v>
      </c>
      <c r="BX5" s="439" t="s">
        <v>138</v>
      </c>
      <c r="BY5" s="440" t="s">
        <v>138</v>
      </c>
      <c r="BZ5" s="187"/>
    </row>
    <row r="6" spans="1:78" s="427" customFormat="1" ht="15" customHeight="1" x14ac:dyDescent="0.25">
      <c r="A6" s="213" t="s">
        <v>19</v>
      </c>
      <c r="B6" s="419" t="s">
        <v>138</v>
      </c>
      <c r="C6" s="433" t="s">
        <v>138</v>
      </c>
      <c r="D6" s="1194" t="s">
        <v>138</v>
      </c>
      <c r="E6" s="1194"/>
      <c r="F6" s="188"/>
      <c r="G6" s="358" t="s">
        <v>97</v>
      </c>
      <c r="H6" s="419" t="s">
        <v>138</v>
      </c>
      <c r="I6" s="433" t="s">
        <v>138</v>
      </c>
      <c r="J6" s="1194" t="s">
        <v>138</v>
      </c>
      <c r="K6" s="1194"/>
      <c r="L6" s="188"/>
      <c r="M6" s="358" t="s">
        <v>97</v>
      </c>
      <c r="N6" s="419" t="s">
        <v>138</v>
      </c>
      <c r="O6" s="433" t="s">
        <v>138</v>
      </c>
      <c r="P6" s="1194" t="s">
        <v>138</v>
      </c>
      <c r="Q6" s="1194"/>
      <c r="R6" s="188"/>
      <c r="S6" s="358" t="s">
        <v>97</v>
      </c>
      <c r="T6" s="419" t="s">
        <v>138</v>
      </c>
      <c r="U6" s="433" t="s">
        <v>138</v>
      </c>
      <c r="V6" s="1194" t="s">
        <v>138</v>
      </c>
      <c r="W6" s="1194"/>
      <c r="X6" s="188"/>
      <c r="Y6" s="358" t="s">
        <v>97</v>
      </c>
      <c r="Z6" s="419" t="s">
        <v>138</v>
      </c>
      <c r="AA6" s="433" t="s">
        <v>138</v>
      </c>
      <c r="AB6" s="1194" t="s">
        <v>138</v>
      </c>
      <c r="AC6" s="1194"/>
      <c r="AD6" s="188"/>
      <c r="AE6" s="358" t="s">
        <v>97</v>
      </c>
      <c r="AF6" s="419" t="s">
        <v>138</v>
      </c>
      <c r="AG6" s="433" t="s">
        <v>138</v>
      </c>
      <c r="AH6" s="1194" t="s">
        <v>138</v>
      </c>
      <c r="AI6" s="1194"/>
      <c r="AJ6" s="188"/>
      <c r="AK6" s="358" t="s">
        <v>97</v>
      </c>
      <c r="AL6" s="419" t="s">
        <v>138</v>
      </c>
      <c r="AM6" s="433" t="s">
        <v>138</v>
      </c>
      <c r="AN6" s="1194" t="s">
        <v>138</v>
      </c>
      <c r="AO6" s="1194"/>
      <c r="AP6" s="188"/>
      <c r="AQ6" s="358" t="s">
        <v>97</v>
      </c>
      <c r="AR6" s="419" t="s">
        <v>138</v>
      </c>
      <c r="AS6" s="433" t="s">
        <v>138</v>
      </c>
      <c r="AT6" s="1194" t="s">
        <v>138</v>
      </c>
      <c r="AU6" s="1194"/>
      <c r="AV6" s="188"/>
      <c r="AW6" s="358" t="s">
        <v>97</v>
      </c>
      <c r="AX6" s="419" t="s">
        <v>138</v>
      </c>
      <c r="AY6" s="433" t="s">
        <v>138</v>
      </c>
      <c r="AZ6" s="1194" t="s">
        <v>138</v>
      </c>
      <c r="BA6" s="1194"/>
      <c r="BB6" s="188"/>
      <c r="BC6" s="358" t="s">
        <v>97</v>
      </c>
      <c r="BD6" s="419" t="s">
        <v>138</v>
      </c>
      <c r="BE6" s="433" t="s">
        <v>138</v>
      </c>
      <c r="BF6" s="1194" t="s">
        <v>138</v>
      </c>
      <c r="BG6" s="1194"/>
      <c r="BH6" s="188"/>
      <c r="BI6" s="358" t="s">
        <v>97</v>
      </c>
      <c r="BJ6" s="419" t="s">
        <v>138</v>
      </c>
      <c r="BK6" s="433" t="s">
        <v>138</v>
      </c>
      <c r="BL6" s="1194" t="s">
        <v>138</v>
      </c>
      <c r="BM6" s="1194"/>
      <c r="BN6" s="188"/>
      <c r="BO6" s="358" t="s">
        <v>97</v>
      </c>
      <c r="BP6" s="419" t="s">
        <v>138</v>
      </c>
      <c r="BQ6" s="433" t="s">
        <v>138</v>
      </c>
      <c r="BR6" s="1194" t="s">
        <v>138</v>
      </c>
      <c r="BS6" s="1194"/>
      <c r="BT6" s="188"/>
      <c r="BU6" s="358" t="s">
        <v>97</v>
      </c>
      <c r="BV6" s="419" t="s">
        <v>138</v>
      </c>
      <c r="BW6" s="433" t="s">
        <v>138</v>
      </c>
      <c r="BX6" s="1194" t="s">
        <v>138</v>
      </c>
      <c r="BY6" s="1194"/>
      <c r="BZ6" s="188"/>
    </row>
    <row r="7" spans="1:78" ht="15.75" x14ac:dyDescent="0.25">
      <c r="A7" s="940" t="s">
        <v>265</v>
      </c>
      <c r="B7" s="430"/>
      <c r="C7" s="430"/>
      <c r="D7" s="221"/>
      <c r="E7" s="1192">
        <f>'2018'!Dépas_env</f>
        <v>4.55493472194759E-2</v>
      </c>
      <c r="F7" s="1193"/>
      <c r="G7" s="940" t="s">
        <v>264</v>
      </c>
      <c r="H7" s="430"/>
      <c r="I7" s="430"/>
      <c r="J7" s="221"/>
      <c r="K7" s="1192">
        <f>'2019'!Dépas_env</f>
        <v>4.8208038888630789E-2</v>
      </c>
      <c r="L7" s="1193"/>
      <c r="M7" s="940" t="s">
        <v>264</v>
      </c>
      <c r="N7" s="430"/>
      <c r="O7" s="430"/>
      <c r="P7" s="221"/>
      <c r="Q7" s="1192">
        <f>'2020'!Dépas_env</f>
        <v>4.6965153328257347E-2</v>
      </c>
      <c r="R7" s="1193"/>
      <c r="S7" s="940" t="s">
        <v>264</v>
      </c>
      <c r="T7" s="430"/>
      <c r="U7" s="430"/>
      <c r="V7" s="221"/>
      <c r="W7" s="1192">
        <f>'2021'!Dépas_env</f>
        <v>4.6944592334525526E-2</v>
      </c>
      <c r="X7" s="1193"/>
      <c r="Y7" s="940" t="s">
        <v>264</v>
      </c>
      <c r="Z7" s="430"/>
      <c r="AA7" s="430"/>
      <c r="AB7" s="221"/>
      <c r="AC7" s="1192">
        <f>'2022'!Dépas_env</f>
        <v>4.5465936328315415E-2</v>
      </c>
      <c r="AD7" s="1193"/>
      <c r="AE7" s="940" t="s">
        <v>264</v>
      </c>
      <c r="AF7" s="430"/>
      <c r="AG7" s="430"/>
      <c r="AH7" s="221"/>
      <c r="AI7" s="1192">
        <f>'2023'!Dépas_env</f>
        <v>4.5465936328315637E-2</v>
      </c>
      <c r="AJ7" s="1193"/>
      <c r="AK7" s="940" t="s">
        <v>264</v>
      </c>
      <c r="AL7" s="430"/>
      <c r="AM7" s="430"/>
      <c r="AN7" s="221"/>
      <c r="AO7" s="1192">
        <f>'2024'!Dépas_env</f>
        <v>4.5465936328315415E-2</v>
      </c>
      <c r="AP7" s="1193"/>
      <c r="AQ7" s="940" t="s">
        <v>264</v>
      </c>
      <c r="AR7" s="430"/>
      <c r="AS7" s="430"/>
      <c r="AT7" s="221"/>
      <c r="AU7" s="1192">
        <f>'2025'!Dépas_env</f>
        <v>4.5465936328315415E-2</v>
      </c>
      <c r="AV7" s="1193"/>
      <c r="AW7" s="940" t="s">
        <v>264</v>
      </c>
      <c r="AX7" s="430"/>
      <c r="AY7" s="430"/>
      <c r="AZ7" s="221"/>
      <c r="BA7" s="1192">
        <f>'2026'!Dépas_env</f>
        <v>4.5465936328315415E-2</v>
      </c>
      <c r="BB7" s="1193"/>
      <c r="BC7" s="940" t="s">
        <v>264</v>
      </c>
      <c r="BD7" s="430"/>
      <c r="BE7" s="430"/>
      <c r="BF7" s="221"/>
      <c r="BG7" s="1192">
        <f>'2027'!Dépas_env</f>
        <v>4.5465936328315415E-2</v>
      </c>
      <c r="BH7" s="1193"/>
      <c r="BI7" s="940" t="s">
        <v>264</v>
      </c>
      <c r="BJ7" s="430"/>
      <c r="BK7" s="430"/>
      <c r="BL7" s="221"/>
      <c r="BM7" s="1192"/>
      <c r="BN7" s="1193"/>
      <c r="BO7" s="940" t="s">
        <v>264</v>
      </c>
      <c r="BP7" s="430"/>
      <c r="BQ7" s="430"/>
      <c r="BR7" s="221"/>
      <c r="BS7" s="1192"/>
      <c r="BT7" s="1193"/>
      <c r="BU7" s="940" t="s">
        <v>264</v>
      </c>
      <c r="BV7" s="430"/>
      <c r="BW7" s="430"/>
      <c r="BX7" s="221"/>
      <c r="BY7" s="1192"/>
      <c r="BZ7" s="1193"/>
    </row>
    <row r="8" spans="1:78" ht="15.75" x14ac:dyDescent="0.25">
      <c r="A8" s="426" t="s">
        <v>137</v>
      </c>
      <c r="T8" s="672" t="s">
        <v>203</v>
      </c>
    </row>
    <row r="9" spans="1:78" s="28" customFormat="1" ht="15" customHeight="1" x14ac:dyDescent="0.25">
      <c r="A9" s="445" t="s">
        <v>79</v>
      </c>
      <c r="B9" s="581">
        <f>IF(B4="D",T0,IF(YEAR(B4)=A3,B4, "err."))</f>
        <v>43243</v>
      </c>
      <c r="C9" s="582">
        <f>IF(B9&gt;T0,IF(C4="D",0,C4),0)</f>
        <v>0</v>
      </c>
      <c r="D9" s="583" t="s">
        <v>82</v>
      </c>
      <c r="E9" s="462" t="s">
        <v>82</v>
      </c>
      <c r="F9" s="1145">
        <f>IF(C5="I",T0,B10)</f>
        <v>43243</v>
      </c>
      <c r="G9" s="446" t="s">
        <v>95</v>
      </c>
      <c r="H9" s="581">
        <f>IF(H4="D",B9,IF(YEAR(H4)=G3,H4, "err."))</f>
        <v>43243</v>
      </c>
      <c r="I9" s="582">
        <f>IF(YEAR(H9)=G3,IF(I4="D",C9,I4),C9)</f>
        <v>0</v>
      </c>
      <c r="J9" s="584" t="s">
        <v>82</v>
      </c>
      <c r="K9" s="450" t="s">
        <v>82</v>
      </c>
      <c r="L9" s="1145">
        <f>IF(I5="I",F9,IF(YEAR(H10)=G3,H10,F9))</f>
        <v>43243</v>
      </c>
      <c r="M9" s="448" t="s">
        <v>95</v>
      </c>
      <c r="N9" s="581">
        <f>IF(N4="D",H9,IF(YEAR(N4)=M3,N4, "err."))</f>
        <v>43243</v>
      </c>
      <c r="O9" s="582">
        <f>IF(YEAR(N9)=M3,IF(O4="D",I9,O4),I9)</f>
        <v>0</v>
      </c>
      <c r="P9" s="584" t="s">
        <v>82</v>
      </c>
      <c r="Q9" s="450" t="s">
        <v>82</v>
      </c>
      <c r="R9" s="1145">
        <f>IF(O5="I",L9,IF(YEAR(N10)=M3,N10,L9))</f>
        <v>43243</v>
      </c>
      <c r="S9" s="446" t="s">
        <v>95</v>
      </c>
      <c r="T9" s="581">
        <f>IF(T4="D",N9,IF(YEAR(T4)=S3,T4, "err."))</f>
        <v>43243</v>
      </c>
      <c r="U9" s="582">
        <f>IF(YEAR(T9)=S3,IF(U4="D",O9,U4),O9)</f>
        <v>0</v>
      </c>
      <c r="V9" s="584" t="s">
        <v>82</v>
      </c>
      <c r="W9" s="450" t="s">
        <v>82</v>
      </c>
      <c r="X9" s="1145">
        <f>IF(U5="I",R9,IF(YEAR(T10)=S3,T10,R9))</f>
        <v>44306</v>
      </c>
      <c r="Y9" s="446" t="s">
        <v>95</v>
      </c>
      <c r="Z9" s="581">
        <f>IF(Z4="D",T9,IF(YEAR(Z4)=Y3,Z4, "err."))</f>
        <v>43243</v>
      </c>
      <c r="AA9" s="582">
        <f>IF(YEAR(Z9)=Y3,IF(AA4="D",U9,AA4),U9)</f>
        <v>0</v>
      </c>
      <c r="AB9" s="584" t="s">
        <v>82</v>
      </c>
      <c r="AC9" s="450" t="s">
        <v>82</v>
      </c>
      <c r="AD9" s="1145">
        <f>IF(AA5="I",X9,IF(YEAR(Z10)=Y3,Z10,X9))</f>
        <v>44306</v>
      </c>
      <c r="AE9" s="446" t="s">
        <v>95</v>
      </c>
      <c r="AF9" s="581">
        <f>IF(AF4="D",Z9,IF(YEAR(AF4)=AE3,AF4, "err."))</f>
        <v>43243</v>
      </c>
      <c r="AG9" s="582">
        <f>IF(YEAR(AF9)=AE3,IF(AG4="D",AA9,AG4),AA9)</f>
        <v>0</v>
      </c>
      <c r="AH9" s="584" t="s">
        <v>82</v>
      </c>
      <c r="AI9" s="450" t="s">
        <v>82</v>
      </c>
      <c r="AJ9" s="1145">
        <f>IF(AG5="I",AD9,IF(YEAR(AF10)=AE3,AF10,AD9))</f>
        <v>45046</v>
      </c>
      <c r="AK9" s="446" t="s">
        <v>95</v>
      </c>
      <c r="AL9" s="597">
        <f>IF(AL4="D",AF9,AL4)</f>
        <v>43243</v>
      </c>
      <c r="AM9" s="598">
        <f>IF(AM4="D",AG9,AM4)</f>
        <v>0</v>
      </c>
      <c r="AN9" s="584" t="s">
        <v>82</v>
      </c>
      <c r="AO9" s="599" t="s">
        <v>82</v>
      </c>
      <c r="AP9" s="1145">
        <f>IF(AM5="I",AJ9,IF(YEAR(AL10)=AK3,AL10,AJ9))</f>
        <v>45412</v>
      </c>
      <c r="AQ9" s="446" t="s">
        <v>95</v>
      </c>
      <c r="AR9" s="581">
        <f>IF(AR4="D",AL9,AR4)</f>
        <v>43243</v>
      </c>
      <c r="AS9" s="582">
        <f>IF(AS4="D",AM9,AS4)</f>
        <v>0</v>
      </c>
      <c r="AT9" s="584" t="s">
        <v>82</v>
      </c>
      <c r="AU9" s="450" t="s">
        <v>82</v>
      </c>
      <c r="AV9" s="1145">
        <f>IF(AS5="I",AP9,IF(YEAR(AR10)=AQ3,AR10,AP9))</f>
        <v>45777</v>
      </c>
      <c r="AW9" s="446" t="s">
        <v>95</v>
      </c>
      <c r="AX9" s="581">
        <f>IF(AX4="D",AR9,AX4)</f>
        <v>43243</v>
      </c>
      <c r="AY9" s="582">
        <f>IF(AY4="D",AS9,AY4)</f>
        <v>0</v>
      </c>
      <c r="AZ9" s="584" t="s">
        <v>82</v>
      </c>
      <c r="BA9" s="450" t="s">
        <v>82</v>
      </c>
      <c r="BB9" s="1145">
        <f>IF(AY5="I",AV9,IF(YEAR(AX10)=AW3,AX10,AV9))</f>
        <v>46142</v>
      </c>
      <c r="BC9" s="446" t="s">
        <v>95</v>
      </c>
      <c r="BD9" s="581">
        <f>IF(BD4="D",AX9,BD4)</f>
        <v>43243</v>
      </c>
      <c r="BE9" s="582">
        <f>IF(BE4="D",AY9,BE4)</f>
        <v>0</v>
      </c>
      <c r="BF9" s="584" t="s">
        <v>82</v>
      </c>
      <c r="BG9" s="450" t="s">
        <v>82</v>
      </c>
      <c r="BH9" s="1145">
        <f>IF(BE5="I",BB9,IF(YEAR(BD10)=BC3,BD10,BB9))</f>
        <v>46507</v>
      </c>
      <c r="BI9" s="446" t="s">
        <v>95</v>
      </c>
      <c r="BJ9" s="581">
        <f>IF(BJ4="D",BD9,BJ4)</f>
        <v>43243</v>
      </c>
      <c r="BK9" s="582">
        <f>IF(BK4="D",BE9,BK4)</f>
        <v>0</v>
      </c>
      <c r="BL9" s="584" t="s">
        <v>82</v>
      </c>
      <c r="BM9" s="450" t="s">
        <v>82</v>
      </c>
      <c r="BN9" s="1145" t="e">
        <f>IF(BK5="I",BH9,IF(YEAR(BJ10)=BI3,BJ10,BH9))</f>
        <v>#NAME?</v>
      </c>
      <c r="BO9" s="446" t="s">
        <v>95</v>
      </c>
      <c r="BP9" s="581">
        <f>IF(BP4="D",BJ9,BP4)</f>
        <v>43243</v>
      </c>
      <c r="BQ9" s="582">
        <f>IF(BQ4="D",BK9,BQ4)</f>
        <v>0</v>
      </c>
      <c r="BR9" s="584" t="s">
        <v>82</v>
      </c>
      <c r="BS9" s="450" t="s">
        <v>82</v>
      </c>
      <c r="BT9" s="1145" t="e">
        <f>IF(BQ5="I",BN9,IF(YEAR(BP10)=BO3,BP10,BN9))</f>
        <v>#NAME?</v>
      </c>
      <c r="BU9" s="446" t="s">
        <v>95</v>
      </c>
      <c r="BV9" s="581">
        <f>IF(BV4="D",BP9,BV4)</f>
        <v>43243</v>
      </c>
      <c r="BW9" s="582">
        <f>IF(BW4="D",BQ9,BW4)</f>
        <v>0</v>
      </c>
      <c r="BX9" s="584" t="s">
        <v>82</v>
      </c>
      <c r="BY9" s="450" t="s">
        <v>82</v>
      </c>
      <c r="BZ9" s="1145" t="e">
        <f>IF(BW5="I",BT9,IF(YEAR(BV10)=BU3,BV10,BT9))</f>
        <v>#NAME?</v>
      </c>
    </row>
    <row r="10" spans="1:78" s="449" customFormat="1" ht="15" customHeight="1" x14ac:dyDescent="0.25">
      <c r="A10" s="463" t="s">
        <v>17</v>
      </c>
      <c r="B10" s="579">
        <f>IF(B5="D",T0,IF(YEAR(B5)=A3,B5, "err."))</f>
        <v>43243</v>
      </c>
      <c r="C10" s="585">
        <f>IF(B10&gt;T0,IF(C5="D",0,C5),0)</f>
        <v>0</v>
      </c>
      <c r="D10" s="586">
        <f>IF(YEAR(B10)=A3,IF(D5="D",Salim_i,D5),Salim_i)</f>
        <v>0.14000000000000001</v>
      </c>
      <c r="E10" s="587">
        <f>IF(E5="D",Tau_i,IF(YEAR(B10)=A3,E5,Tau_i))</f>
        <v>3</v>
      </c>
      <c r="F10" s="1146">
        <f>C10</f>
        <v>0</v>
      </c>
      <c r="G10" s="448" t="s">
        <v>96</v>
      </c>
      <c r="H10" s="579">
        <f>IF(H5="D",IF(AND(G3&gt;=YEAR(F9)+Inter_net,G3&gt;Amaj),DATE(G3,4,30),B10),IF(YEAR(H5)=G3,H5,"err."))</f>
        <v>43678</v>
      </c>
      <c r="I10" s="585" t="str">
        <f>IF(G3=YEAR(H10),IF(I5="D",F10,I5),C13)</f>
        <v>I</v>
      </c>
      <c r="J10" s="586">
        <f>IF(G3=YEAR(H10),IF(J5="D",D10,J5),D10)</f>
        <v>0.08</v>
      </c>
      <c r="K10" s="587">
        <f>IF(G3=YEAR(H10),IF(K5="D",E10,K5),E10)</f>
        <v>0.5</v>
      </c>
      <c r="L10" s="1146">
        <f>IF(I5="I",F10,IF(I5="D",F10,I5))</f>
        <v>0</v>
      </c>
      <c r="M10" s="448" t="s">
        <v>96</v>
      </c>
      <c r="N10" s="579">
        <f>IF(N5="D",IF(AND(M3&gt;=YEAR(L9)+Inter_net,M3&gt;Amaj),DATE(M3,4,30),H10),IF(YEAR(N5)=M3,N5,"err."))</f>
        <v>43831</v>
      </c>
      <c r="O10" s="585" t="str">
        <f>IF(M3=YEAR(N10),IF(O5="D",L10,O5),I13)</f>
        <v>I</v>
      </c>
      <c r="P10" s="586">
        <f>IF(M3=YEAR(N10),IF(P5="D",J10,P5),J10)</f>
        <v>0.12</v>
      </c>
      <c r="Q10" s="587">
        <f>IF(M3=YEAR(N10),IF(Q5="D",K10,Q5),K10)</f>
        <v>3</v>
      </c>
      <c r="R10" s="1146">
        <f>IF(O5="I",L10,IF(O5="D",L10,O5))</f>
        <v>0</v>
      </c>
      <c r="S10" s="448" t="s">
        <v>96</v>
      </c>
      <c r="T10" s="579">
        <f>IF(T5="D",IF(AND(S3&gt;=YEAR(R9)+Inter_net,S3&gt;Amaj),DATE(S3,4,30),N10),IF(YEAR(T5)=S3,T5,"err."))</f>
        <v>44306</v>
      </c>
      <c r="U10" s="585">
        <f>IF(S3=YEAR(T10),IF(U5="D",R10,U5),O13)</f>
        <v>8.0000000000000002E-3</v>
      </c>
      <c r="V10" s="586">
        <f>IF(S3=YEAR(T10),IF(V5="D",P10,V5),P10)</f>
        <v>0.12</v>
      </c>
      <c r="W10" s="587">
        <f>IF(S3=YEAR(T10),IF(W5="D",Q10,W5),Q10)</f>
        <v>3</v>
      </c>
      <c r="X10" s="1146">
        <f>IF(U5="I",R10,IF(U5="D",R10,U5))</f>
        <v>8.0000000000000002E-3</v>
      </c>
      <c r="Y10" s="448" t="s">
        <v>96</v>
      </c>
      <c r="Z10" s="579">
        <f>IF(Z5="D",IF(AND(Y3&gt;=YEAR(X9)+Inter_net,Y3&gt;Amaj),DATE(Y3,4,30),T10),IF(YEAR(Z5)=Y3,Z5,"err."))</f>
        <v>44562</v>
      </c>
      <c r="AA10" s="585" t="str">
        <f>IF(Y3=YEAR(Z10),IF(AA5="D",X10,AA5),U13)</f>
        <v>I</v>
      </c>
      <c r="AB10" s="586">
        <f>IF(Y3=YEAR(Z10),IF(AB5="D",V10,AB5),V10)</f>
        <v>0.18</v>
      </c>
      <c r="AC10" s="587">
        <f>IF(Y3=YEAR(Z10),IF(AC5="D",W10,AC5),W10)</f>
        <v>1.7</v>
      </c>
      <c r="AD10" s="1146">
        <f>IF(AA5="I",X10,IF(AA5="D",X10,AA5))</f>
        <v>8.0000000000000002E-3</v>
      </c>
      <c r="AE10" s="448" t="s">
        <v>96</v>
      </c>
      <c r="AF10" s="579">
        <f>IF(AF5="D",IF(AND(AE3&gt;=YEAR(AD9)+Inter_net,AE3&gt;Amaj),DATE(AE3,4,30),Z10),IF(YEAR(AF5)=AE3,AF5,"err."))</f>
        <v>45046</v>
      </c>
      <c r="AG10" s="585">
        <f>IF(AE3=YEAR(AF10),IF(AG5="D",AD10,AG5),AA13)</f>
        <v>8.0000000000000002E-3</v>
      </c>
      <c r="AH10" s="586">
        <f>IF(AE3=YEAR(AF10),IF(AH5="D",AB10,AH5),AB10)</f>
        <v>0.13999999999999999</v>
      </c>
      <c r="AI10" s="587">
        <f>IF(AE3=YEAR(AF10),IF(AI5="D",AC10,AI5),AC10)</f>
        <v>2.5666666666666669</v>
      </c>
      <c r="AJ10" s="1146">
        <f>IF(AG5="I",AD10,IF(AG5="D",AD10,AG5))</f>
        <v>8.0000000000000002E-3</v>
      </c>
      <c r="AK10" s="448" t="s">
        <v>96</v>
      </c>
      <c r="AL10" s="579">
        <f>IF(AL5="D",IF(AND(AK3&gt;=YEAR(AJ9)+Inter_net,AK3&gt;Amaj),DATE(AK3,4,30),AF10),IF(YEAR(AL5)=AK3,AL5,"err."))</f>
        <v>45412</v>
      </c>
      <c r="AM10" s="585">
        <f>IF(AK3=YEAR(AL10),IF(AM5="D",AJ10,AM5),AG13)</f>
        <v>8.0000000000000002E-3</v>
      </c>
      <c r="AN10" s="586">
        <f>IF(AN5="D",AH10,AN5)</f>
        <v>0.13999999999999999</v>
      </c>
      <c r="AO10" s="587">
        <f>IF(AO5="D",AI10,AO5)</f>
        <v>2.5666666666666669</v>
      </c>
      <c r="AP10" s="1146">
        <f>IF(AM5="I",AJ10,IF(AM5="D",AJ10,AM5))</f>
        <v>8.0000000000000002E-3</v>
      </c>
      <c r="AQ10" s="448" t="s">
        <v>96</v>
      </c>
      <c r="AR10" s="579">
        <f>IF(AR5="D",IF(AND(AQ3&gt;=YEAR(AP9)+Inter_net,AQ3&gt;Amaj),DATE(AQ3,4,30),AL10),IF(YEAR(AR5)=AQ3,AR5,"err."))</f>
        <v>45777</v>
      </c>
      <c r="AS10" s="585">
        <f>IF(AQ3=YEAR(AR10),IF(AS5="D",AP10,AS5),AM13)</f>
        <v>8.0000000000000002E-3</v>
      </c>
      <c r="AT10" s="586">
        <f>IF(AT5="D",AN10,AT5)</f>
        <v>0.13999999999999999</v>
      </c>
      <c r="AU10" s="587">
        <f>IF(AU5="D",AO10,AU5)</f>
        <v>2.5666666666666669</v>
      </c>
      <c r="AV10" s="1146">
        <f>IF(AS5="I",AP10,IF(AS5="D",AP10,AS5))</f>
        <v>8.0000000000000002E-3</v>
      </c>
      <c r="AW10" s="448" t="s">
        <v>96</v>
      </c>
      <c r="AX10" s="579">
        <f>IF(AX5="D",IF(AND(AW3&gt;=YEAR(AV9)+Inter_net,AW3&gt;Amaj),DATE(AW3,4,30),AR10),IF(YEAR(AX5)=AW3,AX5,"err."))</f>
        <v>46142</v>
      </c>
      <c r="AY10" s="585">
        <f>IF(AW3=YEAR(AX10),IF(AY5="D",AV10,AY5),AS13)</f>
        <v>8.0000000000000002E-3</v>
      </c>
      <c r="AZ10" s="586">
        <f>IF(AZ5="D",AT10,AZ5)</f>
        <v>0.13999999999999999</v>
      </c>
      <c r="BA10" s="587">
        <f>IF(BA5="D",AU10,BA5)</f>
        <v>2.5666666666666669</v>
      </c>
      <c r="BB10" s="1146">
        <f>IF(AY5="I",AV10,IF(AY5="D",AV10,AY5))</f>
        <v>8.0000000000000002E-3</v>
      </c>
      <c r="BC10" s="448" t="s">
        <v>96</v>
      </c>
      <c r="BD10" s="579">
        <f>IF(BD5="D",IF(AND(BC3&gt;=YEAR(BB9)+Inter_net,BC3&gt;Amaj),DATE(BC3,4,30),AX10),IF(YEAR(BD5)=BC3,BD5,"err."))</f>
        <v>46507</v>
      </c>
      <c r="BE10" s="585">
        <f>IF(BC3=YEAR(BD10),IF(BE5="D",BB10,BE5),AY13)</f>
        <v>8.0000000000000002E-3</v>
      </c>
      <c r="BF10" s="586">
        <f>IF(BF5="D",AZ10,BF5)</f>
        <v>0.13999999999999999</v>
      </c>
      <c r="BG10" s="587">
        <f>IF(BG5="D",BA10,BG5)</f>
        <v>2.5666666666666669</v>
      </c>
      <c r="BH10" s="1146">
        <f>IF(BE5="I",BB10,IF(BE5="D",BB10,BE5))</f>
        <v>8.0000000000000002E-3</v>
      </c>
      <c r="BI10" s="448" t="s">
        <v>96</v>
      </c>
      <c r="BJ10" s="579" t="e">
        <f>IF(BJ5="D",IF(AND(BI3&gt;=YEAR(BH9)+Inter_net,BI3&gt;Amaj),DATE(BI3,4,30),BD10),IF(YEAR(BJ5)=BI3,BJ5,"err."))</f>
        <v>#NAME?</v>
      </c>
      <c r="BK10" s="585" t="e">
        <f>IF(BI3=YEAR(BJ10),IF(BK5="D",BH10,BK5),BE13)</f>
        <v>#NAME?</v>
      </c>
      <c r="BL10" s="586">
        <f>IF(BL5="D",BF10,BL5)</f>
        <v>0.13999999999999999</v>
      </c>
      <c r="BM10" s="587">
        <f>IF(BM5="D",BG10,BM5)</f>
        <v>2.5666666666666669</v>
      </c>
      <c r="BN10" s="1146">
        <f>IF(BK5="I",BH10,IF(BK5="D",BH10,BK5))</f>
        <v>8.0000000000000002E-3</v>
      </c>
      <c r="BO10" s="448" t="s">
        <v>96</v>
      </c>
      <c r="BP10" s="579" t="e">
        <f>IF(BP5="D",IF(AND(BO3&gt;=YEAR(BN9)+Inter_net,BO3&gt;Amaj),DATE(BO3,4,30),BJ10),IF(YEAR(BP5)=BO3,BP5,"err."))</f>
        <v>#NAME?</v>
      </c>
      <c r="BQ10" s="585" t="e">
        <f>IF(BO3=YEAR(BP10),IF(BQ5="D",BN10,BQ5),BK13)</f>
        <v>#NAME?</v>
      </c>
      <c r="BR10" s="586">
        <f>IF(BR5="D",BL10,BR5)</f>
        <v>0.13999999999999999</v>
      </c>
      <c r="BS10" s="587">
        <f>IF(BS5="D",BM10,BS5)</f>
        <v>2.5666666666666669</v>
      </c>
      <c r="BT10" s="1146">
        <f>IF(BQ5="I",BN10,IF(BQ5="D",BN10,BQ5))</f>
        <v>8.0000000000000002E-3</v>
      </c>
      <c r="BU10" s="448" t="s">
        <v>96</v>
      </c>
      <c r="BV10" s="579" t="e">
        <f>IF(BV5="D",IF(AND(BU3&gt;=YEAR(BT9)+Inter_net,BU3&gt;Amaj),DATE(BU3,4,30),BP10),IF(YEAR(BV5)=BU3,BV5,"err."))</f>
        <v>#NAME?</v>
      </c>
      <c r="BW10" s="585" t="e">
        <f>IF(BU3=YEAR(BV10),IF(BW5="D",BT10,BW5),BQ13)</f>
        <v>#NAME?</v>
      </c>
      <c r="BX10" s="586">
        <f>IF(BX5="D",BR10,BX5)</f>
        <v>0.13999999999999999</v>
      </c>
      <c r="BY10" s="587">
        <f>IF(BY5="D",BS10,BY5)</f>
        <v>2.5666666666666669</v>
      </c>
      <c r="BZ10" s="1146">
        <f>IF(BW5="I",BT10,IF(BW5="D",BT10,BW5))</f>
        <v>8.0000000000000002E-3</v>
      </c>
    </row>
    <row r="11" spans="1:78" s="449" customFormat="1" ht="15" customHeight="1" x14ac:dyDescent="0.25">
      <c r="A11" s="447" t="s">
        <v>19</v>
      </c>
      <c r="B11" s="580">
        <f>IF(B6="D",DATE(A3,1,1),IF(YEAR(B6)=A3,B6, "err."))</f>
        <v>43101</v>
      </c>
      <c r="C11" s="588">
        <f>IF(C6="D",D_i,C6)</f>
        <v>0.7</v>
      </c>
      <c r="D11" s="1198">
        <f>IF(D6="D",IF(B11&gt;DATE(A3,1,1),H_i,H_i+PousHci),D6)</f>
        <v>-1.4999621440122004</v>
      </c>
      <c r="E11" s="1198"/>
      <c r="F11" s="188"/>
      <c r="G11" s="448" t="s">
        <v>97</v>
      </c>
      <c r="H11" s="580">
        <f>IF(H6="D",IF(AND(G3&gt;=YEAR(B11)+Inter_tai,G3&gt;Amaj),DATE(G3,3,31),B11),IF(YEAR(H6)=G3,H6,"err."))</f>
        <v>43101</v>
      </c>
      <c r="I11" s="588">
        <f>IF(I6="D",IF(G3=YEAR(H11),D_i,C11),I6)</f>
        <v>0.7</v>
      </c>
      <c r="J11" s="1198">
        <f>IF(J6="D",IF(G3=YEAR(H11),H_i,D16+E16),J6)</f>
        <v>-0.99996222155014203</v>
      </c>
      <c r="K11" s="1198"/>
      <c r="L11" s="188"/>
      <c r="M11" s="448" t="s">
        <v>97</v>
      </c>
      <c r="N11" s="580">
        <f>IF(N6="D",IF(AND(M3&gt;=YEAR(H11)+Inter_tai,M3&gt;Amaj),DATE(M3,3,31),H11),IF(YEAR(N6)=M3,N6,"err."))</f>
        <v>43101</v>
      </c>
      <c r="O11" s="588">
        <f>IF(O6="D",IF(M3=YEAR(N11),D_i,I11),O6)</f>
        <v>0.7</v>
      </c>
      <c r="P11" s="1198">
        <f>IF(P6="D",IF(M3=YEAR(N11),H_i,J16+K16),P6)</f>
        <v>-0.49996229908808365</v>
      </c>
      <c r="Q11" s="1198"/>
      <c r="R11" s="188"/>
      <c r="S11" s="448" t="s">
        <v>97</v>
      </c>
      <c r="T11" s="580">
        <f>IF(T6="D",IF(AND(S3&gt;=YEAR(N11)+Inter_tai,S3&gt;Amaj),DATE(S3,3,31),N11),IF(YEAR(T6)=S3,T6,"err."))</f>
        <v>43101</v>
      </c>
      <c r="U11" s="588">
        <f>IF(U6="D",IF(S3=YEAR(T11),D_i,O11),U6)</f>
        <v>0.7</v>
      </c>
      <c r="V11" s="1198">
        <f>IF(V6="D",IF(S3=YEAR(T11),H_i,P16+Q16),V6)</f>
        <v>3.7623373974671193E-5</v>
      </c>
      <c r="W11" s="1198"/>
      <c r="X11" s="188"/>
      <c r="Y11" s="448" t="s">
        <v>97</v>
      </c>
      <c r="Z11" s="580">
        <f>IF(Z6="D",IF(AND(Y3&gt;=YEAR(T11)+Inter_tai,Y3&gt;Amaj),DATE(Y3,3,31),T11),IF(YEAR(Z6)=Y3,Z6,"err."))</f>
        <v>43101</v>
      </c>
      <c r="AA11" s="588">
        <f>IF(AA6="D",IF(Y3=YEAR(Z11),D_i,U11),AA6)</f>
        <v>0.7</v>
      </c>
      <c r="AB11" s="1198">
        <f>IF(AB6="D",IF(Y3=YEAR(Z11),H_i,V16+W16),AB6)</f>
        <v>0.50003754583603299</v>
      </c>
      <c r="AC11" s="1198"/>
      <c r="AD11" s="188"/>
      <c r="AE11" s="448" t="s">
        <v>97</v>
      </c>
      <c r="AF11" s="580">
        <f>IF(AF6="D",IF(AND(AE3&gt;=YEAR(Z11)+Inter_tai,AE3&gt;Amaj),DATE(AE3,3,31),Z11),IF(YEAR(AF6)=AE3,AF6,"err."))</f>
        <v>43101</v>
      </c>
      <c r="AG11" s="588">
        <f>IF(AG6="D",IF(AE3=YEAR(AF11),D_i,AA11),AG6)</f>
        <v>0.7</v>
      </c>
      <c r="AH11" s="1198">
        <f>IF(AH6="D",IF(AE3=YEAR(AF11),H_i,AB16+AC16),AH6)</f>
        <v>1.0000374682980913</v>
      </c>
      <c r="AI11" s="1198"/>
      <c r="AJ11" s="188"/>
      <c r="AK11" s="448" t="s">
        <v>97</v>
      </c>
      <c r="AL11" s="580">
        <f>IF(AL6="D",IF(AND(AK3&gt;=YEAR(AF11)+Inter_tai,AK3&gt;Amaj),DATE(AK3,3,31),AF11),IF(YEAR(AL6)=AK3,AL6,"err."))</f>
        <v>43101</v>
      </c>
      <c r="AM11" s="588">
        <f>IF(AM6="D",IF(AK3=YEAR(AL11),D_i,AG11),AM6)</f>
        <v>0.7</v>
      </c>
      <c r="AN11" s="1198">
        <f>IF(AN6="D",IF(AK3=YEAR(AL11),H_i,AH16+PousHci),AN6)</f>
        <v>1.5000373907601496</v>
      </c>
      <c r="AO11" s="1198"/>
      <c r="AP11" s="188"/>
      <c r="AQ11" s="448" t="s">
        <v>97</v>
      </c>
      <c r="AR11" s="580">
        <f>IF(AR6="D",IF(AND(AQ3&gt;=YEAR(AL11)+Inter_tai,AQ3&gt;Amaj),DATE(AQ3,3,31),AL11),IF(YEAR(AR6)=AQ3,AR6,"err."))</f>
        <v>45747</v>
      </c>
      <c r="AS11" s="588">
        <f>IF(AS6="D",IF(AQ3=YEAR(AR11),D_i,AM11),AS6)</f>
        <v>0.7</v>
      </c>
      <c r="AT11" s="1198">
        <f>IF(AT6="D",IF(AQ3=YEAR(AR11),H_i,AN16+PousHci),AT6)</f>
        <v>-1.9999621440122004</v>
      </c>
      <c r="AU11" s="1198"/>
      <c r="AV11" s="188"/>
      <c r="AW11" s="448" t="s">
        <v>97</v>
      </c>
      <c r="AX11" s="580">
        <f>IF(AX6="D",IF(AND(AW3&gt;=YEAR(AR11)+Inter_tai,AW3&gt;Amaj),DATE(AW3,3,31),AR11),IF(YEAR(AX6)=AW3,AX6,"err."))</f>
        <v>45747</v>
      </c>
      <c r="AY11" s="588">
        <f>IF(AY6="D",IF(AW3=YEAR(AX11),D_i,AS11),AY6)</f>
        <v>0.7</v>
      </c>
      <c r="AZ11" s="1198">
        <f>IF(AZ6="D",IF(AW3=YEAR(AX11),H_i,AT16+PousHci),AZ6)</f>
        <v>-1.0249503306897125</v>
      </c>
      <c r="BA11" s="1198"/>
      <c r="BB11" s="188"/>
      <c r="BC11" s="448" t="s">
        <v>97</v>
      </c>
      <c r="BD11" s="580">
        <f>IF(BD6="D",IF(AND(BC3&gt;=YEAR(AX11)+Inter_tai,BC3&gt;Amaj),DATE(BC3,3,31),AX11),IF(YEAR(BD6)=BC3,BD6,"err."))</f>
        <v>45747</v>
      </c>
      <c r="BE11" s="588">
        <f>IF(BE6="D",IF(BC3=YEAR(BD11),D_i,AY11),BE6)</f>
        <v>0.7</v>
      </c>
      <c r="BF11" s="1198">
        <f>IF(BF6="D",IF(BC3=YEAR(BD11),H_i,AZ16+PousHci),BF6)</f>
        <v>-0.52495040822765415</v>
      </c>
      <c r="BG11" s="1198"/>
      <c r="BH11" s="188"/>
      <c r="BI11" s="448" t="s">
        <v>97</v>
      </c>
      <c r="BJ11" s="580" t="e">
        <f>IF(BJ6="D",IF(AND(BI3&gt;=YEAR(BD11)+Inter_tai,BI3&gt;Amaj),DATE(BI3,3,31),BD11),IF(YEAR(BJ6)=BI3,BJ6,"err."))</f>
        <v>#NAME?</v>
      </c>
      <c r="BK11" s="588" t="e">
        <f>IF(BK6="D",IF(BI3=YEAR(BJ11),D_i,BE11),BK6)</f>
        <v>#NAME?</v>
      </c>
      <c r="BL11" s="1198" t="e">
        <f>IF(BL6="D",IF(BI3=YEAR(BJ11),H_i,BF16+PousHci),BL6)</f>
        <v>#NAME?</v>
      </c>
      <c r="BM11" s="1198"/>
      <c r="BN11" s="188"/>
      <c r="BO11" s="448" t="s">
        <v>97</v>
      </c>
      <c r="BP11" s="580" t="e">
        <f>IF(BP6="D",IF(AND(BO3&gt;=YEAR(BJ11)+Inter_tai,BO3&gt;Amaj),DATE(BO3,3,31),BJ11),IF(YEAR(BP6)=BO3,BP6,"err."))</f>
        <v>#NAME?</v>
      </c>
      <c r="BQ11" s="588" t="e">
        <f>IF(BQ6="D",IF(BO3=YEAR(BP11),D_i,BK11),BQ6)</f>
        <v>#NAME?</v>
      </c>
      <c r="BR11" s="1198" t="e">
        <f>IF(BR6="D",IF(BO3=YEAR(BP11),H_i,BL16+PousHci),BR6)</f>
        <v>#NAME?</v>
      </c>
      <c r="BS11" s="1198"/>
      <c r="BT11" s="188"/>
      <c r="BU11" s="448" t="s">
        <v>97</v>
      </c>
      <c r="BV11" s="580" t="e">
        <f>IF(BV6="D",IF(AND(BU3&gt;=YEAR(BP11)+Inter_tai,BU3&gt;Amaj),DATE(BU3,3,31),BP11),IF(YEAR(BV6)=BU3,BV6,"err."))</f>
        <v>#NAME?</v>
      </c>
      <c r="BW11" s="588" t="e">
        <f>IF(BW6="D",IF(BU3=YEAR(BV11),D_i,BQ11),BW6)</f>
        <v>#NAME?</v>
      </c>
      <c r="BX11" s="1198" t="e">
        <f>IF(BX6="D",IF(BU3=YEAR(BV11),H_i,BR16+PousHci),BX6)</f>
        <v>#NAME?</v>
      </c>
      <c r="BY11" s="1198"/>
      <c r="BZ11" s="188"/>
    </row>
    <row r="12" spans="1:78" x14ac:dyDescent="0.25">
      <c r="A12" s="8" t="s">
        <v>171</v>
      </c>
      <c r="B12" s="444"/>
      <c r="C12" s="454"/>
      <c r="D12" s="403"/>
      <c r="E12" s="455"/>
      <c r="H12" s="444"/>
      <c r="L12" s="465"/>
      <c r="M12" s="455"/>
      <c r="AL12" s="455"/>
      <c r="AM12" s="454"/>
      <c r="AN12" s="403"/>
      <c r="AO12" s="455"/>
    </row>
    <row r="13" spans="1:78" s="409" customFormat="1" ht="15" customHeight="1" x14ac:dyDescent="0.25">
      <c r="A13" s="459" t="s">
        <v>17</v>
      </c>
      <c r="B13" s="589">
        <f>+'2018'!Tnet</f>
        <v>43243</v>
      </c>
      <c r="C13" s="590">
        <f>+'2018'!Resal</f>
        <v>0</v>
      </c>
      <c r="D13" s="591">
        <f>+'2018'!Salim</f>
        <v>0.14000000000000001</v>
      </c>
      <c r="E13" s="592">
        <f>+'2018'!Tau_j/365</f>
        <v>3</v>
      </c>
      <c r="F13" s="464"/>
      <c r="G13" s="466" t="s">
        <v>96</v>
      </c>
      <c r="H13" s="589">
        <f>+'2019'!Tnet</f>
        <v>43678</v>
      </c>
      <c r="I13" s="590">
        <f>+'2019'!Resal</f>
        <v>4.5897731970198939E-2</v>
      </c>
      <c r="J13" s="591">
        <f>+'2019'!Salim</f>
        <v>0.08</v>
      </c>
      <c r="K13" s="592">
        <f>+'2019'!Tau_j/365</f>
        <v>0.5</v>
      </c>
      <c r="L13" s="467"/>
      <c r="M13" s="448" t="s">
        <v>96</v>
      </c>
      <c r="N13" s="589">
        <f>+'2020'!Tnet</f>
        <v>43831</v>
      </c>
      <c r="O13" s="590">
        <f>+'2020'!Resal</f>
        <v>6.5253471062338794E-2</v>
      </c>
      <c r="P13" s="591">
        <f>+'2020'!Salim</f>
        <v>0.12</v>
      </c>
      <c r="Q13" s="592">
        <f>+'2020'!Tau_j/365</f>
        <v>3</v>
      </c>
      <c r="R13" s="467"/>
      <c r="S13" s="448" t="s">
        <v>96</v>
      </c>
      <c r="T13" s="589">
        <f>+'2021'!Tnet</f>
        <v>44306</v>
      </c>
      <c r="U13" s="590">
        <f>+'2021'!Resal</f>
        <v>8.0000000000000002E-3</v>
      </c>
      <c r="V13" s="591">
        <f>+'2021'!Salim</f>
        <v>0.12</v>
      </c>
      <c r="W13" s="592">
        <f>+'2021'!Tau_j/365</f>
        <v>3</v>
      </c>
      <c r="X13" s="467"/>
      <c r="Y13" s="448" t="s">
        <v>96</v>
      </c>
      <c r="Z13" s="589">
        <f>+'2022'!Tnet</f>
        <v>44562</v>
      </c>
      <c r="AA13" s="590">
        <f>+'2022'!Resal</f>
        <v>3.1348857787303515E-2</v>
      </c>
      <c r="AB13" s="591">
        <f>+'2022'!Salim</f>
        <v>0.18</v>
      </c>
      <c r="AC13" s="592">
        <f>+'2022'!Tau_j/365</f>
        <v>1.7</v>
      </c>
      <c r="AD13" s="467"/>
      <c r="AE13" s="448" t="s">
        <v>96</v>
      </c>
      <c r="AF13" s="589">
        <f>+'2023'!Tnet</f>
        <v>45046</v>
      </c>
      <c r="AG13" s="590">
        <f>+'2023'!Resal</f>
        <v>8.0000000000000002E-3</v>
      </c>
      <c r="AH13" s="591">
        <f>+'2023'!Salim</f>
        <v>0.13999999999999999</v>
      </c>
      <c r="AI13" s="592">
        <f>+'2023'!Tau_j/365</f>
        <v>2.5666666666666669</v>
      </c>
      <c r="AJ13" s="467"/>
      <c r="AK13" s="448" t="s">
        <v>96</v>
      </c>
      <c r="AL13" s="589">
        <f>+'2024'!Tnet</f>
        <v>45412</v>
      </c>
      <c r="AM13" s="590">
        <f>+'2024'!Resal</f>
        <v>8.0000000000000002E-3</v>
      </c>
      <c r="AN13" s="591">
        <f>+'2024'!Salim</f>
        <v>0.13999999999999999</v>
      </c>
      <c r="AO13" s="592">
        <f>+'2024'!Tau_j/365</f>
        <v>2.5666666666666669</v>
      </c>
      <c r="AP13" s="464"/>
      <c r="AQ13" s="448" t="s">
        <v>96</v>
      </c>
      <c r="AR13" s="589">
        <f>+'2025'!Tnet</f>
        <v>45777</v>
      </c>
      <c r="AS13" s="590">
        <f>+'2025'!Resal</f>
        <v>8.0000000000000002E-3</v>
      </c>
      <c r="AT13" s="591">
        <f>+'2025'!Salim</f>
        <v>0.13999999999999999</v>
      </c>
      <c r="AU13" s="592">
        <f>+'2025'!Tau_j/365</f>
        <v>2.5666666666666669</v>
      </c>
      <c r="AV13" s="464"/>
      <c r="AW13" s="448" t="s">
        <v>96</v>
      </c>
      <c r="AX13" s="589">
        <f>+'2026'!Tnet</f>
        <v>46142</v>
      </c>
      <c r="AY13" s="590">
        <f>+'2026'!Resal</f>
        <v>8.0000000000000002E-3</v>
      </c>
      <c r="AZ13" s="591">
        <f>+'2026'!Salim</f>
        <v>0.13999999999999999</v>
      </c>
      <c r="BA13" s="592">
        <f>+'2026'!Tau_j/365</f>
        <v>2.5666666666666669</v>
      </c>
      <c r="BB13" s="464"/>
      <c r="BC13" s="448" t="s">
        <v>96</v>
      </c>
      <c r="BD13" s="589">
        <f>+'2027'!Tnet</f>
        <v>46507</v>
      </c>
      <c r="BE13" s="590">
        <f>+'2027'!Resal</f>
        <v>8.0000000000000002E-3</v>
      </c>
      <c r="BF13" s="591">
        <f>+'2027'!Salim</f>
        <v>0.13999999999999999</v>
      </c>
      <c r="BG13" s="592">
        <f>+'2027'!Tau_j/365</f>
        <v>2.5666666666666669</v>
      </c>
      <c r="BH13" s="464"/>
      <c r="BI13" s="448" t="s">
        <v>96</v>
      </c>
      <c r="BJ13" s="589">
        <f>+'2018'!Tnet</f>
        <v>43243</v>
      </c>
      <c r="BK13" s="590">
        <f>+'2018'!Resal</f>
        <v>0</v>
      </c>
      <c r="BL13" s="591">
        <f>+'2018'!Salim</f>
        <v>0.14000000000000001</v>
      </c>
      <c r="BM13" s="592">
        <f>+'2018'!Tau_j/365</f>
        <v>3</v>
      </c>
      <c r="BN13" s="464"/>
      <c r="BO13" s="448" t="s">
        <v>96</v>
      </c>
      <c r="BP13" s="589">
        <f>+'2018'!Tnet</f>
        <v>43243</v>
      </c>
      <c r="BQ13" s="590">
        <f>+'2018'!Resal</f>
        <v>0</v>
      </c>
      <c r="BR13" s="591">
        <f>+'2018'!Salim</f>
        <v>0.14000000000000001</v>
      </c>
      <c r="BS13" s="592">
        <f>+'2018'!Tau_j/365</f>
        <v>3</v>
      </c>
      <c r="BT13" s="464"/>
      <c r="BU13" s="448" t="s">
        <v>96</v>
      </c>
      <c r="BV13" s="589">
        <f>+'2018'!Tnet</f>
        <v>43243</v>
      </c>
      <c r="BW13" s="590">
        <f>+'2018'!Resal</f>
        <v>0</v>
      </c>
      <c r="BX13" s="591">
        <f>+'2018'!Salim</f>
        <v>0.14000000000000001</v>
      </c>
      <c r="BY13" s="592">
        <f>+'2018'!Tau_j/365</f>
        <v>3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132</v>
      </c>
      <c r="D14" s="477" t="s">
        <v>133</v>
      </c>
      <c r="E14" s="477" t="s">
        <v>134</v>
      </c>
      <c r="F14" s="478"/>
      <c r="G14" s="479"/>
      <c r="H14" s="480" t="s">
        <v>2</v>
      </c>
      <c r="I14" s="480" t="s">
        <v>132</v>
      </c>
      <c r="J14" s="480" t="s">
        <v>133</v>
      </c>
      <c r="K14" s="480" t="s">
        <v>134</v>
      </c>
      <c r="L14" s="481"/>
      <c r="M14" s="482"/>
      <c r="N14" s="480" t="s">
        <v>2</v>
      </c>
      <c r="O14" s="480" t="s">
        <v>132</v>
      </c>
      <c r="P14" s="480" t="s">
        <v>133</v>
      </c>
      <c r="Q14" s="480" t="s">
        <v>134</v>
      </c>
      <c r="R14" s="478"/>
      <c r="S14" s="479"/>
      <c r="T14" s="480" t="s">
        <v>2</v>
      </c>
      <c r="U14" s="480" t="s">
        <v>132</v>
      </c>
      <c r="V14" s="480" t="s">
        <v>133</v>
      </c>
      <c r="W14" s="480" t="s">
        <v>134</v>
      </c>
      <c r="X14" s="478"/>
      <c r="Y14" s="479"/>
      <c r="Z14" s="480" t="s">
        <v>2</v>
      </c>
      <c r="AA14" s="480" t="s">
        <v>132</v>
      </c>
      <c r="AB14" s="480" t="s">
        <v>133</v>
      </c>
      <c r="AC14" s="480" t="s">
        <v>134</v>
      </c>
      <c r="AD14" s="478"/>
      <c r="AE14" s="479"/>
      <c r="AF14" s="480" t="s">
        <v>2</v>
      </c>
      <c r="AG14" s="480" t="s">
        <v>132</v>
      </c>
      <c r="AH14" s="480" t="s">
        <v>133</v>
      </c>
      <c r="AI14" s="480" t="s">
        <v>134</v>
      </c>
      <c r="AJ14" s="478"/>
      <c r="AK14" s="479"/>
      <c r="AL14" s="480" t="s">
        <v>2</v>
      </c>
      <c r="AM14" s="480" t="s">
        <v>132</v>
      </c>
      <c r="AN14" s="480" t="s">
        <v>133</v>
      </c>
      <c r="AO14" s="480" t="s">
        <v>134</v>
      </c>
      <c r="AP14" s="478"/>
      <c r="AQ14" s="479"/>
      <c r="AR14" s="480" t="s">
        <v>2</v>
      </c>
      <c r="AS14" s="480" t="s">
        <v>132</v>
      </c>
      <c r="AT14" s="480" t="s">
        <v>133</v>
      </c>
      <c r="AU14" s="480" t="s">
        <v>134</v>
      </c>
      <c r="AV14" s="478"/>
      <c r="AW14" s="479"/>
      <c r="AX14" s="480" t="s">
        <v>2</v>
      </c>
      <c r="AY14" s="480" t="s">
        <v>132</v>
      </c>
      <c r="AZ14" s="480" t="s">
        <v>133</v>
      </c>
      <c r="BA14" s="480" t="s">
        <v>134</v>
      </c>
      <c r="BB14" s="478"/>
      <c r="BC14" s="479"/>
      <c r="BD14" s="480" t="s">
        <v>2</v>
      </c>
      <c r="BE14" s="480" t="s">
        <v>132</v>
      </c>
      <c r="BF14" s="480" t="s">
        <v>133</v>
      </c>
      <c r="BG14" s="480" t="s">
        <v>134</v>
      </c>
      <c r="BH14" s="478"/>
      <c r="BI14" s="479"/>
      <c r="BJ14" s="480" t="s">
        <v>2</v>
      </c>
      <c r="BK14" s="480" t="s">
        <v>132</v>
      </c>
      <c r="BL14" s="480" t="s">
        <v>133</v>
      </c>
      <c r="BM14" s="480" t="s">
        <v>134</v>
      </c>
      <c r="BN14" s="478"/>
      <c r="BO14" s="479"/>
      <c r="BP14" s="480" t="s">
        <v>2</v>
      </c>
      <c r="BQ14" s="480" t="s">
        <v>132</v>
      </c>
      <c r="BR14" s="480" t="s">
        <v>133</v>
      </c>
      <c r="BS14" s="480" t="s">
        <v>134</v>
      </c>
      <c r="BT14" s="478"/>
      <c r="BU14" s="479"/>
      <c r="BV14" s="480" t="s">
        <v>2</v>
      </c>
      <c r="BW14" s="480" t="s">
        <v>132</v>
      </c>
      <c r="BX14" s="480" t="s">
        <v>133</v>
      </c>
      <c r="BY14" s="480" t="s">
        <v>134</v>
      </c>
      <c r="BZ14" s="478"/>
    </row>
    <row r="15" spans="1:78" s="461" customFormat="1" ht="15" customHeight="1" x14ac:dyDescent="0.25">
      <c r="A15" s="483" t="s">
        <v>128</v>
      </c>
      <c r="B15" s="593">
        <f>B11</f>
        <v>43101</v>
      </c>
      <c r="C15" s="594">
        <f>'2018'!Dd</f>
        <v>0.7</v>
      </c>
      <c r="D15" s="594">
        <f>'2018'!Df</f>
        <v>0.7</v>
      </c>
      <c r="E15" s="594">
        <f>'2018'!PousD</f>
        <v>0</v>
      </c>
      <c r="F15" s="468"/>
      <c r="G15" s="484" t="s">
        <v>131</v>
      </c>
      <c r="H15" s="593">
        <f>H11</f>
        <v>43101</v>
      </c>
      <c r="I15" s="594">
        <f>'2019'!Dd</f>
        <v>0.7</v>
      </c>
      <c r="J15" s="594">
        <f>'2019'!Df</f>
        <v>0.7</v>
      </c>
      <c r="K15" s="594">
        <f>'2019'!PousD</f>
        <v>0</v>
      </c>
      <c r="L15" s="468"/>
      <c r="M15" s="484" t="s">
        <v>131</v>
      </c>
      <c r="N15" s="593">
        <f>N11</f>
        <v>43101</v>
      </c>
      <c r="O15" s="594">
        <f>'2020'!Dd</f>
        <v>0.7</v>
      </c>
      <c r="P15" s="594">
        <f>'2020'!Df</f>
        <v>0.7</v>
      </c>
      <c r="Q15" s="594">
        <f>'2020'!PousD</f>
        <v>0</v>
      </c>
      <c r="R15" s="468"/>
      <c r="S15" s="485" t="s">
        <v>131</v>
      </c>
      <c r="T15" s="593">
        <f>T11</f>
        <v>43101</v>
      </c>
      <c r="U15" s="594">
        <f>'2021'!Dd</f>
        <v>0.7</v>
      </c>
      <c r="V15" s="594">
        <f>'2021'!Df</f>
        <v>0.7</v>
      </c>
      <c r="W15" s="594">
        <f>'2021'!PousD</f>
        <v>0</v>
      </c>
      <c r="X15" s="468"/>
      <c r="Y15" s="485" t="s">
        <v>131</v>
      </c>
      <c r="Z15" s="593">
        <f>Z11</f>
        <v>43101</v>
      </c>
      <c r="AA15" s="594">
        <f>'2022'!Dd</f>
        <v>0.7</v>
      </c>
      <c r="AB15" s="594">
        <f>'2022'!Df</f>
        <v>0.7</v>
      </c>
      <c r="AC15" s="594">
        <f>'2022'!PousD</f>
        <v>0</v>
      </c>
      <c r="AD15" s="468"/>
      <c r="AE15" s="485" t="s">
        <v>131</v>
      </c>
      <c r="AF15" s="593">
        <f>AF11</f>
        <v>43101</v>
      </c>
      <c r="AG15" s="594">
        <f>'2023'!Dd</f>
        <v>0.7</v>
      </c>
      <c r="AH15" s="594">
        <f>'2023'!Df</f>
        <v>0.7</v>
      </c>
      <c r="AI15" s="594">
        <f>'2023'!PousD</f>
        <v>0</v>
      </c>
      <c r="AJ15" s="468"/>
      <c r="AK15" s="485" t="s">
        <v>131</v>
      </c>
      <c r="AL15" s="593">
        <f>AL11</f>
        <v>43101</v>
      </c>
      <c r="AM15" s="594">
        <f>'2024'!Dd</f>
        <v>0.7</v>
      </c>
      <c r="AN15" s="594">
        <f>'2024'!Df</f>
        <v>0.7</v>
      </c>
      <c r="AO15" s="594">
        <f>'2024'!PousD</f>
        <v>0</v>
      </c>
      <c r="AP15" s="468"/>
      <c r="AQ15" s="485" t="s">
        <v>131</v>
      </c>
      <c r="AR15" s="593">
        <f>AR11</f>
        <v>45747</v>
      </c>
      <c r="AS15" s="594">
        <f>'2025'!Dd</f>
        <v>0.7</v>
      </c>
      <c r="AT15" s="594">
        <f>'2025'!Df</f>
        <v>0.7</v>
      </c>
      <c r="AU15" s="594">
        <f>'2025'!PousD</f>
        <v>0</v>
      </c>
      <c r="AV15" s="468"/>
      <c r="AW15" s="485" t="s">
        <v>131</v>
      </c>
      <c r="AX15" s="593">
        <f>AX11</f>
        <v>45747</v>
      </c>
      <c r="AY15" s="594">
        <f>'2026'!Dd</f>
        <v>0.7</v>
      </c>
      <c r="AZ15" s="594">
        <f>'2026'!Df</f>
        <v>0.7</v>
      </c>
      <c r="BA15" s="594">
        <f>'2026'!PousD</f>
        <v>0</v>
      </c>
      <c r="BB15" s="468"/>
      <c r="BC15" s="485" t="s">
        <v>131</v>
      </c>
      <c r="BD15" s="593">
        <f>BD11</f>
        <v>45747</v>
      </c>
      <c r="BE15" s="594">
        <f>'2027'!Dd</f>
        <v>0.7</v>
      </c>
      <c r="BF15" s="594">
        <f>'2027'!Df</f>
        <v>0.7</v>
      </c>
      <c r="BG15" s="594">
        <f>'2027'!PousD</f>
        <v>0</v>
      </c>
      <c r="BH15" s="468"/>
      <c r="BI15" s="485" t="s">
        <v>131</v>
      </c>
      <c r="BJ15" s="593" t="e">
        <f>BJ11</f>
        <v>#NAME?</v>
      </c>
      <c r="BK15" s="594">
        <f>'2018'!Dd</f>
        <v>0.7</v>
      </c>
      <c r="BL15" s="594">
        <f>'2018'!Df</f>
        <v>0.7</v>
      </c>
      <c r="BM15" s="594">
        <f>'2018'!PousD</f>
        <v>0</v>
      </c>
      <c r="BN15" s="468"/>
      <c r="BO15" s="485" t="s">
        <v>131</v>
      </c>
      <c r="BP15" s="593" t="e">
        <f>BP11</f>
        <v>#NAME?</v>
      </c>
      <c r="BQ15" s="594">
        <f>'2018'!Dd</f>
        <v>0.7</v>
      </c>
      <c r="BR15" s="594">
        <f>'2018'!Df</f>
        <v>0.7</v>
      </c>
      <c r="BS15" s="594">
        <f>'2018'!PousD</f>
        <v>0</v>
      </c>
      <c r="BT15" s="468"/>
      <c r="BU15" s="485" t="s">
        <v>131</v>
      </c>
      <c r="BV15" s="593" t="e">
        <f>BV11</f>
        <v>#NAME?</v>
      </c>
      <c r="BW15" s="594">
        <f>'2018'!Dd</f>
        <v>0.7</v>
      </c>
      <c r="BX15" s="594">
        <f>'2018'!Df</f>
        <v>0.7</v>
      </c>
      <c r="BY15" s="594">
        <f>'2018'!PousD</f>
        <v>0</v>
      </c>
      <c r="BZ15" s="468"/>
    </row>
    <row r="16" spans="1:78" s="461" customFormat="1" ht="15" customHeight="1" x14ac:dyDescent="0.25">
      <c r="A16" s="473" t="s">
        <v>129</v>
      </c>
      <c r="B16" s="595"/>
      <c r="C16" s="596">
        <f>'2018'!Hdd</f>
        <v>-1.9999621440122004</v>
      </c>
      <c r="D16" s="596">
        <f>'2018'!Hdf</f>
        <v>-1.499962221550142</v>
      </c>
      <c r="E16" s="596">
        <f>'2018'!PousH</f>
        <v>0.5</v>
      </c>
      <c r="F16" s="460"/>
      <c r="G16" s="474" t="s">
        <v>130</v>
      </c>
      <c r="H16" s="595"/>
      <c r="I16" s="596">
        <f>'2019'!Hdd</f>
        <v>-1.499962221550142</v>
      </c>
      <c r="J16" s="596">
        <f>'2019'!Hdf</f>
        <v>-0.99996229908808365</v>
      </c>
      <c r="K16" s="596">
        <f>'2019'!PousH</f>
        <v>0.5</v>
      </c>
      <c r="L16" s="460"/>
      <c r="M16" s="474" t="s">
        <v>130</v>
      </c>
      <c r="N16" s="595"/>
      <c r="O16" s="596">
        <f>'2020'!Hdd</f>
        <v>-0.99996229908808365</v>
      </c>
      <c r="P16" s="596">
        <f>'2020'!Hdf</f>
        <v>-0.49996237662602533</v>
      </c>
      <c r="Q16" s="596">
        <f>'2020'!PousH</f>
        <v>0.5</v>
      </c>
      <c r="R16" s="460"/>
      <c r="S16" s="475" t="s">
        <v>130</v>
      </c>
      <c r="T16" s="595"/>
      <c r="U16" s="596">
        <f>'2021'!Hdd</f>
        <v>-0.49996237662602533</v>
      </c>
      <c r="V16" s="596">
        <f>'2021'!Hdf</f>
        <v>3.7545836032992774E-5</v>
      </c>
      <c r="W16" s="596">
        <f>'2021'!PousH</f>
        <v>0.5</v>
      </c>
      <c r="X16" s="460"/>
      <c r="Y16" s="475" t="s">
        <v>130</v>
      </c>
      <c r="Z16" s="595"/>
      <c r="AA16" s="596">
        <f>'2022'!Hdd</f>
        <v>3.7545836032992774E-5</v>
      </c>
      <c r="AB16" s="596">
        <f>'2022'!Hdf</f>
        <v>0.50003746829809126</v>
      </c>
      <c r="AC16" s="596">
        <f>'2022'!PousH</f>
        <v>0.5</v>
      </c>
      <c r="AD16" s="460"/>
      <c r="AE16" s="475" t="s">
        <v>130</v>
      </c>
      <c r="AF16" s="595"/>
      <c r="AG16" s="596">
        <f>'2023'!Hdd</f>
        <v>0.50003746829809126</v>
      </c>
      <c r="AH16" s="596">
        <f>'2023'!Hdf</f>
        <v>1.0000373907601496</v>
      </c>
      <c r="AI16" s="596">
        <f>'2023'!PousH</f>
        <v>0.5</v>
      </c>
      <c r="AJ16" s="460"/>
      <c r="AK16" s="475" t="s">
        <v>130</v>
      </c>
      <c r="AL16" s="595"/>
      <c r="AM16" s="596">
        <f>'2024'!Hdd</f>
        <v>1.0000373907601496</v>
      </c>
      <c r="AN16" s="596">
        <f>'2024'!Hdf</f>
        <v>1.500037313222208</v>
      </c>
      <c r="AO16" s="596">
        <f>'2024'!PousH</f>
        <v>0.5</v>
      </c>
      <c r="AP16" s="460"/>
      <c r="AQ16" s="475" t="s">
        <v>130</v>
      </c>
      <c r="AR16" s="595"/>
      <c r="AS16" s="596">
        <f>'2025'!Hdd</f>
        <v>1.500037313222208</v>
      </c>
      <c r="AT16" s="596">
        <f>'2025'!Hdf</f>
        <v>-1.5249503306897125</v>
      </c>
      <c r="AU16" s="596">
        <f>'2025'!PousH</f>
        <v>0.5</v>
      </c>
      <c r="AV16" s="460"/>
      <c r="AW16" s="475" t="s">
        <v>130</v>
      </c>
      <c r="AX16" s="595"/>
      <c r="AY16" s="596">
        <f>'2026'!Hdd</f>
        <v>-1.5249503306897125</v>
      </c>
      <c r="AZ16" s="596">
        <f>'2026'!Hdf</f>
        <v>-1.0249504082276542</v>
      </c>
      <c r="BA16" s="596">
        <f>'2026'!PousH</f>
        <v>0.5</v>
      </c>
      <c r="BB16" s="460"/>
      <c r="BC16" s="475" t="s">
        <v>130</v>
      </c>
      <c r="BD16" s="595"/>
      <c r="BE16" s="596">
        <f>'2027'!Hdd</f>
        <v>-1.0249504082276542</v>
      </c>
      <c r="BF16" s="596">
        <f>'2027'!Hdf</f>
        <v>-0.52495048576559578</v>
      </c>
      <c r="BG16" s="596">
        <f>'2027'!PousH</f>
        <v>0.5</v>
      </c>
      <c r="BH16" s="460"/>
      <c r="BI16" s="475" t="s">
        <v>130</v>
      </c>
      <c r="BJ16" s="595"/>
      <c r="BK16" s="596">
        <f>'2018'!Hdd</f>
        <v>-1.9999621440122004</v>
      </c>
      <c r="BL16" s="596">
        <f>'2018'!Hdf</f>
        <v>-1.499962221550142</v>
      </c>
      <c r="BM16" s="596">
        <f>'2018'!PousH</f>
        <v>0.5</v>
      </c>
      <c r="BN16" s="460"/>
      <c r="BO16" s="475" t="s">
        <v>130</v>
      </c>
      <c r="BP16" s="595"/>
      <c r="BQ16" s="596">
        <f>'2018'!Hdd</f>
        <v>-1.9999621440122004</v>
      </c>
      <c r="BR16" s="596">
        <f>'2018'!Hdf</f>
        <v>-1.499962221550142</v>
      </c>
      <c r="BS16" s="596">
        <f>'2018'!PousH</f>
        <v>0.5</v>
      </c>
      <c r="BT16" s="460"/>
      <c r="BU16" s="475" t="s">
        <v>130</v>
      </c>
      <c r="BV16" s="595"/>
      <c r="BW16" s="596">
        <f>'2018'!Hdd</f>
        <v>-1.9999621440122004</v>
      </c>
      <c r="BX16" s="596">
        <f>'2018'!Hdf</f>
        <v>-1.499962221550142</v>
      </c>
      <c r="BY16" s="596">
        <f>'2018'!PousH</f>
        <v>0.5</v>
      </c>
      <c r="BZ16" s="460"/>
    </row>
    <row r="18" spans="1:78" x14ac:dyDescent="0.25">
      <c r="A18" s="87" t="s">
        <v>26</v>
      </c>
    </row>
    <row r="19" spans="1:78" s="6" customFormat="1" ht="33.75" x14ac:dyDescent="0.2">
      <c r="A19" s="86" t="s">
        <v>2</v>
      </c>
      <c r="B19" s="428" t="s">
        <v>65</v>
      </c>
      <c r="C19" s="429" t="s">
        <v>66</v>
      </c>
      <c r="D19" s="429" t="s">
        <v>67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8" t="s">
        <v>65</v>
      </c>
      <c r="AG19" s="429" t="s">
        <v>66</v>
      </c>
      <c r="AH19" s="429" t="s">
        <v>67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2.2285650270742682E-7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3.6507875582788007E-2</v>
      </c>
      <c r="AG20" s="48">
        <f>'2023'!O29</f>
        <v>9.9310519294336735E-2</v>
      </c>
      <c r="AH20" s="66">
        <f>'2023'!P29</f>
        <v>3.7855405967432108E-3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1.1212375111744845E-6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3.7161852159333209E-2</v>
      </c>
      <c r="AG21" s="48">
        <f>'2023'!O60</f>
        <v>0.10324462375892669</v>
      </c>
      <c r="AH21" s="66">
        <f>'2023'!P60</f>
        <v>1.31958125741745E-3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2.3388405743170719E-6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3.7752159138051744E-2</v>
      </c>
      <c r="AG22" s="48">
        <f>'2023'!O88</f>
        <v>0.10668115356773482</v>
      </c>
      <c r="AH22" s="66">
        <f>'2023'!P88</f>
        <v>9.6521244632986425E-4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4.6076860857243142E-6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3.8405291149001486E-2</v>
      </c>
      <c r="AG23" s="48">
        <f>'2023'!O119</f>
        <v>0.11073696341376002</v>
      </c>
      <c r="AH23" s="66">
        <f>'2023'!P119</f>
        <v>5.4896776708368393E-4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1.3334412091411951E-4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3.9036932284900461E-2</v>
      </c>
      <c r="AG24" s="48">
        <f>'2023'!O149</f>
        <v>1.0299901067337571E-2</v>
      </c>
      <c r="AH24" s="66">
        <f>'2023'!P149</f>
        <v>2.6387103019984907E-3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5.0363767677874538E-4</v>
      </c>
      <c r="C25" s="48">
        <f>'2018'!O180</f>
        <v>3.029021527571001E-3</v>
      </c>
      <c r="D25" s="66">
        <f>'2018'!P180</f>
        <v>7.5279979033279645E-4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3.9689192247679861E-2</v>
      </c>
      <c r="AG25" s="48">
        <f>'2023'!O180</f>
        <v>1.4910906051472095E-2</v>
      </c>
      <c r="AH25" s="66">
        <f>'2023'!P180</f>
        <v>6.5934299439332489E-3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1.160175209497849E-3</v>
      </c>
      <c r="C26" s="48">
        <f>'2018'!O210</f>
        <v>6.942523639729024E-3</v>
      </c>
      <c r="D26" s="66">
        <f>'2018'!P210</f>
        <v>9.3895097220161275E-4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4.0319990029574426E-2</v>
      </c>
      <c r="AG26" s="48">
        <f>'2023'!O210</f>
        <v>1.9191282668614692E-2</v>
      </c>
      <c r="AH26" s="66">
        <f>'2023'!P210</f>
        <v>6.0301997117181557E-3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1.8381442686933314E-3</v>
      </c>
      <c r="C27" s="48">
        <f>'2018'!O241</f>
        <v>1.0850064825193696E-2</v>
      </c>
      <c r="D27" s="66">
        <f>'2018'!P241</f>
        <v>2.7477216251156107E-4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4.0971379108523998E-2</v>
      </c>
      <c r="AG27" s="48">
        <f>'2023'!O241</f>
        <v>2.3348888029293215E-2</v>
      </c>
      <c r="AH27" s="66">
        <f>'2023'!P241</f>
        <v>2.0969430906018619E-3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2.5156531519590075E-3</v>
      </c>
      <c r="C28" s="48">
        <f>'2018'!O272</f>
        <v>1.4600149437219536E-2</v>
      </c>
      <c r="D28" s="66">
        <f>'2018'!P272</f>
        <v>7.6219668255685701E-5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4.1622326052878855E-2</v>
      </c>
      <c r="AG28" s="48">
        <f>'2023'!O272</f>
        <v>2.7280831399853895E-2</v>
      </c>
      <c r="AH28" s="66">
        <f>'2023'!P272</f>
        <v>1.5206624107728789E-3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3.1708690553798879E-3</v>
      </c>
      <c r="C29" s="48">
        <f>'2018'!O302</f>
        <v>1.7963965739457619E-2</v>
      </c>
      <c r="D29" s="66">
        <f>'2018'!P302</f>
        <v>2.3449403949038963E-4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4.2251854020348145E-2</v>
      </c>
      <c r="AG29" s="48">
        <f>'2023'!O302</f>
        <v>3.0695705680173213E-2</v>
      </c>
      <c r="AH29" s="66">
        <f>'2023'!P302</f>
        <v>2.6742692956382586E-3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3.8474733429861852E-3</v>
      </c>
      <c r="C30" s="48">
        <f>'2018'!O333</f>
        <v>2.1065516016004707E-2</v>
      </c>
      <c r="D30" s="66">
        <f>'2018'!P333</f>
        <v>2.160296974959141E-4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4.2901931833987939E-2</v>
      </c>
      <c r="AG30" s="48">
        <f>'2023'!O333</f>
        <v>3.3706913088401042E-2</v>
      </c>
      <c r="AH30" s="66">
        <f>'2023'!P333</f>
        <v>4.1070480814413045E-3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4.5018144158672779E-3</v>
      </c>
      <c r="C31" s="49">
        <f>'2018'!O363</f>
        <v>2.4056074733571318E-2</v>
      </c>
      <c r="D31" s="67">
        <f>'2018'!P363</f>
        <v>2.4335632550911724E-4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4.3530619268910997E-2</v>
      </c>
      <c r="AG31" s="49">
        <f>'2023'!O363</f>
        <v>3.669733811445245E-2</v>
      </c>
      <c r="AH31" s="67">
        <f>'2023'!P363</f>
        <v>7.0679862833915447E-3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5.1775153156115028E-3</v>
      </c>
      <c r="C32" s="48">
        <f>'2019'!O29</f>
        <v>2.7250840925785825E-2</v>
      </c>
      <c r="D32" s="66">
        <f>'2019'!P29</f>
        <v>2.0571727281749197E-4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4.4179829112280578E-2</v>
      </c>
      <c r="AG32" s="48">
        <f>'2024'!O29</f>
        <v>3.9996273570733307E-2</v>
      </c>
      <c r="AH32" s="66">
        <f>'2024'!P29</f>
        <v>5.7979860851751289E-3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5.8527575789538711E-3</v>
      </c>
      <c r="C33" s="48">
        <f>'2019'!O60</f>
        <v>3.0398844319841366E-2</v>
      </c>
      <c r="D33" s="66">
        <f>'2019'!P60</f>
        <v>1.5250660876783224E-4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4.4828598300226008E-2</v>
      </c>
      <c r="AG33" s="48">
        <f>'2024'!O60</f>
        <v>4.325221241108361E-2</v>
      </c>
      <c r="AH33" s="66">
        <f>'2024'!P60</f>
        <v>1.7841927150572888E-3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6.4622598679845433E-3</v>
      </c>
      <c r="C34" s="48">
        <f>'2019'!O88</f>
        <v>3.3181609218047206E-2</v>
      </c>
      <c r="D34" s="66">
        <f>'2019'!P88</f>
        <v>9.2650499862275394E-5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4.5414204869263841E-2</v>
      </c>
      <c r="AG34" s="48">
        <f>'2024'!O88</f>
        <v>4.612272073116809E-2</v>
      </c>
      <c r="AH34" s="66">
        <f>'2024'!P88</f>
        <v>1.3564450464588758E-3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7.1366301025652668E-3</v>
      </c>
      <c r="C35" s="48">
        <f>'2019'!O119</f>
        <v>3.6322292378121394E-2</v>
      </c>
      <c r="D35" s="66">
        <f>'2019'!P119</f>
        <v>5.593305030619242E-5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4.6062136216596716E-2</v>
      </c>
      <c r="AG35" s="48">
        <f>'2024'!O119</f>
        <v>4.9394064605688924E-2</v>
      </c>
      <c r="AH35" s="66">
        <f>'2024'!P119</f>
        <v>7.8083555738631529E-4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7.788810632451848E-3</v>
      </c>
      <c r="C36" s="48">
        <f>'2019'!O149</f>
        <v>3.9734038047963216E-2</v>
      </c>
      <c r="D36" s="66">
        <f>'2019'!P149</f>
        <v>6.5679985910055438E-4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4.6688747813261156E-2</v>
      </c>
      <c r="AG36" s="48">
        <f>'2024'!O149</f>
        <v>1.0158372366949171E-2</v>
      </c>
      <c r="AH36" s="66">
        <f>'2024'!P149</f>
        <v>3.1496500920379597E-3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8.4622804620312353E-3</v>
      </c>
      <c r="C37" s="48">
        <f>'2019'!O180</f>
        <v>4.3479593943918468E-2</v>
      </c>
      <c r="D37" s="66">
        <f>'2019'!P180</f>
        <v>2.119668735781146E-3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4.7335814056240766E-2</v>
      </c>
      <c r="AG37" s="48">
        <f>'2024'!O180</f>
        <v>1.4771194419343981E-2</v>
      </c>
      <c r="AH37" s="66">
        <f>'2024'!P180</f>
        <v>7.5755699126974904E-3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9.1135902141450398E-3</v>
      </c>
      <c r="C38" s="48">
        <f>'2019'!O210</f>
        <v>4.662584345995615E-2</v>
      </c>
      <c r="D38" s="66">
        <f>'2019'!P210</f>
        <v>2.1007304199618633E-3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4.7961589014236083E-2</v>
      </c>
      <c r="AG38" s="48">
        <f>'2024'!O210</f>
        <v>1.9054853555006974E-2</v>
      </c>
      <c r="AH38" s="66">
        <f>'2024'!P210</f>
        <v>6.9712019701509073E-3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9.7861608409249845E-3</v>
      </c>
      <c r="C39" s="48">
        <f>'2019'!O241</f>
        <v>5.0813506860989871E-2</v>
      </c>
      <c r="D39" s="66">
        <f>'2019'!P241</f>
        <v>5.6771426879557009E-4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4.860779130793158E-2</v>
      </c>
      <c r="AG39" s="48">
        <f>'2024'!O241</f>
        <v>2.3216901024634775E-2</v>
      </c>
      <c r="AH39" s="66">
        <f>'2024'!P241</f>
        <v>2.7232212312243943E-3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1.0458274955996383E-2</v>
      </c>
      <c r="C40" s="48">
        <f>'2019'!O272</f>
        <v>5.5806648761982977E-2</v>
      </c>
      <c r="D40" s="66">
        <f>'2019'!P272</f>
        <v>1.5383089285204483E-4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4.925355498759687E-2</v>
      </c>
      <c r="AG40" s="48">
        <f>'2024'!O272</f>
        <v>2.7153562832598607E-2</v>
      </c>
      <c r="AH40" s="66">
        <f>'2024'!P272</f>
        <v>2.3846898865737898E-3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1.1108273602487562E-2</v>
      </c>
      <c r="C41" s="48">
        <f>'2019'!O302</f>
        <v>5.9373376382175505E-2</v>
      </c>
      <c r="D41" s="66">
        <f>'2019'!P302</f>
        <v>4.7018078701684758E-4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4.9878070242258654E-2</v>
      </c>
      <c r="AG41" s="48">
        <f>'2024'!O302</f>
        <v>3.0573801065054723E-2</v>
      </c>
      <c r="AH41" s="66">
        <f>'2024'!P302</f>
        <v>3.7228640253134898E-3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1.1779490324881015E-2</v>
      </c>
      <c r="C42" s="48">
        <f>'2019'!O333</f>
        <v>6.1738155916310433E-2</v>
      </c>
      <c r="D42" s="66">
        <f>'2019'!P333</f>
        <v>4.3231520237533796E-4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5.0522971711795095E-2</v>
      </c>
      <c r="AG42" s="48">
        <f>'2024'!O333</f>
        <v>3.3591389173579435E-2</v>
      </c>
      <c r="AH42" s="66">
        <f>'2024'!P333</f>
        <v>7.2333109545780708E-3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1.2428621106804427E-2</v>
      </c>
      <c r="C43" s="49">
        <f>'2019'!O363</f>
        <v>6.3939537991923326E-2</v>
      </c>
      <c r="D43" s="67">
        <f>'2019'!P363</f>
        <v>4.86739520428315E-4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5.1146653126779795E-2</v>
      </c>
      <c r="AG43" s="49">
        <f>'2024'!O363</f>
        <v>3.6586716735347892E-2</v>
      </c>
      <c r="AH43" s="67">
        <f>'2024'!P363</f>
        <v>9.7004788805254271E-3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1.3098941634700045E-2</v>
      </c>
      <c r="C44" s="48">
        <f>'2020'!O29</f>
        <v>6.595949078233887E-2</v>
      </c>
      <c r="D44" s="66">
        <f>'2020'!P29</f>
        <v>4.1176245697986815E-4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5.1811461754718846E-2</v>
      </c>
      <c r="AG44" s="48">
        <f>'2025'!O29</f>
        <v>3.9996273570733307E-2</v>
      </c>
      <c r="AH44" s="66">
        <f>'2025'!P29</f>
        <v>8.5761219596305893E-3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1.3768807178156206E-2</v>
      </c>
      <c r="C45" s="48">
        <f>'2020'!O60</f>
        <v>6.7468828960920477E-2</v>
      </c>
      <c r="D45" s="66">
        <f>'2020'!P60</f>
        <v>3.0482199509729269E-4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5.2455050922130098E-2</v>
      </c>
      <c r="AG45" s="48">
        <f>'2025'!O60</f>
        <v>4.325221241108361E-2</v>
      </c>
      <c r="AH45" s="66">
        <f>'2025'!P60</f>
        <v>2.5964343930384346E-3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1.4373456211909441E-2</v>
      </c>
      <c r="C46" s="48">
        <f>'2020'!O88</f>
        <v>6.8826935134359224E-2</v>
      </c>
      <c r="D46" s="66">
        <f>'2020'!P88</f>
        <v>1.8568093481625256E-4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5.3035981785063413E-2</v>
      </c>
      <c r="AG46" s="48">
        <f>'2025'!O88</f>
        <v>4.612272073116809E-2</v>
      </c>
      <c r="AH46" s="66">
        <f>'2025'!P88</f>
        <v>1.9953858416323403E-3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1.5042456670266602E-2</v>
      </c>
      <c r="C47" s="48">
        <f>'2020'!O119</f>
        <v>7.0561616421103437E-2</v>
      </c>
      <c r="D47" s="66">
        <f>'2020'!P119</f>
        <v>1.1213159528381337E-4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5.3678739801500952E-2</v>
      </c>
      <c r="AG47" s="48">
        <f>'2025'!O119</f>
        <v>4.9394064605688924E-2</v>
      </c>
      <c r="AH47" s="66">
        <f>'2025'!P119</f>
        <v>2.0426380824087133E-6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1.5689444112849782E-2</v>
      </c>
      <c r="C48" s="48">
        <f>'2020'!O149</f>
        <v>7.2999703723786474E-2</v>
      </c>
      <c r="D48" s="66">
        <f>'2020'!P149</f>
        <v>1.1706581602854065E-3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5.430034829228747E-2</v>
      </c>
      <c r="AG48" s="48">
        <f>'2025'!O149</f>
        <v>1.0299901067337571E-2</v>
      </c>
      <c r="AH48" s="66">
        <f>'2025'!P149</f>
        <v>1.0718377862620764E-4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1.6357551335818177E-2</v>
      </c>
      <c r="C49" s="48">
        <f>'2020'!O180</f>
        <v>7.5894390364212694E-2</v>
      </c>
      <c r="D49" s="66">
        <f>'2020'!P180</f>
        <v>3.3719578043903734E-3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5.4942248111694791E-2</v>
      </c>
      <c r="AG49" s="48">
        <f>'2025'!O180</f>
        <v>1.4910906051472095E-2</v>
      </c>
      <c r="AH49" s="66">
        <f>'2025'!P180</f>
        <v>6.8448883896271042E-4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1.7003674934329971E-2</v>
      </c>
      <c r="C50" s="48">
        <f>'2020'!O210</f>
        <v>7.7858527764618032E-2</v>
      </c>
      <c r="D50" s="66">
        <f>'2020'!P210</f>
        <v>3.1429668139513513E-3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5.5563026643854263E-2</v>
      </c>
      <c r="AG50" s="48">
        <f>'2025'!O210</f>
        <v>1.9191282668614692E-2</v>
      </c>
      <c r="AH50" s="66">
        <f>'2025'!P210</f>
        <v>8.8088961992421042E-4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1.7670890114538929E-2</v>
      </c>
      <c r="C51" s="48">
        <f>'2020'!O241</f>
        <v>7.9199845664670893E-2</v>
      </c>
      <c r="D51" s="66">
        <f>'2020'!P241</f>
        <v>8.9414913761669962E-4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5.6204069412077895E-2</v>
      </c>
      <c r="AG51" s="48">
        <f>'2025'!O241</f>
        <v>2.3348888029293215E-2</v>
      </c>
      <c r="AH51" s="66">
        <f>'2025'!P241</f>
        <v>2.6013202159442703E-4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1.8337652418083605E-2</v>
      </c>
      <c r="C52" s="48">
        <f>'2020'!O272</f>
        <v>8.0238265321244576E-2</v>
      </c>
      <c r="D52" s="66">
        <f>'2020'!P272</f>
        <v>3.5537409604817299E-4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5.6844677068333072E-2</v>
      </c>
      <c r="AG52" s="48">
        <f>'2025'!O272</f>
        <v>2.7280831399853895E-2</v>
      </c>
      <c r="AH52" s="66">
        <f>'2025'!P272</f>
        <v>7.2340952152851262E-5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1.8982475350851957E-2</v>
      </c>
      <c r="C53" s="48">
        <f>'2020'!O302</f>
        <v>8.0567948217237159E-2</v>
      </c>
      <c r="D53" s="66">
        <f>'2020'!P302</f>
        <v>8.7346825761878012E-4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5.7464205955110703E-2</v>
      </c>
      <c r="AG53" s="48">
        <f>'2025'!O302</f>
        <v>3.0695705680173213E-2</v>
      </c>
      <c r="AH53" s="66">
        <f>'2025'!P302</f>
        <v>2.2271530532390883E-4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1.9648347407345335E-2</v>
      </c>
      <c r="C54" s="48">
        <f>'2020'!O333</f>
        <v>8.0111191008973084E-2</v>
      </c>
      <c r="D54" s="66">
        <f>'2020'!P333</f>
        <v>8.2594870259613683E-4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5.8103958285451229E-2</v>
      </c>
      <c r="AG54" s="48">
        <f>'2025'!O333</f>
        <v>3.3706913088401042E-2</v>
      </c>
      <c r="AH54" s="66">
        <f>'2025'!P333</f>
        <v>2.0522056421720992E-4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2.0292309386050533E-2</v>
      </c>
      <c r="C55" s="49">
        <f>'2020'!O363</f>
        <v>8.0316563977485059E-2</v>
      </c>
      <c r="D55" s="67">
        <f>'2020'!P363</f>
        <v>1.7448899957139819E-3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5.8722659990245618E-2</v>
      </c>
      <c r="AG55" s="49">
        <f>'2025'!O363</f>
        <v>3.669733811445245E-2</v>
      </c>
      <c r="AH55" s="67">
        <f>'2025'!P363</f>
        <v>2.3119295194811489E-4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2.0978735932075443E-2</v>
      </c>
      <c r="C56" s="48">
        <f>'2021'!O29</f>
        <v>8.1319067801709499E-2</v>
      </c>
      <c r="D56" s="66">
        <f>'2021'!P29</f>
        <v>1.0921012914794927E-3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5.9361558136684978E-2</v>
      </c>
      <c r="AG56" s="48">
        <f>'2026'!O29</f>
        <v>3.9996273570733307E-2</v>
      </c>
      <c r="AH56" s="66">
        <f>'2026'!P29</f>
        <v>1.9544743741999572E-4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2.164325301365233E-2</v>
      </c>
      <c r="C57" s="48">
        <f>'2021'!O60</f>
        <v>8.2399742167189954E-2</v>
      </c>
      <c r="D57" s="66">
        <f>'2021'!P60</f>
        <v>5.8050913467064377E-4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6.0000022626831906E-2</v>
      </c>
      <c r="AG57" s="48">
        <f>'2026'!O60</f>
        <v>4.325221241108361E-2</v>
      </c>
      <c r="AH57" s="66">
        <f>'2026'!P60</f>
        <v>1.4494093923638778E-4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2.2243074299002963E-2</v>
      </c>
      <c r="C58" s="48">
        <f>'2021'!O88</f>
        <v>8.3387530506310342E-2</v>
      </c>
      <c r="D58" s="66">
        <f>'2021'!P88</f>
        <v>3.8067023850612099E-4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6.0576327738841695E-2</v>
      </c>
      <c r="AG58" s="48">
        <f>'2026'!O88</f>
        <v>4.612272073116809E-2</v>
      </c>
      <c r="AH58" s="66">
        <f>'2026'!P88</f>
        <v>8.8137063964623867E-5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2.2906733202649909E-2</v>
      </c>
      <c r="C59" s="48">
        <f>'2021'!O119</f>
        <v>8.4777055313364144E-2</v>
      </c>
      <c r="D59" s="66">
        <f>'2021'!P119</f>
        <v>2.1769413480412096E-4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6.1213967696181704E-2</v>
      </c>
      <c r="AG59" s="48">
        <f>'2026'!O119</f>
        <v>4.9394064605688924E-2</v>
      </c>
      <c r="AH59" s="66">
        <f>'2026'!P119</f>
        <v>5.3368002302876817E-5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2.3548554850833292E-2</v>
      </c>
      <c r="C60" s="48">
        <f>'2021'!O149</f>
        <v>1.0740020404700316E-2</v>
      </c>
      <c r="D60" s="66">
        <f>'2021'!P149</f>
        <v>1.6564493442798364E-3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6.1830626534206123E-2</v>
      </c>
      <c r="AG60" s="48">
        <f>'2026'!O149</f>
        <v>1.0299901067337571E-2</v>
      </c>
      <c r="AH60" s="66">
        <f>'2026'!P149</f>
        <v>6.3063951681264238E-4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2.4211327651023518E-2</v>
      </c>
      <c r="C61" s="48">
        <f>'2021'!O180</f>
        <v>1.4139586027845716E-2</v>
      </c>
      <c r="D61" s="66">
        <f>'2021'!P180</f>
        <v>4.5308109687396169E-3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6.2467415128040993E-2</v>
      </c>
      <c r="AG61" s="48">
        <f>'2026'!O180</f>
        <v>1.4910906051472095E-2</v>
      </c>
      <c r="AH61" s="66">
        <f>'2026'!P180</f>
        <v>2.0513577844110597E-3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2.4852292352395833E-2</v>
      </c>
      <c r="C62" s="48">
        <f>'2021'!O210</f>
        <v>1.7275067394964184E-2</v>
      </c>
      <c r="D62" s="66">
        <f>'2021'!P210</f>
        <v>4.156847477721326E-3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6.3083250616111086E-2</v>
      </c>
      <c r="AG62" s="48">
        <f>'2026'!O210</f>
        <v>1.9191282668614692E-2</v>
      </c>
      <c r="AH62" s="66">
        <f>'2026'!P210</f>
        <v>2.0426690676844622E-3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2.5514180232236061E-2</v>
      </c>
      <c r="C63" s="48">
        <f>'2021'!O241</f>
        <v>2.0308159882481452E-2</v>
      </c>
      <c r="D63" s="66">
        <f>'2021'!P241</f>
        <v>1.2227959224786944E-3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6.3719188983163644E-2</v>
      </c>
      <c r="AG63" s="48">
        <f>'2026'!O241</f>
        <v>2.3348888029293215E-2</v>
      </c>
      <c r="AH63" s="66">
        <f>'2026'!P241</f>
        <v>5.5307412787843611E-4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2.6175618851351889E-2</v>
      </c>
      <c r="C64" s="48">
        <f>'2021'!O272</f>
        <v>2.3179842429927284E-2</v>
      </c>
      <c r="D64" s="66">
        <f>'2021'!P272</f>
        <v>5.5917025962403722E-4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6.4354695702893316E-2</v>
      </c>
      <c r="AG64" s="48">
        <f>'2026'!O272</f>
        <v>2.7280831399853895E-2</v>
      </c>
      <c r="AH64" s="66">
        <f>'2026'!P272</f>
        <v>1.4995217674921047E-4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2.6815293271991947E-2</v>
      </c>
      <c r="C65" s="48">
        <f>'2021'!O302</f>
        <v>2.5660964047927184E-2</v>
      </c>
      <c r="D65" s="66">
        <f>'2021'!P302</f>
        <v>1.2775954311783624E-3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6.4969291496074111E-2</v>
      </c>
      <c r="AG65" s="48">
        <f>'2026'!O302</f>
        <v>3.0695705680173213E-2</v>
      </c>
      <c r="AH65" s="66">
        <f>'2026'!P302</f>
        <v>4.5840205285036667E-4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2.7475848752128385E-2</v>
      </c>
      <c r="C66" s="48">
        <f>'2021'!O333</f>
        <v>2.7828836752240294E-2</v>
      </c>
      <c r="D66" s="66">
        <f>'2021'!P333</f>
        <v>1.2197788029712289E-3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6.5603949700552833E-2</v>
      </c>
      <c r="AG66" s="48">
        <f>'2026'!O333</f>
        <v>3.3706913088401042E-2</v>
      </c>
      <c r="AH66" s="66">
        <f>'2026'!P333</f>
        <v>4.2150606909663367E-4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2.8114669092890732E-2</v>
      </c>
      <c r="C67" s="49">
        <f>'2021'!O363</f>
        <v>3.0020831144173876E-2</v>
      </c>
      <c r="D67" s="67">
        <f>'2021'!P363</f>
        <v>3.003075986840215E-3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6.6217724898313568E-2</v>
      </c>
      <c r="AG67" s="49">
        <f>'2026'!O363</f>
        <v>3.669733811445245E-2</v>
      </c>
      <c r="AH67" s="67">
        <f>'2026'!P363</f>
        <v>4.7457614686731268E-4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2.8774342613196335E-2</v>
      </c>
      <c r="C68" s="48">
        <f>'2022'!O29</f>
        <v>3.4670767720256686E-2</v>
      </c>
      <c r="D68" s="66">
        <f>'2022'!P29</f>
        <v>1.7739837810806232E-3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6.6851535720461097E-2</v>
      </c>
      <c r="AG68" s="48">
        <f>'2027'!O29</f>
        <v>3.9996273570733307E-2</v>
      </c>
      <c r="AH68" s="66">
        <f>'2027'!P29</f>
        <v>4.0094185373478017E-4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2.9433568375788699E-2</v>
      </c>
      <c r="C69" s="48">
        <f>'2022'!O60</f>
        <v>4.1754599815375909E-2</v>
      </c>
      <c r="D69" s="66">
        <f>'2022'!P60</f>
        <v>8.5759012679872721E-4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6.7484916339370704E-2</v>
      </c>
      <c r="AG69" s="48">
        <f>'2027'!O60</f>
        <v>4.325221241108361E-2</v>
      </c>
      <c r="AH69" s="66">
        <f>'2027'!P60</f>
        <v>2.9632631049304579E-4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3.0028613492335654E-2</v>
      </c>
      <c r="C70" s="48">
        <f>'2022'!O88</f>
        <v>4.7877382676027896E-2</v>
      </c>
      <c r="D70" s="66">
        <f>'2022'!P88</f>
        <v>5.8058492634993619E-4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6.8056632533706862E-2</v>
      </c>
      <c r="AG70" s="48">
        <f>'2027'!O88</f>
        <v>4.612272073116809E-2</v>
      </c>
      <c r="AH70" s="66">
        <f>'2027'!P88</f>
        <v>1.7844872325258212E-4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3.0686987910371166E-2</v>
      </c>
      <c r="C71" s="48">
        <f>'2022'!O119</f>
        <v>5.4556646478490969E-2</v>
      </c>
      <c r="D71" s="66">
        <f>'2022'!P119</f>
        <v>3.3316193969947254E-4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6.8689195185278273E-2</v>
      </c>
      <c r="AG71" s="48">
        <f>'2027'!O119</f>
        <v>4.9394064605688924E-2</v>
      </c>
      <c r="AH71" s="66">
        <f>'2027'!P119</f>
        <v>1.0685597794852506E-4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3.1323698955432522E-2</v>
      </c>
      <c r="C72" s="48">
        <f>'2022'!O149</f>
        <v>6.143326730465716E-2</v>
      </c>
      <c r="D72" s="66">
        <f>'2022'!P149</f>
        <v>2.144409014836013E-3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6.9300943782908409E-2</v>
      </c>
      <c r="AG72" s="48">
        <f>'2027'!O149</f>
        <v>1.0299901067337571E-2</v>
      </c>
      <c r="AH72" s="66">
        <f>'2027'!P149</f>
        <v>1.1463801502710853E-3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3.1981194325745754E-2</v>
      </c>
      <c r="C73" s="48">
        <f>'2022'!O180</f>
        <v>6.8760741343083492E-2</v>
      </c>
      <c r="D73" s="66">
        <f>'2022'!P180</f>
        <v>5.5990619621774443E-3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6.9932661850087063E-2</v>
      </c>
      <c r="AG73" s="48">
        <f>'2027'!O180</f>
        <v>1.4910906051472095E-2</v>
      </c>
      <c r="AH73" s="66">
        <f>'2027'!P180</f>
        <v>3.3140426967141457E-3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3.2617055247566196E-2</v>
      </c>
      <c r="C74" s="48">
        <f>'2022'!O210</f>
        <v>7.4974374442812131E-2</v>
      </c>
      <c r="D74" s="66">
        <f>'2022'!P210</f>
        <v>5.1017092818779032E-3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7.0543593653812908E-2</v>
      </c>
      <c r="AG74" s="48">
        <f>'2027'!O210</f>
        <v>1.9191282668614692E-2</v>
      </c>
      <c r="AH74" s="66">
        <f>'2027'!P210</f>
        <v>3.0922968847320979E-3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3.3273672743843075E-2</v>
      </c>
      <c r="C75" s="48">
        <f>'2022'!O241</f>
        <v>8.052606477710976E-2</v>
      </c>
      <c r="D75" s="66">
        <f>'2022'!P241</f>
        <v>1.6564035949165278E-3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7.1174468264269986E-2</v>
      </c>
      <c r="AG75" s="48">
        <f>'2027'!O241</f>
        <v>2.3348888029293215E-2</v>
      </c>
      <c r="AH75" s="66">
        <f>'2027'!P241</f>
        <v>8.7772461161265112E-4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3.3929844556703004E-2</v>
      </c>
      <c r="C76" s="48">
        <f>'2022'!O272</f>
        <v>8.5524156229583467E-2</v>
      </c>
      <c r="D76" s="66">
        <f>'2022'!P272</f>
        <v>1.0374216294367527E-3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7.1804914664462149E-2</v>
      </c>
      <c r="AG76" s="48">
        <f>'2027'!O272</f>
        <v>2.7280831399853895E-2</v>
      </c>
      <c r="AH76" s="66">
        <f>'2027'!P272</f>
        <v>3.4518913291341186E-4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3.4564425471849125E-2</v>
      </c>
      <c r="C77" s="48">
        <f>'2022'!O302</f>
        <v>8.9382366637341781E-2</v>
      </c>
      <c r="D77" s="66">
        <f>'2022'!P302</f>
        <v>1.9751971432909934E-3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7.241461664455906E-2</v>
      </c>
      <c r="AG77" s="48">
        <f>'2027'!O302</f>
        <v>3.0695705680173213E-2</v>
      </c>
      <c r="AH77" s="66">
        <f>'2027'!P302</f>
        <v>8.5327150664840515E-4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3.5219721177858876E-2</v>
      </c>
      <c r="C78" s="48">
        <f>'2022'!O333</f>
        <v>9.2176344069830954E-2</v>
      </c>
      <c r="D78" s="66">
        <f>'2022'!P333</f>
        <v>2.6628317181016082E-3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7.3044221285932798E-2</v>
      </c>
      <c r="AG78" s="48">
        <f>'2027'!O333</f>
        <v>3.3706913088401042E-2</v>
      </c>
      <c r="AH78" s="66">
        <f>'2027'!P333</f>
        <v>8.0626656048266986E-4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3.5853454813868924E-2</v>
      </c>
      <c r="C79" s="49">
        <f>'2022'!O363</f>
        <v>9.5347736440680522E-2</v>
      </c>
      <c r="D79" s="67">
        <f>'2022'!P363</f>
        <v>5.0355174659549549E-3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7.365310920472623E-2</v>
      </c>
      <c r="AG79" s="49">
        <f>'2027'!O363</f>
        <v>3.669733811445245E-2</v>
      </c>
      <c r="AH79" s="67">
        <f>'2027'!P363</f>
        <v>1.6820106082346233E-3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45" priority="132" stopIfTrue="1">
      <formula>AND(B5="D",C5&lt;&gt;"D")</formula>
    </cfRule>
    <cfRule type="expression" dxfId="44" priority="992" stopIfTrue="1">
      <formula>YEAR(B5)&lt;&gt;A3</formula>
    </cfRule>
  </conditionalFormatting>
  <conditionalFormatting sqref="B4 H4 N4 T4 Z4 AF4 AL4 AR4 AX4 BD4 BJ4 BP4 BV4">
    <cfRule type="expression" dxfId="43" priority="133" stopIfTrue="1">
      <formula>YEAR(B4)&lt;&gt;A3</formula>
    </cfRule>
    <cfRule type="expression" dxfId="42" priority="149" stopIfTrue="1">
      <formula>AND(B4="D",C4&lt;&gt;"D")</formula>
    </cfRule>
  </conditionalFormatting>
  <conditionalFormatting sqref="B6 H6 N6 T6 Z6 AF6 AL6 AR6 AX6 BD6 BJ6 BP6 BV6">
    <cfRule type="expression" dxfId="41" priority="154" stopIfTrue="1">
      <formula>YEAR(B6)&lt;&gt;A3</formula>
    </cfRule>
  </conditionalFormatting>
  <conditionalFormatting sqref="B4:BY6">
    <cfRule type="cellIs" dxfId="40" priority="1162" stopIfTrue="1" operator="equal">
      <formula>"D"</formula>
    </cfRule>
  </conditionalFormatting>
  <conditionalFormatting sqref="B11:E11 H11:K11 N11:Q11 T11:W11 Z11:AC11 AF11:AI11 AL11:AO11 AR11:AU11 AX11:BA11 BD11:BG11 BJ11:BM11 BP11:BS11 BV11:BY11">
    <cfRule type="expression" dxfId="39" priority="135" stopIfTrue="1">
      <formula>B6&lt;&gt;"D"</formula>
    </cfRule>
  </conditionalFormatting>
  <conditionalFormatting sqref="B6">
    <cfRule type="expression" dxfId="38" priority="106" stopIfTrue="1">
      <formula>AND(B6="D",D6&lt;H_i)</formula>
    </cfRule>
  </conditionalFormatting>
  <conditionalFormatting sqref="H6 N6 T6 Z6 AL6 AR6 BD6 BJ6 BP6 BV6 AF6 AX6">
    <cfRule type="expression" dxfId="37" priority="1163" stopIfTrue="1">
      <formula>AND(H6="D",J6&lt;D16)</formula>
    </cfRule>
  </conditionalFormatting>
  <conditionalFormatting sqref="E7 K7 Q7 W7 AC7 AI7 AO7 AU7 BA7 BG7 BM7 BS7 BY7">
    <cfRule type="cellIs" dxfId="36" priority="599" stopIfTrue="1" operator="lessThan">
      <formula>0.01</formula>
    </cfRule>
    <cfRule type="cellIs" dxfId="35" priority="600" stopIfTrue="1" operator="greaterThan">
      <formula>0.05</formula>
    </cfRule>
  </conditionalFormatting>
  <conditionalFormatting sqref="B9:C9 H9:I9 N9:O9 T9:U9 Z9 AF9:AG9 AL9 AR9:AS9 AX9:AY9 BD9:BE9 BJ9:BK9 BP9:BQ9 BV9">
    <cfRule type="expression" dxfId="34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33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YEAR(E6)</f>
        <v>2018</v>
      </c>
      <c r="K1" s="1213"/>
      <c r="L1" s="113" t="str">
        <f>"Calcul pertes et enveloppes en "&amp;TEXT(An,0)</f>
        <v>Calcul pertes et enveloppes en 2018</v>
      </c>
      <c r="M1" s="243"/>
      <c r="N1" s="243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941" t="s">
        <v>279</v>
      </c>
    </row>
    <row r="2" spans="1:40" s="6" customFormat="1" ht="16.5" thickBot="1" x14ac:dyDescent="0.3"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17">
        <v>44947</v>
      </c>
      <c r="F3" s="1218"/>
      <c r="G3" s="616">
        <f>YEAR(Tmaj)</f>
        <v>2023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945">
        <f>AL11-AJ11</f>
        <v>0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thickBot="1" x14ac:dyDescent="0.3">
      <c r="D4" s="105" t="s">
        <v>136</v>
      </c>
      <c r="E4" s="1219" t="s">
        <v>293</v>
      </c>
      <c r="F4" s="1220"/>
      <c r="G4" s="1220"/>
      <c r="H4" s="1220"/>
      <c r="I4" s="1221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504"/>
      <c r="AD4" s="504"/>
      <c r="AE4" s="504"/>
      <c r="AF4" s="494"/>
      <c r="AG4" s="498"/>
      <c r="AH4" s="499"/>
      <c r="AI4" s="504"/>
      <c r="AJ4" s="945">
        <f>AL12-AJ12</f>
        <v>0</v>
      </c>
      <c r="AK4" s="946">
        <f>AM12-AK12</f>
        <v>0</v>
      </c>
      <c r="AL4" s="945"/>
      <c r="AM4" s="946"/>
      <c r="AN4" s="944" t="s">
        <v>281</v>
      </c>
    </row>
    <row r="5" spans="1:40" s="35" customFormat="1" ht="16.5" customHeight="1" thickBot="1" x14ac:dyDescent="0.3">
      <c r="A5" s="19"/>
      <c r="B5" s="19"/>
      <c r="C5" s="19"/>
      <c r="D5" s="106" t="s">
        <v>80</v>
      </c>
      <c r="E5" s="1217">
        <v>43243</v>
      </c>
      <c r="F5" s="1218"/>
      <c r="G5" s="559"/>
      <c r="H5" s="559"/>
      <c r="I5" s="559"/>
      <c r="J5" s="19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944" t="s">
        <v>277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17">
        <v>43272</v>
      </c>
      <c r="F6" s="1218"/>
      <c r="G6" s="576"/>
      <c r="H6" s="556"/>
      <c r="I6" s="556"/>
      <c r="J6" s="35"/>
      <c r="K6" s="193"/>
      <c r="L6" s="154" t="s">
        <v>85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5675.0280000000021</v>
      </c>
      <c r="AK6" s="515">
        <f>SUMIF(AK15:AK380,"FAUX",Wh)</f>
        <v>5675.0280000000021</v>
      </c>
      <c r="AL6" s="515">
        <f>SUMIF(AJ15:AJ380,"FAUX",Wh_s)</f>
        <v>5675.0280000000021</v>
      </c>
      <c r="AM6" s="515">
        <f>SUMIF(AK15:AK380,"FAUX",Wh_s)</f>
        <v>5675.0280000000021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497"/>
      <c r="P7" s="248"/>
      <c r="Q7" s="248"/>
      <c r="R7" s="516"/>
      <c r="S7" s="516"/>
      <c r="T7" s="516"/>
      <c r="U7" s="248"/>
      <c r="V7" s="427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">
      <c r="A8" s="39"/>
      <c r="B8" s="82"/>
      <c r="C8" s="82"/>
      <c r="D8" s="136" t="s">
        <v>86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78</v>
      </c>
      <c r="I8" s="98"/>
      <c r="J8" s="158"/>
      <c r="K8" s="191"/>
      <c r="L8" s="114"/>
      <c r="M8" s="114"/>
      <c r="N8" s="114"/>
      <c r="O8" s="519" t="s">
        <v>98</v>
      </c>
      <c r="P8" s="497"/>
      <c r="Q8" s="497"/>
      <c r="R8" s="497"/>
      <c r="S8" s="497"/>
      <c r="T8" s="497"/>
      <c r="U8" s="497"/>
      <c r="W8" s="404"/>
      <c r="X8" s="1210" t="s">
        <v>105</v>
      </c>
      <c r="Y8" s="1211"/>
      <c r="Z8" s="497"/>
      <c r="AA8" s="497"/>
      <c r="AB8" s="461"/>
      <c r="AC8" s="519" t="s">
        <v>98</v>
      </c>
      <c r="AD8" s="461"/>
      <c r="AE8" s="461"/>
      <c r="AF8" s="461"/>
      <c r="AG8" s="461"/>
      <c r="AH8" s="461"/>
      <c r="AI8" s="461"/>
      <c r="AJ8" s="515">
        <f>SUMIF(AJ15:AJ380,"FAUX",Wh_pvt)</f>
        <v>5688.6333243354284</v>
      </c>
      <c r="AK8" s="515">
        <f>SUMIF(AK15:AK380,"FAUX",Wh_sa)</f>
        <v>5767.511645466956</v>
      </c>
      <c r="AL8" s="515">
        <f>SUMIF(AJ15:AJ380,"FAUX",Wh_pvt_s)</f>
        <v>5688.6333243354284</v>
      </c>
      <c r="AM8" s="515">
        <f>SUMIF(AK15:AK380,"FAUX",Wh_sa_s)</f>
        <v>5767.511645466956</v>
      </c>
      <c r="AN8" s="944" t="s">
        <v>270</v>
      </c>
    </row>
    <row r="9" spans="1:40" s="19" customFormat="1" ht="15" customHeight="1" x14ac:dyDescent="0.25">
      <c r="A9" s="183"/>
      <c r="D9" s="73">
        <f>SUM(D$15:D$380)</f>
        <v>5688.6333243354284</v>
      </c>
      <c r="E9" s="73">
        <f>SUM(E$15:E$380)</f>
        <v>5767.511645466956</v>
      </c>
      <c r="F9" s="73">
        <f>SUM(F$15:F$380)</f>
        <v>5769.2136590391265</v>
      </c>
      <c r="H9" s="1214">
        <f>+SUM(Wh)</f>
        <v>5675.0280000000021</v>
      </c>
      <c r="I9" s="1215"/>
      <c r="J9" s="1216"/>
      <c r="K9" s="191"/>
      <c r="L9" s="114"/>
      <c r="M9" s="114"/>
      <c r="N9" s="114"/>
      <c r="O9" s="325">
        <f>MAX(T0,Tnet_2018)</f>
        <v>43243</v>
      </c>
      <c r="P9" s="244" t="s">
        <v>115</v>
      </c>
      <c r="Q9" s="245"/>
      <c r="R9" s="245"/>
      <c r="S9" s="245"/>
      <c r="T9" s="245"/>
      <c r="U9" s="245"/>
      <c r="V9" s="461"/>
      <c r="W9" s="520"/>
      <c r="X9" s="1208">
        <f>+SUM(Wh_s)</f>
        <v>5675.0280000000021</v>
      </c>
      <c r="Y9" s="1209"/>
      <c r="Z9" s="515">
        <f>SUM(Z$15:Z$380)</f>
        <v>5688.6333243354284</v>
      </c>
      <c r="AA9" s="515">
        <f>SUM(AA$15:AA$380)</f>
        <v>5767.511645466956</v>
      </c>
      <c r="AB9" s="515">
        <f>F9</f>
        <v>5769.2136590391265</v>
      </c>
      <c r="AC9" s="325">
        <f>IF(An_Tnet,Tnet,T0)</f>
        <v>43243</v>
      </c>
      <c r="AD9" s="315" t="s">
        <v>106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0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IF(Acti_tai,PousHci,Htf_2018-H_i)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IF(OR(Inflex,GainD),Salim_i*(1-EXP((T0-Tnet)/Tau_ij)),IF(Acti_net,Salim_i*(1-EXP((T0-Tnet)/Tau_ij)),0))</f>
        <v>0</v>
      </c>
      <c r="AD10" s="427"/>
      <c r="AE10" s="427"/>
      <c r="AF10" s="260"/>
      <c r="AG10" s="261"/>
      <c r="AH10" s="262"/>
      <c r="AI10" s="427"/>
      <c r="AJ10" s="515">
        <f>SUMIF(AJ15:AJ380,"FAUX",Wh_sa)</f>
        <v>5767.511645466956</v>
      </c>
      <c r="AK10" s="515">
        <f>SUMIF(AK15:AK380,"FAUX",Wh_hp)</f>
        <v>5769.2136590391265</v>
      </c>
      <c r="AL10" s="515">
        <f>SUMIF(AJ15:AJ380,"FAUX",Wh_sa_s)</f>
        <v>5767.511645466956</v>
      </c>
      <c r="AM10" s="515">
        <f>SUMIF(AK15:AK380,"FAUX",Wh_hp)</f>
        <v>5769.2136590391265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218">
        <f>D$9-Prod_an</f>
        <v>13.605324335426303</v>
      </c>
      <c r="E11" s="219">
        <f>(E$9-D$9)*Prod_an/D$9</f>
        <v>78.689670346560092</v>
      </c>
      <c r="F11" s="220">
        <f>(F$9-E$9)*Prod_an/E$9</f>
        <v>1.6747213134869068</v>
      </c>
      <c r="G11" s="185" t="s">
        <v>6</v>
      </c>
      <c r="K11" s="194"/>
      <c r="L11" s="182">
        <f>Tvie_2018</f>
        <v>43243</v>
      </c>
      <c r="M11" s="956"/>
      <c r="N11" s="956"/>
      <c r="O11" s="318">
        <f>Salim_2018</f>
        <v>0.14000000000000001</v>
      </c>
      <c r="P11" s="256">
        <f>Ttai_2018</f>
        <v>43101</v>
      </c>
      <c r="Q11" s="272">
        <f>Dens_2018</f>
        <v>0.7</v>
      </c>
      <c r="R11" s="523"/>
      <c r="S11" s="247"/>
      <c r="T11" s="524"/>
      <c r="U11" s="266">
        <f>Htf_2018</f>
        <v>-1.4999621440122004</v>
      </c>
      <c r="V11" s="427"/>
      <c r="W11" s="518"/>
      <c r="X11" s="525" t="s">
        <v>44</v>
      </c>
      <c r="Y11" s="50">
        <f>Z$9-Prod_an_s</f>
        <v>13.605324335426303</v>
      </c>
      <c r="Z11" s="51">
        <f>(AA$9-Z$9)*Prod_an_s/Z$9</f>
        <v>78.689670346560092</v>
      </c>
      <c r="AA11" s="186">
        <f>(AB$9-AA$9)*Prod_an_s/AA$9</f>
        <v>1.6747213134869068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945">
        <f>IF($AJ7=0,0,($AJ9-$AJ7)*$AJ5/$AJ7)</f>
        <v>0</v>
      </c>
      <c r="AK11" s="946">
        <f>IF($AK7=0,0,($AK9-$AK7)*$AK5/$AK7)</f>
        <v>0</v>
      </c>
      <c r="AL11" s="945">
        <f>IF($AL7=0,0,($AL9-$AL7)*$AL5/$AL7)</f>
        <v>0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18</v>
      </c>
      <c r="G12" s="109">
        <f>G383-1</f>
        <v>4.55493472194759E-2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1095</v>
      </c>
      <c r="P12" s="528">
        <f>INDEX(Croivg,MIN(MAX(Ttai-$A$15,0)+1,366))</f>
        <v>2.3909964587625958E-6</v>
      </c>
      <c r="Q12" s="296">
        <f>D_i</f>
        <v>0.7</v>
      </c>
      <c r="R12" s="278"/>
      <c r="S12" s="279"/>
      <c r="T12" s="529"/>
      <c r="U12" s="297">
        <f>H_i</f>
        <v>-1.9999621440122004</v>
      </c>
      <c r="V12" s="517"/>
      <c r="W12" s="504"/>
      <c r="X12" s="505"/>
      <c r="Y12" s="504"/>
      <c r="Z12" s="427"/>
      <c r="AA12" s="427"/>
      <c r="AB12" s="504"/>
      <c r="AC12" s="318" t="b">
        <f>NOT(An_Tnet)</f>
        <v>0</v>
      </c>
      <c r="AD12" s="427"/>
      <c r="AE12" s="296">
        <f>D_i</f>
        <v>0.7</v>
      </c>
      <c r="AF12" s="203"/>
      <c r="AG12" s="203"/>
      <c r="AH12" s="203"/>
      <c r="AI12" s="297">
        <f>H_i</f>
        <v>-1.9999621440122004</v>
      </c>
      <c r="AJ12" s="945">
        <f>IF($AJ8=0,0,($AJ10-$AJ8)*$AJ6/$AJ8)</f>
        <v>78.689670346560092</v>
      </c>
      <c r="AK12" s="946">
        <f>IF($AK8=0,0,($AK10-$AK8)*$AK6/$AK8)</f>
        <v>1.6747213134869068</v>
      </c>
      <c r="AL12" s="945">
        <f>IF($AL8=0,0,($AL10-$AL8)*$AL6/$AL8)</f>
        <v>78.689670346560092</v>
      </c>
      <c r="AM12" s="946">
        <f>IF($AM8=0,0,($AM10-$AM8)*$AM6/$AM8)</f>
        <v>1.6747213134869068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122</v>
      </c>
      <c r="Z13" s="124" t="s">
        <v>123</v>
      </c>
      <c r="AA13" s="124" t="s">
        <v>124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78.689670346560092</v>
      </c>
      <c r="AK13" s="73">
        <f>+AK11+AK12</f>
        <v>1.6747213134869068</v>
      </c>
      <c r="AL13" s="73">
        <f>+AL11+AL12</f>
        <v>78.689670346560092</v>
      </c>
      <c r="AM13" s="73">
        <f>+AM11+AM12</f>
        <v>1.6747213134869068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389" t="s">
        <v>197</v>
      </c>
      <c r="C14" s="389"/>
      <c r="D14" s="53" t="s">
        <v>31</v>
      </c>
      <c r="E14" s="162" t="s">
        <v>30</v>
      </c>
      <c r="F14" s="162" t="str">
        <f>"Hors pertes "&amp; TEXT(An,0)</f>
        <v>Hors pertes 2018</v>
      </c>
      <c r="G14" s="107" t="s">
        <v>43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218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90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1"/>
      <c r="C15" s="966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968"/>
      <c r="N15" s="968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5.3028345570172775E-10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3.9051486028895965E-5</v>
      </c>
      <c r="S15" s="918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-1.9999609485139711</v>
      </c>
      <c r="V15" s="382">
        <f t="shared" ref="V15:V78" si="5">MaxiM*(1-Ppv)*(1-Pvg)*(1-Psa)</f>
        <v>28.584307493807543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5.3028345570172775E-10</v>
      </c>
      <c r="AE15" s="303">
        <f t="shared" ref="AE15:AE78" si="12">Dd+PousD*Croivg</f>
        <v>0.7</v>
      </c>
      <c r="AF15" s="304">
        <f t="shared" ref="AF15:AF78" si="13">(Hp_vg_s-AG15)/(INDEX(Echel_vg,AH15+1)-AG15)</f>
        <v>3.9051486028895965E-5</v>
      </c>
      <c r="AG15" s="918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-1.9999609485139711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>A15+1</f>
        <v>43102</v>
      </c>
      <c r="B16" s="622"/>
      <c r="C16" s="966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6">
        <f t="shared" si="2"/>
        <v>0</v>
      </c>
      <c r="M16" s="968"/>
      <c r="N16" s="968"/>
      <c r="O16" s="324">
        <f t="shared" si="3"/>
        <v>0</v>
      </c>
      <c r="P16" s="169">
        <f>(INDEX(Models!$BJ16:$BT16,,T16)*(1-R16)+INDEX(Models!$BJ16:$BT16,,T16+1)*R16-ERP_i)*Q16*Ramure*Pc/MaxiM</f>
        <v>1.3346870060753108E-8</v>
      </c>
      <c r="Q16" s="305">
        <f t="shared" ref="Q16:Q78" si="18">IF(OR(t&lt;Ttai,Notai),Dd+PousD*Croivg,Dens+PousD*(Croivg-Croi_tai))</f>
        <v>0.7</v>
      </c>
      <c r="R16" s="177">
        <f t="shared" si="4"/>
        <v>6.8266100023306464E-5</v>
      </c>
      <c r="S16" s="919">
        <f t="shared" ref="S16:S79" si="19">INDEX(Echel_vg,T16)</f>
        <v>-2</v>
      </c>
      <c r="T16" s="176">
        <f t="shared" ref="T16:T78" si="20">MIN(MATCH(Hp_vg,Echel_vg),10)</f>
        <v>4</v>
      </c>
      <c r="U16" s="251">
        <f t="shared" ref="U16:U78" si="21">IF(OR(t&lt;Ttai,Notai),Hdd+PousH*Croivg,Hdtf+PousH*(Croivg-Croi_tai))</f>
        <v>-1.9999317338999767</v>
      </c>
      <c r="V16" s="383">
        <f t="shared" si="5"/>
        <v>28.796819122387198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5">
        <f t="shared" si="11"/>
        <v>0</v>
      </c>
      <c r="AD16" s="169">
        <f>(INDEX(Models!$BJ16:$BT16,,AH16)*(1-AF16)+INDEX(Models!$BJ16:$BT16,,AH16+1)*AF16-ERP_i)*AE16*Ramure*Pc/MaxiM</f>
        <v>1.3346870060753108E-8</v>
      </c>
      <c r="AE16" s="305">
        <f t="shared" si="12"/>
        <v>0.7</v>
      </c>
      <c r="AF16" s="177">
        <f t="shared" si="13"/>
        <v>6.8266100023306464E-5</v>
      </c>
      <c r="AG16" s="919">
        <f t="shared" ref="AG16:AG78" si="22">INDEX(Echel_vg,AH16)</f>
        <v>-2</v>
      </c>
      <c r="AH16" s="176">
        <f t="shared" si="14"/>
        <v>4</v>
      </c>
      <c r="AI16" s="225">
        <f t="shared" si="15"/>
        <v>-1.9999317338999767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ref="A17:A80" si="23">A16+1</f>
        <v>43103</v>
      </c>
      <c r="B17" s="622"/>
      <c r="C17" s="966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6">
        <f t="shared" si="2"/>
        <v>0</v>
      </c>
      <c r="M17" s="968"/>
      <c r="N17" s="968"/>
      <c r="O17" s="324">
        <f t="shared" si="3"/>
        <v>0</v>
      </c>
      <c r="P17" s="169">
        <f>(INDEX(Models!$BJ17:$BT17,,T17)*(1-R17)+INDEX(Models!$BJ17:$BT17,,T17+1)*R17-ERP_i)*Q17*Ramure*Pc/MaxiM</f>
        <v>2.6452324019177261E-8</v>
      </c>
      <c r="Q17" s="305">
        <f t="shared" si="18"/>
        <v>0.7</v>
      </c>
      <c r="R17" s="177">
        <f t="shared" si="4"/>
        <v>9.8702695512820071E-5</v>
      </c>
      <c r="S17" s="919">
        <f t="shared" si="19"/>
        <v>-2</v>
      </c>
      <c r="T17" s="176">
        <f t="shared" si="20"/>
        <v>4</v>
      </c>
      <c r="U17" s="251">
        <f t="shared" si="21"/>
        <v>-1.9999012973044872</v>
      </c>
      <c r="V17" s="383">
        <f t="shared" si="5"/>
        <v>29.015231033552446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5">
        <f t="shared" si="11"/>
        <v>0</v>
      </c>
      <c r="AD17" s="169">
        <f>(INDEX(Models!$BJ17:$BT17,,AH17)*(1-AF17)+INDEX(Models!$BJ17:$BT17,,AH17+1)*AF17-ERP_i)*AE17*Ramure*Pc/MaxiM</f>
        <v>2.6452324019177261E-8</v>
      </c>
      <c r="AE17" s="305">
        <f t="shared" si="12"/>
        <v>0.7</v>
      </c>
      <c r="AF17" s="177">
        <f t="shared" si="13"/>
        <v>9.8702695512820071E-5</v>
      </c>
      <c r="AG17" s="919">
        <f t="shared" si="22"/>
        <v>-2</v>
      </c>
      <c r="AH17" s="176">
        <f t="shared" si="14"/>
        <v>4</v>
      </c>
      <c r="AI17" s="225">
        <f t="shared" si="15"/>
        <v>-1.9999012973044872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3"/>
        <v>43104</v>
      </c>
      <c r="B18" s="622"/>
      <c r="C18" s="966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6">
        <f t="shared" si="2"/>
        <v>0</v>
      </c>
      <c r="M18" s="968"/>
      <c r="N18" s="968"/>
      <c r="O18" s="324">
        <f t="shared" si="3"/>
        <v>0</v>
      </c>
      <c r="P18" s="169">
        <f>(INDEX(Models!$BJ18:$BT18,,T18)*(1-R18)+INDEX(Models!$BJ18:$BT18,,T18+1)*R18-ERP_i)*Q18*Ramure*Pc/MaxiM</f>
        <v>3.990123197560816E-8</v>
      </c>
      <c r="Q18" s="305">
        <f t="shared" si="18"/>
        <v>0.7</v>
      </c>
      <c r="R18" s="177">
        <f t="shared" si="4"/>
        <v>1.3041222680798548E-4</v>
      </c>
      <c r="S18" s="919">
        <f t="shared" si="19"/>
        <v>-2</v>
      </c>
      <c r="T18" s="176">
        <f t="shared" si="20"/>
        <v>4</v>
      </c>
      <c r="U18" s="251">
        <f t="shared" si="21"/>
        <v>-1.999869587773192</v>
      </c>
      <c r="V18" s="383">
        <f t="shared" si="5"/>
        <v>29.237977574299183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5">
        <f t="shared" si="11"/>
        <v>0</v>
      </c>
      <c r="AD18" s="169">
        <f>(INDEX(Models!$BJ18:$BT18,,AH18)*(1-AF18)+INDEX(Models!$BJ18:$BT18,,AH18+1)*AF18-ERP_i)*AE18*Ramure*Pc/MaxiM</f>
        <v>3.990123197560816E-8</v>
      </c>
      <c r="AE18" s="305">
        <f t="shared" si="12"/>
        <v>0.7</v>
      </c>
      <c r="AF18" s="177">
        <f t="shared" si="13"/>
        <v>1.3041222680798548E-4</v>
      </c>
      <c r="AG18" s="919">
        <f t="shared" si="22"/>
        <v>-2</v>
      </c>
      <c r="AH18" s="176">
        <f t="shared" si="14"/>
        <v>4</v>
      </c>
      <c r="AI18" s="225">
        <f t="shared" si="15"/>
        <v>-1.999869587773192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3"/>
        <v>43105</v>
      </c>
      <c r="B19" s="622"/>
      <c r="C19" s="966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6">
        <f t="shared" si="2"/>
        <v>0</v>
      </c>
      <c r="M19" s="968"/>
      <c r="N19" s="968"/>
      <c r="O19" s="324">
        <f t="shared" si="3"/>
        <v>0</v>
      </c>
      <c r="P19" s="169">
        <f>(INDEX(Models!$BJ19:$BT19,,T19)*(1-R19)+INDEX(Models!$BJ19:$BT19,,T19+1)*R19-ERP_i)*Q19*Ramure*Pc/MaxiM</f>
        <v>5.3753560941749427E-8</v>
      </c>
      <c r="Q19" s="305">
        <f t="shared" si="18"/>
        <v>0.7</v>
      </c>
      <c r="R19" s="177">
        <f t="shared" si="4"/>
        <v>1.6344775936949496E-4</v>
      </c>
      <c r="S19" s="919">
        <f t="shared" si="19"/>
        <v>-2</v>
      </c>
      <c r="T19" s="176">
        <f t="shared" si="20"/>
        <v>4</v>
      </c>
      <c r="U19" s="251">
        <f t="shared" si="21"/>
        <v>-1.9998365522406305</v>
      </c>
      <c r="V19" s="383">
        <f t="shared" si="5"/>
        <v>29.463493096160072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5">
        <f t="shared" si="11"/>
        <v>0</v>
      </c>
      <c r="AD19" s="169">
        <f>(INDEX(Models!$BJ19:$BT19,,AH19)*(1-AF19)+INDEX(Models!$BJ19:$BT19,,AH19+1)*AF19-ERP_i)*AE19*Ramure*Pc/MaxiM</f>
        <v>5.3753560941749427E-8</v>
      </c>
      <c r="AE19" s="305">
        <f t="shared" si="12"/>
        <v>0.7</v>
      </c>
      <c r="AF19" s="177">
        <f t="shared" si="13"/>
        <v>1.6344775936949496E-4</v>
      </c>
      <c r="AG19" s="919">
        <f t="shared" si="22"/>
        <v>-2</v>
      </c>
      <c r="AH19" s="176">
        <f t="shared" si="14"/>
        <v>4</v>
      </c>
      <c r="AI19" s="225">
        <f t="shared" si="15"/>
        <v>-1.9998365522406305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3"/>
        <v>43106</v>
      </c>
      <c r="B20" s="622"/>
      <c r="C20" s="966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6">
        <f t="shared" si="2"/>
        <v>0</v>
      </c>
      <c r="M20" s="968"/>
      <c r="N20" s="968"/>
      <c r="O20" s="324">
        <f t="shared" si="3"/>
        <v>0</v>
      </c>
      <c r="P20" s="169">
        <f>(INDEX(Models!$BJ20:$BT20,,T20)*(1-R20)+INDEX(Models!$BJ20:$BT20,,T20+1)*R20-ERP_i)*Q20*Ramure*Pc/MaxiM</f>
        <v>6.8074899690350113E-8</v>
      </c>
      <c r="Q20" s="305">
        <f t="shared" si="18"/>
        <v>0.7</v>
      </c>
      <c r="R20" s="177">
        <f t="shared" si="4"/>
        <v>1.97864556120253E-4</v>
      </c>
      <c r="S20" s="919">
        <f t="shared" si="19"/>
        <v>-2</v>
      </c>
      <c r="T20" s="176">
        <f t="shared" si="20"/>
        <v>4</v>
      </c>
      <c r="U20" s="251">
        <f t="shared" si="21"/>
        <v>-1.9998021354438797</v>
      </c>
      <c r="V20" s="383">
        <f t="shared" si="5"/>
        <v>29.690211947247786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5">
        <f t="shared" si="11"/>
        <v>0</v>
      </c>
      <c r="AD20" s="169">
        <f>(INDEX(Models!$BJ20:$BT20,,AH20)*(1-AF20)+INDEX(Models!$BJ20:$BT20,,AH20+1)*AF20-ERP_i)*AE20*Ramure*Pc/MaxiM</f>
        <v>6.8074899690350113E-8</v>
      </c>
      <c r="AE20" s="305">
        <f t="shared" si="12"/>
        <v>0.7</v>
      </c>
      <c r="AF20" s="177">
        <f t="shared" si="13"/>
        <v>1.97864556120253E-4</v>
      </c>
      <c r="AG20" s="919">
        <f t="shared" si="22"/>
        <v>-2</v>
      </c>
      <c r="AH20" s="176">
        <f t="shared" si="14"/>
        <v>4</v>
      </c>
      <c r="AI20" s="225">
        <f t="shared" si="15"/>
        <v>-1.9998021354438797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3"/>
        <v>43107</v>
      </c>
      <c r="B21" s="622"/>
      <c r="C21" s="966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6">
        <f t="shared" si="2"/>
        <v>0</v>
      </c>
      <c r="M21" s="968"/>
      <c r="N21" s="968"/>
      <c r="O21" s="324">
        <f t="shared" si="3"/>
        <v>0</v>
      </c>
      <c r="P21" s="169">
        <f>(INDEX(Models!$BJ21:$BT21,,T21)*(1-R21)+INDEX(Models!$BJ21:$BT21,,T21+1)*R21-ERP_i)*Q21*Ramure*Pc/MaxiM</f>
        <v>8.2936762121049618E-8</v>
      </c>
      <c r="Q21" s="305">
        <f t="shared" si="18"/>
        <v>0.7</v>
      </c>
      <c r="R21" s="177">
        <f t="shared" si="4"/>
        <v>2.3372016718337107E-4</v>
      </c>
      <c r="S21" s="919">
        <f t="shared" si="19"/>
        <v>-2</v>
      </c>
      <c r="T21" s="176">
        <f t="shared" si="20"/>
        <v>4</v>
      </c>
      <c r="U21" s="251">
        <f t="shared" si="21"/>
        <v>-1.9997662798328166</v>
      </c>
      <c r="V21" s="383">
        <f t="shared" si="5"/>
        <v>29.916568476516883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5">
        <f t="shared" si="11"/>
        <v>0</v>
      </c>
      <c r="AD21" s="169">
        <f>(INDEX(Models!$BJ21:$BT21,,AH21)*(1-AF21)+INDEX(Models!$BJ21:$BT21,,AH21+1)*AF21-ERP_i)*AE21*Ramure*Pc/MaxiM</f>
        <v>8.2936762121049618E-8</v>
      </c>
      <c r="AE21" s="305">
        <f t="shared" si="12"/>
        <v>0.7</v>
      </c>
      <c r="AF21" s="177">
        <f t="shared" si="13"/>
        <v>2.3372016718337107E-4</v>
      </c>
      <c r="AG21" s="919">
        <f t="shared" si="22"/>
        <v>-2</v>
      </c>
      <c r="AH21" s="176">
        <f t="shared" si="14"/>
        <v>4</v>
      </c>
      <c r="AI21" s="225">
        <f t="shared" si="15"/>
        <v>-1.9997662798328166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3"/>
        <v>43108</v>
      </c>
      <c r="B22" s="622"/>
      <c r="C22" s="966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6">
        <f t="shared" si="2"/>
        <v>0</v>
      </c>
      <c r="M22" s="968"/>
      <c r="N22" s="968"/>
      <c r="O22" s="324">
        <f t="shared" si="3"/>
        <v>0</v>
      </c>
      <c r="P22" s="169">
        <f>(INDEX(Models!$BJ22:$BT22,,T22)*(1-R22)+INDEX(Models!$BJ22:$BT22,,T22+1)*R22-ERP_i)*Q22*Ramure*Pc/MaxiM</f>
        <v>9.841696031177966E-8</v>
      </c>
      <c r="Q22" s="305">
        <f t="shared" si="18"/>
        <v>0.7</v>
      </c>
      <c r="R22" s="177">
        <f t="shared" si="4"/>
        <v>2.7107452318064773E-4</v>
      </c>
      <c r="S22" s="919">
        <f t="shared" si="19"/>
        <v>-2</v>
      </c>
      <c r="T22" s="176">
        <f t="shared" si="20"/>
        <v>4</v>
      </c>
      <c r="U22" s="251">
        <f t="shared" si="21"/>
        <v>-1.9997289254768194</v>
      </c>
      <c r="V22" s="383">
        <f t="shared" si="5"/>
        <v>30.140997032511713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5">
        <f t="shared" si="11"/>
        <v>0</v>
      </c>
      <c r="AD22" s="169">
        <f>(INDEX(Models!$BJ22:$BT22,,AH22)*(1-AF22)+INDEX(Models!$BJ22:$BT22,,AH22+1)*AF22-ERP_i)*AE22*Ramure*Pc/MaxiM</f>
        <v>9.841696031177966E-8</v>
      </c>
      <c r="AE22" s="305">
        <f t="shared" si="12"/>
        <v>0.7</v>
      </c>
      <c r="AF22" s="177">
        <f t="shared" si="13"/>
        <v>2.7107452318064773E-4</v>
      </c>
      <c r="AG22" s="919">
        <f t="shared" si="22"/>
        <v>-2</v>
      </c>
      <c r="AH22" s="176">
        <f t="shared" si="14"/>
        <v>4</v>
      </c>
      <c r="AI22" s="225">
        <f t="shared" si="15"/>
        <v>-1.9997289254768194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3"/>
        <v>43109</v>
      </c>
      <c r="B23" s="622"/>
      <c r="C23" s="966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6">
        <f t="shared" si="2"/>
        <v>0</v>
      </c>
      <c r="M23" s="968"/>
      <c r="N23" s="968"/>
      <c r="O23" s="324">
        <f t="shared" si="3"/>
        <v>0</v>
      </c>
      <c r="P23" s="169">
        <f>(INDEX(Models!$BJ23:$BT23,,T23)*(1-R23)+INDEX(Models!$BJ23:$BT23,,T23+1)*R23-ERP_i)*Q23*Ramure*Pc/MaxiM</f>
        <v>1.1458727023119969E-7</v>
      </c>
      <c r="Q23" s="305">
        <f t="shared" si="18"/>
        <v>0.7</v>
      </c>
      <c r="R23" s="177">
        <f t="shared" si="4"/>
        <v>3.099900322156568E-4</v>
      </c>
      <c r="S23" s="919">
        <f t="shared" si="19"/>
        <v>-2</v>
      </c>
      <c r="T23" s="176">
        <f t="shared" si="20"/>
        <v>4</v>
      </c>
      <c r="U23" s="251">
        <f t="shared" si="21"/>
        <v>-1.9996900099677843</v>
      </c>
      <c r="V23" s="383">
        <f t="shared" si="5"/>
        <v>30.365319617619665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5">
        <f t="shared" si="11"/>
        <v>0</v>
      </c>
      <c r="AD23" s="169">
        <f>(INDEX(Models!$BJ23:$BT23,,AH23)*(1-AF23)+INDEX(Models!$BJ23:$BT23,,AH23+1)*AF23-ERP_i)*AE23*Ramure*Pc/MaxiM</f>
        <v>1.1458727023119969E-7</v>
      </c>
      <c r="AE23" s="305">
        <f t="shared" si="12"/>
        <v>0.7</v>
      </c>
      <c r="AF23" s="177">
        <f t="shared" si="13"/>
        <v>3.099900322156568E-4</v>
      </c>
      <c r="AG23" s="919">
        <f t="shared" si="22"/>
        <v>-2</v>
      </c>
      <c r="AH23" s="176">
        <f t="shared" si="14"/>
        <v>4</v>
      </c>
      <c r="AI23" s="225">
        <f t="shared" si="15"/>
        <v>-1.9996900099677843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3"/>
        <v>43110</v>
      </c>
      <c r="B24" s="622"/>
      <c r="C24" s="966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6">
        <f t="shared" si="2"/>
        <v>0</v>
      </c>
      <c r="M24" s="968"/>
      <c r="N24" s="968"/>
      <c r="O24" s="324">
        <f t="shared" si="3"/>
        <v>0</v>
      </c>
      <c r="P24" s="169">
        <f>(INDEX(Models!$BJ24:$BT24,,T24)*(1-R24)+INDEX(Models!$BJ24:$BT24,,T24+1)*R24-ERP_i)*Q24*Ramure*Pc/MaxiM</f>
        <v>1.3134389916612899E-7</v>
      </c>
      <c r="Q24" s="305">
        <f t="shared" si="18"/>
        <v>0.7</v>
      </c>
      <c r="R24" s="177">
        <f t="shared" si="4"/>
        <v>3.5053168068532869E-4</v>
      </c>
      <c r="S24" s="919">
        <f t="shared" si="19"/>
        <v>-2</v>
      </c>
      <c r="T24" s="176">
        <f t="shared" si="20"/>
        <v>4</v>
      </c>
      <c r="U24" s="251">
        <f t="shared" si="21"/>
        <v>-1.9996494683193147</v>
      </c>
      <c r="V24" s="383">
        <f t="shared" si="5"/>
        <v>30.592644277900465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5">
        <f t="shared" si="11"/>
        <v>0</v>
      </c>
      <c r="AD24" s="169">
        <f>(INDEX(Models!$BJ24:$BT24,,AH24)*(1-AF24)+INDEX(Models!$BJ24:$BT24,,AH24+1)*AF24-ERP_i)*AE24*Ramure*Pc/MaxiM</f>
        <v>1.3134389916612899E-7</v>
      </c>
      <c r="AE24" s="305">
        <f t="shared" si="12"/>
        <v>0.7</v>
      </c>
      <c r="AF24" s="177">
        <f t="shared" si="13"/>
        <v>3.5053168068532869E-4</v>
      </c>
      <c r="AG24" s="919">
        <f t="shared" si="22"/>
        <v>-2</v>
      </c>
      <c r="AH24" s="176">
        <f t="shared" si="14"/>
        <v>4</v>
      </c>
      <c r="AI24" s="225">
        <f t="shared" si="15"/>
        <v>-1.9996494683193147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3"/>
        <v>43111</v>
      </c>
      <c r="B25" s="622"/>
      <c r="C25" s="966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6">
        <f t="shared" si="2"/>
        <v>0</v>
      </c>
      <c r="M25" s="968"/>
      <c r="N25" s="968"/>
      <c r="O25" s="324">
        <f t="shared" si="3"/>
        <v>0</v>
      </c>
      <c r="P25" s="169">
        <f>(INDEX(Models!$BJ25:$BT25,,T25)*(1-R25)+INDEX(Models!$BJ25:$BT25,,T25+1)*R25-ERP_i)*Q25*Ramure*Pc/MaxiM</f>
        <v>1.4863275079278154E-7</v>
      </c>
      <c r="Q25" s="305">
        <f t="shared" si="18"/>
        <v>0.7</v>
      </c>
      <c r="R25" s="177">
        <f t="shared" si="4"/>
        <v>3.9276713805125318E-4</v>
      </c>
      <c r="S25" s="919">
        <f t="shared" si="19"/>
        <v>-2</v>
      </c>
      <c r="T25" s="176">
        <f t="shared" si="20"/>
        <v>4</v>
      </c>
      <c r="U25" s="251">
        <f t="shared" si="21"/>
        <v>-1.9996072328619487</v>
      </c>
      <c r="V25" s="383">
        <f t="shared" si="5"/>
        <v>30.823334437187317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5">
        <f t="shared" si="11"/>
        <v>0</v>
      </c>
      <c r="AD25" s="169">
        <f>(INDEX(Models!$BJ25:$BT25,,AH25)*(1-AF25)+INDEX(Models!$BJ25:$BT25,,AH25+1)*AF25-ERP_i)*AE25*Ramure*Pc/MaxiM</f>
        <v>1.4863275079278154E-7</v>
      </c>
      <c r="AE25" s="305">
        <f t="shared" si="12"/>
        <v>0.7</v>
      </c>
      <c r="AF25" s="177">
        <f t="shared" si="13"/>
        <v>3.9276713805125318E-4</v>
      </c>
      <c r="AG25" s="919">
        <f t="shared" si="22"/>
        <v>-2</v>
      </c>
      <c r="AH25" s="176">
        <f t="shared" si="14"/>
        <v>4</v>
      </c>
      <c r="AI25" s="225">
        <f t="shared" si="15"/>
        <v>-1.9996072328619487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3"/>
        <v>43112</v>
      </c>
      <c r="B26" s="622"/>
      <c r="C26" s="966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6">
        <f t="shared" si="2"/>
        <v>0</v>
      </c>
      <c r="M26" s="968"/>
      <c r="N26" s="968"/>
      <c r="O26" s="324">
        <f t="shared" si="3"/>
        <v>0</v>
      </c>
      <c r="P26" s="169">
        <f>(INDEX(Models!$BJ26:$BT26,,T26)*(1-R26)+INDEX(Models!$BJ26:$BT26,,T26+1)*R26-ERP_i)*Q26*Ramure*Pc/MaxiM</f>
        <v>1.66442548240223E-7</v>
      </c>
      <c r="Q26" s="305">
        <f t="shared" si="18"/>
        <v>0.7</v>
      </c>
      <c r="R26" s="177">
        <f t="shared" si="4"/>
        <v>4.3676686572236001E-4</v>
      </c>
      <c r="S26" s="919">
        <f t="shared" si="19"/>
        <v>-2</v>
      </c>
      <c r="T26" s="176">
        <f t="shared" si="20"/>
        <v>4</v>
      </c>
      <c r="U26" s="251">
        <f t="shared" si="21"/>
        <v>-1.9995632331342776</v>
      </c>
      <c r="V26" s="383">
        <f t="shared" si="5"/>
        <v>31.05775351799765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5">
        <f t="shared" si="11"/>
        <v>0</v>
      </c>
      <c r="AD26" s="169">
        <f>(INDEX(Models!$BJ26:$BT26,,AH26)*(1-AF26)+INDEX(Models!$BJ26:$BT26,,AH26+1)*AF26-ERP_i)*AE26*Ramure*Pc/MaxiM</f>
        <v>1.66442548240223E-7</v>
      </c>
      <c r="AE26" s="305">
        <f t="shared" si="12"/>
        <v>0.7</v>
      </c>
      <c r="AF26" s="177">
        <f t="shared" si="13"/>
        <v>4.3676686572236001E-4</v>
      </c>
      <c r="AG26" s="919">
        <f t="shared" si="22"/>
        <v>-2</v>
      </c>
      <c r="AH26" s="176">
        <f t="shared" si="14"/>
        <v>4</v>
      </c>
      <c r="AI26" s="225">
        <f t="shared" si="15"/>
        <v>-1.9995632331342776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3"/>
        <v>43113</v>
      </c>
      <c r="B27" s="622"/>
      <c r="C27" s="966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6">
        <f t="shared" si="2"/>
        <v>0</v>
      </c>
      <c r="M27" s="968"/>
      <c r="N27" s="968"/>
      <c r="O27" s="324">
        <f t="shared" si="3"/>
        <v>0</v>
      </c>
      <c r="P27" s="169">
        <f>(INDEX(Models!$BJ27:$BT27,,T27)*(1-R27)+INDEX(Models!$BJ27:$BT27,,T27+1)*R27-ERP_i)*Q27*Ramure*Pc/MaxiM</f>
        <v>1.8476015734290163E-7</v>
      </c>
      <c r="Q27" s="305">
        <f t="shared" si="18"/>
        <v>0.7</v>
      </c>
      <c r="R27" s="177">
        <f t="shared" si="4"/>
        <v>4.8260423019153009E-4</v>
      </c>
      <c r="S27" s="919">
        <f t="shared" si="19"/>
        <v>-2</v>
      </c>
      <c r="T27" s="176">
        <f t="shared" si="20"/>
        <v>4</v>
      </c>
      <c r="U27" s="251">
        <f t="shared" si="21"/>
        <v>-1.9995173957698085</v>
      </c>
      <c r="V27" s="383">
        <f t="shared" si="5"/>
        <v>31.29626493936793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5">
        <f t="shared" si="11"/>
        <v>0</v>
      </c>
      <c r="AD27" s="169">
        <f>(INDEX(Models!$BJ27:$BT27,,AH27)*(1-AF27)+INDEX(Models!$BJ27:$BT27,,AH27+1)*AF27-ERP_i)*AE27*Ramure*Pc/MaxiM</f>
        <v>1.8476015734290163E-7</v>
      </c>
      <c r="AE27" s="305">
        <f t="shared" si="12"/>
        <v>0.7</v>
      </c>
      <c r="AF27" s="177">
        <f t="shared" si="13"/>
        <v>4.8260423019153009E-4</v>
      </c>
      <c r="AG27" s="919">
        <f t="shared" si="22"/>
        <v>-2</v>
      </c>
      <c r="AH27" s="176">
        <f t="shared" si="14"/>
        <v>4</v>
      </c>
      <c r="AI27" s="225">
        <f t="shared" si="15"/>
        <v>-1.9995173957698085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3"/>
        <v>43114</v>
      </c>
      <c r="B28" s="622"/>
      <c r="C28" s="966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6">
        <f t="shared" si="2"/>
        <v>0</v>
      </c>
      <c r="M28" s="968"/>
      <c r="N28" s="968"/>
      <c r="O28" s="324">
        <f t="shared" si="3"/>
        <v>0</v>
      </c>
      <c r="P28" s="169">
        <f>(INDEX(Models!$BJ28:$BT28,,T28)*(1-R28)+INDEX(Models!$BJ28:$BT28,,T28+1)*R28-ERP_i)*Q28*Ramure*Pc/MaxiM</f>
        <v>2.0357050559110517E-7</v>
      </c>
      <c r="Q28" s="305">
        <f t="shared" si="18"/>
        <v>0.7</v>
      </c>
      <c r="R28" s="177">
        <f t="shared" si="4"/>
        <v>5.303556205811244E-4</v>
      </c>
      <c r="S28" s="919">
        <f t="shared" si="19"/>
        <v>-2</v>
      </c>
      <c r="T28" s="176">
        <f t="shared" si="20"/>
        <v>4</v>
      </c>
      <c r="U28" s="251">
        <f t="shared" si="21"/>
        <v>-1.9994696443794189</v>
      </c>
      <c r="V28" s="383">
        <f t="shared" si="5"/>
        <v>31.539232122817545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5">
        <f t="shared" si="11"/>
        <v>0</v>
      </c>
      <c r="AD28" s="169">
        <f>(INDEX(Models!$BJ28:$BT28,,AH28)*(1-AF28)+INDEX(Models!$BJ28:$BT28,,AH28+1)*AF28-ERP_i)*AE28*Ramure*Pc/MaxiM</f>
        <v>2.0357050559110517E-7</v>
      </c>
      <c r="AE28" s="305">
        <f t="shared" si="12"/>
        <v>0.7</v>
      </c>
      <c r="AF28" s="177">
        <f t="shared" si="13"/>
        <v>5.303556205811244E-4</v>
      </c>
      <c r="AG28" s="919">
        <f t="shared" si="22"/>
        <v>-2</v>
      </c>
      <c r="AH28" s="176">
        <f t="shared" si="14"/>
        <v>4</v>
      </c>
      <c r="AI28" s="225">
        <f t="shared" si="15"/>
        <v>-1.9994696443794189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3"/>
        <v>43115</v>
      </c>
      <c r="B29" s="622"/>
      <c r="C29" s="966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6">
        <f t="shared" si="2"/>
        <v>0</v>
      </c>
      <c r="M29" s="968"/>
      <c r="N29" s="968"/>
      <c r="O29" s="324">
        <f t="shared" si="3"/>
        <v>0</v>
      </c>
      <c r="P29" s="169">
        <f>(INDEX(Models!$BJ29:$BT29,,T29)*(1-R29)+INDEX(Models!$BJ29:$BT29,,T29+1)*R29-ERP_i)*Q29*Ramure*Pc/MaxiM</f>
        <v>2.2285650270742682E-7</v>
      </c>
      <c r="Q29" s="305">
        <f t="shared" si="18"/>
        <v>0.7</v>
      </c>
      <c r="R29" s="177">
        <f t="shared" si="4"/>
        <v>5.8010057075330579E-4</v>
      </c>
      <c r="S29" s="919">
        <f t="shared" si="19"/>
        <v>-2</v>
      </c>
      <c r="T29" s="176">
        <f t="shared" si="20"/>
        <v>4</v>
      </c>
      <c r="U29" s="251">
        <f t="shared" si="21"/>
        <v>-1.9994198994292467</v>
      </c>
      <c r="V29" s="383">
        <f t="shared" si="5"/>
        <v>31.787018490276854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5">
        <f t="shared" si="11"/>
        <v>0</v>
      </c>
      <c r="AD29" s="169">
        <f>(INDEX(Models!$BJ29:$BT29,,AH29)*(1-AF29)+INDEX(Models!$BJ29:$BT29,,AH29+1)*AF29-ERP_i)*AE29*Ramure*Pc/MaxiM</f>
        <v>2.2285650270742682E-7</v>
      </c>
      <c r="AE29" s="305">
        <f t="shared" si="12"/>
        <v>0.7</v>
      </c>
      <c r="AF29" s="177">
        <f t="shared" si="13"/>
        <v>5.8010057075330579E-4</v>
      </c>
      <c r="AG29" s="919">
        <f t="shared" si="22"/>
        <v>-2</v>
      </c>
      <c r="AH29" s="176">
        <f t="shared" si="14"/>
        <v>4</v>
      </c>
      <c r="AI29" s="225">
        <f t="shared" si="15"/>
        <v>-1.9994198994292467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3"/>
        <v>43116</v>
      </c>
      <c r="B30" s="622"/>
      <c r="C30" s="966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6">
        <f t="shared" si="2"/>
        <v>0</v>
      </c>
      <c r="M30" s="968"/>
      <c r="N30" s="968"/>
      <c r="O30" s="324">
        <f t="shared" si="3"/>
        <v>0</v>
      </c>
      <c r="P30" s="169">
        <f>(INDEX(Models!$BJ30:$BT30,,T30)*(1-R30)+INDEX(Models!$BJ30:$BT30,,T30+1)*R30-ERP_i)*Q30*Ramure*Pc/MaxiM</f>
        <v>2.4255033698119806E-7</v>
      </c>
      <c r="Q30" s="305">
        <f t="shared" si="18"/>
        <v>0.7</v>
      </c>
      <c r="R30" s="177">
        <f t="shared" si="4"/>
        <v>6.3192188614658029E-4</v>
      </c>
      <c r="S30" s="919">
        <f t="shared" si="19"/>
        <v>-2</v>
      </c>
      <c r="T30" s="176">
        <f t="shared" si="20"/>
        <v>4</v>
      </c>
      <c r="U30" s="251">
        <f t="shared" si="21"/>
        <v>-1.9993680781138534</v>
      </c>
      <c r="V30" s="383">
        <f t="shared" si="5"/>
        <v>32.039987462935123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5">
        <f t="shared" si="11"/>
        <v>0</v>
      </c>
      <c r="AD30" s="169">
        <f>(INDEX(Models!$BJ30:$BT30,,AH30)*(1-AF30)+INDEX(Models!$BJ30:$BT30,,AH30+1)*AF30-ERP_i)*AE30*Ramure*Pc/MaxiM</f>
        <v>2.4255033698119806E-7</v>
      </c>
      <c r="AE30" s="305">
        <f t="shared" si="12"/>
        <v>0.7</v>
      </c>
      <c r="AF30" s="177">
        <f t="shared" si="13"/>
        <v>6.3192188614658029E-4</v>
      </c>
      <c r="AG30" s="919">
        <f t="shared" si="22"/>
        <v>-2</v>
      </c>
      <c r="AH30" s="176">
        <f t="shared" si="14"/>
        <v>4</v>
      </c>
      <c r="AI30" s="225">
        <f t="shared" si="15"/>
        <v>-1.9993680781138534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23"/>
        <v>43117</v>
      </c>
      <c r="B31" s="622"/>
      <c r="C31" s="966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6">
        <f t="shared" si="2"/>
        <v>0</v>
      </c>
      <c r="M31" s="968"/>
      <c r="N31" s="968"/>
      <c r="O31" s="324">
        <f t="shared" si="3"/>
        <v>0</v>
      </c>
      <c r="P31" s="169">
        <f>(INDEX(Models!$BJ31:$BT31,,T31)*(1-R31)+INDEX(Models!$BJ31:$BT31,,T31+1)*R31-ERP_i)*Q31*Ramure*Pc/MaxiM</f>
        <v>2.6243319914398831E-7</v>
      </c>
      <c r="Q31" s="305">
        <f t="shared" si="18"/>
        <v>0.7</v>
      </c>
      <c r="R31" s="177">
        <f t="shared" si="4"/>
        <v>6.8590577550065035E-4</v>
      </c>
      <c r="S31" s="919">
        <f t="shared" si="19"/>
        <v>-2</v>
      </c>
      <c r="T31" s="176">
        <f t="shared" si="20"/>
        <v>4</v>
      </c>
      <c r="U31" s="251">
        <f t="shared" si="21"/>
        <v>-1.9993140942244993</v>
      </c>
      <c r="V31" s="383">
        <f t="shared" si="5"/>
        <v>32.298502468641736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5">
        <f t="shared" si="11"/>
        <v>0</v>
      </c>
      <c r="AD31" s="169">
        <f>(INDEX(Models!$BJ31:$BT31,,AH31)*(1-AF31)+INDEX(Models!$BJ31:$BT31,,AH31+1)*AF31-ERP_i)*AE31*Ramure*Pc/MaxiM</f>
        <v>2.6243319914398831E-7</v>
      </c>
      <c r="AE31" s="305">
        <f t="shared" si="12"/>
        <v>0.7</v>
      </c>
      <c r="AF31" s="177">
        <f t="shared" si="13"/>
        <v>6.8590577550065035E-4</v>
      </c>
      <c r="AG31" s="919">
        <f t="shared" si="22"/>
        <v>-2</v>
      </c>
      <c r="AH31" s="176">
        <f t="shared" si="14"/>
        <v>4</v>
      </c>
      <c r="AI31" s="225">
        <f t="shared" si="15"/>
        <v>-1.9993140942244993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3"/>
        <v>43118</v>
      </c>
      <c r="B32" s="622"/>
      <c r="C32" s="966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6">
        <f t="shared" si="2"/>
        <v>0</v>
      </c>
      <c r="M32" s="968"/>
      <c r="N32" s="968"/>
      <c r="O32" s="324">
        <f t="shared" si="3"/>
        <v>0</v>
      </c>
      <c r="P32" s="169">
        <f>(INDEX(Models!$BJ32:$BT32,,T32)*(1-R32)+INDEX(Models!$BJ32:$BT32,,T32+1)*R32-ERP_i)*Q32*Ramure*Pc/MaxiM</f>
        <v>2.8242546896624176E-7</v>
      </c>
      <c r="Q32" s="305">
        <f t="shared" si="18"/>
        <v>0.7</v>
      </c>
      <c r="R32" s="177">
        <f t="shared" si="4"/>
        <v>7.4214198764233075E-4</v>
      </c>
      <c r="S32" s="919">
        <f t="shared" si="19"/>
        <v>-2</v>
      </c>
      <c r="T32" s="176">
        <f t="shared" si="20"/>
        <v>4</v>
      </c>
      <c r="U32" s="251">
        <f t="shared" si="21"/>
        <v>-1.9992578580123577</v>
      </c>
      <c r="V32" s="383">
        <f t="shared" si="5"/>
        <v>32.562926930157573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5">
        <f t="shared" si="11"/>
        <v>0</v>
      </c>
      <c r="AD32" s="169">
        <f>(INDEX(Models!$BJ32:$BT32,,AH32)*(1-AF32)+INDEX(Models!$BJ32:$BT32,,AH32+1)*AF32-ERP_i)*AE32*Ramure*Pc/MaxiM</f>
        <v>2.8242546896624176E-7</v>
      </c>
      <c r="AE32" s="305">
        <f t="shared" si="12"/>
        <v>0.7</v>
      </c>
      <c r="AF32" s="177">
        <f t="shared" si="13"/>
        <v>7.4214198764233075E-4</v>
      </c>
      <c r="AG32" s="919">
        <f t="shared" si="22"/>
        <v>-2</v>
      </c>
      <c r="AH32" s="176">
        <f t="shared" si="14"/>
        <v>4</v>
      </c>
      <c r="AI32" s="225">
        <f t="shared" si="15"/>
        <v>-1.9992578580123577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3"/>
        <v>43119</v>
      </c>
      <c r="B33" s="622"/>
      <c r="C33" s="966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6">
        <f t="shared" si="2"/>
        <v>0</v>
      </c>
      <c r="M33" s="968"/>
      <c r="N33" s="968"/>
      <c r="O33" s="324">
        <f t="shared" si="3"/>
        <v>0</v>
      </c>
      <c r="P33" s="169">
        <f>(INDEX(Models!$BJ33:$BT33,,T33)*(1-R33)+INDEX(Models!$BJ33:$BT33,,T33+1)*R33-ERP_i)*Q33*Ramure*Pc/MaxiM</f>
        <v>3.0244224896621271E-7</v>
      </c>
      <c r="Q33" s="305">
        <f t="shared" si="18"/>
        <v>0.7</v>
      </c>
      <c r="R33" s="177">
        <f t="shared" si="4"/>
        <v>8.0072395350327952E-4</v>
      </c>
      <c r="S33" s="919">
        <f t="shared" si="19"/>
        <v>-2</v>
      </c>
      <c r="T33" s="176">
        <f t="shared" si="20"/>
        <v>4</v>
      </c>
      <c r="U33" s="251">
        <f t="shared" si="21"/>
        <v>-1.9991992760464967</v>
      </c>
      <c r="V33" s="383">
        <f t="shared" si="5"/>
        <v>32.833624272170212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5">
        <f t="shared" si="11"/>
        <v>0</v>
      </c>
      <c r="AD33" s="169">
        <f>(INDEX(Models!$BJ33:$BT33,,AH33)*(1-AF33)+INDEX(Models!$BJ33:$BT33,,AH33+1)*AF33-ERP_i)*AE33*Ramure*Pc/MaxiM</f>
        <v>3.0244224896621271E-7</v>
      </c>
      <c r="AE33" s="305">
        <f t="shared" si="12"/>
        <v>0.7</v>
      </c>
      <c r="AF33" s="177">
        <f t="shared" si="13"/>
        <v>8.0072395350327952E-4</v>
      </c>
      <c r="AG33" s="919">
        <f t="shared" si="22"/>
        <v>-2</v>
      </c>
      <c r="AH33" s="176">
        <f t="shared" si="14"/>
        <v>4</v>
      </c>
      <c r="AI33" s="225">
        <f t="shared" si="15"/>
        <v>-1.9991992760464967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3"/>
        <v>43120</v>
      </c>
      <c r="B34" s="622"/>
      <c r="C34" s="966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6">
        <f t="shared" si="2"/>
        <v>0</v>
      </c>
      <c r="M34" s="968"/>
      <c r="N34" s="968"/>
      <c r="O34" s="324">
        <f t="shared" si="3"/>
        <v>0</v>
      </c>
      <c r="P34" s="169">
        <f>(INDEX(Models!$BJ34:$BT34,,T34)*(1-R34)+INDEX(Models!$BJ34:$BT34,,T34+1)*R34-ERP_i)*Q34*Ramure*Pc/MaxiM</f>
        <v>3.2239502351619403E-7</v>
      </c>
      <c r="Q34" s="305">
        <f t="shared" si="18"/>
        <v>0.7</v>
      </c>
      <c r="R34" s="177">
        <f t="shared" si="4"/>
        <v>8.617489335460693E-4</v>
      </c>
      <c r="S34" s="919">
        <f t="shared" si="19"/>
        <v>-2</v>
      </c>
      <c r="T34" s="176">
        <f t="shared" si="20"/>
        <v>4</v>
      </c>
      <c r="U34" s="251">
        <f t="shared" si="21"/>
        <v>-1.9991382510664539</v>
      </c>
      <c r="V34" s="383">
        <f t="shared" si="5"/>
        <v>33.110957917738574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5">
        <f t="shared" si="11"/>
        <v>0</v>
      </c>
      <c r="AD34" s="169">
        <f>(INDEX(Models!$BJ34:$BT34,,AH34)*(1-AF34)+INDEX(Models!$BJ34:$BT34,,AH34+1)*AF34-ERP_i)*AE34*Ramure*Pc/MaxiM</f>
        <v>3.2239502351619403E-7</v>
      </c>
      <c r="AE34" s="305">
        <f t="shared" si="12"/>
        <v>0.7</v>
      </c>
      <c r="AF34" s="177">
        <f t="shared" si="13"/>
        <v>8.617489335460693E-4</v>
      </c>
      <c r="AG34" s="919">
        <f t="shared" si="22"/>
        <v>-2</v>
      </c>
      <c r="AH34" s="176">
        <f t="shared" si="14"/>
        <v>4</v>
      </c>
      <c r="AI34" s="225">
        <f t="shared" si="15"/>
        <v>-1.9991382510664539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3"/>
        <v>43121</v>
      </c>
      <c r="B35" s="622"/>
      <c r="C35" s="966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6">
        <f t="shared" si="2"/>
        <v>0</v>
      </c>
      <c r="M35" s="968"/>
      <c r="N35" s="968"/>
      <c r="O35" s="324">
        <f t="shared" si="3"/>
        <v>0</v>
      </c>
      <c r="P35" s="169">
        <f>(INDEX(Models!$BJ35:$BT35,,T35)*(1-R35)+INDEX(Models!$BJ35:$BT35,,T35+1)*R35-ERP_i)*Q35*Ramure*Pc/MaxiM</f>
        <v>3.4219103577360474E-7</v>
      </c>
      <c r="Q35" s="305">
        <f t="shared" si="18"/>
        <v>0.7</v>
      </c>
      <c r="R35" s="177">
        <f t="shared" si="4"/>
        <v>9.2531817078223E-4</v>
      </c>
      <c r="S35" s="919">
        <f t="shared" si="19"/>
        <v>-2</v>
      </c>
      <c r="T35" s="176">
        <f t="shared" si="20"/>
        <v>4</v>
      </c>
      <c r="U35" s="251">
        <f t="shared" si="21"/>
        <v>-1.9990746818292178</v>
      </c>
      <c r="V35" s="383">
        <f t="shared" si="5"/>
        <v>33.395291289974104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5">
        <f t="shared" si="11"/>
        <v>0</v>
      </c>
      <c r="AD35" s="169">
        <f>(INDEX(Models!$BJ35:$BT35,,AH35)*(1-AF35)+INDEX(Models!$BJ35:$BT35,,AH35+1)*AF35-ERP_i)*AE35*Ramure*Pc/MaxiM</f>
        <v>3.4219103577360474E-7</v>
      </c>
      <c r="AE35" s="305">
        <f t="shared" si="12"/>
        <v>0.7</v>
      </c>
      <c r="AF35" s="177">
        <f t="shared" si="13"/>
        <v>9.2531817078223E-4</v>
      </c>
      <c r="AG35" s="919">
        <f t="shared" si="22"/>
        <v>-2</v>
      </c>
      <c r="AH35" s="176">
        <f t="shared" si="14"/>
        <v>4</v>
      </c>
      <c r="AI35" s="225">
        <f t="shared" si="15"/>
        <v>-1.9990746818292178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3"/>
        <v>43122</v>
      </c>
      <c r="B36" s="622"/>
      <c r="C36" s="966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6">
        <f t="shared" si="2"/>
        <v>0</v>
      </c>
      <c r="M36" s="968"/>
      <c r="N36" s="968"/>
      <c r="O36" s="324">
        <f t="shared" si="3"/>
        <v>0</v>
      </c>
      <c r="P36" s="169">
        <f>(INDEX(Models!$BJ36:$BT36,,T36)*(1-R36)+INDEX(Models!$BJ36:$BT36,,T36+1)*R36-ERP_i)*Q36*Ramure*Pc/MaxiM</f>
        <v>3.6173092886301908E-7</v>
      </c>
      <c r="Q36" s="305">
        <f t="shared" si="18"/>
        <v>0.7</v>
      </c>
      <c r="R36" s="177">
        <f t="shared" si="4"/>
        <v>9.9153704956433941E-4</v>
      </c>
      <c r="S36" s="919">
        <f t="shared" si="19"/>
        <v>-2</v>
      </c>
      <c r="T36" s="176">
        <f t="shared" si="20"/>
        <v>4</v>
      </c>
      <c r="U36" s="251">
        <f t="shared" si="21"/>
        <v>-1.9990084629504357</v>
      </c>
      <c r="V36" s="383">
        <f t="shared" si="5"/>
        <v>33.686987814101983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5">
        <f t="shared" si="11"/>
        <v>0</v>
      </c>
      <c r="AD36" s="169">
        <f>(INDEX(Models!$BJ36:$BT36,,AH36)*(1-AF36)+INDEX(Models!$BJ36:$BT36,,AH36+1)*AF36-ERP_i)*AE36*Ramure*Pc/MaxiM</f>
        <v>3.6173092886301908E-7</v>
      </c>
      <c r="AE36" s="305">
        <f t="shared" si="12"/>
        <v>0.7</v>
      </c>
      <c r="AF36" s="177">
        <f t="shared" si="13"/>
        <v>9.9153704956433941E-4</v>
      </c>
      <c r="AG36" s="919">
        <f t="shared" si="22"/>
        <v>-2</v>
      </c>
      <c r="AH36" s="176">
        <f t="shared" si="14"/>
        <v>4</v>
      </c>
      <c r="AI36" s="225">
        <f t="shared" si="15"/>
        <v>-1.9990084629504357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3"/>
        <v>43123</v>
      </c>
      <c r="B37" s="622"/>
      <c r="C37" s="966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6">
        <f t="shared" si="2"/>
        <v>0</v>
      </c>
      <c r="M37" s="968"/>
      <c r="N37" s="968"/>
      <c r="O37" s="324">
        <f t="shared" si="3"/>
        <v>0</v>
      </c>
      <c r="P37" s="169">
        <f>(INDEX(Models!$BJ37:$BT37,,T37)*(1-R37)+INDEX(Models!$BJ37:$BT37,,T37+1)*R37-ERP_i)*Q37*Ramure*Pc/MaxiM</f>
        <v>3.8089125503589267E-7</v>
      </c>
      <c r="Q37" s="305">
        <f t="shared" si="18"/>
        <v>0.7</v>
      </c>
      <c r="R37" s="177">
        <f t="shared" si="4"/>
        <v>1.0605152603415657E-3</v>
      </c>
      <c r="S37" s="919">
        <f t="shared" si="19"/>
        <v>-2</v>
      </c>
      <c r="T37" s="176">
        <f t="shared" si="20"/>
        <v>4</v>
      </c>
      <c r="U37" s="251">
        <f t="shared" si="21"/>
        <v>-1.9989394847396584</v>
      </c>
      <c r="V37" s="383">
        <f t="shared" si="5"/>
        <v>33.988068958857298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5">
        <f t="shared" si="11"/>
        <v>0</v>
      </c>
      <c r="AD37" s="169">
        <f>(INDEX(Models!$BJ37:$BT37,,AH37)*(1-AF37)+INDEX(Models!$BJ37:$BT37,,AH37+1)*AF37-ERP_i)*AE37*Ramure*Pc/MaxiM</f>
        <v>3.8089125503589267E-7</v>
      </c>
      <c r="AE37" s="305">
        <f t="shared" si="12"/>
        <v>0.7</v>
      </c>
      <c r="AF37" s="177">
        <f t="shared" si="13"/>
        <v>1.0605152603415657E-3</v>
      </c>
      <c r="AG37" s="919">
        <f t="shared" si="22"/>
        <v>-2</v>
      </c>
      <c r="AH37" s="176">
        <f t="shared" si="14"/>
        <v>4</v>
      </c>
      <c r="AI37" s="225">
        <f t="shared" si="15"/>
        <v>-1.9989394847396584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3"/>
        <v>43124</v>
      </c>
      <c r="B38" s="622"/>
      <c r="C38" s="966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6">
        <f t="shared" si="2"/>
        <v>0</v>
      </c>
      <c r="M38" s="968"/>
      <c r="N38" s="968"/>
      <c r="O38" s="324">
        <f t="shared" si="3"/>
        <v>0</v>
      </c>
      <c r="P38" s="169">
        <f>(INDEX(Models!$BJ38:$BT38,,T38)*(1-R38)+INDEX(Models!$BJ38:$BT38,,T38+1)*R38-ERP_i)*Q38*Ramure*Pc/MaxiM</f>
        <v>3.9992328554758351E-7</v>
      </c>
      <c r="Q38" s="305">
        <f t="shared" si="18"/>
        <v>0.7</v>
      </c>
      <c r="R38" s="177">
        <f t="shared" si="4"/>
        <v>1.1323669705709527E-3</v>
      </c>
      <c r="S38" s="919">
        <f t="shared" si="19"/>
        <v>-2</v>
      </c>
      <c r="T38" s="176">
        <f t="shared" si="20"/>
        <v>4</v>
      </c>
      <c r="U38" s="251">
        <f t="shared" si="21"/>
        <v>-1.998867633029429</v>
      </c>
      <c r="V38" s="383">
        <f t="shared" si="5"/>
        <v>34.299524182866421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5">
        <f t="shared" si="11"/>
        <v>0</v>
      </c>
      <c r="AD38" s="169">
        <f>(INDEX(Models!$BJ38:$BT38,,AH38)*(1-AF38)+INDEX(Models!$BJ38:$BT38,,AH38+1)*AF38-ERP_i)*AE38*Ramure*Pc/MaxiM</f>
        <v>3.9992328554758351E-7</v>
      </c>
      <c r="AE38" s="305">
        <f t="shared" si="12"/>
        <v>0.7</v>
      </c>
      <c r="AF38" s="177">
        <f t="shared" si="13"/>
        <v>1.1323669705709527E-3</v>
      </c>
      <c r="AG38" s="919">
        <f t="shared" si="22"/>
        <v>-2</v>
      </c>
      <c r="AH38" s="176">
        <f t="shared" si="14"/>
        <v>4</v>
      </c>
      <c r="AI38" s="225">
        <f t="shared" si="15"/>
        <v>-1.998867633029429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3"/>
        <v>43125</v>
      </c>
      <c r="B39" s="622"/>
      <c r="C39" s="966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6">
        <f t="shared" si="2"/>
        <v>0</v>
      </c>
      <c r="M39" s="968"/>
      <c r="N39" s="968"/>
      <c r="O39" s="324">
        <f t="shared" si="3"/>
        <v>0</v>
      </c>
      <c r="P39" s="169">
        <f>(INDEX(Models!$BJ39:$BT39,,T39)*(1-R39)+INDEX(Models!$BJ39:$BT39,,T39+1)*R39-ERP_i)*Q39*Ramure*Pc/MaxiM</f>
        <v>4.1935448737573167E-7</v>
      </c>
      <c r="Q39" s="305">
        <f t="shared" si="18"/>
        <v>0.7</v>
      </c>
      <c r="R39" s="177">
        <f t="shared" si="4"/>
        <v>1.2072110019791804E-3</v>
      </c>
      <c r="S39" s="919">
        <f t="shared" si="19"/>
        <v>-2</v>
      </c>
      <c r="T39" s="176">
        <f t="shared" si="20"/>
        <v>4</v>
      </c>
      <c r="U39" s="251">
        <f t="shared" si="21"/>
        <v>-1.9987927889980208</v>
      </c>
      <c r="V39" s="383">
        <f t="shared" si="5"/>
        <v>34.620168881197039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5">
        <f t="shared" si="11"/>
        <v>0</v>
      </c>
      <c r="AD39" s="169">
        <f>(INDEX(Models!$BJ39:$BT39,,AH39)*(1-AF39)+INDEX(Models!$BJ39:$BT39,,AH39+1)*AF39-ERP_i)*AE39*Ramure*Pc/MaxiM</f>
        <v>4.1935448737573167E-7</v>
      </c>
      <c r="AE39" s="305">
        <f t="shared" si="12"/>
        <v>0.7</v>
      </c>
      <c r="AF39" s="177">
        <f t="shared" si="13"/>
        <v>1.2072110019791804E-3</v>
      </c>
      <c r="AG39" s="919">
        <f t="shared" si="22"/>
        <v>-2</v>
      </c>
      <c r="AH39" s="176">
        <f t="shared" si="14"/>
        <v>4</v>
      </c>
      <c r="AI39" s="225">
        <f t="shared" si="15"/>
        <v>-1.9987927889980208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23"/>
        <v>43126</v>
      </c>
      <c r="B40" s="622"/>
      <c r="C40" s="966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6">
        <f t="shared" si="2"/>
        <v>0</v>
      </c>
      <c r="M40" s="968"/>
      <c r="N40" s="968"/>
      <c r="O40" s="324">
        <f t="shared" si="3"/>
        <v>0</v>
      </c>
      <c r="P40" s="169">
        <f>(INDEX(Models!$BJ40:$BT40,,T40)*(1-R40)+INDEX(Models!$BJ40:$BT40,,T40+1)*R40-ERP_i)*Q40*Ramure*Pc/MaxiM</f>
        <v>4.3924545381042497E-7</v>
      </c>
      <c r="Q40" s="305">
        <f t="shared" si="18"/>
        <v>0.7</v>
      </c>
      <c r="R40" s="177">
        <f t="shared" si="4"/>
        <v>1.2851710143719774E-3</v>
      </c>
      <c r="S40" s="919">
        <f t="shared" si="19"/>
        <v>-2</v>
      </c>
      <c r="T40" s="176">
        <f t="shared" si="20"/>
        <v>4</v>
      </c>
      <c r="U40" s="251">
        <f t="shared" si="21"/>
        <v>-1.998714828985628</v>
      </c>
      <c r="V40" s="383">
        <f t="shared" si="5"/>
        <v>34.948818468016462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5">
        <f t="shared" si="11"/>
        <v>0</v>
      </c>
      <c r="AD40" s="169">
        <f>(INDEX(Models!$BJ40:$BT40,,AH40)*(1-AF40)+INDEX(Models!$BJ40:$BT40,,AH40+1)*AF40-ERP_i)*AE40*Ramure*Pc/MaxiM</f>
        <v>4.3924545381042497E-7</v>
      </c>
      <c r="AE40" s="305">
        <f t="shared" si="12"/>
        <v>0.7</v>
      </c>
      <c r="AF40" s="177">
        <f t="shared" si="13"/>
        <v>1.2851710143719774E-3</v>
      </c>
      <c r="AG40" s="919">
        <f t="shared" si="22"/>
        <v>-2</v>
      </c>
      <c r="AH40" s="176">
        <f t="shared" si="14"/>
        <v>4</v>
      </c>
      <c r="AI40" s="225">
        <f t="shared" si="15"/>
        <v>-1.998714828985628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3"/>
        <v>43127</v>
      </c>
      <c r="B41" s="622"/>
      <c r="C41" s="966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6">
        <f t="shared" si="2"/>
        <v>0</v>
      </c>
      <c r="M41" s="968"/>
      <c r="N41" s="968"/>
      <c r="O41" s="324">
        <f t="shared" si="3"/>
        <v>0</v>
      </c>
      <c r="P41" s="169">
        <f>(INDEX(Models!$BJ41:$BT41,,T41)*(1-R41)+INDEX(Models!$BJ41:$BT41,,T41+1)*R41-ERP_i)*Q41*Ramure*Pc/MaxiM</f>
        <v>4.5966160005211096E-7</v>
      </c>
      <c r="Q41" s="305">
        <f t="shared" si="18"/>
        <v>0.7</v>
      </c>
      <c r="R41" s="177">
        <f t="shared" si="4"/>
        <v>1.366375696193689E-3</v>
      </c>
      <c r="S41" s="919">
        <f t="shared" si="19"/>
        <v>-2</v>
      </c>
      <c r="T41" s="176">
        <f t="shared" si="20"/>
        <v>4</v>
      </c>
      <c r="U41" s="251">
        <f t="shared" si="21"/>
        <v>-1.9986336243038063</v>
      </c>
      <c r="V41" s="383">
        <f t="shared" si="5"/>
        <v>35.284288353482644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5">
        <f t="shared" si="11"/>
        <v>0</v>
      </c>
      <c r="AD41" s="169">
        <f>(INDEX(Models!$BJ41:$BT41,,AH41)*(1-AF41)+INDEX(Models!$BJ41:$BT41,,AH41+1)*AF41-ERP_i)*AE41*Ramure*Pc/MaxiM</f>
        <v>4.5966160005211096E-7</v>
      </c>
      <c r="AE41" s="305">
        <f t="shared" si="12"/>
        <v>0.7</v>
      </c>
      <c r="AF41" s="177">
        <f t="shared" si="13"/>
        <v>1.366375696193689E-3</v>
      </c>
      <c r="AG41" s="919">
        <f t="shared" si="22"/>
        <v>-2</v>
      </c>
      <c r="AH41" s="176">
        <f t="shared" si="14"/>
        <v>4</v>
      </c>
      <c r="AI41" s="225">
        <f t="shared" si="15"/>
        <v>-1.9986336243038063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23"/>
        <v>43128</v>
      </c>
      <c r="B42" s="622"/>
      <c r="C42" s="966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6">
        <f t="shared" si="2"/>
        <v>0</v>
      </c>
      <c r="M42" s="968"/>
      <c r="N42" s="968"/>
      <c r="O42" s="324">
        <f t="shared" si="3"/>
        <v>0</v>
      </c>
      <c r="P42" s="169">
        <f>(INDEX(Models!$BJ42:$BT42,,T42)*(1-R42)+INDEX(Models!$BJ42:$BT42,,T42+1)*R42-ERP_i)*Q42*Ramure*Pc/MaxiM</f>
        <v>4.8067328134820706E-7</v>
      </c>
      <c r="Q42" s="305">
        <f t="shared" si="18"/>
        <v>0.7</v>
      </c>
      <c r="R42" s="177">
        <f t="shared" si="4"/>
        <v>1.4509589620397279E-3</v>
      </c>
      <c r="S42" s="919">
        <f t="shared" si="19"/>
        <v>-2</v>
      </c>
      <c r="T42" s="176">
        <f t="shared" si="20"/>
        <v>4</v>
      </c>
      <c r="U42" s="251">
        <f t="shared" si="21"/>
        <v>-1.9985490410379603</v>
      </c>
      <c r="V42" s="383">
        <f t="shared" si="5"/>
        <v>35.62539395409739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5">
        <f t="shared" si="11"/>
        <v>0</v>
      </c>
      <c r="AD42" s="169">
        <f>(INDEX(Models!$BJ42:$BT42,,AH42)*(1-AF42)+INDEX(Models!$BJ42:$BT42,,AH42+1)*AF42-ERP_i)*AE42*Ramure*Pc/MaxiM</f>
        <v>4.8067328134820706E-7</v>
      </c>
      <c r="AE42" s="305">
        <f t="shared" si="12"/>
        <v>0.7</v>
      </c>
      <c r="AF42" s="177">
        <f t="shared" si="13"/>
        <v>1.4509589620397279E-3</v>
      </c>
      <c r="AG42" s="919">
        <f t="shared" si="22"/>
        <v>-2</v>
      </c>
      <c r="AH42" s="176">
        <f t="shared" si="14"/>
        <v>4</v>
      </c>
      <c r="AI42" s="225">
        <f t="shared" si="15"/>
        <v>-1.9985490410379603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3"/>
        <v>43129</v>
      </c>
      <c r="B43" s="622"/>
      <c r="C43" s="966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6">
        <f t="shared" si="2"/>
        <v>0</v>
      </c>
      <c r="M43" s="968"/>
      <c r="N43" s="968"/>
      <c r="O43" s="324">
        <f t="shared" si="3"/>
        <v>0</v>
      </c>
      <c r="P43" s="169">
        <f>(INDEX(Models!$BJ43:$BT43,,T43)*(1-R43)+INDEX(Models!$BJ43:$BT43,,T43+1)*R43-ERP_i)*Q43*Ramure*Pc/MaxiM</f>
        <v>5.0235595435462722E-7</v>
      </c>
      <c r="Q43" s="305">
        <f t="shared" si="18"/>
        <v>0.7</v>
      </c>
      <c r="R43" s="177">
        <f t="shared" si="4"/>
        <v>1.5390601573248563E-3</v>
      </c>
      <c r="S43" s="919">
        <f t="shared" si="19"/>
        <v>-2</v>
      </c>
      <c r="T43" s="176">
        <f t="shared" si="20"/>
        <v>4</v>
      </c>
      <c r="U43" s="251">
        <f t="shared" si="21"/>
        <v>-1.9984609398426751</v>
      </c>
      <c r="V43" s="383">
        <f t="shared" si="5"/>
        <v>35.970950679376642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5">
        <f t="shared" si="11"/>
        <v>0</v>
      </c>
      <c r="AD43" s="169">
        <f>(INDEX(Models!$BJ43:$BT43,,AH43)*(1-AF43)+INDEX(Models!$BJ43:$BT43,,AH43+1)*AF43-ERP_i)*AE43*Ramure*Pc/MaxiM</f>
        <v>5.0235595435462722E-7</v>
      </c>
      <c r="AE43" s="305">
        <f t="shared" si="12"/>
        <v>0.7</v>
      </c>
      <c r="AF43" s="177">
        <f t="shared" si="13"/>
        <v>1.5390601573248563E-3</v>
      </c>
      <c r="AG43" s="919">
        <f t="shared" si="22"/>
        <v>-2</v>
      </c>
      <c r="AH43" s="176">
        <f t="shared" si="14"/>
        <v>4</v>
      </c>
      <c r="AI43" s="225">
        <f t="shared" si="15"/>
        <v>-1.9984609398426751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23"/>
        <v>43130</v>
      </c>
      <c r="B44" s="622"/>
      <c r="C44" s="966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6">
        <f t="shared" si="2"/>
        <v>0</v>
      </c>
      <c r="M44" s="968"/>
      <c r="N44" s="968"/>
      <c r="O44" s="324">
        <f t="shared" si="3"/>
        <v>0</v>
      </c>
      <c r="P44" s="169">
        <f>(INDEX(Models!$BJ44:$BT44,,T44)*(1-R44)+INDEX(Models!$BJ44:$BT44,,T44+1)*R44-ERP_i)*Q44*Ramure*Pc/MaxiM</f>
        <v>5.2494990255858129E-7</v>
      </c>
      <c r="Q44" s="305">
        <f t="shared" si="18"/>
        <v>0.7</v>
      </c>
      <c r="R44" s="177">
        <f t="shared" si="4"/>
        <v>1.630824270318465E-3</v>
      </c>
      <c r="S44" s="919">
        <f t="shared" si="19"/>
        <v>-2</v>
      </c>
      <c r="T44" s="176">
        <f t="shared" si="20"/>
        <v>4</v>
      </c>
      <c r="U44" s="251">
        <f t="shared" si="21"/>
        <v>-1.9983691757296815</v>
      </c>
      <c r="V44" s="383">
        <f t="shared" si="5"/>
        <v>36.319773936288833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5">
        <f t="shared" si="11"/>
        <v>0</v>
      </c>
      <c r="AD44" s="169">
        <f>(INDEX(Models!$BJ44:$BT44,,AH44)*(1-AF44)+INDEX(Models!$BJ44:$BT44,,AH44+1)*AF44-ERP_i)*AE44*Ramure*Pc/MaxiM</f>
        <v>5.2494990255858129E-7</v>
      </c>
      <c r="AE44" s="305">
        <f t="shared" si="12"/>
        <v>0.7</v>
      </c>
      <c r="AF44" s="177">
        <f t="shared" si="13"/>
        <v>1.630824270318465E-3</v>
      </c>
      <c r="AG44" s="919">
        <f t="shared" si="22"/>
        <v>-2</v>
      </c>
      <c r="AH44" s="176">
        <f t="shared" si="14"/>
        <v>4</v>
      </c>
      <c r="AI44" s="225">
        <f t="shared" si="15"/>
        <v>-1.9983691757296815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23"/>
        <v>43131</v>
      </c>
      <c r="B45" s="622"/>
      <c r="C45" s="966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6">
        <f t="shared" si="2"/>
        <v>0</v>
      </c>
      <c r="M45" s="968"/>
      <c r="N45" s="968"/>
      <c r="O45" s="324">
        <f t="shared" si="3"/>
        <v>0</v>
      </c>
      <c r="P45" s="169">
        <f>(INDEX(Models!$BJ45:$BT45,,T45)*(1-R45)+INDEX(Models!$BJ45:$BT45,,T45+1)*R45-ERP_i)*Q45*Ramure*Pc/MaxiM</f>
        <v>5.4868605459077822E-7</v>
      </c>
      <c r="Q45" s="305">
        <f t="shared" si="18"/>
        <v>0.7</v>
      </c>
      <c r="R45" s="177">
        <f t="shared" si="4"/>
        <v>1.7264021517484629E-3</v>
      </c>
      <c r="S45" s="919">
        <f t="shared" si="19"/>
        <v>-2</v>
      </c>
      <c r="T45" s="176">
        <f t="shared" si="20"/>
        <v>4</v>
      </c>
      <c r="U45" s="251">
        <f t="shared" si="21"/>
        <v>-1.9982735978482515</v>
      </c>
      <c r="V45" s="383">
        <f t="shared" si="5"/>
        <v>36.670679131626613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5">
        <f t="shared" si="11"/>
        <v>0</v>
      </c>
      <c r="AD45" s="169">
        <f>(INDEX(Models!$BJ45:$BT45,,AH45)*(1-AF45)+INDEX(Models!$BJ45:$BT45,,AH45+1)*AF45-ERP_i)*AE45*Ramure*Pc/MaxiM</f>
        <v>5.4868605459077822E-7</v>
      </c>
      <c r="AE45" s="305">
        <f t="shared" si="12"/>
        <v>0.7</v>
      </c>
      <c r="AF45" s="177">
        <f t="shared" si="13"/>
        <v>1.7264021517484629E-3</v>
      </c>
      <c r="AG45" s="919">
        <f t="shared" si="22"/>
        <v>-2</v>
      </c>
      <c r="AH45" s="176">
        <f t="shared" si="14"/>
        <v>4</v>
      </c>
      <c r="AI45" s="225">
        <f t="shared" si="15"/>
        <v>-1.9982735978482515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23"/>
        <v>43132</v>
      </c>
      <c r="B46" s="622"/>
      <c r="C46" s="966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6">
        <f t="shared" si="2"/>
        <v>0</v>
      </c>
      <c r="M46" s="968"/>
      <c r="N46" s="968"/>
      <c r="O46" s="324">
        <f t="shared" si="3"/>
        <v>0</v>
      </c>
      <c r="P46" s="169">
        <f>(INDEX(Models!$BJ46:$BT46,,T46)*(1-R46)+INDEX(Models!$BJ46:$BT46,,T46+1)*R46-ERP_i)*Q46*Ramure*Pc/MaxiM</f>
        <v>5.7369960772095936E-7</v>
      </c>
      <c r="Q46" s="305">
        <f t="shared" si="18"/>
        <v>0.7</v>
      </c>
      <c r="R46" s="177">
        <f t="shared" si="4"/>
        <v>1.825950742188942E-3</v>
      </c>
      <c r="S46" s="919">
        <f t="shared" si="19"/>
        <v>-2</v>
      </c>
      <c r="T46" s="176">
        <f t="shared" si="20"/>
        <v>4</v>
      </c>
      <c r="U46" s="251">
        <f t="shared" si="21"/>
        <v>-1.9981740492578111</v>
      </c>
      <c r="V46" s="383">
        <f t="shared" si="5"/>
        <v>37.022481675113873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5">
        <f t="shared" si="11"/>
        <v>0</v>
      </c>
      <c r="AD46" s="169">
        <f>(INDEX(Models!$BJ46:$BT46,,AH46)*(1-AF46)+INDEX(Models!$BJ46:$BT46,,AH46+1)*AF46-ERP_i)*AE46*Ramure*Pc/MaxiM</f>
        <v>5.7369960772095936E-7</v>
      </c>
      <c r="AE46" s="305">
        <f t="shared" si="12"/>
        <v>0.7</v>
      </c>
      <c r="AF46" s="177">
        <f t="shared" si="13"/>
        <v>1.825950742188942E-3</v>
      </c>
      <c r="AG46" s="919">
        <f t="shared" si="22"/>
        <v>-2</v>
      </c>
      <c r="AH46" s="176">
        <f t="shared" si="14"/>
        <v>4</v>
      </c>
      <c r="AI46" s="225">
        <f t="shared" si="15"/>
        <v>-1.9981740492578111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23"/>
        <v>43133</v>
      </c>
      <c r="B47" s="622"/>
      <c r="C47" s="966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6">
        <f t="shared" si="2"/>
        <v>0</v>
      </c>
      <c r="M47" s="968"/>
      <c r="N47" s="968"/>
      <c r="O47" s="324">
        <f t="shared" si="3"/>
        <v>0</v>
      </c>
      <c r="P47" s="169">
        <f>(INDEX(Models!$BJ47:$BT47,,T47)*(1-R47)+INDEX(Models!$BJ47:$BT47,,T47+1)*R47-ERP_i)*Q47*Ramure*Pc/MaxiM</f>
        <v>6.0013465851862919E-7</v>
      </c>
      <c r="Q47" s="305">
        <f t="shared" si="18"/>
        <v>0.7</v>
      </c>
      <c r="R47" s="177">
        <f t="shared" si="4"/>
        <v>1.9296333074336758E-3</v>
      </c>
      <c r="S47" s="919">
        <f t="shared" si="19"/>
        <v>-2</v>
      </c>
      <c r="T47" s="176">
        <f t="shared" si="20"/>
        <v>4</v>
      </c>
      <c r="U47" s="251">
        <f t="shared" si="21"/>
        <v>-1.9980703666925663</v>
      </c>
      <c r="V47" s="383">
        <f t="shared" si="5"/>
        <v>37.373996976293682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5">
        <f t="shared" si="11"/>
        <v>0</v>
      </c>
      <c r="AD47" s="169">
        <f>(INDEX(Models!$BJ47:$BT47,,AH47)*(1-AF47)+INDEX(Models!$BJ47:$BT47,,AH47+1)*AF47-ERP_i)*AE47*Ramure*Pc/MaxiM</f>
        <v>6.0013465851862919E-7</v>
      </c>
      <c r="AE47" s="305">
        <f t="shared" si="12"/>
        <v>0.7</v>
      </c>
      <c r="AF47" s="177">
        <f t="shared" si="13"/>
        <v>1.9296333074336758E-3</v>
      </c>
      <c r="AG47" s="919">
        <f t="shared" si="22"/>
        <v>-2</v>
      </c>
      <c r="AH47" s="176">
        <f t="shared" si="14"/>
        <v>4</v>
      </c>
      <c r="AI47" s="225">
        <f t="shared" si="15"/>
        <v>-1.9980703666925663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23"/>
        <v>43134</v>
      </c>
      <c r="B48" s="622"/>
      <c r="C48" s="966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6">
        <f t="shared" si="2"/>
        <v>0</v>
      </c>
      <c r="M48" s="968"/>
      <c r="N48" s="968"/>
      <c r="O48" s="324">
        <f t="shared" si="3"/>
        <v>0</v>
      </c>
      <c r="P48" s="169">
        <f>(INDEX(Models!$BJ48:$BT48,,T48)*(1-R48)+INDEX(Models!$BJ48:$BT48,,T48+1)*R48-ERP_i)*Q48*Ramure*Pc/MaxiM</f>
        <v>6.2814491311669239E-7</v>
      </c>
      <c r="Q48" s="305">
        <f t="shared" si="18"/>
        <v>0.7</v>
      </c>
      <c r="R48" s="177">
        <f t="shared" si="4"/>
        <v>2.037619682066838E-3</v>
      </c>
      <c r="S48" s="919">
        <f t="shared" si="19"/>
        <v>-2</v>
      </c>
      <c r="T48" s="176">
        <f t="shared" si="20"/>
        <v>4</v>
      </c>
      <c r="U48" s="251">
        <f t="shared" si="21"/>
        <v>-1.9979623803179332</v>
      </c>
      <c r="V48" s="383">
        <f t="shared" si="5"/>
        <v>37.724040443683151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5">
        <f t="shared" si="11"/>
        <v>0</v>
      </c>
      <c r="AD48" s="169">
        <f>(INDEX(Models!$BJ48:$BT48,,AH48)*(1-AF48)+INDEX(Models!$BJ48:$BT48,,AH48+1)*AF48-ERP_i)*AE48*Ramure*Pc/MaxiM</f>
        <v>6.2814491311669239E-7</v>
      </c>
      <c r="AE48" s="305">
        <f t="shared" si="12"/>
        <v>0.7</v>
      </c>
      <c r="AF48" s="177">
        <f t="shared" si="13"/>
        <v>2.037619682066838E-3</v>
      </c>
      <c r="AG48" s="919">
        <f t="shared" si="22"/>
        <v>-2</v>
      </c>
      <c r="AH48" s="176">
        <f t="shared" si="14"/>
        <v>4</v>
      </c>
      <c r="AI48" s="225">
        <f t="shared" si="15"/>
        <v>-1.9979623803179332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23"/>
        <v>43135</v>
      </c>
      <c r="B49" s="622"/>
      <c r="C49" s="966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6">
        <f t="shared" si="2"/>
        <v>0</v>
      </c>
      <c r="M49" s="968"/>
      <c r="N49" s="968"/>
      <c r="O49" s="324">
        <f t="shared" si="3"/>
        <v>0</v>
      </c>
      <c r="P49" s="169">
        <f>(INDEX(Models!$BJ49:$BT49,,T49)*(1-R49)+INDEX(Models!$BJ49:$BT49,,T49+1)*R49-ERP_i)*Q49*Ramure*Pc/MaxiM</f>
        <v>6.5789449474094707E-7</v>
      </c>
      <c r="Q49" s="305">
        <f t="shared" si="18"/>
        <v>0.7</v>
      </c>
      <c r="R49" s="177">
        <f t="shared" si="4"/>
        <v>2.1500865214327813E-3</v>
      </c>
      <c r="S49" s="919">
        <f t="shared" si="19"/>
        <v>-2</v>
      </c>
      <c r="T49" s="176">
        <f t="shared" si="20"/>
        <v>4</v>
      </c>
      <c r="U49" s="251">
        <f t="shared" si="21"/>
        <v>-1.9978499134785672</v>
      </c>
      <c r="V49" s="383">
        <f t="shared" si="5"/>
        <v>38.071427485829361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5">
        <f t="shared" si="11"/>
        <v>0</v>
      </c>
      <c r="AD49" s="169">
        <f>(INDEX(Models!$BJ49:$BT49,,AH49)*(1-AF49)+INDEX(Models!$BJ49:$BT49,,AH49+1)*AF49-ERP_i)*AE49*Ramure*Pc/MaxiM</f>
        <v>6.5789449474094707E-7</v>
      </c>
      <c r="AE49" s="305">
        <f t="shared" si="12"/>
        <v>0.7</v>
      </c>
      <c r="AF49" s="177">
        <f t="shared" si="13"/>
        <v>2.1500865214327813E-3</v>
      </c>
      <c r="AG49" s="919">
        <f t="shared" si="22"/>
        <v>-2</v>
      </c>
      <c r="AH49" s="176">
        <f t="shared" si="14"/>
        <v>4</v>
      </c>
      <c r="AI49" s="225">
        <f t="shared" si="15"/>
        <v>-1.9978499134785672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23"/>
        <v>43136</v>
      </c>
      <c r="B50" s="622"/>
      <c r="C50" s="966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6">
        <f t="shared" si="2"/>
        <v>0</v>
      </c>
      <c r="M50" s="968"/>
      <c r="N50" s="968"/>
      <c r="O50" s="324">
        <f t="shared" si="3"/>
        <v>0</v>
      </c>
      <c r="P50" s="169">
        <f>(INDEX(Models!$BJ50:$BT50,,T50)*(1-R50)+INDEX(Models!$BJ50:$BT50,,T50+1)*R50-ERP_i)*Q50*Ramure*Pc/MaxiM</f>
        <v>6.8955885591341658E-7</v>
      </c>
      <c r="Q50" s="305">
        <f t="shared" si="18"/>
        <v>0.7</v>
      </c>
      <c r="R50" s="177">
        <f t="shared" si="4"/>
        <v>2.267217562213597E-3</v>
      </c>
      <c r="S50" s="919">
        <f t="shared" si="19"/>
        <v>-2</v>
      </c>
      <c r="T50" s="176">
        <f t="shared" si="20"/>
        <v>4</v>
      </c>
      <c r="U50" s="251">
        <f t="shared" si="21"/>
        <v>-1.9977327824377864</v>
      </c>
      <c r="V50" s="383">
        <f t="shared" si="5"/>
        <v>38.4149735106338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5">
        <f t="shared" si="11"/>
        <v>0</v>
      </c>
      <c r="AD50" s="169">
        <f>(INDEX(Models!$BJ50:$BT50,,AH50)*(1-AF50)+INDEX(Models!$BJ50:$BT50,,AH50+1)*AF50-ERP_i)*AE50*Ramure*Pc/MaxiM</f>
        <v>6.8955885591341658E-7</v>
      </c>
      <c r="AE50" s="305">
        <f t="shared" si="12"/>
        <v>0.7</v>
      </c>
      <c r="AF50" s="177">
        <f t="shared" si="13"/>
        <v>2.267217562213597E-3</v>
      </c>
      <c r="AG50" s="919">
        <f t="shared" si="22"/>
        <v>-2</v>
      </c>
      <c r="AH50" s="176">
        <f t="shared" si="14"/>
        <v>4</v>
      </c>
      <c r="AI50" s="225">
        <f t="shared" si="15"/>
        <v>-1.9977327824377864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23"/>
        <v>43137</v>
      </c>
      <c r="B51" s="622"/>
      <c r="C51" s="966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6">
        <f t="shared" si="2"/>
        <v>0</v>
      </c>
      <c r="M51" s="968"/>
      <c r="N51" s="968"/>
      <c r="O51" s="324">
        <f t="shared" si="3"/>
        <v>0</v>
      </c>
      <c r="P51" s="169">
        <f>(INDEX(Models!$BJ51:$BT51,,T51)*(1-R51)+INDEX(Models!$BJ51:$BT51,,T51+1)*R51-ERP_i)*Q51*Ramure*Pc/MaxiM</f>
        <v>7.2324876204776681E-7</v>
      </c>
      <c r="Q51" s="305">
        <f t="shared" si="18"/>
        <v>0.7</v>
      </c>
      <c r="R51" s="177">
        <f t="shared" si="4"/>
        <v>2.3892038918076342E-3</v>
      </c>
      <c r="S51" s="919">
        <f t="shared" si="19"/>
        <v>-2</v>
      </c>
      <c r="T51" s="176">
        <f t="shared" si="20"/>
        <v>4</v>
      </c>
      <c r="U51" s="251">
        <f t="shared" si="21"/>
        <v>-1.9976107961081924</v>
      </c>
      <c r="V51" s="383">
        <f t="shared" si="5"/>
        <v>38.757622023382559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5">
        <f t="shared" si="11"/>
        <v>0</v>
      </c>
      <c r="AD51" s="169">
        <f>(INDEX(Models!$BJ51:$BT51,,AH51)*(1-AF51)+INDEX(Models!$BJ51:$BT51,,AH51+1)*AF51-ERP_i)*AE51*Ramure*Pc/MaxiM</f>
        <v>7.2324876204776681E-7</v>
      </c>
      <c r="AE51" s="305">
        <f t="shared" si="12"/>
        <v>0.7</v>
      </c>
      <c r="AF51" s="177">
        <f t="shared" si="13"/>
        <v>2.3892038918076342E-3</v>
      </c>
      <c r="AG51" s="919">
        <f t="shared" si="22"/>
        <v>-2</v>
      </c>
      <c r="AH51" s="176">
        <f t="shared" si="14"/>
        <v>4</v>
      </c>
      <c r="AI51" s="225">
        <f t="shared" si="15"/>
        <v>-1.9976107961081924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23"/>
        <v>43138</v>
      </c>
      <c r="B52" s="622"/>
      <c r="C52" s="966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6">
        <f t="shared" si="2"/>
        <v>0</v>
      </c>
      <c r="M52" s="968"/>
      <c r="N52" s="968"/>
      <c r="O52" s="324">
        <f t="shared" si="3"/>
        <v>0</v>
      </c>
      <c r="P52" s="169">
        <f>(INDEX(Models!$BJ52:$BT52,,T52)*(1-R52)+INDEX(Models!$BJ52:$BT52,,T52+1)*R52-ERP_i)*Q52*Ramure*Pc/MaxiM</f>
        <v>7.5923458729251676E-7</v>
      </c>
      <c r="Q52" s="305">
        <f t="shared" si="18"/>
        <v>0.7</v>
      </c>
      <c r="R52" s="177">
        <f t="shared" si="4"/>
        <v>2.5162442267092633E-3</v>
      </c>
      <c r="S52" s="919">
        <f t="shared" si="19"/>
        <v>-2</v>
      </c>
      <c r="T52" s="176">
        <f t="shared" si="20"/>
        <v>4</v>
      </c>
      <c r="U52" s="251">
        <f t="shared" si="21"/>
        <v>-1.9974837557732907</v>
      </c>
      <c r="V52" s="383">
        <f t="shared" si="5"/>
        <v>39.10274727989929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5">
        <f t="shared" si="11"/>
        <v>0</v>
      </c>
      <c r="AD52" s="169">
        <f>(INDEX(Models!$BJ52:$BT52,,AH52)*(1-AF52)+INDEX(Models!$BJ52:$BT52,,AH52+1)*AF52-ERP_i)*AE52*Ramure*Pc/MaxiM</f>
        <v>7.5923458729251676E-7</v>
      </c>
      <c r="AE52" s="305">
        <f t="shared" si="12"/>
        <v>0.7</v>
      </c>
      <c r="AF52" s="177">
        <f t="shared" si="13"/>
        <v>2.5162442267092633E-3</v>
      </c>
      <c r="AG52" s="919">
        <f t="shared" si="22"/>
        <v>-2</v>
      </c>
      <c r="AH52" s="176">
        <f t="shared" si="14"/>
        <v>4</v>
      </c>
      <c r="AI52" s="225">
        <f t="shared" si="15"/>
        <v>-1.9974837557732907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23"/>
        <v>43139</v>
      </c>
      <c r="B53" s="622"/>
      <c r="C53" s="966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6">
        <f t="shared" si="2"/>
        <v>0</v>
      </c>
      <c r="M53" s="968"/>
      <c r="N53" s="968"/>
      <c r="O53" s="324">
        <f t="shared" si="3"/>
        <v>0</v>
      </c>
      <c r="P53" s="169">
        <f>(INDEX(Models!$BJ53:$BT53,,T53)*(1-R53)+INDEX(Models!$BJ53:$BT53,,T53+1)*R53-ERP_i)*Q53*Ramure*Pc/MaxiM</f>
        <v>7.9694975439260094E-7</v>
      </c>
      <c r="Q53" s="305">
        <f t="shared" si="18"/>
        <v>0.7</v>
      </c>
      <c r="R53" s="177">
        <f t="shared" si="4"/>
        <v>2.6485452000755139E-3</v>
      </c>
      <c r="S53" s="919">
        <f t="shared" si="19"/>
        <v>-2</v>
      </c>
      <c r="T53" s="176">
        <f t="shared" si="20"/>
        <v>4</v>
      </c>
      <c r="U53" s="251">
        <f t="shared" si="21"/>
        <v>-1.9973514547999245</v>
      </c>
      <c r="V53" s="383">
        <f t="shared" si="5"/>
        <v>39.44981085293405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5">
        <f t="shared" si="11"/>
        <v>0</v>
      </c>
      <c r="AD53" s="169">
        <f>(INDEX(Models!$BJ53:$BT53,,AH53)*(1-AF53)+INDEX(Models!$BJ53:$BT53,,AH53+1)*AF53-ERP_i)*AE53*Ramure*Pc/MaxiM</f>
        <v>7.9694975439260094E-7</v>
      </c>
      <c r="AE53" s="305">
        <f t="shared" si="12"/>
        <v>0.7</v>
      </c>
      <c r="AF53" s="177">
        <f t="shared" si="13"/>
        <v>2.6485452000755139E-3</v>
      </c>
      <c r="AG53" s="919">
        <f t="shared" si="22"/>
        <v>-2</v>
      </c>
      <c r="AH53" s="176">
        <f t="shared" si="14"/>
        <v>4</v>
      </c>
      <c r="AI53" s="225">
        <f t="shared" si="15"/>
        <v>-1.9973514547999245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23"/>
        <v>43140</v>
      </c>
      <c r="B54" s="622"/>
      <c r="C54" s="966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6">
        <f t="shared" si="2"/>
        <v>0</v>
      </c>
      <c r="M54" s="968"/>
      <c r="N54" s="968"/>
      <c r="O54" s="324">
        <f t="shared" si="3"/>
        <v>0</v>
      </c>
      <c r="P54" s="169">
        <f>(INDEX(Models!$BJ54:$BT54,,T54)*(1-R54)+INDEX(Models!$BJ54:$BT54,,T54+1)*R54-ERP_i)*Q54*Ramure*Pc/MaxiM</f>
        <v>8.3650941684810986E-7</v>
      </c>
      <c r="Q54" s="305">
        <f t="shared" si="18"/>
        <v>0.7</v>
      </c>
      <c r="R54" s="177">
        <f t="shared" si="4"/>
        <v>2.7863216586665462E-3</v>
      </c>
      <c r="S54" s="919">
        <f t="shared" si="19"/>
        <v>-2</v>
      </c>
      <c r="T54" s="176">
        <f t="shared" si="20"/>
        <v>4</v>
      </c>
      <c r="U54" s="251">
        <f t="shared" si="21"/>
        <v>-1.9972136783413335</v>
      </c>
      <c r="V54" s="383">
        <f t="shared" si="5"/>
        <v>39.798274288588992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5">
        <f t="shared" si="11"/>
        <v>0</v>
      </c>
      <c r="AD54" s="169">
        <f>(INDEX(Models!$BJ54:$BT54,,AH54)*(1-AF54)+INDEX(Models!$BJ54:$BT54,,AH54+1)*AF54-ERP_i)*AE54*Ramure*Pc/MaxiM</f>
        <v>8.3650941684810986E-7</v>
      </c>
      <c r="AE54" s="305">
        <f t="shared" si="12"/>
        <v>0.7</v>
      </c>
      <c r="AF54" s="177">
        <f t="shared" si="13"/>
        <v>2.7863216586665462E-3</v>
      </c>
      <c r="AG54" s="919">
        <f t="shared" si="22"/>
        <v>-2</v>
      </c>
      <c r="AH54" s="176">
        <f t="shared" si="14"/>
        <v>4</v>
      </c>
      <c r="AI54" s="225">
        <f t="shared" si="15"/>
        <v>-1.9972136783413335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3"/>
        <v>43141</v>
      </c>
      <c r="B55" s="622"/>
      <c r="C55" s="966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6">
        <f t="shared" si="2"/>
        <v>0</v>
      </c>
      <c r="M55" s="968"/>
      <c r="N55" s="968"/>
      <c r="O55" s="324">
        <f t="shared" si="3"/>
        <v>0</v>
      </c>
      <c r="P55" s="169">
        <f>(INDEX(Models!$BJ55:$BT55,,T55)*(1-R55)+INDEX(Models!$BJ55:$BT55,,T55+1)*R55-ERP_i)*Q55*Ramure*Pc/MaxiM</f>
        <v>8.7803568019321451E-7</v>
      </c>
      <c r="Q55" s="305">
        <f t="shared" si="18"/>
        <v>0.7</v>
      </c>
      <c r="R55" s="177">
        <f t="shared" si="4"/>
        <v>2.929796969329157E-3</v>
      </c>
      <c r="S55" s="919">
        <f t="shared" si="19"/>
        <v>-2</v>
      </c>
      <c r="T55" s="176">
        <f t="shared" si="20"/>
        <v>4</v>
      </c>
      <c r="U55" s="251">
        <f t="shared" si="21"/>
        <v>-1.9970702030306708</v>
      </c>
      <c r="V55" s="383">
        <f t="shared" si="5"/>
        <v>40.147599133299913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5">
        <f t="shared" si="11"/>
        <v>0</v>
      </c>
      <c r="AD55" s="169">
        <f>(INDEX(Models!$BJ55:$BT55,,AH55)*(1-AF55)+INDEX(Models!$BJ55:$BT55,,AH55+1)*AF55-ERP_i)*AE55*Ramure*Pc/MaxiM</f>
        <v>8.7803568019321451E-7</v>
      </c>
      <c r="AE55" s="305">
        <f t="shared" si="12"/>
        <v>0.7</v>
      </c>
      <c r="AF55" s="177">
        <f t="shared" si="13"/>
        <v>2.929796969329157E-3</v>
      </c>
      <c r="AG55" s="919">
        <f t="shared" si="22"/>
        <v>-2</v>
      </c>
      <c r="AH55" s="176">
        <f t="shared" si="14"/>
        <v>4</v>
      </c>
      <c r="AI55" s="225">
        <f t="shared" si="15"/>
        <v>-1.9970702030306708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3"/>
        <v>43142</v>
      </c>
      <c r="B56" s="622"/>
      <c r="C56" s="966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6">
        <f t="shared" si="2"/>
        <v>0</v>
      </c>
      <c r="M56" s="968"/>
      <c r="N56" s="968"/>
      <c r="O56" s="324">
        <f t="shared" si="3"/>
        <v>0</v>
      </c>
      <c r="P56" s="169">
        <f>(INDEX(Models!$BJ56:$BT56,,T56)*(1-R56)+INDEX(Models!$BJ56:$BT56,,T56+1)*R56-ERP_i)*Q56*Ramure*Pc/MaxiM</f>
        <v>9.2165805546033561E-7</v>
      </c>
      <c r="Q56" s="305">
        <f t="shared" si="18"/>
        <v>0.7</v>
      </c>
      <c r="R56" s="177">
        <f t="shared" si="4"/>
        <v>3.0792033351902948E-3</v>
      </c>
      <c r="S56" s="919">
        <f t="shared" si="19"/>
        <v>-2</v>
      </c>
      <c r="T56" s="176">
        <f t="shared" si="20"/>
        <v>4</v>
      </c>
      <c r="U56" s="251">
        <f t="shared" si="21"/>
        <v>-1.9969207966648097</v>
      </c>
      <c r="V56" s="383">
        <f t="shared" si="5"/>
        <v>40.497246932178292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5">
        <f t="shared" si="11"/>
        <v>0</v>
      </c>
      <c r="AD56" s="169">
        <f>(INDEX(Models!$BJ56:$BT56,,AH56)*(1-AF56)+INDEX(Models!$BJ56:$BT56,,AH56+1)*AF56-ERP_i)*AE56*Ramure*Pc/MaxiM</f>
        <v>9.2165805546033561E-7</v>
      </c>
      <c r="AE56" s="305">
        <f t="shared" si="12"/>
        <v>0.7</v>
      </c>
      <c r="AF56" s="177">
        <f t="shared" si="13"/>
        <v>3.0792033351902948E-3</v>
      </c>
      <c r="AG56" s="919">
        <f t="shared" si="22"/>
        <v>-2</v>
      </c>
      <c r="AH56" s="176">
        <f t="shared" si="14"/>
        <v>4</v>
      </c>
      <c r="AI56" s="225">
        <f t="shared" si="15"/>
        <v>-1.9969207966648097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3"/>
        <v>43143</v>
      </c>
      <c r="B57" s="622"/>
      <c r="C57" s="966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6">
        <f t="shared" si="2"/>
        <v>0</v>
      </c>
      <c r="M57" s="968"/>
      <c r="N57" s="968"/>
      <c r="O57" s="324">
        <f t="shared" si="3"/>
        <v>0</v>
      </c>
      <c r="P57" s="169">
        <f>(INDEX(Models!$BJ57:$BT57,,T57)*(1-R57)+INDEX(Models!$BJ57:$BT57,,T57+1)*R57-ERP_i)*Q57*Ramure*Pc/MaxiM</f>
        <v>9.6751395244660051E-7</v>
      </c>
      <c r="Q57" s="305">
        <f t="shared" si="18"/>
        <v>0.7</v>
      </c>
      <c r="R57" s="177">
        <f t="shared" si="4"/>
        <v>3.2347821217131312E-3</v>
      </c>
      <c r="S57" s="919">
        <f t="shared" si="19"/>
        <v>-2</v>
      </c>
      <c r="T57" s="176">
        <f t="shared" si="20"/>
        <v>4</v>
      </c>
      <c r="U57" s="251">
        <f t="shared" si="21"/>
        <v>-1.9967652178782869</v>
      </c>
      <c r="V57" s="383">
        <f t="shared" si="5"/>
        <v>40.846679230378712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5">
        <f t="shared" si="11"/>
        <v>0</v>
      </c>
      <c r="AD57" s="169">
        <f>(INDEX(Models!$BJ57:$BT57,,AH57)*(1-AF57)+INDEX(Models!$BJ57:$BT57,,AH57+1)*AF57-ERP_i)*AE57*Ramure*Pc/MaxiM</f>
        <v>9.6751395244660051E-7</v>
      </c>
      <c r="AE57" s="305">
        <f t="shared" si="12"/>
        <v>0.7</v>
      </c>
      <c r="AF57" s="177">
        <f t="shared" si="13"/>
        <v>3.2347821217131312E-3</v>
      </c>
      <c r="AG57" s="919">
        <f t="shared" si="22"/>
        <v>-2</v>
      </c>
      <c r="AH57" s="176">
        <f t="shared" si="14"/>
        <v>4</v>
      </c>
      <c r="AI57" s="225">
        <f t="shared" si="15"/>
        <v>-1.9967652178782869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3"/>
        <v>43144</v>
      </c>
      <c r="B58" s="622"/>
      <c r="C58" s="966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6">
        <f t="shared" si="2"/>
        <v>0</v>
      </c>
      <c r="M58" s="968"/>
      <c r="N58" s="968"/>
      <c r="O58" s="324">
        <f t="shared" si="3"/>
        <v>0</v>
      </c>
      <c r="P58" s="169">
        <f>(INDEX(Models!$BJ58:$BT58,,T58)*(1-R58)+INDEX(Models!$BJ58:$BT58,,T58+1)*R58-ERP_i)*Q58*Ramure*Pc/MaxiM</f>
        <v>1.0160897854452501E-6</v>
      </c>
      <c r="Q58" s="305">
        <f t="shared" si="18"/>
        <v>0.7</v>
      </c>
      <c r="R58" s="177">
        <f t="shared" si="4"/>
        <v>3.3967841927522446E-3</v>
      </c>
      <c r="S58" s="919">
        <f t="shared" si="19"/>
        <v>-2</v>
      </c>
      <c r="T58" s="176">
        <f t="shared" si="20"/>
        <v>4</v>
      </c>
      <c r="U58" s="251">
        <f t="shared" si="21"/>
        <v>-1.9966032158072478</v>
      </c>
      <c r="V58" s="383">
        <f t="shared" si="5"/>
        <v>41.195357558971438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5">
        <f t="shared" si="11"/>
        <v>0</v>
      </c>
      <c r="AD58" s="169">
        <f>(INDEX(Models!$BJ58:$BT58,,AH58)*(1-AF58)+INDEX(Models!$BJ58:$BT58,,AH58+1)*AF58-ERP_i)*AE58*Ramure*Pc/MaxiM</f>
        <v>1.0160897854452501E-6</v>
      </c>
      <c r="AE58" s="305">
        <f t="shared" si="12"/>
        <v>0.7</v>
      </c>
      <c r="AF58" s="177">
        <f t="shared" si="13"/>
        <v>3.3967841927522446E-3</v>
      </c>
      <c r="AG58" s="919">
        <f t="shared" si="22"/>
        <v>-2</v>
      </c>
      <c r="AH58" s="176">
        <f t="shared" si="14"/>
        <v>4</v>
      </c>
      <c r="AI58" s="225">
        <f t="shared" si="15"/>
        <v>-1.9966032158072478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23"/>
        <v>43145</v>
      </c>
      <c r="B59" s="622"/>
      <c r="C59" s="966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6">
        <f t="shared" si="2"/>
        <v>0</v>
      </c>
      <c r="M59" s="968"/>
      <c r="N59" s="968"/>
      <c r="O59" s="324">
        <f t="shared" si="3"/>
        <v>0</v>
      </c>
      <c r="P59" s="169">
        <f>(INDEX(Models!$BJ59:$BT59,,T59)*(1-R59)+INDEX(Models!$BJ59:$BT59,,T59+1)*R59-ERP_i)*Q59*Ramure*Pc/MaxiM</f>
        <v>1.067273768796218E-6</v>
      </c>
      <c r="Q59" s="305">
        <f t="shared" si="18"/>
        <v>0.7</v>
      </c>
      <c r="R59" s="177">
        <f t="shared" si="4"/>
        <v>3.5654702567340379E-3</v>
      </c>
      <c r="S59" s="919">
        <f t="shared" si="19"/>
        <v>-2</v>
      </c>
      <c r="T59" s="176">
        <f t="shared" si="20"/>
        <v>4</v>
      </c>
      <c r="U59" s="251">
        <f t="shared" si="21"/>
        <v>-1.996434529743266</v>
      </c>
      <c r="V59" s="383">
        <f t="shared" si="5"/>
        <v>41.542743472361792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5">
        <f t="shared" si="11"/>
        <v>0</v>
      </c>
      <c r="AD59" s="169">
        <f>(INDEX(Models!$BJ59:$BT59,,AH59)*(1-AF59)+INDEX(Models!$BJ59:$BT59,,AH59+1)*AF59-ERP_i)*AE59*Ramure*Pc/MaxiM</f>
        <v>1.067273768796218E-6</v>
      </c>
      <c r="AE59" s="305">
        <f t="shared" si="12"/>
        <v>0.7</v>
      </c>
      <c r="AF59" s="177">
        <f t="shared" si="13"/>
        <v>3.5654702567340379E-3</v>
      </c>
      <c r="AG59" s="919">
        <f t="shared" si="22"/>
        <v>-2</v>
      </c>
      <c r="AH59" s="176">
        <f t="shared" si="14"/>
        <v>4</v>
      </c>
      <c r="AI59" s="225">
        <f t="shared" si="15"/>
        <v>-1.996434529743266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23"/>
        <v>43146</v>
      </c>
      <c r="B60" s="622"/>
      <c r="C60" s="966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6">
        <f t="shared" si="2"/>
        <v>0</v>
      </c>
      <c r="M60" s="968"/>
      <c r="N60" s="968"/>
      <c r="O60" s="324">
        <f t="shared" si="3"/>
        <v>0</v>
      </c>
      <c r="P60" s="169">
        <f>(INDEX(Models!$BJ60:$BT60,,T60)*(1-R60)+INDEX(Models!$BJ60:$BT60,,T60+1)*R60-ERP_i)*Q60*Ramure*Pc/MaxiM</f>
        <v>1.1212375111744845E-6</v>
      </c>
      <c r="Q60" s="305">
        <f t="shared" si="18"/>
        <v>0.7</v>
      </c>
      <c r="R60" s="177">
        <f t="shared" si="4"/>
        <v>3.7411112230645305E-3</v>
      </c>
      <c r="S60" s="919">
        <f t="shared" si="19"/>
        <v>-2</v>
      </c>
      <c r="T60" s="176">
        <f t="shared" si="20"/>
        <v>4</v>
      </c>
      <c r="U60" s="251">
        <f t="shared" si="21"/>
        <v>-1.9962588887769355</v>
      </c>
      <c r="V60" s="383">
        <f t="shared" si="5"/>
        <v>41.888298514325179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5">
        <f t="shared" si="11"/>
        <v>0</v>
      </c>
      <c r="AD60" s="169">
        <f>(INDEX(Models!$BJ60:$BT60,,AH60)*(1-AF60)+INDEX(Models!$BJ60:$BT60,,AH60+1)*AF60-ERP_i)*AE60*Ramure*Pc/MaxiM</f>
        <v>1.1212375111744845E-6</v>
      </c>
      <c r="AE60" s="305">
        <f t="shared" si="12"/>
        <v>0.7</v>
      </c>
      <c r="AF60" s="177">
        <f t="shared" si="13"/>
        <v>3.7411112230645305E-3</v>
      </c>
      <c r="AG60" s="919">
        <f t="shared" si="22"/>
        <v>-2</v>
      </c>
      <c r="AH60" s="176">
        <f t="shared" si="14"/>
        <v>4</v>
      </c>
      <c r="AI60" s="225">
        <f t="shared" si="15"/>
        <v>-1.9962588887769355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3"/>
        <v>43147</v>
      </c>
      <c r="B61" s="622"/>
      <c r="C61" s="966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6">
        <f t="shared" si="2"/>
        <v>0</v>
      </c>
      <c r="M61" s="968"/>
      <c r="N61" s="968"/>
      <c r="O61" s="324">
        <f t="shared" si="3"/>
        <v>0</v>
      </c>
      <c r="P61" s="169">
        <f>(INDEX(Models!$BJ61:$BT61,,T61)*(1-R61)+INDEX(Models!$BJ61:$BT61,,T61+1)*R61-ERP_i)*Q61*Ramure*Pc/MaxiM</f>
        <v>1.1781634463538041E-6</v>
      </c>
      <c r="Q61" s="305">
        <f t="shared" si="18"/>
        <v>0.7</v>
      </c>
      <c r="R61" s="177">
        <f t="shared" si="4"/>
        <v>3.9239885688524545E-3</v>
      </c>
      <c r="S61" s="919">
        <f t="shared" si="19"/>
        <v>-2</v>
      </c>
      <c r="T61" s="176">
        <f t="shared" si="20"/>
        <v>4</v>
      </c>
      <c r="U61" s="251">
        <f t="shared" si="21"/>
        <v>-1.9960760114311475</v>
      </c>
      <c r="V61" s="383">
        <f t="shared" si="5"/>
        <v>42.231484227986229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5">
        <f t="shared" si="11"/>
        <v>0</v>
      </c>
      <c r="AD61" s="169">
        <f>(INDEX(Models!$BJ61:$BT61,,AH61)*(1-AF61)+INDEX(Models!$BJ61:$BT61,,AH61+1)*AF61-ERP_i)*AE61*Ramure*Pc/MaxiM</f>
        <v>1.1781634463538041E-6</v>
      </c>
      <c r="AE61" s="305">
        <f t="shared" si="12"/>
        <v>0.7</v>
      </c>
      <c r="AF61" s="177">
        <f t="shared" si="13"/>
        <v>3.9239885688524545E-3</v>
      </c>
      <c r="AG61" s="919">
        <f t="shared" si="22"/>
        <v>-2</v>
      </c>
      <c r="AH61" s="176">
        <f t="shared" si="14"/>
        <v>4</v>
      </c>
      <c r="AI61" s="225">
        <f t="shared" si="15"/>
        <v>-1.9960760114311475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23"/>
        <v>43148</v>
      </c>
      <c r="B62" s="622"/>
      <c r="C62" s="966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6">
        <f t="shared" si="2"/>
        <v>0</v>
      </c>
      <c r="M62" s="968"/>
      <c r="N62" s="968"/>
      <c r="O62" s="324">
        <f t="shared" si="3"/>
        <v>0</v>
      </c>
      <c r="P62" s="169">
        <f>(INDEX(Models!$BJ62:$BT62,,T62)*(1-R62)+INDEX(Models!$BJ62:$BT62,,T62+1)*R62-ERP_i)*Q62*Ramure*Pc/MaxiM</f>
        <v>1.2382456203998601E-6</v>
      </c>
      <c r="Q62" s="305">
        <f t="shared" si="18"/>
        <v>0.7</v>
      </c>
      <c r="R62" s="177">
        <f t="shared" si="4"/>
        <v>4.11439471600894E-3</v>
      </c>
      <c r="S62" s="919">
        <f t="shared" si="19"/>
        <v>-2</v>
      </c>
      <c r="T62" s="176">
        <f t="shared" si="20"/>
        <v>4</v>
      </c>
      <c r="U62" s="251">
        <f t="shared" si="21"/>
        <v>-1.9958856052839911</v>
      </c>
      <c r="V62" s="383">
        <f t="shared" si="5"/>
        <v>42.571762154754744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5">
        <f t="shared" si="11"/>
        <v>0</v>
      </c>
      <c r="AD62" s="169">
        <f>(INDEX(Models!$BJ62:$BT62,,AH62)*(1-AF62)+INDEX(Models!$BJ62:$BT62,,AH62+1)*AF62-ERP_i)*AE62*Ramure*Pc/MaxiM</f>
        <v>1.2382456203998601E-6</v>
      </c>
      <c r="AE62" s="305">
        <f t="shared" si="12"/>
        <v>0.7</v>
      </c>
      <c r="AF62" s="177">
        <f t="shared" si="13"/>
        <v>4.11439471600894E-3</v>
      </c>
      <c r="AG62" s="919">
        <f t="shared" si="22"/>
        <v>-2</v>
      </c>
      <c r="AH62" s="176">
        <f t="shared" si="14"/>
        <v>4</v>
      </c>
      <c r="AI62" s="225">
        <f t="shared" si="15"/>
        <v>-1.9958856052839911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3"/>
        <v>43149</v>
      </c>
      <c r="B63" s="622"/>
      <c r="C63" s="966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6">
        <f t="shared" si="2"/>
        <v>0</v>
      </c>
      <c r="M63" s="968"/>
      <c r="N63" s="968"/>
      <c r="O63" s="324">
        <f t="shared" si="3"/>
        <v>0</v>
      </c>
      <c r="P63" s="169">
        <f>(INDEX(Models!$BJ63:$BT63,,T63)*(1-R63)+INDEX(Models!$BJ63:$BT63,,T63+1)*R63-ERP_i)*Q63*Ramure*Pc/MaxiM</f>
        <v>1.3016905470751829E-6</v>
      </c>
      <c r="Q63" s="305">
        <f t="shared" si="18"/>
        <v>0.7</v>
      </c>
      <c r="R63" s="177">
        <f t="shared" si="4"/>
        <v>4.3126334187570947E-3</v>
      </c>
      <c r="S63" s="919">
        <f t="shared" si="19"/>
        <v>-2</v>
      </c>
      <c r="T63" s="176">
        <f t="shared" si="20"/>
        <v>4</v>
      </c>
      <c r="U63" s="251">
        <f t="shared" si="21"/>
        <v>-1.9956873665812429</v>
      </c>
      <c r="V63" s="383">
        <f t="shared" si="5"/>
        <v>42.908593837184426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5">
        <f t="shared" si="11"/>
        <v>0</v>
      </c>
      <c r="AD63" s="169">
        <f>(INDEX(Models!$BJ63:$BT63,,AH63)*(1-AF63)+INDEX(Models!$BJ63:$BT63,,AH63+1)*AF63-ERP_i)*AE63*Ramure*Pc/MaxiM</f>
        <v>1.3016905470751829E-6</v>
      </c>
      <c r="AE63" s="305">
        <f t="shared" si="12"/>
        <v>0.7</v>
      </c>
      <c r="AF63" s="177">
        <f t="shared" si="13"/>
        <v>4.3126334187570947E-3</v>
      </c>
      <c r="AG63" s="919">
        <f t="shared" si="22"/>
        <v>-2</v>
      </c>
      <c r="AH63" s="176">
        <f t="shared" si="14"/>
        <v>4</v>
      </c>
      <c r="AI63" s="225">
        <f t="shared" si="15"/>
        <v>-1.9956873665812429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23"/>
        <v>43150</v>
      </c>
      <c r="B64" s="622"/>
      <c r="C64" s="966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6">
        <f t="shared" si="2"/>
        <v>0</v>
      </c>
      <c r="M64" s="968"/>
      <c r="N64" s="968"/>
      <c r="O64" s="324">
        <f t="shared" si="3"/>
        <v>0</v>
      </c>
      <c r="P64" s="169">
        <f>(INDEX(Models!$BJ64:$BT64,,T64)*(1-R64)+INDEX(Models!$BJ64:$BT64,,T64+1)*R64-ERP_i)*Q64*Ramure*Pc/MaxiM</f>
        <v>1.3687181379507095E-6</v>
      </c>
      <c r="Q64" s="305">
        <f t="shared" si="18"/>
        <v>0.7</v>
      </c>
      <c r="R64" s="177">
        <f t="shared" si="4"/>
        <v>4.5190201615661341E-3</v>
      </c>
      <c r="S64" s="919">
        <f t="shared" si="19"/>
        <v>-2</v>
      </c>
      <c r="T64" s="176">
        <f t="shared" si="20"/>
        <v>4</v>
      </c>
      <c r="U64" s="251">
        <f t="shared" si="21"/>
        <v>-1.9954809798384339</v>
      </c>
      <c r="V64" s="383">
        <f t="shared" si="5"/>
        <v>43.241440814857761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5">
        <f t="shared" si="11"/>
        <v>0</v>
      </c>
      <c r="AD64" s="169">
        <f>(INDEX(Models!$BJ64:$BT64,,AH64)*(1-AF64)+INDEX(Models!$BJ64:$BT64,,AH64+1)*AF64-ERP_i)*AE64*Ramure*Pc/MaxiM</f>
        <v>1.3687181379507095E-6</v>
      </c>
      <c r="AE64" s="305">
        <f t="shared" si="12"/>
        <v>0.7</v>
      </c>
      <c r="AF64" s="177">
        <f t="shared" si="13"/>
        <v>4.5190201615661341E-3</v>
      </c>
      <c r="AG64" s="919">
        <f t="shared" si="22"/>
        <v>-2</v>
      </c>
      <c r="AH64" s="176">
        <f t="shared" si="14"/>
        <v>4</v>
      </c>
      <c r="AI64" s="225">
        <f t="shared" si="15"/>
        <v>-1.9954809798384339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3"/>
        <v>43151</v>
      </c>
      <c r="B65" s="622"/>
      <c r="C65" s="966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6">
        <f t="shared" si="2"/>
        <v>0</v>
      </c>
      <c r="M65" s="968"/>
      <c r="N65" s="968"/>
      <c r="O65" s="324">
        <f t="shared" si="3"/>
        <v>0</v>
      </c>
      <c r="P65" s="169">
        <f>(INDEX(Models!$BJ65:$BT65,,T65)*(1-R65)+INDEX(Models!$BJ65:$BT65,,T65+1)*R65-ERP_i)*Q65*Ramure*Pc/MaxiM</f>
        <v>1.4395259474220053E-6</v>
      </c>
      <c r="Q65" s="305">
        <f t="shared" si="18"/>
        <v>0.7</v>
      </c>
      <c r="R65" s="177">
        <f t="shared" si="4"/>
        <v>4.7338825674763108E-3</v>
      </c>
      <c r="S65" s="919">
        <f t="shared" si="19"/>
        <v>-2</v>
      </c>
      <c r="T65" s="176">
        <f t="shared" si="20"/>
        <v>4</v>
      </c>
      <c r="U65" s="251">
        <f t="shared" si="21"/>
        <v>-1.9952661174325237</v>
      </c>
      <c r="V65" s="383">
        <f t="shared" si="5"/>
        <v>43.570877420932007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5">
        <f t="shared" si="11"/>
        <v>0</v>
      </c>
      <c r="AD65" s="169">
        <f>(INDEX(Models!$BJ65:$BT65,,AH65)*(1-AF65)+INDEX(Models!$BJ65:$BT65,,AH65+1)*AF65-ERP_i)*AE65*Ramure*Pc/MaxiM</f>
        <v>1.4395259474220053E-6</v>
      </c>
      <c r="AE65" s="305">
        <f t="shared" si="12"/>
        <v>0.7</v>
      </c>
      <c r="AF65" s="177">
        <f t="shared" si="13"/>
        <v>4.7338825674763108E-3</v>
      </c>
      <c r="AG65" s="919">
        <f t="shared" si="22"/>
        <v>-2</v>
      </c>
      <c r="AH65" s="176">
        <f t="shared" si="14"/>
        <v>4</v>
      </c>
      <c r="AI65" s="225">
        <f t="shared" si="15"/>
        <v>-1.9952661174325237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3"/>
        <v>43152</v>
      </c>
      <c r="B66" s="622"/>
      <c r="C66" s="966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6">
        <f t="shared" si="2"/>
        <v>0</v>
      </c>
      <c r="M66" s="968"/>
      <c r="N66" s="968"/>
      <c r="O66" s="324">
        <f t="shared" si="3"/>
        <v>0</v>
      </c>
      <c r="P66" s="169">
        <f>(INDEX(Models!$BJ66:$BT66,,T66)*(1-R66)+INDEX(Models!$BJ66:$BT66,,T66+1)*R66-ERP_i)*Q66*Ramure*Pc/MaxiM</f>
        <v>1.5127669919565288E-6</v>
      </c>
      <c r="Q66" s="305">
        <f t="shared" si="18"/>
        <v>0.7</v>
      </c>
      <c r="R66" s="177">
        <f t="shared" si="4"/>
        <v>4.9575608167631291E-3</v>
      </c>
      <c r="S66" s="919">
        <f t="shared" si="19"/>
        <v>-2</v>
      </c>
      <c r="T66" s="176">
        <f t="shared" si="20"/>
        <v>4</v>
      </c>
      <c r="U66" s="251">
        <f t="shared" si="21"/>
        <v>-1.9950424391832369</v>
      </c>
      <c r="V66" s="383">
        <f t="shared" si="5"/>
        <v>43.897908811713009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5">
        <f t="shared" si="11"/>
        <v>0</v>
      </c>
      <c r="AD66" s="169">
        <f>(INDEX(Models!$BJ66:$BT66,,AH66)*(1-AF66)+INDEX(Models!$BJ66:$BT66,,AH66+1)*AF66-ERP_i)*AE66*Ramure*Pc/MaxiM</f>
        <v>1.5127669919565288E-6</v>
      </c>
      <c r="AE66" s="305">
        <f t="shared" si="12"/>
        <v>0.7</v>
      </c>
      <c r="AF66" s="177">
        <f t="shared" si="13"/>
        <v>4.9575608167631291E-3</v>
      </c>
      <c r="AG66" s="919">
        <f t="shared" si="22"/>
        <v>-2</v>
      </c>
      <c r="AH66" s="176">
        <f t="shared" si="14"/>
        <v>4</v>
      </c>
      <c r="AI66" s="225">
        <f t="shared" si="15"/>
        <v>-1.9950424391832369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3"/>
        <v>43153</v>
      </c>
      <c r="B67" s="622"/>
      <c r="C67" s="966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6">
        <f t="shared" si="2"/>
        <v>0</v>
      </c>
      <c r="M67" s="968"/>
      <c r="N67" s="968"/>
      <c r="O67" s="324">
        <f t="shared" si="3"/>
        <v>0</v>
      </c>
      <c r="P67" s="169">
        <f>(INDEX(Models!$BJ67:$BT67,,T67)*(1-R67)+INDEX(Models!$BJ67:$BT67,,T67+1)*R67-ERP_i)*Q67*Ramure*Pc/MaxiM</f>
        <v>1.5881717871856988E-6</v>
      </c>
      <c r="Q67" s="305">
        <f t="shared" si="18"/>
        <v>0.7</v>
      </c>
      <c r="R67" s="177">
        <f t="shared" si="4"/>
        <v>5.1904080758322646E-3</v>
      </c>
      <c r="S67" s="919">
        <f t="shared" si="19"/>
        <v>-2</v>
      </c>
      <c r="T67" s="176">
        <f t="shared" si="20"/>
        <v>4</v>
      </c>
      <c r="U67" s="251">
        <f t="shared" si="21"/>
        <v>-1.9948095919241677</v>
      </c>
      <c r="V67" s="383">
        <f t="shared" si="5"/>
        <v>44.222642685957439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5">
        <f t="shared" si="11"/>
        <v>0</v>
      </c>
      <c r="AD67" s="169">
        <f>(INDEX(Models!$BJ67:$BT67,,AH67)*(1-AF67)+INDEX(Models!$BJ67:$BT67,,AH67+1)*AF67-ERP_i)*AE67*Ramure*Pc/MaxiM</f>
        <v>1.5881717871856988E-6</v>
      </c>
      <c r="AE67" s="305">
        <f t="shared" si="12"/>
        <v>0.7</v>
      </c>
      <c r="AF67" s="177">
        <f t="shared" si="13"/>
        <v>5.1904080758322646E-3</v>
      </c>
      <c r="AG67" s="919">
        <f t="shared" si="22"/>
        <v>-2</v>
      </c>
      <c r="AH67" s="176">
        <f t="shared" si="14"/>
        <v>4</v>
      </c>
      <c r="AI67" s="225">
        <f t="shared" si="15"/>
        <v>-1.9948095919241677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3"/>
        <v>43154</v>
      </c>
      <c r="B68" s="622"/>
      <c r="C68" s="966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6">
        <f t="shared" si="2"/>
        <v>0</v>
      </c>
      <c r="M68" s="968"/>
      <c r="N68" s="968"/>
      <c r="O68" s="324">
        <f t="shared" si="3"/>
        <v>0</v>
      </c>
      <c r="P68" s="169">
        <f>(INDEX(Models!$BJ68:$BT68,,T68)*(1-R68)+INDEX(Models!$BJ68:$BT68,,T68+1)*R68-ERP_i)*Q68*Ramure*Pc/MaxiM</f>
        <v>1.6657377395169334E-6</v>
      </c>
      <c r="Q68" s="305">
        <f t="shared" si="18"/>
        <v>0.7</v>
      </c>
      <c r="R68" s="177">
        <f t="shared" si="4"/>
        <v>5.4327909362101856E-3</v>
      </c>
      <c r="S68" s="919">
        <f t="shared" si="19"/>
        <v>-2</v>
      </c>
      <c r="T68" s="176">
        <f t="shared" si="20"/>
        <v>4</v>
      </c>
      <c r="U68" s="251">
        <f t="shared" si="21"/>
        <v>-1.9945672090637898</v>
      </c>
      <c r="V68" s="383">
        <f t="shared" si="5"/>
        <v>44.545186732212883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5">
        <f t="shared" si="11"/>
        <v>0</v>
      </c>
      <c r="AD68" s="169">
        <f>(INDEX(Models!$BJ68:$BT68,,AH68)*(1-AF68)+INDEX(Models!$BJ68:$BT68,,AH68+1)*AF68-ERP_i)*AE68*Ramure*Pc/MaxiM</f>
        <v>1.6657377395169334E-6</v>
      </c>
      <c r="AE68" s="305">
        <f t="shared" si="12"/>
        <v>0.7</v>
      </c>
      <c r="AF68" s="177">
        <f t="shared" si="13"/>
        <v>5.4327909362101856E-3</v>
      </c>
      <c r="AG68" s="919">
        <f t="shared" si="22"/>
        <v>-2</v>
      </c>
      <c r="AH68" s="176">
        <f t="shared" si="14"/>
        <v>4</v>
      </c>
      <c r="AI68" s="225">
        <f t="shared" si="15"/>
        <v>-1.9945672090637898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3"/>
        <v>43155</v>
      </c>
      <c r="B69" s="622"/>
      <c r="C69" s="966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6">
        <f t="shared" si="2"/>
        <v>0</v>
      </c>
      <c r="M69" s="968"/>
      <c r="N69" s="968"/>
      <c r="O69" s="324">
        <f t="shared" si="3"/>
        <v>0</v>
      </c>
      <c r="P69" s="169">
        <f>(INDEX(Models!$BJ69:$BT69,,T69)*(1-R69)+INDEX(Models!$BJ69:$BT69,,T69+1)*R69-ERP_i)*Q69*Ramure*Pc/MaxiM</f>
        <v>1.7454654694141833E-6</v>
      </c>
      <c r="Q69" s="305">
        <f t="shared" si="18"/>
        <v>0.7</v>
      </c>
      <c r="R69" s="177">
        <f t="shared" si="4"/>
        <v>5.6850898634284164E-3</v>
      </c>
      <c r="S69" s="919">
        <f t="shared" si="19"/>
        <v>-2</v>
      </c>
      <c r="T69" s="176">
        <f t="shared" si="20"/>
        <v>4</v>
      </c>
      <c r="U69" s="251">
        <f t="shared" si="21"/>
        <v>-1.9943149101365716</v>
      </c>
      <c r="V69" s="383">
        <f t="shared" si="5"/>
        <v>44.86564863834932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5">
        <f t="shared" si="11"/>
        <v>0</v>
      </c>
      <c r="AD69" s="169">
        <f>(INDEX(Models!$BJ69:$BT69,,AH69)*(1-AF69)+INDEX(Models!$BJ69:$BT69,,AH69+1)*AF69-ERP_i)*AE69*Ramure*Pc/MaxiM</f>
        <v>1.7454654694141833E-6</v>
      </c>
      <c r="AE69" s="305">
        <f t="shared" si="12"/>
        <v>0.7</v>
      </c>
      <c r="AF69" s="177">
        <f t="shared" si="13"/>
        <v>5.6850898634284164E-3</v>
      </c>
      <c r="AG69" s="919">
        <f t="shared" si="22"/>
        <v>-2</v>
      </c>
      <c r="AH69" s="176">
        <f t="shared" si="14"/>
        <v>4</v>
      </c>
      <c r="AI69" s="225">
        <f t="shared" si="15"/>
        <v>-1.9943149101365716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3"/>
        <v>43156</v>
      </c>
      <c r="B70" s="622"/>
      <c r="C70" s="966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6">
        <f t="shared" si="2"/>
        <v>0</v>
      </c>
      <c r="M70" s="968"/>
      <c r="N70" s="968"/>
      <c r="O70" s="324">
        <f t="shared" si="3"/>
        <v>0</v>
      </c>
      <c r="P70" s="169">
        <f>(INDEX(Models!$BJ70:$BT70,,T70)*(1-R70)+INDEX(Models!$BJ70:$BT70,,T70+1)*R70-ERP_i)*Q70*Ramure*Pc/MaxiM</f>
        <v>1.82735138121814E-6</v>
      </c>
      <c r="Q70" s="305">
        <f t="shared" si="18"/>
        <v>0.7</v>
      </c>
      <c r="R70" s="177">
        <f t="shared" si="4"/>
        <v>5.9476996555645201E-3</v>
      </c>
      <c r="S70" s="919">
        <f t="shared" si="19"/>
        <v>-2</v>
      </c>
      <c r="T70" s="176">
        <f t="shared" si="20"/>
        <v>4</v>
      </c>
      <c r="U70" s="251">
        <f t="shared" si="21"/>
        <v>-1.9940523003444355</v>
      </c>
      <c r="V70" s="383">
        <f t="shared" si="5"/>
        <v>45.184136091568071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5">
        <f t="shared" si="11"/>
        <v>0</v>
      </c>
      <c r="AD70" s="169">
        <f>(INDEX(Models!$BJ70:$BT70,,AH70)*(1-AF70)+INDEX(Models!$BJ70:$BT70,,AH70+1)*AF70-ERP_i)*AE70*Ramure*Pc/MaxiM</f>
        <v>1.82735138121814E-6</v>
      </c>
      <c r="AE70" s="305">
        <f t="shared" si="12"/>
        <v>0.7</v>
      </c>
      <c r="AF70" s="177">
        <f t="shared" si="13"/>
        <v>5.9476996555645201E-3</v>
      </c>
      <c r="AG70" s="919">
        <f t="shared" si="22"/>
        <v>-2</v>
      </c>
      <c r="AH70" s="176">
        <f t="shared" si="14"/>
        <v>4</v>
      </c>
      <c r="AI70" s="225">
        <f t="shared" si="15"/>
        <v>-1.9940523003444355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23"/>
        <v>43157</v>
      </c>
      <c r="B71" s="622"/>
      <c r="C71" s="966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6">
        <f t="shared" si="2"/>
        <v>0</v>
      </c>
      <c r="M71" s="968"/>
      <c r="N71" s="968"/>
      <c r="O71" s="324">
        <f t="shared" si="3"/>
        <v>0</v>
      </c>
      <c r="P71" s="169">
        <f>(INDEX(Models!$BJ71:$BT71,,T71)*(1-R71)+INDEX(Models!$BJ71:$BT71,,T71+1)*R71-ERP_i)*Q71*Ramure*Pc/MaxiM</f>
        <v>1.911387355513587E-6</v>
      </c>
      <c r="Q71" s="305">
        <f t="shared" si="18"/>
        <v>0.7</v>
      </c>
      <c r="R71" s="177">
        <f t="shared" si="4"/>
        <v>6.2210299111298273E-3</v>
      </c>
      <c r="S71" s="919">
        <f t="shared" si="19"/>
        <v>-2</v>
      </c>
      <c r="T71" s="176">
        <f t="shared" si="20"/>
        <v>4</v>
      </c>
      <c r="U71" s="251">
        <f t="shared" si="21"/>
        <v>-1.9937789700888702</v>
      </c>
      <c r="V71" s="383">
        <f t="shared" si="5"/>
        <v>45.500756780482384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5">
        <f t="shared" si="11"/>
        <v>0</v>
      </c>
      <c r="AD71" s="169">
        <f>(INDEX(Models!$BJ71:$BT71,,AH71)*(1-AF71)+INDEX(Models!$BJ71:$BT71,,AH71+1)*AF71-ERP_i)*AE71*Ramure*Pc/MaxiM</f>
        <v>1.911387355513587E-6</v>
      </c>
      <c r="AE71" s="305">
        <f t="shared" si="12"/>
        <v>0.7</v>
      </c>
      <c r="AF71" s="177">
        <f t="shared" si="13"/>
        <v>6.2210299111298273E-3</v>
      </c>
      <c r="AG71" s="919">
        <f t="shared" si="22"/>
        <v>-2</v>
      </c>
      <c r="AH71" s="176">
        <f t="shared" si="14"/>
        <v>4</v>
      </c>
      <c r="AI71" s="225">
        <f t="shared" si="15"/>
        <v>-1.9937789700888702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3"/>
        <v>43158</v>
      </c>
      <c r="B72" s="622"/>
      <c r="C72" s="966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6">
        <f t="shared" si="2"/>
        <v>0</v>
      </c>
      <c r="M72" s="968"/>
      <c r="N72" s="968"/>
      <c r="O72" s="324">
        <f t="shared" si="3"/>
        <v>0</v>
      </c>
      <c r="P72" s="169">
        <f>(INDEX(Models!$BJ72:$BT72,,T72)*(1-R72)+INDEX(Models!$BJ72:$BT72,,T72+1)*R72-ERP_i)*Q72*Ramure*Pc/MaxiM</f>
        <v>1.9927178426507967E-6</v>
      </c>
      <c r="Q72" s="305">
        <f t="shared" si="18"/>
        <v>0.7</v>
      </c>
      <c r="R72" s="177">
        <f t="shared" si="4"/>
        <v>6.5055055059399791E-3</v>
      </c>
      <c r="S72" s="919">
        <f t="shared" si="19"/>
        <v>-2</v>
      </c>
      <c r="T72" s="176">
        <f t="shared" si="20"/>
        <v>4</v>
      </c>
      <c r="U72" s="251">
        <f t="shared" si="21"/>
        <v>-1.99349449449406</v>
      </c>
      <c r="V72" s="383">
        <f t="shared" si="5"/>
        <v>45.815618614781464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5">
        <f t="shared" si="11"/>
        <v>0</v>
      </c>
      <c r="AD72" s="169">
        <f>(INDEX(Models!$BJ72:$BT72,,AH72)*(1-AF72)+INDEX(Models!$BJ72:$BT72,,AH72+1)*AF72-ERP_i)*AE72*Ramure*Pc/MaxiM</f>
        <v>1.9927178426507967E-6</v>
      </c>
      <c r="AE72" s="305">
        <f t="shared" si="12"/>
        <v>0.7</v>
      </c>
      <c r="AF72" s="177">
        <f t="shared" si="13"/>
        <v>6.5055055059399791E-3</v>
      </c>
      <c r="AG72" s="919">
        <f t="shared" si="22"/>
        <v>-2</v>
      </c>
      <c r="AH72" s="176">
        <f t="shared" si="14"/>
        <v>4</v>
      </c>
      <c r="AI72" s="225">
        <f t="shared" si="15"/>
        <v>-1.99349449449406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3"/>
        <v>43159</v>
      </c>
      <c r="B73" s="622"/>
      <c r="C73" s="966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6">
        <f t="shared" si="2"/>
        <v>0</v>
      </c>
      <c r="M73" s="968"/>
      <c r="N73" s="968"/>
      <c r="O73" s="324">
        <f t="shared" si="3"/>
        <v>0</v>
      </c>
      <c r="P73" s="169">
        <f>(INDEX(Models!$BJ73:$BT73,,T73)*(1-R73)+INDEX(Models!$BJ73:$BT73,,T73+1)*R73-ERP_i)*Q73*Ramure*Pc/MaxiM</f>
        <v>2.0701461776769686E-6</v>
      </c>
      <c r="Q73" s="305">
        <f t="shared" si="18"/>
        <v>0.7</v>
      </c>
      <c r="R73" s="177">
        <f t="shared" si="4"/>
        <v>6.8015670785275262E-3</v>
      </c>
      <c r="S73" s="919">
        <f t="shared" si="19"/>
        <v>-2</v>
      </c>
      <c r="T73" s="176">
        <f t="shared" si="20"/>
        <v>4</v>
      </c>
      <c r="U73" s="251">
        <f t="shared" si="21"/>
        <v>-1.9931984329214725</v>
      </c>
      <c r="V73" s="383">
        <f t="shared" si="5"/>
        <v>46.12882934237475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5">
        <f t="shared" si="11"/>
        <v>0</v>
      </c>
      <c r="AD73" s="169">
        <f>(INDEX(Models!$BJ73:$BT73,,AH73)*(1-AF73)+INDEX(Models!$BJ73:$BT73,,AH73+1)*AF73-ERP_i)*AE73*Ramure*Pc/MaxiM</f>
        <v>2.0701461776769686E-6</v>
      </c>
      <c r="AE73" s="305">
        <f t="shared" si="12"/>
        <v>0.7</v>
      </c>
      <c r="AF73" s="177">
        <f t="shared" si="13"/>
        <v>6.8015670785275262E-3</v>
      </c>
      <c r="AG73" s="919">
        <f t="shared" si="22"/>
        <v>-2</v>
      </c>
      <c r="AH73" s="176">
        <f t="shared" si="14"/>
        <v>4</v>
      </c>
      <c r="AI73" s="225">
        <f t="shared" si="15"/>
        <v>-1.9931984329214725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3"/>
        <v>43160</v>
      </c>
      <c r="B74" s="622"/>
      <c r="C74" s="966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6">
        <f t="shared" si="2"/>
        <v>0</v>
      </c>
      <c r="M74" s="968"/>
      <c r="N74" s="968"/>
      <c r="O74" s="324">
        <f t="shared" si="3"/>
        <v>0</v>
      </c>
      <c r="P74" s="169">
        <f>(INDEX(Models!$BJ74:$BT74,,T74)*(1-R74)+INDEX(Models!$BJ74:$BT74,,T74+1)*R74-ERP_i)*Q74*Ramure*Pc/MaxiM</f>
        <v>2.1429731886674939E-6</v>
      </c>
      <c r="Q74" s="305">
        <f t="shared" si="18"/>
        <v>0.7</v>
      </c>
      <c r="R74" s="177">
        <f t="shared" si="4"/>
        <v>7.109671523586325E-3</v>
      </c>
      <c r="S74" s="919">
        <f t="shared" si="19"/>
        <v>-2</v>
      </c>
      <c r="T74" s="176">
        <f t="shared" si="20"/>
        <v>4</v>
      </c>
      <c r="U74" s="251">
        <f t="shared" si="21"/>
        <v>-1.9928903284764137</v>
      </c>
      <c r="V74" s="383">
        <f t="shared" si="5"/>
        <v>46.4404966890461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5">
        <f t="shared" si="11"/>
        <v>0</v>
      </c>
      <c r="AD74" s="169">
        <f>(INDEX(Models!$BJ74:$BT74,,AH74)*(1-AF74)+INDEX(Models!$BJ74:$BT74,,AH74+1)*AF74-ERP_i)*AE74*Ramure*Pc/MaxiM</f>
        <v>2.1429731886674939E-6</v>
      </c>
      <c r="AE74" s="305">
        <f t="shared" si="12"/>
        <v>0.7</v>
      </c>
      <c r="AF74" s="177">
        <f t="shared" si="13"/>
        <v>7.109671523586325E-3</v>
      </c>
      <c r="AG74" s="919">
        <f t="shared" si="22"/>
        <v>-2</v>
      </c>
      <c r="AH74" s="176">
        <f t="shared" si="14"/>
        <v>4</v>
      </c>
      <c r="AI74" s="225">
        <f t="shared" si="15"/>
        <v>-1.9928903284764137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3"/>
        <v>43161</v>
      </c>
      <c r="B75" s="622"/>
      <c r="C75" s="966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6">
        <f t="shared" si="2"/>
        <v>0</v>
      </c>
      <c r="M75" s="968"/>
      <c r="N75" s="968"/>
      <c r="O75" s="324">
        <f t="shared" si="3"/>
        <v>0</v>
      </c>
      <c r="P75" s="169">
        <f>(INDEX(Models!$BJ75:$BT75,,T75)*(1-R75)+INDEX(Models!$BJ75:$BT75,,T75+1)*R75-ERP_i)*Q75*Ramure*Pc/MaxiM</f>
        <v>2.210446837286528E-6</v>
      </c>
      <c r="Q75" s="305">
        <f t="shared" si="18"/>
        <v>0.7</v>
      </c>
      <c r="R75" s="177">
        <f t="shared" si="4"/>
        <v>7.4302924928479896E-3</v>
      </c>
      <c r="S75" s="919">
        <f t="shared" si="19"/>
        <v>-2</v>
      </c>
      <c r="T75" s="176">
        <f t="shared" si="20"/>
        <v>4</v>
      </c>
      <c r="U75" s="251">
        <f t="shared" si="21"/>
        <v>-1.992569707507152</v>
      </c>
      <c r="V75" s="383">
        <f t="shared" si="5"/>
        <v>46.750728383397515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5">
        <f t="shared" si="11"/>
        <v>0</v>
      </c>
      <c r="AD75" s="169">
        <f>(INDEX(Models!$BJ75:$BT75,,AH75)*(1-AF75)+INDEX(Models!$BJ75:$BT75,,AH75+1)*AF75-ERP_i)*AE75*Ramure*Pc/MaxiM</f>
        <v>2.210446837286528E-6</v>
      </c>
      <c r="AE75" s="305">
        <f t="shared" si="12"/>
        <v>0.7</v>
      </c>
      <c r="AF75" s="177">
        <f t="shared" si="13"/>
        <v>7.4302924928479896E-3</v>
      </c>
      <c r="AG75" s="919">
        <f t="shared" si="22"/>
        <v>-2</v>
      </c>
      <c r="AH75" s="176">
        <f t="shared" si="14"/>
        <v>4</v>
      </c>
      <c r="AI75" s="225">
        <f t="shared" si="15"/>
        <v>-1.992569707507152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3"/>
        <v>43162</v>
      </c>
      <c r="B76" s="622"/>
      <c r="C76" s="966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6">
        <f t="shared" si="2"/>
        <v>0</v>
      </c>
      <c r="M76" s="968"/>
      <c r="N76" s="968"/>
      <c r="O76" s="324">
        <f t="shared" si="3"/>
        <v>0</v>
      </c>
      <c r="P76" s="169">
        <f>(INDEX(Models!$BJ76:$BT76,,T76)*(1-R76)+INDEX(Models!$BJ76:$BT76,,T76+1)*R76-ERP_i)*Q76*Ramure*Pc/MaxiM</f>
        <v>2.2717590908383585E-6</v>
      </c>
      <c r="Q76" s="305">
        <f t="shared" si="18"/>
        <v>0.7</v>
      </c>
      <c r="R76" s="177">
        <f t="shared" si="4"/>
        <v>7.7639209027058342E-3</v>
      </c>
      <c r="S76" s="919">
        <f t="shared" si="19"/>
        <v>-2</v>
      </c>
      <c r="T76" s="176">
        <f t="shared" si="20"/>
        <v>4</v>
      </c>
      <c r="U76" s="251">
        <f t="shared" si="21"/>
        <v>-1.9922360790972942</v>
      </c>
      <c r="V76" s="383">
        <f t="shared" si="5"/>
        <v>47.059632158696111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5">
        <f t="shared" si="11"/>
        <v>0</v>
      </c>
      <c r="AD76" s="169">
        <f>(INDEX(Models!$BJ76:$BT76,,AH76)*(1-AF76)+INDEX(Models!$BJ76:$BT76,,AH76+1)*AF76-ERP_i)*AE76*Ramure*Pc/MaxiM</f>
        <v>2.2717590908383585E-6</v>
      </c>
      <c r="AE76" s="305">
        <f t="shared" si="12"/>
        <v>0.7</v>
      </c>
      <c r="AF76" s="177">
        <f t="shared" si="13"/>
        <v>7.7639209027058342E-3</v>
      </c>
      <c r="AG76" s="919">
        <f t="shared" si="22"/>
        <v>-2</v>
      </c>
      <c r="AH76" s="176">
        <f t="shared" si="14"/>
        <v>4</v>
      </c>
      <c r="AI76" s="225">
        <f t="shared" si="15"/>
        <v>-1.9922360790972942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23"/>
        <v>43163</v>
      </c>
      <c r="B77" s="622"/>
      <c r="C77" s="966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6">
        <f t="shared" si="2"/>
        <v>0</v>
      </c>
      <c r="M77" s="968"/>
      <c r="N77" s="968"/>
      <c r="O77" s="324">
        <f t="shared" si="3"/>
        <v>0</v>
      </c>
      <c r="P77" s="169">
        <f>(INDEX(Models!$BJ77:$BT77,,T77)*(1-R77)+INDEX(Models!$BJ77:$BT77,,T77+1)*R77-ERP_i)*Q77*Ramure*Pc/MaxiM</f>
        <v>2.3260426179331726E-6</v>
      </c>
      <c r="Q77" s="305">
        <f t="shared" si="18"/>
        <v>0.7</v>
      </c>
      <c r="R77" s="177">
        <f t="shared" si="4"/>
        <v>8.1110654478040445E-3</v>
      </c>
      <c r="S77" s="919">
        <f t="shared" si="19"/>
        <v>-2</v>
      </c>
      <c r="T77" s="176">
        <f t="shared" si="20"/>
        <v>4</v>
      </c>
      <c r="U77" s="251">
        <f t="shared" si="21"/>
        <v>-1.991888934552196</v>
      </c>
      <c r="V77" s="383">
        <f t="shared" si="5"/>
        <v>47.367315750810853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5">
        <f t="shared" si="11"/>
        <v>0</v>
      </c>
      <c r="AD77" s="169">
        <f>(INDEX(Models!$BJ77:$BT77,,AH77)*(1-AF77)+INDEX(Models!$BJ77:$BT77,,AH77+1)*AF77-ERP_i)*AE77*Ramure*Pc/MaxiM</f>
        <v>2.3260426179331726E-6</v>
      </c>
      <c r="AE77" s="305">
        <f t="shared" si="12"/>
        <v>0.7</v>
      </c>
      <c r="AF77" s="177">
        <f t="shared" si="13"/>
        <v>8.1110654478040445E-3</v>
      </c>
      <c r="AG77" s="919">
        <f t="shared" si="22"/>
        <v>-2</v>
      </c>
      <c r="AH77" s="176">
        <f t="shared" si="14"/>
        <v>4</v>
      </c>
      <c r="AI77" s="225">
        <f t="shared" si="15"/>
        <v>-1.991888934552196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3"/>
        <v>43164</v>
      </c>
      <c r="B78" s="622"/>
      <c r="C78" s="966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6">
        <f t="shared" si="2"/>
        <v>0</v>
      </c>
      <c r="M78" s="968"/>
      <c r="N78" s="968"/>
      <c r="O78" s="324">
        <f t="shared" si="3"/>
        <v>0</v>
      </c>
      <c r="P78" s="169">
        <f>(INDEX(Models!$BJ78:$BT78,,T78)*(1-R78)+INDEX(Models!$BJ78:$BT78,,T78+1)*R78-ERP_i)*Q78*Ramure*Pc/MaxiM</f>
        <v>2.3723672939561869E-6</v>
      </c>
      <c r="Q78" s="305">
        <f t="shared" si="18"/>
        <v>0.7</v>
      </c>
      <c r="R78" s="177">
        <f t="shared" si="4"/>
        <v>8.4722531196996798E-3</v>
      </c>
      <c r="S78" s="919">
        <f t="shared" si="19"/>
        <v>-2</v>
      </c>
      <c r="T78" s="176">
        <f t="shared" si="20"/>
        <v>4</v>
      </c>
      <c r="U78" s="251">
        <f t="shared" si="21"/>
        <v>-1.9915277468803003</v>
      </c>
      <c r="V78" s="383">
        <f t="shared" si="5"/>
        <v>47.67388689941145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5">
        <f t="shared" si="11"/>
        <v>0</v>
      </c>
      <c r="AD78" s="169">
        <f>(INDEX(Models!$BJ78:$BT78,,AH78)*(1-AF78)+INDEX(Models!$BJ78:$BT78,,AH78+1)*AF78-ERP_i)*AE78*Ramure*Pc/MaxiM</f>
        <v>2.3723672939561869E-6</v>
      </c>
      <c r="AE78" s="305">
        <f t="shared" si="12"/>
        <v>0.7</v>
      </c>
      <c r="AF78" s="177">
        <f t="shared" si="13"/>
        <v>8.4722531196996798E-3</v>
      </c>
      <c r="AG78" s="919">
        <f t="shared" si="22"/>
        <v>-2</v>
      </c>
      <c r="AH78" s="176">
        <f t="shared" si="14"/>
        <v>4</v>
      </c>
      <c r="AI78" s="225">
        <f t="shared" si="15"/>
        <v>-1.9915277468803003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23"/>
        <v>43165</v>
      </c>
      <c r="B79" s="622"/>
      <c r="C79" s="966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968"/>
      <c r="N79" s="968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2.4097148679619544E-6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8.8480297295978616E-3</v>
      </c>
      <c r="S79" s="919">
        <f t="shared" si="19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-1.9911519702704021</v>
      </c>
      <c r="V79" s="383">
        <f t="shared" ref="V79:V142" si="32">MaxiM*(1-Ppv)*(1-Pvg)*(1-Psa)</f>
        <v>47.979884108333231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2.4097148679619544E-6</v>
      </c>
      <c r="AE79" s="305">
        <f t="shared" ref="AE79:AE142" si="39">Dd+PousD*Croivg</f>
        <v>0.7</v>
      </c>
      <c r="AF79" s="177">
        <f t="shared" ref="AF79:AF142" si="40">(Hp_vg_s-AG79)/(INDEX(Echel_vg,AH79+1)-AG79)</f>
        <v>8.8480297295978616E-3</v>
      </c>
      <c r="AG79" s="919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-1.9911519702704021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si="23"/>
        <v>43166</v>
      </c>
      <c r="B80" s="622"/>
      <c r="C80" s="966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6">
        <f t="shared" si="26"/>
        <v>0</v>
      </c>
      <c r="M80" s="968"/>
      <c r="N80" s="968"/>
      <c r="O80" s="324">
        <f t="shared" si="27"/>
        <v>0</v>
      </c>
      <c r="P80" s="169">
        <f>(INDEX(Models!$BJ80:$BT80,,T80)*(1-R80)+INDEX(Models!$BJ80:$BT80,,T80+1)*R80-ERP_i)*Q80*Ramure*Pc/MaxiM</f>
        <v>2.4372037234797143E-6</v>
      </c>
      <c r="Q80" s="305">
        <f t="shared" si="28"/>
        <v>0.7</v>
      </c>
      <c r="R80" s="177">
        <f t="shared" si="29"/>
        <v>9.2389604340334941E-3</v>
      </c>
      <c r="S80" s="919">
        <f t="shared" ref="S80:S143" si="46">INDEX(Echel_vg,T80)</f>
        <v>-2</v>
      </c>
      <c r="T80" s="176">
        <f t="shared" si="30"/>
        <v>4</v>
      </c>
      <c r="U80" s="251">
        <f t="shared" si="31"/>
        <v>-1.9907610395659665</v>
      </c>
      <c r="V80" s="383">
        <f t="shared" si="32"/>
        <v>48.285558702580509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5">
        <f t="shared" si="38"/>
        <v>0</v>
      </c>
      <c r="AD80" s="169">
        <f>(INDEX(Models!$BJ80:$BT80,,AH80)*(1-AF80)+INDEX(Models!$BJ80:$BT80,,AH80+1)*AF80-ERP_i)*AE80*Ramure*Pc/MaxiM</f>
        <v>2.4372037234797143E-6</v>
      </c>
      <c r="AE80" s="305">
        <f t="shared" si="39"/>
        <v>0.7</v>
      </c>
      <c r="AF80" s="177">
        <f t="shared" si="40"/>
        <v>9.2389604340334941E-3</v>
      </c>
      <c r="AG80" s="919">
        <f t="shared" si="41"/>
        <v>-2</v>
      </c>
      <c r="AH80" s="176">
        <f t="shared" si="42"/>
        <v>4</v>
      </c>
      <c r="AI80" s="225">
        <f t="shared" si="43"/>
        <v>-1.9907610395659665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ref="A81:A144" si="47">A80+1</f>
        <v>43167</v>
      </c>
      <c r="B81" s="622"/>
      <c r="C81" s="966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6">
        <f t="shared" si="26"/>
        <v>0</v>
      </c>
      <c r="M81" s="968"/>
      <c r="N81" s="968"/>
      <c r="O81" s="324">
        <f t="shared" si="27"/>
        <v>0</v>
      </c>
      <c r="P81" s="169">
        <f>(INDEX(Models!$BJ81:$BT81,,T81)*(1-R81)+INDEX(Models!$BJ81:$BT81,,T81+1)*R81-ERP_i)*Q81*Ramure*Pc/MaxiM</f>
        <v>2.4564584693648685E-6</v>
      </c>
      <c r="Q81" s="305">
        <f t="shared" si="28"/>
        <v>0.7</v>
      </c>
      <c r="R81" s="177">
        <f t="shared" si="29"/>
        <v>9.6456302622436318E-3</v>
      </c>
      <c r="S81" s="919">
        <f t="shared" si="46"/>
        <v>-2</v>
      </c>
      <c r="T81" s="176">
        <f t="shared" si="30"/>
        <v>4</v>
      </c>
      <c r="U81" s="251">
        <f t="shared" si="31"/>
        <v>-1.9903543697377564</v>
      </c>
      <c r="V81" s="383">
        <f t="shared" si="32"/>
        <v>48.590587544935197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5">
        <f t="shared" si="38"/>
        <v>0</v>
      </c>
      <c r="AD81" s="169">
        <f>(INDEX(Models!$BJ81:$BT81,,AH81)*(1-AF81)+INDEX(Models!$BJ81:$BT81,,AH81+1)*AF81-ERP_i)*AE81*Ramure*Pc/MaxiM</f>
        <v>2.4564584693648685E-6</v>
      </c>
      <c r="AE81" s="305">
        <f t="shared" si="39"/>
        <v>0.7</v>
      </c>
      <c r="AF81" s="177">
        <f t="shared" si="40"/>
        <v>9.6456302622436318E-3</v>
      </c>
      <c r="AG81" s="919">
        <f t="shared" si="41"/>
        <v>-2</v>
      </c>
      <c r="AH81" s="176">
        <f t="shared" si="42"/>
        <v>4</v>
      </c>
      <c r="AI81" s="225">
        <f t="shared" si="43"/>
        <v>-1.9903543697377564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7"/>
        <v>43168</v>
      </c>
      <c r="B82" s="622"/>
      <c r="C82" s="966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6">
        <f t="shared" si="26"/>
        <v>0</v>
      </c>
      <c r="M82" s="968"/>
      <c r="N82" s="968"/>
      <c r="O82" s="324">
        <f t="shared" si="27"/>
        <v>0</v>
      </c>
      <c r="P82" s="169">
        <f>(INDEX(Models!$BJ82:$BT82,,T82)*(1-R82)+INDEX(Models!$BJ82:$BT82,,T82+1)*R82-ERP_i)*Q82*Ramure*Pc/MaxiM</f>
        <v>2.4666129743387862E-6</v>
      </c>
      <c r="Q82" s="305">
        <f t="shared" si="28"/>
        <v>0.7</v>
      </c>
      <c r="R82" s="177">
        <f t="shared" si="29"/>
        <v>1.0068644643830504E-2</v>
      </c>
      <c r="S82" s="919">
        <f t="shared" si="46"/>
        <v>-2</v>
      </c>
      <c r="T82" s="176">
        <f t="shared" si="30"/>
        <v>4</v>
      </c>
      <c r="U82" s="251">
        <f t="shared" si="31"/>
        <v>-1.9899313553561695</v>
      </c>
      <c r="V82" s="383">
        <f t="shared" si="32"/>
        <v>48.894647617100247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5">
        <f t="shared" si="38"/>
        <v>0</v>
      </c>
      <c r="AD82" s="169">
        <f>(INDEX(Models!$BJ82:$BT82,,AH82)*(1-AF82)+INDEX(Models!$BJ82:$BT82,,AH82+1)*AF82-ERP_i)*AE82*Ramure*Pc/MaxiM</f>
        <v>2.4666129743387862E-6</v>
      </c>
      <c r="AE82" s="305">
        <f t="shared" si="39"/>
        <v>0.7</v>
      </c>
      <c r="AF82" s="177">
        <f t="shared" si="40"/>
        <v>1.0068644643830504E-2</v>
      </c>
      <c r="AG82" s="919">
        <f t="shared" si="41"/>
        <v>-2</v>
      </c>
      <c r="AH82" s="176">
        <f t="shared" si="42"/>
        <v>4</v>
      </c>
      <c r="AI82" s="225">
        <f t="shared" si="43"/>
        <v>-1.9899313553561695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7"/>
        <v>43169</v>
      </c>
      <c r="B83" s="622"/>
      <c r="C83" s="966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6">
        <f t="shared" si="26"/>
        <v>0</v>
      </c>
      <c r="M83" s="968"/>
      <c r="N83" s="968"/>
      <c r="O83" s="324">
        <f t="shared" si="27"/>
        <v>0</v>
      </c>
      <c r="P83" s="169">
        <f>(INDEX(Models!$BJ83:$BT83,,T83)*(1-R83)+INDEX(Models!$BJ83:$BT83,,T83+1)*R83-ERP_i)*Q83*Ramure*Pc/MaxiM</f>
        <v>2.4667405295768349E-6</v>
      </c>
      <c r="Q83" s="305">
        <f t="shared" si="28"/>
        <v>0.7</v>
      </c>
      <c r="R83" s="177">
        <f t="shared" si="29"/>
        <v>1.0508629935167324E-2</v>
      </c>
      <c r="S83" s="919">
        <f t="shared" si="46"/>
        <v>-2</v>
      </c>
      <c r="T83" s="176">
        <f t="shared" si="30"/>
        <v>4</v>
      </c>
      <c r="U83" s="251">
        <f t="shared" si="31"/>
        <v>-1.9894913700648327</v>
      </c>
      <c r="V83" s="383">
        <f t="shared" si="32"/>
        <v>49.197415905471324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5">
        <f t="shared" si="38"/>
        <v>0</v>
      </c>
      <c r="AD83" s="169">
        <f>(INDEX(Models!$BJ83:$BT83,,AH83)*(1-AF83)+INDEX(Models!$BJ83:$BT83,,AH83+1)*AF83-ERP_i)*AE83*Ramure*Pc/MaxiM</f>
        <v>2.4667405295768349E-6</v>
      </c>
      <c r="AE83" s="305">
        <f t="shared" si="39"/>
        <v>0.7</v>
      </c>
      <c r="AF83" s="177">
        <f t="shared" si="40"/>
        <v>1.0508629935167324E-2</v>
      </c>
      <c r="AG83" s="919">
        <f t="shared" si="41"/>
        <v>-2</v>
      </c>
      <c r="AH83" s="176">
        <f t="shared" si="42"/>
        <v>4</v>
      </c>
      <c r="AI83" s="225">
        <f t="shared" si="43"/>
        <v>-1.9894913700648327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7"/>
        <v>43170</v>
      </c>
      <c r="B84" s="622"/>
      <c r="C84" s="966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6">
        <f t="shared" si="26"/>
        <v>0</v>
      </c>
      <c r="M84" s="968"/>
      <c r="N84" s="968"/>
      <c r="O84" s="324">
        <f t="shared" si="27"/>
        <v>0</v>
      </c>
      <c r="P84" s="169">
        <f>(INDEX(Models!$BJ84:$BT84,,T84)*(1-R84)+INDEX(Models!$BJ84:$BT84,,T84+1)*R84-ERP_i)*Q84*Ramure*Pc/MaxiM</f>
        <v>2.4558493828707969E-6</v>
      </c>
      <c r="Q84" s="305">
        <f t="shared" si="28"/>
        <v>0.7</v>
      </c>
      <c r="R84" s="177">
        <f t="shared" si="29"/>
        <v>1.0966233942832027E-2</v>
      </c>
      <c r="S84" s="919">
        <f t="shared" si="46"/>
        <v>-2</v>
      </c>
      <c r="T84" s="176">
        <f t="shared" si="30"/>
        <v>4</v>
      </c>
      <c r="U84" s="251">
        <f t="shared" si="31"/>
        <v>-1.989033766057168</v>
      </c>
      <c r="V84" s="383">
        <f t="shared" si="32"/>
        <v>49.498569400929611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5">
        <f t="shared" si="38"/>
        <v>0</v>
      </c>
      <c r="AD84" s="169">
        <f>(INDEX(Models!$BJ84:$BT84,,AH84)*(1-AF84)+INDEX(Models!$BJ84:$BT84,,AH84+1)*AF84-ERP_i)*AE84*Ramure*Pc/MaxiM</f>
        <v>2.4558493828707969E-6</v>
      </c>
      <c r="AE84" s="305">
        <f t="shared" si="39"/>
        <v>0.7</v>
      </c>
      <c r="AF84" s="177">
        <f t="shared" si="40"/>
        <v>1.0966233942832027E-2</v>
      </c>
      <c r="AG84" s="919">
        <f t="shared" si="41"/>
        <v>-2</v>
      </c>
      <c r="AH84" s="176">
        <f t="shared" si="42"/>
        <v>4</v>
      </c>
      <c r="AI84" s="225">
        <f t="shared" si="43"/>
        <v>-1.989033766057168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7"/>
        <v>43171</v>
      </c>
      <c r="B85" s="622"/>
      <c r="C85" s="966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6">
        <f t="shared" si="26"/>
        <v>0</v>
      </c>
      <c r="M85" s="968"/>
      <c r="N85" s="968"/>
      <c r="O85" s="324">
        <f t="shared" si="27"/>
        <v>0</v>
      </c>
      <c r="P85" s="169">
        <f>(INDEX(Models!$BJ85:$BT85,,T85)*(1-R85)+INDEX(Models!$BJ85:$BT85,,T85+1)*R85-ERP_i)*Q85*Ramure*Pc/MaxiM</f>
        <v>2.4328779084128239E-6</v>
      </c>
      <c r="Q85" s="305">
        <f t="shared" si="28"/>
        <v>0.7</v>
      </c>
      <c r="R85" s="177">
        <f t="shared" si="29"/>
        <v>1.1442126442187339E-2</v>
      </c>
      <c r="S85" s="919">
        <f t="shared" si="46"/>
        <v>-2</v>
      </c>
      <c r="T85" s="176">
        <f t="shared" si="30"/>
        <v>4</v>
      </c>
      <c r="U85" s="251">
        <f t="shared" si="31"/>
        <v>-1.9885578735578127</v>
      </c>
      <c r="V85" s="383">
        <f t="shared" si="32"/>
        <v>49.797785098094373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5">
        <f t="shared" si="38"/>
        <v>0</v>
      </c>
      <c r="AD85" s="169">
        <f>(INDEX(Models!$BJ85:$BT85,,AH85)*(1-AF85)+INDEX(Models!$BJ85:$BT85,,AH85+1)*AF85-ERP_i)*AE85*Ramure*Pc/MaxiM</f>
        <v>2.4328779084128239E-6</v>
      </c>
      <c r="AE85" s="305">
        <f t="shared" si="39"/>
        <v>0.7</v>
      </c>
      <c r="AF85" s="177">
        <f t="shared" si="40"/>
        <v>1.1442126442187339E-2</v>
      </c>
      <c r="AG85" s="919">
        <f t="shared" si="41"/>
        <v>-2</v>
      </c>
      <c r="AH85" s="176">
        <f t="shared" si="42"/>
        <v>4</v>
      </c>
      <c r="AI85" s="225">
        <f t="shared" si="43"/>
        <v>-1.9885578735578127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7"/>
        <v>43172</v>
      </c>
      <c r="B86" s="622"/>
      <c r="C86" s="966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6">
        <f t="shared" si="26"/>
        <v>0</v>
      </c>
      <c r="M86" s="968"/>
      <c r="N86" s="968"/>
      <c r="O86" s="324">
        <f t="shared" si="27"/>
        <v>0</v>
      </c>
      <c r="P86" s="169">
        <f>(INDEX(Models!$BJ86:$BT86,,T86)*(1-R86)+INDEX(Models!$BJ86:$BT86,,T86+1)*R86-ERP_i)*Q86*Ramure*Pc/MaxiM</f>
        <v>2.4017595946514579E-6</v>
      </c>
      <c r="Q86" s="305">
        <f t="shared" si="28"/>
        <v>0.7</v>
      </c>
      <c r="R86" s="177">
        <f t="shared" si="29"/>
        <v>1.1936999689033057E-2</v>
      </c>
      <c r="S86" s="919">
        <f t="shared" si="46"/>
        <v>-2</v>
      </c>
      <c r="T86" s="176">
        <f t="shared" si="30"/>
        <v>4</v>
      </c>
      <c r="U86" s="251">
        <f t="shared" si="31"/>
        <v>-1.9880630003109669</v>
      </c>
      <c r="V86" s="383">
        <f t="shared" si="32"/>
        <v>50.094739742600098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5">
        <f t="shared" si="38"/>
        <v>0</v>
      </c>
      <c r="AD86" s="169">
        <f>(INDEX(Models!$BJ86:$BT86,,AH86)*(1-AF86)+INDEX(Models!$BJ86:$BT86,,AH86+1)*AF86-ERP_i)*AE86*Ramure*Pc/MaxiM</f>
        <v>2.4017595946514579E-6</v>
      </c>
      <c r="AE86" s="305">
        <f t="shared" si="39"/>
        <v>0.7</v>
      </c>
      <c r="AF86" s="177">
        <f t="shared" si="40"/>
        <v>1.1936999689033057E-2</v>
      </c>
      <c r="AG86" s="919">
        <f t="shared" si="41"/>
        <v>-2</v>
      </c>
      <c r="AH86" s="176">
        <f t="shared" si="42"/>
        <v>4</v>
      </c>
      <c r="AI86" s="225">
        <f t="shared" si="43"/>
        <v>-1.9880630003109669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7"/>
        <v>43173</v>
      </c>
      <c r="B87" s="622"/>
      <c r="C87" s="966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6">
        <f t="shared" si="26"/>
        <v>0</v>
      </c>
      <c r="M87" s="968"/>
      <c r="N87" s="968"/>
      <c r="O87" s="324">
        <f t="shared" si="27"/>
        <v>0</v>
      </c>
      <c r="P87" s="169">
        <f>(INDEX(Models!$BJ87:$BT87,,T87)*(1-R87)+INDEX(Models!$BJ87:$BT87,,T87+1)*R87-ERP_i)*Q87*Ramure*Pc/MaxiM</f>
        <v>2.370326504362107E-6</v>
      </c>
      <c r="Q87" s="305">
        <f t="shared" si="28"/>
        <v>0.7</v>
      </c>
      <c r="R87" s="177">
        <f t="shared" si="29"/>
        <v>1.2451568922070777E-2</v>
      </c>
      <c r="S87" s="919">
        <f t="shared" si="46"/>
        <v>-2</v>
      </c>
      <c r="T87" s="176">
        <f t="shared" si="30"/>
        <v>4</v>
      </c>
      <c r="U87" s="251">
        <f t="shared" si="31"/>
        <v>-1.9875484310779292</v>
      </c>
      <c r="V87" s="383">
        <f t="shared" si="32"/>
        <v>50.389109879959605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5">
        <f t="shared" si="38"/>
        <v>0</v>
      </c>
      <c r="AD87" s="169">
        <f>(INDEX(Models!$BJ87:$BT87,,AH87)*(1-AF87)+INDEX(Models!$BJ87:$BT87,,AH87+1)*AF87-ERP_i)*AE87*Ramure*Pc/MaxiM</f>
        <v>2.370326504362107E-6</v>
      </c>
      <c r="AE87" s="305">
        <f t="shared" si="39"/>
        <v>0.7</v>
      </c>
      <c r="AF87" s="177">
        <f t="shared" si="40"/>
        <v>1.2451568922070777E-2</v>
      </c>
      <c r="AG87" s="919">
        <f t="shared" si="41"/>
        <v>-2</v>
      </c>
      <c r="AH87" s="176">
        <f t="shared" si="42"/>
        <v>4</v>
      </c>
      <c r="AI87" s="225">
        <f t="shared" si="43"/>
        <v>-1.9875484310779292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7"/>
        <v>43174</v>
      </c>
      <c r="B88" s="622"/>
      <c r="C88" s="966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6">
        <f t="shared" si="26"/>
        <v>0</v>
      </c>
      <c r="M88" s="968"/>
      <c r="N88" s="968"/>
      <c r="O88" s="324">
        <f t="shared" si="27"/>
        <v>0</v>
      </c>
      <c r="P88" s="169">
        <f>(INDEX(Models!$BJ88:$BT88,,T88)*(1-R88)+INDEX(Models!$BJ88:$BT88,,T88+1)*R88-ERP_i)*Q88*Ramure*Pc/MaxiM</f>
        <v>2.3388405743170719E-6</v>
      </c>
      <c r="Q88" s="305">
        <f t="shared" si="28"/>
        <v>0.7</v>
      </c>
      <c r="R88" s="177">
        <f t="shared" si="29"/>
        <v>1.2986572853702416E-2</v>
      </c>
      <c r="S88" s="919">
        <f t="shared" si="46"/>
        <v>-2</v>
      </c>
      <c r="T88" s="176">
        <f t="shared" si="30"/>
        <v>4</v>
      </c>
      <c r="U88" s="251">
        <f t="shared" si="31"/>
        <v>-1.9870134271462976</v>
      </c>
      <c r="V88" s="383">
        <f t="shared" si="32"/>
        <v>50.68057242876489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5">
        <f t="shared" si="38"/>
        <v>0</v>
      </c>
      <c r="AD88" s="169">
        <f>(INDEX(Models!$BJ88:$BT88,,AH88)*(1-AF88)+INDEX(Models!$BJ88:$BT88,,AH88+1)*AF88-ERP_i)*AE88*Ramure*Pc/MaxiM</f>
        <v>2.3388405743170719E-6</v>
      </c>
      <c r="AE88" s="305">
        <f t="shared" si="39"/>
        <v>0.7</v>
      </c>
      <c r="AF88" s="177">
        <f t="shared" si="40"/>
        <v>1.2986572853702416E-2</v>
      </c>
      <c r="AG88" s="919">
        <f t="shared" si="41"/>
        <v>-2</v>
      </c>
      <c r="AH88" s="176">
        <f t="shared" si="42"/>
        <v>4</v>
      </c>
      <c r="AI88" s="225">
        <f t="shared" si="43"/>
        <v>-1.9870134271462976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7"/>
        <v>43175</v>
      </c>
      <c r="B89" s="622"/>
      <c r="C89" s="966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6">
        <f t="shared" si="26"/>
        <v>0</v>
      </c>
      <c r="M89" s="968"/>
      <c r="N89" s="968"/>
      <c r="O89" s="324">
        <f t="shared" si="27"/>
        <v>0</v>
      </c>
      <c r="P89" s="169">
        <f>(INDEX(Models!$BJ89:$BT89,,T89)*(1-R89)+INDEX(Models!$BJ89:$BT89,,T89+1)*R89-ERP_i)*Q89*Ramure*Pc/MaxiM</f>
        <v>2.3075871603258402E-6</v>
      </c>
      <c r="Q89" s="305">
        <f t="shared" si="28"/>
        <v>0.7</v>
      </c>
      <c r="R89" s="177">
        <f t="shared" si="29"/>
        <v>1.3542774146474201E-2</v>
      </c>
      <c r="S89" s="919">
        <f t="shared" si="46"/>
        <v>-2</v>
      </c>
      <c r="T89" s="176">
        <f t="shared" si="30"/>
        <v>4</v>
      </c>
      <c r="U89" s="251">
        <f t="shared" si="31"/>
        <v>-1.9864572258535258</v>
      </c>
      <c r="V89" s="383">
        <f t="shared" si="32"/>
        <v>50.968804305320916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5">
        <f t="shared" si="38"/>
        <v>0</v>
      </c>
      <c r="AD89" s="169">
        <f>(INDEX(Models!$BJ89:$BT89,,AH89)*(1-AF89)+INDEX(Models!$BJ89:$BT89,,AH89+1)*AF89-ERP_i)*AE89*Ramure*Pc/MaxiM</f>
        <v>2.3075871603258402E-6</v>
      </c>
      <c r="AE89" s="305">
        <f t="shared" si="39"/>
        <v>0.7</v>
      </c>
      <c r="AF89" s="177">
        <f t="shared" si="40"/>
        <v>1.3542774146474201E-2</v>
      </c>
      <c r="AG89" s="919">
        <f t="shared" si="41"/>
        <v>-2</v>
      </c>
      <c r="AH89" s="176">
        <f t="shared" si="42"/>
        <v>4</v>
      </c>
      <c r="AI89" s="225">
        <f t="shared" si="43"/>
        <v>-1.9864572258535258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7"/>
        <v>43176</v>
      </c>
      <c r="B90" s="622"/>
      <c r="C90" s="966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6">
        <f t="shared" si="26"/>
        <v>0</v>
      </c>
      <c r="M90" s="968"/>
      <c r="N90" s="968"/>
      <c r="O90" s="324">
        <f t="shared" si="27"/>
        <v>0</v>
      </c>
      <c r="P90" s="169">
        <f>(INDEX(Models!$BJ90:$BT90,,T90)*(1-R90)+INDEX(Models!$BJ90:$BT90,,T90+1)*R90-ERP_i)*Q90*Ramure*Pc/MaxiM</f>
        <v>2.2768769370908606E-6</v>
      </c>
      <c r="Q90" s="305">
        <f t="shared" si="28"/>
        <v>0.7</v>
      </c>
      <c r="R90" s="177">
        <f t="shared" si="29"/>
        <v>1.4120959872238492E-2</v>
      </c>
      <c r="S90" s="919">
        <f t="shared" si="46"/>
        <v>-2</v>
      </c>
      <c r="T90" s="176">
        <f t="shared" si="30"/>
        <v>4</v>
      </c>
      <c r="U90" s="251">
        <f t="shared" si="31"/>
        <v>-1.9858790401277615</v>
      </c>
      <c r="V90" s="383">
        <f t="shared" si="32"/>
        <v>51.253482427860575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5">
        <f t="shared" si="38"/>
        <v>0</v>
      </c>
      <c r="AD90" s="169">
        <f>(INDEX(Models!$BJ90:$BT90,,AH90)*(1-AF90)+INDEX(Models!$BJ90:$BT90,,AH90+1)*AF90-ERP_i)*AE90*Ramure*Pc/MaxiM</f>
        <v>2.2768769370908606E-6</v>
      </c>
      <c r="AE90" s="305">
        <f t="shared" si="39"/>
        <v>0.7</v>
      </c>
      <c r="AF90" s="177">
        <f t="shared" si="40"/>
        <v>1.4120959872238492E-2</v>
      </c>
      <c r="AG90" s="919">
        <f t="shared" si="41"/>
        <v>-2</v>
      </c>
      <c r="AH90" s="176">
        <f t="shared" si="42"/>
        <v>4</v>
      </c>
      <c r="AI90" s="225">
        <f t="shared" si="43"/>
        <v>-1.9858790401277615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7"/>
        <v>43177</v>
      </c>
      <c r="B91" s="622"/>
      <c r="C91" s="966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6">
        <f t="shared" si="26"/>
        <v>0</v>
      </c>
      <c r="M91" s="968"/>
      <c r="N91" s="968"/>
      <c r="O91" s="324">
        <f t="shared" si="27"/>
        <v>0</v>
      </c>
      <c r="P91" s="169">
        <f>(INDEX(Models!$BJ91:$BT91,,T91)*(1-R91)+INDEX(Models!$BJ91:$BT91,,T91+1)*R91-ERP_i)*Q91*Ramure*Pc/MaxiM</f>
        <v>2.2470479743024014E-6</v>
      </c>
      <c r="Q91" s="305">
        <f t="shared" si="28"/>
        <v>0.7</v>
      </c>
      <c r="R91" s="177">
        <f t="shared" si="29"/>
        <v>1.4721941950863959E-2</v>
      </c>
      <c r="S91" s="919">
        <f t="shared" si="46"/>
        <v>-2</v>
      </c>
      <c r="T91" s="176">
        <f t="shared" si="30"/>
        <v>4</v>
      </c>
      <c r="U91" s="251">
        <f t="shared" si="31"/>
        <v>-1.985278058049136</v>
      </c>
      <c r="V91" s="383">
        <f t="shared" si="32"/>
        <v>51.534283708243883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5">
        <f t="shared" si="38"/>
        <v>0</v>
      </c>
      <c r="AD91" s="169">
        <f>(INDEX(Models!$BJ91:$BT91,,AH91)*(1-AF91)+INDEX(Models!$BJ91:$BT91,,AH91+1)*AF91-ERP_i)*AE91*Ramure*Pc/MaxiM</f>
        <v>2.2470479743024014E-6</v>
      </c>
      <c r="AE91" s="305">
        <f t="shared" si="39"/>
        <v>0.7</v>
      </c>
      <c r="AF91" s="177">
        <f t="shared" si="40"/>
        <v>1.4721941950863959E-2</v>
      </c>
      <c r="AG91" s="919">
        <f t="shared" si="41"/>
        <v>-2</v>
      </c>
      <c r="AH91" s="176">
        <f t="shared" si="42"/>
        <v>4</v>
      </c>
      <c r="AI91" s="225">
        <f t="shared" si="43"/>
        <v>-1.985278058049136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7"/>
        <v>43178</v>
      </c>
      <c r="B92" s="622"/>
      <c r="C92" s="966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6">
        <f t="shared" si="26"/>
        <v>0</v>
      </c>
      <c r="M92" s="968"/>
      <c r="N92" s="968"/>
      <c r="O92" s="324">
        <f t="shared" si="27"/>
        <v>0</v>
      </c>
      <c r="P92" s="169">
        <f>(INDEX(Models!$BJ92:$BT92,,T92)*(1-R92)+INDEX(Models!$BJ92:$BT92,,T92+1)*R92-ERP_i)*Q92*Ramure*Pc/MaxiM</f>
        <v>2.2184680031931655E-6</v>
      </c>
      <c r="Q92" s="305">
        <f t="shared" si="28"/>
        <v>0.7</v>
      </c>
      <c r="R92" s="177">
        <f t="shared" si="29"/>
        <v>1.5346557565070418E-2</v>
      </c>
      <c r="S92" s="919">
        <f t="shared" si="46"/>
        <v>-2</v>
      </c>
      <c r="T92" s="176">
        <f t="shared" si="30"/>
        <v>4</v>
      </c>
      <c r="U92" s="251">
        <f t="shared" si="31"/>
        <v>-1.9846534424349296</v>
      </c>
      <c r="V92" s="383">
        <f t="shared" si="32"/>
        <v>51.810885059267207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5">
        <f t="shared" si="38"/>
        <v>0</v>
      </c>
      <c r="AD92" s="169">
        <f>(INDEX(Models!$BJ92:$BT92,,AH92)*(1-AF92)+INDEX(Models!$BJ92:$BT92,,AH92+1)*AF92-ERP_i)*AE92*Ramure*Pc/MaxiM</f>
        <v>2.2184680031931655E-6</v>
      </c>
      <c r="AE92" s="305">
        <f t="shared" si="39"/>
        <v>0.7</v>
      </c>
      <c r="AF92" s="177">
        <f t="shared" si="40"/>
        <v>1.5346557565070418E-2</v>
      </c>
      <c r="AG92" s="919">
        <f t="shared" si="41"/>
        <v>-2</v>
      </c>
      <c r="AH92" s="176">
        <f t="shared" si="42"/>
        <v>4</v>
      </c>
      <c r="AI92" s="225">
        <f t="shared" si="43"/>
        <v>-1.9846534424349296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7"/>
        <v>43179</v>
      </c>
      <c r="B93" s="622"/>
      <c r="C93" s="966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6">
        <f t="shared" si="26"/>
        <v>0</v>
      </c>
      <c r="M93" s="968"/>
      <c r="N93" s="968"/>
      <c r="O93" s="324">
        <f t="shared" si="27"/>
        <v>0</v>
      </c>
      <c r="P93" s="169">
        <f>(INDEX(Models!$BJ93:$BT93,,T93)*(1-R93)+INDEX(Models!$BJ93:$BT93,,T93+1)*R93-ERP_i)*Q93*Ramure*Pc/MaxiM</f>
        <v>2.1914342587603572E-6</v>
      </c>
      <c r="Q93" s="305">
        <f t="shared" si="28"/>
        <v>0.7</v>
      </c>
      <c r="R93" s="177">
        <f t="shared" si="29"/>
        <v>1.5995669547691937E-2</v>
      </c>
      <c r="S93" s="919">
        <f t="shared" si="46"/>
        <v>-2</v>
      </c>
      <c r="T93" s="176">
        <f t="shared" si="30"/>
        <v>4</v>
      </c>
      <c r="U93" s="251">
        <f t="shared" si="31"/>
        <v>-1.9840043304523081</v>
      </c>
      <c r="V93" s="383">
        <f t="shared" si="32"/>
        <v>52.085404353296546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5">
        <f t="shared" si="38"/>
        <v>0</v>
      </c>
      <c r="AD93" s="169">
        <f>(INDEX(Models!$BJ93:$BT93,,AH93)*(1-AF93)+INDEX(Models!$BJ93:$BT93,,AH93+1)*AF93-ERP_i)*AE93*Ramure*Pc/MaxiM</f>
        <v>2.1914342587603572E-6</v>
      </c>
      <c r="AE93" s="305">
        <f t="shared" si="39"/>
        <v>0.7</v>
      </c>
      <c r="AF93" s="177">
        <f t="shared" si="40"/>
        <v>1.5995669547691937E-2</v>
      </c>
      <c r="AG93" s="919">
        <f t="shared" si="41"/>
        <v>-2</v>
      </c>
      <c r="AH93" s="176">
        <f t="shared" si="42"/>
        <v>4</v>
      </c>
      <c r="AI93" s="225">
        <f t="shared" si="43"/>
        <v>-1.9840043304523081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7"/>
        <v>43180</v>
      </c>
      <c r="B94" s="622"/>
      <c r="C94" s="966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6">
        <f t="shared" si="26"/>
        <v>0</v>
      </c>
      <c r="M94" s="968"/>
      <c r="N94" s="968"/>
      <c r="O94" s="324">
        <f t="shared" si="27"/>
        <v>0</v>
      </c>
      <c r="P94" s="169">
        <f>(INDEX(Models!$BJ94:$BT94,,T94)*(1-R94)+INDEX(Models!$BJ94:$BT94,,T94+1)*R94-ERP_i)*Q94*Ramure*Pc/MaxiM</f>
        <v>2.1671111527001818E-6</v>
      </c>
      <c r="Q94" s="305">
        <f t="shared" si="28"/>
        <v>0.7</v>
      </c>
      <c r="R94" s="177">
        <f t="shared" si="29"/>
        <v>1.66701667373923E-2</v>
      </c>
      <c r="S94" s="919">
        <f t="shared" si="46"/>
        <v>-2</v>
      </c>
      <c r="T94" s="176">
        <f t="shared" si="30"/>
        <v>4</v>
      </c>
      <c r="U94" s="251">
        <f t="shared" si="31"/>
        <v>-1.9833298332626077</v>
      </c>
      <c r="V94" s="383">
        <f t="shared" si="32"/>
        <v>52.35967224548282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5">
        <f t="shared" si="38"/>
        <v>0</v>
      </c>
      <c r="AD94" s="169">
        <f>(INDEX(Models!$BJ94:$BT94,,AH94)*(1-AF94)+INDEX(Models!$BJ94:$BT94,,AH94+1)*AF94-ERP_i)*AE94*Ramure*Pc/MaxiM</f>
        <v>2.1671111527001818E-6</v>
      </c>
      <c r="AE94" s="305">
        <f t="shared" si="39"/>
        <v>0.7</v>
      </c>
      <c r="AF94" s="177">
        <f t="shared" si="40"/>
        <v>1.66701667373923E-2</v>
      </c>
      <c r="AG94" s="919">
        <f t="shared" si="41"/>
        <v>-2</v>
      </c>
      <c r="AH94" s="176">
        <f t="shared" si="42"/>
        <v>4</v>
      </c>
      <c r="AI94" s="225">
        <f t="shared" si="43"/>
        <v>-1.9833298332626077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7"/>
        <v>43181</v>
      </c>
      <c r="B95" s="622"/>
      <c r="C95" s="966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6">
        <f t="shared" si="26"/>
        <v>0</v>
      </c>
      <c r="M95" s="968"/>
      <c r="N95" s="968"/>
      <c r="O95" s="324">
        <f t="shared" si="27"/>
        <v>0</v>
      </c>
      <c r="P95" s="169">
        <f>(INDEX(Models!$BJ95:$BT95,,T95)*(1-R95)+INDEX(Models!$BJ95:$BT95,,T95+1)*R95-ERP_i)*Q95*Ramure*Pc/MaxiM</f>
        <v>2.1457576953227113E-6</v>
      </c>
      <c r="Q95" s="305">
        <f t="shared" si="28"/>
        <v>0.7</v>
      </c>
      <c r="R95" s="177">
        <f t="shared" si="29"/>
        <v>1.7370964298566882E-2</v>
      </c>
      <c r="S95" s="919">
        <f t="shared" si="46"/>
        <v>-2</v>
      </c>
      <c r="T95" s="176">
        <f t="shared" si="30"/>
        <v>4</v>
      </c>
      <c r="U95" s="251">
        <f t="shared" si="31"/>
        <v>-1.9826290357014331</v>
      </c>
      <c r="V95" s="383">
        <f t="shared" si="32"/>
        <v>52.63293489443528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5">
        <f t="shared" si="38"/>
        <v>0</v>
      </c>
      <c r="AD95" s="169">
        <f>(INDEX(Models!$BJ95:$BT95,,AH95)*(1-AF95)+INDEX(Models!$BJ95:$BT95,,AH95+1)*AF95-ERP_i)*AE95*Ramure*Pc/MaxiM</f>
        <v>2.1457576953227113E-6</v>
      </c>
      <c r="AE95" s="305">
        <f t="shared" si="39"/>
        <v>0.7</v>
      </c>
      <c r="AF95" s="177">
        <f t="shared" si="40"/>
        <v>1.7370964298566882E-2</v>
      </c>
      <c r="AG95" s="919">
        <f t="shared" si="41"/>
        <v>-2</v>
      </c>
      <c r="AH95" s="176">
        <f t="shared" si="42"/>
        <v>4</v>
      </c>
      <c r="AI95" s="225">
        <f t="shared" si="43"/>
        <v>-1.9826290357014331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7"/>
        <v>43182</v>
      </c>
      <c r="B96" s="622"/>
      <c r="C96" s="966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6">
        <f t="shared" si="26"/>
        <v>0</v>
      </c>
      <c r="M96" s="968"/>
      <c r="N96" s="968"/>
      <c r="O96" s="324">
        <f t="shared" si="27"/>
        <v>0</v>
      </c>
      <c r="P96" s="169">
        <f>(INDEX(Models!$BJ96:$BT96,,T96)*(1-R96)+INDEX(Models!$BJ96:$BT96,,T96+1)*R96-ERP_i)*Q96*Ramure*Pc/MaxiM</f>
        <v>2.1279698000024508E-6</v>
      </c>
      <c r="Q96" s="305">
        <f t="shared" si="28"/>
        <v>0.7</v>
      </c>
      <c r="R96" s="177">
        <f t="shared" si="29"/>
        <v>1.8099004000861507E-2</v>
      </c>
      <c r="S96" s="919">
        <f t="shared" si="46"/>
        <v>-2</v>
      </c>
      <c r="T96" s="176">
        <f t="shared" si="30"/>
        <v>4</v>
      </c>
      <c r="U96" s="251">
        <f t="shared" si="31"/>
        <v>-1.9819009959991385</v>
      </c>
      <c r="V96" s="383">
        <f t="shared" si="32"/>
        <v>52.90443844188249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5">
        <f t="shared" si="38"/>
        <v>0</v>
      </c>
      <c r="AD96" s="169">
        <f>(INDEX(Models!$BJ96:$BT96,,AH96)*(1-AF96)+INDEX(Models!$BJ96:$BT96,,AH96+1)*AF96-ERP_i)*AE96*Ramure*Pc/MaxiM</f>
        <v>2.1279698000024508E-6</v>
      </c>
      <c r="AE96" s="305">
        <f t="shared" si="39"/>
        <v>0.7</v>
      </c>
      <c r="AF96" s="177">
        <f t="shared" si="40"/>
        <v>1.8099004000861507E-2</v>
      </c>
      <c r="AG96" s="919">
        <f t="shared" si="41"/>
        <v>-2</v>
      </c>
      <c r="AH96" s="176">
        <f t="shared" si="42"/>
        <v>4</v>
      </c>
      <c r="AI96" s="225">
        <f t="shared" si="43"/>
        <v>-1.9819009959991385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7"/>
        <v>43183</v>
      </c>
      <c r="B97" s="622"/>
      <c r="C97" s="966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6">
        <f t="shared" si="26"/>
        <v>0</v>
      </c>
      <c r="M97" s="968"/>
      <c r="N97" s="968"/>
      <c r="O97" s="324">
        <f t="shared" si="27"/>
        <v>0</v>
      </c>
      <c r="P97" s="169">
        <f>(INDEX(Models!$BJ97:$BT97,,T97)*(1-R97)+INDEX(Models!$BJ97:$BT97,,T97+1)*R97-ERP_i)*Q97*Ramure*Pc/MaxiM</f>
        <v>2.1143895238972224E-6</v>
      </c>
      <c r="Q97" s="305">
        <f t="shared" si="28"/>
        <v>0.7</v>
      </c>
      <c r="R97" s="177">
        <f t="shared" si="29"/>
        <v>1.8855254453421288E-2</v>
      </c>
      <c r="S97" s="919">
        <f t="shared" si="46"/>
        <v>-2</v>
      </c>
      <c r="T97" s="176">
        <f t="shared" si="30"/>
        <v>4</v>
      </c>
      <c r="U97" s="251">
        <f t="shared" si="31"/>
        <v>-1.9811447455465787</v>
      </c>
      <c r="V97" s="383">
        <f t="shared" si="32"/>
        <v>53.173429025471663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5">
        <f t="shared" si="38"/>
        <v>0</v>
      </c>
      <c r="AD97" s="169">
        <f>(INDEX(Models!$BJ97:$BT97,,AH97)*(1-AF97)+INDEX(Models!$BJ97:$BT97,,AH97+1)*AF97-ERP_i)*AE97*Ramure*Pc/MaxiM</f>
        <v>2.1143895238972224E-6</v>
      </c>
      <c r="AE97" s="305">
        <f t="shared" si="39"/>
        <v>0.7</v>
      </c>
      <c r="AF97" s="177">
        <f t="shared" si="40"/>
        <v>1.8855254453421288E-2</v>
      </c>
      <c r="AG97" s="919">
        <f t="shared" si="41"/>
        <v>-2</v>
      </c>
      <c r="AH97" s="176">
        <f t="shared" si="42"/>
        <v>4</v>
      </c>
      <c r="AI97" s="225">
        <f t="shared" si="43"/>
        <v>-1.9811447455465787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7"/>
        <v>43184</v>
      </c>
      <c r="B98" s="622"/>
      <c r="C98" s="966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6">
        <f t="shared" si="26"/>
        <v>0</v>
      </c>
      <c r="M98" s="968"/>
      <c r="N98" s="968"/>
      <c r="O98" s="324">
        <f t="shared" si="27"/>
        <v>0</v>
      </c>
      <c r="P98" s="169">
        <f>(INDEX(Models!$BJ98:$BT98,,T98)*(1-R98)+INDEX(Models!$BJ98:$BT98,,T98+1)*R98-ERP_i)*Q98*Ramure*Pc/MaxiM</f>
        <v>2.1057092204105607E-6</v>
      </c>
      <c r="Q98" s="305">
        <f t="shared" si="28"/>
        <v>0.7</v>
      </c>
      <c r="R98" s="177">
        <f t="shared" si="29"/>
        <v>1.9640711288668511E-2</v>
      </c>
      <c r="S98" s="919">
        <f t="shared" si="46"/>
        <v>-2</v>
      </c>
      <c r="T98" s="176">
        <f t="shared" si="30"/>
        <v>4</v>
      </c>
      <c r="U98" s="251">
        <f t="shared" si="31"/>
        <v>-1.9803592887113315</v>
      </c>
      <c r="V98" s="383">
        <f t="shared" si="32"/>
        <v>53.439152779059576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5">
        <f t="shared" si="38"/>
        <v>0</v>
      </c>
      <c r="AD98" s="169">
        <f>(INDEX(Models!$BJ98:$BT98,,AH98)*(1-AF98)+INDEX(Models!$BJ98:$BT98,,AH98+1)*AF98-ERP_i)*AE98*Ramure*Pc/MaxiM</f>
        <v>2.1057092204105607E-6</v>
      </c>
      <c r="AE98" s="305">
        <f t="shared" si="39"/>
        <v>0.7</v>
      </c>
      <c r="AF98" s="177">
        <f t="shared" si="40"/>
        <v>1.9640711288668511E-2</v>
      </c>
      <c r="AG98" s="919">
        <f t="shared" si="41"/>
        <v>-2</v>
      </c>
      <c r="AH98" s="176">
        <f t="shared" si="42"/>
        <v>4</v>
      </c>
      <c r="AI98" s="225">
        <f t="shared" si="43"/>
        <v>-1.9803592887113315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7"/>
        <v>43185</v>
      </c>
      <c r="B99" s="622"/>
      <c r="C99" s="966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6">
        <f t="shared" si="26"/>
        <v>0</v>
      </c>
      <c r="M99" s="968"/>
      <c r="N99" s="968"/>
      <c r="O99" s="324">
        <f t="shared" si="27"/>
        <v>0</v>
      </c>
      <c r="P99" s="169">
        <f>(INDEX(Models!$BJ99:$BT99,,T99)*(1-R99)+INDEX(Models!$BJ99:$BT99,,T99+1)*R99-ERP_i)*Q99*Ramure*Pc/MaxiM</f>
        <v>2.1026761148391464E-6</v>
      </c>
      <c r="Q99" s="305">
        <f t="shared" si="28"/>
        <v>0.7</v>
      </c>
      <c r="R99" s="177">
        <f t="shared" si="29"/>
        <v>2.0456397290072204E-2</v>
      </c>
      <c r="S99" s="919">
        <f t="shared" si="46"/>
        <v>-2</v>
      </c>
      <c r="T99" s="176">
        <f t="shared" si="30"/>
        <v>4</v>
      </c>
      <c r="U99" s="251">
        <f t="shared" si="31"/>
        <v>-1.9795436027099278</v>
      </c>
      <c r="V99" s="383">
        <f t="shared" si="32"/>
        <v>53.700855835194432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5">
        <f t="shared" si="38"/>
        <v>0</v>
      </c>
      <c r="AD99" s="169">
        <f>(INDEX(Models!$BJ99:$BT99,,AH99)*(1-AF99)+INDEX(Models!$BJ99:$BT99,,AH99+1)*AF99-ERP_i)*AE99*Ramure*Pc/MaxiM</f>
        <v>2.1026761148391464E-6</v>
      </c>
      <c r="AE99" s="305">
        <f t="shared" si="39"/>
        <v>0.7</v>
      </c>
      <c r="AF99" s="177">
        <f t="shared" si="40"/>
        <v>2.0456397290072204E-2</v>
      </c>
      <c r="AG99" s="919">
        <f t="shared" si="41"/>
        <v>-2</v>
      </c>
      <c r="AH99" s="176">
        <f t="shared" si="42"/>
        <v>4</v>
      </c>
      <c r="AI99" s="225">
        <f t="shared" si="43"/>
        <v>-1.9795436027099278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7"/>
        <v>43186</v>
      </c>
      <c r="B100" s="622"/>
      <c r="C100" s="966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6">
        <f t="shared" si="26"/>
        <v>0</v>
      </c>
      <c r="M100" s="968"/>
      <c r="N100" s="968"/>
      <c r="O100" s="324">
        <f t="shared" si="27"/>
        <v>0</v>
      </c>
      <c r="P100" s="169">
        <f>(INDEX(Models!$BJ100:$BT100,,T100)*(1-R100)+INDEX(Models!$BJ100:$BT100,,T100+1)*R100-ERP_i)*Q100*Ramure*Pc/MaxiM</f>
        <v>2.1084381813029912E-6</v>
      </c>
      <c r="Q100" s="305">
        <f t="shared" si="28"/>
        <v>0.7</v>
      </c>
      <c r="R100" s="177">
        <f t="shared" si="29"/>
        <v>2.1303362458036768E-2</v>
      </c>
      <c r="S100" s="919">
        <f t="shared" si="46"/>
        <v>-2</v>
      </c>
      <c r="T100" s="176">
        <f t="shared" si="30"/>
        <v>4</v>
      </c>
      <c r="U100" s="251">
        <f t="shared" si="31"/>
        <v>-1.9786966375419632</v>
      </c>
      <c r="V100" s="383">
        <f t="shared" si="32"/>
        <v>53.957784193395945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5">
        <f t="shared" si="38"/>
        <v>0</v>
      </c>
      <c r="AD100" s="169">
        <f>(INDEX(Models!$BJ100:$BT100,,AH100)*(1-AF100)+INDEX(Models!$BJ100:$BT100,,AH100+1)*AF100-ERP_i)*AE100*Ramure*Pc/MaxiM</f>
        <v>2.1084381813029912E-6</v>
      </c>
      <c r="AE100" s="305">
        <f t="shared" si="39"/>
        <v>0.7</v>
      </c>
      <c r="AF100" s="177">
        <f t="shared" si="40"/>
        <v>2.1303362458036768E-2</v>
      </c>
      <c r="AG100" s="919">
        <f t="shared" si="41"/>
        <v>-2</v>
      </c>
      <c r="AH100" s="176">
        <f t="shared" si="42"/>
        <v>4</v>
      </c>
      <c r="AI100" s="225">
        <f t="shared" si="43"/>
        <v>-1.9786966375419632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7"/>
        <v>43187</v>
      </c>
      <c r="B101" s="622"/>
      <c r="C101" s="966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6">
        <f t="shared" si="26"/>
        <v>0</v>
      </c>
      <c r="M101" s="968"/>
      <c r="N101" s="968"/>
      <c r="O101" s="324">
        <f t="shared" si="27"/>
        <v>0</v>
      </c>
      <c r="P101" s="169">
        <f>(INDEX(Models!$BJ101:$BT101,,T101)*(1-R101)+INDEX(Models!$BJ101:$BT101,,T101+1)*R101-ERP_i)*Q101*Ramure*Pc/MaxiM</f>
        <v>2.115319094090109E-6</v>
      </c>
      <c r="Q101" s="305">
        <f t="shared" si="28"/>
        <v>0.7</v>
      </c>
      <c r="R101" s="177">
        <f t="shared" si="29"/>
        <v>2.218268400770107E-2</v>
      </c>
      <c r="S101" s="919">
        <f t="shared" si="46"/>
        <v>-2</v>
      </c>
      <c r="T101" s="176">
        <f t="shared" si="30"/>
        <v>4</v>
      </c>
      <c r="U101" s="251">
        <f t="shared" si="31"/>
        <v>-1.9778173159922989</v>
      </c>
      <c r="V101" s="383">
        <f t="shared" si="32"/>
        <v>54.209184438314125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5">
        <f t="shared" si="38"/>
        <v>0</v>
      </c>
      <c r="AD101" s="169">
        <f>(INDEX(Models!$BJ101:$BT101,,AH101)*(1-AF101)+INDEX(Models!$BJ101:$BT101,,AH101+1)*AF101-ERP_i)*AE101*Ramure*Pc/MaxiM</f>
        <v>2.115319094090109E-6</v>
      </c>
      <c r="AE101" s="305">
        <f t="shared" si="39"/>
        <v>0.7</v>
      </c>
      <c r="AF101" s="177">
        <f t="shared" si="40"/>
        <v>2.218268400770107E-2</v>
      </c>
      <c r="AG101" s="919">
        <f t="shared" si="41"/>
        <v>-2</v>
      </c>
      <c r="AH101" s="176">
        <f t="shared" si="42"/>
        <v>4</v>
      </c>
      <c r="AI101" s="225">
        <f t="shared" si="43"/>
        <v>-1.9778173159922989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7"/>
        <v>43188</v>
      </c>
      <c r="B102" s="622"/>
      <c r="C102" s="966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6">
        <f t="shared" si="26"/>
        <v>0</v>
      </c>
      <c r="M102" s="968"/>
      <c r="N102" s="968"/>
      <c r="O102" s="324">
        <f t="shared" si="27"/>
        <v>0</v>
      </c>
      <c r="P102" s="169">
        <f>(INDEX(Models!$BJ102:$BT102,,T102)*(1-R102)+INDEX(Models!$BJ102:$BT102,,T102+1)*R102-ERP_i)*Q102*Ramure*Pc/MaxiM</f>
        <v>2.1235470143442276E-6</v>
      </c>
      <c r="Q102" s="305">
        <f t="shared" si="28"/>
        <v>0.7</v>
      </c>
      <c r="R102" s="177">
        <f t="shared" si="29"/>
        <v>2.3095466292087474E-2</v>
      </c>
      <c r="S102" s="919">
        <f t="shared" si="46"/>
        <v>-2</v>
      </c>
      <c r="T102" s="176">
        <f t="shared" si="30"/>
        <v>4</v>
      </c>
      <c r="U102" s="251">
        <f t="shared" si="31"/>
        <v>-1.9769045337079125</v>
      </c>
      <c r="V102" s="383">
        <f t="shared" si="32"/>
        <v>54.454302731587831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5">
        <f t="shared" si="38"/>
        <v>0</v>
      </c>
      <c r="AD102" s="169">
        <f>(INDEX(Models!$BJ102:$BT102,,AH102)*(1-AF102)+INDEX(Models!$BJ102:$BT102,,AH102+1)*AF102-ERP_i)*AE102*Ramure*Pc/MaxiM</f>
        <v>2.1235470143442276E-6</v>
      </c>
      <c r="AE102" s="305">
        <f t="shared" si="39"/>
        <v>0.7</v>
      </c>
      <c r="AF102" s="177">
        <f t="shared" si="40"/>
        <v>2.3095466292087474E-2</v>
      </c>
      <c r="AG102" s="919">
        <f t="shared" si="41"/>
        <v>-2</v>
      </c>
      <c r="AH102" s="176">
        <f t="shared" si="42"/>
        <v>4</v>
      </c>
      <c r="AI102" s="225">
        <f t="shared" si="43"/>
        <v>-1.9769045337079125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7"/>
        <v>43189</v>
      </c>
      <c r="B103" s="622"/>
      <c r="C103" s="966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6">
        <f t="shared" si="26"/>
        <v>0</v>
      </c>
      <c r="M103" s="968"/>
      <c r="N103" s="968"/>
      <c r="O103" s="324">
        <f t="shared" si="27"/>
        <v>0</v>
      </c>
      <c r="P103" s="169">
        <f>(INDEX(Models!$BJ103:$BT103,,T103)*(1-R103)+INDEX(Models!$BJ103:$BT103,,T103+1)*R103-ERP_i)*Q103*Ramure*Pc/MaxiM</f>
        <v>2.1333686079576372E-6</v>
      </c>
      <c r="Q103" s="305">
        <f t="shared" si="28"/>
        <v>0.7</v>
      </c>
      <c r="R103" s="177">
        <f t="shared" si="29"/>
        <v>2.4042840643705654E-2</v>
      </c>
      <c r="S103" s="919">
        <f t="shared" si="46"/>
        <v>-2</v>
      </c>
      <c r="T103" s="176">
        <f t="shared" si="30"/>
        <v>4</v>
      </c>
      <c r="U103" s="251">
        <f t="shared" si="31"/>
        <v>-1.9759571593562943</v>
      </c>
      <c r="V103" s="383">
        <f t="shared" si="32"/>
        <v>54.692385235207915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5">
        <f t="shared" si="38"/>
        <v>0</v>
      </c>
      <c r="AD103" s="169">
        <f>(INDEX(Models!$BJ103:$BT103,,AH103)*(1-AF103)+INDEX(Models!$BJ103:$BT103,,AH103+1)*AF103-ERP_i)*AE103*Ramure*Pc/MaxiM</f>
        <v>2.1333686079576372E-6</v>
      </c>
      <c r="AE103" s="305">
        <f t="shared" si="39"/>
        <v>0.7</v>
      </c>
      <c r="AF103" s="177">
        <f t="shared" si="40"/>
        <v>2.4042840643705654E-2</v>
      </c>
      <c r="AG103" s="919">
        <f t="shared" si="41"/>
        <v>-2</v>
      </c>
      <c r="AH103" s="176">
        <f t="shared" si="42"/>
        <v>4</v>
      </c>
      <c r="AI103" s="225">
        <f t="shared" si="43"/>
        <v>-1.9759571593562943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7"/>
        <v>43190</v>
      </c>
      <c r="B104" s="622"/>
      <c r="C104" s="966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6">
        <f t="shared" si="26"/>
        <v>0</v>
      </c>
      <c r="M104" s="968"/>
      <c r="N104" s="968"/>
      <c r="O104" s="324">
        <f t="shared" si="27"/>
        <v>0</v>
      </c>
      <c r="P104" s="169">
        <f>(INDEX(Models!$BJ104:$BT104,,T104)*(1-R104)+INDEX(Models!$BJ104:$BT104,,T104+1)*R104-ERP_i)*Q104*Ramure*Pc/MaxiM</f>
        <v>2.1450508259464511E-6</v>
      </c>
      <c r="Q104" s="305">
        <f t="shared" si="28"/>
        <v>0.7</v>
      </c>
      <c r="R104" s="177">
        <f t="shared" si="29"/>
        <v>2.5025965127370098E-2</v>
      </c>
      <c r="S104" s="919">
        <f t="shared" si="46"/>
        <v>-2</v>
      </c>
      <c r="T104" s="176">
        <f t="shared" si="30"/>
        <v>4</v>
      </c>
      <c r="U104" s="251">
        <f t="shared" si="31"/>
        <v>-1.9749740348726299</v>
      </c>
      <c r="V104" s="383">
        <f t="shared" si="32"/>
        <v>54.922678106501557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5">
        <f t="shared" si="38"/>
        <v>0</v>
      </c>
      <c r="AD104" s="169">
        <f>(INDEX(Models!$BJ104:$BT104,,AH104)*(1-AF104)+INDEX(Models!$BJ104:$BT104,,AH104+1)*AF104-ERP_i)*AE104*Ramure*Pc/MaxiM</f>
        <v>2.1450508259464511E-6</v>
      </c>
      <c r="AE104" s="305">
        <f t="shared" si="39"/>
        <v>0.7</v>
      </c>
      <c r="AF104" s="177">
        <f t="shared" si="40"/>
        <v>2.5025965127370098E-2</v>
      </c>
      <c r="AG104" s="919">
        <f t="shared" si="41"/>
        <v>-2</v>
      </c>
      <c r="AH104" s="176">
        <f t="shared" si="42"/>
        <v>4</v>
      </c>
      <c r="AI104" s="225">
        <f t="shared" si="43"/>
        <v>-1.9749740348726299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7"/>
        <v>43191</v>
      </c>
      <c r="B105" s="622"/>
      <c r="C105" s="966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6">
        <f t="shared" si="26"/>
        <v>0</v>
      </c>
      <c r="M105" s="968"/>
      <c r="N105" s="968"/>
      <c r="O105" s="324">
        <f t="shared" si="27"/>
        <v>0</v>
      </c>
      <c r="P105" s="169">
        <f>(INDEX(Models!$BJ105:$BT105,,T105)*(1-R105)+INDEX(Models!$BJ105:$BT105,,T105+1)*R105-ERP_i)*Q105*Ramure*Pc/MaxiM</f>
        <v>2.1588828687996117E-6</v>
      </c>
      <c r="Q105" s="305">
        <f t="shared" si="28"/>
        <v>0.7</v>
      </c>
      <c r="R105" s="177">
        <f t="shared" si="29"/>
        <v>2.604602419665536E-2</v>
      </c>
      <c r="S105" s="919">
        <f t="shared" si="46"/>
        <v>-2</v>
      </c>
      <c r="T105" s="176">
        <f t="shared" si="30"/>
        <v>4</v>
      </c>
      <c r="U105" s="251">
        <f t="shared" si="31"/>
        <v>-1.9739539758033446</v>
      </c>
      <c r="V105" s="383">
        <f t="shared" si="32"/>
        <v>55.144427506680785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5">
        <f t="shared" si="38"/>
        <v>0</v>
      </c>
      <c r="AD105" s="169">
        <f>(INDEX(Models!$BJ105:$BT105,,AH105)*(1-AF105)+INDEX(Models!$BJ105:$BT105,,AH105+1)*AF105-ERP_i)*AE105*Ramure*Pc/MaxiM</f>
        <v>2.1588828687996117E-6</v>
      </c>
      <c r="AE105" s="305">
        <f t="shared" si="39"/>
        <v>0.7</v>
      </c>
      <c r="AF105" s="177">
        <f t="shared" si="40"/>
        <v>2.604602419665536E-2</v>
      </c>
      <c r="AG105" s="919">
        <f t="shared" si="41"/>
        <v>-2</v>
      </c>
      <c r="AH105" s="176">
        <f t="shared" si="42"/>
        <v>4</v>
      </c>
      <c r="AI105" s="225">
        <f t="shared" si="43"/>
        <v>-1.9739539758033446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7"/>
        <v>43192</v>
      </c>
      <c r="B106" s="622"/>
      <c r="C106" s="966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6">
        <f t="shared" si="26"/>
        <v>0</v>
      </c>
      <c r="M106" s="968"/>
      <c r="N106" s="968"/>
      <c r="O106" s="324">
        <f t="shared" si="27"/>
        <v>0</v>
      </c>
      <c r="P106" s="169">
        <f>(INDEX(Models!$BJ106:$BT106,,T106)*(1-R106)+INDEX(Models!$BJ106:$BT106,,T106+1)*R106-ERP_i)*Q106*Ramure*Pc/MaxiM</f>
        <v>2.1751783525941697E-6</v>
      </c>
      <c r="Q106" s="305">
        <f t="shared" si="28"/>
        <v>0.7</v>
      </c>
      <c r="R106" s="177">
        <f t="shared" si="29"/>
        <v>2.7104228246094708E-2</v>
      </c>
      <c r="S106" s="919">
        <f t="shared" si="46"/>
        <v>-2</v>
      </c>
      <c r="T106" s="176">
        <f t="shared" si="30"/>
        <v>4</v>
      </c>
      <c r="U106" s="251">
        <f t="shared" si="31"/>
        <v>-1.9728957717539053</v>
      </c>
      <c r="V106" s="383">
        <f t="shared" si="32"/>
        <v>55.356879590171857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5">
        <f t="shared" si="38"/>
        <v>0</v>
      </c>
      <c r="AD106" s="169">
        <f>(INDEX(Models!$BJ106:$BT106,,AH106)*(1-AF106)+INDEX(Models!$BJ106:$BT106,,AH106+1)*AF106-ERP_i)*AE106*Ramure*Pc/MaxiM</f>
        <v>2.1751783525941697E-6</v>
      </c>
      <c r="AE106" s="305">
        <f t="shared" si="39"/>
        <v>0.7</v>
      </c>
      <c r="AF106" s="177">
        <f t="shared" si="40"/>
        <v>2.7104228246094708E-2</v>
      </c>
      <c r="AG106" s="919">
        <f t="shared" si="41"/>
        <v>-2</v>
      </c>
      <c r="AH106" s="176">
        <f t="shared" si="42"/>
        <v>4</v>
      </c>
      <c r="AI106" s="225">
        <f t="shared" si="43"/>
        <v>-1.9728957717539053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7"/>
        <v>43193</v>
      </c>
      <c r="B107" s="622"/>
      <c r="C107" s="966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6">
        <f t="shared" si="26"/>
        <v>0</v>
      </c>
      <c r="M107" s="968"/>
      <c r="N107" s="968"/>
      <c r="O107" s="324">
        <f t="shared" si="27"/>
        <v>0</v>
      </c>
      <c r="P107" s="169">
        <f>(INDEX(Models!$BJ107:$BT107,,T107)*(1-R107)+INDEX(Models!$BJ107:$BT107,,T107+1)*R107-ERP_i)*Q107*Ramure*Pc/MaxiM</f>
        <v>2.19424933993199E-6</v>
      </c>
      <c r="Q107" s="305">
        <f t="shared" si="28"/>
        <v>0.7</v>
      </c>
      <c r="R107" s="177">
        <f t="shared" si="29"/>
        <v>2.8201813050908076E-2</v>
      </c>
      <c r="S107" s="919">
        <f t="shared" si="46"/>
        <v>-2</v>
      </c>
      <c r="T107" s="176">
        <f t="shared" si="30"/>
        <v>4</v>
      </c>
      <c r="U107" s="251">
        <f t="shared" si="31"/>
        <v>-1.9717981869490919</v>
      </c>
      <c r="V107" s="383">
        <f t="shared" si="32"/>
        <v>55.559998441249981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5">
        <f t="shared" si="38"/>
        <v>0</v>
      </c>
      <c r="AD107" s="169">
        <f>(INDEX(Models!$BJ107:$BT107,,AH107)*(1-AF107)+INDEX(Models!$BJ107:$BT107,,AH107+1)*AF107-ERP_i)*AE107*Ramure*Pc/MaxiM</f>
        <v>2.19424933993199E-6</v>
      </c>
      <c r="AE107" s="305">
        <f t="shared" si="39"/>
        <v>0.7</v>
      </c>
      <c r="AF107" s="177">
        <f t="shared" si="40"/>
        <v>2.8201813050908076E-2</v>
      </c>
      <c r="AG107" s="919">
        <f t="shared" si="41"/>
        <v>-2</v>
      </c>
      <c r="AH107" s="176">
        <f t="shared" si="42"/>
        <v>4</v>
      </c>
      <c r="AI107" s="225">
        <f t="shared" si="43"/>
        <v>-1.9717981869490919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7"/>
        <v>43194</v>
      </c>
      <c r="B108" s="622"/>
      <c r="C108" s="966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6">
        <f t="shared" si="26"/>
        <v>0</v>
      </c>
      <c r="M108" s="968"/>
      <c r="N108" s="968"/>
      <c r="O108" s="324">
        <f t="shared" si="27"/>
        <v>0</v>
      </c>
      <c r="P108" s="169">
        <f>(INDEX(Models!$BJ108:$BT108,,T108)*(1-R108)+INDEX(Models!$BJ108:$BT108,,T108+1)*R108-ERP_i)*Q108*Ramure*Pc/MaxiM</f>
        <v>2.2272569470081684E-6</v>
      </c>
      <c r="Q108" s="305">
        <f t="shared" si="28"/>
        <v>0.7</v>
      </c>
      <c r="R108" s="177">
        <f t="shared" si="29"/>
        <v>2.9340039085760772E-2</v>
      </c>
      <c r="S108" s="919">
        <f t="shared" si="46"/>
        <v>-2</v>
      </c>
      <c r="T108" s="176">
        <f t="shared" si="30"/>
        <v>4</v>
      </c>
      <c r="U108" s="251">
        <f t="shared" si="31"/>
        <v>-1.9706599609142392</v>
      </c>
      <c r="V108" s="383">
        <f t="shared" si="32"/>
        <v>55.754609056442874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5">
        <f t="shared" si="38"/>
        <v>0</v>
      </c>
      <c r="AD108" s="169">
        <f>(INDEX(Models!$BJ108:$BT108,,AH108)*(1-AF108)+INDEX(Models!$BJ108:$BT108,,AH108+1)*AF108-ERP_i)*AE108*Ramure*Pc/MaxiM</f>
        <v>2.2272569470081684E-6</v>
      </c>
      <c r="AE108" s="305">
        <f t="shared" si="39"/>
        <v>0.7</v>
      </c>
      <c r="AF108" s="177">
        <f t="shared" si="40"/>
        <v>2.9340039085760772E-2</v>
      </c>
      <c r="AG108" s="919">
        <f t="shared" si="41"/>
        <v>-2</v>
      </c>
      <c r="AH108" s="176">
        <f t="shared" si="42"/>
        <v>4</v>
      </c>
      <c r="AI108" s="225">
        <f t="shared" si="43"/>
        <v>-1.9706599609142392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7"/>
        <v>43195</v>
      </c>
      <c r="B109" s="622"/>
      <c r="C109" s="966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6">
        <f t="shared" si="26"/>
        <v>0</v>
      </c>
      <c r="M109" s="968"/>
      <c r="N109" s="968"/>
      <c r="O109" s="324">
        <f t="shared" si="27"/>
        <v>0</v>
      </c>
      <c r="P109" s="169">
        <f>(INDEX(Models!$BJ109:$BT109,,T109)*(1-R109)+INDEX(Models!$BJ109:$BT109,,T109+1)*R109-ERP_i)*Q109*Ramure*Pc/MaxiM</f>
        <v>2.274410695347226E-6</v>
      </c>
      <c r="Q109" s="305">
        <f t="shared" si="28"/>
        <v>0.7</v>
      </c>
      <c r="R109" s="177">
        <f t="shared" si="29"/>
        <v>3.0520190713779538E-2</v>
      </c>
      <c r="S109" s="919">
        <f t="shared" si="46"/>
        <v>-2</v>
      </c>
      <c r="T109" s="176">
        <f t="shared" si="30"/>
        <v>4</v>
      </c>
      <c r="U109" s="251">
        <f t="shared" si="31"/>
        <v>-1.9694798092862205</v>
      </c>
      <c r="V109" s="383">
        <f t="shared" si="32"/>
        <v>55.941249863222893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5">
        <f t="shared" si="38"/>
        <v>0</v>
      </c>
      <c r="AD109" s="169">
        <f>(INDEX(Models!$BJ109:$BT109,,AH109)*(1-AF109)+INDEX(Models!$BJ109:$BT109,,AH109+1)*AF109-ERP_i)*AE109*Ramure*Pc/MaxiM</f>
        <v>2.274410695347226E-6</v>
      </c>
      <c r="AE109" s="305">
        <f t="shared" si="39"/>
        <v>0.7</v>
      </c>
      <c r="AF109" s="177">
        <f t="shared" si="40"/>
        <v>3.0520190713779538E-2</v>
      </c>
      <c r="AG109" s="919">
        <f t="shared" si="41"/>
        <v>-2</v>
      </c>
      <c r="AH109" s="176">
        <f t="shared" si="42"/>
        <v>4</v>
      </c>
      <c r="AI109" s="225">
        <f t="shared" si="43"/>
        <v>-1.9694798092862205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7"/>
        <v>43196</v>
      </c>
      <c r="B110" s="622"/>
      <c r="C110" s="966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6">
        <f t="shared" si="26"/>
        <v>0</v>
      </c>
      <c r="M110" s="968"/>
      <c r="N110" s="968"/>
      <c r="O110" s="324">
        <f t="shared" si="27"/>
        <v>0</v>
      </c>
      <c r="P110" s="169">
        <f>(INDEX(Models!$BJ110:$BT110,,T110)*(1-R110)+INDEX(Models!$BJ110:$BT110,,T110+1)*R110-ERP_i)*Q110*Ramure*Pc/MaxiM</f>
        <v>2.3373062033145264E-6</v>
      </c>
      <c r="Q110" s="305">
        <f t="shared" si="28"/>
        <v>0.7</v>
      </c>
      <c r="R110" s="177">
        <f t="shared" si="29"/>
        <v>3.174357523681981E-2</v>
      </c>
      <c r="S110" s="919">
        <f t="shared" si="46"/>
        <v>-2</v>
      </c>
      <c r="T110" s="176">
        <f t="shared" si="30"/>
        <v>4</v>
      </c>
      <c r="U110" s="251">
        <f t="shared" si="31"/>
        <v>-1.9682564247631802</v>
      </c>
      <c r="V110" s="383">
        <f t="shared" si="32"/>
        <v>56.120459209575195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5">
        <f t="shared" si="38"/>
        <v>0</v>
      </c>
      <c r="AD110" s="169">
        <f>(INDEX(Models!$BJ110:$BT110,,AH110)*(1-AF110)+INDEX(Models!$BJ110:$BT110,,AH110+1)*AF110-ERP_i)*AE110*Ramure*Pc/MaxiM</f>
        <v>2.3373062033145264E-6</v>
      </c>
      <c r="AE110" s="305">
        <f t="shared" si="39"/>
        <v>0.7</v>
      </c>
      <c r="AF110" s="177">
        <f t="shared" si="40"/>
        <v>3.174357523681981E-2</v>
      </c>
      <c r="AG110" s="919">
        <f t="shared" si="41"/>
        <v>-2</v>
      </c>
      <c r="AH110" s="176">
        <f t="shared" si="42"/>
        <v>4</v>
      </c>
      <c r="AI110" s="225">
        <f t="shared" si="43"/>
        <v>-1.9682564247631802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7"/>
        <v>43197</v>
      </c>
      <c r="B111" s="622"/>
      <c r="C111" s="966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6">
        <f t="shared" si="26"/>
        <v>0</v>
      </c>
      <c r="M111" s="968"/>
      <c r="N111" s="968"/>
      <c r="O111" s="324">
        <f t="shared" si="27"/>
        <v>0</v>
      </c>
      <c r="P111" s="169">
        <f>(INDEX(Models!$BJ111:$BT111,,T111)*(1-R111)+INDEX(Models!$BJ111:$BT111,,T111+1)*R111-ERP_i)*Q111*Ramure*Pc/MaxiM</f>
        <v>2.4176757307712337E-6</v>
      </c>
      <c r="Q111" s="305">
        <f t="shared" si="28"/>
        <v>0.7</v>
      </c>
      <c r="R111" s="177">
        <f t="shared" si="29"/>
        <v>3.3011521797768895E-2</v>
      </c>
      <c r="S111" s="919">
        <f t="shared" si="46"/>
        <v>-2</v>
      </c>
      <c r="T111" s="176">
        <f t="shared" si="30"/>
        <v>4</v>
      </c>
      <c r="U111" s="251">
        <f t="shared" si="31"/>
        <v>-1.9669884782022311</v>
      </c>
      <c r="V111" s="383">
        <f t="shared" si="32"/>
        <v>56.292775436431079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5">
        <f t="shared" si="38"/>
        <v>0</v>
      </c>
      <c r="AD111" s="169">
        <f>(INDEX(Models!$BJ111:$BT111,,AH111)*(1-AF111)+INDEX(Models!$BJ111:$BT111,,AH111+1)*AF111-ERP_i)*AE111*Ramure*Pc/MaxiM</f>
        <v>2.4176757307712337E-6</v>
      </c>
      <c r="AE111" s="305">
        <f t="shared" si="39"/>
        <v>0.7</v>
      </c>
      <c r="AF111" s="177">
        <f t="shared" si="40"/>
        <v>3.3011521797768895E-2</v>
      </c>
      <c r="AG111" s="919">
        <f t="shared" si="41"/>
        <v>-2</v>
      </c>
      <c r="AH111" s="176">
        <f t="shared" si="42"/>
        <v>4</v>
      </c>
      <c r="AI111" s="225">
        <f t="shared" si="43"/>
        <v>-1.9669884782022311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7"/>
        <v>43198</v>
      </c>
      <c r="B112" s="622"/>
      <c r="C112" s="966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6">
        <f t="shared" si="26"/>
        <v>0</v>
      </c>
      <c r="M112" s="968"/>
      <c r="N112" s="968"/>
      <c r="O112" s="324">
        <f t="shared" si="27"/>
        <v>0</v>
      </c>
      <c r="P112" s="169">
        <f>(INDEX(Models!$BJ112:$BT112,,T112)*(1-R112)+INDEX(Models!$BJ112:$BT112,,T112+1)*R112-ERP_i)*Q112*Ramure*Pc/MaxiM</f>
        <v>2.5173970163189248E-6</v>
      </c>
      <c r="Q112" s="305">
        <f t="shared" si="28"/>
        <v>0.7</v>
      </c>
      <c r="R112" s="177">
        <f t="shared" si="29"/>
        <v>3.4325380125512339E-2</v>
      </c>
      <c r="S112" s="919">
        <f t="shared" si="46"/>
        <v>-2</v>
      </c>
      <c r="T112" s="176">
        <f t="shared" si="30"/>
        <v>4</v>
      </c>
      <c r="U112" s="251">
        <f t="shared" si="31"/>
        <v>-1.9656746198744877</v>
      </c>
      <c r="V112" s="383">
        <f t="shared" si="32"/>
        <v>56.458736879369205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5">
        <f t="shared" si="38"/>
        <v>0</v>
      </c>
      <c r="AD112" s="169">
        <f>(INDEX(Models!$BJ112:$BT112,,AH112)*(1-AF112)+INDEX(Models!$BJ112:$BT112,,AH112+1)*AF112-ERP_i)*AE112*Ramure*Pc/MaxiM</f>
        <v>2.5173970163189248E-6</v>
      </c>
      <c r="AE112" s="305">
        <f t="shared" si="39"/>
        <v>0.7</v>
      </c>
      <c r="AF112" s="177">
        <f t="shared" si="40"/>
        <v>3.4325380125512339E-2</v>
      </c>
      <c r="AG112" s="919">
        <f t="shared" si="41"/>
        <v>-2</v>
      </c>
      <c r="AH112" s="176">
        <f t="shared" si="42"/>
        <v>4</v>
      </c>
      <c r="AI112" s="225">
        <f t="shared" si="43"/>
        <v>-1.9656746198744877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7"/>
        <v>43199</v>
      </c>
      <c r="B113" s="622"/>
      <c r="C113" s="966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6">
        <f t="shared" si="26"/>
        <v>0</v>
      </c>
      <c r="M113" s="968"/>
      <c r="N113" s="968"/>
      <c r="O113" s="324">
        <f t="shared" si="27"/>
        <v>0</v>
      </c>
      <c r="P113" s="169">
        <f>(INDEX(Models!$BJ113:$BT113,,T113)*(1-R113)+INDEX(Models!$BJ113:$BT113,,T113+1)*R113-ERP_i)*Q113*Ramure*Pc/MaxiM</f>
        <v>2.6385024403454198E-6</v>
      </c>
      <c r="Q113" s="305">
        <f t="shared" si="28"/>
        <v>0.7</v>
      </c>
      <c r="R113" s="177">
        <f t="shared" si="29"/>
        <v>3.5686519113078408E-2</v>
      </c>
      <c r="S113" s="919">
        <f t="shared" si="46"/>
        <v>-2</v>
      </c>
      <c r="T113" s="176">
        <f t="shared" si="30"/>
        <v>4</v>
      </c>
      <c r="U113" s="251">
        <f t="shared" si="31"/>
        <v>-1.9643134808869216</v>
      </c>
      <c r="V113" s="383">
        <f t="shared" si="32"/>
        <v>56.618881861024718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5">
        <f t="shared" si="38"/>
        <v>0</v>
      </c>
      <c r="AD113" s="169">
        <f>(INDEX(Models!$BJ113:$BT113,,AH113)*(1-AF113)+INDEX(Models!$BJ113:$BT113,,AH113+1)*AF113-ERP_i)*AE113*Ramure*Pc/MaxiM</f>
        <v>2.6385024403454198E-6</v>
      </c>
      <c r="AE113" s="305">
        <f t="shared" si="39"/>
        <v>0.7</v>
      </c>
      <c r="AF113" s="177">
        <f t="shared" si="40"/>
        <v>3.5686519113078408E-2</v>
      </c>
      <c r="AG113" s="919">
        <f t="shared" si="41"/>
        <v>-2</v>
      </c>
      <c r="AH113" s="176">
        <f t="shared" si="42"/>
        <v>4</v>
      </c>
      <c r="AI113" s="225">
        <f t="shared" si="43"/>
        <v>-1.9643134808869216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7"/>
        <v>43200</v>
      </c>
      <c r="B114" s="622"/>
      <c r="C114" s="966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6">
        <f t="shared" si="26"/>
        <v>0</v>
      </c>
      <c r="M114" s="968"/>
      <c r="N114" s="968"/>
      <c r="O114" s="324">
        <f t="shared" si="27"/>
        <v>0</v>
      </c>
      <c r="P114" s="169">
        <f>(INDEX(Models!$BJ114:$BT114,,T114)*(1-R114)+INDEX(Models!$BJ114:$BT114,,T114+1)*R114-ERP_i)*Q114*Ramure*Pc/MaxiM</f>
        <v>2.8117949857544118E-6</v>
      </c>
      <c r="Q114" s="305">
        <f t="shared" si="28"/>
        <v>0.7</v>
      </c>
      <c r="R114" s="177">
        <f t="shared" si="29"/>
        <v>3.7096325219420967E-2</v>
      </c>
      <c r="S114" s="919">
        <f t="shared" si="46"/>
        <v>-2</v>
      </c>
      <c r="T114" s="176">
        <f t="shared" si="30"/>
        <v>4</v>
      </c>
      <c r="U114" s="251">
        <f t="shared" si="31"/>
        <v>-1.962903674780579</v>
      </c>
      <c r="V114" s="383">
        <f t="shared" si="32"/>
        <v>56.773747069793792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5">
        <f t="shared" si="38"/>
        <v>0</v>
      </c>
      <c r="AD114" s="169">
        <f>(INDEX(Models!$BJ114:$BT114,,AH114)*(1-AF114)+INDEX(Models!$BJ114:$BT114,,AH114+1)*AF114-ERP_i)*AE114*Ramure*Pc/MaxiM</f>
        <v>2.8117949857544118E-6</v>
      </c>
      <c r="AE114" s="305">
        <f t="shared" si="39"/>
        <v>0.7</v>
      </c>
      <c r="AF114" s="177">
        <f t="shared" si="40"/>
        <v>3.7096325219420967E-2</v>
      </c>
      <c r="AG114" s="919">
        <f t="shared" si="41"/>
        <v>-2</v>
      </c>
      <c r="AH114" s="176">
        <f t="shared" si="42"/>
        <v>4</v>
      </c>
      <c r="AI114" s="225">
        <f t="shared" si="43"/>
        <v>-1.962903674780579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7"/>
        <v>43201</v>
      </c>
      <c r="B115" s="622"/>
      <c r="C115" s="966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6">
        <f t="shared" si="26"/>
        <v>0</v>
      </c>
      <c r="M115" s="968"/>
      <c r="N115" s="968"/>
      <c r="O115" s="324">
        <f t="shared" si="27"/>
        <v>0</v>
      </c>
      <c r="P115" s="169">
        <f>(INDEX(Models!$BJ115:$BT115,,T115)*(1-R115)+INDEX(Models!$BJ115:$BT115,,T115+1)*R115-ERP_i)*Q115*Ramure*Pc/MaxiM</f>
        <v>3.0389108218386266E-6</v>
      </c>
      <c r="Q115" s="305">
        <f t="shared" si="28"/>
        <v>0.7</v>
      </c>
      <c r="R115" s="177">
        <f t="shared" si="29"/>
        <v>3.8556200685317954E-2</v>
      </c>
      <c r="S115" s="919">
        <f t="shared" si="46"/>
        <v>-2</v>
      </c>
      <c r="T115" s="176">
        <f t="shared" si="30"/>
        <v>4</v>
      </c>
      <c r="U115" s="251">
        <f t="shared" si="31"/>
        <v>-1.961443799314682</v>
      </c>
      <c r="V115" s="383">
        <f t="shared" si="32"/>
        <v>56.923870835781116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5">
        <f t="shared" si="38"/>
        <v>0</v>
      </c>
      <c r="AD115" s="169">
        <f>(INDEX(Models!$BJ115:$BT115,,AH115)*(1-AF115)+INDEX(Models!$BJ115:$BT115,,AH115+1)*AF115-ERP_i)*AE115*Ramure*Pc/MaxiM</f>
        <v>3.0389108218386266E-6</v>
      </c>
      <c r="AE115" s="305">
        <f t="shared" si="39"/>
        <v>0.7</v>
      </c>
      <c r="AF115" s="177">
        <f t="shared" si="40"/>
        <v>3.8556200685317954E-2</v>
      </c>
      <c r="AG115" s="919">
        <f t="shared" si="41"/>
        <v>-2</v>
      </c>
      <c r="AH115" s="176">
        <f t="shared" si="42"/>
        <v>4</v>
      </c>
      <c r="AI115" s="225">
        <f t="shared" si="43"/>
        <v>-1.961443799314682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7"/>
        <v>43202</v>
      </c>
      <c r="B116" s="622"/>
      <c r="C116" s="966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6">
        <f t="shared" si="26"/>
        <v>0</v>
      </c>
      <c r="M116" s="968"/>
      <c r="N116" s="968"/>
      <c r="O116" s="324">
        <f t="shared" si="27"/>
        <v>0</v>
      </c>
      <c r="P116" s="169">
        <f>(INDEX(Models!$BJ116:$BT116,,T116)*(1-R116)+INDEX(Models!$BJ116:$BT116,,T116+1)*R116-ERP_i)*Q116*Ramure*Pc/MaxiM</f>
        <v>3.3256056050957497E-6</v>
      </c>
      <c r="Q116" s="305">
        <f t="shared" si="28"/>
        <v>0.7</v>
      </c>
      <c r="R116" s="177">
        <f t="shared" si="29"/>
        <v>4.0067561553946307E-2</v>
      </c>
      <c r="S116" s="919">
        <f t="shared" si="46"/>
        <v>-2</v>
      </c>
      <c r="T116" s="176">
        <f t="shared" si="30"/>
        <v>4</v>
      </c>
      <c r="U116" s="251">
        <f t="shared" si="31"/>
        <v>-1.9599324384460537</v>
      </c>
      <c r="V116" s="383">
        <f t="shared" si="32"/>
        <v>57.069791257816725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5">
        <f t="shared" si="38"/>
        <v>0</v>
      </c>
      <c r="AD116" s="169">
        <f>(INDEX(Models!$BJ116:$BT116,,AH116)*(1-AF116)+INDEX(Models!$BJ116:$BT116,,AH116+1)*AF116-ERP_i)*AE116*Ramure*Pc/MaxiM</f>
        <v>3.3256056050957497E-6</v>
      </c>
      <c r="AE116" s="305">
        <f t="shared" si="39"/>
        <v>0.7</v>
      </c>
      <c r="AF116" s="177">
        <f t="shared" si="40"/>
        <v>4.0067561553946307E-2</v>
      </c>
      <c r="AG116" s="919">
        <f t="shared" si="41"/>
        <v>-2</v>
      </c>
      <c r="AH116" s="176">
        <f t="shared" si="42"/>
        <v>4</v>
      </c>
      <c r="AI116" s="225">
        <f t="shared" si="43"/>
        <v>-1.9599324384460537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7"/>
        <v>43203</v>
      </c>
      <c r="B117" s="622"/>
      <c r="C117" s="966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6">
        <f t="shared" si="26"/>
        <v>0</v>
      </c>
      <c r="M117" s="968"/>
      <c r="N117" s="968"/>
      <c r="O117" s="324">
        <f t="shared" si="27"/>
        <v>0</v>
      </c>
      <c r="P117" s="169">
        <f>(INDEX(Models!$BJ117:$BT117,,T117)*(1-R117)+INDEX(Models!$BJ117:$BT117,,T117+1)*R117-ERP_i)*Q117*Ramure*Pc/MaxiM</f>
        <v>3.6780893780974475E-6</v>
      </c>
      <c r="Q117" s="305">
        <f t="shared" si="28"/>
        <v>0.7</v>
      </c>
      <c r="R117" s="177">
        <f t="shared" si="29"/>
        <v>4.1631835486867885E-2</v>
      </c>
      <c r="S117" s="919">
        <f t="shared" si="46"/>
        <v>-2</v>
      </c>
      <c r="T117" s="176">
        <f t="shared" si="30"/>
        <v>4</v>
      </c>
      <c r="U117" s="251">
        <f t="shared" si="31"/>
        <v>-1.9583681645131321</v>
      </c>
      <c r="V117" s="383">
        <f t="shared" si="32"/>
        <v>57.212046401850692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5">
        <f t="shared" si="38"/>
        <v>0</v>
      </c>
      <c r="AD117" s="169">
        <f>(INDEX(Models!$BJ117:$BT117,,AH117)*(1-AF117)+INDEX(Models!$BJ117:$BT117,,AH117+1)*AF117-ERP_i)*AE117*Ramure*Pc/MaxiM</f>
        <v>3.6780893780974475E-6</v>
      </c>
      <c r="AE117" s="305">
        <f t="shared" si="39"/>
        <v>0.7</v>
      </c>
      <c r="AF117" s="177">
        <f t="shared" si="40"/>
        <v>4.1631835486867885E-2</v>
      </c>
      <c r="AG117" s="919">
        <f t="shared" si="41"/>
        <v>-2</v>
      </c>
      <c r="AH117" s="176">
        <f t="shared" si="42"/>
        <v>4</v>
      </c>
      <c r="AI117" s="225">
        <f t="shared" si="43"/>
        <v>-1.9583681645131321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7"/>
        <v>43204</v>
      </c>
      <c r="B118" s="622"/>
      <c r="C118" s="966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6">
        <f t="shared" si="26"/>
        <v>0</v>
      </c>
      <c r="M118" s="968"/>
      <c r="N118" s="968"/>
      <c r="O118" s="324">
        <f t="shared" si="27"/>
        <v>0</v>
      </c>
      <c r="P118" s="169">
        <f>(INDEX(Models!$BJ118:$BT118,,T118)*(1-R118)+INDEX(Models!$BJ118:$BT118,,T118+1)*R118-ERP_i)*Q118*Ramure*Pc/MaxiM</f>
        <v>4.1030515476007558E-6</v>
      </c>
      <c r="Q118" s="305">
        <f t="shared" si="28"/>
        <v>0.7</v>
      </c>
      <c r="R118" s="177">
        <f t="shared" si="29"/>
        <v>4.3250459366431571E-2</v>
      </c>
      <c r="S118" s="919">
        <f t="shared" si="46"/>
        <v>-2</v>
      </c>
      <c r="T118" s="176">
        <f t="shared" si="30"/>
        <v>4</v>
      </c>
      <c r="U118" s="251">
        <f t="shared" si="31"/>
        <v>-1.9567495406335684</v>
      </c>
      <c r="V118" s="383">
        <f t="shared" si="32"/>
        <v>57.351174305427413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5">
        <f t="shared" si="38"/>
        <v>0</v>
      </c>
      <c r="AD118" s="169">
        <f>(INDEX(Models!$BJ118:$BT118,,AH118)*(1-AF118)+INDEX(Models!$BJ118:$BT118,,AH118+1)*AF118-ERP_i)*AE118*Ramure*Pc/MaxiM</f>
        <v>4.1030515476007558E-6</v>
      </c>
      <c r="AE118" s="305">
        <f t="shared" si="39"/>
        <v>0.7</v>
      </c>
      <c r="AF118" s="177">
        <f t="shared" si="40"/>
        <v>4.3250459366431571E-2</v>
      </c>
      <c r="AG118" s="919">
        <f t="shared" si="41"/>
        <v>-2</v>
      </c>
      <c r="AH118" s="176">
        <f t="shared" si="42"/>
        <v>4</v>
      </c>
      <c r="AI118" s="225">
        <f t="shared" si="43"/>
        <v>-1.9567495406335684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7"/>
        <v>43205</v>
      </c>
      <c r="B119" s="622"/>
      <c r="C119" s="966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6">
        <f t="shared" si="26"/>
        <v>0</v>
      </c>
      <c r="M119" s="968"/>
      <c r="N119" s="968"/>
      <c r="O119" s="324">
        <f t="shared" si="27"/>
        <v>0</v>
      </c>
      <c r="P119" s="169">
        <f>(INDEX(Models!$BJ119:$BT119,,T119)*(1-R119)+INDEX(Models!$BJ119:$BT119,,T119+1)*R119-ERP_i)*Q119*Ramure*Pc/MaxiM</f>
        <v>4.6076860857243142E-6</v>
      </c>
      <c r="Q119" s="305">
        <f t="shared" si="28"/>
        <v>0.7</v>
      </c>
      <c r="R119" s="177">
        <f t="shared" si="29"/>
        <v>4.4924876675962899E-2</v>
      </c>
      <c r="S119" s="919">
        <f t="shared" si="46"/>
        <v>-2</v>
      </c>
      <c r="T119" s="176">
        <f t="shared" si="30"/>
        <v>4</v>
      </c>
      <c r="U119" s="251">
        <f t="shared" si="31"/>
        <v>-1.9550751233240371</v>
      </c>
      <c r="V119" s="383">
        <f t="shared" si="32"/>
        <v>57.487712974897704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5">
        <f t="shared" si="38"/>
        <v>0</v>
      </c>
      <c r="AD119" s="169">
        <f>(INDEX(Models!$BJ119:$BT119,,AH119)*(1-AF119)+INDEX(Models!$BJ119:$BT119,,AH119+1)*AF119-ERP_i)*AE119*Ramure*Pc/MaxiM</f>
        <v>4.6076860857243142E-6</v>
      </c>
      <c r="AE119" s="305">
        <f t="shared" si="39"/>
        <v>0.7</v>
      </c>
      <c r="AF119" s="177">
        <f t="shared" si="40"/>
        <v>4.4924876675962899E-2</v>
      </c>
      <c r="AG119" s="919">
        <f t="shared" si="41"/>
        <v>-2</v>
      </c>
      <c r="AH119" s="176">
        <f t="shared" si="42"/>
        <v>4</v>
      </c>
      <c r="AI119" s="225">
        <f t="shared" si="43"/>
        <v>-1.9550751233240371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7"/>
        <v>43206</v>
      </c>
      <c r="B120" s="622"/>
      <c r="C120" s="966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6">
        <f t="shared" si="26"/>
        <v>0</v>
      </c>
      <c r="M120" s="968"/>
      <c r="N120" s="968"/>
      <c r="O120" s="324">
        <f t="shared" si="27"/>
        <v>0</v>
      </c>
      <c r="P120" s="169">
        <f>(INDEX(Models!$BJ120:$BT120,,T120)*(1-R120)+INDEX(Models!$BJ120:$BT120,,T120+1)*R120-ERP_i)*Q120*Ramure*Pc/MaxiM</f>
        <v>5.1997167752771779E-6</v>
      </c>
      <c r="Q120" s="305">
        <f t="shared" si="28"/>
        <v>0.7</v>
      </c>
      <c r="R120" s="177">
        <f t="shared" si="29"/>
        <v>4.6656534649605286E-2</v>
      </c>
      <c r="S120" s="919">
        <f t="shared" si="46"/>
        <v>-2</v>
      </c>
      <c r="T120" s="176">
        <f t="shared" si="30"/>
        <v>4</v>
      </c>
      <c r="U120" s="251">
        <f t="shared" si="31"/>
        <v>-1.9533434653503947</v>
      </c>
      <c r="V120" s="383">
        <f t="shared" si="32"/>
        <v>57.622200379469128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5">
        <f t="shared" si="38"/>
        <v>0</v>
      </c>
      <c r="AD120" s="169">
        <f>(INDEX(Models!$BJ120:$BT120,,AH120)*(1-AF120)+INDEX(Models!$BJ120:$BT120,,AH120+1)*AF120-ERP_i)*AE120*Ramure*Pc/MaxiM</f>
        <v>5.1997167752771779E-6</v>
      </c>
      <c r="AE120" s="305">
        <f t="shared" si="39"/>
        <v>0.7</v>
      </c>
      <c r="AF120" s="177">
        <f t="shared" si="40"/>
        <v>4.6656534649605286E-2</v>
      </c>
      <c r="AG120" s="919">
        <f t="shared" si="41"/>
        <v>-2</v>
      </c>
      <c r="AH120" s="176">
        <f t="shared" si="42"/>
        <v>4</v>
      </c>
      <c r="AI120" s="225">
        <f t="shared" si="43"/>
        <v>-1.9533434653503947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7"/>
        <v>43207</v>
      </c>
      <c r="B121" s="622"/>
      <c r="C121" s="966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6">
        <f t="shared" si="26"/>
        <v>0</v>
      </c>
      <c r="M121" s="968"/>
      <c r="N121" s="968"/>
      <c r="O121" s="324">
        <f t="shared" si="27"/>
        <v>0</v>
      </c>
      <c r="P121" s="169">
        <f>(INDEX(Models!$BJ121:$BT121,,T121)*(1-R121)+INDEX(Models!$BJ121:$BT121,,T121+1)*R121-ERP_i)*Q121*Ramure*Pc/MaxiM</f>
        <v>5.8875357293739619E-6</v>
      </c>
      <c r="Q121" s="305">
        <f t="shared" si="28"/>
        <v>0.7</v>
      </c>
      <c r="R121" s="177">
        <f t="shared" si="29"/>
        <v>4.8446881184282198E-2</v>
      </c>
      <c r="S121" s="919">
        <f t="shared" si="46"/>
        <v>-2</v>
      </c>
      <c r="T121" s="176">
        <f t="shared" si="30"/>
        <v>4</v>
      </c>
      <c r="U121" s="251">
        <f t="shared" si="31"/>
        <v>-1.9515531188157178</v>
      </c>
      <c r="V121" s="383">
        <f t="shared" si="32"/>
        <v>57.754061663560428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5">
        <f t="shared" si="38"/>
        <v>0</v>
      </c>
      <c r="AD121" s="169">
        <f>(INDEX(Models!$BJ121:$BT121,,AH121)*(1-AF121)+INDEX(Models!$BJ121:$BT121,,AH121+1)*AF121-ERP_i)*AE121*Ramure*Pc/MaxiM</f>
        <v>5.8875357293739619E-6</v>
      </c>
      <c r="AE121" s="305">
        <f t="shared" si="39"/>
        <v>0.7</v>
      </c>
      <c r="AF121" s="177">
        <f t="shared" si="40"/>
        <v>4.8446881184282198E-2</v>
      </c>
      <c r="AG121" s="919">
        <f t="shared" si="41"/>
        <v>-2</v>
      </c>
      <c r="AH121" s="176">
        <f t="shared" si="42"/>
        <v>4</v>
      </c>
      <c r="AI121" s="225">
        <f t="shared" si="43"/>
        <v>-1.9515531188157178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77">
        <f t="shared" si="47"/>
        <v>43208</v>
      </c>
      <c r="B122" s="623"/>
      <c r="C122" s="966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2">
        <f t="shared" si="26"/>
        <v>0</v>
      </c>
      <c r="M122" s="968"/>
      <c r="N122" s="968"/>
      <c r="O122" s="324">
        <f t="shared" si="27"/>
        <v>0</v>
      </c>
      <c r="P122" s="169">
        <f>(INDEX(Models!$BJ122:$BT122,,T122)*(1-R122)+INDEX(Models!$BJ122:$BT122,,T122+1)*R122-ERP_i)*Q122*Ramure*Pc/MaxiM</f>
        <v>6.7189404438905827E-6</v>
      </c>
      <c r="Q122" s="305">
        <f t="shared" si="28"/>
        <v>0.7</v>
      </c>
      <c r="R122" s="177">
        <f t="shared" si="29"/>
        <v>5.0297361507005034E-2</v>
      </c>
      <c r="S122" s="919">
        <f t="shared" si="46"/>
        <v>-2</v>
      </c>
      <c r="T122" s="176">
        <f t="shared" si="30"/>
        <v>4</v>
      </c>
      <c r="U122" s="251">
        <f t="shared" si="31"/>
        <v>-1.949702638492995</v>
      </c>
      <c r="V122" s="383">
        <f t="shared" si="32"/>
        <v>57.882288932092166</v>
      </c>
      <c r="W122" s="434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1">
        <f t="shared" si="38"/>
        <v>0</v>
      </c>
      <c r="AD122" s="169">
        <f>(INDEX(Models!$BJ122:$BT122,,AH122)*(1-AF122)+INDEX(Models!$BJ122:$BT122,,AH122+1)*AF122-ERP_i)*AE122*Ramure*Pc/MaxiM</f>
        <v>6.7189404438905827E-6</v>
      </c>
      <c r="AE122" s="305">
        <f t="shared" si="39"/>
        <v>0.7</v>
      </c>
      <c r="AF122" s="177">
        <f t="shared" si="40"/>
        <v>5.0297361507005034E-2</v>
      </c>
      <c r="AG122" s="919">
        <f t="shared" si="41"/>
        <v>-2</v>
      </c>
      <c r="AH122" s="176">
        <f t="shared" si="42"/>
        <v>4</v>
      </c>
      <c r="AI122" s="225">
        <f t="shared" si="43"/>
        <v>-1.949702638492995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7"/>
        <v>43209</v>
      </c>
      <c r="B123" s="622"/>
      <c r="C123" s="966"/>
      <c r="D123" s="393"/>
      <c r="E123" s="385"/>
      <c r="F123" s="385"/>
      <c r="G123" s="110"/>
      <c r="H123" s="435"/>
      <c r="I123" s="380">
        <f t="shared" si="24"/>
        <v>0</v>
      </c>
      <c r="J123" s="85">
        <v>2018</v>
      </c>
      <c r="K123" s="197">
        <f t="shared" si="25"/>
        <v>43209</v>
      </c>
      <c r="L123" s="436">
        <f t="shared" si="26"/>
        <v>0</v>
      </c>
      <c r="M123" s="968"/>
      <c r="N123" s="968"/>
      <c r="O123" s="324">
        <f t="shared" si="27"/>
        <v>0</v>
      </c>
      <c r="P123" s="169">
        <f>(INDEX(Models!$BJ123:$BT123,,T123)*(1-R123)+INDEX(Models!$BJ123:$BT123,,T123+1)*R123-ERP_i)*Q123*Ramure*Pc/MaxiM</f>
        <v>7.688792267776127E-6</v>
      </c>
      <c r="Q123" s="305">
        <f t="shared" si="28"/>
        <v>0.7</v>
      </c>
      <c r="R123" s="177">
        <f t="shared" si="29"/>
        <v>5.2209414591641856E-2</v>
      </c>
      <c r="S123" s="919">
        <f t="shared" si="46"/>
        <v>-2</v>
      </c>
      <c r="T123" s="176">
        <f t="shared" si="30"/>
        <v>4</v>
      </c>
      <c r="U123" s="251">
        <f t="shared" si="31"/>
        <v>-1.9477905854083581</v>
      </c>
      <c r="V123" s="383">
        <f t="shared" si="32"/>
        <v>58.006774749195579</v>
      </c>
      <c r="W123" s="434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7">
        <f t="shared" si="38"/>
        <v>0</v>
      </c>
      <c r="AD123" s="169">
        <f>(INDEX(Models!$BJ123:$BT123,,AH123)*(1-AF123)+INDEX(Models!$BJ123:$BT123,,AH123+1)*AF123-ERP_i)*AE123*Ramure*Pc/MaxiM</f>
        <v>7.688792267776127E-6</v>
      </c>
      <c r="AE123" s="305">
        <f t="shared" si="39"/>
        <v>0.7</v>
      </c>
      <c r="AF123" s="177">
        <f t="shared" si="40"/>
        <v>5.2209414591641856E-2</v>
      </c>
      <c r="AG123" s="919">
        <f t="shared" si="41"/>
        <v>-2</v>
      </c>
      <c r="AH123" s="176">
        <f t="shared" si="42"/>
        <v>4</v>
      </c>
      <c r="AI123" s="225">
        <f t="shared" si="43"/>
        <v>-1.9477905854083581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7"/>
        <v>43210</v>
      </c>
      <c r="B124" s="622"/>
      <c r="C124" s="966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6">
        <f t="shared" si="26"/>
        <v>0</v>
      </c>
      <c r="M124" s="968"/>
      <c r="N124" s="968"/>
      <c r="O124" s="324">
        <f t="shared" si="27"/>
        <v>0</v>
      </c>
      <c r="P124" s="169">
        <f>(INDEX(Models!$BJ124:$BT124,,T124)*(1-R124)+INDEX(Models!$BJ124:$BT124,,T124+1)*R124-ERP_i)*Q124*Ramure*Pc/MaxiM</f>
        <v>8.8101684578923113E-6</v>
      </c>
      <c r="Q124" s="305">
        <f t="shared" si="28"/>
        <v>0.7</v>
      </c>
      <c r="R124" s="177">
        <f t="shared" si="29"/>
        <v>5.4184469320311068E-2</v>
      </c>
      <c r="S124" s="919">
        <f t="shared" si="46"/>
        <v>-2</v>
      </c>
      <c r="T124" s="176">
        <f t="shared" si="30"/>
        <v>4</v>
      </c>
      <c r="U124" s="251">
        <f t="shared" si="31"/>
        <v>-1.9458155306796889</v>
      </c>
      <c r="V124" s="383">
        <f t="shared" si="32"/>
        <v>58.12741062410651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5">
        <f t="shared" si="38"/>
        <v>0</v>
      </c>
      <c r="AD124" s="169">
        <f>(INDEX(Models!$BJ124:$BT124,,AH124)*(1-AF124)+INDEX(Models!$BJ124:$BT124,,AH124+1)*AF124-ERP_i)*AE124*Ramure*Pc/MaxiM</f>
        <v>8.8101684578923113E-6</v>
      </c>
      <c r="AE124" s="305">
        <f t="shared" si="39"/>
        <v>0.7</v>
      </c>
      <c r="AF124" s="177">
        <f t="shared" si="40"/>
        <v>5.4184469320311068E-2</v>
      </c>
      <c r="AG124" s="919">
        <f t="shared" si="41"/>
        <v>-2</v>
      </c>
      <c r="AH124" s="176">
        <f t="shared" si="42"/>
        <v>4</v>
      </c>
      <c r="AI124" s="225">
        <f t="shared" si="43"/>
        <v>-1.9458155306796889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7"/>
        <v>43211</v>
      </c>
      <c r="B125" s="622"/>
      <c r="C125" s="966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6">
        <f t="shared" si="26"/>
        <v>0</v>
      </c>
      <c r="M125" s="968"/>
      <c r="N125" s="968"/>
      <c r="O125" s="324">
        <f t="shared" si="27"/>
        <v>0</v>
      </c>
      <c r="P125" s="169">
        <f>(INDEX(Models!$BJ125:$BT125,,T125)*(1-R125)+INDEX(Models!$BJ125:$BT125,,T125+1)*R125-ERP_i)*Q125*Ramure*Pc/MaxiM</f>
        <v>1.0097136812587108E-5</v>
      </c>
      <c r="Q125" s="305">
        <f t="shared" si="28"/>
        <v>0.7</v>
      </c>
      <c r="R125" s="177">
        <f t="shared" si="29"/>
        <v>5.6223940385784266E-2</v>
      </c>
      <c r="S125" s="919">
        <f t="shared" si="46"/>
        <v>-2</v>
      </c>
      <c r="T125" s="176">
        <f t="shared" si="30"/>
        <v>4</v>
      </c>
      <c r="U125" s="251">
        <f t="shared" si="31"/>
        <v>-1.9437760596142157</v>
      </c>
      <c r="V125" s="383">
        <f t="shared" si="32"/>
        <v>58.244088006962372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5">
        <f t="shared" si="38"/>
        <v>0</v>
      </c>
      <c r="AD125" s="169">
        <f>(INDEX(Models!$BJ125:$BT125,,AH125)*(1-AF125)+INDEX(Models!$BJ125:$BT125,,AH125+1)*AF125-ERP_i)*AE125*Ramure*Pc/MaxiM</f>
        <v>1.0097136812587108E-5</v>
      </c>
      <c r="AE125" s="305">
        <f t="shared" si="39"/>
        <v>0.7</v>
      </c>
      <c r="AF125" s="177">
        <f t="shared" si="40"/>
        <v>5.6223940385784266E-2</v>
      </c>
      <c r="AG125" s="919">
        <f t="shared" si="41"/>
        <v>-2</v>
      </c>
      <c r="AH125" s="176">
        <f t="shared" si="42"/>
        <v>4</v>
      </c>
      <c r="AI125" s="225">
        <f t="shared" si="43"/>
        <v>-1.9437760596142157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7"/>
        <v>43212</v>
      </c>
      <c r="B126" s="622"/>
      <c r="C126" s="966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6">
        <f t="shared" si="26"/>
        <v>0</v>
      </c>
      <c r="M126" s="968"/>
      <c r="N126" s="968"/>
      <c r="O126" s="324">
        <f t="shared" si="27"/>
        <v>0</v>
      </c>
      <c r="P126" s="169">
        <f>(INDEX(Models!$BJ126:$BT126,,T126)*(1-R126)+INDEX(Models!$BJ126:$BT126,,T126+1)*R126-ERP_i)*Q126*Ramure*Pc/MaxiM</f>
        <v>1.156480016888078E-5</v>
      </c>
      <c r="Q126" s="305">
        <f t="shared" si="28"/>
        <v>0.7</v>
      </c>
      <c r="R126" s="177">
        <f t="shared" si="29"/>
        <v>5.8329223932666707E-2</v>
      </c>
      <c r="S126" s="919">
        <f t="shared" si="46"/>
        <v>-2</v>
      </c>
      <c r="T126" s="176">
        <f t="shared" si="30"/>
        <v>4</v>
      </c>
      <c r="U126" s="251">
        <f t="shared" si="31"/>
        <v>-1.9416707760673333</v>
      </c>
      <c r="V126" s="383">
        <f t="shared" si="32"/>
        <v>58.356698287284644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5">
        <f t="shared" si="38"/>
        <v>0</v>
      </c>
      <c r="AD126" s="169">
        <f>(INDEX(Models!$BJ126:$BT126,,AH126)*(1-AF126)+INDEX(Models!$BJ126:$BT126,,AH126+1)*AF126-ERP_i)*AE126*Ramure*Pc/MaxiM</f>
        <v>1.156480016888078E-5</v>
      </c>
      <c r="AE126" s="305">
        <f t="shared" si="39"/>
        <v>0.7</v>
      </c>
      <c r="AF126" s="177">
        <f t="shared" si="40"/>
        <v>5.8329223932666707E-2</v>
      </c>
      <c r="AG126" s="919">
        <f t="shared" si="41"/>
        <v>-2</v>
      </c>
      <c r="AH126" s="176">
        <f t="shared" si="42"/>
        <v>4</v>
      </c>
      <c r="AI126" s="225">
        <f t="shared" si="43"/>
        <v>-1.9416707760673333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7"/>
        <v>43213</v>
      </c>
      <c r="B127" s="622"/>
      <c r="C127" s="966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6">
        <f t="shared" si="26"/>
        <v>0</v>
      </c>
      <c r="M127" s="968"/>
      <c r="N127" s="968"/>
      <c r="O127" s="324">
        <f t="shared" si="27"/>
        <v>0</v>
      </c>
      <c r="P127" s="169">
        <f>(INDEX(Models!$BJ127:$BT127,,T127)*(1-R127)+INDEX(Models!$BJ127:$BT127,,T127+1)*R127-ERP_i)*Q127*Ramure*Pc/MaxiM</f>
        <v>1.3229321707598427E-5</v>
      </c>
      <c r="Q127" s="305">
        <f t="shared" si="28"/>
        <v>0.7</v>
      </c>
      <c r="R127" s="177">
        <f t="shared" si="29"/>
        <v>6.0501692936700158E-2</v>
      </c>
      <c r="S127" s="919">
        <f t="shared" si="46"/>
        <v>-2</v>
      </c>
      <c r="T127" s="176">
        <f t="shared" si="30"/>
        <v>4</v>
      </c>
      <c r="U127" s="251">
        <f t="shared" si="31"/>
        <v>-1.9394983070632998</v>
      </c>
      <c r="V127" s="383">
        <f t="shared" si="32"/>
        <v>58.465132786194125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5">
        <f t="shared" si="38"/>
        <v>0</v>
      </c>
      <c r="AD127" s="169">
        <f>(INDEX(Models!$BJ127:$BT127,,AH127)*(1-AF127)+INDEX(Models!$BJ127:$BT127,,AH127+1)*AF127-ERP_i)*AE127*Ramure*Pc/MaxiM</f>
        <v>1.3229321707598427E-5</v>
      </c>
      <c r="AE127" s="305">
        <f t="shared" si="39"/>
        <v>0.7</v>
      </c>
      <c r="AF127" s="177">
        <f t="shared" si="40"/>
        <v>6.0501692936700158E-2</v>
      </c>
      <c r="AG127" s="919">
        <f t="shared" si="41"/>
        <v>-2</v>
      </c>
      <c r="AH127" s="176">
        <f t="shared" si="42"/>
        <v>4</v>
      </c>
      <c r="AI127" s="225">
        <f t="shared" si="43"/>
        <v>-1.9394983070632998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7"/>
        <v>43214</v>
      </c>
      <c r="B128" s="622"/>
      <c r="C128" s="966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6">
        <f t="shared" si="26"/>
        <v>0</v>
      </c>
      <c r="M128" s="968"/>
      <c r="N128" s="968"/>
      <c r="O128" s="324">
        <f t="shared" si="27"/>
        <v>0</v>
      </c>
      <c r="P128" s="169">
        <f>(INDEX(Models!$BJ128:$BT128,,T128)*(1-R128)+INDEX(Models!$BJ128:$BT128,,T128+1)*R128-ERP_i)*Q128*Ramure*Pc/MaxiM</f>
        <v>1.5134514900321237E-5</v>
      </c>
      <c r="Q128" s="305">
        <f t="shared" si="28"/>
        <v>0.7</v>
      </c>
      <c r="R128" s="177">
        <f t="shared" si="29"/>
        <v>6.2742692323281668E-2</v>
      </c>
      <c r="S128" s="919">
        <f t="shared" si="46"/>
        <v>-2</v>
      </c>
      <c r="T128" s="176">
        <f t="shared" si="30"/>
        <v>4</v>
      </c>
      <c r="U128" s="251">
        <f t="shared" si="31"/>
        <v>-1.9372573076767183</v>
      </c>
      <c r="V128" s="383">
        <f t="shared" si="32"/>
        <v>58.569281207499479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5">
        <f t="shared" si="38"/>
        <v>0</v>
      </c>
      <c r="AD128" s="169">
        <f>(INDEX(Models!$BJ128:$BT128,,AH128)*(1-AF128)+INDEX(Models!$BJ128:$BT128,,AH128+1)*AF128-ERP_i)*AE128*Ramure*Pc/MaxiM</f>
        <v>1.5134514900321237E-5</v>
      </c>
      <c r="AE128" s="305">
        <f t="shared" si="39"/>
        <v>0.7</v>
      </c>
      <c r="AF128" s="177">
        <f t="shared" si="40"/>
        <v>6.2742692323281668E-2</v>
      </c>
      <c r="AG128" s="919">
        <f t="shared" si="41"/>
        <v>-2</v>
      </c>
      <c r="AH128" s="176">
        <f t="shared" si="42"/>
        <v>4</v>
      </c>
      <c r="AI128" s="225">
        <f t="shared" si="43"/>
        <v>-1.9372573076767183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7"/>
        <v>43215</v>
      </c>
      <c r="B129" s="622"/>
      <c r="C129" s="966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6">
        <f t="shared" si="26"/>
        <v>0</v>
      </c>
      <c r="M129" s="968"/>
      <c r="N129" s="968"/>
      <c r="O129" s="324">
        <f t="shared" si="27"/>
        <v>0</v>
      </c>
      <c r="P129" s="169">
        <f>(INDEX(Models!$BJ129:$BT129,,T129)*(1-R129)+INDEX(Models!$BJ129:$BT129,,T129+1)*R129-ERP_i)*Q129*Ramure*Pc/MaxiM</f>
        <v>1.725052067019766E-5</v>
      </c>
      <c r="Q129" s="305">
        <f t="shared" si="28"/>
        <v>0.7</v>
      </c>
      <c r="R129" s="177">
        <f t="shared" si="29"/>
        <v>6.5053533828247412E-2</v>
      </c>
      <c r="S129" s="919">
        <f t="shared" si="46"/>
        <v>-2</v>
      </c>
      <c r="T129" s="176">
        <f t="shared" si="30"/>
        <v>4</v>
      </c>
      <c r="U129" s="251">
        <f t="shared" si="31"/>
        <v>-1.9349464661717526</v>
      </c>
      <c r="V129" s="383">
        <f t="shared" si="32"/>
        <v>58.669037564776993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5">
        <f t="shared" si="38"/>
        <v>0</v>
      </c>
      <c r="AD129" s="169">
        <f>(INDEX(Models!$BJ129:$BT129,,AH129)*(1-AF129)+INDEX(Models!$BJ129:$BT129,,AH129+1)*AF129-ERP_i)*AE129*Ramure*Pc/MaxiM</f>
        <v>1.725052067019766E-5</v>
      </c>
      <c r="AE129" s="305">
        <f t="shared" si="39"/>
        <v>0.7</v>
      </c>
      <c r="AF129" s="177">
        <f t="shared" si="40"/>
        <v>6.5053533828247412E-2</v>
      </c>
      <c r="AG129" s="919">
        <f t="shared" si="41"/>
        <v>-2</v>
      </c>
      <c r="AH129" s="176">
        <f t="shared" si="42"/>
        <v>4</v>
      </c>
      <c r="AI129" s="225">
        <f t="shared" si="43"/>
        <v>-1.9349464661717526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7"/>
        <v>43216</v>
      </c>
      <c r="B130" s="622"/>
      <c r="C130" s="966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6">
        <f t="shared" si="26"/>
        <v>0</v>
      </c>
      <c r="M130" s="968"/>
      <c r="N130" s="968"/>
      <c r="O130" s="324">
        <f t="shared" si="27"/>
        <v>0</v>
      </c>
      <c r="P130" s="169">
        <f>(INDEX(Models!$BJ130:$BT130,,T130)*(1-R130)+INDEX(Models!$BJ130:$BT130,,T130+1)*R130-ERP_i)*Q130*Ramure*Pc/MaxiM</f>
        <v>1.9594341492268924E-5</v>
      </c>
      <c r="Q130" s="305">
        <f t="shared" si="28"/>
        <v>0.7</v>
      </c>
      <c r="R130" s="177">
        <f t="shared" si="29"/>
        <v>6.7435490606106319E-2</v>
      </c>
      <c r="S130" s="919">
        <f t="shared" si="46"/>
        <v>-2</v>
      </c>
      <c r="T130" s="176">
        <f t="shared" si="30"/>
        <v>4</v>
      </c>
      <c r="U130" s="251">
        <f t="shared" si="31"/>
        <v>-1.9325645093938937</v>
      </c>
      <c r="V130" s="383">
        <f t="shared" si="32"/>
        <v>58.764293136246593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5">
        <f t="shared" si="38"/>
        <v>0</v>
      </c>
      <c r="AD130" s="169">
        <f>(INDEX(Models!$BJ130:$BT130,,AH130)*(1-AF130)+INDEX(Models!$BJ130:$BT130,,AH130+1)*AF130-ERP_i)*AE130*Ramure*Pc/MaxiM</f>
        <v>1.9594341492268924E-5</v>
      </c>
      <c r="AE130" s="305">
        <f t="shared" si="39"/>
        <v>0.7</v>
      </c>
      <c r="AF130" s="177">
        <f t="shared" si="40"/>
        <v>6.7435490606106319E-2</v>
      </c>
      <c r="AG130" s="919">
        <f t="shared" si="41"/>
        <v>-2</v>
      </c>
      <c r="AH130" s="176">
        <f t="shared" si="42"/>
        <v>4</v>
      </c>
      <c r="AI130" s="225">
        <f t="shared" si="43"/>
        <v>-1.9325645093938937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7"/>
        <v>43217</v>
      </c>
      <c r="B131" s="622"/>
      <c r="C131" s="966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6">
        <f t="shared" si="26"/>
        <v>0</v>
      </c>
      <c r="M131" s="968"/>
      <c r="N131" s="968"/>
      <c r="O131" s="324">
        <f t="shared" si="27"/>
        <v>0</v>
      </c>
      <c r="P131" s="169">
        <f>(INDEX(Models!$BJ131:$BT131,,T131)*(1-R131)+INDEX(Models!$BJ131:$BT131,,T131+1)*R131-ERP_i)*Q131*Ramure*Pc/MaxiM</f>
        <v>2.2184080339007046E-5</v>
      </c>
      <c r="Q131" s="305">
        <f t="shared" si="28"/>
        <v>0.7</v>
      </c>
      <c r="R131" s="177">
        <f t="shared" si="29"/>
        <v>6.9889791593241268E-2</v>
      </c>
      <c r="S131" s="919">
        <f t="shared" si="46"/>
        <v>-2</v>
      </c>
      <c r="T131" s="176">
        <f t="shared" si="30"/>
        <v>4</v>
      </c>
      <c r="U131" s="251">
        <f t="shared" si="31"/>
        <v>-1.9301102084067587</v>
      </c>
      <c r="V131" s="383">
        <f t="shared" si="32"/>
        <v>58.8549391359739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5">
        <f t="shared" si="38"/>
        <v>0</v>
      </c>
      <c r="AD131" s="169">
        <f>(INDEX(Models!$BJ131:$BT131,,AH131)*(1-AF131)+INDEX(Models!$BJ131:$BT131,,AH131+1)*AF131-ERP_i)*AE131*Ramure*Pc/MaxiM</f>
        <v>2.2184080339007046E-5</v>
      </c>
      <c r="AE131" s="305">
        <f t="shared" si="39"/>
        <v>0.7</v>
      </c>
      <c r="AF131" s="177">
        <f t="shared" si="40"/>
        <v>6.9889791593241268E-2</v>
      </c>
      <c r="AG131" s="919">
        <f t="shared" si="41"/>
        <v>-2</v>
      </c>
      <c r="AH131" s="176">
        <f t="shared" si="42"/>
        <v>4</v>
      </c>
      <c r="AI131" s="225">
        <f t="shared" si="43"/>
        <v>-1.9301102084067587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7"/>
        <v>43218</v>
      </c>
      <c r="B132" s="622"/>
      <c r="C132" s="966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6">
        <f t="shared" si="26"/>
        <v>0</v>
      </c>
      <c r="M132" s="968"/>
      <c r="N132" s="968"/>
      <c r="O132" s="324">
        <f t="shared" si="27"/>
        <v>0</v>
      </c>
      <c r="P132" s="169">
        <f>(INDEX(Models!$BJ132:$BT132,,T132)*(1-R132)+INDEX(Models!$BJ132:$BT132,,T132+1)*R132-ERP_i)*Q132*Ramure*Pc/MaxiM</f>
        <v>2.5038990558912567E-5</v>
      </c>
      <c r="Q132" s="305">
        <f t="shared" si="28"/>
        <v>0.7</v>
      </c>
      <c r="R132" s="177">
        <f t="shared" si="29"/>
        <v>7.2417615636118704E-2</v>
      </c>
      <c r="S132" s="919">
        <f t="shared" si="46"/>
        <v>-2</v>
      </c>
      <c r="T132" s="176">
        <f t="shared" si="30"/>
        <v>4</v>
      </c>
      <c r="U132" s="251">
        <f t="shared" si="31"/>
        <v>-1.9275823843638813</v>
      </c>
      <c r="V132" s="383">
        <f t="shared" si="32"/>
        <v>58.940866709620437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5">
        <f t="shared" si="38"/>
        <v>0</v>
      </c>
      <c r="AD132" s="169">
        <f>(INDEX(Models!$BJ132:$BT132,,AH132)*(1-AF132)+INDEX(Models!$BJ132:$BT132,,AH132+1)*AF132-ERP_i)*AE132*Ramure*Pc/MaxiM</f>
        <v>2.5038990558912567E-5</v>
      </c>
      <c r="AE132" s="305">
        <f t="shared" si="39"/>
        <v>0.7</v>
      </c>
      <c r="AF132" s="177">
        <f t="shared" si="40"/>
        <v>7.2417615636118704E-2</v>
      </c>
      <c r="AG132" s="919">
        <f t="shared" si="41"/>
        <v>-2</v>
      </c>
      <c r="AH132" s="176">
        <f t="shared" si="42"/>
        <v>4</v>
      </c>
      <c r="AI132" s="225">
        <f t="shared" si="43"/>
        <v>-1.9275823843638813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7"/>
        <v>43219</v>
      </c>
      <c r="B133" s="622"/>
      <c r="C133" s="966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6">
        <f t="shared" si="26"/>
        <v>0</v>
      </c>
      <c r="M133" s="968"/>
      <c r="N133" s="968"/>
      <c r="O133" s="324">
        <f t="shared" si="27"/>
        <v>0</v>
      </c>
      <c r="P133" s="169">
        <f>(INDEX(Models!$BJ133:$BT133,,T133)*(1-R133)+INDEX(Models!$BJ133:$BT133,,T133+1)*R133-ERP_i)*Q133*Ramure*Pc/MaxiM</f>
        <v>2.8179525600129699E-5</v>
      </c>
      <c r="Q133" s="305">
        <f t="shared" si="28"/>
        <v>0.7</v>
      </c>
      <c r="R133" s="177">
        <f t="shared" si="29"/>
        <v>7.5020085397250691E-2</v>
      </c>
      <c r="S133" s="919">
        <f t="shared" si="46"/>
        <v>-2</v>
      </c>
      <c r="T133" s="176">
        <f t="shared" si="30"/>
        <v>4</v>
      </c>
      <c r="U133" s="251">
        <f t="shared" si="31"/>
        <v>-1.9249799146027493</v>
      </c>
      <c r="V133" s="383">
        <f t="shared" si="32"/>
        <v>59.021966935350356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5">
        <f t="shared" si="38"/>
        <v>0</v>
      </c>
      <c r="AD133" s="169">
        <f>(INDEX(Models!$BJ133:$BT133,,AH133)*(1-AF133)+INDEX(Models!$BJ133:$BT133,,AH133+1)*AF133-ERP_i)*AE133*Ramure*Pc/MaxiM</f>
        <v>2.8179525600129699E-5</v>
      </c>
      <c r="AE133" s="305">
        <f t="shared" si="39"/>
        <v>0.7</v>
      </c>
      <c r="AF133" s="177">
        <f t="shared" si="40"/>
        <v>7.5020085397250691E-2</v>
      </c>
      <c r="AG133" s="919">
        <f t="shared" si="41"/>
        <v>-2</v>
      </c>
      <c r="AH133" s="176">
        <f t="shared" si="42"/>
        <v>4</v>
      </c>
      <c r="AI133" s="225">
        <f t="shared" si="43"/>
        <v>-1.9249799146027493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7"/>
        <v>43220</v>
      </c>
      <c r="B134" s="622"/>
      <c r="C134" s="966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6">
        <f t="shared" si="26"/>
        <v>0</v>
      </c>
      <c r="M134" s="968"/>
      <c r="N134" s="968"/>
      <c r="O134" s="324">
        <f t="shared" si="27"/>
        <v>0</v>
      </c>
      <c r="P134" s="169">
        <f>(INDEX(Models!$BJ134:$BT134,,T134)*(1-R134)+INDEX(Models!$BJ134:$BT134,,T134+1)*R134-ERP_i)*Q134*Ramure*Pc/MaxiM</f>
        <v>3.1627388255069581E-5</v>
      </c>
      <c r="Q134" s="305">
        <f t="shared" si="28"/>
        <v>0.7</v>
      </c>
      <c r="R134" s="177">
        <f t="shared" si="29"/>
        <v>7.7698261054529816E-2</v>
      </c>
      <c r="S134" s="919">
        <f t="shared" si="46"/>
        <v>-2</v>
      </c>
      <c r="T134" s="176">
        <f t="shared" si="30"/>
        <v>4</v>
      </c>
      <c r="U134" s="251">
        <f t="shared" si="31"/>
        <v>-1.9223017389454702</v>
      </c>
      <c r="V134" s="383">
        <f t="shared" si="32"/>
        <v>59.098130821354133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5">
        <f t="shared" si="38"/>
        <v>0</v>
      </c>
      <c r="AD134" s="169">
        <f>(INDEX(Models!$BJ134:$BT134,,AH134)*(1-AF134)+INDEX(Models!$BJ134:$BT134,,AH134+1)*AF134-ERP_i)*AE134*Ramure*Pc/MaxiM</f>
        <v>3.1627388255069581E-5</v>
      </c>
      <c r="AE134" s="305">
        <f t="shared" si="39"/>
        <v>0.7</v>
      </c>
      <c r="AF134" s="177">
        <f t="shared" si="40"/>
        <v>7.7698261054529816E-2</v>
      </c>
      <c r="AG134" s="919">
        <f t="shared" si="41"/>
        <v>-2</v>
      </c>
      <c r="AH134" s="176">
        <f t="shared" si="42"/>
        <v>4</v>
      </c>
      <c r="AI134" s="225">
        <f t="shared" si="43"/>
        <v>-1.9223017389454702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7"/>
        <v>43221</v>
      </c>
      <c r="B135" s="622"/>
      <c r="C135" s="966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6">
        <f t="shared" si="26"/>
        <v>0</v>
      </c>
      <c r="M135" s="968"/>
      <c r="N135" s="968"/>
      <c r="O135" s="324">
        <f t="shared" si="27"/>
        <v>0</v>
      </c>
      <c r="P135" s="169">
        <f>(INDEX(Models!$BJ135:$BT135,,T135)*(1-R135)+INDEX(Models!$BJ135:$BT135,,T135+1)*R135-ERP_i)*Q135*Ramure*Pc/MaxiM</f>
        <v>3.5405836816237815E-5</v>
      </c>
      <c r="Q135" s="305">
        <f t="shared" si="28"/>
        <v>0.7</v>
      </c>
      <c r="R135" s="177">
        <f t="shared" si="29"/>
        <v>8.0453133812589783E-2</v>
      </c>
      <c r="S135" s="919">
        <f t="shared" si="46"/>
        <v>-2</v>
      </c>
      <c r="T135" s="176">
        <f t="shared" si="30"/>
        <v>4</v>
      </c>
      <c r="U135" s="251">
        <f t="shared" si="31"/>
        <v>-1.9195468661874102</v>
      </c>
      <c r="V135" s="383">
        <f t="shared" si="32"/>
        <v>59.168818544330684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5">
        <f t="shared" si="38"/>
        <v>0</v>
      </c>
      <c r="AD135" s="169">
        <f>(INDEX(Models!$BJ135:$BT135,,AH135)*(1-AF135)+INDEX(Models!$BJ135:$BT135,,AH135+1)*AF135-ERP_i)*AE135*Ramure*Pc/MaxiM</f>
        <v>3.5405836816237815E-5</v>
      </c>
      <c r="AE135" s="305">
        <f t="shared" si="39"/>
        <v>0.7</v>
      </c>
      <c r="AF135" s="177">
        <f t="shared" si="40"/>
        <v>8.0453133812589783E-2</v>
      </c>
      <c r="AG135" s="919">
        <f t="shared" si="41"/>
        <v>-2</v>
      </c>
      <c r="AH135" s="176">
        <f t="shared" si="42"/>
        <v>4</v>
      </c>
      <c r="AI135" s="225">
        <f t="shared" si="43"/>
        <v>-1.9195468661874102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7"/>
        <v>43222</v>
      </c>
      <c r="B136" s="622"/>
      <c r="C136" s="966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6">
        <f t="shared" si="26"/>
        <v>0</v>
      </c>
      <c r="M136" s="968"/>
      <c r="N136" s="968"/>
      <c r="O136" s="324">
        <f t="shared" si="27"/>
        <v>0</v>
      </c>
      <c r="P136" s="169">
        <f>(INDEX(Models!$BJ136:$BT136,,T136)*(1-R136)+INDEX(Models!$BJ136:$BT136,,T136+1)*R136-ERP_i)*Q136*Ramure*Pc/MaxiM</f>
        <v>3.9573078929543953E-5</v>
      </c>
      <c r="Q136" s="305">
        <f t="shared" si="28"/>
        <v>0.7</v>
      </c>
      <c r="R136" s="177">
        <f t="shared" si="29"/>
        <v>8.3285619248024911E-2</v>
      </c>
      <c r="S136" s="919">
        <f t="shared" si="46"/>
        <v>-2</v>
      </c>
      <c r="T136" s="176">
        <f t="shared" si="30"/>
        <v>4</v>
      </c>
      <c r="U136" s="251">
        <f t="shared" si="31"/>
        <v>-1.9167143807519751</v>
      </c>
      <c r="V136" s="383">
        <f t="shared" si="32"/>
        <v>59.233775378601102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5">
        <f t="shared" si="38"/>
        <v>0</v>
      </c>
      <c r="AD136" s="169">
        <f>(INDEX(Models!$BJ136:$BT136,,AH136)*(1-AF136)+INDEX(Models!$BJ136:$BT136,,AH136+1)*AF136-ERP_i)*AE136*Ramure*Pc/MaxiM</f>
        <v>3.9573078929543953E-5</v>
      </c>
      <c r="AE136" s="305">
        <f t="shared" si="39"/>
        <v>0.7</v>
      </c>
      <c r="AF136" s="177">
        <f t="shared" si="40"/>
        <v>8.3285619248024911E-2</v>
      </c>
      <c r="AG136" s="919">
        <f t="shared" si="41"/>
        <v>-2</v>
      </c>
      <c r="AH136" s="176">
        <f t="shared" si="42"/>
        <v>4</v>
      </c>
      <c r="AI136" s="225">
        <f t="shared" si="43"/>
        <v>-1.9167143807519751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7"/>
        <v>43223</v>
      </c>
      <c r="B137" s="622"/>
      <c r="C137" s="966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6">
        <f t="shared" si="26"/>
        <v>0</v>
      </c>
      <c r="M137" s="968"/>
      <c r="N137" s="968"/>
      <c r="O137" s="324">
        <f t="shared" si="27"/>
        <v>0</v>
      </c>
      <c r="P137" s="169">
        <f>(INDEX(Models!$BJ137:$BT137,,T137)*(1-R137)+INDEX(Models!$BJ137:$BT137,,T137+1)*R137-ERP_i)*Q137*Ramure*Pc/MaxiM</f>
        <v>4.4088771158398262E-5</v>
      </c>
      <c r="Q137" s="305">
        <f t="shared" si="28"/>
        <v>0.7</v>
      </c>
      <c r="R137" s="177">
        <f t="shared" si="29"/>
        <v>8.6196550513588654E-2</v>
      </c>
      <c r="S137" s="919">
        <f t="shared" si="46"/>
        <v>-2</v>
      </c>
      <c r="T137" s="176">
        <f t="shared" si="30"/>
        <v>4</v>
      </c>
      <c r="U137" s="251">
        <f t="shared" si="31"/>
        <v>-1.9138034494864113</v>
      </c>
      <c r="V137" s="383">
        <f t="shared" si="32"/>
        <v>59.293326768634124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5">
        <f t="shared" si="38"/>
        <v>0</v>
      </c>
      <c r="AD137" s="169">
        <f>(INDEX(Models!$BJ137:$BT137,,AH137)*(1-AF137)+INDEX(Models!$BJ137:$BT137,,AH137+1)*AF137-ERP_i)*AE137*Ramure*Pc/MaxiM</f>
        <v>4.4088771158398262E-5</v>
      </c>
      <c r="AE137" s="305">
        <f t="shared" si="39"/>
        <v>0.7</v>
      </c>
      <c r="AF137" s="177">
        <f t="shared" si="40"/>
        <v>8.6196550513588654E-2</v>
      </c>
      <c r="AG137" s="919">
        <f t="shared" si="41"/>
        <v>-2</v>
      </c>
      <c r="AH137" s="176">
        <f t="shared" si="42"/>
        <v>4</v>
      </c>
      <c r="AI137" s="225">
        <f t="shared" si="43"/>
        <v>-1.9138034494864113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7"/>
        <v>43224</v>
      </c>
      <c r="B138" s="622"/>
      <c r="C138" s="966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6">
        <f t="shared" si="26"/>
        <v>0</v>
      </c>
      <c r="M138" s="968"/>
      <c r="N138" s="968"/>
      <c r="O138" s="324">
        <f t="shared" si="27"/>
        <v>0</v>
      </c>
      <c r="P138" s="169">
        <f>(INDEX(Models!$BJ138:$BT138,,T138)*(1-R138)+INDEX(Models!$BJ138:$BT138,,T138+1)*R138-ERP_i)*Q138*Ramure*Pc/MaxiM</f>
        <v>4.8975741971504905E-5</v>
      </c>
      <c r="Q138" s="305">
        <f t="shared" si="28"/>
        <v>0.7</v>
      </c>
      <c r="R138" s="177">
        <f t="shared" si="29"/>
        <v>8.9186671429879016E-2</v>
      </c>
      <c r="S138" s="919">
        <f t="shared" si="46"/>
        <v>-2</v>
      </c>
      <c r="T138" s="176">
        <f t="shared" si="30"/>
        <v>4</v>
      </c>
      <c r="U138" s="251">
        <f t="shared" si="31"/>
        <v>-1.910813328570121</v>
      </c>
      <c r="V138" s="383">
        <f t="shared" si="32"/>
        <v>59.347794421850367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5">
        <f t="shared" si="38"/>
        <v>0</v>
      </c>
      <c r="AD138" s="169">
        <f>(INDEX(Models!$BJ138:$BT138,,AH138)*(1-AF138)+INDEX(Models!$BJ138:$BT138,,AH138+1)*AF138-ERP_i)*AE138*Ramure*Pc/MaxiM</f>
        <v>4.8975741971504905E-5</v>
      </c>
      <c r="AE138" s="305">
        <f t="shared" si="39"/>
        <v>0.7</v>
      </c>
      <c r="AF138" s="177">
        <f t="shared" si="40"/>
        <v>8.9186671429879016E-2</v>
      </c>
      <c r="AG138" s="919">
        <f t="shared" si="41"/>
        <v>-2</v>
      </c>
      <c r="AH138" s="176">
        <f t="shared" si="42"/>
        <v>4</v>
      </c>
      <c r="AI138" s="225">
        <f t="shared" si="43"/>
        <v>-1.910813328570121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7"/>
        <v>43225</v>
      </c>
      <c r="B139" s="622"/>
      <c r="C139" s="966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6">
        <f t="shared" si="26"/>
        <v>0</v>
      </c>
      <c r="M139" s="968"/>
      <c r="N139" s="968"/>
      <c r="O139" s="324">
        <f t="shared" si="27"/>
        <v>0</v>
      </c>
      <c r="P139" s="169">
        <f>(INDEX(Models!$BJ139:$BT139,,T139)*(1-R139)+INDEX(Models!$BJ139:$BT139,,T139+1)*R139-ERP_i)*Q139*Ramure*Pc/MaxiM</f>
        <v>5.4257835934579965E-5</v>
      </c>
      <c r="Q139" s="305">
        <f t="shared" si="28"/>
        <v>0.7</v>
      </c>
      <c r="R139" s="177">
        <f t="shared" si="29"/>
        <v>9.2256629496455522E-2</v>
      </c>
      <c r="S139" s="919">
        <f t="shared" si="46"/>
        <v>-2</v>
      </c>
      <c r="T139" s="176">
        <f t="shared" si="30"/>
        <v>4</v>
      </c>
      <c r="U139" s="251">
        <f t="shared" si="31"/>
        <v>-1.9077433705035445</v>
      </c>
      <c r="V139" s="383">
        <f t="shared" si="32"/>
        <v>59.397499986544318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5">
        <f t="shared" si="38"/>
        <v>0</v>
      </c>
      <c r="AD139" s="169">
        <f>(INDEX(Models!$BJ139:$BT139,,AH139)*(1-AF139)+INDEX(Models!$BJ139:$BT139,,AH139+1)*AF139-ERP_i)*AE139*Ramure*Pc/MaxiM</f>
        <v>5.4257835934579965E-5</v>
      </c>
      <c r="AE139" s="305">
        <f t="shared" si="39"/>
        <v>0.7</v>
      </c>
      <c r="AF139" s="177">
        <f t="shared" si="40"/>
        <v>9.2256629496455522E-2</v>
      </c>
      <c r="AG139" s="919">
        <f t="shared" si="41"/>
        <v>-2</v>
      </c>
      <c r="AH139" s="176">
        <f t="shared" si="42"/>
        <v>4</v>
      </c>
      <c r="AI139" s="225">
        <f t="shared" si="43"/>
        <v>-1.9077433705035445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7"/>
        <v>43226</v>
      </c>
      <c r="B140" s="622"/>
      <c r="C140" s="966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6">
        <f t="shared" si="26"/>
        <v>0</v>
      </c>
      <c r="M140" s="968"/>
      <c r="N140" s="968"/>
      <c r="O140" s="324">
        <f t="shared" si="27"/>
        <v>0</v>
      </c>
      <c r="P140" s="169">
        <f>(INDEX(Models!$BJ140:$BT140,,T140)*(1-R140)+INDEX(Models!$BJ140:$BT140,,T140+1)*R140-ERP_i)*Q140*Ramure*Pc/MaxiM</f>
        <v>5.9959906904193276E-5</v>
      </c>
      <c r="Q140" s="305">
        <f t="shared" si="28"/>
        <v>0.7</v>
      </c>
      <c r="R140" s="177">
        <f t="shared" si="29"/>
        <v>9.5406968857796759E-2</v>
      </c>
      <c r="S140" s="919">
        <f t="shared" si="46"/>
        <v>-2</v>
      </c>
      <c r="T140" s="176">
        <f t="shared" si="30"/>
        <v>4</v>
      </c>
      <c r="U140" s="251">
        <f t="shared" si="31"/>
        <v>-1.9045930311422032</v>
      </c>
      <c r="V140" s="383">
        <f t="shared" si="32"/>
        <v>59.44276505013007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5">
        <f t="shared" si="38"/>
        <v>0</v>
      </c>
      <c r="AD140" s="169">
        <f>(INDEX(Models!$BJ140:$BT140,,AH140)*(1-AF140)+INDEX(Models!$BJ140:$BT140,,AH140+1)*AF140-ERP_i)*AE140*Ramure*Pc/MaxiM</f>
        <v>5.9959906904193276E-5</v>
      </c>
      <c r="AE140" s="305">
        <f t="shared" si="39"/>
        <v>0.7</v>
      </c>
      <c r="AF140" s="177">
        <f t="shared" si="40"/>
        <v>9.5406968857796759E-2</v>
      </c>
      <c r="AG140" s="919">
        <f t="shared" si="41"/>
        <v>-2</v>
      </c>
      <c r="AH140" s="176">
        <f t="shared" si="42"/>
        <v>4</v>
      </c>
      <c r="AI140" s="225">
        <f t="shared" si="43"/>
        <v>-1.9045930311422032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7"/>
        <v>43227</v>
      </c>
      <c r="B141" s="622"/>
      <c r="C141" s="966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6">
        <f t="shared" si="26"/>
        <v>0</v>
      </c>
      <c r="M141" s="968"/>
      <c r="N141" s="968"/>
      <c r="O141" s="324">
        <f t="shared" si="27"/>
        <v>0</v>
      </c>
      <c r="P141" s="169">
        <f>(INDEX(Models!$BJ141:$BT141,,T141)*(1-R141)+INDEX(Models!$BJ141:$BT141,,T141+1)*R141-ERP_i)*Q141*Ramure*Pc/MaxiM</f>
        <v>6.6107804012652756E-5</v>
      </c>
      <c r="Q141" s="305">
        <f t="shared" si="28"/>
        <v>0.7</v>
      </c>
      <c r="R141" s="177">
        <f t="shared" si="29"/>
        <v>9.8638123262949184E-2</v>
      </c>
      <c r="S141" s="919">
        <f t="shared" si="46"/>
        <v>-2</v>
      </c>
      <c r="T141" s="176">
        <f t="shared" si="30"/>
        <v>4</v>
      </c>
      <c r="U141" s="251">
        <f t="shared" si="31"/>
        <v>-1.9013618767370508</v>
      </c>
      <c r="V141" s="383">
        <f t="shared" si="32"/>
        <v>59.483911139887695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5">
        <f t="shared" si="38"/>
        <v>0</v>
      </c>
      <c r="AD141" s="169">
        <f>(INDEX(Models!$BJ141:$BT141,,AH141)*(1-AF141)+INDEX(Models!$BJ141:$BT141,,AH141+1)*AF141-ERP_i)*AE141*Ramure*Pc/MaxiM</f>
        <v>6.6107804012652756E-5</v>
      </c>
      <c r="AE141" s="305">
        <f t="shared" si="39"/>
        <v>0.7</v>
      </c>
      <c r="AF141" s="177">
        <f t="shared" si="40"/>
        <v>9.8638123262949184E-2</v>
      </c>
      <c r="AG141" s="919">
        <f t="shared" si="41"/>
        <v>-2</v>
      </c>
      <c r="AH141" s="176">
        <f t="shared" si="42"/>
        <v>4</v>
      </c>
      <c r="AI141" s="225">
        <f t="shared" si="43"/>
        <v>-1.9013618767370508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7"/>
        <v>43228</v>
      </c>
      <c r="B142" s="622"/>
      <c r="C142" s="966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6">
        <f t="shared" si="26"/>
        <v>0</v>
      </c>
      <c r="M142" s="968"/>
      <c r="N142" s="968"/>
      <c r="O142" s="324">
        <f t="shared" si="27"/>
        <v>0</v>
      </c>
      <c r="P142" s="169">
        <f>(INDEX(Models!$BJ142:$BT142,,T142)*(1-R142)+INDEX(Models!$BJ142:$BT142,,T142+1)*R142-ERP_i)*Q142*Ramure*Pc/MaxiM</f>
        <v>7.2734239592243382E-5</v>
      </c>
      <c r="Q142" s="305">
        <f t="shared" si="28"/>
        <v>0.7</v>
      </c>
      <c r="R142" s="177">
        <f t="shared" si="29"/>
        <v>0.1019504090610821</v>
      </c>
      <c r="S142" s="919">
        <f t="shared" si="46"/>
        <v>-2</v>
      </c>
      <c r="T142" s="176">
        <f t="shared" si="30"/>
        <v>4</v>
      </c>
      <c r="U142" s="251">
        <f t="shared" si="31"/>
        <v>-1.8980495909389179</v>
      </c>
      <c r="V142" s="383">
        <f t="shared" si="32"/>
        <v>59.521259373223906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5">
        <f t="shared" si="38"/>
        <v>0</v>
      </c>
      <c r="AD142" s="169">
        <f>(INDEX(Models!$BJ142:$BT142,,AH142)*(1-AF142)+INDEX(Models!$BJ142:$BT142,,AH142+1)*AF142-ERP_i)*AE142*Ramure*Pc/MaxiM</f>
        <v>7.2734239592243382E-5</v>
      </c>
      <c r="AE142" s="305">
        <f t="shared" si="39"/>
        <v>0.7</v>
      </c>
      <c r="AF142" s="177">
        <f t="shared" si="40"/>
        <v>0.1019504090610821</v>
      </c>
      <c r="AG142" s="919">
        <f t="shared" si="41"/>
        <v>-2</v>
      </c>
      <c r="AH142" s="176">
        <f t="shared" si="42"/>
        <v>4</v>
      </c>
      <c r="AI142" s="225">
        <f t="shared" si="43"/>
        <v>-1.8980495909389179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7"/>
        <v>43229</v>
      </c>
      <c r="B143" s="622"/>
      <c r="C143" s="966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968"/>
      <c r="N143" s="968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7.9819894247396919E-5</v>
      </c>
      <c r="Q143" s="305">
        <f t="shared" ref="Q143:Q206" si="52">IF(OR(t&lt;Ttai,Notai),Dd+PousD*Croivg,Dens+PousD*(Croivg-Croi_tai))</f>
        <v>0.7</v>
      </c>
      <c r="R143" s="177">
        <f t="shared" ref="R143:R206" si="53">(Hp_vg-S143)/(INDEX(Echel_vg,T143+1)-S143)</f>
        <v>0.10534401827842754</v>
      </c>
      <c r="S143" s="919">
        <f t="shared" si="46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-1.8946559817215725</v>
      </c>
      <c r="V143" s="383">
        <f t="shared" ref="V143:V206" si="56">MaxiM*(1-Ppv)*(1-Pvg)*(1-Psa)</f>
        <v>59.555133964416243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7.9819894247396919E-5</v>
      </c>
      <c r="AE143" s="305">
        <f t="shared" ref="AE143:AE206" si="63">Dd+PousD*Croivg</f>
        <v>0.7</v>
      </c>
      <c r="AF143" s="177">
        <f t="shared" ref="AF143:AF206" si="64">(Hp_vg_s-AG143)/(INDEX(Echel_vg,AH143+1)-AG143)</f>
        <v>0.10534401827842754</v>
      </c>
      <c r="AG143" s="919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-1.8946559817215725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si="47"/>
        <v>43230</v>
      </c>
      <c r="B144" s="622"/>
      <c r="C144" s="966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6">
        <f t="shared" si="50"/>
        <v>0</v>
      </c>
      <c r="M144" s="968"/>
      <c r="N144" s="968"/>
      <c r="O144" s="324">
        <f t="shared" si="51"/>
        <v>0</v>
      </c>
      <c r="P144" s="169">
        <f>(INDEX(Models!$BJ144:$BT144,,T144)*(1-R144)+INDEX(Models!$BJ144:$BT144,,T144+1)*R144-ERP_i)*Q144*Ramure*Pc/MaxiM</f>
        <v>8.7388552881214644E-5</v>
      </c>
      <c r="Q144" s="305">
        <f t="shared" si="52"/>
        <v>0.7</v>
      </c>
      <c r="R144" s="177">
        <f t="shared" si="53"/>
        <v>0.10881901182514575</v>
      </c>
      <c r="S144" s="919">
        <f t="shared" ref="S144:S207" si="70">INDEX(Echel_vg,T144)</f>
        <v>-2</v>
      </c>
      <c r="T144" s="176">
        <f t="shared" si="54"/>
        <v>4</v>
      </c>
      <c r="U144" s="251">
        <f t="shared" si="55"/>
        <v>-1.8911809881748542</v>
      </c>
      <c r="V144" s="383">
        <f t="shared" si="56"/>
        <v>59.585856563766455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5">
        <f t="shared" si="62"/>
        <v>0</v>
      </c>
      <c r="AD144" s="169">
        <f>(INDEX(Models!$BJ144:$BT144,,AH144)*(1-AF144)+INDEX(Models!$BJ144:$BT144,,AH144+1)*AF144-ERP_i)*AE144*Ramure*Pc/MaxiM</f>
        <v>8.7388552881214644E-5</v>
      </c>
      <c r="AE144" s="305">
        <f t="shared" si="63"/>
        <v>0.7</v>
      </c>
      <c r="AF144" s="177">
        <f t="shared" si="64"/>
        <v>0.10881901182514575</v>
      </c>
      <c r="AG144" s="919">
        <f t="shared" si="65"/>
        <v>-2</v>
      </c>
      <c r="AH144" s="176">
        <f t="shared" si="66"/>
        <v>4</v>
      </c>
      <c r="AI144" s="225">
        <f t="shared" si="67"/>
        <v>-1.8911809881748542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2"/>
      <c r="C145" s="966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6">
        <f t="shared" si="50"/>
        <v>0</v>
      </c>
      <c r="M145" s="968"/>
      <c r="N145" s="968"/>
      <c r="O145" s="324">
        <f t="shared" si="51"/>
        <v>0</v>
      </c>
      <c r="P145" s="169">
        <f>(INDEX(Models!$BJ145:$BT145,,T145)*(1-R145)+INDEX(Models!$BJ145:$BT145,,T145+1)*R145-ERP_i)*Q145*Ramure*Pc/MaxiM</f>
        <v>9.5464520623841706E-5</v>
      </c>
      <c r="Q145" s="305">
        <f t="shared" si="52"/>
        <v>0.7</v>
      </c>
      <c r="R145" s="177">
        <f t="shared" si="53"/>
        <v>0.1123753128835101</v>
      </c>
      <c r="S145" s="919">
        <f t="shared" si="70"/>
        <v>-2</v>
      </c>
      <c r="T145" s="176">
        <f t="shared" si="54"/>
        <v>4</v>
      </c>
      <c r="U145" s="251">
        <f t="shared" si="55"/>
        <v>-1.8876246871164899</v>
      </c>
      <c r="V145" s="383">
        <f t="shared" si="56"/>
        <v>59.613748783420483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5">
        <f t="shared" si="62"/>
        <v>0</v>
      </c>
      <c r="AD145" s="169">
        <f>(INDEX(Models!$BJ145:$BT145,,AH145)*(1-AF145)+INDEX(Models!$BJ145:$BT145,,AH145+1)*AF145-ERP_i)*AE145*Ramure*Pc/MaxiM</f>
        <v>9.5464520623841706E-5</v>
      </c>
      <c r="AE145" s="305">
        <f t="shared" si="63"/>
        <v>0.7</v>
      </c>
      <c r="AF145" s="177">
        <f t="shared" si="64"/>
        <v>0.1123753128835101</v>
      </c>
      <c r="AG145" s="919">
        <f t="shared" si="65"/>
        <v>-2</v>
      </c>
      <c r="AH145" s="176">
        <f t="shared" si="66"/>
        <v>4</v>
      </c>
      <c r="AI145" s="225">
        <f t="shared" si="67"/>
        <v>-1.8876246871164899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1"/>
        <v>43232</v>
      </c>
      <c r="B146" s="622"/>
      <c r="C146" s="966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6">
        <f t="shared" si="50"/>
        <v>0</v>
      </c>
      <c r="M146" s="968"/>
      <c r="N146" s="968"/>
      <c r="O146" s="324">
        <f t="shared" si="51"/>
        <v>0</v>
      </c>
      <c r="P146" s="169">
        <f>(INDEX(Models!$BJ146:$BT146,,T146)*(1-R146)+INDEX(Models!$BJ146:$BT146,,T146+1)*R146-ERP_i)*Q146*Ramure*Pc/MaxiM</f>
        <v>1.0407255619111435E-4</v>
      </c>
      <c r="Q146" s="305">
        <f t="shared" si="52"/>
        <v>0.7</v>
      </c>
      <c r="R146" s="177">
        <f t="shared" si="53"/>
        <v>0.11601270053133872</v>
      </c>
      <c r="S146" s="919">
        <f t="shared" si="70"/>
        <v>-2</v>
      </c>
      <c r="T146" s="176">
        <f t="shared" si="54"/>
        <v>4</v>
      </c>
      <c r="U146" s="251">
        <f t="shared" si="55"/>
        <v>-1.8839872994686613</v>
      </c>
      <c r="V146" s="383">
        <f t="shared" si="56"/>
        <v>59.639132207485574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5">
        <f t="shared" si="62"/>
        <v>0</v>
      </c>
      <c r="AD146" s="169">
        <f>(INDEX(Models!$BJ146:$BT146,,AH146)*(1-AF146)+INDEX(Models!$BJ146:$BT146,,AH146+1)*AF146-ERP_i)*AE146*Ramure*Pc/MaxiM</f>
        <v>1.0407255619111435E-4</v>
      </c>
      <c r="AE146" s="305">
        <f t="shared" si="63"/>
        <v>0.7</v>
      </c>
      <c r="AF146" s="177">
        <f t="shared" si="64"/>
        <v>0.11601270053133872</v>
      </c>
      <c r="AG146" s="919">
        <f t="shared" si="65"/>
        <v>-2</v>
      </c>
      <c r="AH146" s="176">
        <f t="shared" si="66"/>
        <v>4</v>
      </c>
      <c r="AI146" s="225">
        <f t="shared" si="67"/>
        <v>-1.8839872994686613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1"/>
        <v>43233</v>
      </c>
      <c r="B147" s="622"/>
      <c r="C147" s="966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6">
        <f t="shared" si="50"/>
        <v>0</v>
      </c>
      <c r="M147" s="968"/>
      <c r="N147" s="968"/>
      <c r="O147" s="324">
        <f t="shared" si="51"/>
        <v>0</v>
      </c>
      <c r="P147" s="169">
        <f>(INDEX(Models!$BJ147:$BT147,,T147)*(1-R147)+INDEX(Models!$BJ147:$BT147,,T147+1)*R147-ERP_i)*Q147*Ramure*Pc/MaxiM</f>
        <v>1.1323779586001682E-4</v>
      </c>
      <c r="Q147" s="305">
        <f t="shared" si="52"/>
        <v>0.7</v>
      </c>
      <c r="R147" s="177">
        <f t="shared" si="53"/>
        <v>0.11973080365679079</v>
      </c>
      <c r="S147" s="919">
        <f t="shared" si="70"/>
        <v>-2</v>
      </c>
      <c r="T147" s="176">
        <f t="shared" si="54"/>
        <v>4</v>
      </c>
      <c r="U147" s="251">
        <f t="shared" si="55"/>
        <v>-1.8802691963432092</v>
      </c>
      <c r="V147" s="383">
        <f t="shared" si="56"/>
        <v>59.662328390367215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5">
        <f t="shared" si="62"/>
        <v>0</v>
      </c>
      <c r="AD147" s="169">
        <f>(INDEX(Models!$BJ147:$BT147,,AH147)*(1-AF147)+INDEX(Models!$BJ147:$BT147,,AH147+1)*AF147-ERP_i)*AE147*Ramure*Pc/MaxiM</f>
        <v>1.1323779586001682E-4</v>
      </c>
      <c r="AE147" s="305">
        <f t="shared" si="63"/>
        <v>0.7</v>
      </c>
      <c r="AF147" s="177">
        <f t="shared" si="64"/>
        <v>0.11973080365679079</v>
      </c>
      <c r="AG147" s="919">
        <f t="shared" si="65"/>
        <v>-2</v>
      </c>
      <c r="AH147" s="176">
        <f t="shared" si="66"/>
        <v>4</v>
      </c>
      <c r="AI147" s="225">
        <f t="shared" si="67"/>
        <v>-1.8802691963432092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1"/>
        <v>43234</v>
      </c>
      <c r="B148" s="622"/>
      <c r="C148" s="966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6">
        <f t="shared" si="50"/>
        <v>0</v>
      </c>
      <c r="M148" s="968"/>
      <c r="N148" s="968"/>
      <c r="O148" s="324">
        <f t="shared" si="51"/>
        <v>0</v>
      </c>
      <c r="P148" s="169">
        <f>(INDEX(Models!$BJ148:$BT148,,T148)*(1-R148)+INDEX(Models!$BJ148:$BT148,,T148+1)*R148-ERP_i)*Q148*Ramure*Pc/MaxiM</f>
        <v>1.2298566774887439E-4</v>
      </c>
      <c r="Q148" s="305">
        <f t="shared" si="52"/>
        <v>0.7</v>
      </c>
      <c r="R148" s="177">
        <f t="shared" si="53"/>
        <v>0.1235290952223933</v>
      </c>
      <c r="S148" s="919">
        <f t="shared" si="70"/>
        <v>-2</v>
      </c>
      <c r="T148" s="176">
        <f t="shared" si="54"/>
        <v>4</v>
      </c>
      <c r="U148" s="251">
        <f t="shared" si="55"/>
        <v>-1.8764709047776067</v>
      </c>
      <c r="V148" s="383">
        <f t="shared" si="56"/>
        <v>59.683658862893793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5">
        <f t="shared" si="62"/>
        <v>0</v>
      </c>
      <c r="AD148" s="169">
        <f>(INDEX(Models!$BJ148:$BT148,,AH148)*(1-AF148)+INDEX(Models!$BJ148:$BT148,,AH148+1)*AF148-ERP_i)*AE148*Ramure*Pc/MaxiM</f>
        <v>1.2298566774887439E-4</v>
      </c>
      <c r="AE148" s="305">
        <f t="shared" si="63"/>
        <v>0.7</v>
      </c>
      <c r="AF148" s="177">
        <f t="shared" si="64"/>
        <v>0.1235290952223933</v>
      </c>
      <c r="AG148" s="919">
        <f t="shared" si="65"/>
        <v>-2</v>
      </c>
      <c r="AH148" s="176">
        <f t="shared" si="66"/>
        <v>4</v>
      </c>
      <c r="AI148" s="225">
        <f t="shared" si="67"/>
        <v>-1.8764709047776067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1"/>
        <v>43235</v>
      </c>
      <c r="B149" s="622"/>
      <c r="C149" s="966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6">
        <f t="shared" si="50"/>
        <v>0</v>
      </c>
      <c r="M149" s="968"/>
      <c r="N149" s="968"/>
      <c r="O149" s="324">
        <f t="shared" si="51"/>
        <v>0</v>
      </c>
      <c r="P149" s="169">
        <f>(INDEX(Models!$BJ149:$BT149,,T149)*(1-R149)+INDEX(Models!$BJ149:$BT149,,T149+1)*R149-ERP_i)*Q149*Ramure*Pc/MaxiM</f>
        <v>1.3334412091411951E-4</v>
      </c>
      <c r="Q149" s="305">
        <f t="shared" si="52"/>
        <v>0.7</v>
      </c>
      <c r="R149" s="177">
        <f t="shared" si="53"/>
        <v>0.12740688693743296</v>
      </c>
      <c r="S149" s="919">
        <f t="shared" si="70"/>
        <v>-2</v>
      </c>
      <c r="T149" s="176">
        <f t="shared" si="54"/>
        <v>4</v>
      </c>
      <c r="U149" s="251">
        <f t="shared" si="55"/>
        <v>-1.872593113062567</v>
      </c>
      <c r="V149" s="383">
        <f t="shared" si="56"/>
        <v>59.702404135999842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5">
        <f t="shared" si="62"/>
        <v>0</v>
      </c>
      <c r="AD149" s="169">
        <f>(INDEX(Models!$BJ149:$BT149,,AH149)*(1-AF149)+INDEX(Models!$BJ149:$BT149,,AH149+1)*AF149-ERP_i)*AE149*Ramure*Pc/MaxiM</f>
        <v>1.3334412091411951E-4</v>
      </c>
      <c r="AE149" s="305">
        <f t="shared" si="63"/>
        <v>0.7</v>
      </c>
      <c r="AF149" s="177">
        <f t="shared" si="64"/>
        <v>0.12740688693743296</v>
      </c>
      <c r="AG149" s="919">
        <f t="shared" si="65"/>
        <v>-2</v>
      </c>
      <c r="AH149" s="176">
        <f t="shared" si="66"/>
        <v>4</v>
      </c>
      <c r="AI149" s="225">
        <f t="shared" si="67"/>
        <v>-1.872593113062567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1"/>
        <v>43236</v>
      </c>
      <c r="B150" s="622"/>
      <c r="C150" s="966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6">
        <f t="shared" si="50"/>
        <v>0</v>
      </c>
      <c r="M150" s="968"/>
      <c r="N150" s="968"/>
      <c r="O150" s="324">
        <f t="shared" si="51"/>
        <v>0</v>
      </c>
      <c r="P150" s="169">
        <f>(INDEX(Models!$BJ150:$BT150,,T150)*(1-R150)+INDEX(Models!$BJ150:$BT150,,T150+1)*R150-ERP_i)*Q150*Ramure*Pc/MaxiM</f>
        <v>1.4433968469725704E-4</v>
      </c>
      <c r="Q150" s="305">
        <f t="shared" si="52"/>
        <v>0.7</v>
      </c>
      <c r="R150" s="177">
        <f t="shared" si="53"/>
        <v>0.13136332439855902</v>
      </c>
      <c r="S150" s="919">
        <f t="shared" si="70"/>
        <v>-2</v>
      </c>
      <c r="T150" s="176">
        <f t="shared" si="54"/>
        <v>4</v>
      </c>
      <c r="U150" s="251">
        <f t="shared" si="55"/>
        <v>-1.868636675601441</v>
      </c>
      <c r="V150" s="383">
        <f t="shared" si="56"/>
        <v>59.71770127933226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5">
        <f t="shared" si="62"/>
        <v>0</v>
      </c>
      <c r="AD150" s="169">
        <f>(INDEX(Models!$BJ150:$BT150,,AH150)*(1-AF150)+INDEX(Models!$BJ150:$BT150,,AH150+1)*AF150-ERP_i)*AE150*Ramure*Pc/MaxiM</f>
        <v>1.4433968469725704E-4</v>
      </c>
      <c r="AE150" s="305">
        <f t="shared" si="63"/>
        <v>0.7</v>
      </c>
      <c r="AF150" s="177">
        <f t="shared" si="64"/>
        <v>0.13136332439855902</v>
      </c>
      <c r="AG150" s="919">
        <f t="shared" si="65"/>
        <v>-2</v>
      </c>
      <c r="AH150" s="176">
        <f t="shared" si="66"/>
        <v>4</v>
      </c>
      <c r="AI150" s="225">
        <f t="shared" si="67"/>
        <v>-1.868636675601441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1"/>
        <v>43237</v>
      </c>
      <c r="B151" s="622"/>
      <c r="C151" s="966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6">
        <f t="shared" si="50"/>
        <v>0</v>
      </c>
      <c r="M151" s="968"/>
      <c r="N151" s="968"/>
      <c r="O151" s="324">
        <f t="shared" si="51"/>
        <v>0</v>
      </c>
      <c r="P151" s="169">
        <f>(INDEX(Models!$BJ151:$BT151,,T151)*(1-R151)+INDEX(Models!$BJ151:$BT151,,T151+1)*R151-ERP_i)*Q151*Ramure*Pc/MaxiM</f>
        <v>1.5593978644053806E-4</v>
      </c>
      <c r="Q151" s="305">
        <f t="shared" si="52"/>
        <v>0.7</v>
      </c>
      <c r="R151" s="177">
        <f t="shared" si="53"/>
        <v>0.13539738275853286</v>
      </c>
      <c r="S151" s="919">
        <f t="shared" si="70"/>
        <v>-2</v>
      </c>
      <c r="T151" s="176">
        <f t="shared" si="54"/>
        <v>4</v>
      </c>
      <c r="U151" s="251">
        <f t="shared" si="55"/>
        <v>-1.8646026172414671</v>
      </c>
      <c r="V151" s="383">
        <f t="shared" si="56"/>
        <v>59.729659991151046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5">
        <f t="shared" si="62"/>
        <v>0</v>
      </c>
      <c r="AD151" s="169">
        <f>(INDEX(Models!$BJ151:$BT151,,AH151)*(1-AF151)+INDEX(Models!$BJ151:$BT151,,AH151+1)*AF151-ERP_i)*AE151*Ramure*Pc/MaxiM</f>
        <v>1.5593978644053806E-4</v>
      </c>
      <c r="AE151" s="305">
        <f t="shared" si="63"/>
        <v>0.7</v>
      </c>
      <c r="AF151" s="177">
        <f t="shared" si="64"/>
        <v>0.13539738275853286</v>
      </c>
      <c r="AG151" s="919">
        <f t="shared" si="65"/>
        <v>-2</v>
      </c>
      <c r="AH151" s="176">
        <f t="shared" si="66"/>
        <v>4</v>
      </c>
      <c r="AI151" s="225">
        <f t="shared" si="67"/>
        <v>-1.8646026172414671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1"/>
        <v>43238</v>
      </c>
      <c r="B152" s="622"/>
      <c r="C152" s="966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6">
        <f t="shared" si="50"/>
        <v>0</v>
      </c>
      <c r="M152" s="968"/>
      <c r="N152" s="968"/>
      <c r="O152" s="324">
        <f t="shared" si="51"/>
        <v>0</v>
      </c>
      <c r="P152" s="169">
        <f>(INDEX(Models!$BJ152:$BT152,,T152)*(1-R152)+INDEX(Models!$BJ152:$BT152,,T152+1)*R152-ERP_i)*Q152*Ramure*Pc/MaxiM</f>
        <v>1.6816519367943034E-4</v>
      </c>
      <c r="Q152" s="305">
        <f t="shared" si="52"/>
        <v>0.7</v>
      </c>
      <c r="R152" s="177">
        <f t="shared" si="53"/>
        <v>0.13950786298248996</v>
      </c>
      <c r="S152" s="919">
        <f t="shared" si="70"/>
        <v>-2</v>
      </c>
      <c r="T152" s="176">
        <f t="shared" si="54"/>
        <v>4</v>
      </c>
      <c r="U152" s="251">
        <f t="shared" si="55"/>
        <v>-1.86049213701751</v>
      </c>
      <c r="V152" s="383">
        <f t="shared" si="56"/>
        <v>59.738386795430998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5">
        <f t="shared" si="62"/>
        <v>0</v>
      </c>
      <c r="AD152" s="169">
        <f>(INDEX(Models!$BJ152:$BT152,,AH152)*(1-AF152)+INDEX(Models!$BJ152:$BT152,,AH152+1)*AF152-ERP_i)*AE152*Ramure*Pc/MaxiM</f>
        <v>1.6816519367943034E-4</v>
      </c>
      <c r="AE152" s="305">
        <f t="shared" si="63"/>
        <v>0.7</v>
      </c>
      <c r="AF152" s="177">
        <f t="shared" si="64"/>
        <v>0.13950786298248996</v>
      </c>
      <c r="AG152" s="919">
        <f t="shared" si="65"/>
        <v>-2</v>
      </c>
      <c r="AH152" s="176">
        <f t="shared" si="66"/>
        <v>4</v>
      </c>
      <c r="AI152" s="225">
        <f t="shared" si="67"/>
        <v>-1.86049213701751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1"/>
        <v>43239</v>
      </c>
      <c r="B153" s="622"/>
      <c r="C153" s="966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6">
        <f t="shared" si="50"/>
        <v>0</v>
      </c>
      <c r="M153" s="968"/>
      <c r="N153" s="968"/>
      <c r="O153" s="324">
        <f t="shared" si="51"/>
        <v>0</v>
      </c>
      <c r="P153" s="169">
        <f>(INDEX(Models!$BJ153:$BT153,,T153)*(1-R153)+INDEX(Models!$BJ153:$BT153,,T153+1)*R153-ERP_i)*Q153*Ramure*Pc/MaxiM</f>
        <v>1.8103635821667348E-4</v>
      </c>
      <c r="Q153" s="305">
        <f t="shared" si="52"/>
        <v>0.7</v>
      </c>
      <c r="R153" s="177">
        <f t="shared" si="53"/>
        <v>0.14369338874978643</v>
      </c>
      <c r="S153" s="919">
        <f t="shared" si="70"/>
        <v>-2</v>
      </c>
      <c r="T153" s="176">
        <f t="shared" si="54"/>
        <v>4</v>
      </c>
      <c r="U153" s="251">
        <f t="shared" si="55"/>
        <v>-1.8563066112502136</v>
      </c>
      <c r="V153" s="383">
        <f t="shared" si="56"/>
        <v>59.743988239535184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5">
        <f t="shared" si="62"/>
        <v>0</v>
      </c>
      <c r="AD153" s="169">
        <f>(INDEX(Models!$BJ153:$BT153,,AH153)*(1-AF153)+INDEX(Models!$BJ153:$BT153,,AH153+1)*AF153-ERP_i)*AE153*Ramure*Pc/MaxiM</f>
        <v>1.8103635821667348E-4</v>
      </c>
      <c r="AE153" s="305">
        <f t="shared" si="63"/>
        <v>0.7</v>
      </c>
      <c r="AF153" s="177">
        <f t="shared" si="64"/>
        <v>0.14369338874978643</v>
      </c>
      <c r="AG153" s="919">
        <f t="shared" si="65"/>
        <v>-2</v>
      </c>
      <c r="AH153" s="176">
        <f t="shared" si="66"/>
        <v>4</v>
      </c>
      <c r="AI153" s="225">
        <f t="shared" si="67"/>
        <v>-1.8563066112502136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1"/>
        <v>43240</v>
      </c>
      <c r="B154" s="622"/>
      <c r="C154" s="966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6">
        <f t="shared" si="50"/>
        <v>0</v>
      </c>
      <c r="M154" s="968"/>
      <c r="N154" s="968"/>
      <c r="O154" s="324">
        <f t="shared" si="51"/>
        <v>0</v>
      </c>
      <c r="P154" s="169">
        <f>(INDEX(Models!$BJ154:$BT154,,T154)*(1-R154)+INDEX(Models!$BJ154:$BT154,,T154+1)*R154-ERP_i)*Q154*Ramure*Pc/MaxiM</f>
        <v>1.9457331035253558E-4</v>
      </c>
      <c r="Q154" s="305">
        <f t="shared" si="52"/>
        <v>0.7</v>
      </c>
      <c r="R154" s="177">
        <f t="shared" si="53"/>
        <v>0.14795240405744714</v>
      </c>
      <c r="S154" s="919">
        <f t="shared" si="70"/>
        <v>-2</v>
      </c>
      <c r="T154" s="176">
        <f t="shared" si="54"/>
        <v>4</v>
      </c>
      <c r="U154" s="251">
        <f t="shared" si="55"/>
        <v>-1.8520475959425529</v>
      </c>
      <c r="V154" s="383">
        <f t="shared" si="56"/>
        <v>59.746570900535424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5">
        <f t="shared" si="62"/>
        <v>0</v>
      </c>
      <c r="AD154" s="169">
        <f>(INDEX(Models!$BJ154:$BT154,,AH154)*(1-AF154)+INDEX(Models!$BJ154:$BT154,,AH154+1)*AF154-ERP_i)*AE154*Ramure*Pc/MaxiM</f>
        <v>1.9457331035253558E-4</v>
      </c>
      <c r="AE154" s="305">
        <f t="shared" si="63"/>
        <v>0.7</v>
      </c>
      <c r="AF154" s="177">
        <f t="shared" si="64"/>
        <v>0.14795240405744714</v>
      </c>
      <c r="AG154" s="919">
        <f t="shared" si="65"/>
        <v>-2</v>
      </c>
      <c r="AH154" s="176">
        <f t="shared" si="66"/>
        <v>4</v>
      </c>
      <c r="AI154" s="225">
        <f t="shared" si="67"/>
        <v>-1.8520475959425529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43241</v>
      </c>
      <c r="B155" s="622"/>
      <c r="C155" s="966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6">
        <f t="shared" si="50"/>
        <v>0</v>
      </c>
      <c r="M155" s="968"/>
      <c r="N155" s="968"/>
      <c r="O155" s="324">
        <f t="shared" si="51"/>
        <v>0</v>
      </c>
      <c r="P155" s="169">
        <f>(INDEX(Models!$BJ155:$BT155,,T155)*(1-R155)+INDEX(Models!$BJ155:$BT155,,T155+1)*R155-ERP_i)*Q155*Ramure*Pc/MaxiM</f>
        <v>2.0879554851765237E-4</v>
      </c>
      <c r="Q155" s="305">
        <f t="shared" si="52"/>
        <v>0.7</v>
      </c>
      <c r="R155" s="177">
        <f t="shared" si="53"/>
        <v>0.15228317157838989</v>
      </c>
      <c r="S155" s="919">
        <f t="shared" si="70"/>
        <v>-2</v>
      </c>
      <c r="T155" s="176">
        <f t="shared" si="54"/>
        <v>4</v>
      </c>
      <c r="U155" s="251">
        <f t="shared" si="55"/>
        <v>-1.8477168284216101</v>
      </c>
      <c r="V155" s="383">
        <f t="shared" si="56"/>
        <v>59.746241395979375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5">
        <f t="shared" si="62"/>
        <v>0</v>
      </c>
      <c r="AD155" s="169">
        <f>(INDEX(Models!$BJ155:$BT155,,AH155)*(1-AF155)+INDEX(Models!$BJ155:$BT155,,AH155+1)*AF155-ERP_i)*AE155*Ramure*Pc/MaxiM</f>
        <v>2.0879554851765237E-4</v>
      </c>
      <c r="AE155" s="305">
        <f t="shared" si="63"/>
        <v>0.7</v>
      </c>
      <c r="AF155" s="177">
        <f t="shared" si="64"/>
        <v>0.15228317157838989</v>
      </c>
      <c r="AG155" s="919">
        <f t="shared" si="65"/>
        <v>-2</v>
      </c>
      <c r="AH155" s="176">
        <f t="shared" si="66"/>
        <v>4</v>
      </c>
      <c r="AI155" s="225">
        <f t="shared" si="67"/>
        <v>-1.8477168284216101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1"/>
        <v>43242</v>
      </c>
      <c r="B156" s="622"/>
      <c r="C156" s="966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6">
        <f t="shared" si="50"/>
        <v>0</v>
      </c>
      <c r="M156" s="968"/>
      <c r="N156" s="968"/>
      <c r="O156" s="324">
        <f t="shared" si="51"/>
        <v>0</v>
      </c>
      <c r="P156" s="169">
        <f>(INDEX(Models!$BJ156:$BT156,,T156)*(1-R156)+INDEX(Models!$BJ156:$BT156,,T156+1)*R156-ERP_i)*Q156*Ramure*Pc/MaxiM</f>
        <v>2.2372440421361924E-4</v>
      </c>
      <c r="Q156" s="305">
        <f t="shared" si="52"/>
        <v>0.7</v>
      </c>
      <c r="R156" s="177">
        <f t="shared" si="53"/>
        <v>0.15668377182394555</v>
      </c>
      <c r="S156" s="919">
        <f t="shared" si="70"/>
        <v>-2</v>
      </c>
      <c r="T156" s="176">
        <f t="shared" si="54"/>
        <v>4</v>
      </c>
      <c r="U156" s="251">
        <f t="shared" si="55"/>
        <v>-1.8433162281760544</v>
      </c>
      <c r="V156" s="383">
        <f t="shared" si="56"/>
        <v>59.743106237101394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5">
        <f t="shared" si="62"/>
        <v>0</v>
      </c>
      <c r="AD156" s="169">
        <f>(INDEX(Models!$BJ156:$BT156,,AH156)*(1-AF156)+INDEX(Models!$BJ156:$BT156,,AH156+1)*AF156-ERP_i)*AE156*Ramure*Pc/MaxiM</f>
        <v>2.2372440421361924E-4</v>
      </c>
      <c r="AE156" s="305">
        <f t="shared" si="63"/>
        <v>0.7</v>
      </c>
      <c r="AF156" s="177">
        <f t="shared" si="64"/>
        <v>0.15668377182394555</v>
      </c>
      <c r="AG156" s="919">
        <f t="shared" si="65"/>
        <v>-2</v>
      </c>
      <c r="AH156" s="176">
        <f t="shared" si="66"/>
        <v>4</v>
      </c>
      <c r="AI156" s="225">
        <f t="shared" si="67"/>
        <v>-1.8433162281760544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1"/>
        <v>43243</v>
      </c>
      <c r="B157" s="622"/>
      <c r="C157" s="966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6">
        <f t="shared" si="50"/>
        <v>0</v>
      </c>
      <c r="M157" s="968"/>
      <c r="N157" s="968"/>
      <c r="O157" s="324">
        <f t="shared" si="51"/>
        <v>0</v>
      </c>
      <c r="P157" s="169">
        <f>(INDEX(Models!$BJ157:$BT157,,T157)*(1-R157)+INDEX(Models!$BJ157:$BT157,,T157+1)*R157-ERP_i)*Q157*Ramure*Pc/MaxiM</f>
        <v>2.3936665217301183E-4</v>
      </c>
      <c r="Q157" s="305">
        <f t="shared" si="52"/>
        <v>0.7</v>
      </c>
      <c r="R157" s="177">
        <f t="shared" si="53"/>
        <v>0.16115210315571793</v>
      </c>
      <c r="S157" s="919">
        <f t="shared" si="70"/>
        <v>-2</v>
      </c>
      <c r="T157" s="176">
        <f t="shared" si="54"/>
        <v>4</v>
      </c>
      <c r="U157" s="251">
        <f t="shared" si="55"/>
        <v>-1.8388478968442821</v>
      </c>
      <c r="V157" s="383">
        <f t="shared" si="56"/>
        <v>59.737272812004392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5">
        <f t="shared" si="62"/>
        <v>0</v>
      </c>
      <c r="AD157" s="169">
        <f>(INDEX(Models!$BJ157:$BT157,,AH157)*(1-AF157)+INDEX(Models!$BJ157:$BT157,,AH157+1)*AF157-ERP_i)*AE157*Ramure*Pc/MaxiM</f>
        <v>2.3936665217301183E-4</v>
      </c>
      <c r="AE157" s="305">
        <f t="shared" si="63"/>
        <v>0.7</v>
      </c>
      <c r="AF157" s="177">
        <f t="shared" si="64"/>
        <v>0.16115210315571793</v>
      </c>
      <c r="AG157" s="919">
        <f t="shared" si="65"/>
        <v>-2</v>
      </c>
      <c r="AH157" s="176">
        <f t="shared" si="66"/>
        <v>4</v>
      </c>
      <c r="AI157" s="225">
        <f t="shared" si="67"/>
        <v>-1.8388478968442821</v>
      </c>
      <c r="AJ157" s="265" t="b">
        <f t="shared" si="68"/>
        <v>0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1"/>
        <v>43244</v>
      </c>
      <c r="B158" s="622"/>
      <c r="C158" s="966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6">
        <f t="shared" si="50"/>
        <v>2.1902566432308035E-5</v>
      </c>
      <c r="M158" s="968"/>
      <c r="N158" s="968"/>
      <c r="O158" s="324">
        <f t="shared" si="51"/>
        <v>1.3117840564299526E-4</v>
      </c>
      <c r="P158" s="169">
        <f>(INDEX(Models!$BJ158:$BT158,,T158)*(1-R158)+INDEX(Models!$BJ158:$BT158,,T158+1)*R158-ERP_i)*Q158*Ramure*Pc/MaxiM</f>
        <v>2.5573727898933665E-4</v>
      </c>
      <c r="Q158" s="305">
        <f t="shared" si="52"/>
        <v>0.7</v>
      </c>
      <c r="R158" s="177">
        <f t="shared" si="53"/>
        <v>0.16568588268654727</v>
      </c>
      <c r="S158" s="919">
        <f t="shared" si="70"/>
        <v>-2</v>
      </c>
      <c r="T158" s="176">
        <f t="shared" si="54"/>
        <v>4</v>
      </c>
      <c r="U158" s="251">
        <f t="shared" si="55"/>
        <v>-1.8343141173134527</v>
      </c>
      <c r="V158" s="383">
        <f t="shared" si="56"/>
        <v>59.719704843331584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5">
        <f t="shared" si="62"/>
        <v>1.3117840564299526E-4</v>
      </c>
      <c r="AD158" s="169">
        <f>(INDEX(Models!$BJ158:$BT158,,AH158)*(1-AF158)+INDEX(Models!$BJ158:$BT158,,AH158+1)*AF158-ERP_i)*AE158*Ramure*Pc/MaxiM</f>
        <v>2.5573727898933665E-4</v>
      </c>
      <c r="AE158" s="305">
        <f t="shared" si="63"/>
        <v>0.7</v>
      </c>
      <c r="AF158" s="177">
        <f t="shared" si="64"/>
        <v>0.16568588268654727</v>
      </c>
      <c r="AG158" s="919">
        <f t="shared" si="65"/>
        <v>-2</v>
      </c>
      <c r="AH158" s="176">
        <f t="shared" si="66"/>
        <v>4</v>
      </c>
      <c r="AI158" s="225">
        <f t="shared" si="67"/>
        <v>-1.8343141173134527</v>
      </c>
      <c r="AJ158" s="265" t="b">
        <f t="shared" si="68"/>
        <v>0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1"/>
        <v>43245</v>
      </c>
      <c r="B159" s="622"/>
      <c r="C159" s="966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6">
        <f t="shared" si="50"/>
        <v>4.3804653142243133E-5</v>
      </c>
      <c r="M159" s="968"/>
      <c r="N159" s="968"/>
      <c r="O159" s="324">
        <f t="shared" si="51"/>
        <v>2.6242066313447005E-4</v>
      </c>
      <c r="P159" s="169">
        <f>(INDEX(Models!$BJ159:$BT159,,T159)*(1-R159)+INDEX(Models!$BJ159:$BT159,,T159+1)*R159-ERP_i)*Q159*Ramure*Pc/MaxiM</f>
        <v>2.7285154113612458E-4</v>
      </c>
      <c r="Q159" s="305">
        <f t="shared" si="52"/>
        <v>0.7</v>
      </c>
      <c r="R159" s="177">
        <f t="shared" si="53"/>
        <v>0.17028264810426452</v>
      </c>
      <c r="S159" s="919">
        <f t="shared" si="70"/>
        <v>-2</v>
      </c>
      <c r="T159" s="176">
        <f t="shared" si="54"/>
        <v>4</v>
      </c>
      <c r="U159" s="251">
        <f t="shared" si="55"/>
        <v>-1.8297173518957355</v>
      </c>
      <c r="V159" s="383">
        <f t="shared" si="56"/>
        <v>59.699652299626663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5">
        <f t="shared" si="62"/>
        <v>2.6242066313447005E-4</v>
      </c>
      <c r="AD159" s="169">
        <f>(INDEX(Models!$BJ159:$BT159,,AH159)*(1-AF159)+INDEX(Models!$BJ159:$BT159,,AH159+1)*AF159-ERP_i)*AE159*Ramure*Pc/MaxiM</f>
        <v>2.7285154113612458E-4</v>
      </c>
      <c r="AE159" s="305">
        <f t="shared" si="63"/>
        <v>0.7</v>
      </c>
      <c r="AF159" s="177">
        <f t="shared" si="64"/>
        <v>0.17028264810426452</v>
      </c>
      <c r="AG159" s="919">
        <f t="shared" si="65"/>
        <v>-2</v>
      </c>
      <c r="AH159" s="176">
        <f t="shared" si="66"/>
        <v>4</v>
      </c>
      <c r="AI159" s="225">
        <f t="shared" si="67"/>
        <v>-1.8297173518957355</v>
      </c>
      <c r="AJ159" s="265" t="b">
        <f t="shared" si="68"/>
        <v>0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1"/>
        <v>43246</v>
      </c>
      <c r="B160" s="622"/>
      <c r="C160" s="966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6">
        <f t="shared" si="50"/>
        <v>6.570626014024139E-5</v>
      </c>
      <c r="M160" s="968"/>
      <c r="N160" s="968"/>
      <c r="O160" s="324">
        <f t="shared" si="51"/>
        <v>3.9372652906546744E-4</v>
      </c>
      <c r="P160" s="169">
        <f>(INDEX(Models!$BJ160:$BT160,,T160)*(1-R160)+INDEX(Models!$BJ160:$BT160,,T160+1)*R160-ERP_i)*Q160*Ramure*Pc/MaxiM</f>
        <v>2.9072359731326374E-4</v>
      </c>
      <c r="Q160" s="305">
        <f t="shared" si="52"/>
        <v>0.7</v>
      </c>
      <c r="R160" s="177">
        <f t="shared" si="53"/>
        <v>0.17493976044509685</v>
      </c>
      <c r="S160" s="919">
        <f t="shared" si="70"/>
        <v>-2</v>
      </c>
      <c r="T160" s="176">
        <f t="shared" si="54"/>
        <v>4</v>
      </c>
      <c r="U160" s="251">
        <f t="shared" si="55"/>
        <v>-1.8250602395549032</v>
      </c>
      <c r="V160" s="383">
        <f t="shared" si="56"/>
        <v>59.677223248347211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5">
        <f t="shared" si="62"/>
        <v>3.9372652906546744E-4</v>
      </c>
      <c r="AD160" s="169">
        <f>(INDEX(Models!$BJ160:$BT160,,AH160)*(1-AF160)+INDEX(Models!$BJ160:$BT160,,AH160+1)*AF160-ERP_i)*AE160*Ramure*Pc/MaxiM</f>
        <v>2.9072359731326374E-4</v>
      </c>
      <c r="AE160" s="305">
        <f t="shared" si="63"/>
        <v>0.7</v>
      </c>
      <c r="AF160" s="177">
        <f t="shared" si="64"/>
        <v>0.17493976044509685</v>
      </c>
      <c r="AG160" s="919">
        <f t="shared" si="65"/>
        <v>-2</v>
      </c>
      <c r="AH160" s="176">
        <f t="shared" si="66"/>
        <v>4</v>
      </c>
      <c r="AI160" s="225">
        <f t="shared" si="67"/>
        <v>-1.8250602395549032</v>
      </c>
      <c r="AJ160" s="265" t="b">
        <f t="shared" si="68"/>
        <v>0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1"/>
        <v>43247</v>
      </c>
      <c r="B161" s="622"/>
      <c r="C161" s="966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6">
        <f t="shared" si="50"/>
        <v>8.7607387436960948E-5</v>
      </c>
      <c r="M161" s="968"/>
      <c r="N161" s="968"/>
      <c r="O161" s="324">
        <f t="shared" si="51"/>
        <v>5.2509531585779191E-4</v>
      </c>
      <c r="P161" s="169">
        <f>(INDEX(Models!$BJ161:$BT161,,T161)*(1-R161)+INDEX(Models!$BJ161:$BT161,,T161+1)*R161-ERP_i)*Q161*Ramure*Pc/MaxiM</f>
        <v>3.0936639940346938E-4</v>
      </c>
      <c r="Q161" s="305">
        <f t="shared" si="52"/>
        <v>0.7</v>
      </c>
      <c r="R161" s="177">
        <f t="shared" si="53"/>
        <v>0.17965440783607267</v>
      </c>
      <c r="S161" s="919">
        <f t="shared" si="70"/>
        <v>-2</v>
      </c>
      <c r="T161" s="176">
        <f t="shared" si="54"/>
        <v>4</v>
      </c>
      <c r="U161" s="251">
        <f t="shared" si="55"/>
        <v>-1.8203455921639273</v>
      </c>
      <c r="V161" s="383">
        <f t="shared" si="56"/>
        <v>59.652525796968881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5">
        <f t="shared" si="62"/>
        <v>5.2509531585779191E-4</v>
      </c>
      <c r="AD161" s="169">
        <f>(INDEX(Models!$BJ161:$BT161,,AH161)*(1-AF161)+INDEX(Models!$BJ161:$BT161,,AH161+1)*AF161-ERP_i)*AE161*Ramure*Pc/MaxiM</f>
        <v>3.0936639940346938E-4</v>
      </c>
      <c r="AE161" s="305">
        <f t="shared" si="63"/>
        <v>0.7</v>
      </c>
      <c r="AF161" s="177">
        <f t="shared" si="64"/>
        <v>0.17965440783607267</v>
      </c>
      <c r="AG161" s="919">
        <f t="shared" si="65"/>
        <v>-2</v>
      </c>
      <c r="AH161" s="176">
        <f t="shared" si="66"/>
        <v>4</v>
      </c>
      <c r="AI161" s="225">
        <f t="shared" si="67"/>
        <v>-1.8203455921639273</v>
      </c>
      <c r="AJ161" s="265" t="b">
        <f t="shared" si="68"/>
        <v>0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1"/>
        <v>43248</v>
      </c>
      <c r="B162" s="622"/>
      <c r="C162" s="966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6">
        <f t="shared" si="50"/>
        <v>1.0950803504261586E-4</v>
      </c>
      <c r="M162" s="968"/>
      <c r="N162" s="968"/>
      <c r="O162" s="324">
        <f t="shared" si="51"/>
        <v>6.5652588840542988E-4</v>
      </c>
      <c r="P162" s="169">
        <f>(INDEX(Models!$BJ162:$BT162,,T162)*(1-R162)+INDEX(Models!$BJ162:$BT162,,T162+1)*R162-ERP_i)*Q162*Ramure*Pc/MaxiM</f>
        <v>3.2879158599125649E-4</v>
      </c>
      <c r="Q162" s="305">
        <f t="shared" si="52"/>
        <v>0.7</v>
      </c>
      <c r="R162" s="177">
        <f t="shared" si="53"/>
        <v>0.18442361021761489</v>
      </c>
      <c r="S162" s="919">
        <f t="shared" si="70"/>
        <v>-2</v>
      </c>
      <c r="T162" s="176">
        <f t="shared" si="54"/>
        <v>4</v>
      </c>
      <c r="U162" s="251">
        <f t="shared" si="55"/>
        <v>-1.8155763897823851</v>
      </c>
      <c r="V162" s="383">
        <f t="shared" si="56"/>
        <v>59.625668095072221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5">
        <f t="shared" si="62"/>
        <v>6.5652588840542988E-4</v>
      </c>
      <c r="AD162" s="169">
        <f>(INDEX(Models!$BJ162:$BT162,,AH162)*(1-AF162)+INDEX(Models!$BJ162:$BT162,,AH162+1)*AF162-ERP_i)*AE162*Ramure*Pc/MaxiM</f>
        <v>3.2879158599125649E-4</v>
      </c>
      <c r="AE162" s="305">
        <f t="shared" si="63"/>
        <v>0.7</v>
      </c>
      <c r="AF162" s="177">
        <f t="shared" si="64"/>
        <v>0.18442361021761489</v>
      </c>
      <c r="AG162" s="919">
        <f t="shared" si="65"/>
        <v>-2</v>
      </c>
      <c r="AH162" s="176">
        <f t="shared" si="66"/>
        <v>4</v>
      </c>
      <c r="AI162" s="225">
        <f t="shared" si="67"/>
        <v>-1.8155763897823851</v>
      </c>
      <c r="AJ162" s="265" t="b">
        <f t="shared" si="68"/>
        <v>0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43249</v>
      </c>
      <c r="B163" s="622"/>
      <c r="C163" s="966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6">
        <f t="shared" si="50"/>
        <v>1.3140820296797528E-4</v>
      </c>
      <c r="M163" s="968"/>
      <c r="N163" s="968"/>
      <c r="O163" s="324">
        <f t="shared" si="51"/>
        <v>7.8801666300957497E-4</v>
      </c>
      <c r="P163" s="169">
        <f>(INDEX(Models!$BJ163:$BT163,,T163)*(1-R163)+INDEX(Models!$BJ163:$BT163,,T163+1)*R163-ERP_i)*Q163*Ramure*Pc/MaxiM</f>
        <v>3.4900958941919304E-4</v>
      </c>
      <c r="Q163" s="305">
        <f t="shared" si="52"/>
        <v>0.7</v>
      </c>
      <c r="R163" s="177">
        <f t="shared" si="53"/>
        <v>0.18924422504883687</v>
      </c>
      <c r="S163" s="919">
        <f t="shared" si="70"/>
        <v>-2</v>
      </c>
      <c r="T163" s="176">
        <f t="shared" si="54"/>
        <v>4</v>
      </c>
      <c r="U163" s="251">
        <f t="shared" si="55"/>
        <v>-1.8107557749511631</v>
      </c>
      <c r="V163" s="383">
        <f t="shared" si="56"/>
        <v>59.59672247703184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5">
        <f t="shared" si="62"/>
        <v>7.8801666300957497E-4</v>
      </c>
      <c r="AD163" s="169">
        <f>(INDEX(Models!$BJ163:$BT163,,AH163)*(1-AF163)+INDEX(Models!$BJ163:$BT163,,AH163+1)*AF163-ERP_i)*AE163*Ramure*Pc/MaxiM</f>
        <v>3.4900958941919304E-4</v>
      </c>
      <c r="AE163" s="305">
        <f t="shared" si="63"/>
        <v>0.7</v>
      </c>
      <c r="AF163" s="177">
        <f t="shared" si="64"/>
        <v>0.18924422504883687</v>
      </c>
      <c r="AG163" s="919">
        <f t="shared" si="65"/>
        <v>-2</v>
      </c>
      <c r="AH163" s="176">
        <f t="shared" si="66"/>
        <v>4</v>
      </c>
      <c r="AI163" s="225">
        <f t="shared" si="67"/>
        <v>-1.8107557749511631</v>
      </c>
      <c r="AJ163" s="265" t="b">
        <f t="shared" si="68"/>
        <v>0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43250</v>
      </c>
      <c r="B164" s="622"/>
      <c r="C164" s="966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6">
        <f t="shared" si="50"/>
        <v>1.5330789122347532E-4</v>
      </c>
      <c r="M164" s="968"/>
      <c r="N164" s="968"/>
      <c r="O164" s="324">
        <f t="shared" si="51"/>
        <v>9.1956560868461487E-4</v>
      </c>
      <c r="P164" s="169">
        <f>(INDEX(Models!$BJ164:$BT164,,T164)*(1-R164)+INDEX(Models!$BJ164:$BT164,,T164+1)*R164-ERP_i)*Q164*Ramure*Pc/MaxiM</f>
        <v>3.6987434531959206E-4</v>
      </c>
      <c r="Q164" s="305">
        <f t="shared" si="52"/>
        <v>0.7</v>
      </c>
      <c r="R164" s="177">
        <f t="shared" si="53"/>
        <v>0.19411295398892459</v>
      </c>
      <c r="S164" s="919">
        <f t="shared" si="70"/>
        <v>-2</v>
      </c>
      <c r="T164" s="176">
        <f t="shared" si="54"/>
        <v>4</v>
      </c>
      <c r="U164" s="251">
        <f t="shared" si="55"/>
        <v>-1.8058870460110754</v>
      </c>
      <c r="V164" s="383">
        <f t="shared" si="56"/>
        <v>59.565627212070687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5">
        <f t="shared" si="62"/>
        <v>9.1956560868461487E-4</v>
      </c>
      <c r="AD164" s="169">
        <f>(INDEX(Models!$BJ164:$BT164,,AH164)*(1-AF164)+INDEX(Models!$BJ164:$BT164,,AH164+1)*AF164-ERP_i)*AE164*Ramure*Pc/MaxiM</f>
        <v>3.6987434531959206E-4</v>
      </c>
      <c r="AE164" s="305">
        <f t="shared" si="63"/>
        <v>0.7</v>
      </c>
      <c r="AF164" s="177">
        <f t="shared" si="64"/>
        <v>0.19411295398892459</v>
      </c>
      <c r="AG164" s="919">
        <f t="shared" si="65"/>
        <v>-2</v>
      </c>
      <c r="AH164" s="176">
        <f t="shared" si="66"/>
        <v>4</v>
      </c>
      <c r="AI164" s="225">
        <f t="shared" si="67"/>
        <v>-1.8058870460110754</v>
      </c>
      <c r="AJ164" s="265" t="b">
        <f t="shared" si="68"/>
        <v>0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43251</v>
      </c>
      <c r="B165" s="622"/>
      <c r="C165" s="966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6">
        <f t="shared" si="50"/>
        <v>1.7520709981955207E-4</v>
      </c>
      <c r="M165" s="968"/>
      <c r="N165" s="968"/>
      <c r="O165" s="324">
        <f t="shared" si="51"/>
        <v>1.0511702508938972E-3</v>
      </c>
      <c r="P165" s="169">
        <f>(INDEX(Models!$BJ165:$BT165,,T165)*(1-R165)+INDEX(Models!$BJ165:$BT165,,T165+1)*R165-ERP_i)*Q165*Ramure*Pc/MaxiM</f>
        <v>3.9138406069450562E-4</v>
      </c>
      <c r="Q165" s="305">
        <f t="shared" si="52"/>
        <v>0.7</v>
      </c>
      <c r="R165" s="177">
        <f t="shared" si="53"/>
        <v>0.19902635053855122</v>
      </c>
      <c r="S165" s="919">
        <f t="shared" si="70"/>
        <v>-2</v>
      </c>
      <c r="T165" s="176">
        <f t="shared" si="54"/>
        <v>4</v>
      </c>
      <c r="U165" s="251">
        <f t="shared" si="55"/>
        <v>-1.8009736494614488</v>
      </c>
      <c r="V165" s="383">
        <f t="shared" si="56"/>
        <v>59.532276207880336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5">
        <f t="shared" si="62"/>
        <v>1.0511702508938972E-3</v>
      </c>
      <c r="AD165" s="169">
        <f>(INDEX(Models!$BJ165:$BT165,,AH165)*(1-AF165)+INDEX(Models!$BJ165:$BT165,,AH165+1)*AF165-ERP_i)*AE165*Ramure*Pc/MaxiM</f>
        <v>3.9138406069450562E-4</v>
      </c>
      <c r="AE165" s="305">
        <f t="shared" si="63"/>
        <v>0.7</v>
      </c>
      <c r="AF165" s="177">
        <f t="shared" si="64"/>
        <v>0.19902635053855122</v>
      </c>
      <c r="AG165" s="919">
        <f t="shared" si="65"/>
        <v>-2</v>
      </c>
      <c r="AH165" s="176">
        <f t="shared" si="66"/>
        <v>4</v>
      </c>
      <c r="AI165" s="225">
        <f t="shared" si="67"/>
        <v>-1.8009736494614488</v>
      </c>
      <c r="AJ165" s="265" t="b">
        <f t="shared" si="68"/>
        <v>0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1"/>
        <v>43252</v>
      </c>
      <c r="B166" s="622"/>
      <c r="C166" s="966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6">
        <f t="shared" si="50"/>
        <v>1.9710582876675264E-4</v>
      </c>
      <c r="M166" s="968"/>
      <c r="N166" s="968"/>
      <c r="O166" s="324">
        <f t="shared" si="51"/>
        <v>1.1828276777557868E-3</v>
      </c>
      <c r="P166" s="169">
        <f>(INDEX(Models!$BJ166:$BT166,,T166)*(1-R166)+INDEX(Models!$BJ166:$BT166,,T166+1)*R166-ERP_i)*Q166*Ramure*Pc/MaxiM</f>
        <v>4.1353114325630387E-4</v>
      </c>
      <c r="Q166" s="305">
        <f t="shared" si="52"/>
        <v>0.7</v>
      </c>
      <c r="R166" s="177">
        <f t="shared" si="53"/>
        <v>0.20398082861563349</v>
      </c>
      <c r="S166" s="919">
        <f t="shared" si="70"/>
        <v>-2</v>
      </c>
      <c r="T166" s="176">
        <f t="shared" si="54"/>
        <v>4</v>
      </c>
      <c r="U166" s="251">
        <f t="shared" si="55"/>
        <v>-1.7960191713843665</v>
      </c>
      <c r="V166" s="383">
        <f t="shared" si="56"/>
        <v>59.496563825938381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5">
        <f t="shared" si="62"/>
        <v>1.1828276777557868E-3</v>
      </c>
      <c r="AD166" s="169">
        <f>(INDEX(Models!$BJ166:$BT166,,AH166)*(1-AF166)+INDEX(Models!$BJ166:$BT166,,AH166+1)*AF166-ERP_i)*AE166*Ramure*Pc/MaxiM</f>
        <v>4.1353114325630387E-4</v>
      </c>
      <c r="AE166" s="305">
        <f t="shared" si="63"/>
        <v>0.7</v>
      </c>
      <c r="AF166" s="177">
        <f t="shared" si="64"/>
        <v>0.20398082861563349</v>
      </c>
      <c r="AG166" s="919">
        <f t="shared" si="65"/>
        <v>-2</v>
      </c>
      <c r="AH166" s="176">
        <f t="shared" si="66"/>
        <v>4</v>
      </c>
      <c r="AI166" s="225">
        <f t="shared" si="67"/>
        <v>-1.7960191713843665</v>
      </c>
      <c r="AJ166" s="265" t="b">
        <f t="shared" si="68"/>
        <v>0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1"/>
        <v>43253</v>
      </c>
      <c r="B167" s="622"/>
      <c r="C167" s="966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6">
        <f t="shared" si="50"/>
        <v>2.1900407807551314E-4</v>
      </c>
      <c r="M167" s="968"/>
      <c r="N167" s="968"/>
      <c r="O167" s="324">
        <f t="shared" si="51"/>
        <v>1.3145345487391934E-3</v>
      </c>
      <c r="P167" s="169">
        <f>(INDEX(Models!$BJ167:$BT167,,T167)*(1-R167)+INDEX(Models!$BJ167:$BT167,,T167+1)*R167-ERP_i)*Q167*Ramure*Pc/MaxiM</f>
        <v>4.3630617719914324E-4</v>
      </c>
      <c r="Q167" s="305">
        <f t="shared" si="52"/>
        <v>0.7</v>
      </c>
      <c r="R167" s="177">
        <f t="shared" si="53"/>
        <v>0.20897267203004599</v>
      </c>
      <c r="S167" s="919">
        <f t="shared" si="70"/>
        <v>-2</v>
      </c>
      <c r="T167" s="176">
        <f t="shared" si="54"/>
        <v>4</v>
      </c>
      <c r="U167" s="251">
        <f t="shared" si="55"/>
        <v>-1.791027327969954</v>
      </c>
      <c r="V167" s="383">
        <f t="shared" si="56"/>
        <v>59.458384646144808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5">
        <f t="shared" si="62"/>
        <v>1.3145345487391934E-3</v>
      </c>
      <c r="AD167" s="169">
        <f>(INDEX(Models!$BJ167:$BT167,,AH167)*(1-AF167)+INDEX(Models!$BJ167:$BT167,,AH167+1)*AF167-ERP_i)*AE167*Ramure*Pc/MaxiM</f>
        <v>4.3630617719914324E-4</v>
      </c>
      <c r="AE167" s="305">
        <f t="shared" si="63"/>
        <v>0.7</v>
      </c>
      <c r="AF167" s="177">
        <f t="shared" si="64"/>
        <v>0.20897267203004599</v>
      </c>
      <c r="AG167" s="919">
        <f t="shared" si="65"/>
        <v>-2</v>
      </c>
      <c r="AH167" s="176">
        <f t="shared" si="66"/>
        <v>4</v>
      </c>
      <c r="AI167" s="225">
        <f t="shared" si="67"/>
        <v>-1.791027327969954</v>
      </c>
      <c r="AJ167" s="265" t="b">
        <f t="shared" si="68"/>
        <v>0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1"/>
        <v>43254</v>
      </c>
      <c r="B168" s="622"/>
      <c r="C168" s="966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6">
        <f t="shared" si="50"/>
        <v>2.409018477564917E-4</v>
      </c>
      <c r="M168" s="968"/>
      <c r="N168" s="968"/>
      <c r="O168" s="324">
        <f t="shared" si="51"/>
        <v>1.4462871058479347E-3</v>
      </c>
      <c r="P168" s="169">
        <f>(INDEX(Models!$BJ168:$BT168,,T168)*(1-R168)+INDEX(Models!$BJ168:$BT168,,T168+1)*R168-ERP_i)*Q168*Ramure*Pc/MaxiM</f>
        <v>4.5969792338537599E-4</v>
      </c>
      <c r="Q168" s="305">
        <f t="shared" si="52"/>
        <v>0.7</v>
      </c>
      <c r="R168" s="177">
        <f t="shared" si="53"/>
        <v>0.21399804481231799</v>
      </c>
      <c r="S168" s="919">
        <f t="shared" si="70"/>
        <v>-2</v>
      </c>
      <c r="T168" s="176">
        <f t="shared" si="54"/>
        <v>4</v>
      </c>
      <c r="U168" s="251">
        <f t="shared" si="55"/>
        <v>-1.786001955187682</v>
      </c>
      <c r="V168" s="383">
        <f t="shared" si="56"/>
        <v>59.417633464772109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5">
        <f t="shared" si="62"/>
        <v>1.4462871058479347E-3</v>
      </c>
      <c r="AD168" s="169">
        <f>(INDEX(Models!$BJ168:$BT168,,AH168)*(1-AF168)+INDEX(Models!$BJ168:$BT168,,AH168+1)*AF168-ERP_i)*AE168*Ramure*Pc/MaxiM</f>
        <v>4.5969792338537599E-4</v>
      </c>
      <c r="AE168" s="305">
        <f t="shared" si="63"/>
        <v>0.7</v>
      </c>
      <c r="AF168" s="177">
        <f t="shared" si="64"/>
        <v>0.21399804481231799</v>
      </c>
      <c r="AG168" s="919">
        <f t="shared" si="65"/>
        <v>-2</v>
      </c>
      <c r="AH168" s="176">
        <f t="shared" si="66"/>
        <v>4</v>
      </c>
      <c r="AI168" s="225">
        <f t="shared" si="67"/>
        <v>-1.786001955187682</v>
      </c>
      <c r="AJ168" s="265" t="b">
        <f t="shared" si="68"/>
        <v>0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1"/>
        <v>43255</v>
      </c>
      <c r="B169" s="618"/>
      <c r="C169" s="390"/>
      <c r="D169" s="393">
        <f t="shared" ref="D169:D196" si="72">Wh/(1-Ppv)</f>
        <v>0</v>
      </c>
      <c r="E169" s="385">
        <f t="shared" ref="E169:E196" si="73">Wh_pvt/(1-Psa)</f>
        <v>0</v>
      </c>
      <c r="F169" s="385">
        <f t="shared" ref="F169:F196" si="74">Wh_sa/(1-Pvg*MEDIAN((-Sdif+Wh/Env_an)/Csdif,0,1))</f>
        <v>0</v>
      </c>
      <c r="G169" s="110">
        <f t="shared" ref="G169:G196" si="75">+Wh_hp/MaxiM</f>
        <v>0</v>
      </c>
      <c r="I169" s="380">
        <f t="shared" si="48"/>
        <v>0</v>
      </c>
      <c r="J169" s="85">
        <v>2018</v>
      </c>
      <c r="K169" s="197">
        <f t="shared" si="49"/>
        <v>43255</v>
      </c>
      <c r="L169" s="436">
        <f t="shared" si="50"/>
        <v>2.6279913782012443E-4</v>
      </c>
      <c r="M169" s="968"/>
      <c r="N169" s="968"/>
      <c r="O169" s="324">
        <f t="shared" si="51"/>
        <v>1.5780811872706923E-3</v>
      </c>
      <c r="P169" s="169">
        <f>(INDEX(Models!$BJ169:$BT169,,T169)*(1-R169)+INDEX(Models!$BJ169:$BT169,,T169+1)*R169-ERP_i)*Q169*Ramure*Pc/MaxiM</f>
        <v>4.8369333265606897E-4</v>
      </c>
      <c r="Q169" s="305">
        <f t="shared" si="52"/>
        <v>0.7</v>
      </c>
      <c r="R169" s="177">
        <f t="shared" si="53"/>
        <v>0.21905300234197789</v>
      </c>
      <c r="S169" s="919">
        <f t="shared" si="70"/>
        <v>-2</v>
      </c>
      <c r="T169" s="176">
        <f t="shared" si="54"/>
        <v>4</v>
      </c>
      <c r="U169" s="251">
        <f t="shared" si="55"/>
        <v>-1.7809469976580221</v>
      </c>
      <c r="V169" s="383">
        <f t="shared" si="56"/>
        <v>59.374205293212242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5">
        <f t="shared" si="62"/>
        <v>1.5780811872706923E-3</v>
      </c>
      <c r="AD169" s="169">
        <f>(INDEX(Models!$BJ169:$BT169,,AH169)*(1-AF169)+INDEX(Models!$BJ169:$BT169,,AH169+1)*AF169-ERP_i)*AE169*Ramure*Pc/MaxiM</f>
        <v>4.8369333265606897E-4</v>
      </c>
      <c r="AE169" s="305">
        <f t="shared" si="63"/>
        <v>0.7</v>
      </c>
      <c r="AF169" s="177">
        <f t="shared" si="64"/>
        <v>0.21905300234197789</v>
      </c>
      <c r="AG169" s="919">
        <f t="shared" si="65"/>
        <v>-2</v>
      </c>
      <c r="AH169" s="176">
        <f t="shared" si="66"/>
        <v>4</v>
      </c>
      <c r="AI169" s="225">
        <f t="shared" si="67"/>
        <v>-1.7809469976580221</v>
      </c>
      <c r="AJ169" s="265" t="b">
        <f t="shared" si="68"/>
        <v>0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1"/>
        <v>43256</v>
      </c>
      <c r="B170" s="618"/>
      <c r="C170" s="390"/>
      <c r="D170" s="393">
        <f t="shared" si="72"/>
        <v>0</v>
      </c>
      <c r="E170" s="385">
        <f t="shared" si="73"/>
        <v>0</v>
      </c>
      <c r="F170" s="385">
        <f t="shared" si="74"/>
        <v>0</v>
      </c>
      <c r="G170" s="110">
        <f t="shared" si="75"/>
        <v>0</v>
      </c>
      <c r="I170" s="380">
        <f t="shared" si="48"/>
        <v>0</v>
      </c>
      <c r="J170" s="85">
        <v>2018</v>
      </c>
      <c r="K170" s="197">
        <f t="shared" si="49"/>
        <v>43256</v>
      </c>
      <c r="L170" s="436">
        <f t="shared" si="50"/>
        <v>2.8469594827695843E-4</v>
      </c>
      <c r="M170" s="968"/>
      <c r="N170" s="968"/>
      <c r="O170" s="324">
        <f t="shared" si="51"/>
        <v>1.7099122434519999E-3</v>
      </c>
      <c r="P170" s="169">
        <f>(INDEX(Models!$BJ170:$BT170,,T170)*(1-R170)+INDEX(Models!$BJ170:$BT170,,T170+1)*R170-ERP_i)*Q170*Ramure*Pc/MaxiM</f>
        <v>5.0795421825091259E-4</v>
      </c>
      <c r="Q170" s="305">
        <f t="shared" si="52"/>
        <v>0.7</v>
      </c>
      <c r="R170" s="177">
        <f t="shared" si="53"/>
        <v>0.22413350321224979</v>
      </c>
      <c r="S170" s="919">
        <f t="shared" si="70"/>
        <v>-2</v>
      </c>
      <c r="T170" s="176">
        <f t="shared" si="54"/>
        <v>4</v>
      </c>
      <c r="U170" s="251">
        <f t="shared" si="55"/>
        <v>-1.7758664967877502</v>
      </c>
      <c r="V170" s="383">
        <f t="shared" si="56"/>
        <v>59.328014550449353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5">
        <f t="shared" si="62"/>
        <v>1.7099122434519999E-3</v>
      </c>
      <c r="AD170" s="169">
        <f>(INDEX(Models!$BJ170:$BT170,,AH170)*(1-AF170)+INDEX(Models!$BJ170:$BT170,,AH170+1)*AF170-ERP_i)*AE170*Ramure*Pc/MaxiM</f>
        <v>5.0795421825091259E-4</v>
      </c>
      <c r="AE170" s="305">
        <f t="shared" si="63"/>
        <v>0.7</v>
      </c>
      <c r="AF170" s="177">
        <f t="shared" si="64"/>
        <v>0.22413350321224979</v>
      </c>
      <c r="AG170" s="919">
        <f t="shared" si="65"/>
        <v>-2</v>
      </c>
      <c r="AH170" s="176">
        <f t="shared" si="66"/>
        <v>4</v>
      </c>
      <c r="AI170" s="225">
        <f t="shared" si="67"/>
        <v>-1.7758664967877502</v>
      </c>
      <c r="AJ170" s="265" t="b">
        <f t="shared" si="68"/>
        <v>0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1"/>
        <v>43257</v>
      </c>
      <c r="B171" s="618"/>
      <c r="C171" s="390"/>
      <c r="D171" s="393">
        <f t="shared" si="72"/>
        <v>0</v>
      </c>
      <c r="E171" s="385">
        <f t="shared" si="73"/>
        <v>0</v>
      </c>
      <c r="F171" s="385">
        <f t="shared" si="74"/>
        <v>0</v>
      </c>
      <c r="G171" s="110">
        <f t="shared" si="75"/>
        <v>0</v>
      </c>
      <c r="I171" s="380">
        <f t="shared" si="48"/>
        <v>0</v>
      </c>
      <c r="J171" s="85">
        <v>2018</v>
      </c>
      <c r="K171" s="197">
        <f t="shared" si="49"/>
        <v>43257</v>
      </c>
      <c r="L171" s="436">
        <f t="shared" si="50"/>
        <v>3.0659227913731879E-4</v>
      </c>
      <c r="M171" s="968"/>
      <c r="N171" s="968"/>
      <c r="O171" s="324">
        <f t="shared" si="51"/>
        <v>1.841775355517432E-3</v>
      </c>
      <c r="P171" s="169">
        <f>(INDEX(Models!$BJ171:$BT171,,T171)*(1-R171)+INDEX(Models!$BJ171:$BT171,,T171+1)*R171-ERP_i)*Q171*Ramure*Pc/MaxiM</f>
        <v>5.3243196430792625E-4</v>
      </c>
      <c r="Q171" s="305">
        <f t="shared" si="52"/>
        <v>0.7</v>
      </c>
      <c r="R171" s="177">
        <f t="shared" si="53"/>
        <v>0.22923542175938971</v>
      </c>
      <c r="S171" s="919">
        <f t="shared" si="70"/>
        <v>-2</v>
      </c>
      <c r="T171" s="176">
        <f t="shared" si="54"/>
        <v>4</v>
      </c>
      <c r="U171" s="251">
        <f t="shared" si="55"/>
        <v>-1.7707645782406103</v>
      </c>
      <c r="V171" s="383">
        <f t="shared" si="56"/>
        <v>59.278958522987658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5">
        <f t="shared" si="62"/>
        <v>1.841775355517432E-3</v>
      </c>
      <c r="AD171" s="169">
        <f>(INDEX(Models!$BJ171:$BT171,,AH171)*(1-AF171)+INDEX(Models!$BJ171:$BT171,,AH171+1)*AF171-ERP_i)*AE171*Ramure*Pc/MaxiM</f>
        <v>5.3243196430792625E-4</v>
      </c>
      <c r="AE171" s="305">
        <f t="shared" si="63"/>
        <v>0.7</v>
      </c>
      <c r="AF171" s="177">
        <f t="shared" si="64"/>
        <v>0.22923542175938971</v>
      </c>
      <c r="AG171" s="919">
        <f t="shared" si="65"/>
        <v>-2</v>
      </c>
      <c r="AH171" s="176">
        <f t="shared" si="66"/>
        <v>4</v>
      </c>
      <c r="AI171" s="225">
        <f t="shared" si="67"/>
        <v>-1.7707645782406103</v>
      </c>
      <c r="AJ171" s="265" t="b">
        <f t="shared" si="68"/>
        <v>0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1"/>
        <v>43258</v>
      </c>
      <c r="B172" s="618"/>
      <c r="C172" s="390"/>
      <c r="D172" s="393">
        <f t="shared" si="72"/>
        <v>0</v>
      </c>
      <c r="E172" s="385">
        <f t="shared" si="73"/>
        <v>0</v>
      </c>
      <c r="F172" s="385">
        <f t="shared" si="74"/>
        <v>0</v>
      </c>
      <c r="G172" s="110">
        <f t="shared" si="75"/>
        <v>0</v>
      </c>
      <c r="I172" s="380">
        <f t="shared" si="48"/>
        <v>0</v>
      </c>
      <c r="J172" s="85">
        <v>2018</v>
      </c>
      <c r="K172" s="197">
        <f t="shared" si="49"/>
        <v>43258</v>
      </c>
      <c r="L172" s="436">
        <f t="shared" si="50"/>
        <v>3.2848813041197467E-4</v>
      </c>
      <c r="M172" s="968"/>
      <c r="N172" s="968"/>
      <c r="O172" s="324">
        <f t="shared" si="51"/>
        <v>1.9736652559640064E-3</v>
      </c>
      <c r="P172" s="169">
        <f>(INDEX(Models!$BJ172:$BT172,,T172)*(1-R172)+INDEX(Models!$BJ172:$BT172,,T172+1)*R172-ERP_i)*Q172*Ramure*Pc/MaxiM</f>
        <v>5.5707933587619603E-4</v>
      </c>
      <c r="Q172" s="305">
        <f t="shared" si="52"/>
        <v>0.7</v>
      </c>
      <c r="R172" s="177">
        <f t="shared" si="53"/>
        <v>0.23435456117721576</v>
      </c>
      <c r="S172" s="919">
        <f t="shared" si="70"/>
        <v>-2</v>
      </c>
      <c r="T172" s="176">
        <f t="shared" si="54"/>
        <v>4</v>
      </c>
      <c r="U172" s="251">
        <f t="shared" si="55"/>
        <v>-1.7656454388227842</v>
      </c>
      <c r="V172" s="383">
        <f t="shared" si="56"/>
        <v>59.226934508986361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5">
        <f t="shared" si="62"/>
        <v>1.9736652559640064E-3</v>
      </c>
      <c r="AD172" s="169">
        <f>(INDEX(Models!$BJ172:$BT172,,AH172)*(1-AF172)+INDEX(Models!$BJ172:$BT172,,AH172+1)*AF172-ERP_i)*AE172*Ramure*Pc/MaxiM</f>
        <v>5.5707933587619603E-4</v>
      </c>
      <c r="AE172" s="305">
        <f t="shared" si="63"/>
        <v>0.7</v>
      </c>
      <c r="AF172" s="177">
        <f t="shared" si="64"/>
        <v>0.23435456117721576</v>
      </c>
      <c r="AG172" s="919">
        <f t="shared" si="65"/>
        <v>-2</v>
      </c>
      <c r="AH172" s="176">
        <f t="shared" si="66"/>
        <v>4</v>
      </c>
      <c r="AI172" s="225">
        <f t="shared" si="67"/>
        <v>-1.7656454388227842</v>
      </c>
      <c r="AJ172" s="265" t="b">
        <f t="shared" si="68"/>
        <v>0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1"/>
        <v>43259</v>
      </c>
      <c r="B173" s="618"/>
      <c r="C173" s="390"/>
      <c r="D173" s="393">
        <f t="shared" si="72"/>
        <v>0</v>
      </c>
      <c r="E173" s="385">
        <f t="shared" si="73"/>
        <v>0</v>
      </c>
      <c r="F173" s="385">
        <f t="shared" si="74"/>
        <v>0</v>
      </c>
      <c r="G173" s="110">
        <f t="shared" si="75"/>
        <v>0</v>
      </c>
      <c r="I173" s="380">
        <f t="shared" si="48"/>
        <v>0</v>
      </c>
      <c r="J173" s="85">
        <v>2018</v>
      </c>
      <c r="K173" s="197">
        <f t="shared" si="49"/>
        <v>43259</v>
      </c>
      <c r="L173" s="436">
        <f t="shared" si="50"/>
        <v>3.5038350211114011E-4</v>
      </c>
      <c r="M173" s="968"/>
      <c r="N173" s="968"/>
      <c r="O173" s="324">
        <f t="shared" si="51"/>
        <v>2.1055763515055431E-3</v>
      </c>
      <c r="P173" s="169">
        <f>(INDEX(Models!$BJ173:$BT173,,T173)*(1-R173)+INDEX(Models!$BJ173:$BT173,,T173+1)*R173-ERP_i)*Q173*Ramure*Pc/MaxiM</f>
        <v>5.8184696187027474E-4</v>
      </c>
      <c r="Q173" s="305">
        <f t="shared" si="52"/>
        <v>0.7</v>
      </c>
      <c r="R173" s="177">
        <f t="shared" si="53"/>
        <v>0.23948666713048228</v>
      </c>
      <c r="S173" s="919">
        <f t="shared" si="70"/>
        <v>-2</v>
      </c>
      <c r="T173" s="176">
        <f t="shared" si="54"/>
        <v>4</v>
      </c>
      <c r="U173" s="251">
        <f t="shared" si="55"/>
        <v>-1.7605133328695177</v>
      </c>
      <c r="V173" s="383">
        <f t="shared" si="56"/>
        <v>59.171840019628483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5">
        <f t="shared" si="62"/>
        <v>2.1055763515055431E-3</v>
      </c>
      <c r="AD173" s="169">
        <f>(INDEX(Models!$BJ173:$BT173,,AH173)*(1-AF173)+INDEX(Models!$BJ173:$BT173,,AH173+1)*AF173-ERP_i)*AE173*Ramure*Pc/MaxiM</f>
        <v>5.8184696187027474E-4</v>
      </c>
      <c r="AE173" s="305">
        <f t="shared" si="63"/>
        <v>0.7</v>
      </c>
      <c r="AF173" s="177">
        <f t="shared" si="64"/>
        <v>0.23948666713048228</v>
      </c>
      <c r="AG173" s="919">
        <f t="shared" si="65"/>
        <v>-2</v>
      </c>
      <c r="AH173" s="176">
        <f t="shared" si="66"/>
        <v>4</v>
      </c>
      <c r="AI173" s="225">
        <f t="shared" si="67"/>
        <v>-1.7605133328695177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1"/>
        <v>43260</v>
      </c>
      <c r="B174" s="618"/>
      <c r="C174" s="390"/>
      <c r="D174" s="393">
        <f t="shared" si="72"/>
        <v>0</v>
      </c>
      <c r="E174" s="385">
        <f t="shared" si="73"/>
        <v>0</v>
      </c>
      <c r="F174" s="385">
        <f t="shared" si="74"/>
        <v>0</v>
      </c>
      <c r="G174" s="110">
        <f t="shared" si="75"/>
        <v>0</v>
      </c>
      <c r="I174" s="380">
        <f t="shared" si="48"/>
        <v>0</v>
      </c>
      <c r="J174" s="85">
        <v>2018</v>
      </c>
      <c r="K174" s="197">
        <f t="shared" si="49"/>
        <v>43260</v>
      </c>
      <c r="L174" s="436">
        <f t="shared" si="50"/>
        <v>3.7227839424558429E-4</v>
      </c>
      <c r="M174" s="968"/>
      <c r="N174" s="968"/>
      <c r="O174" s="324">
        <f t="shared" si="51"/>
        <v>2.2375027479414507E-3</v>
      </c>
      <c r="P174" s="169">
        <f>(INDEX(Models!$BJ174:$BT174,,T174)*(1-R174)+INDEX(Models!$BJ174:$BT174,,T174+1)*R174-ERP_i)*Q174*Ramure*Pc/MaxiM</f>
        <v>6.0668349704560921E-4</v>
      </c>
      <c r="Q174" s="305">
        <f t="shared" si="52"/>
        <v>0.7</v>
      </c>
      <c r="R174" s="177">
        <f t="shared" si="53"/>
        <v>0.24462744177478801</v>
      </c>
      <c r="S174" s="919">
        <f t="shared" si="70"/>
        <v>-2</v>
      </c>
      <c r="T174" s="176">
        <f t="shared" si="54"/>
        <v>4</v>
      </c>
      <c r="U174" s="251">
        <f t="shared" si="55"/>
        <v>-1.755372558225212</v>
      </c>
      <c r="V174" s="383">
        <f t="shared" si="56"/>
        <v>59.113572770682801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5">
        <f t="shared" si="62"/>
        <v>2.2375027479414507E-3</v>
      </c>
      <c r="AD174" s="169">
        <f>(INDEX(Models!$BJ174:$BT174,,AH174)*(1-AF174)+INDEX(Models!$BJ174:$BT174,,AH174+1)*AF174-ERP_i)*AE174*Ramure*Pc/MaxiM</f>
        <v>6.0668349704560921E-4</v>
      </c>
      <c r="AE174" s="305">
        <f t="shared" si="63"/>
        <v>0.7</v>
      </c>
      <c r="AF174" s="177">
        <f t="shared" si="64"/>
        <v>0.24462744177478801</v>
      </c>
      <c r="AG174" s="919">
        <f t="shared" si="65"/>
        <v>-2</v>
      </c>
      <c r="AH174" s="176">
        <f t="shared" si="66"/>
        <v>4</v>
      </c>
      <c r="AI174" s="225">
        <f t="shared" si="67"/>
        <v>-1.755372558225212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1"/>
        <v>43261</v>
      </c>
      <c r="B175" s="618"/>
      <c r="C175" s="390"/>
      <c r="D175" s="393">
        <f t="shared" si="72"/>
        <v>0</v>
      </c>
      <c r="E175" s="385">
        <f t="shared" si="73"/>
        <v>0</v>
      </c>
      <c r="F175" s="385">
        <f t="shared" si="74"/>
        <v>0</v>
      </c>
      <c r="G175" s="110">
        <f t="shared" si="75"/>
        <v>0</v>
      </c>
      <c r="I175" s="380">
        <f t="shared" si="48"/>
        <v>0</v>
      </c>
      <c r="J175" s="85">
        <v>2018</v>
      </c>
      <c r="K175" s="197">
        <f t="shared" si="49"/>
        <v>43261</v>
      </c>
      <c r="L175" s="436">
        <f t="shared" si="50"/>
        <v>3.9417280682563227E-4</v>
      </c>
      <c r="M175" s="968"/>
      <c r="N175" s="968"/>
      <c r="O175" s="324">
        <f t="shared" si="51"/>
        <v>2.3694382768975979E-3</v>
      </c>
      <c r="P175" s="169">
        <f>(INDEX(Models!$BJ175:$BT175,,T175)*(1-R175)+INDEX(Models!$BJ175:$BT175,,T175+1)*R175-ERP_i)*Q175*Ramure*Pc/MaxiM</f>
        <v>6.3153579855192924E-4</v>
      </c>
      <c r="Q175" s="305">
        <f t="shared" si="52"/>
        <v>0.7</v>
      </c>
      <c r="R175" s="177">
        <f t="shared" si="53"/>
        <v>0.24977255808579968</v>
      </c>
      <c r="S175" s="919">
        <f t="shared" si="70"/>
        <v>-2</v>
      </c>
      <c r="T175" s="176">
        <f t="shared" si="54"/>
        <v>4</v>
      </c>
      <c r="U175" s="251">
        <f t="shared" si="55"/>
        <v>-1.7502274419142003</v>
      </c>
      <c r="V175" s="383">
        <f t="shared" si="56"/>
        <v>59.052030664701746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5">
        <f t="shared" si="62"/>
        <v>2.3694382768975979E-3</v>
      </c>
      <c r="AD175" s="169">
        <f>(INDEX(Models!$BJ175:$BT175,,AH175)*(1-AF175)+INDEX(Models!$BJ175:$BT175,,AH175+1)*AF175-ERP_i)*AE175*Ramure*Pc/MaxiM</f>
        <v>6.3153579855192924E-4</v>
      </c>
      <c r="AE175" s="305">
        <f t="shared" si="63"/>
        <v>0.7</v>
      </c>
      <c r="AF175" s="177">
        <f t="shared" si="64"/>
        <v>0.24977255808579968</v>
      </c>
      <c r="AG175" s="919">
        <f t="shared" si="65"/>
        <v>-2</v>
      </c>
      <c r="AH175" s="176">
        <f t="shared" si="66"/>
        <v>4</v>
      </c>
      <c r="AI175" s="225">
        <f t="shared" si="67"/>
        <v>-1.7502274419142003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1"/>
        <v>43262</v>
      </c>
      <c r="B176" s="618"/>
      <c r="C176" s="390"/>
      <c r="D176" s="393">
        <f t="shared" si="72"/>
        <v>0</v>
      </c>
      <c r="E176" s="385">
        <f t="shared" si="73"/>
        <v>0</v>
      </c>
      <c r="F176" s="385">
        <f t="shared" si="74"/>
        <v>0</v>
      </c>
      <c r="G176" s="110">
        <f t="shared" si="75"/>
        <v>0</v>
      </c>
      <c r="I176" s="380">
        <f t="shared" si="48"/>
        <v>0</v>
      </c>
      <c r="J176" s="85">
        <v>2018</v>
      </c>
      <c r="K176" s="197">
        <f t="shared" si="49"/>
        <v>43262</v>
      </c>
      <c r="L176" s="436">
        <f t="shared" si="50"/>
        <v>4.160667398619422E-4</v>
      </c>
      <c r="M176" s="968"/>
      <c r="N176" s="968"/>
      <c r="O176" s="324">
        <f t="shared" si="51"/>
        <v>2.5013765242684286E-3</v>
      </c>
      <c r="P176" s="169">
        <f>(INDEX(Models!$BJ176:$BT176,,T176)*(1-R176)+INDEX(Models!$BJ176:$BT176,,T176+1)*R176-ERP_i)*Q176*Ramure*Pc/MaxiM</f>
        <v>6.563491153180358E-4</v>
      </c>
      <c r="Q176" s="305">
        <f t="shared" si="52"/>
        <v>0.7</v>
      </c>
      <c r="R176" s="177">
        <f t="shared" si="53"/>
        <v>0.25491767439681112</v>
      </c>
      <c r="S176" s="919">
        <f t="shared" si="70"/>
        <v>-2</v>
      </c>
      <c r="T176" s="176">
        <f t="shared" si="54"/>
        <v>4</v>
      </c>
      <c r="U176" s="251">
        <f t="shared" si="55"/>
        <v>-1.7450823256031889</v>
      </c>
      <c r="V176" s="383">
        <f t="shared" si="56"/>
        <v>58.987111779209165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5">
        <f t="shared" si="62"/>
        <v>2.5013765242684286E-3</v>
      </c>
      <c r="AD176" s="169">
        <f>(INDEX(Models!$BJ176:$BT176,,AH176)*(1-AF176)+INDEX(Models!$BJ176:$BT176,,AH176+1)*AF176-ERP_i)*AE176*Ramure*Pc/MaxiM</f>
        <v>6.563491153180358E-4</v>
      </c>
      <c r="AE176" s="305">
        <f t="shared" si="63"/>
        <v>0.7</v>
      </c>
      <c r="AF176" s="177">
        <f t="shared" si="64"/>
        <v>0.25491767439681112</v>
      </c>
      <c r="AG176" s="919">
        <f t="shared" si="65"/>
        <v>-2</v>
      </c>
      <c r="AH176" s="176">
        <f t="shared" si="66"/>
        <v>4</v>
      </c>
      <c r="AI176" s="225">
        <f t="shared" si="67"/>
        <v>-1.7450823256031889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1"/>
        <v>43263</v>
      </c>
      <c r="B177" s="618"/>
      <c r="C177" s="390"/>
      <c r="D177" s="393">
        <f t="shared" si="72"/>
        <v>0</v>
      </c>
      <c r="E177" s="385">
        <f t="shared" si="73"/>
        <v>0</v>
      </c>
      <c r="F177" s="385">
        <f t="shared" si="74"/>
        <v>0</v>
      </c>
      <c r="G177" s="110">
        <f t="shared" si="75"/>
        <v>0</v>
      </c>
      <c r="I177" s="380">
        <f t="shared" si="48"/>
        <v>0</v>
      </c>
      <c r="J177" s="85">
        <v>2018</v>
      </c>
      <c r="K177" s="197">
        <f t="shared" si="49"/>
        <v>43263</v>
      </c>
      <c r="L177" s="436">
        <f t="shared" si="50"/>
        <v>4.3796019336483916E-4</v>
      </c>
      <c r="M177" s="968"/>
      <c r="N177" s="968"/>
      <c r="O177" s="324">
        <f t="shared" si="51"/>
        <v>2.6333108601723693E-3</v>
      </c>
      <c r="P177" s="169">
        <f>(INDEX(Models!$BJ177:$BT177,,T177)*(1-R177)+INDEX(Models!$BJ177:$BT177,,T177+1)*R177-ERP_i)*Q177*Ramure*Pc/MaxiM</f>
        <v>6.8107493642347906E-4</v>
      </c>
      <c r="Q177" s="305">
        <f t="shared" si="52"/>
        <v>0.7</v>
      </c>
      <c r="R177" s="177">
        <f t="shared" si="53"/>
        <v>0.26005844904111708</v>
      </c>
      <c r="S177" s="919">
        <f t="shared" si="70"/>
        <v>-2</v>
      </c>
      <c r="T177" s="176">
        <f t="shared" si="54"/>
        <v>4</v>
      </c>
      <c r="U177" s="251">
        <f t="shared" si="55"/>
        <v>-1.7399415509588829</v>
      </c>
      <c r="V177" s="383">
        <f t="shared" si="56"/>
        <v>58.918052297811698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5">
        <f t="shared" si="62"/>
        <v>2.6333108601723693E-3</v>
      </c>
      <c r="AD177" s="169">
        <f>(INDEX(Models!$BJ177:$BT177,,AH177)*(1-AF177)+INDEX(Models!$BJ177:$BT177,,AH177+1)*AF177-ERP_i)*AE177*Ramure*Pc/MaxiM</f>
        <v>6.8107493642347906E-4</v>
      </c>
      <c r="AE177" s="305">
        <f t="shared" si="63"/>
        <v>0.7</v>
      </c>
      <c r="AF177" s="177">
        <f t="shared" si="64"/>
        <v>0.26005844904111708</v>
      </c>
      <c r="AG177" s="919">
        <f t="shared" si="65"/>
        <v>-2</v>
      </c>
      <c r="AH177" s="176">
        <f t="shared" si="66"/>
        <v>4</v>
      </c>
      <c r="AI177" s="225">
        <f t="shared" si="67"/>
        <v>-1.7399415509588829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1"/>
        <v>43264</v>
      </c>
      <c r="B178" s="618"/>
      <c r="C178" s="390"/>
      <c r="D178" s="393">
        <f t="shared" si="72"/>
        <v>0</v>
      </c>
      <c r="E178" s="385">
        <f t="shared" si="73"/>
        <v>0</v>
      </c>
      <c r="F178" s="385">
        <f t="shared" si="74"/>
        <v>0</v>
      </c>
      <c r="G178" s="110">
        <f t="shared" si="75"/>
        <v>0</v>
      </c>
      <c r="I178" s="380">
        <f t="shared" si="48"/>
        <v>0</v>
      </c>
      <c r="J178" s="85">
        <v>2018</v>
      </c>
      <c r="K178" s="197">
        <f t="shared" si="49"/>
        <v>43264</v>
      </c>
      <c r="L178" s="436">
        <f t="shared" si="50"/>
        <v>4.5985316734498127E-4</v>
      </c>
      <c r="M178" s="968"/>
      <c r="N178" s="968"/>
      <c r="O178" s="324">
        <f t="shared" si="51"/>
        <v>2.765234470215898E-3</v>
      </c>
      <c r="P178" s="169">
        <f>(INDEX(Models!$BJ178:$BT178,,T178)*(1-R178)+INDEX(Models!$BJ178:$BT178,,T178+1)*R178-ERP_i)*Q178*Ramure*Pc/MaxiM</f>
        <v>7.0532970029702337E-4</v>
      </c>
      <c r="Q178" s="305">
        <f t="shared" si="52"/>
        <v>0.7</v>
      </c>
      <c r="R178" s="177">
        <f t="shared" si="53"/>
        <v>0.2651905549943836</v>
      </c>
      <c r="S178" s="919">
        <f t="shared" si="70"/>
        <v>-2</v>
      </c>
      <c r="T178" s="176">
        <f t="shared" si="54"/>
        <v>4</v>
      </c>
      <c r="U178" s="251">
        <f t="shared" si="55"/>
        <v>-1.7348094450056164</v>
      </c>
      <c r="V178" s="383">
        <f t="shared" si="56"/>
        <v>58.844466237421123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5">
        <f t="shared" si="62"/>
        <v>2.765234470215898E-3</v>
      </c>
      <c r="AD178" s="169">
        <f>(INDEX(Models!$BJ178:$BT178,,AH178)*(1-AF178)+INDEX(Models!$BJ178:$BT178,,AH178+1)*AF178-ERP_i)*AE178*Ramure*Pc/MaxiM</f>
        <v>7.0532970029702337E-4</v>
      </c>
      <c r="AE178" s="305">
        <f t="shared" si="63"/>
        <v>0.7</v>
      </c>
      <c r="AF178" s="177">
        <f t="shared" si="64"/>
        <v>0.2651905549943836</v>
      </c>
      <c r="AG178" s="919">
        <f t="shared" si="65"/>
        <v>-2</v>
      </c>
      <c r="AH178" s="176">
        <f t="shared" si="66"/>
        <v>4</v>
      </c>
      <c r="AI178" s="225">
        <f t="shared" si="67"/>
        <v>-1.7348094450056164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43265</v>
      </c>
      <c r="B179" s="618"/>
      <c r="C179" s="390"/>
      <c r="D179" s="393">
        <f t="shared" si="72"/>
        <v>0</v>
      </c>
      <c r="E179" s="385">
        <f t="shared" si="73"/>
        <v>0</v>
      </c>
      <c r="F179" s="385">
        <f t="shared" si="74"/>
        <v>0</v>
      </c>
      <c r="G179" s="110">
        <f t="shared" si="75"/>
        <v>0</v>
      </c>
      <c r="I179" s="380">
        <f t="shared" si="48"/>
        <v>0</v>
      </c>
      <c r="J179" s="85">
        <v>2018</v>
      </c>
      <c r="K179" s="197">
        <f t="shared" si="49"/>
        <v>43265</v>
      </c>
      <c r="L179" s="436">
        <f t="shared" si="50"/>
        <v>4.8174566181280465E-4</v>
      </c>
      <c r="M179" s="968"/>
      <c r="N179" s="968"/>
      <c r="O179" s="324">
        <f t="shared" si="51"/>
        <v>2.897140387847638E-3</v>
      </c>
      <c r="P179" s="169">
        <f>(INDEX(Models!$BJ179:$BT179,,T179)*(1-R179)+INDEX(Models!$BJ179:$BT179,,T179+1)*R179-ERP_i)*Q179*Ramure*Pc/MaxiM</f>
        <v>7.2926229665700652E-4</v>
      </c>
      <c r="Q179" s="305">
        <f t="shared" si="52"/>
        <v>0.7</v>
      </c>
      <c r="R179" s="177">
        <f t="shared" si="53"/>
        <v>0.27030969441220942</v>
      </c>
      <c r="S179" s="919">
        <f t="shared" si="70"/>
        <v>-2</v>
      </c>
      <c r="T179" s="176">
        <f t="shared" si="54"/>
        <v>4</v>
      </c>
      <c r="U179" s="251">
        <f t="shared" si="55"/>
        <v>-1.7296903055877906</v>
      </c>
      <c r="V179" s="383">
        <f t="shared" si="56"/>
        <v>58.766776585678699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5">
        <f t="shared" si="62"/>
        <v>2.897140387847638E-3</v>
      </c>
      <c r="AD179" s="169">
        <f>(INDEX(Models!$BJ179:$BT179,,AH179)*(1-AF179)+INDEX(Models!$BJ179:$BT179,,AH179+1)*AF179-ERP_i)*AE179*Ramure*Pc/MaxiM</f>
        <v>7.2926229665700652E-4</v>
      </c>
      <c r="AE179" s="305">
        <f t="shared" si="63"/>
        <v>0.7</v>
      </c>
      <c r="AF179" s="177">
        <f t="shared" si="64"/>
        <v>0.27030969441220942</v>
      </c>
      <c r="AG179" s="919">
        <f t="shared" si="65"/>
        <v>-2</v>
      </c>
      <c r="AH179" s="176">
        <f t="shared" si="66"/>
        <v>4</v>
      </c>
      <c r="AI179" s="225">
        <f t="shared" si="67"/>
        <v>-1.7296903055877906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1"/>
        <v>43266</v>
      </c>
      <c r="B180" s="618"/>
      <c r="C180" s="390"/>
      <c r="D180" s="393">
        <f t="shared" si="72"/>
        <v>0</v>
      </c>
      <c r="E180" s="385">
        <f t="shared" si="73"/>
        <v>0</v>
      </c>
      <c r="F180" s="385">
        <f t="shared" si="74"/>
        <v>0</v>
      </c>
      <c r="G180" s="110">
        <f t="shared" si="75"/>
        <v>0</v>
      </c>
      <c r="I180" s="380">
        <f t="shared" si="48"/>
        <v>0</v>
      </c>
      <c r="J180" s="85">
        <v>2018</v>
      </c>
      <c r="K180" s="197">
        <f t="shared" si="49"/>
        <v>43266</v>
      </c>
      <c r="L180" s="436">
        <f t="shared" si="50"/>
        <v>5.0363767677874538E-4</v>
      </c>
      <c r="M180" s="968"/>
      <c r="N180" s="968"/>
      <c r="O180" s="324">
        <f t="shared" si="51"/>
        <v>3.029021527571001E-3</v>
      </c>
      <c r="P180" s="169">
        <f>(INDEX(Models!$BJ180:$BT180,,T180)*(1-R180)+INDEX(Models!$BJ180:$BT180,,T180+1)*R180-ERP_i)*Q180*Ramure*Pc/MaxiM</f>
        <v>7.5279979033279645E-4</v>
      </c>
      <c r="Q180" s="305">
        <f t="shared" si="52"/>
        <v>0.7</v>
      </c>
      <c r="R180" s="177">
        <f t="shared" si="53"/>
        <v>0.27541161295934957</v>
      </c>
      <c r="S180" s="919">
        <f t="shared" si="70"/>
        <v>-2</v>
      </c>
      <c r="T180" s="176">
        <f t="shared" si="54"/>
        <v>4</v>
      </c>
      <c r="U180" s="251">
        <f t="shared" si="55"/>
        <v>-1.7245883870406504</v>
      </c>
      <c r="V180" s="383">
        <f t="shared" si="56"/>
        <v>58.685419094227051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5">
        <f t="shared" si="62"/>
        <v>3.029021527571001E-3</v>
      </c>
      <c r="AD180" s="169">
        <f>(INDEX(Models!$BJ180:$BT180,,AH180)*(1-AF180)+INDEX(Models!$BJ180:$BT180,,AH180+1)*AF180-ERP_i)*AE180*Ramure*Pc/MaxiM</f>
        <v>7.5279979033279645E-4</v>
      </c>
      <c r="AE180" s="305">
        <f t="shared" si="63"/>
        <v>0.7</v>
      </c>
      <c r="AF180" s="177">
        <f t="shared" si="64"/>
        <v>0.27541161295934957</v>
      </c>
      <c r="AG180" s="919">
        <f t="shared" si="65"/>
        <v>-2</v>
      </c>
      <c r="AH180" s="176">
        <f t="shared" si="66"/>
        <v>4</v>
      </c>
      <c r="AI180" s="225">
        <f t="shared" si="67"/>
        <v>-1.7245883870406504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43267</v>
      </c>
      <c r="B181" s="618"/>
      <c r="C181" s="390"/>
      <c r="D181" s="393">
        <f t="shared" si="72"/>
        <v>0</v>
      </c>
      <c r="E181" s="385">
        <f t="shared" si="73"/>
        <v>0</v>
      </c>
      <c r="F181" s="385">
        <f t="shared" si="74"/>
        <v>0</v>
      </c>
      <c r="G181" s="110">
        <f t="shared" si="75"/>
        <v>0</v>
      </c>
      <c r="I181" s="380">
        <f t="shared" si="48"/>
        <v>0</v>
      </c>
      <c r="J181" s="85">
        <v>2018</v>
      </c>
      <c r="K181" s="197">
        <f t="shared" si="49"/>
        <v>43267</v>
      </c>
      <c r="L181" s="436">
        <f t="shared" si="50"/>
        <v>5.2552921225346161E-4</v>
      </c>
      <c r="M181" s="968"/>
      <c r="N181" s="968"/>
      <c r="O181" s="324">
        <f t="shared" si="51"/>
        <v>3.1608707187738682E-3</v>
      </c>
      <c r="P181" s="169">
        <f>(INDEX(Models!$BJ181:$BT181,,T181)*(1-R181)+INDEX(Models!$BJ181:$BT181,,T181+1)*R181-ERP_i)*Q181*Ramure*Pc/MaxiM</f>
        <v>7.758677965079378E-4</v>
      </c>
      <c r="Q181" s="305">
        <f t="shared" si="52"/>
        <v>0.7</v>
      </c>
      <c r="R181" s="177">
        <f t="shared" si="53"/>
        <v>0.28049211382962147</v>
      </c>
      <c r="S181" s="919">
        <f t="shared" si="70"/>
        <v>-2</v>
      </c>
      <c r="T181" s="176">
        <f t="shared" si="54"/>
        <v>4</v>
      </c>
      <c r="U181" s="251">
        <f t="shared" si="55"/>
        <v>-1.7195078861703785</v>
      </c>
      <c r="V181" s="383">
        <f t="shared" si="56"/>
        <v>58.600829261425389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5">
        <f t="shared" si="62"/>
        <v>3.1608707187738682E-3</v>
      </c>
      <c r="AD181" s="169">
        <f>(INDEX(Models!$BJ181:$BT181,,AH181)*(1-AF181)+INDEX(Models!$BJ181:$BT181,,AH181+1)*AF181-ERP_i)*AE181*Ramure*Pc/MaxiM</f>
        <v>7.758677965079378E-4</v>
      </c>
      <c r="AE181" s="305">
        <f t="shared" si="63"/>
        <v>0.7</v>
      </c>
      <c r="AF181" s="177">
        <f t="shared" si="64"/>
        <v>0.28049211382962147</v>
      </c>
      <c r="AG181" s="919">
        <f t="shared" si="65"/>
        <v>-2</v>
      </c>
      <c r="AH181" s="176">
        <f t="shared" si="66"/>
        <v>4</v>
      </c>
      <c r="AI181" s="225">
        <f t="shared" si="67"/>
        <v>-1.7195078861703785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43268</v>
      </c>
      <c r="B182" s="618"/>
      <c r="C182" s="390"/>
      <c r="D182" s="393">
        <f t="shared" si="72"/>
        <v>0</v>
      </c>
      <c r="E182" s="385">
        <f t="shared" si="73"/>
        <v>0</v>
      </c>
      <c r="F182" s="385">
        <f t="shared" si="74"/>
        <v>0</v>
      </c>
      <c r="G182" s="110">
        <f t="shared" si="75"/>
        <v>0</v>
      </c>
      <c r="I182" s="380">
        <f t="shared" si="48"/>
        <v>0</v>
      </c>
      <c r="J182" s="85">
        <v>2018</v>
      </c>
      <c r="K182" s="197">
        <f t="shared" si="49"/>
        <v>43268</v>
      </c>
      <c r="L182" s="436">
        <f t="shared" si="50"/>
        <v>5.4742026824727841E-4</v>
      </c>
      <c r="M182" s="968"/>
      <c r="N182" s="968"/>
      <c r="O182" s="324">
        <f t="shared" si="51"/>
        <v>3.2926807399253949E-3</v>
      </c>
      <c r="P182" s="169">
        <f>(INDEX(Models!$BJ182:$BT182,,T182)*(1-R182)+INDEX(Models!$BJ182:$BT182,,T182+1)*R182-ERP_i)*Q182*Ramure*Pc/MaxiM</f>
        <v>7.983907567824999E-4</v>
      </c>
      <c r="Q182" s="305">
        <f t="shared" si="52"/>
        <v>0.7</v>
      </c>
      <c r="R182" s="177">
        <f t="shared" si="53"/>
        <v>0.28554707135928115</v>
      </c>
      <c r="S182" s="919">
        <f t="shared" si="70"/>
        <v>-2</v>
      </c>
      <c r="T182" s="176">
        <f t="shared" si="54"/>
        <v>4</v>
      </c>
      <c r="U182" s="251">
        <f t="shared" si="55"/>
        <v>-1.7144529286407189</v>
      </c>
      <c r="V182" s="383">
        <f t="shared" si="56"/>
        <v>58.513442320613734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5">
        <f t="shared" si="62"/>
        <v>3.2926807399253949E-3</v>
      </c>
      <c r="AD182" s="169">
        <f>(INDEX(Models!$BJ182:$BT182,,AH182)*(1-AF182)+INDEX(Models!$BJ182:$BT182,,AH182+1)*AF182-ERP_i)*AE182*Ramure*Pc/MaxiM</f>
        <v>7.983907567824999E-4</v>
      </c>
      <c r="AE182" s="305">
        <f t="shared" si="63"/>
        <v>0.7</v>
      </c>
      <c r="AF182" s="177">
        <f t="shared" si="64"/>
        <v>0.28554707135928115</v>
      </c>
      <c r="AG182" s="919">
        <f t="shared" si="65"/>
        <v>-2</v>
      </c>
      <c r="AH182" s="176">
        <f t="shared" si="66"/>
        <v>4</v>
      </c>
      <c r="AI182" s="225">
        <f t="shared" si="67"/>
        <v>-1.7144529286407189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43269</v>
      </c>
      <c r="B183" s="618"/>
      <c r="C183" s="390"/>
      <c r="D183" s="393">
        <f t="shared" si="72"/>
        <v>0</v>
      </c>
      <c r="E183" s="385">
        <f t="shared" si="73"/>
        <v>0</v>
      </c>
      <c r="F183" s="385">
        <f t="shared" si="74"/>
        <v>0</v>
      </c>
      <c r="G183" s="110">
        <f t="shared" si="75"/>
        <v>0</v>
      </c>
      <c r="I183" s="380">
        <f t="shared" si="48"/>
        <v>0</v>
      </c>
      <c r="J183" s="85">
        <v>2018</v>
      </c>
      <c r="K183" s="197">
        <f t="shared" si="49"/>
        <v>43269</v>
      </c>
      <c r="L183" s="436">
        <f t="shared" si="50"/>
        <v>5.6931084477085392E-4</v>
      </c>
      <c r="M183" s="968"/>
      <c r="N183" s="968"/>
      <c r="O183" s="324">
        <f t="shared" si="51"/>
        <v>3.4244443528844088E-3</v>
      </c>
      <c r="P183" s="169">
        <f>(INDEX(Models!$BJ183:$BT183,,T183)*(1-R183)+INDEX(Models!$BJ183:$BT183,,T183+1)*R183-ERP_i)*Q183*Ramure*Pc/MaxiM</f>
        <v>8.2029222505193469E-4</v>
      </c>
      <c r="Q183" s="305">
        <f t="shared" si="52"/>
        <v>0.7</v>
      </c>
      <c r="R183" s="177">
        <f t="shared" si="53"/>
        <v>0.29057244414155314</v>
      </c>
      <c r="S183" s="919">
        <f t="shared" si="70"/>
        <v>-2</v>
      </c>
      <c r="T183" s="176">
        <f t="shared" si="54"/>
        <v>4</v>
      </c>
      <c r="U183" s="251">
        <f t="shared" si="55"/>
        <v>-1.7094275558584469</v>
      </c>
      <c r="V183" s="383">
        <f t="shared" si="56"/>
        <v>58.423693213212154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5">
        <f t="shared" si="62"/>
        <v>3.4244443528844088E-3</v>
      </c>
      <c r="AD183" s="169">
        <f>(INDEX(Models!$BJ183:$BT183,,AH183)*(1-AF183)+INDEX(Models!$BJ183:$BT183,,AH183+1)*AF183-ERP_i)*AE183*Ramure*Pc/MaxiM</f>
        <v>8.2029222505193469E-4</v>
      </c>
      <c r="AE183" s="305">
        <f t="shared" si="63"/>
        <v>0.7</v>
      </c>
      <c r="AF183" s="177">
        <f t="shared" si="64"/>
        <v>0.29057244414155314</v>
      </c>
      <c r="AG183" s="919">
        <f t="shared" si="65"/>
        <v>-2</v>
      </c>
      <c r="AH183" s="176">
        <f t="shared" si="66"/>
        <v>4</v>
      </c>
      <c r="AI183" s="225">
        <f t="shared" si="67"/>
        <v>-1.7094275558584469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43270</v>
      </c>
      <c r="B184" s="618"/>
      <c r="C184" s="390"/>
      <c r="D184" s="393">
        <f t="shared" si="72"/>
        <v>0</v>
      </c>
      <c r="E184" s="385">
        <f t="shared" si="73"/>
        <v>0</v>
      </c>
      <c r="F184" s="385">
        <f t="shared" si="74"/>
        <v>0</v>
      </c>
      <c r="G184" s="110">
        <f t="shared" si="75"/>
        <v>0</v>
      </c>
      <c r="I184" s="380">
        <f t="shared" si="48"/>
        <v>0</v>
      </c>
      <c r="J184" s="85">
        <v>2018</v>
      </c>
      <c r="K184" s="197">
        <f t="shared" si="49"/>
        <v>43270</v>
      </c>
      <c r="L184" s="436">
        <f t="shared" si="50"/>
        <v>5.9120094183462424E-4</v>
      </c>
      <c r="M184" s="968"/>
      <c r="N184" s="968"/>
      <c r="O184" s="324">
        <f t="shared" si="51"/>
        <v>3.5561543370605134E-3</v>
      </c>
      <c r="P184" s="169">
        <f>(INDEX(Models!$BJ184:$BT184,,T184)*(1-R184)+INDEX(Models!$BJ184:$BT184,,T184+1)*R184-ERP_i)*Q184*Ramure*Pc/MaxiM</f>
        <v>8.4111507910908162E-4</v>
      </c>
      <c r="Q184" s="305">
        <f t="shared" si="52"/>
        <v>0.7</v>
      </c>
      <c r="R184" s="177">
        <f t="shared" si="53"/>
        <v>0.29556428755596564</v>
      </c>
      <c r="S184" s="919">
        <f t="shared" si="70"/>
        <v>-2</v>
      </c>
      <c r="T184" s="176">
        <f t="shared" si="54"/>
        <v>4</v>
      </c>
      <c r="U184" s="251">
        <f t="shared" si="55"/>
        <v>-1.7044357124440344</v>
      </c>
      <c r="V184" s="383">
        <f t="shared" si="56"/>
        <v>58.332038764712237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5">
        <f t="shared" si="62"/>
        <v>3.5561543370605134E-3</v>
      </c>
      <c r="AD184" s="169">
        <f>(INDEX(Models!$BJ184:$BT184,,AH184)*(1-AF184)+INDEX(Models!$BJ184:$BT184,,AH184+1)*AF184-ERP_i)*AE184*Ramure*Pc/MaxiM</f>
        <v>8.4111507910908162E-4</v>
      </c>
      <c r="AE184" s="305">
        <f t="shared" si="63"/>
        <v>0.7</v>
      </c>
      <c r="AF184" s="177">
        <f t="shared" si="64"/>
        <v>0.29556428755596564</v>
      </c>
      <c r="AG184" s="919">
        <f t="shared" si="65"/>
        <v>-2</v>
      </c>
      <c r="AH184" s="176">
        <f t="shared" si="66"/>
        <v>4</v>
      </c>
      <c r="AI184" s="225">
        <f t="shared" si="67"/>
        <v>-1.7044357124440344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43271</v>
      </c>
      <c r="B185" s="618"/>
      <c r="C185" s="390"/>
      <c r="D185" s="393">
        <f t="shared" si="72"/>
        <v>0</v>
      </c>
      <c r="E185" s="385">
        <f t="shared" si="73"/>
        <v>0</v>
      </c>
      <c r="F185" s="385">
        <f t="shared" si="74"/>
        <v>0</v>
      </c>
      <c r="G185" s="110">
        <f t="shared" si="75"/>
        <v>0</v>
      </c>
      <c r="I185" s="380">
        <f t="shared" si="48"/>
        <v>0</v>
      </c>
      <c r="J185" s="85">
        <v>2018</v>
      </c>
      <c r="K185" s="197">
        <f t="shared" si="49"/>
        <v>43271</v>
      </c>
      <c r="L185" s="436">
        <f t="shared" si="50"/>
        <v>6.1309055944902546E-4</v>
      </c>
      <c r="M185" s="968"/>
      <c r="N185" s="968"/>
      <c r="O185" s="324">
        <f t="shared" si="51"/>
        <v>3.6878035231680986E-3</v>
      </c>
      <c r="P185" s="169">
        <f>(INDEX(Models!$BJ185:$BT185,,T185)*(1-R185)+INDEX(Models!$BJ185:$BT185,,T185+1)*R185-ERP_i)*Q185*Ramure*Pc/MaxiM</f>
        <v>8.6122753258837065E-4</v>
      </c>
      <c r="Q185" s="305">
        <f t="shared" si="52"/>
        <v>0.7</v>
      </c>
      <c r="R185" s="177">
        <f t="shared" si="53"/>
        <v>0.30051876563304791</v>
      </c>
      <c r="S185" s="919">
        <f t="shared" si="70"/>
        <v>-2</v>
      </c>
      <c r="T185" s="176">
        <f t="shared" si="54"/>
        <v>4</v>
      </c>
      <c r="U185" s="251">
        <f t="shared" si="55"/>
        <v>-1.6994812343669521</v>
      </c>
      <c r="V185" s="383">
        <f t="shared" si="56"/>
        <v>58.238887208520772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5">
        <f t="shared" si="62"/>
        <v>3.6878035231680986E-3</v>
      </c>
      <c r="AD185" s="169">
        <f>(INDEX(Models!$BJ185:$BT185,,AH185)*(1-AF185)+INDEX(Models!$BJ185:$BT185,,AH185+1)*AF185-ERP_i)*AE185*Ramure*Pc/MaxiM</f>
        <v>8.6122753258837065E-4</v>
      </c>
      <c r="AE185" s="305">
        <f t="shared" si="63"/>
        <v>0.7</v>
      </c>
      <c r="AF185" s="177">
        <f t="shared" si="64"/>
        <v>0.30051876563304791</v>
      </c>
      <c r="AG185" s="919">
        <f t="shared" si="65"/>
        <v>-2</v>
      </c>
      <c r="AH185" s="176">
        <f t="shared" si="66"/>
        <v>4</v>
      </c>
      <c r="AI185" s="225">
        <f t="shared" si="67"/>
        <v>-1.6994812343669521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43272</v>
      </c>
      <c r="B186" s="618"/>
      <c r="C186" s="390"/>
      <c r="D186" s="393">
        <f t="shared" si="72"/>
        <v>0</v>
      </c>
      <c r="E186" s="385">
        <f t="shared" si="73"/>
        <v>0</v>
      </c>
      <c r="F186" s="385">
        <f t="shared" si="74"/>
        <v>0</v>
      </c>
      <c r="G186" s="110">
        <f t="shared" si="75"/>
        <v>0</v>
      </c>
      <c r="I186" s="380">
        <f t="shared" si="48"/>
        <v>0</v>
      </c>
      <c r="J186" s="85">
        <v>2018</v>
      </c>
      <c r="K186" s="197">
        <f t="shared" si="49"/>
        <v>43272</v>
      </c>
      <c r="L186" s="436">
        <f t="shared" si="50"/>
        <v>6.3497969762471573E-4</v>
      </c>
      <c r="M186" s="968"/>
      <c r="N186" s="968"/>
      <c r="O186" s="324">
        <f t="shared" si="51"/>
        <v>3.8193848263155012E-3</v>
      </c>
      <c r="P186" s="169">
        <f>(INDEX(Models!$BJ186:$BT186,,T186)*(1-R186)+INDEX(Models!$BJ186:$BT186,,T186+1)*R186-ERP_i)*Q186*Ramure*Pc/MaxiM</f>
        <v>8.8055752400886843E-4</v>
      </c>
      <c r="Q186" s="305">
        <f t="shared" si="52"/>
        <v>0.7</v>
      </c>
      <c r="R186" s="177">
        <f t="shared" si="53"/>
        <v>0.30543216218267455</v>
      </c>
      <c r="S186" s="919">
        <f t="shared" si="70"/>
        <v>-2</v>
      </c>
      <c r="T186" s="176">
        <f t="shared" si="54"/>
        <v>4</v>
      </c>
      <c r="U186" s="251">
        <f t="shared" si="55"/>
        <v>-1.6945678378173255</v>
      </c>
      <c r="V186" s="383">
        <f t="shared" si="56"/>
        <v>58.144672220237169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5">
        <f t="shared" si="62"/>
        <v>3.8193848263155012E-3</v>
      </c>
      <c r="AD186" s="169">
        <f>(INDEX(Models!$BJ186:$BT186,,AH186)*(1-AF186)+INDEX(Models!$BJ186:$BT186,,AH186+1)*AF186-ERP_i)*AE186*Ramure*Pc/MaxiM</f>
        <v>8.8055752400886843E-4</v>
      </c>
      <c r="AE186" s="305">
        <f t="shared" si="63"/>
        <v>0.7</v>
      </c>
      <c r="AF186" s="177">
        <f t="shared" si="64"/>
        <v>0.30543216218267455</v>
      </c>
      <c r="AG186" s="919">
        <f t="shared" si="65"/>
        <v>-2</v>
      </c>
      <c r="AH186" s="176">
        <f t="shared" si="66"/>
        <v>4</v>
      </c>
      <c r="AI186" s="225">
        <f t="shared" si="67"/>
        <v>-1.6945678378173255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43273</v>
      </c>
      <c r="B187" s="618"/>
      <c r="C187" s="390"/>
      <c r="D187" s="393">
        <f t="shared" si="72"/>
        <v>0</v>
      </c>
      <c r="E187" s="385">
        <f t="shared" si="73"/>
        <v>0</v>
      </c>
      <c r="F187" s="385">
        <f t="shared" si="74"/>
        <v>0</v>
      </c>
      <c r="G187" s="110">
        <f t="shared" si="75"/>
        <v>0</v>
      </c>
      <c r="I187" s="380">
        <f t="shared" si="48"/>
        <v>0</v>
      </c>
      <c r="J187" s="85">
        <v>2018</v>
      </c>
      <c r="K187" s="197">
        <f t="shared" si="49"/>
        <v>43273</v>
      </c>
      <c r="L187" s="436">
        <f t="shared" si="50"/>
        <v>6.5686835637202012E-4</v>
      </c>
      <c r="M187" s="968"/>
      <c r="N187" s="968"/>
      <c r="O187" s="324">
        <f t="shared" si="51"/>
        <v>3.9508912781754434E-3</v>
      </c>
      <c r="P187" s="169">
        <f>(INDEX(Models!$BJ187:$BT187,,T187)*(1-R187)+INDEX(Models!$BJ187:$BT187,,T187+1)*R187-ERP_i)*Q187*Ramure*Pc/MaxiM</f>
        <v>8.9903328418810397E-4</v>
      </c>
      <c r="Q187" s="305">
        <f t="shared" si="52"/>
        <v>0.7</v>
      </c>
      <c r="R187" s="177">
        <f t="shared" si="53"/>
        <v>0.31030089112276227</v>
      </c>
      <c r="S187" s="919">
        <f t="shared" si="70"/>
        <v>-2</v>
      </c>
      <c r="T187" s="176">
        <f t="shared" si="54"/>
        <v>4</v>
      </c>
      <c r="U187" s="251">
        <f t="shared" si="55"/>
        <v>-1.6896991088772377</v>
      </c>
      <c r="V187" s="383">
        <f t="shared" si="56"/>
        <v>58.049827119183718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5">
        <f t="shared" si="62"/>
        <v>3.9508912781754434E-3</v>
      </c>
      <c r="AD187" s="169">
        <f>(INDEX(Models!$BJ187:$BT187,,AH187)*(1-AF187)+INDEX(Models!$BJ187:$BT187,,AH187+1)*AF187-ERP_i)*AE187*Ramure*Pc/MaxiM</f>
        <v>8.9903328418810397E-4</v>
      </c>
      <c r="AE187" s="305">
        <f t="shared" si="63"/>
        <v>0.7</v>
      </c>
      <c r="AF187" s="177">
        <f t="shared" si="64"/>
        <v>0.31030089112276227</v>
      </c>
      <c r="AG187" s="919">
        <f t="shared" si="65"/>
        <v>-2</v>
      </c>
      <c r="AH187" s="176">
        <f t="shared" si="66"/>
        <v>4</v>
      </c>
      <c r="AI187" s="225">
        <f t="shared" si="67"/>
        <v>-1.6896991088772377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1"/>
        <v>43274</v>
      </c>
      <c r="B188" s="618"/>
      <c r="C188" s="390"/>
      <c r="D188" s="393">
        <f t="shared" si="72"/>
        <v>0</v>
      </c>
      <c r="E188" s="385">
        <f t="shared" si="73"/>
        <v>0</v>
      </c>
      <c r="F188" s="385">
        <f t="shared" si="74"/>
        <v>0</v>
      </c>
      <c r="G188" s="110">
        <f t="shared" si="75"/>
        <v>0</v>
      </c>
      <c r="I188" s="380">
        <f t="shared" si="48"/>
        <v>0</v>
      </c>
      <c r="J188" s="85">
        <v>2018</v>
      </c>
      <c r="K188" s="197">
        <f t="shared" si="49"/>
        <v>43274</v>
      </c>
      <c r="L188" s="436">
        <f t="shared" si="50"/>
        <v>6.7875653570159677E-4</v>
      </c>
      <c r="M188" s="968"/>
      <c r="N188" s="968"/>
      <c r="O188" s="324">
        <f t="shared" si="51"/>
        <v>4.0823160579902236E-3</v>
      </c>
      <c r="P188" s="169">
        <f>(INDEX(Models!$BJ188:$BT188,,T188)*(1-R188)+INDEX(Models!$BJ188:$BT188,,T188+1)*R188-ERP_i)*Q188*Ramure*Pc/MaxiM</f>
        <v>9.1657424103331036E-4</v>
      </c>
      <c r="Q188" s="305">
        <f t="shared" si="52"/>
        <v>0.7</v>
      </c>
      <c r="R188" s="177">
        <f t="shared" si="53"/>
        <v>0.31512150595398425</v>
      </c>
      <c r="S188" s="919">
        <f t="shared" si="70"/>
        <v>-2</v>
      </c>
      <c r="T188" s="176">
        <f t="shared" si="54"/>
        <v>4</v>
      </c>
      <c r="U188" s="251">
        <f t="shared" si="55"/>
        <v>-1.6848784940460158</v>
      </c>
      <c r="V188" s="383">
        <f t="shared" si="56"/>
        <v>57.954785398063663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5">
        <f t="shared" si="62"/>
        <v>4.0823160579902236E-3</v>
      </c>
      <c r="AD188" s="169">
        <f>(INDEX(Models!$BJ188:$BT188,,AH188)*(1-AF188)+INDEX(Models!$BJ188:$BT188,,AH188+1)*AF188-ERP_i)*AE188*Ramure*Pc/MaxiM</f>
        <v>9.1657424103331036E-4</v>
      </c>
      <c r="AE188" s="305">
        <f t="shared" si="63"/>
        <v>0.7</v>
      </c>
      <c r="AF188" s="177">
        <f t="shared" si="64"/>
        <v>0.31512150595398425</v>
      </c>
      <c r="AG188" s="919">
        <f t="shared" si="65"/>
        <v>-2</v>
      </c>
      <c r="AH188" s="176">
        <f t="shared" si="66"/>
        <v>4</v>
      </c>
      <c r="AI188" s="225">
        <f t="shared" si="67"/>
        <v>-1.6848784940460158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43275</v>
      </c>
      <c r="B189" s="618"/>
      <c r="C189" s="390"/>
      <c r="D189" s="393">
        <f t="shared" si="72"/>
        <v>0</v>
      </c>
      <c r="E189" s="385">
        <f t="shared" si="73"/>
        <v>0</v>
      </c>
      <c r="F189" s="385">
        <f t="shared" si="74"/>
        <v>0</v>
      </c>
      <c r="G189" s="110">
        <f t="shared" si="75"/>
        <v>0</v>
      </c>
      <c r="I189" s="380">
        <f t="shared" si="48"/>
        <v>0</v>
      </c>
      <c r="J189" s="85">
        <v>2018</v>
      </c>
      <c r="K189" s="197">
        <f t="shared" si="49"/>
        <v>43275</v>
      </c>
      <c r="L189" s="436">
        <f t="shared" si="50"/>
        <v>7.0064423562377076E-4</v>
      </c>
      <c r="M189" s="968"/>
      <c r="N189" s="968"/>
      <c r="O189" s="324">
        <f t="shared" si="51"/>
        <v>4.2136525221742188E-3</v>
      </c>
      <c r="P189" s="169">
        <f>(INDEX(Models!$BJ189:$BT189,,T189)*(1-R189)+INDEX(Models!$BJ189:$BT189,,T189+1)*R189-ERP_i)*Q189*Ramure*Pc/MaxiM</f>
        <v>9.3309948422030389E-4</v>
      </c>
      <c r="Q189" s="305">
        <f t="shared" si="52"/>
        <v>0.7</v>
      </c>
      <c r="R189" s="177">
        <f t="shared" si="53"/>
        <v>0.31989070833552669</v>
      </c>
      <c r="S189" s="919">
        <f t="shared" si="70"/>
        <v>-2</v>
      </c>
      <c r="T189" s="176">
        <f t="shared" si="54"/>
        <v>4</v>
      </c>
      <c r="U189" s="251">
        <f t="shared" si="55"/>
        <v>-1.6801092916644733</v>
      </c>
      <c r="V189" s="383">
        <f t="shared" si="56"/>
        <v>57.859980229093267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5">
        <f t="shared" si="62"/>
        <v>4.2136525221742188E-3</v>
      </c>
      <c r="AD189" s="169">
        <f>(INDEX(Models!$BJ189:$BT189,,AH189)*(1-AF189)+INDEX(Models!$BJ189:$BT189,,AH189+1)*AF189-ERP_i)*AE189*Ramure*Pc/MaxiM</f>
        <v>9.3309948422030389E-4</v>
      </c>
      <c r="AE189" s="305">
        <f t="shared" si="63"/>
        <v>0.7</v>
      </c>
      <c r="AF189" s="177">
        <f t="shared" si="64"/>
        <v>0.31989070833552669</v>
      </c>
      <c r="AG189" s="919">
        <f t="shared" si="65"/>
        <v>-2</v>
      </c>
      <c r="AH189" s="176">
        <f t="shared" si="66"/>
        <v>4</v>
      </c>
      <c r="AI189" s="225">
        <f t="shared" si="67"/>
        <v>-1.6801092916644733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43276</v>
      </c>
      <c r="B190" s="618"/>
      <c r="C190" s="390"/>
      <c r="D190" s="393">
        <f t="shared" si="72"/>
        <v>0</v>
      </c>
      <c r="E190" s="385">
        <f t="shared" si="73"/>
        <v>0</v>
      </c>
      <c r="F190" s="385">
        <f t="shared" si="74"/>
        <v>0</v>
      </c>
      <c r="G190" s="110">
        <f t="shared" si="75"/>
        <v>0</v>
      </c>
      <c r="I190" s="380">
        <f t="shared" si="48"/>
        <v>0</v>
      </c>
      <c r="J190" s="85">
        <v>2018</v>
      </c>
      <c r="K190" s="197">
        <f t="shared" si="49"/>
        <v>43276</v>
      </c>
      <c r="L190" s="436">
        <f t="shared" si="50"/>
        <v>7.2253145614920022E-4</v>
      </c>
      <c r="M190" s="968"/>
      <c r="N190" s="968"/>
      <c r="O190" s="324">
        <f t="shared" si="51"/>
        <v>4.3448942322881767E-3</v>
      </c>
      <c r="P190" s="169">
        <f>(INDEX(Models!$BJ190:$BT190,,T190)*(1-R190)+INDEX(Models!$BJ190:$BT190,,T190+1)*R190-ERP_i)*Q190*Ramure*Pc/MaxiM</f>
        <v>9.4853805819574029E-4</v>
      </c>
      <c r="Q190" s="305">
        <f t="shared" si="52"/>
        <v>0.7</v>
      </c>
      <c r="R190" s="177">
        <f t="shared" si="53"/>
        <v>0.32460535572650251</v>
      </c>
      <c r="S190" s="919">
        <f t="shared" si="70"/>
        <v>-2</v>
      </c>
      <c r="T190" s="176">
        <f t="shared" si="54"/>
        <v>4</v>
      </c>
      <c r="U190" s="251">
        <f t="shared" si="55"/>
        <v>-1.6753946442734975</v>
      </c>
      <c r="V190" s="383">
        <f t="shared" si="56"/>
        <v>57.765843873644776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5">
        <f t="shared" si="62"/>
        <v>4.3448942322881767E-3</v>
      </c>
      <c r="AD190" s="169">
        <f>(INDEX(Models!$BJ190:$BT190,,AH190)*(1-AF190)+INDEX(Models!$BJ190:$BT190,,AH190+1)*AF190-ERP_i)*AE190*Ramure*Pc/MaxiM</f>
        <v>9.4853805819574029E-4</v>
      </c>
      <c r="AE190" s="305">
        <f t="shared" si="63"/>
        <v>0.7</v>
      </c>
      <c r="AF190" s="177">
        <f t="shared" si="64"/>
        <v>0.32460535572650251</v>
      </c>
      <c r="AG190" s="919">
        <f t="shared" si="65"/>
        <v>-2</v>
      </c>
      <c r="AH190" s="176">
        <f t="shared" si="66"/>
        <v>4</v>
      </c>
      <c r="AI190" s="225">
        <f t="shared" si="67"/>
        <v>-1.6753946442734975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43277</v>
      </c>
      <c r="B191" s="618"/>
      <c r="C191" s="390"/>
      <c r="D191" s="393">
        <f t="shared" si="72"/>
        <v>0</v>
      </c>
      <c r="E191" s="385">
        <f t="shared" si="73"/>
        <v>0</v>
      </c>
      <c r="F191" s="385">
        <f t="shared" si="74"/>
        <v>0</v>
      </c>
      <c r="G191" s="110">
        <f t="shared" si="75"/>
        <v>0</v>
      </c>
      <c r="I191" s="380">
        <f t="shared" si="48"/>
        <v>0</v>
      </c>
      <c r="J191" s="85">
        <v>2018</v>
      </c>
      <c r="K191" s="197">
        <f t="shared" si="49"/>
        <v>43277</v>
      </c>
      <c r="L191" s="436">
        <f t="shared" si="50"/>
        <v>7.4441819728832126E-4</v>
      </c>
      <c r="M191" s="968"/>
      <c r="N191" s="968"/>
      <c r="O191" s="324">
        <f t="shared" si="51"/>
        <v>4.4760349811736972E-3</v>
      </c>
      <c r="P191" s="169">
        <f>(INDEX(Models!$BJ191:$BT191,,T191)*(1-R191)+INDEX(Models!$BJ191:$BT191,,T191+1)*R191-ERP_i)*Q191*Ramure*Pc/MaxiM</f>
        <v>9.6283834714740017E-4</v>
      </c>
      <c r="Q191" s="305">
        <f t="shared" si="52"/>
        <v>0.7</v>
      </c>
      <c r="R191" s="177">
        <f t="shared" si="53"/>
        <v>0.32926246806733461</v>
      </c>
      <c r="S191" s="919">
        <f t="shared" si="70"/>
        <v>-2</v>
      </c>
      <c r="T191" s="176">
        <f t="shared" si="54"/>
        <v>4</v>
      </c>
      <c r="U191" s="251">
        <f t="shared" si="55"/>
        <v>-1.6707375319326654</v>
      </c>
      <c r="V191" s="383">
        <f t="shared" si="56"/>
        <v>57.671736902078749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5">
        <f t="shared" si="62"/>
        <v>4.4760349811736972E-3</v>
      </c>
      <c r="AD191" s="169">
        <f>(INDEX(Models!$BJ191:$BT191,,AH191)*(1-AF191)+INDEX(Models!$BJ191:$BT191,,AH191+1)*AF191-ERP_i)*AE191*Ramure*Pc/MaxiM</f>
        <v>9.6283834714740017E-4</v>
      </c>
      <c r="AE191" s="305">
        <f t="shared" si="63"/>
        <v>0.7</v>
      </c>
      <c r="AF191" s="177">
        <f t="shared" si="64"/>
        <v>0.32926246806733461</v>
      </c>
      <c r="AG191" s="919">
        <f t="shared" si="65"/>
        <v>-2</v>
      </c>
      <c r="AH191" s="176">
        <f t="shared" si="66"/>
        <v>4</v>
      </c>
      <c r="AI191" s="225">
        <f t="shared" si="67"/>
        <v>-1.6707375319326654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1"/>
        <v>43278</v>
      </c>
      <c r="B192" s="618"/>
      <c r="C192" s="390"/>
      <c r="D192" s="393">
        <f t="shared" si="72"/>
        <v>0</v>
      </c>
      <c r="E192" s="385">
        <f t="shared" si="73"/>
        <v>0</v>
      </c>
      <c r="F192" s="385">
        <f t="shared" si="74"/>
        <v>0</v>
      </c>
      <c r="G192" s="110">
        <f t="shared" si="75"/>
        <v>0</v>
      </c>
      <c r="I192" s="380">
        <f t="shared" si="48"/>
        <v>0</v>
      </c>
      <c r="J192" s="85">
        <v>2018</v>
      </c>
      <c r="K192" s="197">
        <f t="shared" si="49"/>
        <v>43278</v>
      </c>
      <c r="L192" s="436">
        <f t="shared" si="50"/>
        <v>7.6630445905168099E-4</v>
      </c>
      <c r="M192" s="968"/>
      <c r="N192" s="968"/>
      <c r="O192" s="324">
        <f t="shared" si="51"/>
        <v>4.6070688170530135E-3</v>
      </c>
      <c r="P192" s="169">
        <f>(INDEX(Models!$BJ192:$BT192,,T192)*(1-R192)+INDEX(Models!$BJ192:$BT192,,T192+1)*R192-ERP_i)*Q192*Ramure*Pc/MaxiM</f>
        <v>9.7541848237021867E-4</v>
      </c>
      <c r="Q192" s="305">
        <f t="shared" si="52"/>
        <v>0.7</v>
      </c>
      <c r="R192" s="177">
        <f t="shared" si="53"/>
        <v>0.33385923348505187</v>
      </c>
      <c r="S192" s="919">
        <f t="shared" si="70"/>
        <v>-2</v>
      </c>
      <c r="T192" s="176">
        <f t="shared" si="54"/>
        <v>4</v>
      </c>
      <c r="U192" s="251">
        <f t="shared" si="55"/>
        <v>-1.6661407665149481</v>
      </c>
      <c r="V192" s="383">
        <f t="shared" si="56"/>
        <v>57.5767654902332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5">
        <f t="shared" si="62"/>
        <v>4.6070688170530135E-3</v>
      </c>
      <c r="AD192" s="169">
        <f>(INDEX(Models!$BJ192:$BT192,,AH192)*(1-AF192)+INDEX(Models!$BJ192:$BT192,,AH192+1)*AF192-ERP_i)*AE192*Ramure*Pc/MaxiM</f>
        <v>9.7541848237021867E-4</v>
      </c>
      <c r="AE192" s="305">
        <f t="shared" si="63"/>
        <v>0.7</v>
      </c>
      <c r="AF192" s="177">
        <f t="shared" si="64"/>
        <v>0.33385923348505187</v>
      </c>
      <c r="AG192" s="919">
        <f t="shared" si="65"/>
        <v>-2</v>
      </c>
      <c r="AH192" s="176">
        <f t="shared" si="66"/>
        <v>4</v>
      </c>
      <c r="AI192" s="225">
        <f t="shared" si="67"/>
        <v>-1.6661407665149481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43279</v>
      </c>
      <c r="B193" s="618"/>
      <c r="C193" s="390"/>
      <c r="D193" s="393">
        <f t="shared" si="72"/>
        <v>0</v>
      </c>
      <c r="E193" s="385">
        <f t="shared" si="73"/>
        <v>0</v>
      </c>
      <c r="F193" s="385">
        <f t="shared" si="74"/>
        <v>0</v>
      </c>
      <c r="G193" s="110">
        <f t="shared" si="75"/>
        <v>0</v>
      </c>
      <c r="I193" s="380">
        <f t="shared" si="48"/>
        <v>0</v>
      </c>
      <c r="J193" s="85">
        <v>2018</v>
      </c>
      <c r="K193" s="197">
        <f t="shared" si="49"/>
        <v>43279</v>
      </c>
      <c r="L193" s="436">
        <f t="shared" si="50"/>
        <v>7.881902414497155E-4</v>
      </c>
      <c r="M193" s="968"/>
      <c r="N193" s="968"/>
      <c r="O193" s="324">
        <f t="shared" si="51"/>
        <v>4.73799006541702E-3</v>
      </c>
      <c r="P193" s="169">
        <f>(INDEX(Models!$BJ193:$BT193,,T193)*(1-R193)+INDEX(Models!$BJ193:$BT193,,T193+1)*R193-ERP_i)*Q193*Ramure*Pc/MaxiM</f>
        <v>9.8664573103760217E-4</v>
      </c>
      <c r="Q193" s="305">
        <f t="shared" si="52"/>
        <v>0.7</v>
      </c>
      <c r="R193" s="177">
        <f t="shared" si="53"/>
        <v>0.33839301301588143</v>
      </c>
      <c r="S193" s="919">
        <f t="shared" si="70"/>
        <v>-2</v>
      </c>
      <c r="T193" s="176">
        <f t="shared" si="54"/>
        <v>4</v>
      </c>
      <c r="U193" s="251">
        <f t="shared" si="55"/>
        <v>-1.6616069869841186</v>
      </c>
      <c r="V193" s="383">
        <f t="shared" si="56"/>
        <v>57.480908814912027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5">
        <f t="shared" si="62"/>
        <v>4.73799006541702E-3</v>
      </c>
      <c r="AD193" s="169">
        <f>(INDEX(Models!$BJ193:$BT193,,AH193)*(1-AF193)+INDEX(Models!$BJ193:$BT193,,AH193+1)*AF193-ERP_i)*AE193*Ramure*Pc/MaxiM</f>
        <v>9.8664573103760217E-4</v>
      </c>
      <c r="AE193" s="305">
        <f t="shared" si="63"/>
        <v>0.7</v>
      </c>
      <c r="AF193" s="177">
        <f t="shared" si="64"/>
        <v>0.33839301301588143</v>
      </c>
      <c r="AG193" s="919">
        <f t="shared" si="65"/>
        <v>-2</v>
      </c>
      <c r="AH193" s="176">
        <f t="shared" si="66"/>
        <v>4</v>
      </c>
      <c r="AI193" s="225">
        <f t="shared" si="67"/>
        <v>-1.6616069869841186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1"/>
        <v>43280</v>
      </c>
      <c r="B194" s="618"/>
      <c r="C194" s="390"/>
      <c r="D194" s="393">
        <f t="shared" si="72"/>
        <v>0</v>
      </c>
      <c r="E194" s="385">
        <f t="shared" si="73"/>
        <v>0</v>
      </c>
      <c r="F194" s="385">
        <f t="shared" si="74"/>
        <v>0</v>
      </c>
      <c r="G194" s="110">
        <f t="shared" si="75"/>
        <v>0</v>
      </c>
      <c r="I194" s="380">
        <f t="shared" si="48"/>
        <v>0</v>
      </c>
      <c r="J194" s="85">
        <v>2018</v>
      </c>
      <c r="K194" s="197">
        <f t="shared" si="49"/>
        <v>43280</v>
      </c>
      <c r="L194" s="436">
        <f t="shared" si="50"/>
        <v>8.100755444928609E-4</v>
      </c>
      <c r="M194" s="968"/>
      <c r="N194" s="968"/>
      <c r="O194" s="324">
        <f t="shared" si="51"/>
        <v>4.8687933485448438E-3</v>
      </c>
      <c r="P194" s="169">
        <f>(INDEX(Models!$BJ194:$BT194,,T194)*(1-R194)+INDEX(Models!$BJ194:$BT194,,T194+1)*R194-ERP_i)*Q194*Ramure*Pc/MaxiM</f>
        <v>9.9646116287951253E-4</v>
      </c>
      <c r="Q194" s="305">
        <f t="shared" si="52"/>
        <v>0.7</v>
      </c>
      <c r="R194" s="177">
        <f t="shared" si="53"/>
        <v>0.34286134434765358</v>
      </c>
      <c r="S194" s="919">
        <f t="shared" si="70"/>
        <v>-2</v>
      </c>
      <c r="T194" s="176">
        <f t="shared" si="54"/>
        <v>4</v>
      </c>
      <c r="U194" s="251">
        <f t="shared" si="55"/>
        <v>-1.6571386556523464</v>
      </c>
      <c r="V194" s="383">
        <f t="shared" si="56"/>
        <v>57.384170644290073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5">
        <f t="shared" si="62"/>
        <v>4.8687933485448438E-3</v>
      </c>
      <c r="AD194" s="169">
        <f>(INDEX(Models!$BJ194:$BT194,,AH194)*(1-AF194)+INDEX(Models!$BJ194:$BT194,,AH194+1)*AF194-ERP_i)*AE194*Ramure*Pc/MaxiM</f>
        <v>9.9646116287951253E-4</v>
      </c>
      <c r="AE194" s="305">
        <f t="shared" si="63"/>
        <v>0.7</v>
      </c>
      <c r="AF194" s="177">
        <f t="shared" si="64"/>
        <v>0.34286134434765358</v>
      </c>
      <c r="AG194" s="919">
        <f t="shared" si="65"/>
        <v>-2</v>
      </c>
      <c r="AH194" s="176">
        <f t="shared" si="66"/>
        <v>4</v>
      </c>
      <c r="AI194" s="225">
        <f t="shared" si="67"/>
        <v>-1.6571386556523464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1"/>
        <v>43281</v>
      </c>
      <c r="B195" s="618"/>
      <c r="C195" s="390"/>
      <c r="D195" s="393">
        <f t="shared" si="72"/>
        <v>0</v>
      </c>
      <c r="E195" s="385">
        <f t="shared" si="73"/>
        <v>0</v>
      </c>
      <c r="F195" s="385">
        <f t="shared" si="74"/>
        <v>0</v>
      </c>
      <c r="G195" s="110">
        <f t="shared" si="75"/>
        <v>0</v>
      </c>
      <c r="I195" s="380">
        <f t="shared" si="48"/>
        <v>0</v>
      </c>
      <c r="J195" s="85">
        <v>2018</v>
      </c>
      <c r="K195" s="197">
        <f t="shared" si="49"/>
        <v>43281</v>
      </c>
      <c r="L195" s="436">
        <f t="shared" si="50"/>
        <v>8.3196036819188635E-4</v>
      </c>
      <c r="M195" s="968"/>
      <c r="N195" s="968"/>
      <c r="O195" s="324">
        <f t="shared" si="51"/>
        <v>4.9994736025200772E-3</v>
      </c>
      <c r="P195" s="169">
        <f>(INDEX(Models!$BJ195:$BT195,,T195)*(1-R195)+INDEX(Models!$BJ195:$BT195,,T195+1)*R195-ERP_i)*Q195*Ramure*Pc/MaxiM</f>
        <v>1.0048083907813969E-3</v>
      </c>
      <c r="Q195" s="305">
        <f t="shared" si="52"/>
        <v>0.7</v>
      </c>
      <c r="R195" s="177">
        <f t="shared" si="53"/>
        <v>0.34726194459320925</v>
      </c>
      <c r="S195" s="919">
        <f t="shared" si="70"/>
        <v>-2</v>
      </c>
      <c r="T195" s="176">
        <f t="shared" si="54"/>
        <v>4</v>
      </c>
      <c r="U195" s="251">
        <f t="shared" si="55"/>
        <v>-1.6527380554067908</v>
      </c>
      <c r="V195" s="383">
        <f t="shared" si="56"/>
        <v>57.286554550799693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5">
        <f t="shared" si="62"/>
        <v>4.9994736025200772E-3</v>
      </c>
      <c r="AD195" s="169">
        <f>(INDEX(Models!$BJ195:$BT195,,AH195)*(1-AF195)+INDEX(Models!$BJ195:$BT195,,AH195+1)*AF195-ERP_i)*AE195*Ramure*Pc/MaxiM</f>
        <v>1.0048083907813969E-3</v>
      </c>
      <c r="AE195" s="305">
        <f t="shared" si="63"/>
        <v>0.7</v>
      </c>
      <c r="AF195" s="177">
        <f t="shared" si="64"/>
        <v>0.34726194459320925</v>
      </c>
      <c r="AG195" s="919">
        <f t="shared" si="65"/>
        <v>-2</v>
      </c>
      <c r="AH195" s="176">
        <f t="shared" si="66"/>
        <v>4</v>
      </c>
      <c r="AI195" s="225">
        <f t="shared" si="67"/>
        <v>-1.6527380554067908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1"/>
        <v>43282</v>
      </c>
      <c r="B196" s="618"/>
      <c r="C196" s="390"/>
      <c r="D196" s="393">
        <f t="shared" si="72"/>
        <v>0</v>
      </c>
      <c r="E196" s="385">
        <f t="shared" si="73"/>
        <v>0</v>
      </c>
      <c r="F196" s="385">
        <f t="shared" si="74"/>
        <v>0</v>
      </c>
      <c r="G196" s="110">
        <f t="shared" si="75"/>
        <v>0</v>
      </c>
      <c r="I196" s="380">
        <f t="shared" si="48"/>
        <v>0</v>
      </c>
      <c r="J196" s="85">
        <v>2018</v>
      </c>
      <c r="K196" s="197">
        <f t="shared" si="49"/>
        <v>43282</v>
      </c>
      <c r="L196" s="436">
        <f t="shared" si="50"/>
        <v>8.5384471255689487E-4</v>
      </c>
      <c r="M196" s="968"/>
      <c r="N196" s="968"/>
      <c r="O196" s="324">
        <f t="shared" si="51"/>
        <v>5.1300260916320008E-3</v>
      </c>
      <c r="P196" s="169">
        <f>(INDEX(Models!$BJ196:$BT196,,T196)*(1-R196)+INDEX(Models!$BJ196:$BT196,,T196+1)*R196-ERP_i)*Q196*Ramure*Pc/MaxiM</f>
        <v>1.0116336637965655E-3</v>
      </c>
      <c r="Q196" s="305">
        <f t="shared" si="52"/>
        <v>0.7</v>
      </c>
      <c r="R196" s="177">
        <f t="shared" si="53"/>
        <v>0.35159271211415222</v>
      </c>
      <c r="S196" s="919">
        <f t="shared" si="70"/>
        <v>-2</v>
      </c>
      <c r="T196" s="176">
        <f t="shared" si="54"/>
        <v>4</v>
      </c>
      <c r="U196" s="251">
        <f t="shared" si="55"/>
        <v>-1.6484072878858478</v>
      </c>
      <c r="V196" s="383">
        <f t="shared" si="56"/>
        <v>57.188063903551054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5">
        <f t="shared" si="62"/>
        <v>5.1300260916320008E-3</v>
      </c>
      <c r="AD196" s="169">
        <f>(INDEX(Models!$BJ196:$BT196,,AH196)*(1-AF196)+INDEX(Models!$BJ196:$BT196,,AH196+1)*AF196-ERP_i)*AE196*Ramure*Pc/MaxiM</f>
        <v>1.0116336637965655E-3</v>
      </c>
      <c r="AE196" s="305">
        <f t="shared" si="63"/>
        <v>0.7</v>
      </c>
      <c r="AF196" s="177">
        <f t="shared" si="64"/>
        <v>0.35159271211415222</v>
      </c>
      <c r="AG196" s="919">
        <f t="shared" si="65"/>
        <v>-2</v>
      </c>
      <c r="AH196" s="176">
        <f t="shared" si="66"/>
        <v>4</v>
      </c>
      <c r="AI196" s="225">
        <f t="shared" si="67"/>
        <v>-1.6484072878858478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1"/>
        <v>43283</v>
      </c>
      <c r="B197" s="618">
        <v>5.8369999999999997</v>
      </c>
      <c r="C197" s="390"/>
      <c r="D197" s="393">
        <f t="shared" ref="D197:D206" si="76">Wh/(1-Ppv)</f>
        <v>5.842116108029451</v>
      </c>
      <c r="E197" s="385">
        <f t="shared" ref="E197:E232" si="77">Wh_pvt/(1-Psa)</f>
        <v>5.8730107664910953</v>
      </c>
      <c r="F197" s="385">
        <f t="shared" ref="F197:F228" si="78">Wh_sa/(1-Pvg*MEDIAN((-Sdif+Wh/Env_an)/Csdif,0,1))</f>
        <v>5.8730107664910953</v>
      </c>
      <c r="G197" s="110">
        <f t="shared" ref="G197:G232" si="79">+Wh_hp/MaxiM</f>
        <v>0.10214042790024766</v>
      </c>
      <c r="I197" s="380">
        <f t="shared" si="48"/>
        <v>5.8730107664910953</v>
      </c>
      <c r="J197" s="85">
        <v>2018</v>
      </c>
      <c r="K197" s="197">
        <f t="shared" si="49"/>
        <v>43283</v>
      </c>
      <c r="L197" s="436">
        <f t="shared" si="50"/>
        <v>8.7572857759876666E-4</v>
      </c>
      <c r="M197" s="968"/>
      <c r="N197" s="968"/>
      <c r="O197" s="324">
        <f t="shared" si="51"/>
        <v>5.2604464200740747E-3</v>
      </c>
      <c r="P197" s="169">
        <f>(INDEX(Models!$BJ197:$BT197,,T197)*(1-R197)+INDEX(Models!$BJ197:$BT197,,T197+1)*R197-ERP_i)*Q197*Ramure*Pc/MaxiM</f>
        <v>1.0168859358867116E-3</v>
      </c>
      <c r="Q197" s="305">
        <f t="shared" si="52"/>
        <v>0.7</v>
      </c>
      <c r="R197" s="177">
        <f t="shared" si="53"/>
        <v>0.35585172742181292</v>
      </c>
      <c r="S197" s="919">
        <f t="shared" si="70"/>
        <v>-2</v>
      </c>
      <c r="T197" s="176">
        <f t="shared" si="54"/>
        <v>4</v>
      </c>
      <c r="U197" s="251">
        <f t="shared" si="55"/>
        <v>-1.6441482725781871</v>
      </c>
      <c r="V197" s="383">
        <f t="shared" si="56"/>
        <v>57.088701865308032</v>
      </c>
      <c r="W197" s="58"/>
      <c r="X197" s="157">
        <f t="shared" si="57"/>
        <v>43283</v>
      </c>
      <c r="Y197" s="385">
        <f t="shared" si="58"/>
        <v>5.8369999999999997</v>
      </c>
      <c r="Z197" s="385">
        <f t="shared" si="59"/>
        <v>5.842116108029451</v>
      </c>
      <c r="AA197" s="386">
        <f t="shared" si="60"/>
        <v>5.8730107664910953</v>
      </c>
      <c r="AB197" s="197">
        <f t="shared" si="61"/>
        <v>43283</v>
      </c>
      <c r="AC197" s="425">
        <f t="shared" si="62"/>
        <v>5.2604464200740747E-3</v>
      </c>
      <c r="AD197" s="169">
        <f>(INDEX(Models!$BJ197:$BT197,,AH197)*(1-AF197)+INDEX(Models!$BJ197:$BT197,,AH197+1)*AF197-ERP_i)*AE197*Ramure*Pc/MaxiM</f>
        <v>1.0168859358867116E-3</v>
      </c>
      <c r="AE197" s="305">
        <f t="shared" si="63"/>
        <v>0.7</v>
      </c>
      <c r="AF197" s="177">
        <f t="shared" si="64"/>
        <v>0.35585172742181292</v>
      </c>
      <c r="AG197" s="919">
        <f t="shared" si="65"/>
        <v>-2</v>
      </c>
      <c r="AH197" s="176">
        <f t="shared" si="66"/>
        <v>4</v>
      </c>
      <c r="AI197" s="225">
        <f t="shared" si="67"/>
        <v>-1.6441482725781871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1"/>
        <v>43284</v>
      </c>
      <c r="B198" s="618">
        <v>48.012999999999998</v>
      </c>
      <c r="C198" s="390"/>
      <c r="D198" s="393">
        <f t="shared" si="76"/>
        <v>48.056135762371603</v>
      </c>
      <c r="E198" s="385">
        <f t="shared" si="77"/>
        <v>48.316597520255335</v>
      </c>
      <c r="F198" s="385">
        <f t="shared" si="78"/>
        <v>48.354828805513115</v>
      </c>
      <c r="G198" s="110">
        <f t="shared" si="79"/>
        <v>0.84230991003789135</v>
      </c>
      <c r="I198" s="380">
        <f t="shared" si="48"/>
        <v>48.354828805513115</v>
      </c>
      <c r="J198" s="85">
        <v>2018</v>
      </c>
      <c r="K198" s="197">
        <f t="shared" si="49"/>
        <v>43284</v>
      </c>
      <c r="L198" s="436">
        <f t="shared" si="50"/>
        <v>8.9761196332771576E-4</v>
      </c>
      <c r="M198" s="968"/>
      <c r="N198" s="968"/>
      <c r="O198" s="324">
        <f t="shared" si="51"/>
        <v>5.390730540877537E-3</v>
      </c>
      <c r="P198" s="169">
        <f>(INDEX(Models!$BJ198:$BT198,,T198)*(1-R198)+INDEX(Models!$BJ198:$BT198,,T198+1)*R198-ERP_i)*Q198*Ramure*Pc/MaxiM</f>
        <v>1.0201747887082877E-3</v>
      </c>
      <c r="Q198" s="305">
        <f t="shared" si="52"/>
        <v>0.7</v>
      </c>
      <c r="R198" s="177">
        <f t="shared" si="53"/>
        <v>0.3600372531891094</v>
      </c>
      <c r="S198" s="919">
        <f t="shared" si="70"/>
        <v>-2</v>
      </c>
      <c r="T198" s="176">
        <f t="shared" si="54"/>
        <v>4</v>
      </c>
      <c r="U198" s="251">
        <f t="shared" si="55"/>
        <v>-1.6399627468108906</v>
      </c>
      <c r="V198" s="383">
        <f t="shared" si="56"/>
        <v>56.988490907134882</v>
      </c>
      <c r="W198" s="58"/>
      <c r="X198" s="157">
        <f t="shared" si="57"/>
        <v>43284</v>
      </c>
      <c r="Y198" s="385">
        <f t="shared" si="58"/>
        <v>48.012999999999998</v>
      </c>
      <c r="Z198" s="385">
        <f t="shared" si="59"/>
        <v>48.056135762371603</v>
      </c>
      <c r="AA198" s="386">
        <f t="shared" si="60"/>
        <v>48.316597520255335</v>
      </c>
      <c r="AB198" s="197">
        <f t="shared" si="61"/>
        <v>43284</v>
      </c>
      <c r="AC198" s="425">
        <f t="shared" si="62"/>
        <v>5.390730540877537E-3</v>
      </c>
      <c r="AD198" s="169">
        <f>(INDEX(Models!$BJ198:$BT198,,AH198)*(1-AF198)+INDEX(Models!$BJ198:$BT198,,AH198+1)*AF198-ERP_i)*AE198*Ramure*Pc/MaxiM</f>
        <v>1.0201747887082877E-3</v>
      </c>
      <c r="AE198" s="305">
        <f t="shared" si="63"/>
        <v>0.7</v>
      </c>
      <c r="AF198" s="177">
        <f t="shared" si="64"/>
        <v>0.3600372531891094</v>
      </c>
      <c r="AG198" s="919">
        <f t="shared" si="65"/>
        <v>-2</v>
      </c>
      <c r="AH198" s="176">
        <f t="shared" si="66"/>
        <v>4</v>
      </c>
      <c r="AI198" s="225">
        <f t="shared" si="67"/>
        <v>-1.6399627468108906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1"/>
        <v>43285</v>
      </c>
      <c r="B199" s="618">
        <v>46.865000000000002</v>
      </c>
      <c r="C199" s="390"/>
      <c r="D199" s="393">
        <f t="shared" si="76"/>
        <v>46.908131786527477</v>
      </c>
      <c r="E199" s="385">
        <f t="shared" si="77"/>
        <v>47.168543407387688</v>
      </c>
      <c r="F199" s="385">
        <f t="shared" si="78"/>
        <v>47.204642190231617</v>
      </c>
      <c r="G199" s="110">
        <f t="shared" si="79"/>
        <v>0.82360824426848289</v>
      </c>
      <c r="I199" s="380">
        <f t="shared" si="48"/>
        <v>47.204642190231617</v>
      </c>
      <c r="J199" s="85">
        <v>2018</v>
      </c>
      <c r="K199" s="197">
        <f t="shared" si="49"/>
        <v>43285</v>
      </c>
      <c r="L199" s="436">
        <f t="shared" si="50"/>
        <v>9.1949486975440031E-4</v>
      </c>
      <c r="M199" s="968"/>
      <c r="N199" s="968"/>
      <c r="O199" s="324">
        <f t="shared" si="51"/>
        <v>5.5208747620438146E-3</v>
      </c>
      <c r="P199" s="169">
        <f>(INDEX(Models!$BJ199:$BT199,,T199)*(1-R199)+INDEX(Models!$BJ199:$BT199,,T199+1)*R199-ERP_i)*Q199*Ramure*Pc/MaxiM</f>
        <v>1.0219356871585283E-3</v>
      </c>
      <c r="Q199" s="305">
        <f t="shared" si="52"/>
        <v>0.7</v>
      </c>
      <c r="R199" s="177">
        <f t="shared" si="53"/>
        <v>0.36414773341306628</v>
      </c>
      <c r="S199" s="919">
        <f t="shared" si="70"/>
        <v>-2</v>
      </c>
      <c r="T199" s="176">
        <f t="shared" si="54"/>
        <v>4</v>
      </c>
      <c r="U199" s="251">
        <f t="shared" si="55"/>
        <v>-1.6358522665869337</v>
      </c>
      <c r="V199" s="383">
        <f t="shared" si="56"/>
        <v>56.887406280147928</v>
      </c>
      <c r="W199" s="58"/>
      <c r="X199" s="157">
        <f t="shared" si="57"/>
        <v>43285</v>
      </c>
      <c r="Y199" s="385">
        <f t="shared" si="58"/>
        <v>46.865000000000002</v>
      </c>
      <c r="Z199" s="385">
        <f t="shared" si="59"/>
        <v>46.908131786527477</v>
      </c>
      <c r="AA199" s="386">
        <f t="shared" si="60"/>
        <v>47.168543407387688</v>
      </c>
      <c r="AB199" s="197">
        <f t="shared" si="61"/>
        <v>43285</v>
      </c>
      <c r="AC199" s="425">
        <f t="shared" si="62"/>
        <v>5.5208747620438146E-3</v>
      </c>
      <c r="AD199" s="169">
        <f>(INDEX(Models!$BJ199:$BT199,,AH199)*(1-AF199)+INDEX(Models!$BJ199:$BT199,,AH199+1)*AF199-ERP_i)*AE199*Ramure*Pc/MaxiM</f>
        <v>1.0219356871585283E-3</v>
      </c>
      <c r="AE199" s="305">
        <f t="shared" si="63"/>
        <v>0.7</v>
      </c>
      <c r="AF199" s="177">
        <f t="shared" si="64"/>
        <v>0.36414773341306628</v>
      </c>
      <c r="AG199" s="919">
        <f t="shared" si="65"/>
        <v>-2</v>
      </c>
      <c r="AH199" s="176">
        <f t="shared" si="66"/>
        <v>4</v>
      </c>
      <c r="AI199" s="225">
        <f t="shared" si="67"/>
        <v>-1.6358522665869337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1"/>
        <v>43286</v>
      </c>
      <c r="B200" s="618">
        <v>40.027000000000001</v>
      </c>
      <c r="C200" s="390"/>
      <c r="D200" s="393">
        <f t="shared" si="76"/>
        <v>40.064716014061958</v>
      </c>
      <c r="E200" s="385">
        <f t="shared" si="77"/>
        <v>40.29240337922139</v>
      </c>
      <c r="F200" s="385">
        <f t="shared" si="78"/>
        <v>40.316238468378849</v>
      </c>
      <c r="G200" s="110">
        <f t="shared" si="79"/>
        <v>0.70457733201458117</v>
      </c>
      <c r="I200" s="380">
        <f t="shared" si="48"/>
        <v>40.316238468378849</v>
      </c>
      <c r="J200" s="85">
        <v>2018</v>
      </c>
      <c r="K200" s="197">
        <f t="shared" si="49"/>
        <v>43286</v>
      </c>
      <c r="L200" s="436">
        <f t="shared" si="50"/>
        <v>9.4137729688936744E-4</v>
      </c>
      <c r="M200" s="968"/>
      <c r="N200" s="968"/>
      <c r="O200" s="324">
        <f t="shared" si="51"/>
        <v>5.6508757498652147E-3</v>
      </c>
      <c r="P200" s="169">
        <f>(INDEX(Models!$BJ200:$BT200,,T200)*(1-R200)+INDEX(Models!$BJ200:$BT200,,T200+1)*R200-ERP_i)*Q200*Ramure*Pc/MaxiM</f>
        <v>1.0221323497353549E-3</v>
      </c>
      <c r="Q200" s="305">
        <f t="shared" si="52"/>
        <v>0.7</v>
      </c>
      <c r="R200" s="177">
        <f t="shared" si="53"/>
        <v>0.36818179177304033</v>
      </c>
      <c r="S200" s="919">
        <f t="shared" si="70"/>
        <v>-2</v>
      </c>
      <c r="T200" s="176">
        <f t="shared" si="54"/>
        <v>4</v>
      </c>
      <c r="U200" s="251">
        <f t="shared" si="55"/>
        <v>-1.6318182082269597</v>
      </c>
      <c r="V200" s="383">
        <f t="shared" si="56"/>
        <v>56.785450194528849</v>
      </c>
      <c r="W200" s="58"/>
      <c r="X200" s="157">
        <f t="shared" si="57"/>
        <v>43286</v>
      </c>
      <c r="Y200" s="385">
        <f t="shared" si="58"/>
        <v>40.027000000000001</v>
      </c>
      <c r="Z200" s="385">
        <f t="shared" si="59"/>
        <v>40.064716014061958</v>
      </c>
      <c r="AA200" s="386">
        <f t="shared" si="60"/>
        <v>40.29240337922139</v>
      </c>
      <c r="AB200" s="197">
        <f t="shared" si="61"/>
        <v>43286</v>
      </c>
      <c r="AC200" s="425">
        <f t="shared" si="62"/>
        <v>5.6508757498652147E-3</v>
      </c>
      <c r="AD200" s="169">
        <f>(INDEX(Models!$BJ200:$BT200,,AH200)*(1-AF200)+INDEX(Models!$BJ200:$BT200,,AH200+1)*AF200-ERP_i)*AE200*Ramure*Pc/MaxiM</f>
        <v>1.0221323497353549E-3</v>
      </c>
      <c r="AE200" s="305">
        <f t="shared" si="63"/>
        <v>0.7</v>
      </c>
      <c r="AF200" s="177">
        <f t="shared" si="64"/>
        <v>0.36818179177304033</v>
      </c>
      <c r="AG200" s="919">
        <f t="shared" si="65"/>
        <v>-2</v>
      </c>
      <c r="AH200" s="176">
        <f t="shared" si="66"/>
        <v>4</v>
      </c>
      <c r="AI200" s="225">
        <f t="shared" si="67"/>
        <v>-1.6318182082269597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1"/>
        <v>43287</v>
      </c>
      <c r="B201" s="618">
        <v>42.344999999999999</v>
      </c>
      <c r="C201" s="390"/>
      <c r="D201" s="393">
        <f t="shared" si="76"/>
        <v>42.385828541188381</v>
      </c>
      <c r="E201" s="385">
        <f t="shared" si="77"/>
        <v>42.63227423037177</v>
      </c>
      <c r="F201" s="385">
        <f t="shared" si="78"/>
        <v>42.660083865209849</v>
      </c>
      <c r="G201" s="110">
        <f t="shared" si="79"/>
        <v>0.74677860168490173</v>
      </c>
      <c r="I201" s="380">
        <f t="shared" si="48"/>
        <v>42.660083865209849</v>
      </c>
      <c r="J201" s="85">
        <v>2018</v>
      </c>
      <c r="K201" s="197">
        <f t="shared" si="49"/>
        <v>43287</v>
      </c>
      <c r="L201" s="436">
        <f t="shared" si="50"/>
        <v>9.632592447428312E-4</v>
      </c>
      <c r="M201" s="968"/>
      <c r="N201" s="968"/>
      <c r="O201" s="324">
        <f t="shared" si="51"/>
        <v>5.7807305294498654E-3</v>
      </c>
      <c r="P201" s="169">
        <f>(INDEX(Models!$BJ201:$BT201,,T201)*(1-R201)+INDEX(Models!$BJ201:$BT201,,T201+1)*R201-ERP_i)*Q201*Ramure*Pc/MaxiM</f>
        <v>1.0207310339539978E-3</v>
      </c>
      <c r="Q201" s="305">
        <f t="shared" si="52"/>
        <v>0.7</v>
      </c>
      <c r="R201" s="177">
        <f t="shared" si="53"/>
        <v>0.3721382292341664</v>
      </c>
      <c r="S201" s="919">
        <f t="shared" si="70"/>
        <v>-2</v>
      </c>
      <c r="T201" s="176">
        <f t="shared" si="54"/>
        <v>4</v>
      </c>
      <c r="U201" s="251">
        <f t="shared" si="55"/>
        <v>-1.6278617707658336</v>
      </c>
      <c r="V201" s="383">
        <f t="shared" si="56"/>
        <v>56.682624670527247</v>
      </c>
      <c r="W201" s="58"/>
      <c r="X201" s="157">
        <f t="shared" si="57"/>
        <v>43287</v>
      </c>
      <c r="Y201" s="385">
        <f t="shared" si="58"/>
        <v>42.344999999999999</v>
      </c>
      <c r="Z201" s="385">
        <f t="shared" si="59"/>
        <v>42.385828541188381</v>
      </c>
      <c r="AA201" s="386">
        <f t="shared" si="60"/>
        <v>42.63227423037177</v>
      </c>
      <c r="AB201" s="197">
        <f t="shared" si="61"/>
        <v>43287</v>
      </c>
      <c r="AC201" s="425">
        <f t="shared" si="62"/>
        <v>5.7807305294498654E-3</v>
      </c>
      <c r="AD201" s="169">
        <f>(INDEX(Models!$BJ201:$BT201,,AH201)*(1-AF201)+INDEX(Models!$BJ201:$BT201,,AH201+1)*AF201-ERP_i)*AE201*Ramure*Pc/MaxiM</f>
        <v>1.0207310339539978E-3</v>
      </c>
      <c r="AE201" s="305">
        <f t="shared" si="63"/>
        <v>0.7</v>
      </c>
      <c r="AF201" s="177">
        <f t="shared" si="64"/>
        <v>0.3721382292341664</v>
      </c>
      <c r="AG201" s="919">
        <f t="shared" si="65"/>
        <v>-2</v>
      </c>
      <c r="AH201" s="176">
        <f t="shared" si="66"/>
        <v>4</v>
      </c>
      <c r="AI201" s="225">
        <f t="shared" si="67"/>
        <v>-1.6278617707658336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1"/>
        <v>43288</v>
      </c>
      <c r="B202" s="618">
        <v>56.539000000000001</v>
      </c>
      <c r="C202" s="390"/>
      <c r="D202" s="393">
        <f t="shared" si="76"/>
        <v>56.594753796125204</v>
      </c>
      <c r="E202" s="385">
        <f t="shared" si="77"/>
        <v>56.931242287535085</v>
      </c>
      <c r="F202" s="385">
        <f t="shared" si="78"/>
        <v>56.989181729783134</v>
      </c>
      <c r="G202" s="110">
        <f t="shared" si="79"/>
        <v>0.99929320661320442</v>
      </c>
      <c r="I202" s="380">
        <f t="shared" si="48"/>
        <v>56.989181729783134</v>
      </c>
      <c r="J202" s="85">
        <v>2018</v>
      </c>
      <c r="K202" s="197">
        <f t="shared" si="49"/>
        <v>43288</v>
      </c>
      <c r="L202" s="436">
        <f t="shared" si="50"/>
        <v>9.8514071332567177E-4</v>
      </c>
      <c r="M202" s="968"/>
      <c r="N202" s="968"/>
      <c r="O202" s="324">
        <f t="shared" si="51"/>
        <v>5.9104364824927973E-3</v>
      </c>
      <c r="P202" s="169">
        <f>(INDEX(Models!$BJ202:$BT202,,T202)*(1-R202)+INDEX(Models!$BJ202:$BT202,,T202+1)*R202-ERP_i)*Q202*Ramure*Pc/MaxiM</f>
        <v>1.0177004867271647E-3</v>
      </c>
      <c r="Q202" s="305">
        <f t="shared" si="52"/>
        <v>0.7</v>
      </c>
      <c r="R202" s="177">
        <f t="shared" si="53"/>
        <v>0.37601602094920583</v>
      </c>
      <c r="S202" s="919">
        <f t="shared" si="70"/>
        <v>-2</v>
      </c>
      <c r="T202" s="176">
        <f t="shared" si="54"/>
        <v>4</v>
      </c>
      <c r="U202" s="251">
        <f t="shared" si="55"/>
        <v>-1.6239839790507942</v>
      </c>
      <c r="V202" s="383">
        <f t="shared" si="56"/>
        <v>56.578931541792642</v>
      </c>
      <c r="W202" s="58"/>
      <c r="X202" s="157">
        <f t="shared" si="57"/>
        <v>43288</v>
      </c>
      <c r="Y202" s="385">
        <f t="shared" si="58"/>
        <v>56.539000000000001</v>
      </c>
      <c r="Z202" s="385">
        <f t="shared" si="59"/>
        <v>56.594753796125204</v>
      </c>
      <c r="AA202" s="386">
        <f t="shared" si="60"/>
        <v>56.931242287535085</v>
      </c>
      <c r="AB202" s="197">
        <f t="shared" si="61"/>
        <v>43288</v>
      </c>
      <c r="AC202" s="425">
        <f t="shared" si="62"/>
        <v>5.9104364824927973E-3</v>
      </c>
      <c r="AD202" s="169">
        <f>(INDEX(Models!$BJ202:$BT202,,AH202)*(1-AF202)+INDEX(Models!$BJ202:$BT202,,AH202+1)*AF202-ERP_i)*AE202*Ramure*Pc/MaxiM</f>
        <v>1.0177004867271647E-3</v>
      </c>
      <c r="AE202" s="305">
        <f t="shared" si="63"/>
        <v>0.7</v>
      </c>
      <c r="AF202" s="177">
        <f t="shared" si="64"/>
        <v>0.37601602094920583</v>
      </c>
      <c r="AG202" s="919">
        <f t="shared" si="65"/>
        <v>-2</v>
      </c>
      <c r="AH202" s="176">
        <f t="shared" si="66"/>
        <v>4</v>
      </c>
      <c r="AI202" s="225">
        <f t="shared" si="67"/>
        <v>-1.6239839790507942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1"/>
        <v>43289</v>
      </c>
      <c r="B203" s="618">
        <v>56.567999999999998</v>
      </c>
      <c r="C203" s="390"/>
      <c r="D203" s="393">
        <f t="shared" si="76"/>
        <v>56.625022626698019</v>
      </c>
      <c r="E203" s="385">
        <f t="shared" si="77"/>
        <v>56.969115591653534</v>
      </c>
      <c r="F203" s="385">
        <f t="shared" si="78"/>
        <v>57.026884503007572</v>
      </c>
      <c r="G203" s="110">
        <f t="shared" si="79"/>
        <v>1.0016578765769484</v>
      </c>
      <c r="I203" s="380">
        <f t="shared" si="48"/>
        <v>57.026884503007572</v>
      </c>
      <c r="J203" s="85">
        <v>2018</v>
      </c>
      <c r="K203" s="197">
        <f t="shared" si="49"/>
        <v>43289</v>
      </c>
      <c r="L203" s="436">
        <f t="shared" si="50"/>
        <v>1.0070217026481032E-3</v>
      </c>
      <c r="M203" s="968"/>
      <c r="N203" s="968"/>
      <c r="O203" s="324">
        <f t="shared" si="51"/>
        <v>6.0399913423603803E-3</v>
      </c>
      <c r="P203" s="169">
        <f>(INDEX(Models!$BJ203:$BT203,,T203)*(1-R203)+INDEX(Models!$BJ203:$BT203,,T203+1)*R203-ERP_i)*Q203*Ramure*Pc/MaxiM</f>
        <v>1.01301187777477E-3</v>
      </c>
      <c r="Q203" s="305">
        <f t="shared" si="52"/>
        <v>0.7</v>
      </c>
      <c r="R203" s="177">
        <f t="shared" si="53"/>
        <v>0.37981431251480835</v>
      </c>
      <c r="S203" s="919">
        <f t="shared" si="70"/>
        <v>-2</v>
      </c>
      <c r="T203" s="176">
        <f t="shared" si="54"/>
        <v>4</v>
      </c>
      <c r="U203" s="251">
        <f t="shared" si="55"/>
        <v>-1.6201856874851917</v>
      </c>
      <c r="V203" s="383">
        <f t="shared" si="56"/>
        <v>56.474372460699534</v>
      </c>
      <c r="W203" s="58"/>
      <c r="X203" s="157">
        <f t="shared" si="57"/>
        <v>43289</v>
      </c>
      <c r="Y203" s="385">
        <f t="shared" si="58"/>
        <v>56.567999999999998</v>
      </c>
      <c r="Z203" s="385">
        <f t="shared" si="59"/>
        <v>56.625022626698019</v>
      </c>
      <c r="AA203" s="386">
        <f t="shared" si="60"/>
        <v>56.969115591653534</v>
      </c>
      <c r="AB203" s="197">
        <f t="shared" si="61"/>
        <v>43289</v>
      </c>
      <c r="AC203" s="425">
        <f t="shared" si="62"/>
        <v>6.0399913423603803E-3</v>
      </c>
      <c r="AD203" s="169">
        <f>(INDEX(Models!$BJ203:$BT203,,AH203)*(1-AF203)+INDEX(Models!$BJ203:$BT203,,AH203+1)*AF203-ERP_i)*AE203*Ramure*Pc/MaxiM</f>
        <v>1.01301187777477E-3</v>
      </c>
      <c r="AE203" s="305">
        <f t="shared" si="63"/>
        <v>0.7</v>
      </c>
      <c r="AF203" s="177">
        <f t="shared" si="64"/>
        <v>0.37981431251480835</v>
      </c>
      <c r="AG203" s="919">
        <f t="shared" si="65"/>
        <v>-2</v>
      </c>
      <c r="AH203" s="176">
        <f t="shared" si="66"/>
        <v>4</v>
      </c>
      <c r="AI203" s="225">
        <f t="shared" si="67"/>
        <v>-1.6201856874851917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1"/>
        <v>43290</v>
      </c>
      <c r="B204" s="618">
        <v>55.289000000000001</v>
      </c>
      <c r="C204" s="390"/>
      <c r="D204" s="393">
        <f t="shared" si="76"/>
        <v>55.345945565857832</v>
      </c>
      <c r="E204" s="385">
        <f t="shared" si="77"/>
        <v>55.689516086968716</v>
      </c>
      <c r="F204" s="385">
        <f t="shared" si="78"/>
        <v>55.744094439873535</v>
      </c>
      <c r="G204" s="110">
        <f t="shared" si="79"/>
        <v>0.98081437225290569</v>
      </c>
      <c r="I204" s="380">
        <f t="shared" si="48"/>
        <v>55.744094439873535</v>
      </c>
      <c r="J204" s="85">
        <v>2018</v>
      </c>
      <c r="K204" s="197">
        <f t="shared" si="49"/>
        <v>43290</v>
      </c>
      <c r="L204" s="436">
        <f t="shared" si="50"/>
        <v>1.0289022127206726E-3</v>
      </c>
      <c r="M204" s="968"/>
      <c r="N204" s="968"/>
      <c r="O204" s="324">
        <f t="shared" si="51"/>
        <v>6.1693931865800132E-3</v>
      </c>
      <c r="P204" s="169">
        <f>(INDEX(Models!$BJ204:$BT204,,T204)*(1-R204)+INDEX(Models!$BJ204:$BT204,,T204+1)*R204-ERP_i)*Q204*Ramure*Pc/MaxiM</f>
        <v>1.0066387175536894E-3</v>
      </c>
      <c r="Q204" s="305">
        <f t="shared" si="52"/>
        <v>0.7</v>
      </c>
      <c r="R204" s="177">
        <f t="shared" si="53"/>
        <v>0.38353241564026042</v>
      </c>
      <c r="S204" s="919">
        <f t="shared" si="70"/>
        <v>-2</v>
      </c>
      <c r="T204" s="176">
        <f t="shared" si="54"/>
        <v>4</v>
      </c>
      <c r="U204" s="251">
        <f t="shared" si="55"/>
        <v>-1.6164675843597396</v>
      </c>
      <c r="V204" s="383">
        <f t="shared" si="56"/>
        <v>56.368948904820734</v>
      </c>
      <c r="W204" s="58"/>
      <c r="X204" s="157">
        <f t="shared" si="57"/>
        <v>43290</v>
      </c>
      <c r="Y204" s="385">
        <f t="shared" si="58"/>
        <v>55.289000000000001</v>
      </c>
      <c r="Z204" s="385">
        <f t="shared" si="59"/>
        <v>55.345945565857832</v>
      </c>
      <c r="AA204" s="386">
        <f t="shared" si="60"/>
        <v>55.689516086968716</v>
      </c>
      <c r="AB204" s="197">
        <f t="shared" si="61"/>
        <v>43290</v>
      </c>
      <c r="AC204" s="425">
        <f t="shared" si="62"/>
        <v>6.1693931865800132E-3</v>
      </c>
      <c r="AD204" s="169">
        <f>(INDEX(Models!$BJ204:$BT204,,AH204)*(1-AF204)+INDEX(Models!$BJ204:$BT204,,AH204+1)*AF204-ERP_i)*AE204*Ramure*Pc/MaxiM</f>
        <v>1.0066387175536894E-3</v>
      </c>
      <c r="AE204" s="305">
        <f t="shared" si="63"/>
        <v>0.7</v>
      </c>
      <c r="AF204" s="177">
        <f t="shared" si="64"/>
        <v>0.38353241564026042</v>
      </c>
      <c r="AG204" s="919">
        <f t="shared" si="65"/>
        <v>-2</v>
      </c>
      <c r="AH204" s="176">
        <f t="shared" si="66"/>
        <v>4</v>
      </c>
      <c r="AI204" s="225">
        <f t="shared" si="67"/>
        <v>-1.6164675843597396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1"/>
        <v>43291</v>
      </c>
      <c r="B205" s="618">
        <v>56.649000000000001</v>
      </c>
      <c r="C205" s="390"/>
      <c r="D205" s="393">
        <f t="shared" si="76"/>
        <v>56.708588377724325</v>
      </c>
      <c r="E205" s="385">
        <f t="shared" si="77"/>
        <v>57.06803943800967</v>
      </c>
      <c r="F205" s="385">
        <f t="shared" si="78"/>
        <v>57.125082544615957</v>
      </c>
      <c r="G205" s="110">
        <f t="shared" si="79"/>
        <v>1.0068749720297658</v>
      </c>
      <c r="I205" s="380">
        <f t="shared" si="48"/>
        <v>57.125082544615957</v>
      </c>
      <c r="J205" s="85">
        <v>2018</v>
      </c>
      <c r="K205" s="197">
        <f t="shared" si="49"/>
        <v>43291</v>
      </c>
      <c r="L205" s="436">
        <f t="shared" si="50"/>
        <v>1.0507822435539271E-3</v>
      </c>
      <c r="M205" s="968"/>
      <c r="N205" s="968"/>
      <c r="O205" s="324">
        <f t="shared" si="51"/>
        <v>6.298640426850472E-3</v>
      </c>
      <c r="P205" s="169">
        <f>(INDEX(Models!$BJ205:$BT205,,T205)*(1-R205)+INDEX(Models!$BJ205:$BT205,,T205+1)*R205-ERP_i)*Q205*Ramure*Pc/MaxiM</f>
        <v>9.9856497470668859E-4</v>
      </c>
      <c r="Q205" s="305">
        <f t="shared" si="52"/>
        <v>0.7</v>
      </c>
      <c r="R205" s="177">
        <f t="shared" si="53"/>
        <v>0.38716980328808903</v>
      </c>
      <c r="S205" s="919">
        <f t="shared" si="70"/>
        <v>-2</v>
      </c>
      <c r="T205" s="176">
        <f t="shared" si="54"/>
        <v>4</v>
      </c>
      <c r="U205" s="251">
        <f t="shared" si="55"/>
        <v>-1.612830196711911</v>
      </c>
      <c r="V205" s="383">
        <f t="shared" si="56"/>
        <v>56.262198955845442</v>
      </c>
      <c r="W205" s="58"/>
      <c r="X205" s="157">
        <f t="shared" si="57"/>
        <v>43291</v>
      </c>
      <c r="Y205" s="385">
        <f t="shared" si="58"/>
        <v>56.649000000000001</v>
      </c>
      <c r="Z205" s="385">
        <f t="shared" si="59"/>
        <v>56.708588377724325</v>
      </c>
      <c r="AA205" s="386">
        <f t="shared" si="60"/>
        <v>57.06803943800967</v>
      </c>
      <c r="AB205" s="197">
        <f t="shared" si="61"/>
        <v>43291</v>
      </c>
      <c r="AC205" s="425">
        <f t="shared" si="62"/>
        <v>6.298640426850472E-3</v>
      </c>
      <c r="AD205" s="169">
        <f>(INDEX(Models!$BJ205:$BT205,,AH205)*(1-AF205)+INDEX(Models!$BJ205:$BT205,,AH205+1)*AF205-ERP_i)*AE205*Ramure*Pc/MaxiM</f>
        <v>9.9856497470668859E-4</v>
      </c>
      <c r="AE205" s="305">
        <f t="shared" si="63"/>
        <v>0.7</v>
      </c>
      <c r="AF205" s="177">
        <f t="shared" si="64"/>
        <v>0.38716980328808903</v>
      </c>
      <c r="AG205" s="919">
        <f t="shared" si="65"/>
        <v>-2</v>
      </c>
      <c r="AH205" s="176">
        <f t="shared" si="66"/>
        <v>4</v>
      </c>
      <c r="AI205" s="225">
        <f t="shared" si="67"/>
        <v>-1.612830196711911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1"/>
        <v>43292</v>
      </c>
      <c r="B206" s="618">
        <v>55.442</v>
      </c>
      <c r="C206" s="390"/>
      <c r="D206" s="393">
        <f t="shared" si="76"/>
        <v>55.501534375497265</v>
      </c>
      <c r="E206" s="385">
        <f t="shared" si="77"/>
        <v>55.860591274213569</v>
      </c>
      <c r="F206" s="385">
        <f t="shared" si="78"/>
        <v>55.914877715222872</v>
      </c>
      <c r="G206" s="110">
        <f t="shared" si="79"/>
        <v>0.98730635290539226</v>
      </c>
      <c r="I206" s="380">
        <f t="shared" si="48"/>
        <v>55.914877715222872</v>
      </c>
      <c r="J206" s="85">
        <v>2018</v>
      </c>
      <c r="K206" s="197">
        <f t="shared" si="49"/>
        <v>43292</v>
      </c>
      <c r="L206" s="436">
        <f t="shared" si="50"/>
        <v>1.0726617951584139E-3</v>
      </c>
      <c r="M206" s="968"/>
      <c r="N206" s="968"/>
      <c r="O206" s="324">
        <f t="shared" si="51"/>
        <v>6.427731796710379E-3</v>
      </c>
      <c r="P206" s="169">
        <f>(INDEX(Models!$BJ206:$BT206,,T206)*(1-R206)+INDEX(Models!$BJ206:$BT206,,T206+1)*R206-ERP_i)*Q206*Ramure*Pc/MaxiM</f>
        <v>9.8878186271950151E-4</v>
      </c>
      <c r="Q206" s="305">
        <f t="shared" si="52"/>
        <v>0.7</v>
      </c>
      <c r="R206" s="177">
        <f t="shared" si="53"/>
        <v>0.39072610434645338</v>
      </c>
      <c r="S206" s="919">
        <f t="shared" si="70"/>
        <v>-2</v>
      </c>
      <c r="T206" s="176">
        <f t="shared" si="54"/>
        <v>4</v>
      </c>
      <c r="U206" s="251">
        <f t="shared" si="55"/>
        <v>-1.6092738956535466</v>
      </c>
      <c r="V206" s="383">
        <f t="shared" si="56"/>
        <v>56.153802883198445</v>
      </c>
      <c r="W206" s="58"/>
      <c r="X206" s="157">
        <f t="shared" si="57"/>
        <v>43292</v>
      </c>
      <c r="Y206" s="385">
        <f t="shared" si="58"/>
        <v>55.442</v>
      </c>
      <c r="Z206" s="385">
        <f t="shared" si="59"/>
        <v>55.501534375497265</v>
      </c>
      <c r="AA206" s="386">
        <f t="shared" si="60"/>
        <v>55.860591274213569</v>
      </c>
      <c r="AB206" s="197">
        <f t="shared" si="61"/>
        <v>43292</v>
      </c>
      <c r="AC206" s="425">
        <f t="shared" si="62"/>
        <v>6.427731796710379E-3</v>
      </c>
      <c r="AD206" s="169">
        <f>(INDEX(Models!$BJ206:$BT206,,AH206)*(1-AF206)+INDEX(Models!$BJ206:$BT206,,AH206+1)*AF206-ERP_i)*AE206*Ramure*Pc/MaxiM</f>
        <v>9.8878186271950151E-4</v>
      </c>
      <c r="AE206" s="305">
        <f t="shared" si="63"/>
        <v>0.7</v>
      </c>
      <c r="AF206" s="177">
        <f t="shared" si="64"/>
        <v>0.39072610434645338</v>
      </c>
      <c r="AG206" s="919">
        <f t="shared" si="65"/>
        <v>-2</v>
      </c>
      <c r="AH206" s="176">
        <f t="shared" si="66"/>
        <v>4</v>
      </c>
      <c r="AI206" s="225">
        <f t="shared" si="67"/>
        <v>-1.6092738956535466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1"/>
        <v>43293</v>
      </c>
      <c r="B207" s="618">
        <v>45.756</v>
      </c>
      <c r="C207" s="390"/>
      <c r="D207" s="393">
        <f t="shared" ref="D207:D270" si="80">Wh/(1-Ppv)</f>
        <v>45.806136688589987</v>
      </c>
      <c r="E207" s="385">
        <f t="shared" si="77"/>
        <v>46.108454439666708</v>
      </c>
      <c r="F207" s="385">
        <f t="shared" si="78"/>
        <v>46.141744559884742</v>
      </c>
      <c r="G207" s="110">
        <f t="shared" si="79"/>
        <v>0.8162213152844694</v>
      </c>
      <c r="I207" s="380">
        <f t="shared" ref="I207:I270" si="81">Wh_hp</f>
        <v>46.141744559884742</v>
      </c>
      <c r="J207" s="85">
        <v>2018</v>
      </c>
      <c r="K207" s="197">
        <f t="shared" ref="K207:K270" si="82">t</f>
        <v>43293</v>
      </c>
      <c r="L207" s="436">
        <f t="shared" ref="L207:L270" si="83">IF(t&lt;T0,0,IF(t&lt;Tvie,1-EXP((T0-t)*PertePVj),1-EXP((T0-t)*PertePVj)+Pspv))</f>
        <v>1.0945408675444579E-3</v>
      </c>
      <c r="M207" s="968"/>
      <c r="N207" s="968"/>
      <c r="O207" s="324">
        <f t="shared" ref="O207:O270" si="84">IF(t&lt;T0,0,IF(t&lt;Tnet,Salim_i*(1-EXP((T0-t)/Tau_ij)),Resal+(Salim-Resal)*(1-EXP((Tnet-t)/(Tau_j)))))*Salcycl</f>
        <v>6.5566663370229972E-3</v>
      </c>
      <c r="P207" s="169">
        <f>(INDEX(Models!$BJ207:$BT207,,T207)*(1-R207)+INDEX(Models!$BJ207:$BT207,,T207+1)*R207-ERP_i)*Q207*Ramure*Pc/MaxiM</f>
        <v>9.7792876531213927E-4</v>
      </c>
      <c r="Q207" s="305">
        <f t="shared" ref="Q207:Q270" si="85">IF(OR(t&lt;Ttai,Notai),Dd+PousD*Croivg,Dens+PousD*(Croivg-Croi_tai))</f>
        <v>0.7</v>
      </c>
      <c r="R207" s="177">
        <f t="shared" ref="R207:R270" si="86">(Hp_vg-S207)/(INDEX(Echel_vg,T207+1)-S207)</f>
        <v>0.39420109789317159</v>
      </c>
      <c r="S207" s="919">
        <f t="shared" si="70"/>
        <v>-2</v>
      </c>
      <c r="T207" s="176">
        <f t="shared" ref="T207:T270" si="87">MIN(MATCH(Hp_vg,Echel_vg),10)</f>
        <v>4</v>
      </c>
      <c r="U207" s="251">
        <f t="shared" ref="U207:U270" si="88">IF(OR(t&lt;Ttai,Notai),Hdd+PousH*Croivg,Hdtf+PousH*(Croivg-Croi_tai))</f>
        <v>-1.6057989021068284</v>
      </c>
      <c r="V207" s="383">
        <f t="shared" ref="V207:V270" si="89">MaxiM*(1-Ppv)*(1-Pvg)*(1-Psa)</f>
        <v>56.043938546836259</v>
      </c>
      <c r="W207" s="58"/>
      <c r="X207" s="157">
        <f t="shared" ref="X207:X270" si="90">t</f>
        <v>43293</v>
      </c>
      <c r="Y207" s="385">
        <f t="shared" ref="Y207:Y270" si="91">Wh_pvt_s*(1-Ppv)</f>
        <v>45.756</v>
      </c>
      <c r="Z207" s="385">
        <f t="shared" ref="Z207:Z270" si="92">Wh_sa_s*(1-Psa_s)</f>
        <v>45.806136688589987</v>
      </c>
      <c r="AA207" s="386">
        <f t="shared" ref="AA207:AA270" si="93">Wh_hp*(1-Pvg_s*MEDIAN((-Sdif+Wh/Env_an)/Csdif,0,1))</f>
        <v>46.108454439666708</v>
      </c>
      <c r="AB207" s="197">
        <f t="shared" ref="AB207:AB270" si="94">t</f>
        <v>43293</v>
      </c>
      <c r="AC207" s="425">
        <f t="shared" ref="AC207:AC270" si="95">IF(t&lt;T0,0,IF(OR(t&lt;Tnet,NoTnet),Salim_i*(1-EXP((T0-t)/Tau_ij)),Resal_s+(Salim-Resal_s)*(1-EXP((Tnet_s-t)/Tau_j))))*Salcycl</f>
        <v>6.5566663370229972E-3</v>
      </c>
      <c r="AD207" s="169">
        <f>(INDEX(Models!$BJ207:$BT207,,AH207)*(1-AF207)+INDEX(Models!$BJ207:$BT207,,AH207+1)*AF207-ERP_i)*AE207*Ramure*Pc/MaxiM</f>
        <v>9.7792876531213927E-4</v>
      </c>
      <c r="AE207" s="305">
        <f t="shared" ref="AE207:AE270" si="96">Dd+PousD*Croivg</f>
        <v>0.7</v>
      </c>
      <c r="AF207" s="177">
        <f t="shared" ref="AF207:AF270" si="97">(Hp_vg_s-AG207)/(INDEX(Echel_vg,AH207+1)-AG207)</f>
        <v>0.39420109789317159</v>
      </c>
      <c r="AG207" s="919">
        <f t="shared" ref="AG207:AG270" si="98">INDEX(Echel_vg,AH207)</f>
        <v>-2</v>
      </c>
      <c r="AH207" s="176">
        <f t="shared" ref="AH207:AH270" si="99">MIN(MATCH(Hp_vg_s,Echel_vg),10)</f>
        <v>4</v>
      </c>
      <c r="AI207" s="225">
        <f t="shared" ref="AI207:AI270" si="100">Hdd+PousH*Croivg</f>
        <v>-1.6057989021068284</v>
      </c>
      <c r="AJ207" s="265" t="b">
        <f t="shared" ref="AJ207:AJ270" si="101">t&lt;Tnet</f>
        <v>0</v>
      </c>
      <c r="AK207" s="265" t="b">
        <f t="shared" ref="AK207:AK270" si="102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si="71"/>
        <v>43294</v>
      </c>
      <c r="B208" s="618">
        <v>53.93</v>
      </c>
      <c r="C208" s="390"/>
      <c r="D208" s="393">
        <f t="shared" si="80"/>
        <v>53.990275794586871</v>
      </c>
      <c r="E208" s="385">
        <f t="shared" si="77"/>
        <v>54.3536540713473</v>
      </c>
      <c r="F208" s="385">
        <f t="shared" si="78"/>
        <v>54.403519825099551</v>
      </c>
      <c r="G208" s="110">
        <f t="shared" si="79"/>
        <v>0.96414471599561269</v>
      </c>
      <c r="I208" s="380">
        <f t="shared" si="81"/>
        <v>54.403519825099551</v>
      </c>
      <c r="J208" s="85">
        <v>2018</v>
      </c>
      <c r="K208" s="197">
        <f t="shared" si="82"/>
        <v>43294</v>
      </c>
      <c r="L208" s="436">
        <f t="shared" si="83"/>
        <v>1.1164194607228284E-3</v>
      </c>
      <c r="M208" s="968"/>
      <c r="N208" s="968"/>
      <c r="O208" s="324">
        <f t="shared" si="84"/>
        <v>6.6854433794541167E-3</v>
      </c>
      <c r="P208" s="169">
        <f>(INDEX(Models!$BJ208:$BT208,,T208)*(1-R208)+INDEX(Models!$BJ208:$BT208,,T208+1)*R208-ERP_i)*Q208*Ramure*Pc/MaxiM</f>
        <v>9.6600533315553336E-4</v>
      </c>
      <c r="Q208" s="305">
        <f t="shared" si="85"/>
        <v>0.7</v>
      </c>
      <c r="R208" s="177">
        <f t="shared" si="86"/>
        <v>0.39759470711051703</v>
      </c>
      <c r="S208" s="919">
        <f t="shared" ref="S208:S271" si="103">INDEX(Echel_vg,T208)</f>
        <v>-2</v>
      </c>
      <c r="T208" s="176">
        <f t="shared" si="87"/>
        <v>4</v>
      </c>
      <c r="U208" s="251">
        <f t="shared" si="88"/>
        <v>-1.602405292889483</v>
      </c>
      <c r="V208" s="383">
        <f t="shared" si="89"/>
        <v>55.932819754904969</v>
      </c>
      <c r="W208" s="58"/>
      <c r="X208" s="157">
        <f t="shared" si="90"/>
        <v>43294</v>
      </c>
      <c r="Y208" s="385">
        <f t="shared" si="91"/>
        <v>53.93</v>
      </c>
      <c r="Z208" s="385">
        <f t="shared" si="92"/>
        <v>53.990275794586871</v>
      </c>
      <c r="AA208" s="386">
        <f t="shared" si="93"/>
        <v>54.3536540713473</v>
      </c>
      <c r="AB208" s="197">
        <f t="shared" si="94"/>
        <v>43294</v>
      </c>
      <c r="AC208" s="425">
        <f t="shared" si="95"/>
        <v>6.6854433794541167E-3</v>
      </c>
      <c r="AD208" s="169">
        <f>(INDEX(Models!$BJ208:$BT208,,AH208)*(1-AF208)+INDEX(Models!$BJ208:$BT208,,AH208+1)*AF208-ERP_i)*AE208*Ramure*Pc/MaxiM</f>
        <v>9.6600533315553336E-4</v>
      </c>
      <c r="AE208" s="305">
        <f t="shared" si="96"/>
        <v>0.7</v>
      </c>
      <c r="AF208" s="177">
        <f t="shared" si="97"/>
        <v>0.39759470711051703</v>
      </c>
      <c r="AG208" s="919">
        <f t="shared" si="98"/>
        <v>-2</v>
      </c>
      <c r="AH208" s="176">
        <f t="shared" si="99"/>
        <v>4</v>
      </c>
      <c r="AI208" s="225">
        <f t="shared" si="100"/>
        <v>-1.602405292889483</v>
      </c>
      <c r="AJ208" s="265" t="b">
        <f t="shared" si="101"/>
        <v>0</v>
      </c>
      <c r="AK208" s="265" t="b">
        <f t="shared" si="102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ref="A209:A272" si="104">A208+1</f>
        <v>43295</v>
      </c>
      <c r="B209" s="618">
        <v>51.232999999999997</v>
      </c>
      <c r="C209" s="390"/>
      <c r="D209" s="393">
        <f t="shared" si="80"/>
        <v>51.291384858988181</v>
      </c>
      <c r="E209" s="385">
        <f t="shared" si="77"/>
        <v>51.643285435101362</v>
      </c>
      <c r="F209" s="385">
        <f t="shared" si="78"/>
        <v>51.686760245108772</v>
      </c>
      <c r="G209" s="110">
        <f t="shared" si="79"/>
        <v>0.91771151643246518</v>
      </c>
      <c r="I209" s="380">
        <f t="shared" si="81"/>
        <v>51.686760245108772</v>
      </c>
      <c r="J209" s="85">
        <v>2018</v>
      </c>
      <c r="K209" s="197">
        <f t="shared" si="82"/>
        <v>43295</v>
      </c>
      <c r="L209" s="436">
        <f t="shared" si="83"/>
        <v>1.1382975747037394E-3</v>
      </c>
      <c r="M209" s="968"/>
      <c r="N209" s="968"/>
      <c r="O209" s="324">
        <f t="shared" si="84"/>
        <v>6.8140625281365198E-3</v>
      </c>
      <c r="P209" s="169">
        <f>(INDEX(Models!$BJ209:$BT209,,T209)*(1-R209)+INDEX(Models!$BJ209:$BT209,,T209+1)*R209-ERP_i)*Q209*Ramure*Pc/MaxiM</f>
        <v>9.5301221328782451E-4</v>
      </c>
      <c r="Q209" s="305">
        <f t="shared" si="85"/>
        <v>0.7</v>
      </c>
      <c r="R209" s="177">
        <f t="shared" si="86"/>
        <v>0.40090699290864995</v>
      </c>
      <c r="S209" s="919">
        <f t="shared" si="103"/>
        <v>-2</v>
      </c>
      <c r="T209" s="176">
        <f t="shared" si="87"/>
        <v>4</v>
      </c>
      <c r="U209" s="251">
        <f t="shared" si="88"/>
        <v>-1.59909300709135</v>
      </c>
      <c r="V209" s="383">
        <f t="shared" si="89"/>
        <v>55.820660114876922</v>
      </c>
      <c r="W209" s="58"/>
      <c r="X209" s="157">
        <f t="shared" si="90"/>
        <v>43295</v>
      </c>
      <c r="Y209" s="385">
        <f t="shared" si="91"/>
        <v>51.232999999999997</v>
      </c>
      <c r="Z209" s="385">
        <f t="shared" si="92"/>
        <v>51.291384858988181</v>
      </c>
      <c r="AA209" s="386">
        <f t="shared" si="93"/>
        <v>51.643285435101362</v>
      </c>
      <c r="AB209" s="197">
        <f t="shared" si="94"/>
        <v>43295</v>
      </c>
      <c r="AC209" s="425">
        <f t="shared" si="95"/>
        <v>6.8140625281365198E-3</v>
      </c>
      <c r="AD209" s="169">
        <f>(INDEX(Models!$BJ209:$BT209,,AH209)*(1-AF209)+INDEX(Models!$BJ209:$BT209,,AH209+1)*AF209-ERP_i)*AE209*Ramure*Pc/MaxiM</f>
        <v>9.5301221328782451E-4</v>
      </c>
      <c r="AE209" s="305">
        <f t="shared" si="96"/>
        <v>0.7</v>
      </c>
      <c r="AF209" s="177">
        <f t="shared" si="97"/>
        <v>0.40090699290864995</v>
      </c>
      <c r="AG209" s="919">
        <f t="shared" si="98"/>
        <v>-2</v>
      </c>
      <c r="AH209" s="176">
        <f t="shared" si="99"/>
        <v>4</v>
      </c>
      <c r="AI209" s="225">
        <f t="shared" si="100"/>
        <v>-1.59909300709135</v>
      </c>
      <c r="AJ209" s="265" t="b">
        <f t="shared" si="101"/>
        <v>0</v>
      </c>
      <c r="AK209" s="265" t="b">
        <f t="shared" si="102"/>
        <v>0</v>
      </c>
      <c r="AL209" s="265"/>
      <c r="AM209" s="265"/>
      <c r="AN209" s="75"/>
    </row>
    <row r="210" spans="1:40" s="6" customFormat="1" ht="11.25" x14ac:dyDescent="0.2">
      <c r="A210" s="56">
        <f t="shared" si="104"/>
        <v>43296</v>
      </c>
      <c r="B210" s="618">
        <v>54.439</v>
      </c>
      <c r="C210" s="390"/>
      <c r="D210" s="393">
        <f t="shared" si="80"/>
        <v>54.502232138589491</v>
      </c>
      <c r="E210" s="385">
        <f t="shared" si="77"/>
        <v>54.88326047184065</v>
      </c>
      <c r="F210" s="385">
        <f t="shared" si="78"/>
        <v>54.933161931824934</v>
      </c>
      <c r="G210" s="110">
        <f t="shared" si="79"/>
        <v>0.97719636318692604</v>
      </c>
      <c r="I210" s="380">
        <f t="shared" si="81"/>
        <v>54.933161931824934</v>
      </c>
      <c r="J210" s="85">
        <v>2018</v>
      </c>
      <c r="K210" s="197">
        <f t="shared" si="82"/>
        <v>43296</v>
      </c>
      <c r="L210" s="436">
        <f t="shared" si="83"/>
        <v>1.160175209497849E-3</v>
      </c>
      <c r="M210" s="968"/>
      <c r="N210" s="968"/>
      <c r="O210" s="324">
        <f t="shared" si="84"/>
        <v>6.942523639729024E-3</v>
      </c>
      <c r="P210" s="169">
        <f>(INDEX(Models!$BJ210:$BT210,,T210)*(1-R210)+INDEX(Models!$BJ210:$BT210,,T210+1)*R210-ERP_i)*Q210*Ramure*Pc/MaxiM</f>
        <v>9.3895097220161275E-4</v>
      </c>
      <c r="Q210" s="305">
        <f t="shared" si="85"/>
        <v>0.7</v>
      </c>
      <c r="R210" s="177">
        <f t="shared" si="86"/>
        <v>0.40413814731380238</v>
      </c>
      <c r="S210" s="919">
        <f t="shared" si="103"/>
        <v>-2</v>
      </c>
      <c r="T210" s="176">
        <f t="shared" si="87"/>
        <v>4</v>
      </c>
      <c r="U210" s="251">
        <f t="shared" si="88"/>
        <v>-1.5958618526861976</v>
      </c>
      <c r="V210" s="383">
        <f t="shared" si="89"/>
        <v>55.707673041428293</v>
      </c>
      <c r="W210" s="58"/>
      <c r="X210" s="157">
        <f t="shared" si="90"/>
        <v>43296</v>
      </c>
      <c r="Y210" s="385">
        <f t="shared" si="91"/>
        <v>54.439</v>
      </c>
      <c r="Z210" s="385">
        <f t="shared" si="92"/>
        <v>54.502232138589491</v>
      </c>
      <c r="AA210" s="386">
        <f t="shared" si="93"/>
        <v>54.88326047184065</v>
      </c>
      <c r="AB210" s="197">
        <f t="shared" si="94"/>
        <v>43296</v>
      </c>
      <c r="AC210" s="425">
        <f t="shared" si="95"/>
        <v>6.942523639729024E-3</v>
      </c>
      <c r="AD210" s="169">
        <f>(INDEX(Models!$BJ210:$BT210,,AH210)*(1-AF210)+INDEX(Models!$BJ210:$BT210,,AH210+1)*AF210-ERP_i)*AE210*Ramure*Pc/MaxiM</f>
        <v>9.3895097220161275E-4</v>
      </c>
      <c r="AE210" s="305">
        <f t="shared" si="96"/>
        <v>0.7</v>
      </c>
      <c r="AF210" s="177">
        <f t="shared" si="97"/>
        <v>0.40413814731380238</v>
      </c>
      <c r="AG210" s="919">
        <f t="shared" si="98"/>
        <v>-2</v>
      </c>
      <c r="AH210" s="176">
        <f t="shared" si="99"/>
        <v>4</v>
      </c>
      <c r="AI210" s="225">
        <f t="shared" si="100"/>
        <v>-1.5958618526861976</v>
      </c>
      <c r="AJ210" s="265" t="b">
        <f t="shared" si="101"/>
        <v>0</v>
      </c>
      <c r="AK210" s="265" t="b">
        <f t="shared" si="102"/>
        <v>0</v>
      </c>
      <c r="AL210" s="265"/>
      <c r="AM210" s="265"/>
      <c r="AN210" s="75"/>
    </row>
    <row r="211" spans="1:40" s="6" customFormat="1" ht="11.25" x14ac:dyDescent="0.2">
      <c r="A211" s="56">
        <f t="shared" si="104"/>
        <v>43297</v>
      </c>
      <c r="B211" s="618">
        <v>24.225000000000001</v>
      </c>
      <c r="C211" s="390"/>
      <c r="D211" s="393">
        <f t="shared" si="80"/>
        <v>24.25366910693058</v>
      </c>
      <c r="E211" s="385">
        <f t="shared" si="77"/>
        <v>24.426383836439413</v>
      </c>
      <c r="F211" s="385">
        <f t="shared" si="78"/>
        <v>24.430760682966415</v>
      </c>
      <c r="G211" s="110">
        <f t="shared" si="79"/>
        <v>0.4354233526231413</v>
      </c>
      <c r="I211" s="380">
        <f t="shared" si="81"/>
        <v>24.430760682966415</v>
      </c>
      <c r="J211" s="85">
        <v>2018</v>
      </c>
      <c r="K211" s="197">
        <f t="shared" si="82"/>
        <v>43297</v>
      </c>
      <c r="L211" s="436">
        <f t="shared" si="83"/>
        <v>1.1820523651155934E-3</v>
      </c>
      <c r="M211" s="968"/>
      <c r="N211" s="968"/>
      <c r="O211" s="324">
        <f t="shared" si="84"/>
        <v>7.0708268020899063E-3</v>
      </c>
      <c r="P211" s="169">
        <f>(INDEX(Models!$BJ211:$BT211,,T211)*(1-R211)+INDEX(Models!$BJ211:$BT211,,T211+1)*R211-ERP_i)*Q211*Ramure*Pc/MaxiM</f>
        <v>9.2382402120440451E-4</v>
      </c>
      <c r="Q211" s="305">
        <f t="shared" si="85"/>
        <v>0.7</v>
      </c>
      <c r="R211" s="177">
        <f t="shared" si="86"/>
        <v>0.40728848667514383</v>
      </c>
      <c r="S211" s="919">
        <f t="shared" si="103"/>
        <v>-2</v>
      </c>
      <c r="T211" s="176">
        <f t="shared" si="87"/>
        <v>4</v>
      </c>
      <c r="U211" s="251">
        <f t="shared" si="88"/>
        <v>-1.5927115133248562</v>
      </c>
      <c r="V211" s="383">
        <f t="shared" si="89"/>
        <v>55.59407176642916</v>
      </c>
      <c r="W211" s="58"/>
      <c r="X211" s="157">
        <f t="shared" si="90"/>
        <v>43297</v>
      </c>
      <c r="Y211" s="385">
        <f t="shared" si="91"/>
        <v>24.225000000000001</v>
      </c>
      <c r="Z211" s="385">
        <f t="shared" si="92"/>
        <v>24.25366910693058</v>
      </c>
      <c r="AA211" s="386">
        <f t="shared" si="93"/>
        <v>24.426383836439413</v>
      </c>
      <c r="AB211" s="197">
        <f t="shared" si="94"/>
        <v>43297</v>
      </c>
      <c r="AC211" s="425">
        <f t="shared" si="95"/>
        <v>7.0708268020899063E-3</v>
      </c>
      <c r="AD211" s="169">
        <f>(INDEX(Models!$BJ211:$BT211,,AH211)*(1-AF211)+INDEX(Models!$BJ211:$BT211,,AH211+1)*AF211-ERP_i)*AE211*Ramure*Pc/MaxiM</f>
        <v>9.2382402120440451E-4</v>
      </c>
      <c r="AE211" s="305">
        <f t="shared" si="96"/>
        <v>0.7</v>
      </c>
      <c r="AF211" s="177">
        <f t="shared" si="97"/>
        <v>0.40728848667514383</v>
      </c>
      <c r="AG211" s="919">
        <f t="shared" si="98"/>
        <v>-2</v>
      </c>
      <c r="AH211" s="176">
        <f t="shared" si="99"/>
        <v>4</v>
      </c>
      <c r="AI211" s="225">
        <f t="shared" si="100"/>
        <v>-1.5927115133248562</v>
      </c>
      <c r="AJ211" s="265" t="b">
        <f t="shared" si="101"/>
        <v>0</v>
      </c>
      <c r="AK211" s="265" t="b">
        <f t="shared" si="102"/>
        <v>0</v>
      </c>
      <c r="AL211" s="265"/>
      <c r="AM211" s="265"/>
      <c r="AN211" s="75"/>
    </row>
    <row r="212" spans="1:40" s="6" customFormat="1" ht="11.25" x14ac:dyDescent="0.2">
      <c r="A212" s="56">
        <f t="shared" si="104"/>
        <v>43298</v>
      </c>
      <c r="B212" s="618">
        <v>46.722000000000001</v>
      </c>
      <c r="C212" s="390"/>
      <c r="D212" s="393">
        <f t="shared" si="80"/>
        <v>46.778317775285345</v>
      </c>
      <c r="E212" s="385">
        <f t="shared" si="77"/>
        <v>47.117515464514931</v>
      </c>
      <c r="F212" s="385">
        <f t="shared" si="78"/>
        <v>47.150659633444867</v>
      </c>
      <c r="G212" s="110">
        <f t="shared" si="79"/>
        <v>0.84196775829801895</v>
      </c>
      <c r="I212" s="380">
        <f t="shared" si="81"/>
        <v>47.150659633444867</v>
      </c>
      <c r="J212" s="85">
        <v>2018</v>
      </c>
      <c r="K212" s="197">
        <f t="shared" si="82"/>
        <v>43298</v>
      </c>
      <c r="L212" s="436">
        <f t="shared" si="83"/>
        <v>1.2039290415675197E-3</v>
      </c>
      <c r="M212" s="968"/>
      <c r="N212" s="968"/>
      <c r="O212" s="324">
        <f t="shared" si="84"/>
        <v>7.1989723117943565E-3</v>
      </c>
      <c r="P212" s="169">
        <f>(INDEX(Models!$BJ212:$BT212,,T212)*(1-R212)+INDEX(Models!$BJ212:$BT212,,T212+1)*R212-ERP_i)*Q212*Ramure*Pc/MaxiM</f>
        <v>9.0762353555944486E-4</v>
      </c>
      <c r="Q212" s="305">
        <f t="shared" si="85"/>
        <v>0.7</v>
      </c>
      <c r="R212" s="177">
        <f t="shared" si="86"/>
        <v>0.41035844474172012</v>
      </c>
      <c r="S212" s="919">
        <f t="shared" si="103"/>
        <v>-2</v>
      </c>
      <c r="T212" s="176">
        <f t="shared" si="87"/>
        <v>4</v>
      </c>
      <c r="U212" s="251">
        <f t="shared" si="88"/>
        <v>-1.5896415552582799</v>
      </c>
      <c r="V212" s="383">
        <f t="shared" si="89"/>
        <v>55.480069957428057</v>
      </c>
      <c r="W212" s="58"/>
      <c r="X212" s="157">
        <f t="shared" si="90"/>
        <v>43298</v>
      </c>
      <c r="Y212" s="385">
        <f t="shared" si="91"/>
        <v>46.722000000000001</v>
      </c>
      <c r="Z212" s="385">
        <f t="shared" si="92"/>
        <v>46.778317775285345</v>
      </c>
      <c r="AA212" s="386">
        <f t="shared" si="93"/>
        <v>47.117515464514931</v>
      </c>
      <c r="AB212" s="197">
        <f t="shared" si="94"/>
        <v>43298</v>
      </c>
      <c r="AC212" s="425">
        <f t="shared" si="95"/>
        <v>7.1989723117943565E-3</v>
      </c>
      <c r="AD212" s="169">
        <f>(INDEX(Models!$BJ212:$BT212,,AH212)*(1-AF212)+INDEX(Models!$BJ212:$BT212,,AH212+1)*AF212-ERP_i)*AE212*Ramure*Pc/MaxiM</f>
        <v>9.0762353555944486E-4</v>
      </c>
      <c r="AE212" s="305">
        <f t="shared" si="96"/>
        <v>0.7</v>
      </c>
      <c r="AF212" s="177">
        <f t="shared" si="97"/>
        <v>0.41035844474172012</v>
      </c>
      <c r="AG212" s="919">
        <f t="shared" si="98"/>
        <v>-2</v>
      </c>
      <c r="AH212" s="176">
        <f t="shared" si="99"/>
        <v>4</v>
      </c>
      <c r="AI212" s="225">
        <f t="shared" si="100"/>
        <v>-1.5896415552582799</v>
      </c>
      <c r="AJ212" s="265" t="b">
        <f t="shared" si="101"/>
        <v>0</v>
      </c>
      <c r="AK212" s="265" t="b">
        <f t="shared" si="102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104"/>
        <v>43299</v>
      </c>
      <c r="B213" s="618">
        <v>43.283999999999999</v>
      </c>
      <c r="C213" s="390"/>
      <c r="D213" s="393">
        <f t="shared" si="80"/>
        <v>43.337122872254099</v>
      </c>
      <c r="E213" s="385">
        <f t="shared" si="77"/>
        <v>43.656995963810104</v>
      </c>
      <c r="F213" s="385">
        <f t="shared" si="78"/>
        <v>43.68377735688307</v>
      </c>
      <c r="G213" s="110">
        <f t="shared" si="79"/>
        <v>0.78156421408562293</v>
      </c>
      <c r="I213" s="380">
        <f t="shared" si="81"/>
        <v>43.68377735688307</v>
      </c>
      <c r="J213" s="85">
        <v>2018</v>
      </c>
      <c r="K213" s="197">
        <f t="shared" si="82"/>
        <v>43299</v>
      </c>
      <c r="L213" s="436">
        <f t="shared" si="83"/>
        <v>1.2258052388639529E-3</v>
      </c>
      <c r="M213" s="968"/>
      <c r="N213" s="968"/>
      <c r="O213" s="324">
        <f t="shared" si="84"/>
        <v>7.3269606507320962E-3</v>
      </c>
      <c r="P213" s="169">
        <f>(INDEX(Models!$BJ213:$BT213,,T213)*(1-R213)+INDEX(Models!$BJ213:$BT213,,T213+1)*R213-ERP_i)*Q213*Ramure*Pc/MaxiM</f>
        <v>8.907605111491653E-4</v>
      </c>
      <c r="Q213" s="305">
        <f t="shared" si="85"/>
        <v>0.7</v>
      </c>
      <c r="R213" s="177">
        <f t="shared" si="86"/>
        <v>0.41334856565801048</v>
      </c>
      <c r="S213" s="919">
        <f t="shared" si="103"/>
        <v>-2</v>
      </c>
      <c r="T213" s="176">
        <f t="shared" si="87"/>
        <v>4</v>
      </c>
      <c r="U213" s="251">
        <f t="shared" si="88"/>
        <v>-1.5866514343419895</v>
      </c>
      <c r="V213" s="383">
        <f t="shared" si="89"/>
        <v>55.365857940790093</v>
      </c>
      <c r="W213" s="58"/>
      <c r="X213" s="157">
        <f t="shared" si="90"/>
        <v>43299</v>
      </c>
      <c r="Y213" s="385">
        <f t="shared" si="91"/>
        <v>43.283999999999999</v>
      </c>
      <c r="Z213" s="385">
        <f t="shared" si="92"/>
        <v>43.337122872254099</v>
      </c>
      <c r="AA213" s="386">
        <f t="shared" si="93"/>
        <v>43.656995963810104</v>
      </c>
      <c r="AB213" s="197">
        <f t="shared" si="94"/>
        <v>43299</v>
      </c>
      <c r="AC213" s="425">
        <f t="shared" si="95"/>
        <v>7.3269606507320962E-3</v>
      </c>
      <c r="AD213" s="169">
        <f>(INDEX(Models!$BJ213:$BT213,,AH213)*(1-AF213)+INDEX(Models!$BJ213:$BT213,,AH213+1)*AF213-ERP_i)*AE213*Ramure*Pc/MaxiM</f>
        <v>8.907605111491653E-4</v>
      </c>
      <c r="AE213" s="305">
        <f t="shared" si="96"/>
        <v>0.7</v>
      </c>
      <c r="AF213" s="177">
        <f t="shared" si="97"/>
        <v>0.41334856565801048</v>
      </c>
      <c r="AG213" s="919">
        <f t="shared" si="98"/>
        <v>-2</v>
      </c>
      <c r="AH213" s="176">
        <f t="shared" si="99"/>
        <v>4</v>
      </c>
      <c r="AI213" s="225">
        <f t="shared" si="100"/>
        <v>-1.5866514343419895</v>
      </c>
      <c r="AJ213" s="265" t="b">
        <f t="shared" si="101"/>
        <v>0</v>
      </c>
      <c r="AK213" s="265" t="b">
        <f t="shared" si="102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104"/>
        <v>43300</v>
      </c>
      <c r="B214" s="618">
        <v>54.176000000000002</v>
      </c>
      <c r="C214" s="390"/>
      <c r="D214" s="393">
        <f t="shared" si="80"/>
        <v>54.243678805083576</v>
      </c>
      <c r="E214" s="385">
        <f t="shared" si="77"/>
        <v>54.651091348912935</v>
      </c>
      <c r="F214" s="385">
        <f t="shared" si="78"/>
        <v>54.697527566916193</v>
      </c>
      <c r="G214" s="110">
        <f t="shared" si="79"/>
        <v>0.98050800489711953</v>
      </c>
      <c r="I214" s="380">
        <f t="shared" si="81"/>
        <v>54.697527566916193</v>
      </c>
      <c r="J214" s="85">
        <v>2018</v>
      </c>
      <c r="K214" s="197">
        <f t="shared" si="82"/>
        <v>43300</v>
      </c>
      <c r="L214" s="436">
        <f t="shared" si="83"/>
        <v>1.2476809570156622E-3</v>
      </c>
      <c r="M214" s="968"/>
      <c r="N214" s="968"/>
      <c r="O214" s="324">
        <f t="shared" si="84"/>
        <v>7.4547924620257996E-3</v>
      </c>
      <c r="P214" s="169">
        <f>(INDEX(Models!$BJ214:$BT214,,T214)*(1-R214)+INDEX(Models!$BJ214:$BT214,,T214+1)*R214-ERP_i)*Q214*Ramure*Pc/MaxiM</f>
        <v>8.7325028689114355E-4</v>
      </c>
      <c r="Q214" s="305">
        <f t="shared" si="85"/>
        <v>0.7</v>
      </c>
      <c r="R214" s="177">
        <f t="shared" si="86"/>
        <v>0.41625949692357422</v>
      </c>
      <c r="S214" s="919">
        <f t="shared" si="103"/>
        <v>-2</v>
      </c>
      <c r="T214" s="176">
        <f t="shared" si="87"/>
        <v>4</v>
      </c>
      <c r="U214" s="251">
        <f t="shared" si="88"/>
        <v>-1.5837405030764258</v>
      </c>
      <c r="V214" s="383">
        <f t="shared" si="89"/>
        <v>55.251647986470076</v>
      </c>
      <c r="W214" s="58"/>
      <c r="X214" s="157">
        <f t="shared" si="90"/>
        <v>43300</v>
      </c>
      <c r="Y214" s="385">
        <f t="shared" si="91"/>
        <v>54.176000000000002</v>
      </c>
      <c r="Z214" s="385">
        <f t="shared" si="92"/>
        <v>54.243678805083576</v>
      </c>
      <c r="AA214" s="386">
        <f t="shared" si="93"/>
        <v>54.651091348912935</v>
      </c>
      <c r="AB214" s="197">
        <f t="shared" si="94"/>
        <v>43300</v>
      </c>
      <c r="AC214" s="425">
        <f t="shared" si="95"/>
        <v>7.4547924620257996E-3</v>
      </c>
      <c r="AD214" s="169">
        <f>(INDEX(Models!$BJ214:$BT214,,AH214)*(1-AF214)+INDEX(Models!$BJ214:$BT214,,AH214+1)*AF214-ERP_i)*AE214*Ramure*Pc/MaxiM</f>
        <v>8.7325028689114355E-4</v>
      </c>
      <c r="AE214" s="305">
        <f t="shared" si="96"/>
        <v>0.7</v>
      </c>
      <c r="AF214" s="177">
        <f t="shared" si="97"/>
        <v>0.41625949692357422</v>
      </c>
      <c r="AG214" s="919">
        <f t="shared" si="98"/>
        <v>-2</v>
      </c>
      <c r="AH214" s="176">
        <f t="shared" si="99"/>
        <v>4</v>
      </c>
      <c r="AI214" s="225">
        <f t="shared" si="100"/>
        <v>-1.5837405030764258</v>
      </c>
      <c r="AJ214" s="265" t="b">
        <f t="shared" si="101"/>
        <v>0</v>
      </c>
      <c r="AK214" s="265" t="b">
        <f t="shared" si="102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104"/>
        <v>43301</v>
      </c>
      <c r="B215" s="618">
        <v>23.681999999999999</v>
      </c>
      <c r="C215" s="390"/>
      <c r="D215" s="393">
        <f t="shared" si="80"/>
        <v>23.712103848361664</v>
      </c>
      <c r="E215" s="385">
        <f t="shared" si="77"/>
        <v>23.893273845264826</v>
      </c>
      <c r="F215" s="385">
        <f t="shared" si="78"/>
        <v>23.897054441013477</v>
      </c>
      <c r="G215" s="110">
        <f t="shared" si="79"/>
        <v>0.42920748932266023</v>
      </c>
      <c r="I215" s="380">
        <f t="shared" si="81"/>
        <v>23.897054441013477</v>
      </c>
      <c r="J215" s="85">
        <v>2018</v>
      </c>
      <c r="K215" s="197">
        <f t="shared" si="82"/>
        <v>43301</v>
      </c>
      <c r="L215" s="436">
        <f t="shared" si="83"/>
        <v>1.2695561960329727E-3</v>
      </c>
      <c r="M215" s="968"/>
      <c r="N215" s="968"/>
      <c r="O215" s="324">
        <f t="shared" si="84"/>
        <v>7.5824685255121175E-3</v>
      </c>
      <c r="P215" s="169">
        <f>(INDEX(Models!$BJ215:$BT215,,T215)*(1-R215)+INDEX(Models!$BJ215:$BT215,,T215+1)*R215-ERP_i)*Q215*Ramure*Pc/MaxiM</f>
        <v>8.5510831185446113E-4</v>
      </c>
      <c r="Q215" s="305">
        <f t="shared" si="85"/>
        <v>0.7</v>
      </c>
      <c r="R215" s="177">
        <f t="shared" si="86"/>
        <v>0.41909198235900935</v>
      </c>
      <c r="S215" s="919">
        <f t="shared" si="103"/>
        <v>-2</v>
      </c>
      <c r="T215" s="176">
        <f t="shared" si="87"/>
        <v>4</v>
      </c>
      <c r="U215" s="251">
        <f t="shared" si="88"/>
        <v>-1.5809080176409906</v>
      </c>
      <c r="V215" s="383">
        <f t="shared" si="89"/>
        <v>55.137652244343748</v>
      </c>
      <c r="W215" s="58"/>
      <c r="X215" s="157">
        <f t="shared" si="90"/>
        <v>43301</v>
      </c>
      <c r="Y215" s="385">
        <f t="shared" si="91"/>
        <v>23.681999999999999</v>
      </c>
      <c r="Z215" s="385">
        <f t="shared" si="92"/>
        <v>23.712103848361664</v>
      </c>
      <c r="AA215" s="386">
        <f t="shared" si="93"/>
        <v>23.893273845264826</v>
      </c>
      <c r="AB215" s="197">
        <f t="shared" si="94"/>
        <v>43301</v>
      </c>
      <c r="AC215" s="425">
        <f t="shared" si="95"/>
        <v>7.5824685255121175E-3</v>
      </c>
      <c r="AD215" s="169">
        <f>(INDEX(Models!$BJ215:$BT215,,AH215)*(1-AF215)+INDEX(Models!$BJ215:$BT215,,AH215+1)*AF215-ERP_i)*AE215*Ramure*Pc/MaxiM</f>
        <v>8.5510831185446113E-4</v>
      </c>
      <c r="AE215" s="305">
        <f t="shared" si="96"/>
        <v>0.7</v>
      </c>
      <c r="AF215" s="177">
        <f t="shared" si="97"/>
        <v>0.41909198235900935</v>
      </c>
      <c r="AG215" s="919">
        <f t="shared" si="98"/>
        <v>-2</v>
      </c>
      <c r="AH215" s="176">
        <f t="shared" si="99"/>
        <v>4</v>
      </c>
      <c r="AI215" s="225">
        <f t="shared" si="100"/>
        <v>-1.5809080176409906</v>
      </c>
      <c r="AJ215" s="265" t="b">
        <f t="shared" si="101"/>
        <v>0</v>
      </c>
      <c r="AK215" s="265" t="b">
        <f t="shared" si="102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104"/>
        <v>43302</v>
      </c>
      <c r="B216" s="618">
        <v>30.847000000000001</v>
      </c>
      <c r="C216" s="390"/>
      <c r="D216" s="393">
        <f t="shared" si="80"/>
        <v>30.886888283661765</v>
      </c>
      <c r="E216" s="385">
        <f t="shared" si="77"/>
        <v>31.126876179426301</v>
      </c>
      <c r="F216" s="385">
        <f t="shared" si="78"/>
        <v>31.136571236898231</v>
      </c>
      <c r="G216" s="110">
        <f t="shared" si="79"/>
        <v>0.56031467344981811</v>
      </c>
      <c r="I216" s="380">
        <f t="shared" si="81"/>
        <v>31.136571236898231</v>
      </c>
      <c r="J216" s="85">
        <v>2018</v>
      </c>
      <c r="K216" s="197">
        <f t="shared" si="82"/>
        <v>43302</v>
      </c>
      <c r="L216" s="436">
        <f t="shared" si="83"/>
        <v>1.2914309559264314E-3</v>
      </c>
      <c r="M216" s="968"/>
      <c r="N216" s="968"/>
      <c r="O216" s="324">
        <f t="shared" si="84"/>
        <v>7.7099897330256068E-3</v>
      </c>
      <c r="P216" s="169">
        <f>(INDEX(Models!$BJ216:$BT216,,T216)*(1-R216)+INDEX(Models!$BJ216:$BT216,,T216+1)*R216-ERP_i)*Q216*Ramure*Pc/MaxiM</f>
        <v>8.3635009559873989E-4</v>
      </c>
      <c r="Q216" s="305">
        <f t="shared" si="85"/>
        <v>0.7</v>
      </c>
      <c r="R216" s="177">
        <f t="shared" si="86"/>
        <v>0.42184685511706932</v>
      </c>
      <c r="S216" s="919">
        <f t="shared" si="103"/>
        <v>-2</v>
      </c>
      <c r="T216" s="176">
        <f t="shared" si="87"/>
        <v>4</v>
      </c>
      <c r="U216" s="251">
        <f t="shared" si="88"/>
        <v>-1.5781531448829307</v>
      </c>
      <c r="V216" s="383">
        <f t="shared" si="89"/>
        <v>55.024082749674605</v>
      </c>
      <c r="W216" s="58"/>
      <c r="X216" s="157">
        <f t="shared" si="90"/>
        <v>43302</v>
      </c>
      <c r="Y216" s="385">
        <f t="shared" si="91"/>
        <v>30.847000000000001</v>
      </c>
      <c r="Z216" s="385">
        <f t="shared" si="92"/>
        <v>30.886888283661765</v>
      </c>
      <c r="AA216" s="386">
        <f t="shared" si="93"/>
        <v>31.126876179426301</v>
      </c>
      <c r="AB216" s="197">
        <f t="shared" si="94"/>
        <v>43302</v>
      </c>
      <c r="AC216" s="425">
        <f t="shared" si="95"/>
        <v>7.7099897330256068E-3</v>
      </c>
      <c r="AD216" s="169">
        <f>(INDEX(Models!$BJ216:$BT216,,AH216)*(1-AF216)+INDEX(Models!$BJ216:$BT216,,AH216+1)*AF216-ERP_i)*AE216*Ramure*Pc/MaxiM</f>
        <v>8.3635009559873989E-4</v>
      </c>
      <c r="AE216" s="305">
        <f t="shared" si="96"/>
        <v>0.7</v>
      </c>
      <c r="AF216" s="177">
        <f t="shared" si="97"/>
        <v>0.42184685511706932</v>
      </c>
      <c r="AG216" s="919">
        <f t="shared" si="98"/>
        <v>-2</v>
      </c>
      <c r="AH216" s="176">
        <f t="shared" si="99"/>
        <v>4</v>
      </c>
      <c r="AI216" s="225">
        <f t="shared" si="100"/>
        <v>-1.5781531448829307</v>
      </c>
      <c r="AJ216" s="265" t="b">
        <f t="shared" si="101"/>
        <v>0</v>
      </c>
      <c r="AK216" s="265" t="b">
        <f t="shared" si="102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104"/>
        <v>43303</v>
      </c>
      <c r="B217" s="618">
        <v>51.277999999999999</v>
      </c>
      <c r="C217" s="390"/>
      <c r="D217" s="393">
        <f t="shared" si="80"/>
        <v>51.34543222502208</v>
      </c>
      <c r="E217" s="385">
        <f t="shared" si="77"/>
        <v>51.751023474404064</v>
      </c>
      <c r="F217" s="385">
        <f t="shared" si="78"/>
        <v>51.78933561671316</v>
      </c>
      <c r="G217" s="110">
        <f t="shared" si="79"/>
        <v>0.93376365152997287</v>
      </c>
      <c r="I217" s="380">
        <f t="shared" si="81"/>
        <v>51.78933561671316</v>
      </c>
      <c r="J217" s="85">
        <v>2018</v>
      </c>
      <c r="K217" s="197">
        <f t="shared" si="82"/>
        <v>43303</v>
      </c>
      <c r="L217" s="436">
        <f t="shared" si="83"/>
        <v>1.3133052367064746E-3</v>
      </c>
      <c r="M217" s="968"/>
      <c r="N217" s="968"/>
      <c r="O217" s="324">
        <f t="shared" si="84"/>
        <v>7.8373570637224662E-3</v>
      </c>
      <c r="P217" s="169">
        <f>(INDEX(Models!$BJ217:$BT217,,T217)*(1-R217)+INDEX(Models!$BJ217:$BT217,,T217+1)*R217-ERP_i)*Q217*Ramure*Pc/MaxiM</f>
        <v>8.1699116526278792E-4</v>
      </c>
      <c r="Q217" s="305">
        <f t="shared" si="85"/>
        <v>0.7</v>
      </c>
      <c r="R217" s="177">
        <f t="shared" si="86"/>
        <v>0.42452503077434844</v>
      </c>
      <c r="S217" s="919">
        <f t="shared" si="103"/>
        <v>-2</v>
      </c>
      <c r="T217" s="176">
        <f t="shared" si="87"/>
        <v>4</v>
      </c>
      <c r="U217" s="251">
        <f t="shared" si="88"/>
        <v>-1.5754749692256516</v>
      </c>
      <c r="V217" s="383">
        <f t="shared" si="89"/>
        <v>54.911151428529841</v>
      </c>
      <c r="W217" s="58"/>
      <c r="X217" s="157">
        <f t="shared" si="90"/>
        <v>43303</v>
      </c>
      <c r="Y217" s="385">
        <f t="shared" si="91"/>
        <v>51.277999999999999</v>
      </c>
      <c r="Z217" s="385">
        <f t="shared" si="92"/>
        <v>51.34543222502208</v>
      </c>
      <c r="AA217" s="386">
        <f t="shared" si="93"/>
        <v>51.751023474404064</v>
      </c>
      <c r="AB217" s="197">
        <f t="shared" si="94"/>
        <v>43303</v>
      </c>
      <c r="AC217" s="425">
        <f t="shared" si="95"/>
        <v>7.8373570637224662E-3</v>
      </c>
      <c r="AD217" s="169">
        <f>(INDEX(Models!$BJ217:$BT217,,AH217)*(1-AF217)+INDEX(Models!$BJ217:$BT217,,AH217+1)*AF217-ERP_i)*AE217*Ramure*Pc/MaxiM</f>
        <v>8.1699116526278792E-4</v>
      </c>
      <c r="AE217" s="305">
        <f t="shared" si="96"/>
        <v>0.7</v>
      </c>
      <c r="AF217" s="177">
        <f t="shared" si="97"/>
        <v>0.42452503077434844</v>
      </c>
      <c r="AG217" s="919">
        <f t="shared" si="98"/>
        <v>-2</v>
      </c>
      <c r="AH217" s="176">
        <f t="shared" si="99"/>
        <v>4</v>
      </c>
      <c r="AI217" s="225">
        <f t="shared" si="100"/>
        <v>-1.5754749692256516</v>
      </c>
      <c r="AJ217" s="265" t="b">
        <f t="shared" si="101"/>
        <v>0</v>
      </c>
      <c r="AK217" s="265" t="b">
        <f t="shared" si="102"/>
        <v>0</v>
      </c>
      <c r="AL217" s="265"/>
      <c r="AM217" s="265"/>
      <c r="AN217" s="75"/>
    </row>
    <row r="218" spans="1:40" s="6" customFormat="1" ht="11.25" x14ac:dyDescent="0.2">
      <c r="A218" s="56">
        <f t="shared" si="104"/>
        <v>43304</v>
      </c>
      <c r="B218" s="618">
        <v>55.73</v>
      </c>
      <c r="C218" s="390"/>
      <c r="D218" s="393">
        <f t="shared" si="80"/>
        <v>55.804509010678338</v>
      </c>
      <c r="E218" s="385">
        <f t="shared" si="77"/>
        <v>56.252536361946163</v>
      </c>
      <c r="F218" s="385">
        <f t="shared" si="78"/>
        <v>56.297408043792899</v>
      </c>
      <c r="G218" s="110">
        <f t="shared" si="79"/>
        <v>1.0169880601151242</v>
      </c>
      <c r="I218" s="380">
        <f t="shared" si="81"/>
        <v>56.297408043792899</v>
      </c>
      <c r="J218" s="85">
        <v>2018</v>
      </c>
      <c r="K218" s="197">
        <f t="shared" si="82"/>
        <v>43304</v>
      </c>
      <c r="L218" s="436">
        <f t="shared" si="83"/>
        <v>1.3351790383835382E-3</v>
      </c>
      <c r="M218" s="968"/>
      <c r="N218" s="968"/>
      <c r="O218" s="324">
        <f t="shared" si="84"/>
        <v>7.9645715596729678E-3</v>
      </c>
      <c r="P218" s="169">
        <f>(INDEX(Models!$BJ218:$BT218,,T218)*(1-R218)+INDEX(Models!$BJ218:$BT218,,T218+1)*R218-ERP_i)*Q218*Ramure*Pc/MaxiM</f>
        <v>7.9704702944460035E-4</v>
      </c>
      <c r="Q218" s="305">
        <f t="shared" si="85"/>
        <v>0.7</v>
      </c>
      <c r="R218" s="177">
        <f t="shared" si="86"/>
        <v>0.42712750053548065</v>
      </c>
      <c r="S218" s="919">
        <f t="shared" si="103"/>
        <v>-2</v>
      </c>
      <c r="T218" s="176">
        <f t="shared" si="87"/>
        <v>4</v>
      </c>
      <c r="U218" s="251">
        <f t="shared" si="88"/>
        <v>-1.5728724994645193</v>
      </c>
      <c r="V218" s="383">
        <f t="shared" si="89"/>
        <v>54.799070102840041</v>
      </c>
      <c r="W218" s="58"/>
      <c r="X218" s="157">
        <f t="shared" si="90"/>
        <v>43304</v>
      </c>
      <c r="Y218" s="385">
        <f t="shared" si="91"/>
        <v>55.73</v>
      </c>
      <c r="Z218" s="385">
        <f t="shared" si="92"/>
        <v>55.804509010678338</v>
      </c>
      <c r="AA218" s="386">
        <f t="shared" si="93"/>
        <v>56.252536361946163</v>
      </c>
      <c r="AB218" s="197">
        <f t="shared" si="94"/>
        <v>43304</v>
      </c>
      <c r="AC218" s="425">
        <f t="shared" si="95"/>
        <v>7.9645715596729678E-3</v>
      </c>
      <c r="AD218" s="169">
        <f>(INDEX(Models!$BJ218:$BT218,,AH218)*(1-AF218)+INDEX(Models!$BJ218:$BT218,,AH218+1)*AF218-ERP_i)*AE218*Ramure*Pc/MaxiM</f>
        <v>7.9704702944460035E-4</v>
      </c>
      <c r="AE218" s="305">
        <f t="shared" si="96"/>
        <v>0.7</v>
      </c>
      <c r="AF218" s="177">
        <f t="shared" si="97"/>
        <v>0.42712750053548065</v>
      </c>
      <c r="AG218" s="919">
        <f t="shared" si="98"/>
        <v>-2</v>
      </c>
      <c r="AH218" s="176">
        <f t="shared" si="99"/>
        <v>4</v>
      </c>
      <c r="AI218" s="225">
        <f t="shared" si="100"/>
        <v>-1.5728724994645193</v>
      </c>
      <c r="AJ218" s="265" t="b">
        <f t="shared" si="101"/>
        <v>0</v>
      </c>
      <c r="AK218" s="265" t="b">
        <f t="shared" si="102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104"/>
        <v>43305</v>
      </c>
      <c r="B219" s="618">
        <v>46.265999999999998</v>
      </c>
      <c r="C219" s="390"/>
      <c r="D219" s="393">
        <f t="shared" si="80"/>
        <v>46.328870703369006</v>
      </c>
      <c r="E219" s="385">
        <f t="shared" si="77"/>
        <v>46.706805089565925</v>
      </c>
      <c r="F219" s="385">
        <f t="shared" si="78"/>
        <v>46.735112620569581</v>
      </c>
      <c r="G219" s="110">
        <f t="shared" si="79"/>
        <v>0.84585840145485258</v>
      </c>
      <c r="I219" s="380">
        <f t="shared" si="81"/>
        <v>46.735112620569581</v>
      </c>
      <c r="J219" s="85">
        <v>2018</v>
      </c>
      <c r="K219" s="197">
        <f t="shared" si="82"/>
        <v>43305</v>
      </c>
      <c r="L219" s="436">
        <f t="shared" si="83"/>
        <v>1.3570523609683915E-3</v>
      </c>
      <c r="M219" s="968"/>
      <c r="N219" s="968"/>
      <c r="O219" s="324">
        <f t="shared" si="84"/>
        <v>8.091634301943507E-3</v>
      </c>
      <c r="P219" s="169">
        <f>(INDEX(Models!$BJ219:$BT219,,T219)*(1-R219)+INDEX(Models!$BJ219:$BT219,,T219+1)*R219-ERP_i)*Q219*Ramure*Pc/MaxiM</f>
        <v>7.7653618309777065E-4</v>
      </c>
      <c r="Q219" s="305">
        <f t="shared" si="85"/>
        <v>0.7</v>
      </c>
      <c r="R219" s="177">
        <f t="shared" si="86"/>
        <v>0.42965532457835787</v>
      </c>
      <c r="S219" s="919">
        <f t="shared" si="103"/>
        <v>-2</v>
      </c>
      <c r="T219" s="176">
        <f t="shared" si="87"/>
        <v>4</v>
      </c>
      <c r="U219" s="251">
        <f t="shared" si="88"/>
        <v>-1.5703446754216421</v>
      </c>
      <c r="V219" s="383">
        <f t="shared" si="89"/>
        <v>54.687748322742443</v>
      </c>
      <c r="W219" s="58"/>
      <c r="X219" s="157">
        <f t="shared" si="90"/>
        <v>43305</v>
      </c>
      <c r="Y219" s="385">
        <f t="shared" si="91"/>
        <v>46.265999999999998</v>
      </c>
      <c r="Z219" s="385">
        <f t="shared" si="92"/>
        <v>46.328870703369006</v>
      </c>
      <c r="AA219" s="386">
        <f t="shared" si="93"/>
        <v>46.706805089565925</v>
      </c>
      <c r="AB219" s="197">
        <f t="shared" si="94"/>
        <v>43305</v>
      </c>
      <c r="AC219" s="425">
        <f t="shared" si="95"/>
        <v>8.091634301943507E-3</v>
      </c>
      <c r="AD219" s="169">
        <f>(INDEX(Models!$BJ219:$BT219,,AH219)*(1-AF219)+INDEX(Models!$BJ219:$BT219,,AH219+1)*AF219-ERP_i)*AE219*Ramure*Pc/MaxiM</f>
        <v>7.7653618309777065E-4</v>
      </c>
      <c r="AE219" s="305">
        <f t="shared" si="96"/>
        <v>0.7</v>
      </c>
      <c r="AF219" s="177">
        <f t="shared" si="97"/>
        <v>0.42965532457835787</v>
      </c>
      <c r="AG219" s="919">
        <f t="shared" si="98"/>
        <v>-2</v>
      </c>
      <c r="AH219" s="176">
        <f t="shared" si="99"/>
        <v>4</v>
      </c>
      <c r="AI219" s="225">
        <f t="shared" si="100"/>
        <v>-1.5703446754216421</v>
      </c>
      <c r="AJ219" s="265" t="b">
        <f t="shared" si="101"/>
        <v>0</v>
      </c>
      <c r="AK219" s="265" t="b">
        <f t="shared" si="102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104"/>
        <v>43306</v>
      </c>
      <c r="B220" s="618">
        <v>53.968000000000004</v>
      </c>
      <c r="C220" s="390"/>
      <c r="D220" s="393">
        <f t="shared" si="80"/>
        <v>54.042520593759896</v>
      </c>
      <c r="E220" s="385">
        <f t="shared" si="77"/>
        <v>54.49035207999377</v>
      </c>
      <c r="F220" s="385">
        <f t="shared" si="78"/>
        <v>54.530894378058939</v>
      </c>
      <c r="G220" s="110">
        <f t="shared" si="79"/>
        <v>0.98883170337890869</v>
      </c>
      <c r="I220" s="380">
        <f t="shared" si="81"/>
        <v>54.530894378058939</v>
      </c>
      <c r="J220" s="85">
        <v>2018</v>
      </c>
      <c r="K220" s="197">
        <f t="shared" si="82"/>
        <v>43306</v>
      </c>
      <c r="L220" s="436">
        <f t="shared" si="83"/>
        <v>1.3789252044712486E-3</v>
      </c>
      <c r="M220" s="968"/>
      <c r="N220" s="968"/>
      <c r="O220" s="324">
        <f t="shared" si="84"/>
        <v>8.2185463873759908E-3</v>
      </c>
      <c r="P220" s="169">
        <f>(INDEX(Models!$BJ220:$BT220,,T220)*(1-R220)+INDEX(Models!$BJ220:$BT220,,T220+1)*R220-ERP_i)*Q220*Ramure*Pc/MaxiM</f>
        <v>7.555150878137399E-4</v>
      </c>
      <c r="Q220" s="305">
        <f t="shared" si="85"/>
        <v>0.7</v>
      </c>
      <c r="R220" s="177">
        <f t="shared" si="86"/>
        <v>0.43210962556549282</v>
      </c>
      <c r="S220" s="919">
        <f t="shared" si="103"/>
        <v>-2</v>
      </c>
      <c r="T220" s="176">
        <f t="shared" si="87"/>
        <v>4</v>
      </c>
      <c r="U220" s="251">
        <f t="shared" si="88"/>
        <v>-1.5678903744345072</v>
      </c>
      <c r="V220" s="383">
        <f t="shared" si="89"/>
        <v>54.576880468745657</v>
      </c>
      <c r="W220" s="58"/>
      <c r="X220" s="157">
        <f t="shared" si="90"/>
        <v>43306</v>
      </c>
      <c r="Y220" s="385">
        <f t="shared" si="91"/>
        <v>53.968000000000004</v>
      </c>
      <c r="Z220" s="385">
        <f t="shared" si="92"/>
        <v>54.042520593759896</v>
      </c>
      <c r="AA220" s="386">
        <f t="shared" si="93"/>
        <v>54.49035207999377</v>
      </c>
      <c r="AB220" s="197">
        <f t="shared" si="94"/>
        <v>43306</v>
      </c>
      <c r="AC220" s="425">
        <f t="shared" si="95"/>
        <v>8.2185463873759908E-3</v>
      </c>
      <c r="AD220" s="169">
        <f>(INDEX(Models!$BJ220:$BT220,,AH220)*(1-AF220)+INDEX(Models!$BJ220:$BT220,,AH220+1)*AF220-ERP_i)*AE220*Ramure*Pc/MaxiM</f>
        <v>7.555150878137399E-4</v>
      </c>
      <c r="AE220" s="305">
        <f t="shared" si="96"/>
        <v>0.7</v>
      </c>
      <c r="AF220" s="177">
        <f t="shared" si="97"/>
        <v>0.43210962556549282</v>
      </c>
      <c r="AG220" s="919">
        <f t="shared" si="98"/>
        <v>-2</v>
      </c>
      <c r="AH220" s="176">
        <f t="shared" si="99"/>
        <v>4</v>
      </c>
      <c r="AI220" s="225">
        <f t="shared" si="100"/>
        <v>-1.5678903744345072</v>
      </c>
      <c r="AJ220" s="265" t="b">
        <f t="shared" si="101"/>
        <v>0</v>
      </c>
      <c r="AK220" s="265" t="b">
        <f t="shared" si="102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104"/>
        <v>43307</v>
      </c>
      <c r="B221" s="618">
        <v>53.863</v>
      </c>
      <c r="C221" s="390"/>
      <c r="D221" s="393">
        <f t="shared" si="80"/>
        <v>53.938556999515036</v>
      </c>
      <c r="E221" s="385">
        <f t="shared" si="77"/>
        <v>54.392479039275017</v>
      </c>
      <c r="F221" s="385">
        <f t="shared" si="78"/>
        <v>54.431799382786856</v>
      </c>
      <c r="G221" s="110">
        <f t="shared" si="79"/>
        <v>0.98891085954415969</v>
      </c>
      <c r="I221" s="380">
        <f t="shared" si="81"/>
        <v>54.431799382786856</v>
      </c>
      <c r="J221" s="85">
        <v>2018</v>
      </c>
      <c r="K221" s="197">
        <f t="shared" si="82"/>
        <v>43307</v>
      </c>
      <c r="L221" s="436">
        <f t="shared" si="83"/>
        <v>1.4007975689026564E-3</v>
      </c>
      <c r="M221" s="968"/>
      <c r="N221" s="968"/>
      <c r="O221" s="324">
        <f t="shared" si="84"/>
        <v>8.3453089062591988E-3</v>
      </c>
      <c r="P221" s="169">
        <f>(INDEX(Models!$BJ221:$BT221,,T221)*(1-R221)+INDEX(Models!$BJ221:$BT221,,T221+1)*R221-ERP_i)*Q221*Ramure*Pc/MaxiM</f>
        <v>7.3399377157620685E-4</v>
      </c>
      <c r="Q221" s="305">
        <f t="shared" si="85"/>
        <v>0.7</v>
      </c>
      <c r="R221" s="177">
        <f t="shared" si="86"/>
        <v>0.43449158234335172</v>
      </c>
      <c r="S221" s="919">
        <f t="shared" si="103"/>
        <v>-2</v>
      </c>
      <c r="T221" s="176">
        <f t="shared" si="87"/>
        <v>4</v>
      </c>
      <c r="U221" s="251">
        <f t="shared" si="88"/>
        <v>-1.5655084176566483</v>
      </c>
      <c r="V221" s="383">
        <f t="shared" si="89"/>
        <v>54.466359001540184</v>
      </c>
      <c r="W221" s="58"/>
      <c r="X221" s="157">
        <f t="shared" si="90"/>
        <v>43307</v>
      </c>
      <c r="Y221" s="385">
        <f t="shared" si="91"/>
        <v>53.863</v>
      </c>
      <c r="Z221" s="385">
        <f t="shared" si="92"/>
        <v>53.938556999515036</v>
      </c>
      <c r="AA221" s="386">
        <f t="shared" si="93"/>
        <v>54.392479039275017</v>
      </c>
      <c r="AB221" s="197">
        <f t="shared" si="94"/>
        <v>43307</v>
      </c>
      <c r="AC221" s="425">
        <f t="shared" si="95"/>
        <v>8.3453089062591988E-3</v>
      </c>
      <c r="AD221" s="169">
        <f>(INDEX(Models!$BJ221:$BT221,,AH221)*(1-AF221)+INDEX(Models!$BJ221:$BT221,,AH221+1)*AF221-ERP_i)*AE221*Ramure*Pc/MaxiM</f>
        <v>7.3399377157620685E-4</v>
      </c>
      <c r="AE221" s="305">
        <f t="shared" si="96"/>
        <v>0.7</v>
      </c>
      <c r="AF221" s="177">
        <f t="shared" si="97"/>
        <v>0.43449158234335172</v>
      </c>
      <c r="AG221" s="919">
        <f t="shared" si="98"/>
        <v>-2</v>
      </c>
      <c r="AH221" s="176">
        <f t="shared" si="99"/>
        <v>4</v>
      </c>
      <c r="AI221" s="225">
        <f t="shared" si="100"/>
        <v>-1.5655084176566483</v>
      </c>
      <c r="AJ221" s="265" t="b">
        <f t="shared" si="101"/>
        <v>0</v>
      </c>
      <c r="AK221" s="265" t="b">
        <f t="shared" si="102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104"/>
        <v>43308</v>
      </c>
      <c r="B222" s="618">
        <v>49.65</v>
      </c>
      <c r="C222" s="390"/>
      <c r="D222" s="393">
        <f t="shared" si="80"/>
        <v>49.720736172596723</v>
      </c>
      <c r="E222" s="385">
        <f t="shared" si="77"/>
        <v>50.145565538673821</v>
      </c>
      <c r="F222" s="385">
        <f t="shared" si="78"/>
        <v>50.176872336007754</v>
      </c>
      <c r="G222" s="110">
        <f t="shared" si="79"/>
        <v>0.9133408565394604</v>
      </c>
      <c r="I222" s="380">
        <f t="shared" si="81"/>
        <v>50.176872336007754</v>
      </c>
      <c r="J222" s="85">
        <v>2018</v>
      </c>
      <c r="K222" s="197">
        <f t="shared" si="82"/>
        <v>43308</v>
      </c>
      <c r="L222" s="436">
        <f t="shared" si="83"/>
        <v>1.4226694542731622E-3</v>
      </c>
      <c r="M222" s="968"/>
      <c r="N222" s="968"/>
      <c r="O222" s="324">
        <f t="shared" si="84"/>
        <v>8.471922921069748E-3</v>
      </c>
      <c r="P222" s="169">
        <f>(INDEX(Models!$BJ222:$BT222,,T222)*(1-R222)+INDEX(Models!$BJ222:$BT222,,T222+1)*R222-ERP_i)*Q222*Ramure*Pc/MaxiM</f>
        <v>7.1199052057173765E-4</v>
      </c>
      <c r="Q222" s="305">
        <f t="shared" si="85"/>
        <v>0.7</v>
      </c>
      <c r="R222" s="177">
        <f t="shared" si="86"/>
        <v>0.43680242384831769</v>
      </c>
      <c r="S222" s="919">
        <f t="shared" si="103"/>
        <v>-2</v>
      </c>
      <c r="T222" s="176">
        <f t="shared" si="87"/>
        <v>4</v>
      </c>
      <c r="U222" s="251">
        <f t="shared" si="88"/>
        <v>-1.5631975761516823</v>
      </c>
      <c r="V222" s="383">
        <f t="shared" si="89"/>
        <v>54.356075995071393</v>
      </c>
      <c r="W222" s="58"/>
      <c r="X222" s="157">
        <f t="shared" si="90"/>
        <v>43308</v>
      </c>
      <c r="Y222" s="385">
        <f t="shared" si="91"/>
        <v>49.65</v>
      </c>
      <c r="Z222" s="385">
        <f t="shared" si="92"/>
        <v>49.720736172596723</v>
      </c>
      <c r="AA222" s="386">
        <f t="shared" si="93"/>
        <v>50.145565538673821</v>
      </c>
      <c r="AB222" s="197">
        <f t="shared" si="94"/>
        <v>43308</v>
      </c>
      <c r="AC222" s="425">
        <f t="shared" si="95"/>
        <v>8.471922921069748E-3</v>
      </c>
      <c r="AD222" s="169">
        <f>(INDEX(Models!$BJ222:$BT222,,AH222)*(1-AF222)+INDEX(Models!$BJ222:$BT222,,AH222+1)*AF222-ERP_i)*AE222*Ramure*Pc/MaxiM</f>
        <v>7.1199052057173765E-4</v>
      </c>
      <c r="AE222" s="305">
        <f t="shared" si="96"/>
        <v>0.7</v>
      </c>
      <c r="AF222" s="177">
        <f t="shared" si="97"/>
        <v>0.43680242384831769</v>
      </c>
      <c r="AG222" s="919">
        <f t="shared" si="98"/>
        <v>-2</v>
      </c>
      <c r="AH222" s="176">
        <f t="shared" si="99"/>
        <v>4</v>
      </c>
      <c r="AI222" s="225">
        <f t="shared" si="100"/>
        <v>-1.5631975761516823</v>
      </c>
      <c r="AJ222" s="265" t="b">
        <f t="shared" si="101"/>
        <v>0</v>
      </c>
      <c r="AK222" s="265" t="b">
        <f t="shared" si="102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104"/>
        <v>43309</v>
      </c>
      <c r="B223" s="618">
        <v>24.204999999999998</v>
      </c>
      <c r="C223" s="390"/>
      <c r="D223" s="393">
        <f t="shared" si="80"/>
        <v>24.240015693130147</v>
      </c>
      <c r="E223" s="385">
        <f t="shared" si="77"/>
        <v>24.450248451377362</v>
      </c>
      <c r="F223" s="385">
        <f t="shared" si="78"/>
        <v>24.453770291225343</v>
      </c>
      <c r="G223" s="110">
        <f t="shared" si="79"/>
        <v>0.44596520051169575</v>
      </c>
      <c r="I223" s="380">
        <f t="shared" si="81"/>
        <v>24.453770291225343</v>
      </c>
      <c r="J223" s="85">
        <v>2018</v>
      </c>
      <c r="K223" s="197">
        <f t="shared" si="82"/>
        <v>43309</v>
      </c>
      <c r="L223" s="436">
        <f t="shared" si="83"/>
        <v>1.444540860593313E-3</v>
      </c>
      <c r="M223" s="968"/>
      <c r="N223" s="968"/>
      <c r="O223" s="324">
        <f t="shared" si="84"/>
        <v>8.5983894464422977E-3</v>
      </c>
      <c r="P223" s="169">
        <f>(INDEX(Models!$BJ223:$BT223,,T223)*(1-R223)+INDEX(Models!$BJ223:$BT223,,T223+1)*R223-ERP_i)*Q223*Ramure*Pc/MaxiM</f>
        <v>6.8952301487033895E-4</v>
      </c>
      <c r="Q223" s="305">
        <f t="shared" si="85"/>
        <v>0.7</v>
      </c>
      <c r="R223" s="177">
        <f t="shared" si="86"/>
        <v>0.4390434232348992</v>
      </c>
      <c r="S223" s="919">
        <f t="shared" si="103"/>
        <v>-2</v>
      </c>
      <c r="T223" s="176">
        <f t="shared" si="87"/>
        <v>4</v>
      </c>
      <c r="U223" s="251">
        <f t="shared" si="88"/>
        <v>-1.5609565767651008</v>
      </c>
      <c r="V223" s="383">
        <f t="shared" si="89"/>
        <v>54.245923622819994</v>
      </c>
      <c r="W223" s="58"/>
      <c r="X223" s="157">
        <f t="shared" si="90"/>
        <v>43309</v>
      </c>
      <c r="Y223" s="385">
        <f t="shared" si="91"/>
        <v>24.204999999999998</v>
      </c>
      <c r="Z223" s="385">
        <f t="shared" si="92"/>
        <v>24.240015693130147</v>
      </c>
      <c r="AA223" s="386">
        <f t="shared" si="93"/>
        <v>24.450248451377362</v>
      </c>
      <c r="AB223" s="197">
        <f t="shared" si="94"/>
        <v>43309</v>
      </c>
      <c r="AC223" s="425">
        <f t="shared" si="95"/>
        <v>8.5983894464422977E-3</v>
      </c>
      <c r="AD223" s="169">
        <f>(INDEX(Models!$BJ223:$BT223,,AH223)*(1-AF223)+INDEX(Models!$BJ223:$BT223,,AH223+1)*AF223-ERP_i)*AE223*Ramure*Pc/MaxiM</f>
        <v>6.8952301487033895E-4</v>
      </c>
      <c r="AE223" s="305">
        <f t="shared" si="96"/>
        <v>0.7</v>
      </c>
      <c r="AF223" s="177">
        <f t="shared" si="97"/>
        <v>0.4390434232348992</v>
      </c>
      <c r="AG223" s="919">
        <f t="shared" si="98"/>
        <v>-2</v>
      </c>
      <c r="AH223" s="176">
        <f t="shared" si="99"/>
        <v>4</v>
      </c>
      <c r="AI223" s="225">
        <f t="shared" si="100"/>
        <v>-1.5609565767651008</v>
      </c>
      <c r="AJ223" s="265" t="b">
        <f t="shared" si="101"/>
        <v>0</v>
      </c>
      <c r="AK223" s="265" t="b">
        <f t="shared" si="102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104"/>
        <v>43310</v>
      </c>
      <c r="B224" s="618">
        <v>53.170999999999999</v>
      </c>
      <c r="C224" s="390"/>
      <c r="D224" s="393">
        <f t="shared" si="80"/>
        <v>53.24908508606368</v>
      </c>
      <c r="E224" s="385">
        <f t="shared" si="77"/>
        <v>53.717756906330109</v>
      </c>
      <c r="F224" s="385">
        <f t="shared" si="78"/>
        <v>53.752676617864829</v>
      </c>
      <c r="G224" s="110">
        <f t="shared" si="79"/>
        <v>0.98216157798003678</v>
      </c>
      <c r="I224" s="380">
        <f t="shared" si="81"/>
        <v>53.752676617864829</v>
      </c>
      <c r="J224" s="85">
        <v>2018</v>
      </c>
      <c r="K224" s="197">
        <f t="shared" si="82"/>
        <v>43310</v>
      </c>
      <c r="L224" s="436">
        <f t="shared" si="83"/>
        <v>1.466411787873434E-3</v>
      </c>
      <c r="M224" s="968"/>
      <c r="N224" s="968"/>
      <c r="O224" s="324">
        <f t="shared" si="84"/>
        <v>8.7247094305085947E-3</v>
      </c>
      <c r="P224" s="169">
        <f>(INDEX(Models!$BJ224:$BT224,,T224)*(1-R224)+INDEX(Models!$BJ224:$BT224,,T224+1)*R224-ERP_i)*Q224*Ramure*Pc/MaxiM</f>
        <v>6.6660830324959531E-4</v>
      </c>
      <c r="Q224" s="305">
        <f t="shared" si="85"/>
        <v>0.7</v>
      </c>
      <c r="R224" s="177">
        <f t="shared" si="86"/>
        <v>0.44121589223893265</v>
      </c>
      <c r="S224" s="919">
        <f t="shared" si="103"/>
        <v>-2</v>
      </c>
      <c r="T224" s="176">
        <f t="shared" si="87"/>
        <v>4</v>
      </c>
      <c r="U224" s="251">
        <f t="shared" si="88"/>
        <v>-1.5587841077610674</v>
      </c>
      <c r="V224" s="383">
        <f t="shared" si="89"/>
        <v>54.135794158945068</v>
      </c>
      <c r="W224" s="58"/>
      <c r="X224" s="157">
        <f t="shared" si="90"/>
        <v>43310</v>
      </c>
      <c r="Y224" s="385">
        <f t="shared" si="91"/>
        <v>53.170999999999999</v>
      </c>
      <c r="Z224" s="385">
        <f t="shared" si="92"/>
        <v>53.24908508606368</v>
      </c>
      <c r="AA224" s="386">
        <f t="shared" si="93"/>
        <v>53.717756906330109</v>
      </c>
      <c r="AB224" s="197">
        <f t="shared" si="94"/>
        <v>43310</v>
      </c>
      <c r="AC224" s="425">
        <f t="shared" si="95"/>
        <v>8.7247094305085947E-3</v>
      </c>
      <c r="AD224" s="169">
        <f>(INDEX(Models!$BJ224:$BT224,,AH224)*(1-AF224)+INDEX(Models!$BJ224:$BT224,,AH224+1)*AF224-ERP_i)*AE224*Ramure*Pc/MaxiM</f>
        <v>6.6660830324959531E-4</v>
      </c>
      <c r="AE224" s="305">
        <f t="shared" si="96"/>
        <v>0.7</v>
      </c>
      <c r="AF224" s="177">
        <f t="shared" si="97"/>
        <v>0.44121589223893265</v>
      </c>
      <c r="AG224" s="919">
        <f t="shared" si="98"/>
        <v>-2</v>
      </c>
      <c r="AH224" s="176">
        <f t="shared" si="99"/>
        <v>4</v>
      </c>
      <c r="AI224" s="225">
        <f t="shared" si="100"/>
        <v>-1.5587841077610674</v>
      </c>
      <c r="AJ224" s="265" t="b">
        <f t="shared" si="101"/>
        <v>0</v>
      </c>
      <c r="AK224" s="265" t="b">
        <f t="shared" si="102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104"/>
        <v>43311</v>
      </c>
      <c r="B225" s="618">
        <v>52.948</v>
      </c>
      <c r="C225" s="390"/>
      <c r="D225" s="393">
        <f t="shared" si="80"/>
        <v>53.026919021616266</v>
      </c>
      <c r="E225" s="385">
        <f t="shared" si="77"/>
        <v>53.500445242372969</v>
      </c>
      <c r="F225" s="385">
        <f t="shared" si="78"/>
        <v>53.533900381500366</v>
      </c>
      <c r="G225" s="110">
        <f t="shared" si="79"/>
        <v>0.98003628884459848</v>
      </c>
      <c r="I225" s="380">
        <f t="shared" si="81"/>
        <v>53.533900381500366</v>
      </c>
      <c r="J225" s="85">
        <v>2018</v>
      </c>
      <c r="K225" s="197">
        <f t="shared" si="82"/>
        <v>43311</v>
      </c>
      <c r="L225" s="436">
        <f t="shared" si="83"/>
        <v>1.4882822361241832E-3</v>
      </c>
      <c r="M225" s="968"/>
      <c r="N225" s="968"/>
      <c r="O225" s="324">
        <f t="shared" si="84"/>
        <v>8.8508837377237748E-3</v>
      </c>
      <c r="P225" s="169">
        <f>(INDEX(Models!$BJ225:$BT225,,T225)*(1-R225)+INDEX(Models!$BJ225:$BT225,,T225+1)*R225-ERP_i)*Q225*Ramure*Pc/MaxiM</f>
        <v>6.4326278418712986E-4</v>
      </c>
      <c r="Q225" s="305">
        <f t="shared" si="85"/>
        <v>0.7</v>
      </c>
      <c r="R225" s="177">
        <f t="shared" si="86"/>
        <v>0.44332117578581487</v>
      </c>
      <c r="S225" s="919">
        <f t="shared" si="103"/>
        <v>-2</v>
      </c>
      <c r="T225" s="176">
        <f t="shared" si="87"/>
        <v>4</v>
      </c>
      <c r="U225" s="251">
        <f t="shared" si="88"/>
        <v>-1.5566788242141851</v>
      </c>
      <c r="V225" s="383">
        <f t="shared" si="89"/>
        <v>54.02557997916692</v>
      </c>
      <c r="W225" s="58"/>
      <c r="X225" s="157">
        <f t="shared" si="90"/>
        <v>43311</v>
      </c>
      <c r="Y225" s="385">
        <f t="shared" si="91"/>
        <v>52.948</v>
      </c>
      <c r="Z225" s="385">
        <f t="shared" si="92"/>
        <v>53.026919021616266</v>
      </c>
      <c r="AA225" s="386">
        <f t="shared" si="93"/>
        <v>53.500445242372969</v>
      </c>
      <c r="AB225" s="197">
        <f t="shared" si="94"/>
        <v>43311</v>
      </c>
      <c r="AC225" s="425">
        <f t="shared" si="95"/>
        <v>8.8508837377237748E-3</v>
      </c>
      <c r="AD225" s="169">
        <f>(INDEX(Models!$BJ225:$BT225,,AH225)*(1-AF225)+INDEX(Models!$BJ225:$BT225,,AH225+1)*AF225-ERP_i)*AE225*Ramure*Pc/MaxiM</f>
        <v>6.4326278418712986E-4</v>
      </c>
      <c r="AE225" s="305">
        <f t="shared" si="96"/>
        <v>0.7</v>
      </c>
      <c r="AF225" s="177">
        <f t="shared" si="97"/>
        <v>0.44332117578581487</v>
      </c>
      <c r="AG225" s="919">
        <f t="shared" si="98"/>
        <v>-2</v>
      </c>
      <c r="AH225" s="176">
        <f t="shared" si="99"/>
        <v>4</v>
      </c>
      <c r="AI225" s="225">
        <f t="shared" si="100"/>
        <v>-1.5566788242141851</v>
      </c>
      <c r="AJ225" s="265" t="b">
        <f t="shared" si="101"/>
        <v>0</v>
      </c>
      <c r="AK225" s="265" t="b">
        <f t="shared" si="102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104"/>
        <v>43312</v>
      </c>
      <c r="B226" s="618">
        <v>49.58</v>
      </c>
      <c r="C226" s="390"/>
      <c r="D226" s="393">
        <f t="shared" si="80"/>
        <v>49.654986587502037</v>
      </c>
      <c r="E226" s="385">
        <f t="shared" si="77"/>
        <v>50.104772780313411</v>
      </c>
      <c r="F226" s="385">
        <f t="shared" si="78"/>
        <v>50.132274372667354</v>
      </c>
      <c r="G226" s="110">
        <f t="shared" si="79"/>
        <v>0.91952744471494174</v>
      </c>
      <c r="I226" s="380">
        <f t="shared" si="81"/>
        <v>50.132274372667354</v>
      </c>
      <c r="J226" s="85">
        <v>2018</v>
      </c>
      <c r="K226" s="197">
        <f t="shared" si="82"/>
        <v>43312</v>
      </c>
      <c r="L226" s="436">
        <f t="shared" si="83"/>
        <v>1.5101522053559968E-3</v>
      </c>
      <c r="M226" s="968"/>
      <c r="N226" s="968"/>
      <c r="O226" s="324">
        <f t="shared" si="84"/>
        <v>8.9769131332753747E-3</v>
      </c>
      <c r="P226" s="169">
        <f>(INDEX(Models!$BJ226:$BT226,,T226)*(1-R226)+INDEX(Models!$BJ226:$BT226,,T226+1)*R226-ERP_i)*Q226*Ramure*Pc/MaxiM</f>
        <v>6.1977207803053287E-4</v>
      </c>
      <c r="Q226" s="305">
        <f t="shared" si="85"/>
        <v>0.7</v>
      </c>
      <c r="R226" s="177">
        <f t="shared" si="86"/>
        <v>0.44536064685128807</v>
      </c>
      <c r="S226" s="919">
        <f t="shared" si="103"/>
        <v>-2</v>
      </c>
      <c r="T226" s="176">
        <f t="shared" si="87"/>
        <v>4</v>
      </c>
      <c r="U226" s="251">
        <f t="shared" si="88"/>
        <v>-1.5546393531487119</v>
      </c>
      <c r="V226" s="383">
        <f t="shared" si="89"/>
        <v>53.915159001831277</v>
      </c>
      <c r="W226" s="58"/>
      <c r="X226" s="157">
        <f t="shared" si="90"/>
        <v>43312</v>
      </c>
      <c r="Y226" s="385">
        <f t="shared" si="91"/>
        <v>49.58</v>
      </c>
      <c r="Z226" s="385">
        <f t="shared" si="92"/>
        <v>49.654986587502037</v>
      </c>
      <c r="AA226" s="386">
        <f t="shared" si="93"/>
        <v>50.104772780313411</v>
      </c>
      <c r="AB226" s="197">
        <f t="shared" si="94"/>
        <v>43312</v>
      </c>
      <c r="AC226" s="425">
        <f t="shared" si="95"/>
        <v>8.9769131332753747E-3</v>
      </c>
      <c r="AD226" s="169">
        <f>(INDEX(Models!$BJ226:$BT226,,AH226)*(1-AF226)+INDEX(Models!$BJ226:$BT226,,AH226+1)*AF226-ERP_i)*AE226*Ramure*Pc/MaxiM</f>
        <v>6.1977207803053287E-4</v>
      </c>
      <c r="AE226" s="305">
        <f t="shared" si="96"/>
        <v>0.7</v>
      </c>
      <c r="AF226" s="177">
        <f t="shared" si="97"/>
        <v>0.44536064685128807</v>
      </c>
      <c r="AG226" s="919">
        <f t="shared" si="98"/>
        <v>-2</v>
      </c>
      <c r="AH226" s="176">
        <f t="shared" si="99"/>
        <v>4</v>
      </c>
      <c r="AI226" s="225">
        <f t="shared" si="100"/>
        <v>-1.5546393531487119</v>
      </c>
      <c r="AJ226" s="265" t="b">
        <f t="shared" si="101"/>
        <v>0</v>
      </c>
      <c r="AK226" s="265" t="b">
        <f t="shared" si="102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104"/>
        <v>43313</v>
      </c>
      <c r="B227" s="618">
        <v>51.976999999999997</v>
      </c>
      <c r="C227" s="390"/>
      <c r="D227" s="393">
        <f t="shared" si="80"/>
        <v>52.056752073578117</v>
      </c>
      <c r="E227" s="385">
        <f t="shared" si="77"/>
        <v>52.534967282829975</v>
      </c>
      <c r="F227" s="385">
        <f t="shared" si="78"/>
        <v>52.564784252265206</v>
      </c>
      <c r="G227" s="110">
        <f t="shared" si="79"/>
        <v>0.96600786295082974</v>
      </c>
      <c r="I227" s="380">
        <f t="shared" si="81"/>
        <v>52.564784252265206</v>
      </c>
      <c r="J227" s="85">
        <v>2018</v>
      </c>
      <c r="K227" s="197">
        <f t="shared" si="82"/>
        <v>43313</v>
      </c>
      <c r="L227" s="436">
        <f t="shared" si="83"/>
        <v>1.5320216955794219E-3</v>
      </c>
      <c r="M227" s="968"/>
      <c r="N227" s="968"/>
      <c r="O227" s="324">
        <f t="shared" si="84"/>
        <v>9.1027982691473594E-3</v>
      </c>
      <c r="P227" s="169">
        <f>(INDEX(Models!$BJ227:$BT227,,T227)*(1-R227)+INDEX(Models!$BJ227:$BT227,,T227+1)*R227-ERP_i)*Q227*Ramure*Pc/MaxiM</f>
        <v>5.961685554221061E-4</v>
      </c>
      <c r="Q227" s="305">
        <f t="shared" si="85"/>
        <v>0.7</v>
      </c>
      <c r="R227" s="177">
        <f t="shared" si="86"/>
        <v>0.44733570157995728</v>
      </c>
      <c r="S227" s="919">
        <f t="shared" si="103"/>
        <v>-2</v>
      </c>
      <c r="T227" s="176">
        <f t="shared" si="87"/>
        <v>4</v>
      </c>
      <c r="U227" s="251">
        <f t="shared" si="88"/>
        <v>-1.5526642984200427</v>
      </c>
      <c r="V227" s="383">
        <f t="shared" si="89"/>
        <v>53.804422966325554</v>
      </c>
      <c r="W227" s="58"/>
      <c r="X227" s="157">
        <f t="shared" si="90"/>
        <v>43313</v>
      </c>
      <c r="Y227" s="385">
        <f t="shared" si="91"/>
        <v>51.976999999999997</v>
      </c>
      <c r="Z227" s="385">
        <f t="shared" si="92"/>
        <v>52.056752073578117</v>
      </c>
      <c r="AA227" s="386">
        <f t="shared" si="93"/>
        <v>52.534967282829975</v>
      </c>
      <c r="AB227" s="197">
        <f t="shared" si="94"/>
        <v>43313</v>
      </c>
      <c r="AC227" s="425">
        <f t="shared" si="95"/>
        <v>9.1027982691473594E-3</v>
      </c>
      <c r="AD227" s="169">
        <f>(INDEX(Models!$BJ227:$BT227,,AH227)*(1-AF227)+INDEX(Models!$BJ227:$BT227,,AH227+1)*AF227-ERP_i)*AE227*Ramure*Pc/MaxiM</f>
        <v>5.961685554221061E-4</v>
      </c>
      <c r="AE227" s="305">
        <f t="shared" si="96"/>
        <v>0.7</v>
      </c>
      <c r="AF227" s="177">
        <f t="shared" si="97"/>
        <v>0.44733570157995728</v>
      </c>
      <c r="AG227" s="919">
        <f t="shared" si="98"/>
        <v>-2</v>
      </c>
      <c r="AH227" s="176">
        <f t="shared" si="99"/>
        <v>4</v>
      </c>
      <c r="AI227" s="225">
        <f t="shared" si="100"/>
        <v>-1.5526642984200427</v>
      </c>
      <c r="AJ227" s="265" t="b">
        <f t="shared" si="101"/>
        <v>0</v>
      </c>
      <c r="AK227" s="265" t="b">
        <f t="shared" si="102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104"/>
        <v>43314</v>
      </c>
      <c r="B228" s="618">
        <v>52.179000000000002</v>
      </c>
      <c r="C228" s="390"/>
      <c r="D228" s="393">
        <f t="shared" si="80"/>
        <v>52.260206649448278</v>
      </c>
      <c r="E228" s="385">
        <f t="shared" si="77"/>
        <v>52.746984286508749</v>
      </c>
      <c r="F228" s="385">
        <f t="shared" si="78"/>
        <v>52.775979801874328</v>
      </c>
      <c r="G228" s="110">
        <f t="shared" si="79"/>
        <v>0.97177544467619947</v>
      </c>
      <c r="I228" s="380">
        <f t="shared" si="81"/>
        <v>52.775979801874328</v>
      </c>
      <c r="J228" s="85">
        <v>2018</v>
      </c>
      <c r="K228" s="197">
        <f t="shared" si="82"/>
        <v>43314</v>
      </c>
      <c r="L228" s="436">
        <f t="shared" si="83"/>
        <v>1.5538907068047836E-3</v>
      </c>
      <c r="M228" s="968"/>
      <c r="N228" s="968"/>
      <c r="O228" s="324">
        <f t="shared" si="84"/>
        <v>9.2285396718874615E-3</v>
      </c>
      <c r="P228" s="169">
        <f>(INDEX(Models!$BJ228:$BT228,,T228)*(1-R228)+INDEX(Models!$BJ228:$BT228,,T228+1)*R228-ERP_i)*Q228*Ramure*Pc/MaxiM</f>
        <v>5.7247159738426441E-4</v>
      </c>
      <c r="Q228" s="305">
        <f t="shared" si="85"/>
        <v>0.7</v>
      </c>
      <c r="R228" s="177">
        <f t="shared" si="86"/>
        <v>0.4492477546645941</v>
      </c>
      <c r="S228" s="919">
        <f t="shared" si="103"/>
        <v>-2</v>
      </c>
      <c r="T228" s="176">
        <f t="shared" si="87"/>
        <v>4</v>
      </c>
      <c r="U228" s="251">
        <f t="shared" si="88"/>
        <v>-1.5507522453354059</v>
      </c>
      <c r="V228" s="383">
        <f t="shared" si="89"/>
        <v>53.693264384322212</v>
      </c>
      <c r="W228" s="58"/>
      <c r="X228" s="157">
        <f t="shared" si="90"/>
        <v>43314</v>
      </c>
      <c r="Y228" s="385">
        <f t="shared" si="91"/>
        <v>52.179000000000002</v>
      </c>
      <c r="Z228" s="385">
        <f t="shared" si="92"/>
        <v>52.260206649448278</v>
      </c>
      <c r="AA228" s="386">
        <f t="shared" si="93"/>
        <v>52.746984286508749</v>
      </c>
      <c r="AB228" s="197">
        <f t="shared" si="94"/>
        <v>43314</v>
      </c>
      <c r="AC228" s="425">
        <f t="shared" si="95"/>
        <v>9.2285396718874615E-3</v>
      </c>
      <c r="AD228" s="169">
        <f>(INDEX(Models!$BJ228:$BT228,,AH228)*(1-AF228)+INDEX(Models!$BJ228:$BT228,,AH228+1)*AF228-ERP_i)*AE228*Ramure*Pc/MaxiM</f>
        <v>5.7247159738426441E-4</v>
      </c>
      <c r="AE228" s="305">
        <f t="shared" si="96"/>
        <v>0.7</v>
      </c>
      <c r="AF228" s="177">
        <f t="shared" si="97"/>
        <v>0.4492477546645941</v>
      </c>
      <c r="AG228" s="919">
        <f t="shared" si="98"/>
        <v>-2</v>
      </c>
      <c r="AH228" s="176">
        <f t="shared" si="99"/>
        <v>4</v>
      </c>
      <c r="AI228" s="225">
        <f t="shared" si="100"/>
        <v>-1.5507522453354059</v>
      </c>
      <c r="AJ228" s="265" t="b">
        <f t="shared" si="101"/>
        <v>0</v>
      </c>
      <c r="AK228" s="265" t="b">
        <f t="shared" si="102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104"/>
        <v>43315</v>
      </c>
      <c r="B229" s="618">
        <v>52.386000000000003</v>
      </c>
      <c r="C229" s="390"/>
      <c r="D229" s="393">
        <f t="shared" si="80"/>
        <v>52.468678004125358</v>
      </c>
      <c r="E229" s="385">
        <f t="shared" si="77"/>
        <v>52.964111598879668</v>
      </c>
      <c r="F229" s="385">
        <f t="shared" ref="F229:F260" si="105">Wh_sa/(1-Pvg*MEDIAN((-Sdif+Wh/Env_an)/Csdif,0,1))</f>
        <v>52.992261584873972</v>
      </c>
      <c r="G229" s="110">
        <f t="shared" si="79"/>
        <v>0.97766970083339366</v>
      </c>
      <c r="I229" s="380">
        <f t="shared" si="81"/>
        <v>52.992261584873972</v>
      </c>
      <c r="J229" s="85">
        <v>2018</v>
      </c>
      <c r="K229" s="197">
        <f t="shared" si="82"/>
        <v>43315</v>
      </c>
      <c r="L229" s="436">
        <f t="shared" si="83"/>
        <v>1.5757592390426289E-3</v>
      </c>
      <c r="M229" s="968"/>
      <c r="N229" s="968"/>
      <c r="O229" s="324">
        <f t="shared" si="84"/>
        <v>9.3541377321013572E-3</v>
      </c>
      <c r="P229" s="169">
        <f>(INDEX(Models!$BJ229:$BT229,,T229)*(1-R229)+INDEX(Models!$BJ229:$BT229,,T229+1)*R229-ERP_i)*Q229*Ramure*Pc/MaxiM</f>
        <v>5.4869971625851131E-4</v>
      </c>
      <c r="Q229" s="305">
        <f t="shared" si="85"/>
        <v>0.7</v>
      </c>
      <c r="R229" s="177">
        <f t="shared" si="86"/>
        <v>0.45109823498731716</v>
      </c>
      <c r="S229" s="919">
        <f t="shared" si="103"/>
        <v>-2</v>
      </c>
      <c r="T229" s="176">
        <f t="shared" si="87"/>
        <v>4</v>
      </c>
      <c r="U229" s="251">
        <f t="shared" si="88"/>
        <v>-1.5489017650126828</v>
      </c>
      <c r="V229" s="383">
        <f t="shared" si="89"/>
        <v>53.581575883132388</v>
      </c>
      <c r="W229" s="58"/>
      <c r="X229" s="157">
        <f t="shared" si="90"/>
        <v>43315</v>
      </c>
      <c r="Y229" s="385">
        <f t="shared" si="91"/>
        <v>52.386000000000003</v>
      </c>
      <c r="Z229" s="385">
        <f t="shared" si="92"/>
        <v>52.468678004125358</v>
      </c>
      <c r="AA229" s="386">
        <f t="shared" si="93"/>
        <v>52.964111598879668</v>
      </c>
      <c r="AB229" s="197">
        <f t="shared" si="94"/>
        <v>43315</v>
      </c>
      <c r="AC229" s="425">
        <f t="shared" si="95"/>
        <v>9.3541377321013572E-3</v>
      </c>
      <c r="AD229" s="169">
        <f>(INDEX(Models!$BJ229:$BT229,,AH229)*(1-AF229)+INDEX(Models!$BJ229:$BT229,,AH229+1)*AF229-ERP_i)*AE229*Ramure*Pc/MaxiM</f>
        <v>5.4869971625851131E-4</v>
      </c>
      <c r="AE229" s="305">
        <f t="shared" si="96"/>
        <v>0.7</v>
      </c>
      <c r="AF229" s="177">
        <f t="shared" si="97"/>
        <v>0.45109823498731716</v>
      </c>
      <c r="AG229" s="919">
        <f t="shared" si="98"/>
        <v>-2</v>
      </c>
      <c r="AH229" s="176">
        <f t="shared" si="99"/>
        <v>4</v>
      </c>
      <c r="AI229" s="225">
        <f t="shared" si="100"/>
        <v>-1.5489017650126828</v>
      </c>
      <c r="AJ229" s="265" t="b">
        <f t="shared" si="101"/>
        <v>0</v>
      </c>
      <c r="AK229" s="265" t="b">
        <f t="shared" si="102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104"/>
        <v>43316</v>
      </c>
      <c r="B230" s="618">
        <v>50.515000000000001</v>
      </c>
      <c r="C230" s="390"/>
      <c r="D230" s="393">
        <f t="shared" si="80"/>
        <v>50.595833284131572</v>
      </c>
      <c r="E230" s="385">
        <f t="shared" si="77"/>
        <v>51.080051365954908</v>
      </c>
      <c r="F230" s="385">
        <f t="shared" si="105"/>
        <v>51.104757564979195</v>
      </c>
      <c r="G230" s="110">
        <f t="shared" si="79"/>
        <v>0.94470945529573191</v>
      </c>
      <c r="I230" s="380">
        <f t="shared" si="81"/>
        <v>51.104757564979195</v>
      </c>
      <c r="J230" s="85">
        <v>2018</v>
      </c>
      <c r="K230" s="197">
        <f t="shared" si="82"/>
        <v>43316</v>
      </c>
      <c r="L230" s="436">
        <f t="shared" si="83"/>
        <v>1.5976272923036161E-3</v>
      </c>
      <c r="M230" s="968"/>
      <c r="N230" s="968"/>
      <c r="O230" s="324">
        <f t="shared" si="84"/>
        <v>9.4795926956735468E-3</v>
      </c>
      <c r="P230" s="169">
        <f>(INDEX(Models!$BJ230:$BT230,,T230)*(1-R230)+INDEX(Models!$BJ230:$BT230,,T230+1)*R230-ERP_i)*Q230*Ramure*Pc/MaxiM</f>
        <v>5.248705750423374E-4</v>
      </c>
      <c r="Q230" s="305">
        <f t="shared" si="85"/>
        <v>0.7</v>
      </c>
      <c r="R230" s="177">
        <f t="shared" si="86"/>
        <v>0.45288858152199385</v>
      </c>
      <c r="S230" s="919">
        <f t="shared" si="103"/>
        <v>-2</v>
      </c>
      <c r="T230" s="176">
        <f t="shared" si="87"/>
        <v>4</v>
      </c>
      <c r="U230" s="251">
        <f t="shared" si="88"/>
        <v>-1.5471114184780062</v>
      </c>
      <c r="V230" s="383">
        <f t="shared" si="89"/>
        <v>53.469250204736049</v>
      </c>
      <c r="W230" s="58"/>
      <c r="X230" s="157">
        <f t="shared" si="90"/>
        <v>43316</v>
      </c>
      <c r="Y230" s="385">
        <f t="shared" si="91"/>
        <v>50.515000000000001</v>
      </c>
      <c r="Z230" s="385">
        <f t="shared" si="92"/>
        <v>50.595833284131572</v>
      </c>
      <c r="AA230" s="386">
        <f t="shared" si="93"/>
        <v>51.080051365954908</v>
      </c>
      <c r="AB230" s="197">
        <f t="shared" si="94"/>
        <v>43316</v>
      </c>
      <c r="AC230" s="425">
        <f t="shared" si="95"/>
        <v>9.4795926956735468E-3</v>
      </c>
      <c r="AD230" s="169">
        <f>(INDEX(Models!$BJ230:$BT230,,AH230)*(1-AF230)+INDEX(Models!$BJ230:$BT230,,AH230+1)*AF230-ERP_i)*AE230*Ramure*Pc/MaxiM</f>
        <v>5.248705750423374E-4</v>
      </c>
      <c r="AE230" s="305">
        <f t="shared" si="96"/>
        <v>0.7</v>
      </c>
      <c r="AF230" s="177">
        <f t="shared" si="97"/>
        <v>0.45288858152199385</v>
      </c>
      <c r="AG230" s="919">
        <f t="shared" si="98"/>
        <v>-2</v>
      </c>
      <c r="AH230" s="176">
        <f t="shared" si="99"/>
        <v>4</v>
      </c>
      <c r="AI230" s="225">
        <f t="shared" si="100"/>
        <v>-1.5471114184780062</v>
      </c>
      <c r="AJ230" s="265" t="b">
        <f t="shared" si="101"/>
        <v>0</v>
      </c>
      <c r="AK230" s="265" t="b">
        <f t="shared" si="102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104"/>
        <v>43317</v>
      </c>
      <c r="B231" s="618">
        <v>51.131999999999998</v>
      </c>
      <c r="C231" s="390"/>
      <c r="D231" s="393">
        <f t="shared" si="80"/>
        <v>51.214942336206597</v>
      </c>
      <c r="E231" s="385">
        <f t="shared" si="77"/>
        <v>51.711627588839676</v>
      </c>
      <c r="F231" s="385">
        <f t="shared" si="105"/>
        <v>51.736003836165686</v>
      </c>
      <c r="G231" s="110">
        <f t="shared" si="79"/>
        <v>0.9582858736100589</v>
      </c>
      <c r="I231" s="380">
        <f t="shared" si="81"/>
        <v>51.736003836165686</v>
      </c>
      <c r="J231" s="85">
        <v>2018</v>
      </c>
      <c r="K231" s="197">
        <f t="shared" si="82"/>
        <v>43317</v>
      </c>
      <c r="L231" s="436">
        <f t="shared" si="83"/>
        <v>1.6194948665980702E-3</v>
      </c>
      <c r="M231" s="968"/>
      <c r="N231" s="968"/>
      <c r="O231" s="324">
        <f t="shared" si="84"/>
        <v>9.6049046566903159E-3</v>
      </c>
      <c r="P231" s="169">
        <f>(INDEX(Models!$BJ231:$BT231,,T231)*(1-R231)+INDEX(Models!$BJ231:$BT231,,T231+1)*R231-ERP_i)*Q231*Ramure*Pc/MaxiM</f>
        <v>5.0100100938738393E-4</v>
      </c>
      <c r="Q231" s="305">
        <f t="shared" si="85"/>
        <v>0.7</v>
      </c>
      <c r="R231" s="177">
        <f t="shared" si="86"/>
        <v>0.45462023949563624</v>
      </c>
      <c r="S231" s="919">
        <f t="shared" si="103"/>
        <v>-2</v>
      </c>
      <c r="T231" s="176">
        <f t="shared" si="87"/>
        <v>4</v>
      </c>
      <c r="U231" s="251">
        <f t="shared" si="88"/>
        <v>-1.5453797605043638</v>
      </c>
      <c r="V231" s="383">
        <f t="shared" si="89"/>
        <v>53.356180203194242</v>
      </c>
      <c r="W231" s="58"/>
      <c r="X231" s="157">
        <f t="shared" si="90"/>
        <v>43317</v>
      </c>
      <c r="Y231" s="385">
        <f t="shared" si="91"/>
        <v>51.131999999999998</v>
      </c>
      <c r="Z231" s="385">
        <f t="shared" si="92"/>
        <v>51.214942336206597</v>
      </c>
      <c r="AA231" s="386">
        <f t="shared" si="93"/>
        <v>51.711627588839676</v>
      </c>
      <c r="AB231" s="197">
        <f t="shared" si="94"/>
        <v>43317</v>
      </c>
      <c r="AC231" s="425">
        <f t="shared" si="95"/>
        <v>9.6049046566903159E-3</v>
      </c>
      <c r="AD231" s="169">
        <f>(INDEX(Models!$BJ231:$BT231,,AH231)*(1-AF231)+INDEX(Models!$BJ231:$BT231,,AH231+1)*AF231-ERP_i)*AE231*Ramure*Pc/MaxiM</f>
        <v>5.0100100938738393E-4</v>
      </c>
      <c r="AE231" s="305">
        <f t="shared" si="96"/>
        <v>0.7</v>
      </c>
      <c r="AF231" s="177">
        <f t="shared" si="97"/>
        <v>0.45462023949563624</v>
      </c>
      <c r="AG231" s="919">
        <f t="shared" si="98"/>
        <v>-2</v>
      </c>
      <c r="AH231" s="176">
        <f t="shared" si="99"/>
        <v>4</v>
      </c>
      <c r="AI231" s="225">
        <f t="shared" si="100"/>
        <v>-1.5453797605043638</v>
      </c>
      <c r="AJ231" s="265" t="b">
        <f t="shared" si="101"/>
        <v>0</v>
      </c>
      <c r="AK231" s="265" t="b">
        <f t="shared" si="102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104"/>
        <v>43318</v>
      </c>
      <c r="B232" s="618">
        <v>51.597999999999999</v>
      </c>
      <c r="C232" s="390"/>
      <c r="D232" s="393">
        <f t="shared" si="80"/>
        <v>51.682830231627413</v>
      </c>
      <c r="E232" s="385">
        <f t="shared" si="77"/>
        <v>52.19064908596134</v>
      </c>
      <c r="F232" s="385">
        <f t="shared" si="105"/>
        <v>52.214461911625534</v>
      </c>
      <c r="G232" s="110">
        <f t="shared" si="79"/>
        <v>0.96909700186013248</v>
      </c>
      <c r="I232" s="380">
        <f t="shared" si="81"/>
        <v>52.214461911625534</v>
      </c>
      <c r="J232" s="85">
        <v>2018</v>
      </c>
      <c r="K232" s="197">
        <f t="shared" si="82"/>
        <v>43318</v>
      </c>
      <c r="L232" s="436">
        <f t="shared" si="83"/>
        <v>1.6413619619365383E-3</v>
      </c>
      <c r="M232" s="968"/>
      <c r="N232" s="968"/>
      <c r="O232" s="324">
        <f t="shared" si="84"/>
        <v>9.7300735520172797E-3</v>
      </c>
      <c r="P232" s="169">
        <f>(INDEX(Models!$BJ232:$BT232,,T232)*(1-R232)+INDEX(Models!$BJ232:$BT232,,T232+1)*R232-ERP_i)*Q232*Ramure*Pc/MaxiM</f>
        <v>4.7710705168130409E-4</v>
      </c>
      <c r="Q232" s="305">
        <f t="shared" si="85"/>
        <v>0.7</v>
      </c>
      <c r="R232" s="177">
        <f t="shared" si="86"/>
        <v>0.45629465680516779</v>
      </c>
      <c r="S232" s="919">
        <f t="shared" si="103"/>
        <v>-2</v>
      </c>
      <c r="T232" s="176">
        <f t="shared" si="87"/>
        <v>4</v>
      </c>
      <c r="U232" s="251">
        <f t="shared" si="88"/>
        <v>-1.5437053431948322</v>
      </c>
      <c r="V232" s="383">
        <f t="shared" si="89"/>
        <v>53.242258844070633</v>
      </c>
      <c r="W232" s="58"/>
      <c r="X232" s="157">
        <f t="shared" si="90"/>
        <v>43318</v>
      </c>
      <c r="Y232" s="385">
        <f t="shared" si="91"/>
        <v>51.597999999999999</v>
      </c>
      <c r="Z232" s="385">
        <f t="shared" si="92"/>
        <v>51.682830231627413</v>
      </c>
      <c r="AA232" s="386">
        <f t="shared" si="93"/>
        <v>52.19064908596134</v>
      </c>
      <c r="AB232" s="197">
        <f t="shared" si="94"/>
        <v>43318</v>
      </c>
      <c r="AC232" s="425">
        <f t="shared" si="95"/>
        <v>9.7300735520172797E-3</v>
      </c>
      <c r="AD232" s="169">
        <f>(INDEX(Models!$BJ232:$BT232,,AH232)*(1-AF232)+INDEX(Models!$BJ232:$BT232,,AH232+1)*AF232-ERP_i)*AE232*Ramure*Pc/MaxiM</f>
        <v>4.7710705168130409E-4</v>
      </c>
      <c r="AE232" s="305">
        <f t="shared" si="96"/>
        <v>0.7</v>
      </c>
      <c r="AF232" s="177">
        <f t="shared" si="97"/>
        <v>0.45629465680516779</v>
      </c>
      <c r="AG232" s="919">
        <f t="shared" si="98"/>
        <v>-2</v>
      </c>
      <c r="AH232" s="176">
        <f t="shared" si="99"/>
        <v>4</v>
      </c>
      <c r="AI232" s="225">
        <f t="shared" si="100"/>
        <v>-1.5437053431948322</v>
      </c>
      <c r="AJ232" s="265" t="b">
        <f t="shared" si="101"/>
        <v>0</v>
      </c>
      <c r="AK232" s="265" t="b">
        <f t="shared" si="102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104"/>
        <v>43319</v>
      </c>
      <c r="B233" s="618">
        <v>30.280999999999999</v>
      </c>
      <c r="C233" s="390"/>
      <c r="D233" s="393">
        <f t="shared" si="80"/>
        <v>30.331448131354186</v>
      </c>
      <c r="E233" s="385">
        <f t="shared" ref="E233:E296" si="106">Wh_pvt/(1-Psa)</f>
        <v>30.63334276179619</v>
      </c>
      <c r="F233" s="385">
        <f t="shared" si="105"/>
        <v>30.638698004627052</v>
      </c>
      <c r="G233" s="110">
        <f t="shared" ref="G233:G296" si="107">+Wh_hp/MaxiM</f>
        <v>0.56981023999486391</v>
      </c>
      <c r="I233" s="380">
        <f t="shared" si="81"/>
        <v>30.638698004627052</v>
      </c>
      <c r="J233" s="85">
        <v>2018</v>
      </c>
      <c r="K233" s="197">
        <f t="shared" si="82"/>
        <v>43319</v>
      </c>
      <c r="L233" s="436">
        <f t="shared" si="83"/>
        <v>1.6632285783294565E-3</v>
      </c>
      <c r="M233" s="968"/>
      <c r="N233" s="968"/>
      <c r="O233" s="324">
        <f t="shared" si="84"/>
        <v>9.8550991574614007E-3</v>
      </c>
      <c r="P233" s="169">
        <f>(INDEX(Models!$BJ233:$BT233,,T233)*(1-R233)+INDEX(Models!$BJ233:$BT233,,T233+1)*R233-ERP_i)*Q233*Ramure*Pc/MaxiM</f>
        <v>4.5320331171536256E-4</v>
      </c>
      <c r="Q233" s="305">
        <f t="shared" si="85"/>
        <v>0.7</v>
      </c>
      <c r="R233" s="177">
        <f t="shared" si="86"/>
        <v>0.45791328068473125</v>
      </c>
      <c r="S233" s="919">
        <f t="shared" si="103"/>
        <v>-2</v>
      </c>
      <c r="T233" s="176">
        <f t="shared" si="87"/>
        <v>4</v>
      </c>
      <c r="U233" s="251">
        <f t="shared" si="88"/>
        <v>-1.5420867193152688</v>
      </c>
      <c r="V233" s="383">
        <f t="shared" si="89"/>
        <v>53.127454850338445</v>
      </c>
      <c r="W233" s="58"/>
      <c r="X233" s="157">
        <f t="shared" si="90"/>
        <v>43319</v>
      </c>
      <c r="Y233" s="385">
        <f t="shared" si="91"/>
        <v>30.280999999999999</v>
      </c>
      <c r="Z233" s="385">
        <f t="shared" si="92"/>
        <v>30.331448131354186</v>
      </c>
      <c r="AA233" s="386">
        <f t="shared" si="93"/>
        <v>30.63334276179619</v>
      </c>
      <c r="AB233" s="197">
        <f t="shared" si="94"/>
        <v>43319</v>
      </c>
      <c r="AC233" s="425">
        <f t="shared" si="95"/>
        <v>9.8550991574614007E-3</v>
      </c>
      <c r="AD233" s="169">
        <f>(INDEX(Models!$BJ233:$BT233,,AH233)*(1-AF233)+INDEX(Models!$BJ233:$BT233,,AH233+1)*AF233-ERP_i)*AE233*Ramure*Pc/MaxiM</f>
        <v>4.5320331171536256E-4</v>
      </c>
      <c r="AE233" s="305">
        <f t="shared" si="96"/>
        <v>0.7</v>
      </c>
      <c r="AF233" s="177">
        <f t="shared" si="97"/>
        <v>0.45791328068473125</v>
      </c>
      <c r="AG233" s="919">
        <f t="shared" si="98"/>
        <v>-2</v>
      </c>
      <c r="AH233" s="176">
        <f t="shared" si="99"/>
        <v>4</v>
      </c>
      <c r="AI233" s="225">
        <f t="shared" si="100"/>
        <v>-1.5420867193152688</v>
      </c>
      <c r="AJ233" s="265" t="b">
        <f t="shared" si="101"/>
        <v>0</v>
      </c>
      <c r="AK233" s="265" t="b">
        <f t="shared" si="102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104"/>
        <v>43320</v>
      </c>
      <c r="B234" s="618">
        <v>45.744</v>
      </c>
      <c r="C234" s="390"/>
      <c r="D234" s="393">
        <f t="shared" si="80"/>
        <v>45.821213084038881</v>
      </c>
      <c r="E234" s="385">
        <f t="shared" si="106"/>
        <v>46.283117723493923</v>
      </c>
      <c r="F234" s="385">
        <f t="shared" si="105"/>
        <v>46.299112520745439</v>
      </c>
      <c r="G234" s="110">
        <f t="shared" si="107"/>
        <v>0.86282877097613475</v>
      </c>
      <c r="I234" s="380">
        <f t="shared" si="81"/>
        <v>46.299112520745439</v>
      </c>
      <c r="J234" s="85">
        <v>2018</v>
      </c>
      <c r="K234" s="197">
        <f t="shared" si="82"/>
        <v>43320</v>
      </c>
      <c r="L234" s="436">
        <f t="shared" si="83"/>
        <v>1.6850947157873719E-3</v>
      </c>
      <c r="M234" s="968"/>
      <c r="N234" s="968"/>
      <c r="O234" s="324">
        <f t="shared" si="84"/>
        <v>9.9799810854266802E-3</v>
      </c>
      <c r="P234" s="169">
        <f>(INDEX(Models!$BJ234:$BT234,,T234)*(1-R234)+INDEX(Models!$BJ234:$BT234,,T234+1)*R234-ERP_i)*Q234*Ramure*Pc/MaxiM</f>
        <v>4.2960742940343938E-4</v>
      </c>
      <c r="Q234" s="305">
        <f t="shared" si="85"/>
        <v>0.7</v>
      </c>
      <c r="R234" s="177">
        <f t="shared" si="86"/>
        <v>0.45947755461765283</v>
      </c>
      <c r="S234" s="919">
        <f t="shared" si="103"/>
        <v>-2</v>
      </c>
      <c r="T234" s="176">
        <f t="shared" si="87"/>
        <v>4</v>
      </c>
      <c r="U234" s="251">
        <f t="shared" si="88"/>
        <v>-1.5405224453823472</v>
      </c>
      <c r="V234" s="383">
        <f t="shared" si="89"/>
        <v>53.011850404891824</v>
      </c>
      <c r="W234" s="58"/>
      <c r="X234" s="157">
        <f t="shared" si="90"/>
        <v>43320</v>
      </c>
      <c r="Y234" s="385">
        <f t="shared" si="91"/>
        <v>45.744</v>
      </c>
      <c r="Z234" s="385">
        <f t="shared" si="92"/>
        <v>45.821213084038881</v>
      </c>
      <c r="AA234" s="386">
        <f t="shared" si="93"/>
        <v>46.283117723493923</v>
      </c>
      <c r="AB234" s="197">
        <f t="shared" si="94"/>
        <v>43320</v>
      </c>
      <c r="AC234" s="425">
        <f t="shared" si="95"/>
        <v>9.9799810854266802E-3</v>
      </c>
      <c r="AD234" s="169">
        <f>(INDEX(Models!$BJ234:$BT234,,AH234)*(1-AF234)+INDEX(Models!$BJ234:$BT234,,AH234+1)*AF234-ERP_i)*AE234*Ramure*Pc/MaxiM</f>
        <v>4.2960742940343938E-4</v>
      </c>
      <c r="AE234" s="305">
        <f t="shared" si="96"/>
        <v>0.7</v>
      </c>
      <c r="AF234" s="177">
        <f t="shared" si="97"/>
        <v>0.45947755461765283</v>
      </c>
      <c r="AG234" s="919">
        <f t="shared" si="98"/>
        <v>-2</v>
      </c>
      <c r="AH234" s="176">
        <f t="shared" si="99"/>
        <v>4</v>
      </c>
      <c r="AI234" s="225">
        <f t="shared" si="100"/>
        <v>-1.5405224453823472</v>
      </c>
      <c r="AJ234" s="265" t="b">
        <f t="shared" si="101"/>
        <v>0</v>
      </c>
      <c r="AK234" s="265" t="b">
        <f t="shared" si="102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104"/>
        <v>43321</v>
      </c>
      <c r="B235" s="618">
        <v>14.711</v>
      </c>
      <c r="C235" s="390"/>
      <c r="D235" s="393">
        <f t="shared" si="80"/>
        <v>14.736154031000805</v>
      </c>
      <c r="E235" s="385">
        <f t="shared" si="106"/>
        <v>14.886578722648341</v>
      </c>
      <c r="F235" s="385">
        <f t="shared" si="105"/>
        <v>14.886578722648341</v>
      </c>
      <c r="G235" s="110">
        <f t="shared" si="107"/>
        <v>0.27800121468174843</v>
      </c>
      <c r="I235" s="380">
        <f t="shared" si="81"/>
        <v>14.886578722648341</v>
      </c>
      <c r="J235" s="85">
        <v>2018</v>
      </c>
      <c r="K235" s="197">
        <f t="shared" si="82"/>
        <v>43321</v>
      </c>
      <c r="L235" s="436">
        <f t="shared" si="83"/>
        <v>1.7069603743207207E-3</v>
      </c>
      <c r="M235" s="968"/>
      <c r="N235" s="968"/>
      <c r="O235" s="324">
        <f t="shared" si="84"/>
        <v>1.0104718783952769E-2</v>
      </c>
      <c r="P235" s="169">
        <f>(INDEX(Models!$BJ235:$BT235,,T235)*(1-R235)+INDEX(Models!$BJ235:$BT235,,T235+1)*R235-ERP_i)*Q235*Ramure*Pc/MaxiM</f>
        <v>4.0629744634297491E-4</v>
      </c>
      <c r="Q235" s="305">
        <f t="shared" si="85"/>
        <v>0.7</v>
      </c>
      <c r="R235" s="177">
        <f t="shared" si="86"/>
        <v>0.46098891548628118</v>
      </c>
      <c r="S235" s="919">
        <f t="shared" si="103"/>
        <v>-2</v>
      </c>
      <c r="T235" s="176">
        <f t="shared" si="87"/>
        <v>4</v>
      </c>
      <c r="U235" s="251">
        <f t="shared" si="88"/>
        <v>-1.5390110845137188</v>
      </c>
      <c r="V235" s="383">
        <f t="shared" si="89"/>
        <v>52.895534917359747</v>
      </c>
      <c r="W235" s="58"/>
      <c r="X235" s="157">
        <f t="shared" si="90"/>
        <v>43321</v>
      </c>
      <c r="Y235" s="385">
        <f t="shared" si="91"/>
        <v>14.711</v>
      </c>
      <c r="Z235" s="385">
        <f t="shared" si="92"/>
        <v>14.736154031000805</v>
      </c>
      <c r="AA235" s="386">
        <f t="shared" si="93"/>
        <v>14.886578722648341</v>
      </c>
      <c r="AB235" s="197">
        <f t="shared" si="94"/>
        <v>43321</v>
      </c>
      <c r="AC235" s="425">
        <f t="shared" si="95"/>
        <v>1.0104718783952769E-2</v>
      </c>
      <c r="AD235" s="169">
        <f>(INDEX(Models!$BJ235:$BT235,,AH235)*(1-AF235)+INDEX(Models!$BJ235:$BT235,,AH235+1)*AF235-ERP_i)*AE235*Ramure*Pc/MaxiM</f>
        <v>4.0629744634297491E-4</v>
      </c>
      <c r="AE235" s="305">
        <f t="shared" si="96"/>
        <v>0.7</v>
      </c>
      <c r="AF235" s="177">
        <f t="shared" si="97"/>
        <v>0.46098891548628118</v>
      </c>
      <c r="AG235" s="919">
        <f t="shared" si="98"/>
        <v>-2</v>
      </c>
      <c r="AH235" s="176">
        <f t="shared" si="99"/>
        <v>4</v>
      </c>
      <c r="AI235" s="225">
        <f t="shared" si="100"/>
        <v>-1.5390110845137188</v>
      </c>
      <c r="AJ235" s="265" t="b">
        <f t="shared" si="101"/>
        <v>0</v>
      </c>
      <c r="AK235" s="265" t="b">
        <f t="shared" si="102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104"/>
        <v>43322</v>
      </c>
      <c r="B236" s="618">
        <v>48.536000000000001</v>
      </c>
      <c r="C236" s="390"/>
      <c r="D236" s="393">
        <f t="shared" si="80"/>
        <v>48.620055594545839</v>
      </c>
      <c r="E236" s="385">
        <f t="shared" si="106"/>
        <v>49.122545415087622</v>
      </c>
      <c r="F236" s="385">
        <f t="shared" si="105"/>
        <v>49.139217090165502</v>
      </c>
      <c r="G236" s="110">
        <f t="shared" si="107"/>
        <v>0.91957473049212268</v>
      </c>
      <c r="I236" s="380">
        <f t="shared" si="81"/>
        <v>49.139217090165502</v>
      </c>
      <c r="J236" s="85">
        <v>2018</v>
      </c>
      <c r="K236" s="197">
        <f t="shared" si="82"/>
        <v>43322</v>
      </c>
      <c r="L236" s="436">
        <f t="shared" si="83"/>
        <v>1.7288255539400499E-3</v>
      </c>
      <c r="M236" s="968"/>
      <c r="N236" s="968"/>
      <c r="O236" s="324">
        <f t="shared" si="84"/>
        <v>1.0229311537008533E-2</v>
      </c>
      <c r="P236" s="169">
        <f>(INDEX(Models!$BJ236:$BT236,,T236)*(1-R236)+INDEX(Models!$BJ236:$BT236,,T236+1)*R236-ERP_i)*Q236*Ramure*Pc/MaxiM</f>
        <v>3.8328953936689699E-4</v>
      </c>
      <c r="Q236" s="305">
        <f t="shared" si="85"/>
        <v>0.7</v>
      </c>
      <c r="R236" s="177">
        <f t="shared" si="86"/>
        <v>0.46244879095217817</v>
      </c>
      <c r="S236" s="919">
        <f t="shared" si="103"/>
        <v>-2</v>
      </c>
      <c r="T236" s="176">
        <f t="shared" si="87"/>
        <v>4</v>
      </c>
      <c r="U236" s="251">
        <f t="shared" si="88"/>
        <v>-1.5375512090478218</v>
      </c>
      <c r="V236" s="383">
        <f t="shared" si="89"/>
        <v>52.778595739468358</v>
      </c>
      <c r="W236" s="58"/>
      <c r="X236" s="157">
        <f t="shared" si="90"/>
        <v>43322</v>
      </c>
      <c r="Y236" s="385">
        <f t="shared" si="91"/>
        <v>48.536000000000001</v>
      </c>
      <c r="Z236" s="385">
        <f t="shared" si="92"/>
        <v>48.620055594545839</v>
      </c>
      <c r="AA236" s="386">
        <f t="shared" si="93"/>
        <v>49.122545415087622</v>
      </c>
      <c r="AB236" s="197">
        <f t="shared" si="94"/>
        <v>43322</v>
      </c>
      <c r="AC236" s="425">
        <f t="shared" si="95"/>
        <v>1.0229311537008533E-2</v>
      </c>
      <c r="AD236" s="169">
        <f>(INDEX(Models!$BJ236:$BT236,,AH236)*(1-AF236)+INDEX(Models!$BJ236:$BT236,,AH236+1)*AF236-ERP_i)*AE236*Ramure*Pc/MaxiM</f>
        <v>3.8328953936689699E-4</v>
      </c>
      <c r="AE236" s="305">
        <f t="shared" si="96"/>
        <v>0.7</v>
      </c>
      <c r="AF236" s="177">
        <f t="shared" si="97"/>
        <v>0.46244879095217817</v>
      </c>
      <c r="AG236" s="919">
        <f t="shared" si="98"/>
        <v>-2</v>
      </c>
      <c r="AH236" s="176">
        <f t="shared" si="99"/>
        <v>4</v>
      </c>
      <c r="AI236" s="225">
        <f t="shared" si="100"/>
        <v>-1.5375512090478218</v>
      </c>
      <c r="AJ236" s="265" t="b">
        <f t="shared" si="101"/>
        <v>0</v>
      </c>
      <c r="AK236" s="265" t="b">
        <f t="shared" si="102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104"/>
        <v>43323</v>
      </c>
      <c r="B237" s="618">
        <v>52.222000000000001</v>
      </c>
      <c r="C237" s="390"/>
      <c r="D237" s="393">
        <f t="shared" si="80"/>
        <v>52.313584883241205</v>
      </c>
      <c r="E237" s="385">
        <f t="shared" si="106"/>
        <v>52.860893810041794</v>
      </c>
      <c r="F237" s="385">
        <f t="shared" si="105"/>
        <v>52.879735063277003</v>
      </c>
      <c r="G237" s="110">
        <f t="shared" si="107"/>
        <v>0.99165713488529417</v>
      </c>
      <c r="I237" s="380">
        <f t="shared" si="81"/>
        <v>52.879735063277003</v>
      </c>
      <c r="J237" s="85">
        <v>2018</v>
      </c>
      <c r="K237" s="197">
        <f t="shared" si="82"/>
        <v>43323</v>
      </c>
      <c r="L237" s="436">
        <f t="shared" si="83"/>
        <v>1.7506902546559067E-3</v>
      </c>
      <c r="M237" s="968"/>
      <c r="N237" s="968"/>
      <c r="O237" s="324">
        <f t="shared" si="84"/>
        <v>1.0353758465896777E-2</v>
      </c>
      <c r="P237" s="169">
        <f>(INDEX(Models!$BJ237:$BT237,,T237)*(1-R237)+INDEX(Models!$BJ237:$BT237,,T237+1)*R237-ERP_i)*Q237*Ramure*Pc/MaxiM</f>
        <v>3.6059941611097312E-4</v>
      </c>
      <c r="Q237" s="305">
        <f t="shared" si="85"/>
        <v>0.7</v>
      </c>
      <c r="R237" s="177">
        <f t="shared" si="86"/>
        <v>0.46385859705852073</v>
      </c>
      <c r="S237" s="919">
        <f t="shared" si="103"/>
        <v>-2</v>
      </c>
      <c r="T237" s="176">
        <f t="shared" si="87"/>
        <v>4</v>
      </c>
      <c r="U237" s="251">
        <f t="shared" si="88"/>
        <v>-1.5361414029414793</v>
      </c>
      <c r="V237" s="383">
        <f t="shared" si="89"/>
        <v>52.661120219818784</v>
      </c>
      <c r="W237" s="58"/>
      <c r="X237" s="157">
        <f t="shared" si="90"/>
        <v>43323</v>
      </c>
      <c r="Y237" s="385">
        <f t="shared" si="91"/>
        <v>52.222000000000001</v>
      </c>
      <c r="Z237" s="385">
        <f t="shared" si="92"/>
        <v>52.313584883241205</v>
      </c>
      <c r="AA237" s="386">
        <f t="shared" si="93"/>
        <v>52.860893810041794</v>
      </c>
      <c r="AB237" s="197">
        <f t="shared" si="94"/>
        <v>43323</v>
      </c>
      <c r="AC237" s="425">
        <f t="shared" si="95"/>
        <v>1.0353758465896777E-2</v>
      </c>
      <c r="AD237" s="169">
        <f>(INDEX(Models!$BJ237:$BT237,,AH237)*(1-AF237)+INDEX(Models!$BJ237:$BT237,,AH237+1)*AF237-ERP_i)*AE237*Ramure*Pc/MaxiM</f>
        <v>3.6059941611097312E-4</v>
      </c>
      <c r="AE237" s="305">
        <f t="shared" si="96"/>
        <v>0.7</v>
      </c>
      <c r="AF237" s="177">
        <f t="shared" si="97"/>
        <v>0.46385859705852073</v>
      </c>
      <c r="AG237" s="919">
        <f t="shared" si="98"/>
        <v>-2</v>
      </c>
      <c r="AH237" s="176">
        <f t="shared" si="99"/>
        <v>4</v>
      </c>
      <c r="AI237" s="225">
        <f t="shared" si="100"/>
        <v>-1.5361414029414793</v>
      </c>
      <c r="AJ237" s="265" t="b">
        <f t="shared" si="101"/>
        <v>0</v>
      </c>
      <c r="AK237" s="265" t="b">
        <f t="shared" si="102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104"/>
        <v>43324</v>
      </c>
      <c r="B238" s="618">
        <v>50.585000000000001</v>
      </c>
      <c r="C238" s="390"/>
      <c r="D238" s="393">
        <f t="shared" si="80"/>
        <v>50.674823885923757</v>
      </c>
      <c r="E238" s="385">
        <f t="shared" si="106"/>
        <v>51.211420143676214</v>
      </c>
      <c r="F238" s="385">
        <f t="shared" si="105"/>
        <v>51.227825043986797</v>
      </c>
      <c r="G238" s="110">
        <f t="shared" si="107"/>
        <v>0.96271435509216619</v>
      </c>
      <c r="I238" s="380">
        <f t="shared" si="81"/>
        <v>51.227825043986797</v>
      </c>
      <c r="J238" s="85">
        <v>2018</v>
      </c>
      <c r="K238" s="197">
        <f t="shared" si="82"/>
        <v>43324</v>
      </c>
      <c r="L238" s="436">
        <f t="shared" si="83"/>
        <v>1.7725544764786161E-3</v>
      </c>
      <c r="M238" s="968"/>
      <c r="N238" s="968"/>
      <c r="O238" s="324">
        <f t="shared" si="84"/>
        <v>1.0478058531612929E-2</v>
      </c>
      <c r="P238" s="169">
        <f>(INDEX(Models!$BJ238:$BT238,,T238)*(1-R238)+INDEX(Models!$BJ238:$BT238,,T238+1)*R238-ERP_i)*Q238*Ramure*Pc/MaxiM</f>
        <v>3.3824234387128138E-4</v>
      </c>
      <c r="Q238" s="305">
        <f t="shared" si="85"/>
        <v>0.7</v>
      </c>
      <c r="R238" s="177">
        <f t="shared" si="86"/>
        <v>0.4652197360460868</v>
      </c>
      <c r="S238" s="919">
        <f t="shared" si="103"/>
        <v>-2</v>
      </c>
      <c r="T238" s="176">
        <f t="shared" si="87"/>
        <v>4</v>
      </c>
      <c r="U238" s="251">
        <f t="shared" si="88"/>
        <v>-1.5347802639539132</v>
      </c>
      <c r="V238" s="383">
        <f t="shared" si="89"/>
        <v>52.543195702266921</v>
      </c>
      <c r="W238" s="58"/>
      <c r="X238" s="157">
        <f t="shared" si="90"/>
        <v>43324</v>
      </c>
      <c r="Y238" s="385">
        <f t="shared" si="91"/>
        <v>50.585000000000001</v>
      </c>
      <c r="Z238" s="385">
        <f t="shared" si="92"/>
        <v>50.674823885923757</v>
      </c>
      <c r="AA238" s="386">
        <f t="shared" si="93"/>
        <v>51.211420143676214</v>
      </c>
      <c r="AB238" s="197">
        <f t="shared" si="94"/>
        <v>43324</v>
      </c>
      <c r="AC238" s="425">
        <f t="shared" si="95"/>
        <v>1.0478058531612929E-2</v>
      </c>
      <c r="AD238" s="169">
        <f>(INDEX(Models!$BJ238:$BT238,,AH238)*(1-AF238)+INDEX(Models!$BJ238:$BT238,,AH238+1)*AF238-ERP_i)*AE238*Ramure*Pc/MaxiM</f>
        <v>3.3824234387128138E-4</v>
      </c>
      <c r="AE238" s="305">
        <f t="shared" si="96"/>
        <v>0.7</v>
      </c>
      <c r="AF238" s="177">
        <f t="shared" si="97"/>
        <v>0.4652197360460868</v>
      </c>
      <c r="AG238" s="919">
        <f t="shared" si="98"/>
        <v>-2</v>
      </c>
      <c r="AH238" s="176">
        <f t="shared" si="99"/>
        <v>4</v>
      </c>
      <c r="AI238" s="225">
        <f t="shared" si="100"/>
        <v>-1.5347802639539132</v>
      </c>
      <c r="AJ238" s="265" t="b">
        <f t="shared" si="101"/>
        <v>0</v>
      </c>
      <c r="AK238" s="265" t="b">
        <f t="shared" si="102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104"/>
        <v>43325</v>
      </c>
      <c r="B239" s="618">
        <v>27.457999999999998</v>
      </c>
      <c r="C239" s="390"/>
      <c r="D239" s="393">
        <f t="shared" si="80"/>
        <v>27.507359707427113</v>
      </c>
      <c r="E239" s="385">
        <f t="shared" si="106"/>
        <v>27.802123676043752</v>
      </c>
      <c r="F239" s="385">
        <f t="shared" si="105"/>
        <v>27.804934354104226</v>
      </c>
      <c r="G239" s="110">
        <f t="shared" si="107"/>
        <v>0.52364595626682553</v>
      </c>
      <c r="I239" s="380">
        <f t="shared" si="81"/>
        <v>27.804934354104226</v>
      </c>
      <c r="J239" s="85">
        <v>2018</v>
      </c>
      <c r="K239" s="197">
        <f t="shared" si="82"/>
        <v>43325</v>
      </c>
      <c r="L239" s="436">
        <f t="shared" si="83"/>
        <v>1.7944182194188363E-3</v>
      </c>
      <c r="M239" s="968"/>
      <c r="N239" s="968"/>
      <c r="O239" s="324">
        <f t="shared" si="84"/>
        <v>1.060221053798952E-2</v>
      </c>
      <c r="P239" s="169">
        <f>(INDEX(Models!$BJ239:$BT239,,T239)*(1-R239)+INDEX(Models!$BJ239:$BT239,,T239+1)*R239-ERP_i)*Q239*Ramure*Pc/MaxiM</f>
        <v>3.1623317652593755E-4</v>
      </c>
      <c r="Q239" s="305">
        <f t="shared" si="85"/>
        <v>0.7</v>
      </c>
      <c r="R239" s="177">
        <f t="shared" si="86"/>
        <v>0.46653359437383046</v>
      </c>
      <c r="S239" s="919">
        <f t="shared" si="103"/>
        <v>-2</v>
      </c>
      <c r="T239" s="176">
        <f t="shared" si="87"/>
        <v>4</v>
      </c>
      <c r="U239" s="251">
        <f t="shared" si="88"/>
        <v>-1.5334664056261695</v>
      </c>
      <c r="V239" s="383">
        <f t="shared" si="89"/>
        <v>52.424909524600935</v>
      </c>
      <c r="W239" s="58"/>
      <c r="X239" s="157">
        <f t="shared" si="90"/>
        <v>43325</v>
      </c>
      <c r="Y239" s="385">
        <f t="shared" si="91"/>
        <v>27.457999999999998</v>
      </c>
      <c r="Z239" s="385">
        <f t="shared" si="92"/>
        <v>27.507359707427113</v>
      </c>
      <c r="AA239" s="386">
        <f t="shared" si="93"/>
        <v>27.802123676043752</v>
      </c>
      <c r="AB239" s="197">
        <f t="shared" si="94"/>
        <v>43325</v>
      </c>
      <c r="AC239" s="425">
        <f t="shared" si="95"/>
        <v>1.060221053798952E-2</v>
      </c>
      <c r="AD239" s="169">
        <f>(INDEX(Models!$BJ239:$BT239,,AH239)*(1-AF239)+INDEX(Models!$BJ239:$BT239,,AH239+1)*AF239-ERP_i)*AE239*Ramure*Pc/MaxiM</f>
        <v>3.1623317652593755E-4</v>
      </c>
      <c r="AE239" s="305">
        <f t="shared" si="96"/>
        <v>0.7</v>
      </c>
      <c r="AF239" s="177">
        <f t="shared" si="97"/>
        <v>0.46653359437383046</v>
      </c>
      <c r="AG239" s="919">
        <f t="shared" si="98"/>
        <v>-2</v>
      </c>
      <c r="AH239" s="176">
        <f t="shared" si="99"/>
        <v>4</v>
      </c>
      <c r="AI239" s="225">
        <f t="shared" si="100"/>
        <v>-1.5334664056261695</v>
      </c>
      <c r="AJ239" s="265" t="b">
        <f t="shared" si="101"/>
        <v>0</v>
      </c>
      <c r="AK239" s="265" t="b">
        <f t="shared" si="102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104"/>
        <v>43326</v>
      </c>
      <c r="B240" s="618">
        <v>36.409999999999997</v>
      </c>
      <c r="C240" s="390"/>
      <c r="D240" s="393">
        <f t="shared" si="80"/>
        <v>36.476251139531747</v>
      </c>
      <c r="E240" s="385">
        <f t="shared" si="106"/>
        <v>36.871745338710816</v>
      </c>
      <c r="F240" s="385">
        <f t="shared" si="105"/>
        <v>36.877904634425114</v>
      </c>
      <c r="G240" s="110">
        <f t="shared" si="107"/>
        <v>0.69600259177495294</v>
      </c>
      <c r="I240" s="380">
        <f t="shared" si="81"/>
        <v>36.877904634425114</v>
      </c>
      <c r="J240" s="85">
        <v>2018</v>
      </c>
      <c r="K240" s="197">
        <f t="shared" si="82"/>
        <v>43326</v>
      </c>
      <c r="L240" s="436">
        <f t="shared" si="83"/>
        <v>1.8162814834868923E-3</v>
      </c>
      <c r="M240" s="968"/>
      <c r="N240" s="968"/>
      <c r="O240" s="324">
        <f t="shared" si="84"/>
        <v>1.0726213135450583E-2</v>
      </c>
      <c r="P240" s="169">
        <f>(INDEX(Models!$BJ240:$BT240,,T240)*(1-R240)+INDEX(Models!$BJ240:$BT240,,T240+1)*R240-ERP_i)*Q240*Ramure*Pc/MaxiM</f>
        <v>2.9516645323104614E-4</v>
      </c>
      <c r="Q240" s="305">
        <f t="shared" si="85"/>
        <v>0.7</v>
      </c>
      <c r="R240" s="177">
        <f t="shared" si="86"/>
        <v>0.46780154093477933</v>
      </c>
      <c r="S240" s="919">
        <f t="shared" si="103"/>
        <v>-2</v>
      </c>
      <c r="T240" s="176">
        <f t="shared" si="87"/>
        <v>4</v>
      </c>
      <c r="U240" s="251">
        <f t="shared" si="88"/>
        <v>-1.5321984590652207</v>
      </c>
      <c r="V240" s="383">
        <f t="shared" si="89"/>
        <v>52.306318664879441</v>
      </c>
      <c r="W240" s="58"/>
      <c r="X240" s="157">
        <f t="shared" si="90"/>
        <v>43326</v>
      </c>
      <c r="Y240" s="385">
        <f t="shared" si="91"/>
        <v>36.409999999999997</v>
      </c>
      <c r="Z240" s="385">
        <f t="shared" si="92"/>
        <v>36.476251139531747</v>
      </c>
      <c r="AA240" s="386">
        <f t="shared" si="93"/>
        <v>36.871745338710816</v>
      </c>
      <c r="AB240" s="197">
        <f t="shared" si="94"/>
        <v>43326</v>
      </c>
      <c r="AC240" s="425">
        <f t="shared" si="95"/>
        <v>1.0726213135450583E-2</v>
      </c>
      <c r="AD240" s="169">
        <f>(INDEX(Models!$BJ240:$BT240,,AH240)*(1-AF240)+INDEX(Models!$BJ240:$BT240,,AH240+1)*AF240-ERP_i)*AE240*Ramure*Pc/MaxiM</f>
        <v>2.9516645323104614E-4</v>
      </c>
      <c r="AE240" s="305">
        <f t="shared" si="96"/>
        <v>0.7</v>
      </c>
      <c r="AF240" s="177">
        <f t="shared" si="97"/>
        <v>0.46780154093477933</v>
      </c>
      <c r="AG240" s="919">
        <f t="shared" si="98"/>
        <v>-2</v>
      </c>
      <c r="AH240" s="176">
        <f t="shared" si="99"/>
        <v>4</v>
      </c>
      <c r="AI240" s="225">
        <f t="shared" si="100"/>
        <v>-1.5321984590652207</v>
      </c>
      <c r="AJ240" s="265" t="b">
        <f t="shared" si="101"/>
        <v>0</v>
      </c>
      <c r="AK240" s="265" t="b">
        <f t="shared" si="102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104"/>
        <v>43327</v>
      </c>
      <c r="B241" s="618">
        <v>53.106999999999999</v>
      </c>
      <c r="C241" s="390"/>
      <c r="D241" s="393">
        <f t="shared" si="80"/>
        <v>53.204798094684733</v>
      </c>
      <c r="E241" s="385">
        <f t="shared" si="106"/>
        <v>53.788405784288081</v>
      </c>
      <c r="F241" s="385">
        <f t="shared" si="105"/>
        <v>53.803189402990363</v>
      </c>
      <c r="G241" s="110">
        <f t="shared" si="107"/>
        <v>1.0176186648138223</v>
      </c>
      <c r="I241" s="380">
        <f t="shared" si="81"/>
        <v>53.803189402990363</v>
      </c>
      <c r="J241" s="85">
        <v>2018</v>
      </c>
      <c r="K241" s="197">
        <f t="shared" si="82"/>
        <v>43327</v>
      </c>
      <c r="L241" s="436">
        <f t="shared" si="83"/>
        <v>1.8381442686933314E-3</v>
      </c>
      <c r="M241" s="968"/>
      <c r="N241" s="968"/>
      <c r="O241" s="324">
        <f t="shared" si="84"/>
        <v>1.0850064825193696E-2</v>
      </c>
      <c r="P241" s="169">
        <f>(INDEX(Models!$BJ241:$BT241,,T241)*(1-R241)+INDEX(Models!$BJ241:$BT241,,T241+1)*R241-ERP_i)*Q241*Ramure*Pc/MaxiM</f>
        <v>2.7477216251156107E-4</v>
      </c>
      <c r="Q241" s="305">
        <f t="shared" si="85"/>
        <v>0.7</v>
      </c>
      <c r="R241" s="177">
        <f t="shared" si="86"/>
        <v>0.4690249254578196</v>
      </c>
      <c r="S241" s="919">
        <f t="shared" si="103"/>
        <v>-2</v>
      </c>
      <c r="T241" s="176">
        <f t="shared" si="87"/>
        <v>4</v>
      </c>
      <c r="U241" s="251">
        <f t="shared" si="88"/>
        <v>-1.5309750745421804</v>
      </c>
      <c r="V241" s="383">
        <f t="shared" si="89"/>
        <v>52.187525481085935</v>
      </c>
      <c r="W241" s="58"/>
      <c r="X241" s="157">
        <f t="shared" si="90"/>
        <v>43327</v>
      </c>
      <c r="Y241" s="385">
        <f t="shared" si="91"/>
        <v>53.106999999999999</v>
      </c>
      <c r="Z241" s="385">
        <f t="shared" si="92"/>
        <v>53.204798094684733</v>
      </c>
      <c r="AA241" s="386">
        <f t="shared" si="93"/>
        <v>53.788405784288081</v>
      </c>
      <c r="AB241" s="197">
        <f t="shared" si="94"/>
        <v>43327</v>
      </c>
      <c r="AC241" s="425">
        <f t="shared" si="95"/>
        <v>1.0850064825193696E-2</v>
      </c>
      <c r="AD241" s="169">
        <f>(INDEX(Models!$BJ241:$BT241,,AH241)*(1-AF241)+INDEX(Models!$BJ241:$BT241,,AH241+1)*AF241-ERP_i)*AE241*Ramure*Pc/MaxiM</f>
        <v>2.7477216251156107E-4</v>
      </c>
      <c r="AE241" s="305">
        <f t="shared" si="96"/>
        <v>0.7</v>
      </c>
      <c r="AF241" s="177">
        <f t="shared" si="97"/>
        <v>0.4690249254578196</v>
      </c>
      <c r="AG241" s="919">
        <f t="shared" si="98"/>
        <v>-2</v>
      </c>
      <c r="AH241" s="176">
        <f t="shared" si="99"/>
        <v>4</v>
      </c>
      <c r="AI241" s="225">
        <f t="shared" si="100"/>
        <v>-1.5309750745421804</v>
      </c>
      <c r="AJ241" s="265" t="b">
        <f t="shared" si="101"/>
        <v>0</v>
      </c>
      <c r="AK241" s="265" t="b">
        <f t="shared" si="102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104"/>
        <v>43328</v>
      </c>
      <c r="B242" s="618">
        <v>50.119</v>
      </c>
      <c r="C242" s="390"/>
      <c r="D242" s="393">
        <f t="shared" si="80"/>
        <v>50.212395385566104</v>
      </c>
      <c r="E242" s="385">
        <f t="shared" si="106"/>
        <v>50.769528204627811</v>
      </c>
      <c r="F242" s="385">
        <f t="shared" si="105"/>
        <v>50.781788146549871</v>
      </c>
      <c r="G242" s="110">
        <f t="shared" si="107"/>
        <v>0.96254363423868439</v>
      </c>
      <c r="I242" s="380">
        <f t="shared" si="81"/>
        <v>50.781788146549871</v>
      </c>
      <c r="J242" s="85">
        <v>2018</v>
      </c>
      <c r="K242" s="197">
        <f t="shared" si="82"/>
        <v>43328</v>
      </c>
      <c r="L242" s="436">
        <f t="shared" si="83"/>
        <v>1.8600065750488115E-3</v>
      </c>
      <c r="M242" s="968"/>
      <c r="N242" s="968"/>
      <c r="O242" s="324">
        <f t="shared" si="84"/>
        <v>1.0973763963615456E-2</v>
      </c>
      <c r="P242" s="169">
        <f>(INDEX(Models!$BJ242:$BT242,,T242)*(1-R242)+INDEX(Models!$BJ242:$BT242,,T242+1)*R242-ERP_i)*Q242*Ramure*Pc/MaxiM</f>
        <v>2.5506764207492138E-4</v>
      </c>
      <c r="Q242" s="305">
        <f t="shared" si="85"/>
        <v>0.7</v>
      </c>
      <c r="R242" s="177">
        <f t="shared" si="86"/>
        <v>0.47020507708583836</v>
      </c>
      <c r="S242" s="919">
        <f t="shared" si="103"/>
        <v>-2</v>
      </c>
      <c r="T242" s="176">
        <f t="shared" si="87"/>
        <v>4</v>
      </c>
      <c r="U242" s="251">
        <f t="shared" si="88"/>
        <v>-1.5297949229141616</v>
      </c>
      <c r="V242" s="383">
        <f t="shared" si="89"/>
        <v>52.068617199181311</v>
      </c>
      <c r="W242" s="58"/>
      <c r="X242" s="157">
        <f t="shared" si="90"/>
        <v>43328</v>
      </c>
      <c r="Y242" s="385">
        <f t="shared" si="91"/>
        <v>50.119</v>
      </c>
      <c r="Z242" s="385">
        <f t="shared" si="92"/>
        <v>50.212395385566104</v>
      </c>
      <c r="AA242" s="386">
        <f t="shared" si="93"/>
        <v>50.769528204627811</v>
      </c>
      <c r="AB242" s="197">
        <f t="shared" si="94"/>
        <v>43328</v>
      </c>
      <c r="AC242" s="425">
        <f t="shared" si="95"/>
        <v>1.0973763963615456E-2</v>
      </c>
      <c r="AD242" s="169">
        <f>(INDEX(Models!$BJ242:$BT242,,AH242)*(1-AF242)+INDEX(Models!$BJ242:$BT242,,AH242+1)*AF242-ERP_i)*AE242*Ramure*Pc/MaxiM</f>
        <v>2.5506764207492138E-4</v>
      </c>
      <c r="AE242" s="305">
        <f t="shared" si="96"/>
        <v>0.7</v>
      </c>
      <c r="AF242" s="177">
        <f t="shared" si="97"/>
        <v>0.47020507708583836</v>
      </c>
      <c r="AG242" s="919">
        <f t="shared" si="98"/>
        <v>-2</v>
      </c>
      <c r="AH242" s="176">
        <f t="shared" si="99"/>
        <v>4</v>
      </c>
      <c r="AI242" s="225">
        <f t="shared" si="100"/>
        <v>-1.5297949229141616</v>
      </c>
      <c r="AJ242" s="265" t="b">
        <f t="shared" si="101"/>
        <v>0</v>
      </c>
      <c r="AK242" s="265" t="b">
        <f t="shared" si="102"/>
        <v>0</v>
      </c>
      <c r="AL242" s="265"/>
      <c r="AM242" s="265"/>
      <c r="AN242" s="75"/>
    </row>
    <row r="243" spans="1:40" s="6" customFormat="1" ht="11.25" x14ac:dyDescent="0.2">
      <c r="A243" s="56">
        <f t="shared" si="104"/>
        <v>43329</v>
      </c>
      <c r="B243" s="618">
        <v>37.314999999999998</v>
      </c>
      <c r="C243" s="390"/>
      <c r="D243" s="393">
        <f t="shared" si="80"/>
        <v>37.385354317007817</v>
      </c>
      <c r="E243" s="385">
        <f t="shared" si="106"/>
        <v>37.804886818931287</v>
      </c>
      <c r="F243" s="385">
        <f t="shared" si="105"/>
        <v>37.8102205395206</v>
      </c>
      <c r="G243" s="110">
        <f t="shared" si="107"/>
        <v>0.71822297407157154</v>
      </c>
      <c r="I243" s="380">
        <f t="shared" si="81"/>
        <v>37.8102205395206</v>
      </c>
      <c r="J243" s="85">
        <v>2018</v>
      </c>
      <c r="K243" s="197">
        <f t="shared" si="82"/>
        <v>43329</v>
      </c>
      <c r="L243" s="436">
        <f t="shared" si="83"/>
        <v>1.8818684025635468E-3</v>
      </c>
      <c r="M243" s="968"/>
      <c r="N243" s="968"/>
      <c r="O243" s="324">
        <f t="shared" si="84"/>
        <v>1.109730876679621E-2</v>
      </c>
      <c r="P243" s="169">
        <f>(INDEX(Models!$BJ243:$BT243,,T243)*(1-R243)+INDEX(Models!$BJ243:$BT243,,T243+1)*R243-ERP_i)*Q243*Ramure*Pc/MaxiM</f>
        <v>2.3606974848772915E-4</v>
      </c>
      <c r="Q243" s="305">
        <f t="shared" si="85"/>
        <v>0.7</v>
      </c>
      <c r="R243" s="177">
        <f t="shared" si="86"/>
        <v>0.47134330312069106</v>
      </c>
      <c r="S243" s="919">
        <f t="shared" si="103"/>
        <v>-2</v>
      </c>
      <c r="T243" s="176">
        <f t="shared" si="87"/>
        <v>4</v>
      </c>
      <c r="U243" s="251">
        <f t="shared" si="88"/>
        <v>-1.5286566968793089</v>
      </c>
      <c r="V243" s="383">
        <f t="shared" si="89"/>
        <v>51.94968104080121</v>
      </c>
      <c r="W243" s="58"/>
      <c r="X243" s="157">
        <f t="shared" si="90"/>
        <v>43329</v>
      </c>
      <c r="Y243" s="385">
        <f t="shared" si="91"/>
        <v>37.314999999999998</v>
      </c>
      <c r="Z243" s="385">
        <f t="shared" si="92"/>
        <v>37.385354317007817</v>
      </c>
      <c r="AA243" s="386">
        <f t="shared" si="93"/>
        <v>37.804886818931287</v>
      </c>
      <c r="AB243" s="197">
        <f t="shared" si="94"/>
        <v>43329</v>
      </c>
      <c r="AC243" s="425">
        <f t="shared" si="95"/>
        <v>1.109730876679621E-2</v>
      </c>
      <c r="AD243" s="169">
        <f>(INDEX(Models!$BJ243:$BT243,,AH243)*(1-AF243)+INDEX(Models!$BJ243:$BT243,,AH243+1)*AF243-ERP_i)*AE243*Ramure*Pc/MaxiM</f>
        <v>2.3606974848772915E-4</v>
      </c>
      <c r="AE243" s="305">
        <f t="shared" si="96"/>
        <v>0.7</v>
      </c>
      <c r="AF243" s="177">
        <f t="shared" si="97"/>
        <v>0.47134330312069106</v>
      </c>
      <c r="AG243" s="919">
        <f t="shared" si="98"/>
        <v>-2</v>
      </c>
      <c r="AH243" s="176">
        <f t="shared" si="99"/>
        <v>4</v>
      </c>
      <c r="AI243" s="225">
        <f t="shared" si="100"/>
        <v>-1.5286566968793089</v>
      </c>
      <c r="AJ243" s="265" t="b">
        <f t="shared" si="101"/>
        <v>0</v>
      </c>
      <c r="AK243" s="265" t="b">
        <f t="shared" si="102"/>
        <v>0</v>
      </c>
      <c r="AL243" s="265"/>
      <c r="AM243" s="265"/>
      <c r="AN243" s="75"/>
    </row>
    <row r="244" spans="1:40" s="6" customFormat="1" ht="11.25" x14ac:dyDescent="0.2">
      <c r="A244" s="56">
        <f t="shared" si="104"/>
        <v>43330</v>
      </c>
      <c r="B244" s="618">
        <v>30.876000000000001</v>
      </c>
      <c r="C244" s="390"/>
      <c r="D244" s="393">
        <f t="shared" si="80"/>
        <v>30.934891673630734</v>
      </c>
      <c r="E244" s="385">
        <f t="shared" si="106"/>
        <v>31.285941756288473</v>
      </c>
      <c r="F244" s="385">
        <f t="shared" si="105"/>
        <v>31.288820487875963</v>
      </c>
      <c r="G244" s="110">
        <f t="shared" si="107"/>
        <v>0.5956325822474311</v>
      </c>
      <c r="I244" s="380">
        <f t="shared" si="81"/>
        <v>31.288820487875963</v>
      </c>
      <c r="J244" s="85">
        <v>2018</v>
      </c>
      <c r="K244" s="197">
        <f t="shared" si="82"/>
        <v>43330</v>
      </c>
      <c r="L244" s="436">
        <f t="shared" si="83"/>
        <v>1.9037297512481954E-3</v>
      </c>
      <c r="M244" s="968"/>
      <c r="N244" s="968"/>
      <c r="O244" s="324">
        <f t="shared" si="84"/>
        <v>1.1220697314862804E-2</v>
      </c>
      <c r="P244" s="169">
        <f>(INDEX(Models!$BJ244:$BT244,,T244)*(1-R244)+INDEX(Models!$BJ244:$BT244,,T244+1)*R244-ERP_i)*Q244*Ramure*Pc/MaxiM</f>
        <v>2.1779487104553474E-4</v>
      </c>
      <c r="Q244" s="305">
        <f t="shared" si="85"/>
        <v>0.7</v>
      </c>
      <c r="R244" s="177">
        <f t="shared" si="86"/>
        <v>0.47244088792550465</v>
      </c>
      <c r="S244" s="919">
        <f t="shared" si="103"/>
        <v>-2</v>
      </c>
      <c r="T244" s="176">
        <f t="shared" si="87"/>
        <v>4</v>
      </c>
      <c r="U244" s="251">
        <f t="shared" si="88"/>
        <v>-1.5275591120744954</v>
      </c>
      <c r="V244" s="383">
        <f t="shared" si="89"/>
        <v>51.830804221111528</v>
      </c>
      <c r="W244" s="58"/>
      <c r="X244" s="157">
        <f t="shared" si="90"/>
        <v>43330</v>
      </c>
      <c r="Y244" s="385">
        <f t="shared" si="91"/>
        <v>30.876000000000001</v>
      </c>
      <c r="Z244" s="385">
        <f t="shared" si="92"/>
        <v>30.934891673630734</v>
      </c>
      <c r="AA244" s="386">
        <f t="shared" si="93"/>
        <v>31.285941756288473</v>
      </c>
      <c r="AB244" s="197">
        <f t="shared" si="94"/>
        <v>43330</v>
      </c>
      <c r="AC244" s="425">
        <f t="shared" si="95"/>
        <v>1.1220697314862804E-2</v>
      </c>
      <c r="AD244" s="169">
        <f>(INDEX(Models!$BJ244:$BT244,,AH244)*(1-AF244)+INDEX(Models!$BJ244:$BT244,,AH244+1)*AF244-ERP_i)*AE244*Ramure*Pc/MaxiM</f>
        <v>2.1779487104553474E-4</v>
      </c>
      <c r="AE244" s="305">
        <f t="shared" si="96"/>
        <v>0.7</v>
      </c>
      <c r="AF244" s="177">
        <f t="shared" si="97"/>
        <v>0.47244088792550465</v>
      </c>
      <c r="AG244" s="919">
        <f t="shared" si="98"/>
        <v>-2</v>
      </c>
      <c r="AH244" s="176">
        <f t="shared" si="99"/>
        <v>4</v>
      </c>
      <c r="AI244" s="225">
        <f t="shared" si="100"/>
        <v>-1.5275591120744954</v>
      </c>
      <c r="AJ244" s="265" t="b">
        <f t="shared" si="101"/>
        <v>0</v>
      </c>
      <c r="AK244" s="265" t="b">
        <f t="shared" si="102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104"/>
        <v>43331</v>
      </c>
      <c r="B245" s="618">
        <v>49.295999999999999</v>
      </c>
      <c r="C245" s="390"/>
      <c r="D245" s="393">
        <f t="shared" si="80"/>
        <v>49.391107052506705</v>
      </c>
      <c r="E245" s="385">
        <f t="shared" si="106"/>
        <v>49.957825000166643</v>
      </c>
      <c r="F245" s="385">
        <f t="shared" si="105"/>
        <v>49.967163493960541</v>
      </c>
      <c r="G245" s="110">
        <f t="shared" si="107"/>
        <v>0.95326559557924229</v>
      </c>
      <c r="I245" s="380">
        <f t="shared" si="81"/>
        <v>49.967163493960541</v>
      </c>
      <c r="J245" s="85">
        <v>2018</v>
      </c>
      <c r="K245" s="197">
        <f t="shared" si="82"/>
        <v>43331</v>
      </c>
      <c r="L245" s="436">
        <f t="shared" si="83"/>
        <v>1.9255906211131935E-3</v>
      </c>
      <c r="M245" s="968"/>
      <c r="N245" s="968"/>
      <c r="O245" s="324">
        <f t="shared" si="84"/>
        <v>1.1343927556054541E-2</v>
      </c>
      <c r="P245" s="169">
        <f>(INDEX(Models!$BJ245:$BT245,,T245)*(1-R245)+INDEX(Models!$BJ245:$BT245,,T245+1)*R245-ERP_i)*Q245*Ramure*Pc/MaxiM</f>
        <v>2.0025894286080555E-4</v>
      </c>
      <c r="Q245" s="305">
        <f t="shared" si="85"/>
        <v>0.7</v>
      </c>
      <c r="R245" s="177">
        <f t="shared" si="86"/>
        <v>0.473499091974944</v>
      </c>
      <c r="S245" s="919">
        <f t="shared" si="103"/>
        <v>-2</v>
      </c>
      <c r="T245" s="176">
        <f t="shared" si="87"/>
        <v>4</v>
      </c>
      <c r="U245" s="251">
        <f t="shared" si="88"/>
        <v>-1.526500908025056</v>
      </c>
      <c r="V245" s="383">
        <f t="shared" si="89"/>
        <v>51.712073947581516</v>
      </c>
      <c r="W245" s="58"/>
      <c r="X245" s="157">
        <f t="shared" si="90"/>
        <v>43331</v>
      </c>
      <c r="Y245" s="385">
        <f t="shared" si="91"/>
        <v>49.295999999999999</v>
      </c>
      <c r="Z245" s="385">
        <f t="shared" si="92"/>
        <v>49.391107052506705</v>
      </c>
      <c r="AA245" s="386">
        <f t="shared" si="93"/>
        <v>49.957825000166643</v>
      </c>
      <c r="AB245" s="197">
        <f t="shared" si="94"/>
        <v>43331</v>
      </c>
      <c r="AC245" s="425">
        <f t="shared" si="95"/>
        <v>1.1343927556054541E-2</v>
      </c>
      <c r="AD245" s="169">
        <f>(INDEX(Models!$BJ245:$BT245,,AH245)*(1-AF245)+INDEX(Models!$BJ245:$BT245,,AH245+1)*AF245-ERP_i)*AE245*Ramure*Pc/MaxiM</f>
        <v>2.0025894286080555E-4</v>
      </c>
      <c r="AE245" s="305">
        <f t="shared" si="96"/>
        <v>0.7</v>
      </c>
      <c r="AF245" s="177">
        <f t="shared" si="97"/>
        <v>0.473499091974944</v>
      </c>
      <c r="AG245" s="919">
        <f t="shared" si="98"/>
        <v>-2</v>
      </c>
      <c r="AH245" s="176">
        <f t="shared" si="99"/>
        <v>4</v>
      </c>
      <c r="AI245" s="225">
        <f t="shared" si="100"/>
        <v>-1.526500908025056</v>
      </c>
      <c r="AJ245" s="265" t="b">
        <f t="shared" si="101"/>
        <v>0</v>
      </c>
      <c r="AK245" s="265" t="b">
        <f t="shared" si="102"/>
        <v>0</v>
      </c>
      <c r="AL245" s="265"/>
      <c r="AM245" s="265"/>
      <c r="AN245" s="75"/>
    </row>
    <row r="246" spans="1:40" s="6" customFormat="1" ht="11.25" x14ac:dyDescent="0.2">
      <c r="A246" s="56">
        <f t="shared" si="104"/>
        <v>43332</v>
      </c>
      <c r="B246" s="618">
        <v>50.850999999999999</v>
      </c>
      <c r="C246" s="390"/>
      <c r="D246" s="393">
        <f t="shared" si="80"/>
        <v>50.9502230634752</v>
      </c>
      <c r="E246" s="385">
        <f t="shared" si="106"/>
        <v>51.541246397283722</v>
      </c>
      <c r="F246" s="385">
        <f t="shared" si="105"/>
        <v>51.550510278445401</v>
      </c>
      <c r="G246" s="110">
        <f t="shared" si="107"/>
        <v>0.98560345442333142</v>
      </c>
      <c r="I246" s="380">
        <f t="shared" si="81"/>
        <v>51.550510278445401</v>
      </c>
      <c r="J246" s="85">
        <v>2018</v>
      </c>
      <c r="K246" s="197">
        <f t="shared" si="82"/>
        <v>43332</v>
      </c>
      <c r="L246" s="436">
        <f t="shared" si="83"/>
        <v>1.947451012168977E-3</v>
      </c>
      <c r="M246" s="968"/>
      <c r="N246" s="968"/>
      <c r="O246" s="324">
        <f t="shared" si="84"/>
        <v>1.1466997310326424E-2</v>
      </c>
      <c r="P246" s="169">
        <f>(INDEX(Models!$BJ246:$BT246,,T246)*(1-R246)+INDEX(Models!$BJ246:$BT246,,T246+1)*R246-ERP_i)*Q246*Ramure*Pc/MaxiM</f>
        <v>1.8347744926137052E-4</v>
      </c>
      <c r="Q246" s="305">
        <f t="shared" si="85"/>
        <v>0.7</v>
      </c>
      <c r="R246" s="177">
        <f t="shared" si="86"/>
        <v>0.47451915104422926</v>
      </c>
      <c r="S246" s="919">
        <f t="shared" si="103"/>
        <v>-2</v>
      </c>
      <c r="T246" s="176">
        <f t="shared" si="87"/>
        <v>4</v>
      </c>
      <c r="U246" s="251">
        <f t="shared" si="88"/>
        <v>-1.5254808489557707</v>
      </c>
      <c r="V246" s="383">
        <f t="shared" si="89"/>
        <v>51.593577418224072</v>
      </c>
      <c r="W246" s="58"/>
      <c r="X246" s="157">
        <f t="shared" si="90"/>
        <v>43332</v>
      </c>
      <c r="Y246" s="385">
        <f t="shared" si="91"/>
        <v>50.850999999999999</v>
      </c>
      <c r="Z246" s="385">
        <f t="shared" si="92"/>
        <v>50.9502230634752</v>
      </c>
      <c r="AA246" s="386">
        <f t="shared" si="93"/>
        <v>51.541246397283722</v>
      </c>
      <c r="AB246" s="197">
        <f t="shared" si="94"/>
        <v>43332</v>
      </c>
      <c r="AC246" s="425">
        <f t="shared" si="95"/>
        <v>1.1466997310326424E-2</v>
      </c>
      <c r="AD246" s="169">
        <f>(INDEX(Models!$BJ246:$BT246,,AH246)*(1-AF246)+INDEX(Models!$BJ246:$BT246,,AH246+1)*AF246-ERP_i)*AE246*Ramure*Pc/MaxiM</f>
        <v>1.8347744926137052E-4</v>
      </c>
      <c r="AE246" s="305">
        <f t="shared" si="96"/>
        <v>0.7</v>
      </c>
      <c r="AF246" s="177">
        <f t="shared" si="97"/>
        <v>0.47451915104422926</v>
      </c>
      <c r="AG246" s="919">
        <f t="shared" si="98"/>
        <v>-2</v>
      </c>
      <c r="AH246" s="176">
        <f t="shared" si="99"/>
        <v>4</v>
      </c>
      <c r="AI246" s="225">
        <f t="shared" si="100"/>
        <v>-1.5254808489557707</v>
      </c>
      <c r="AJ246" s="265" t="b">
        <f t="shared" si="101"/>
        <v>0</v>
      </c>
      <c r="AK246" s="265" t="b">
        <f t="shared" si="102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104"/>
        <v>43333</v>
      </c>
      <c r="B247" s="618">
        <v>50.353000000000002</v>
      </c>
      <c r="C247" s="390"/>
      <c r="D247" s="393">
        <f t="shared" si="80"/>
        <v>50.452356376575437</v>
      </c>
      <c r="E247" s="385">
        <f t="shared" si="106"/>
        <v>51.043950880967628</v>
      </c>
      <c r="F247" s="385">
        <f t="shared" si="105"/>
        <v>51.052233719552078</v>
      </c>
      <c r="G247" s="110">
        <f t="shared" si="107"/>
        <v>0.97817411636691831</v>
      </c>
      <c r="I247" s="380">
        <f t="shared" si="81"/>
        <v>51.052233719552078</v>
      </c>
      <c r="J247" s="85">
        <v>2018</v>
      </c>
      <c r="K247" s="197">
        <f t="shared" si="82"/>
        <v>43333</v>
      </c>
      <c r="L247" s="436">
        <f t="shared" si="83"/>
        <v>1.9693109244262041E-3</v>
      </c>
      <c r="M247" s="968"/>
      <c r="N247" s="968"/>
      <c r="O247" s="324">
        <f t="shared" si="84"/>
        <v>1.1589904272335042E-2</v>
      </c>
      <c r="P247" s="169">
        <f>(INDEX(Models!$BJ247:$BT247,,T247)*(1-R247)+INDEX(Models!$BJ247:$BT247,,T247+1)*R247-ERP_i)*Q247*Ramure*Pc/MaxiM</f>
        <v>1.6746266890482137E-4</v>
      </c>
      <c r="Q247" s="305">
        <f t="shared" si="85"/>
        <v>0.7</v>
      </c>
      <c r="R247" s="177">
        <f t="shared" si="86"/>
        <v>0.47550227552789348</v>
      </c>
      <c r="S247" s="919">
        <f t="shared" si="103"/>
        <v>-2</v>
      </c>
      <c r="T247" s="176">
        <f t="shared" si="87"/>
        <v>4</v>
      </c>
      <c r="U247" s="251">
        <f t="shared" si="88"/>
        <v>-1.5244977244721065</v>
      </c>
      <c r="V247" s="383">
        <f t="shared" si="89"/>
        <v>51.476251784091239</v>
      </c>
      <c r="W247" s="58"/>
      <c r="X247" s="157">
        <f t="shared" si="90"/>
        <v>43333</v>
      </c>
      <c r="Y247" s="385">
        <f t="shared" si="91"/>
        <v>50.353000000000002</v>
      </c>
      <c r="Z247" s="385">
        <f t="shared" si="92"/>
        <v>50.452356376575437</v>
      </c>
      <c r="AA247" s="386">
        <f t="shared" si="93"/>
        <v>51.043950880967628</v>
      </c>
      <c r="AB247" s="197">
        <f t="shared" si="94"/>
        <v>43333</v>
      </c>
      <c r="AC247" s="425">
        <f t="shared" si="95"/>
        <v>1.1589904272335042E-2</v>
      </c>
      <c r="AD247" s="169">
        <f>(INDEX(Models!$BJ247:$BT247,,AH247)*(1-AF247)+INDEX(Models!$BJ247:$BT247,,AH247+1)*AF247-ERP_i)*AE247*Ramure*Pc/MaxiM</f>
        <v>1.6746266890482137E-4</v>
      </c>
      <c r="AE247" s="305">
        <f t="shared" si="96"/>
        <v>0.7</v>
      </c>
      <c r="AF247" s="177">
        <f t="shared" si="97"/>
        <v>0.47550227552789348</v>
      </c>
      <c r="AG247" s="919">
        <f t="shared" si="98"/>
        <v>-2</v>
      </c>
      <c r="AH247" s="176">
        <f t="shared" si="99"/>
        <v>4</v>
      </c>
      <c r="AI247" s="225">
        <f t="shared" si="100"/>
        <v>-1.5244977244721065</v>
      </c>
      <c r="AJ247" s="265" t="b">
        <f t="shared" si="101"/>
        <v>0</v>
      </c>
      <c r="AK247" s="265" t="b">
        <f t="shared" si="102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104"/>
        <v>43334</v>
      </c>
      <c r="B248" s="618">
        <v>49.588999999999999</v>
      </c>
      <c r="C248" s="390"/>
      <c r="D248" s="393">
        <f t="shared" si="80"/>
        <v>49.687937147593246</v>
      </c>
      <c r="E248" s="385">
        <f t="shared" si="106"/>
        <v>50.276811645088017</v>
      </c>
      <c r="F248" s="385">
        <f t="shared" si="105"/>
        <v>50.284118070169328</v>
      </c>
      <c r="G248" s="110">
        <f t="shared" si="107"/>
        <v>0.96549907639499977</v>
      </c>
      <c r="I248" s="380">
        <f t="shared" si="81"/>
        <v>50.284118070169328</v>
      </c>
      <c r="J248" s="85">
        <v>2018</v>
      </c>
      <c r="K248" s="197">
        <f t="shared" si="82"/>
        <v>43334</v>
      </c>
      <c r="L248" s="436">
        <f t="shared" si="83"/>
        <v>1.9911703578952E-3</v>
      </c>
      <c r="M248" s="968"/>
      <c r="N248" s="968"/>
      <c r="O248" s="324">
        <f t="shared" si="84"/>
        <v>1.1712646013667827E-2</v>
      </c>
      <c r="P248" s="169">
        <f>(INDEX(Models!$BJ248:$BT248,,T248)*(1-R248)+INDEX(Models!$BJ248:$BT248,,T248+1)*R248-ERP_i)*Q248*Ramure*Pc/MaxiM</f>
        <v>1.5283398430392399E-4</v>
      </c>
      <c r="Q248" s="305">
        <f t="shared" si="85"/>
        <v>0.7</v>
      </c>
      <c r="R248" s="177">
        <f t="shared" si="86"/>
        <v>0.47644964987951188</v>
      </c>
      <c r="S248" s="919">
        <f t="shared" si="103"/>
        <v>-2</v>
      </c>
      <c r="T248" s="176">
        <f t="shared" si="87"/>
        <v>4</v>
      </c>
      <c r="U248" s="251">
        <f t="shared" si="88"/>
        <v>-1.5235503501204881</v>
      </c>
      <c r="V248" s="383">
        <f t="shared" si="89"/>
        <v>51.360615143089639</v>
      </c>
      <c r="W248" s="58"/>
      <c r="X248" s="157">
        <f t="shared" si="90"/>
        <v>43334</v>
      </c>
      <c r="Y248" s="385">
        <f t="shared" si="91"/>
        <v>49.588999999999999</v>
      </c>
      <c r="Z248" s="385">
        <f t="shared" si="92"/>
        <v>49.687937147593246</v>
      </c>
      <c r="AA248" s="386">
        <f t="shared" si="93"/>
        <v>50.276811645088017</v>
      </c>
      <c r="AB248" s="197">
        <f t="shared" si="94"/>
        <v>43334</v>
      </c>
      <c r="AC248" s="425">
        <f t="shared" si="95"/>
        <v>1.1712646013667827E-2</v>
      </c>
      <c r="AD248" s="169">
        <f>(INDEX(Models!$BJ248:$BT248,,AH248)*(1-AF248)+INDEX(Models!$BJ248:$BT248,,AH248+1)*AF248-ERP_i)*AE248*Ramure*Pc/MaxiM</f>
        <v>1.5283398430392399E-4</v>
      </c>
      <c r="AE248" s="305">
        <f t="shared" si="96"/>
        <v>0.7</v>
      </c>
      <c r="AF248" s="177">
        <f t="shared" si="97"/>
        <v>0.47644964987951188</v>
      </c>
      <c r="AG248" s="919">
        <f t="shared" si="98"/>
        <v>-2</v>
      </c>
      <c r="AH248" s="176">
        <f t="shared" si="99"/>
        <v>4</v>
      </c>
      <c r="AI248" s="225">
        <f t="shared" si="100"/>
        <v>-1.5235503501204881</v>
      </c>
      <c r="AJ248" s="265" t="b">
        <f t="shared" si="101"/>
        <v>0</v>
      </c>
      <c r="AK248" s="265" t="b">
        <f t="shared" si="102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104"/>
        <v>43335</v>
      </c>
      <c r="B249" s="618">
        <v>24.058</v>
      </c>
      <c r="C249" s="390"/>
      <c r="D249" s="393">
        <f t="shared" si="80"/>
        <v>24.106527145769096</v>
      </c>
      <c r="E249" s="385">
        <f t="shared" si="106"/>
        <v>24.395250299634696</v>
      </c>
      <c r="F249" s="385">
        <f t="shared" si="105"/>
        <v>24.396072932630929</v>
      </c>
      <c r="G249" s="110">
        <f t="shared" si="107"/>
        <v>0.4694097324286351</v>
      </c>
      <c r="I249" s="380">
        <f t="shared" si="81"/>
        <v>24.396072932630929</v>
      </c>
      <c r="J249" s="85">
        <v>2018</v>
      </c>
      <c r="K249" s="197">
        <f t="shared" si="82"/>
        <v>43335</v>
      </c>
      <c r="L249" s="436">
        <f t="shared" si="83"/>
        <v>2.0130293125865117E-3</v>
      </c>
      <c r="M249" s="968"/>
      <c r="N249" s="968"/>
      <c r="O249" s="324">
        <f t="shared" si="84"/>
        <v>1.1835219984191932E-2</v>
      </c>
      <c r="P249" s="169">
        <f>(INDEX(Models!$BJ249:$BT249,,T249)*(1-R249)+INDEX(Models!$BJ249:$BT249,,T249+1)*R249-ERP_i)*Q249*Ramure*Pc/MaxiM</f>
        <v>1.3928965012790552E-4</v>
      </c>
      <c r="Q249" s="305">
        <f t="shared" si="85"/>
        <v>0.7</v>
      </c>
      <c r="R249" s="177">
        <f t="shared" si="86"/>
        <v>0.47736243216389806</v>
      </c>
      <c r="S249" s="919">
        <f t="shared" si="103"/>
        <v>-2</v>
      </c>
      <c r="T249" s="176">
        <f t="shared" si="87"/>
        <v>4</v>
      </c>
      <c r="U249" s="251">
        <f t="shared" si="88"/>
        <v>-1.5226375678361019</v>
      </c>
      <c r="V249" s="383">
        <f t="shared" si="89"/>
        <v>51.246189534049684</v>
      </c>
      <c r="W249" s="58"/>
      <c r="X249" s="157">
        <f t="shared" si="90"/>
        <v>43335</v>
      </c>
      <c r="Y249" s="385">
        <f t="shared" si="91"/>
        <v>24.058</v>
      </c>
      <c r="Z249" s="385">
        <f t="shared" si="92"/>
        <v>24.106527145769096</v>
      </c>
      <c r="AA249" s="386">
        <f t="shared" si="93"/>
        <v>24.395250299634696</v>
      </c>
      <c r="AB249" s="197">
        <f t="shared" si="94"/>
        <v>43335</v>
      </c>
      <c r="AC249" s="425">
        <f t="shared" si="95"/>
        <v>1.1835219984191932E-2</v>
      </c>
      <c r="AD249" s="169">
        <f>(INDEX(Models!$BJ249:$BT249,,AH249)*(1-AF249)+INDEX(Models!$BJ249:$BT249,,AH249+1)*AF249-ERP_i)*AE249*Ramure*Pc/MaxiM</f>
        <v>1.3928965012790552E-4</v>
      </c>
      <c r="AE249" s="305">
        <f t="shared" si="96"/>
        <v>0.7</v>
      </c>
      <c r="AF249" s="177">
        <f t="shared" si="97"/>
        <v>0.47736243216389806</v>
      </c>
      <c r="AG249" s="919">
        <f t="shared" si="98"/>
        <v>-2</v>
      </c>
      <c r="AH249" s="176">
        <f t="shared" si="99"/>
        <v>4</v>
      </c>
      <c r="AI249" s="225">
        <f t="shared" si="100"/>
        <v>-1.5226375678361019</v>
      </c>
      <c r="AJ249" s="265" t="b">
        <f t="shared" si="101"/>
        <v>0</v>
      </c>
      <c r="AK249" s="265" t="b">
        <f t="shared" si="102"/>
        <v>0</v>
      </c>
      <c r="AL249" s="265"/>
      <c r="AM249" s="265"/>
      <c r="AN249" s="75"/>
    </row>
    <row r="250" spans="1:40" s="6" customFormat="1" ht="11.25" x14ac:dyDescent="0.2">
      <c r="A250" s="56">
        <f t="shared" si="104"/>
        <v>43336</v>
      </c>
      <c r="B250" s="618">
        <v>15.885</v>
      </c>
      <c r="C250" s="390"/>
      <c r="D250" s="393">
        <f t="shared" si="80"/>
        <v>15.917390102745035</v>
      </c>
      <c r="E250" s="385">
        <f t="shared" si="106"/>
        <v>16.110027749346347</v>
      </c>
      <c r="F250" s="385">
        <f t="shared" si="105"/>
        <v>16.110058879867211</v>
      </c>
      <c r="G250" s="110">
        <f t="shared" si="107"/>
        <v>0.31062478251723386</v>
      </c>
      <c r="I250" s="380">
        <f t="shared" si="81"/>
        <v>16.110058879867211</v>
      </c>
      <c r="J250" s="85">
        <v>2018</v>
      </c>
      <c r="K250" s="197">
        <f t="shared" si="82"/>
        <v>43336</v>
      </c>
      <c r="L250" s="436">
        <f t="shared" si="83"/>
        <v>2.0348877885105754E-3</v>
      </c>
      <c r="M250" s="968"/>
      <c r="N250" s="968"/>
      <c r="O250" s="324">
        <f t="shared" si="84"/>
        <v>1.1957623512419382E-2</v>
      </c>
      <c r="P250" s="169">
        <f>(INDEX(Models!$BJ250:$BT250,,T250)*(1-R250)+INDEX(Models!$BJ250:$BT250,,T250+1)*R250-ERP_i)*Q250*Ramure*Pc/MaxiM</f>
        <v>1.2684807678363535E-4</v>
      </c>
      <c r="Q250" s="305">
        <f t="shared" si="85"/>
        <v>0.7</v>
      </c>
      <c r="R250" s="177">
        <f t="shared" si="86"/>
        <v>0.47824175371356237</v>
      </c>
      <c r="S250" s="919">
        <f t="shared" si="103"/>
        <v>-2</v>
      </c>
      <c r="T250" s="176">
        <f t="shared" si="87"/>
        <v>4</v>
      </c>
      <c r="U250" s="251">
        <f t="shared" si="88"/>
        <v>-1.5217582462864376</v>
      </c>
      <c r="V250" s="383">
        <f t="shared" si="89"/>
        <v>51.132480742130014</v>
      </c>
      <c r="W250" s="58"/>
      <c r="X250" s="157">
        <f t="shared" si="90"/>
        <v>43336</v>
      </c>
      <c r="Y250" s="385">
        <f t="shared" si="91"/>
        <v>15.885</v>
      </c>
      <c r="Z250" s="385">
        <f t="shared" si="92"/>
        <v>15.917390102745035</v>
      </c>
      <c r="AA250" s="386">
        <f t="shared" si="93"/>
        <v>16.110027749346347</v>
      </c>
      <c r="AB250" s="197">
        <f t="shared" si="94"/>
        <v>43336</v>
      </c>
      <c r="AC250" s="425">
        <f t="shared" si="95"/>
        <v>1.1957623512419382E-2</v>
      </c>
      <c r="AD250" s="169">
        <f>(INDEX(Models!$BJ250:$BT250,,AH250)*(1-AF250)+INDEX(Models!$BJ250:$BT250,,AH250+1)*AF250-ERP_i)*AE250*Ramure*Pc/MaxiM</f>
        <v>1.2684807678363535E-4</v>
      </c>
      <c r="AE250" s="305">
        <f t="shared" si="96"/>
        <v>0.7</v>
      </c>
      <c r="AF250" s="177">
        <f t="shared" si="97"/>
        <v>0.47824175371356237</v>
      </c>
      <c r="AG250" s="919">
        <f t="shared" si="98"/>
        <v>-2</v>
      </c>
      <c r="AH250" s="176">
        <f t="shared" si="99"/>
        <v>4</v>
      </c>
      <c r="AI250" s="225">
        <f t="shared" si="100"/>
        <v>-1.5217582462864376</v>
      </c>
      <c r="AJ250" s="265" t="b">
        <f t="shared" si="101"/>
        <v>0</v>
      </c>
      <c r="AK250" s="265" t="b">
        <f t="shared" si="102"/>
        <v>0</v>
      </c>
      <c r="AL250" s="265"/>
      <c r="AM250" s="265"/>
      <c r="AN250" s="75"/>
    </row>
    <row r="251" spans="1:40" s="6" customFormat="1" ht="11.25" x14ac:dyDescent="0.2">
      <c r="A251" s="56">
        <f t="shared" si="104"/>
        <v>43337</v>
      </c>
      <c r="B251" s="618">
        <v>23.423999999999999</v>
      </c>
      <c r="C251" s="390"/>
      <c r="D251" s="393">
        <f t="shared" si="80"/>
        <v>23.472276505783537</v>
      </c>
      <c r="E251" s="385">
        <f t="shared" si="106"/>
        <v>23.759285197475727</v>
      </c>
      <c r="F251" s="385">
        <f t="shared" si="105"/>
        <v>23.759909164329446</v>
      </c>
      <c r="G251" s="110">
        <f t="shared" si="107"/>
        <v>0.45908213306000961</v>
      </c>
      <c r="I251" s="380">
        <f t="shared" si="81"/>
        <v>23.759909164329446</v>
      </c>
      <c r="J251" s="85">
        <v>2018</v>
      </c>
      <c r="K251" s="197">
        <f t="shared" si="82"/>
        <v>43337</v>
      </c>
      <c r="L251" s="436">
        <f t="shared" si="83"/>
        <v>2.0567457856779381E-3</v>
      </c>
      <c r="M251" s="968"/>
      <c r="N251" s="968"/>
      <c r="O251" s="324">
        <f t="shared" si="84"/>
        <v>1.2079853804805604E-2</v>
      </c>
      <c r="P251" s="169">
        <f>(INDEX(Models!$BJ251:$BT251,,T251)*(1-R251)+INDEX(Models!$BJ251:$BT251,,T251+1)*R251-ERP_i)*Q251*Ramure*Pc/MaxiM</f>
        <v>1.1552647020846367E-4</v>
      </c>
      <c r="Q251" s="305">
        <f t="shared" si="85"/>
        <v>0.7</v>
      </c>
      <c r="R251" s="177">
        <f t="shared" si="86"/>
        <v>0.47908871888152693</v>
      </c>
      <c r="S251" s="919">
        <f t="shared" si="103"/>
        <v>-2</v>
      </c>
      <c r="T251" s="176">
        <f t="shared" si="87"/>
        <v>4</v>
      </c>
      <c r="U251" s="251">
        <f t="shared" si="88"/>
        <v>-1.5209112811184731</v>
      </c>
      <c r="V251" s="383">
        <f t="shared" si="89"/>
        <v>51.018994885212585</v>
      </c>
      <c r="W251" s="58"/>
      <c r="X251" s="157">
        <f t="shared" si="90"/>
        <v>43337</v>
      </c>
      <c r="Y251" s="385">
        <f t="shared" si="91"/>
        <v>23.423999999999999</v>
      </c>
      <c r="Z251" s="385">
        <f t="shared" si="92"/>
        <v>23.472276505783537</v>
      </c>
      <c r="AA251" s="386">
        <f t="shared" si="93"/>
        <v>23.759285197475727</v>
      </c>
      <c r="AB251" s="197">
        <f t="shared" si="94"/>
        <v>43337</v>
      </c>
      <c r="AC251" s="425">
        <f t="shared" si="95"/>
        <v>1.2079853804805604E-2</v>
      </c>
      <c r="AD251" s="169">
        <f>(INDEX(Models!$BJ251:$BT251,,AH251)*(1-AF251)+INDEX(Models!$BJ251:$BT251,,AH251+1)*AF251-ERP_i)*AE251*Ramure*Pc/MaxiM</f>
        <v>1.1552647020846367E-4</v>
      </c>
      <c r="AE251" s="305">
        <f t="shared" si="96"/>
        <v>0.7</v>
      </c>
      <c r="AF251" s="177">
        <f t="shared" si="97"/>
        <v>0.47908871888152693</v>
      </c>
      <c r="AG251" s="919">
        <f t="shared" si="98"/>
        <v>-2</v>
      </c>
      <c r="AH251" s="176">
        <f t="shared" si="99"/>
        <v>4</v>
      </c>
      <c r="AI251" s="225">
        <f t="shared" si="100"/>
        <v>-1.5209112811184731</v>
      </c>
      <c r="AJ251" s="265" t="b">
        <f t="shared" si="101"/>
        <v>0</v>
      </c>
      <c r="AK251" s="265" t="b">
        <f t="shared" si="102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104"/>
        <v>43338</v>
      </c>
      <c r="B252" s="618">
        <v>52.866999999999997</v>
      </c>
      <c r="C252" s="390"/>
      <c r="D252" s="393">
        <f t="shared" si="80"/>
        <v>52.977118413375692</v>
      </c>
      <c r="E252" s="385">
        <f t="shared" si="106"/>
        <v>53.631525348571046</v>
      </c>
      <c r="F252" s="385">
        <f t="shared" si="105"/>
        <v>53.637175533284911</v>
      </c>
      <c r="G252" s="110">
        <f t="shared" si="107"/>
        <v>1.0385375188006487</v>
      </c>
      <c r="I252" s="380">
        <f t="shared" si="81"/>
        <v>53.637175533284911</v>
      </c>
      <c r="J252" s="85">
        <v>2018</v>
      </c>
      <c r="K252" s="197">
        <f t="shared" si="82"/>
        <v>43338</v>
      </c>
      <c r="L252" s="436">
        <f t="shared" si="83"/>
        <v>2.078603304099147E-3</v>
      </c>
      <c r="M252" s="968"/>
      <c r="N252" s="968"/>
      <c r="O252" s="324">
        <f t="shared" si="84"/>
        <v>1.220190794392154E-2</v>
      </c>
      <c r="P252" s="169">
        <f>(INDEX(Models!$BJ252:$BT252,,T252)*(1-R252)+INDEX(Models!$BJ252:$BT252,,T252+1)*R252-ERP_i)*Q252*Ramure*Pc/MaxiM</f>
        <v>1.0534083231810623E-4</v>
      </c>
      <c r="Q252" s="305">
        <f t="shared" si="85"/>
        <v>0.7</v>
      </c>
      <c r="R252" s="177">
        <f t="shared" si="86"/>
        <v>0.47990440488293062</v>
      </c>
      <c r="S252" s="919">
        <f t="shared" si="103"/>
        <v>-2</v>
      </c>
      <c r="T252" s="176">
        <f t="shared" si="87"/>
        <v>4</v>
      </c>
      <c r="U252" s="251">
        <f t="shared" si="88"/>
        <v>-1.5200955951170694</v>
      </c>
      <c r="V252" s="383">
        <f t="shared" si="89"/>
        <v>50.905238417436529</v>
      </c>
      <c r="W252" s="58"/>
      <c r="X252" s="157">
        <f t="shared" si="90"/>
        <v>43338</v>
      </c>
      <c r="Y252" s="385">
        <f t="shared" si="91"/>
        <v>52.866999999999997</v>
      </c>
      <c r="Z252" s="385">
        <f t="shared" si="92"/>
        <v>52.977118413375692</v>
      </c>
      <c r="AA252" s="386">
        <f t="shared" si="93"/>
        <v>53.631525348571046</v>
      </c>
      <c r="AB252" s="197">
        <f t="shared" si="94"/>
        <v>43338</v>
      </c>
      <c r="AC252" s="425">
        <f t="shared" si="95"/>
        <v>1.220190794392154E-2</v>
      </c>
      <c r="AD252" s="169">
        <f>(INDEX(Models!$BJ252:$BT252,,AH252)*(1-AF252)+INDEX(Models!$BJ252:$BT252,,AH252+1)*AF252-ERP_i)*AE252*Ramure*Pc/MaxiM</f>
        <v>1.0534083231810623E-4</v>
      </c>
      <c r="AE252" s="305">
        <f t="shared" si="96"/>
        <v>0.7</v>
      </c>
      <c r="AF252" s="177">
        <f t="shared" si="97"/>
        <v>0.47990440488293062</v>
      </c>
      <c r="AG252" s="919">
        <f t="shared" si="98"/>
        <v>-2</v>
      </c>
      <c r="AH252" s="176">
        <f t="shared" si="99"/>
        <v>4</v>
      </c>
      <c r="AI252" s="225">
        <f t="shared" si="100"/>
        <v>-1.5200955951170694</v>
      </c>
      <c r="AJ252" s="265" t="b">
        <f t="shared" si="101"/>
        <v>0</v>
      </c>
      <c r="AK252" s="265" t="b">
        <f t="shared" si="102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104"/>
        <v>43339</v>
      </c>
      <c r="B253" s="618">
        <v>50.658999999999999</v>
      </c>
      <c r="C253" s="390"/>
      <c r="D253" s="393">
        <f t="shared" si="80"/>
        <v>50.765631195152608</v>
      </c>
      <c r="E253" s="385">
        <f t="shared" si="106"/>
        <v>51.3990620767024</v>
      </c>
      <c r="F253" s="385">
        <f t="shared" si="105"/>
        <v>51.403994258295555</v>
      </c>
      <c r="G253" s="110">
        <f t="shared" si="107"/>
        <v>0.99740629380101453</v>
      </c>
      <c r="I253" s="380">
        <f t="shared" si="81"/>
        <v>51.403994258295555</v>
      </c>
      <c r="J253" s="85">
        <v>2018</v>
      </c>
      <c r="K253" s="197">
        <f t="shared" si="82"/>
        <v>43339</v>
      </c>
      <c r="L253" s="436">
        <f t="shared" si="83"/>
        <v>2.1004603437845271E-3</v>
      </c>
      <c r="M253" s="968"/>
      <c r="N253" s="968"/>
      <c r="O253" s="324">
        <f t="shared" si="84"/>
        <v>1.23237828854644E-2</v>
      </c>
      <c r="P253" s="169">
        <f>(INDEX(Models!$BJ253:$BT253,,T253)*(1-R253)+INDEX(Models!$BJ253:$BT253,,T253+1)*R253-ERP_i)*Q253*Ramure*Pc/MaxiM</f>
        <v>9.6306177966940307E-5</v>
      </c>
      <c r="Q253" s="305">
        <f t="shared" si="85"/>
        <v>0.7</v>
      </c>
      <c r="R253" s="177">
        <f t="shared" si="86"/>
        <v>0.48068986171817785</v>
      </c>
      <c r="S253" s="919">
        <f t="shared" si="103"/>
        <v>-2</v>
      </c>
      <c r="T253" s="176">
        <f t="shared" si="87"/>
        <v>4</v>
      </c>
      <c r="U253" s="251">
        <f t="shared" si="88"/>
        <v>-1.5193101382818222</v>
      </c>
      <c r="V253" s="383">
        <f t="shared" si="89"/>
        <v>50.790718123897683</v>
      </c>
      <c r="W253" s="58"/>
      <c r="X253" s="157">
        <f t="shared" si="90"/>
        <v>43339</v>
      </c>
      <c r="Y253" s="385">
        <f t="shared" si="91"/>
        <v>50.658999999999999</v>
      </c>
      <c r="Z253" s="385">
        <f t="shared" si="92"/>
        <v>50.765631195152608</v>
      </c>
      <c r="AA253" s="386">
        <f t="shared" si="93"/>
        <v>51.3990620767024</v>
      </c>
      <c r="AB253" s="197">
        <f t="shared" si="94"/>
        <v>43339</v>
      </c>
      <c r="AC253" s="425">
        <f t="shared" si="95"/>
        <v>1.23237828854644E-2</v>
      </c>
      <c r="AD253" s="169">
        <f>(INDEX(Models!$BJ253:$BT253,,AH253)*(1-AF253)+INDEX(Models!$BJ253:$BT253,,AH253+1)*AF253-ERP_i)*AE253*Ramure*Pc/MaxiM</f>
        <v>9.6306177966940307E-5</v>
      </c>
      <c r="AE253" s="305">
        <f t="shared" si="96"/>
        <v>0.7</v>
      </c>
      <c r="AF253" s="177">
        <f t="shared" si="97"/>
        <v>0.48068986171817785</v>
      </c>
      <c r="AG253" s="919">
        <f t="shared" si="98"/>
        <v>-2</v>
      </c>
      <c r="AH253" s="176">
        <f t="shared" si="99"/>
        <v>4</v>
      </c>
      <c r="AI253" s="225">
        <f t="shared" si="100"/>
        <v>-1.5193101382818222</v>
      </c>
      <c r="AJ253" s="265" t="b">
        <f t="shared" si="101"/>
        <v>0</v>
      </c>
      <c r="AK253" s="265" t="b">
        <f t="shared" si="102"/>
        <v>0</v>
      </c>
      <c r="AL253" s="265"/>
      <c r="AM253" s="265"/>
      <c r="AN253" s="75"/>
    </row>
    <row r="254" spans="1:40" s="6" customFormat="1" ht="11.25" x14ac:dyDescent="0.2">
      <c r="A254" s="56">
        <f t="shared" si="104"/>
        <v>43340</v>
      </c>
      <c r="B254" s="618">
        <v>42.625999999999998</v>
      </c>
      <c r="C254" s="390"/>
      <c r="D254" s="393">
        <f t="shared" si="80"/>
        <v>42.716658285994562</v>
      </c>
      <c r="E254" s="385">
        <f t="shared" si="106"/>
        <v>43.254987167049379</v>
      </c>
      <c r="F254" s="385">
        <f t="shared" si="105"/>
        <v>43.257954582794689</v>
      </c>
      <c r="G254" s="110">
        <f t="shared" si="107"/>
        <v>0.84114857100510232</v>
      </c>
      <c r="I254" s="380">
        <f t="shared" si="81"/>
        <v>43.257954582794689</v>
      </c>
      <c r="J254" s="85">
        <v>2018</v>
      </c>
      <c r="K254" s="197">
        <f t="shared" si="82"/>
        <v>43340</v>
      </c>
      <c r="L254" s="436">
        <f t="shared" si="83"/>
        <v>2.1223169047446255E-3</v>
      </c>
      <c r="M254" s="968"/>
      <c r="N254" s="968"/>
      <c r="O254" s="324">
        <f t="shared" si="84"/>
        <v>1.2445475454097433E-2</v>
      </c>
      <c r="P254" s="169">
        <f>(INDEX(Models!$BJ254:$BT254,,T254)*(1-R254)+INDEX(Models!$BJ254:$BT254,,T254+1)*R254-ERP_i)*Q254*Ramure*Pc/MaxiM</f>
        <v>8.8732015824192451E-5</v>
      </c>
      <c r="Q254" s="305">
        <f t="shared" si="85"/>
        <v>0.7</v>
      </c>
      <c r="R254" s="177">
        <f t="shared" si="86"/>
        <v>0.48144611217073763</v>
      </c>
      <c r="S254" s="919">
        <f t="shared" si="103"/>
        <v>-2</v>
      </c>
      <c r="T254" s="176">
        <f t="shared" si="87"/>
        <v>4</v>
      </c>
      <c r="U254" s="251">
        <f t="shared" si="88"/>
        <v>-1.5185538878292624</v>
      </c>
      <c r="V254" s="383">
        <f t="shared" si="89"/>
        <v>50.674926147840914</v>
      </c>
      <c r="W254" s="58"/>
      <c r="X254" s="157">
        <f t="shared" si="90"/>
        <v>43340</v>
      </c>
      <c r="Y254" s="385">
        <f t="shared" si="91"/>
        <v>42.625999999999998</v>
      </c>
      <c r="Z254" s="385">
        <f t="shared" si="92"/>
        <v>42.716658285994562</v>
      </c>
      <c r="AA254" s="386">
        <f t="shared" si="93"/>
        <v>43.254987167049379</v>
      </c>
      <c r="AB254" s="197">
        <f t="shared" si="94"/>
        <v>43340</v>
      </c>
      <c r="AC254" s="425">
        <f t="shared" si="95"/>
        <v>1.2445475454097433E-2</v>
      </c>
      <c r="AD254" s="169">
        <f>(INDEX(Models!$BJ254:$BT254,,AH254)*(1-AF254)+INDEX(Models!$BJ254:$BT254,,AH254+1)*AF254-ERP_i)*AE254*Ramure*Pc/MaxiM</f>
        <v>8.8732015824192451E-5</v>
      </c>
      <c r="AE254" s="305">
        <f t="shared" si="96"/>
        <v>0.7</v>
      </c>
      <c r="AF254" s="177">
        <f t="shared" si="97"/>
        <v>0.48144611217073763</v>
      </c>
      <c r="AG254" s="919">
        <f t="shared" si="98"/>
        <v>-2</v>
      </c>
      <c r="AH254" s="176">
        <f t="shared" si="99"/>
        <v>4</v>
      </c>
      <c r="AI254" s="225">
        <f t="shared" si="100"/>
        <v>-1.5185538878292624</v>
      </c>
      <c r="AJ254" s="265" t="b">
        <f t="shared" si="101"/>
        <v>0</v>
      </c>
      <c r="AK254" s="265" t="b">
        <f t="shared" si="102"/>
        <v>0</v>
      </c>
      <c r="AL254" s="265"/>
      <c r="AM254" s="265"/>
      <c r="AN254" s="75"/>
    </row>
    <row r="255" spans="1:40" s="6" customFormat="1" ht="11.25" x14ac:dyDescent="0.2">
      <c r="A255" s="56">
        <f t="shared" si="104"/>
        <v>43341</v>
      </c>
      <c r="B255" s="618">
        <v>31.614999999999998</v>
      </c>
      <c r="C255" s="390"/>
      <c r="D255" s="393">
        <f t="shared" si="80"/>
        <v>31.682933690567911</v>
      </c>
      <c r="E255" s="385">
        <f t="shared" si="106"/>
        <v>32.086159895270384</v>
      </c>
      <c r="F255" s="385">
        <f t="shared" si="105"/>
        <v>32.087383069080744</v>
      </c>
      <c r="G255" s="110">
        <f t="shared" si="107"/>
        <v>0.62530136930888325</v>
      </c>
      <c r="I255" s="380">
        <f t="shared" si="81"/>
        <v>32.087383069080744</v>
      </c>
      <c r="J255" s="85">
        <v>2018</v>
      </c>
      <c r="K255" s="197">
        <f t="shared" si="82"/>
        <v>43341</v>
      </c>
      <c r="L255" s="436">
        <f t="shared" si="83"/>
        <v>2.1441729869899895E-3</v>
      </c>
      <c r="M255" s="968"/>
      <c r="N255" s="968"/>
      <c r="O255" s="324">
        <f t="shared" si="84"/>
        <v>1.2566982338135992E-2</v>
      </c>
      <c r="P255" s="169">
        <f>(INDEX(Models!$BJ255:$BT255,,T255)*(1-R255)+INDEX(Models!$BJ255:$BT255,,T255+1)*R255-ERP_i)*Q255*Ramure*Pc/MaxiM</f>
        <v>8.2021814432273242E-5</v>
      </c>
      <c r="Q255" s="305">
        <f t="shared" si="85"/>
        <v>0.7</v>
      </c>
      <c r="R255" s="177">
        <f t="shared" si="86"/>
        <v>0.48217415187303225</v>
      </c>
      <c r="S255" s="919">
        <f t="shared" si="103"/>
        <v>-2</v>
      </c>
      <c r="T255" s="176">
        <f t="shared" si="87"/>
        <v>4</v>
      </c>
      <c r="U255" s="251">
        <f t="shared" si="88"/>
        <v>-1.5178258481269677</v>
      </c>
      <c r="V255" s="383">
        <f t="shared" si="89"/>
        <v>50.557400871988975</v>
      </c>
      <c r="W255" s="58"/>
      <c r="X255" s="157">
        <f t="shared" si="90"/>
        <v>43341</v>
      </c>
      <c r="Y255" s="385">
        <f t="shared" si="91"/>
        <v>31.615000000000002</v>
      </c>
      <c r="Z255" s="385">
        <f t="shared" si="92"/>
        <v>31.682933690567914</v>
      </c>
      <c r="AA255" s="386">
        <f t="shared" si="93"/>
        <v>32.086159895270384</v>
      </c>
      <c r="AB255" s="197">
        <f t="shared" si="94"/>
        <v>43341</v>
      </c>
      <c r="AC255" s="425">
        <f t="shared" si="95"/>
        <v>1.2566982338135992E-2</v>
      </c>
      <c r="AD255" s="169">
        <f>(INDEX(Models!$BJ255:$BT255,,AH255)*(1-AF255)+INDEX(Models!$BJ255:$BT255,,AH255+1)*AF255-ERP_i)*AE255*Ramure*Pc/MaxiM</f>
        <v>8.2021814432273242E-5</v>
      </c>
      <c r="AE255" s="305">
        <f t="shared" si="96"/>
        <v>0.7</v>
      </c>
      <c r="AF255" s="177">
        <f t="shared" si="97"/>
        <v>0.48217415187303225</v>
      </c>
      <c r="AG255" s="919">
        <f t="shared" si="98"/>
        <v>-2</v>
      </c>
      <c r="AH255" s="176">
        <f t="shared" si="99"/>
        <v>4</v>
      </c>
      <c r="AI255" s="225">
        <f t="shared" si="100"/>
        <v>-1.5178258481269677</v>
      </c>
      <c r="AJ255" s="265" t="b">
        <f t="shared" si="101"/>
        <v>0</v>
      </c>
      <c r="AK255" s="265" t="b">
        <f t="shared" si="102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104"/>
        <v>43342</v>
      </c>
      <c r="B256" s="618">
        <v>46.749000000000002</v>
      </c>
      <c r="C256" s="390"/>
      <c r="D256" s="393">
        <f t="shared" si="80"/>
        <v>46.850479478029506</v>
      </c>
      <c r="E256" s="385">
        <f t="shared" si="106"/>
        <v>47.452571950655454</v>
      </c>
      <c r="F256" s="385">
        <f t="shared" si="105"/>
        <v>47.455809670138983</v>
      </c>
      <c r="G256" s="110">
        <f t="shared" si="107"/>
        <v>0.9268597523718104</v>
      </c>
      <c r="I256" s="380">
        <f t="shared" si="81"/>
        <v>47.455809670138983</v>
      </c>
      <c r="J256" s="85">
        <v>2018</v>
      </c>
      <c r="K256" s="197">
        <f t="shared" si="82"/>
        <v>43342</v>
      </c>
      <c r="L256" s="436">
        <f t="shared" si="83"/>
        <v>2.166028590531055E-3</v>
      </c>
      <c r="M256" s="968"/>
      <c r="N256" s="968"/>
      <c r="O256" s="324">
        <f t="shared" si="84"/>
        <v>1.2688300083124042E-2</v>
      </c>
      <c r="P256" s="169">
        <f>(INDEX(Models!$BJ256:$BT256,,T256)*(1-R256)+INDEX(Models!$BJ256:$BT256,,T256+1)*R256-ERP_i)*Q256*Ramure*Pc/MaxiM</f>
        <v>7.618550891108118E-5</v>
      </c>
      <c r="Q256" s="305">
        <f t="shared" si="85"/>
        <v>0.7</v>
      </c>
      <c r="R256" s="177">
        <f t="shared" si="86"/>
        <v>0.48287494943420706</v>
      </c>
      <c r="S256" s="919">
        <f t="shared" si="103"/>
        <v>-2</v>
      </c>
      <c r="T256" s="176">
        <f t="shared" si="87"/>
        <v>4</v>
      </c>
      <c r="U256" s="251">
        <f t="shared" si="88"/>
        <v>-1.5171250505657929</v>
      </c>
      <c r="V256" s="383">
        <f t="shared" si="89"/>
        <v>50.437650092500505</v>
      </c>
      <c r="W256" s="58"/>
      <c r="X256" s="157">
        <f t="shared" si="90"/>
        <v>43342</v>
      </c>
      <c r="Y256" s="385">
        <f t="shared" si="91"/>
        <v>46.749000000000002</v>
      </c>
      <c r="Z256" s="385">
        <f t="shared" si="92"/>
        <v>46.850479478029506</v>
      </c>
      <c r="AA256" s="386">
        <f t="shared" si="93"/>
        <v>47.452571950655454</v>
      </c>
      <c r="AB256" s="197">
        <f t="shared" si="94"/>
        <v>43342</v>
      </c>
      <c r="AC256" s="425">
        <f t="shared" si="95"/>
        <v>1.2688300083124042E-2</v>
      </c>
      <c r="AD256" s="169">
        <f>(INDEX(Models!$BJ256:$BT256,,AH256)*(1-AF256)+INDEX(Models!$BJ256:$BT256,,AH256+1)*AF256-ERP_i)*AE256*Ramure*Pc/MaxiM</f>
        <v>7.618550891108118E-5</v>
      </c>
      <c r="AE256" s="305">
        <f t="shared" si="96"/>
        <v>0.7</v>
      </c>
      <c r="AF256" s="177">
        <f t="shared" si="97"/>
        <v>0.48287494943420706</v>
      </c>
      <c r="AG256" s="919">
        <f t="shared" si="98"/>
        <v>-2</v>
      </c>
      <c r="AH256" s="176">
        <f t="shared" si="99"/>
        <v>4</v>
      </c>
      <c r="AI256" s="225">
        <f t="shared" si="100"/>
        <v>-1.5171250505657929</v>
      </c>
      <c r="AJ256" s="265" t="b">
        <f t="shared" si="101"/>
        <v>0</v>
      </c>
      <c r="AK256" s="265" t="b">
        <f t="shared" si="102"/>
        <v>0</v>
      </c>
      <c r="AL256" s="265"/>
      <c r="AM256" s="265"/>
      <c r="AN256" s="75"/>
    </row>
    <row r="257" spans="1:40" s="6" customFormat="1" ht="11.25" x14ac:dyDescent="0.2">
      <c r="A257" s="56">
        <f t="shared" si="104"/>
        <v>43343</v>
      </c>
      <c r="B257" s="618">
        <v>46.843000000000004</v>
      </c>
      <c r="C257" s="390"/>
      <c r="D257" s="393">
        <f t="shared" si="80"/>
        <v>46.945711758262746</v>
      </c>
      <c r="E257" s="385">
        <f t="shared" si="106"/>
        <v>47.554862203050391</v>
      </c>
      <c r="F257" s="385">
        <f t="shared" si="105"/>
        <v>47.557915907198883</v>
      </c>
      <c r="G257" s="110">
        <f t="shared" si="107"/>
        <v>0.93098482887761147</v>
      </c>
      <c r="I257" s="380">
        <f t="shared" si="81"/>
        <v>47.557915907198883</v>
      </c>
      <c r="J257" s="85">
        <v>2018</v>
      </c>
      <c r="K257" s="197">
        <f t="shared" si="82"/>
        <v>43343</v>
      </c>
      <c r="L257" s="436">
        <f t="shared" si="83"/>
        <v>2.1878837153782582E-3</v>
      </c>
      <c r="M257" s="968"/>
      <c r="N257" s="968"/>
      <c r="O257" s="324">
        <f t="shared" si="84"/>
        <v>1.2809425084372822E-2</v>
      </c>
      <c r="P257" s="169">
        <f>(INDEX(Models!$BJ257:$BT257,,T257)*(1-R257)+INDEX(Models!$BJ257:$BT257,,T257+1)*R257-ERP_i)*Q257*Ramure*Pc/MaxiM</f>
        <v>7.1232595170835967E-5</v>
      </c>
      <c r="Q257" s="305">
        <f t="shared" si="85"/>
        <v>0.7</v>
      </c>
      <c r="R257" s="177">
        <f t="shared" si="86"/>
        <v>0.4835494466239072</v>
      </c>
      <c r="S257" s="919">
        <f t="shared" si="103"/>
        <v>-2</v>
      </c>
      <c r="T257" s="176">
        <f t="shared" si="87"/>
        <v>4</v>
      </c>
      <c r="U257" s="251">
        <f t="shared" si="88"/>
        <v>-1.5164505533760928</v>
      </c>
      <c r="V257" s="383">
        <f t="shared" si="89"/>
        <v>50.315181919920832</v>
      </c>
      <c r="W257" s="58"/>
      <c r="X257" s="157">
        <f t="shared" si="90"/>
        <v>43343</v>
      </c>
      <c r="Y257" s="385">
        <f t="shared" si="91"/>
        <v>46.843000000000004</v>
      </c>
      <c r="Z257" s="385">
        <f t="shared" si="92"/>
        <v>46.945711758262746</v>
      </c>
      <c r="AA257" s="386">
        <f t="shared" si="93"/>
        <v>47.554862203050391</v>
      </c>
      <c r="AB257" s="197">
        <f t="shared" si="94"/>
        <v>43343</v>
      </c>
      <c r="AC257" s="425">
        <f t="shared" si="95"/>
        <v>1.2809425084372822E-2</v>
      </c>
      <c r="AD257" s="169">
        <f>(INDEX(Models!$BJ257:$BT257,,AH257)*(1-AF257)+INDEX(Models!$BJ257:$BT257,,AH257+1)*AF257-ERP_i)*AE257*Ramure*Pc/MaxiM</f>
        <v>7.1232595170835967E-5</v>
      </c>
      <c r="AE257" s="305">
        <f t="shared" si="96"/>
        <v>0.7</v>
      </c>
      <c r="AF257" s="177">
        <f t="shared" si="97"/>
        <v>0.4835494466239072</v>
      </c>
      <c r="AG257" s="919">
        <f t="shared" si="98"/>
        <v>-2</v>
      </c>
      <c r="AH257" s="176">
        <f t="shared" si="99"/>
        <v>4</v>
      </c>
      <c r="AI257" s="225">
        <f t="shared" si="100"/>
        <v>-1.5164505533760928</v>
      </c>
      <c r="AJ257" s="265" t="b">
        <f t="shared" si="101"/>
        <v>0</v>
      </c>
      <c r="AK257" s="265" t="b">
        <f t="shared" si="102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104"/>
        <v>43344</v>
      </c>
      <c r="B258" s="618">
        <v>51.292999999999999</v>
      </c>
      <c r="C258" s="390"/>
      <c r="D258" s="393">
        <f t="shared" si="80"/>
        <v>51.406595125284611</v>
      </c>
      <c r="E258" s="385">
        <f t="shared" si="106"/>
        <v>52.080008043663447</v>
      </c>
      <c r="F258" s="385">
        <f t="shared" si="105"/>
        <v>52.083506608695828</v>
      </c>
      <c r="G258" s="110">
        <f t="shared" si="107"/>
        <v>1.0219865731869024</v>
      </c>
      <c r="I258" s="380">
        <f t="shared" si="81"/>
        <v>52.083506608695828</v>
      </c>
      <c r="J258" s="85">
        <v>2018</v>
      </c>
      <c r="K258" s="197">
        <f t="shared" si="82"/>
        <v>43344</v>
      </c>
      <c r="L258" s="436">
        <f t="shared" si="83"/>
        <v>2.2097383615422572E-3</v>
      </c>
      <c r="M258" s="968"/>
      <c r="N258" s="968"/>
      <c r="O258" s="324">
        <f t="shared" si="84"/>
        <v>1.2930353578560365E-2</v>
      </c>
      <c r="P258" s="169">
        <f>(INDEX(Models!$BJ258:$BT258,,T258)*(1-R258)+INDEX(Models!$BJ258:$BT258,,T258+1)*R258-ERP_i)*Q258*Ramure*Pc/MaxiM</f>
        <v>6.7172225147345537E-5</v>
      </c>
      <c r="Q258" s="305">
        <f t="shared" si="85"/>
        <v>0.7</v>
      </c>
      <c r="R258" s="177">
        <f t="shared" si="86"/>
        <v>0.48419855860652872</v>
      </c>
      <c r="S258" s="919">
        <f t="shared" si="103"/>
        <v>-2</v>
      </c>
      <c r="T258" s="176">
        <f t="shared" si="87"/>
        <v>4</v>
      </c>
      <c r="U258" s="251">
        <f t="shared" si="88"/>
        <v>-1.5158014413934713</v>
      </c>
      <c r="V258" s="383">
        <f t="shared" si="89"/>
        <v>50.189504779941423</v>
      </c>
      <c r="W258" s="58"/>
      <c r="X258" s="157">
        <f t="shared" si="90"/>
        <v>43344</v>
      </c>
      <c r="Y258" s="385">
        <f t="shared" si="91"/>
        <v>51.292999999999999</v>
      </c>
      <c r="Z258" s="385">
        <f t="shared" si="92"/>
        <v>51.406595125284611</v>
      </c>
      <c r="AA258" s="386">
        <f t="shared" si="93"/>
        <v>52.080008043663447</v>
      </c>
      <c r="AB258" s="197">
        <f t="shared" si="94"/>
        <v>43344</v>
      </c>
      <c r="AC258" s="425">
        <f t="shared" si="95"/>
        <v>1.2930353578560365E-2</v>
      </c>
      <c r="AD258" s="169">
        <f>(INDEX(Models!$BJ258:$BT258,,AH258)*(1-AF258)+INDEX(Models!$BJ258:$BT258,,AH258+1)*AF258-ERP_i)*AE258*Ramure*Pc/MaxiM</f>
        <v>6.7172225147345537E-5</v>
      </c>
      <c r="AE258" s="305">
        <f t="shared" si="96"/>
        <v>0.7</v>
      </c>
      <c r="AF258" s="177">
        <f t="shared" si="97"/>
        <v>0.48419855860652872</v>
      </c>
      <c r="AG258" s="919">
        <f t="shared" si="98"/>
        <v>-2</v>
      </c>
      <c r="AH258" s="176">
        <f t="shared" si="99"/>
        <v>4</v>
      </c>
      <c r="AI258" s="225">
        <f t="shared" si="100"/>
        <v>-1.5158014413934713</v>
      </c>
      <c r="AJ258" s="265" t="b">
        <f t="shared" si="101"/>
        <v>0</v>
      </c>
      <c r="AK258" s="265" t="b">
        <f t="shared" si="102"/>
        <v>0</v>
      </c>
      <c r="AL258" s="265"/>
      <c r="AM258" s="265"/>
      <c r="AN258" s="75"/>
    </row>
    <row r="259" spans="1:40" s="6" customFormat="1" ht="11.25" x14ac:dyDescent="0.2">
      <c r="A259" s="56">
        <f t="shared" si="104"/>
        <v>43345</v>
      </c>
      <c r="B259" s="618">
        <v>49.728999999999999</v>
      </c>
      <c r="C259" s="390"/>
      <c r="D259" s="393">
        <f t="shared" si="80"/>
        <v>49.840223069447127</v>
      </c>
      <c r="E259" s="385">
        <f t="shared" si="106"/>
        <v>50.499293471022867</v>
      </c>
      <c r="F259" s="385">
        <f t="shared" si="105"/>
        <v>50.502495754224739</v>
      </c>
      <c r="G259" s="110">
        <f t="shared" si="107"/>
        <v>0.99338480525283646</v>
      </c>
      <c r="I259" s="380">
        <f t="shared" si="81"/>
        <v>50.502495754224739</v>
      </c>
      <c r="J259" s="85">
        <v>2018</v>
      </c>
      <c r="K259" s="197">
        <f t="shared" si="82"/>
        <v>43345</v>
      </c>
      <c r="L259" s="436">
        <f t="shared" si="83"/>
        <v>2.2315925290332661E-3</v>
      </c>
      <c r="M259" s="968"/>
      <c r="N259" s="968"/>
      <c r="O259" s="324">
        <f t="shared" si="84"/>
        <v>1.3051081634516865E-2</v>
      </c>
      <c r="P259" s="169">
        <f>(INDEX(Models!$BJ259:$BT259,,T259)*(1-R259)+INDEX(Models!$BJ259:$BT259,,T259+1)*R259-ERP_i)*Q259*Ramure*Pc/MaxiM</f>
        <v>6.4013303425859401E-5</v>
      </c>
      <c r="Q259" s="305">
        <f t="shared" si="85"/>
        <v>0.7</v>
      </c>
      <c r="R259" s="177">
        <f t="shared" si="86"/>
        <v>0.48482317422073518</v>
      </c>
      <c r="S259" s="919">
        <f t="shared" si="103"/>
        <v>-2</v>
      </c>
      <c r="T259" s="176">
        <f t="shared" si="87"/>
        <v>4</v>
      </c>
      <c r="U259" s="251">
        <f t="shared" si="88"/>
        <v>-1.5151768257792648</v>
      </c>
      <c r="V259" s="383">
        <f t="shared" si="89"/>
        <v>50.06012740947012</v>
      </c>
      <c r="W259" s="58"/>
      <c r="X259" s="157">
        <f t="shared" si="90"/>
        <v>43345</v>
      </c>
      <c r="Y259" s="385">
        <f t="shared" si="91"/>
        <v>49.728999999999999</v>
      </c>
      <c r="Z259" s="385">
        <f t="shared" si="92"/>
        <v>49.840223069447127</v>
      </c>
      <c r="AA259" s="386">
        <f t="shared" si="93"/>
        <v>50.499293471022867</v>
      </c>
      <c r="AB259" s="197">
        <f t="shared" si="94"/>
        <v>43345</v>
      </c>
      <c r="AC259" s="425">
        <f t="shared" si="95"/>
        <v>1.3051081634516865E-2</v>
      </c>
      <c r="AD259" s="169">
        <f>(INDEX(Models!$BJ259:$BT259,,AH259)*(1-AF259)+INDEX(Models!$BJ259:$BT259,,AH259+1)*AF259-ERP_i)*AE259*Ramure*Pc/MaxiM</f>
        <v>6.4013303425859401E-5</v>
      </c>
      <c r="AE259" s="305">
        <f t="shared" si="96"/>
        <v>0.7</v>
      </c>
      <c r="AF259" s="177">
        <f t="shared" si="97"/>
        <v>0.48482317422073518</v>
      </c>
      <c r="AG259" s="919">
        <f t="shared" si="98"/>
        <v>-2</v>
      </c>
      <c r="AH259" s="176">
        <f t="shared" si="99"/>
        <v>4</v>
      </c>
      <c r="AI259" s="225">
        <f t="shared" si="100"/>
        <v>-1.5151768257792648</v>
      </c>
      <c r="AJ259" s="265" t="b">
        <f t="shared" si="101"/>
        <v>0</v>
      </c>
      <c r="AK259" s="265" t="b">
        <f t="shared" si="102"/>
        <v>0</v>
      </c>
      <c r="AL259" s="265"/>
      <c r="AM259" s="265"/>
      <c r="AN259" s="75"/>
    </row>
    <row r="260" spans="1:40" s="6" customFormat="1" ht="11.25" x14ac:dyDescent="0.2">
      <c r="A260" s="56">
        <f t="shared" si="104"/>
        <v>43346</v>
      </c>
      <c r="B260" s="618">
        <v>50.831000000000003</v>
      </c>
      <c r="C260" s="390"/>
      <c r="D260" s="393">
        <f t="shared" si="80"/>
        <v>50.945803628502595</v>
      </c>
      <c r="E260" s="385">
        <f t="shared" si="106"/>
        <v>51.625798258371965</v>
      </c>
      <c r="F260" s="385">
        <f t="shared" si="105"/>
        <v>51.628987101346148</v>
      </c>
      <c r="G260" s="110">
        <f t="shared" si="107"/>
        <v>1.0181154311950718</v>
      </c>
      <c r="I260" s="380">
        <f t="shared" si="81"/>
        <v>51.628987101346148</v>
      </c>
      <c r="J260" s="85">
        <v>2018</v>
      </c>
      <c r="K260" s="197">
        <f t="shared" si="82"/>
        <v>43346</v>
      </c>
      <c r="L260" s="436">
        <f t="shared" si="83"/>
        <v>2.253446217862054E-3</v>
      </c>
      <c r="M260" s="968"/>
      <c r="N260" s="968"/>
      <c r="O260" s="324">
        <f t="shared" si="84"/>
        <v>1.317160514334703E-2</v>
      </c>
      <c r="P260" s="169">
        <f>(INDEX(Models!$BJ260:$BT260,,T260)*(1-R260)+INDEX(Models!$BJ260:$BT260,,T260+1)*R260-ERP_i)*Q260*Ramure*Pc/MaxiM</f>
        <v>6.1764585230484096E-5</v>
      </c>
      <c r="Q260" s="305">
        <f t="shared" si="85"/>
        <v>0.7</v>
      </c>
      <c r="R260" s="177">
        <f t="shared" si="86"/>
        <v>0.48542415629936064</v>
      </c>
      <c r="S260" s="919">
        <f t="shared" si="103"/>
        <v>-2</v>
      </c>
      <c r="T260" s="176">
        <f t="shared" si="87"/>
        <v>4</v>
      </c>
      <c r="U260" s="251">
        <f t="shared" si="88"/>
        <v>-1.5145758437006394</v>
      </c>
      <c r="V260" s="383">
        <f t="shared" si="89"/>
        <v>49.92655885819763</v>
      </c>
      <c r="W260" s="58"/>
      <c r="X260" s="157">
        <f t="shared" si="90"/>
        <v>43346</v>
      </c>
      <c r="Y260" s="385">
        <f t="shared" si="91"/>
        <v>50.831000000000003</v>
      </c>
      <c r="Z260" s="385">
        <f t="shared" si="92"/>
        <v>50.945803628502595</v>
      </c>
      <c r="AA260" s="386">
        <f t="shared" si="93"/>
        <v>51.625798258371965</v>
      </c>
      <c r="AB260" s="197">
        <f t="shared" si="94"/>
        <v>43346</v>
      </c>
      <c r="AC260" s="425">
        <f t="shared" si="95"/>
        <v>1.317160514334703E-2</v>
      </c>
      <c r="AD260" s="169">
        <f>(INDEX(Models!$BJ260:$BT260,,AH260)*(1-AF260)+INDEX(Models!$BJ260:$BT260,,AH260+1)*AF260-ERP_i)*AE260*Ramure*Pc/MaxiM</f>
        <v>6.1764585230484096E-5</v>
      </c>
      <c r="AE260" s="305">
        <f t="shared" si="96"/>
        <v>0.7</v>
      </c>
      <c r="AF260" s="177">
        <f t="shared" si="97"/>
        <v>0.48542415629936064</v>
      </c>
      <c r="AG260" s="919">
        <f t="shared" si="98"/>
        <v>-2</v>
      </c>
      <c r="AH260" s="176">
        <f t="shared" si="99"/>
        <v>4</v>
      </c>
      <c r="AI260" s="225">
        <f t="shared" si="100"/>
        <v>-1.5145758437006394</v>
      </c>
      <c r="AJ260" s="265" t="b">
        <f t="shared" si="101"/>
        <v>0</v>
      </c>
      <c r="AK260" s="265" t="b">
        <f t="shared" si="102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104"/>
        <v>43347</v>
      </c>
      <c r="B261" s="618">
        <v>46.945</v>
      </c>
      <c r="C261" s="390"/>
      <c r="D261" s="393">
        <f t="shared" si="80"/>
        <v>47.052057519562311</v>
      </c>
      <c r="E261" s="385">
        <f t="shared" si="106"/>
        <v>47.685894606649704</v>
      </c>
      <c r="F261" s="385">
        <f t="shared" ref="F261:F292" si="108">Wh_sa/(1-Pvg*MEDIAN((-Sdif+Wh/Env_an)/Csdif,0,1))</f>
        <v>47.688541275209225</v>
      </c>
      <c r="G261" s="110">
        <f t="shared" si="107"/>
        <v>0.9428509472959089</v>
      </c>
      <c r="I261" s="380">
        <f t="shared" si="81"/>
        <v>47.688541275209225</v>
      </c>
      <c r="J261" s="85">
        <v>2018</v>
      </c>
      <c r="K261" s="197">
        <f t="shared" si="82"/>
        <v>43347</v>
      </c>
      <c r="L261" s="436">
        <f t="shared" si="83"/>
        <v>2.275299428038835E-3</v>
      </c>
      <c r="M261" s="968"/>
      <c r="N261" s="968"/>
      <c r="O261" s="324">
        <f t="shared" si="84"/>
        <v>1.3291919808064236E-2</v>
      </c>
      <c r="P261" s="169">
        <f>(INDEX(Models!$BJ261:$BT261,,T261)*(1-R261)+INDEX(Models!$BJ261:$BT261,,T261+1)*R261-ERP_i)*Q261*Ramure*Pc/MaxiM</f>
        <v>6.0432439972975377E-5</v>
      </c>
      <c r="Q261" s="305">
        <f t="shared" si="85"/>
        <v>0.7</v>
      </c>
      <c r="R261" s="177">
        <f t="shared" si="86"/>
        <v>0.48600234202512493</v>
      </c>
      <c r="S261" s="919">
        <f t="shared" si="103"/>
        <v>-2</v>
      </c>
      <c r="T261" s="176">
        <f t="shared" si="87"/>
        <v>4</v>
      </c>
      <c r="U261" s="251">
        <f t="shared" si="88"/>
        <v>-1.5139976579748751</v>
      </c>
      <c r="V261" s="383">
        <f t="shared" si="89"/>
        <v>49.790233041199649</v>
      </c>
      <c r="W261" s="58"/>
      <c r="X261" s="157">
        <f t="shared" si="90"/>
        <v>43347</v>
      </c>
      <c r="Y261" s="385">
        <f t="shared" si="91"/>
        <v>46.945</v>
      </c>
      <c r="Z261" s="385">
        <f t="shared" si="92"/>
        <v>47.052057519562311</v>
      </c>
      <c r="AA261" s="386">
        <f t="shared" si="93"/>
        <v>47.685894606649704</v>
      </c>
      <c r="AB261" s="197">
        <f t="shared" si="94"/>
        <v>43347</v>
      </c>
      <c r="AC261" s="425">
        <f t="shared" si="95"/>
        <v>1.3291919808064236E-2</v>
      </c>
      <c r="AD261" s="169">
        <f>(INDEX(Models!$BJ261:$BT261,,AH261)*(1-AF261)+INDEX(Models!$BJ261:$BT261,,AH261+1)*AF261-ERP_i)*AE261*Ramure*Pc/MaxiM</f>
        <v>6.0432439972975377E-5</v>
      </c>
      <c r="AE261" s="305">
        <f t="shared" si="96"/>
        <v>0.7</v>
      </c>
      <c r="AF261" s="177">
        <f t="shared" si="97"/>
        <v>0.48600234202512493</v>
      </c>
      <c r="AG261" s="919">
        <f t="shared" si="98"/>
        <v>-2</v>
      </c>
      <c r="AH261" s="176">
        <f t="shared" si="99"/>
        <v>4</v>
      </c>
      <c r="AI261" s="225">
        <f t="shared" si="100"/>
        <v>-1.5139976579748751</v>
      </c>
      <c r="AJ261" s="265" t="b">
        <f t="shared" si="101"/>
        <v>0</v>
      </c>
      <c r="AK261" s="265" t="b">
        <f t="shared" si="102"/>
        <v>0</v>
      </c>
      <c r="AL261" s="265"/>
      <c r="AM261" s="265"/>
      <c r="AN261" s="75"/>
    </row>
    <row r="262" spans="1:40" s="6" customFormat="1" ht="11.25" x14ac:dyDescent="0.2">
      <c r="A262" s="56">
        <f t="shared" si="104"/>
        <v>43348</v>
      </c>
      <c r="B262" s="618">
        <v>43.360999999999997</v>
      </c>
      <c r="C262" s="390"/>
      <c r="D262" s="393">
        <f t="shared" si="80"/>
        <v>43.460836153627213</v>
      </c>
      <c r="E262" s="385">
        <f t="shared" si="106"/>
        <v>44.051657920599077</v>
      </c>
      <c r="F262" s="385">
        <f t="shared" si="108"/>
        <v>44.053826687887273</v>
      </c>
      <c r="G262" s="110">
        <f t="shared" si="107"/>
        <v>0.8732764508726969</v>
      </c>
      <c r="I262" s="380">
        <f t="shared" si="81"/>
        <v>44.053826687887273</v>
      </c>
      <c r="J262" s="85">
        <v>2018</v>
      </c>
      <c r="K262" s="197">
        <f t="shared" si="82"/>
        <v>43348</v>
      </c>
      <c r="L262" s="436">
        <f t="shared" si="83"/>
        <v>2.2971521595743782E-3</v>
      </c>
      <c r="M262" s="968"/>
      <c r="N262" s="968"/>
      <c r="O262" s="324">
        <f t="shared" si="84"/>
        <v>1.3412021132934247E-2</v>
      </c>
      <c r="P262" s="169">
        <f>(INDEX(Models!$BJ262:$BT262,,T262)*(1-R262)+INDEX(Models!$BJ262:$BT262,,T262+1)*R262-ERP_i)*Q262*Ramure*Pc/MaxiM</f>
        <v>6.011129081373592E-5</v>
      </c>
      <c r="Q262" s="305">
        <f t="shared" si="85"/>
        <v>0.7</v>
      </c>
      <c r="R262" s="177">
        <f t="shared" si="86"/>
        <v>0.48655854331789694</v>
      </c>
      <c r="S262" s="919">
        <f t="shared" si="103"/>
        <v>-2</v>
      </c>
      <c r="T262" s="176">
        <f t="shared" si="87"/>
        <v>4</v>
      </c>
      <c r="U262" s="251">
        <f t="shared" si="88"/>
        <v>-1.5134414566821031</v>
      </c>
      <c r="V262" s="383">
        <f t="shared" si="89"/>
        <v>49.6526937228519</v>
      </c>
      <c r="W262" s="58"/>
      <c r="X262" s="157">
        <f t="shared" si="90"/>
        <v>43348</v>
      </c>
      <c r="Y262" s="385">
        <f t="shared" si="91"/>
        <v>43.360999999999997</v>
      </c>
      <c r="Z262" s="385">
        <f t="shared" si="92"/>
        <v>43.460836153627213</v>
      </c>
      <c r="AA262" s="386">
        <f t="shared" si="93"/>
        <v>44.051657920599077</v>
      </c>
      <c r="AB262" s="197">
        <f t="shared" si="94"/>
        <v>43348</v>
      </c>
      <c r="AC262" s="425">
        <f t="shared" si="95"/>
        <v>1.3412021132934247E-2</v>
      </c>
      <c r="AD262" s="169">
        <f>(INDEX(Models!$BJ262:$BT262,,AH262)*(1-AF262)+INDEX(Models!$BJ262:$BT262,,AH262+1)*AF262-ERP_i)*AE262*Ramure*Pc/MaxiM</f>
        <v>6.011129081373592E-5</v>
      </c>
      <c r="AE262" s="305">
        <f t="shared" si="96"/>
        <v>0.7</v>
      </c>
      <c r="AF262" s="177">
        <f t="shared" si="97"/>
        <v>0.48655854331789694</v>
      </c>
      <c r="AG262" s="919">
        <f t="shared" si="98"/>
        <v>-2</v>
      </c>
      <c r="AH262" s="176">
        <f t="shared" si="99"/>
        <v>4</v>
      </c>
      <c r="AI262" s="225">
        <f t="shared" si="100"/>
        <v>-1.5134414566821031</v>
      </c>
      <c r="AJ262" s="265" t="b">
        <f t="shared" si="101"/>
        <v>0</v>
      </c>
      <c r="AK262" s="265" t="b">
        <f t="shared" si="102"/>
        <v>0</v>
      </c>
      <c r="AL262" s="265"/>
      <c r="AM262" s="265"/>
      <c r="AN262" s="75"/>
    </row>
    <row r="263" spans="1:40" s="6" customFormat="1" ht="11.25" x14ac:dyDescent="0.2">
      <c r="A263" s="56">
        <f t="shared" si="104"/>
        <v>43349</v>
      </c>
      <c r="B263" s="618">
        <v>31.773</v>
      </c>
      <c r="C263" s="390"/>
      <c r="D263" s="393">
        <f t="shared" si="80"/>
        <v>31.846852992613439</v>
      </c>
      <c r="E263" s="385">
        <f t="shared" si="106"/>
        <v>32.283713112540894</v>
      </c>
      <c r="F263" s="385">
        <f t="shared" si="108"/>
        <v>32.284661471199072</v>
      </c>
      <c r="G263" s="110">
        <f t="shared" si="107"/>
        <v>0.6416820279521952</v>
      </c>
      <c r="I263" s="380">
        <f t="shared" si="81"/>
        <v>32.284661471199072</v>
      </c>
      <c r="J263" s="85">
        <v>2018</v>
      </c>
      <c r="K263" s="197">
        <f t="shared" si="82"/>
        <v>43349</v>
      </c>
      <c r="L263" s="436">
        <f t="shared" si="83"/>
        <v>2.3190044124788978E-3</v>
      </c>
      <c r="M263" s="968"/>
      <c r="N263" s="968"/>
      <c r="O263" s="324">
        <f t="shared" si="84"/>
        <v>1.3531904412747067E-2</v>
      </c>
      <c r="P263" s="169">
        <f>(INDEX(Models!$BJ263:$BT263,,T263)*(1-R263)+INDEX(Models!$BJ263:$BT263,,T263+1)*R263-ERP_i)*Q263*Ramure*Pc/MaxiM</f>
        <v>6.0176532303049208E-5</v>
      </c>
      <c r="Q263" s="305">
        <f t="shared" si="85"/>
        <v>0.7</v>
      </c>
      <c r="R263" s="177">
        <f t="shared" si="86"/>
        <v>0.48709354724952858</v>
      </c>
      <c r="S263" s="919">
        <f t="shared" si="103"/>
        <v>-2</v>
      </c>
      <c r="T263" s="176">
        <f t="shared" si="87"/>
        <v>4</v>
      </c>
      <c r="U263" s="251">
        <f t="shared" si="88"/>
        <v>-1.5129064527504714</v>
      </c>
      <c r="V263" s="383">
        <f t="shared" si="89"/>
        <v>49.513653066361961</v>
      </c>
      <c r="W263" s="58"/>
      <c r="X263" s="157">
        <f t="shared" si="90"/>
        <v>43349</v>
      </c>
      <c r="Y263" s="385">
        <f t="shared" si="91"/>
        <v>31.773000000000003</v>
      </c>
      <c r="Z263" s="385">
        <f t="shared" si="92"/>
        <v>31.846852992613442</v>
      </c>
      <c r="AA263" s="386">
        <f t="shared" si="93"/>
        <v>32.283713112540894</v>
      </c>
      <c r="AB263" s="197">
        <f t="shared" si="94"/>
        <v>43349</v>
      </c>
      <c r="AC263" s="425">
        <f t="shared" si="95"/>
        <v>1.3531904412747067E-2</v>
      </c>
      <c r="AD263" s="169">
        <f>(INDEX(Models!$BJ263:$BT263,,AH263)*(1-AF263)+INDEX(Models!$BJ263:$BT263,,AH263+1)*AF263-ERP_i)*AE263*Ramure*Pc/MaxiM</f>
        <v>6.0176532303049208E-5</v>
      </c>
      <c r="AE263" s="305">
        <f t="shared" si="96"/>
        <v>0.7</v>
      </c>
      <c r="AF263" s="177">
        <f t="shared" si="97"/>
        <v>0.48709354724952858</v>
      </c>
      <c r="AG263" s="919">
        <f t="shared" si="98"/>
        <v>-2</v>
      </c>
      <c r="AH263" s="176">
        <f t="shared" si="99"/>
        <v>4</v>
      </c>
      <c r="AI263" s="225">
        <f t="shared" si="100"/>
        <v>-1.5129064527504714</v>
      </c>
      <c r="AJ263" s="265" t="b">
        <f t="shared" si="101"/>
        <v>0</v>
      </c>
      <c r="AK263" s="265" t="b">
        <f t="shared" si="102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104"/>
        <v>43350</v>
      </c>
      <c r="B264" s="618">
        <v>32.715000000000003</v>
      </c>
      <c r="C264" s="390"/>
      <c r="D264" s="393">
        <f t="shared" si="80"/>
        <v>32.79176079613449</v>
      </c>
      <c r="E264" s="385">
        <f t="shared" si="106"/>
        <v>33.245615467419093</v>
      </c>
      <c r="F264" s="385">
        <f t="shared" si="108"/>
        <v>33.24665968922605</v>
      </c>
      <c r="G264" s="110">
        <f t="shared" si="107"/>
        <v>0.66259254456803407</v>
      </c>
      <c r="I264" s="380">
        <f t="shared" si="81"/>
        <v>33.24665968922605</v>
      </c>
      <c r="J264" s="85">
        <v>2018</v>
      </c>
      <c r="K264" s="197">
        <f t="shared" si="82"/>
        <v>43350</v>
      </c>
      <c r="L264" s="436">
        <f t="shared" si="83"/>
        <v>2.3408561867630517E-3</v>
      </c>
      <c r="M264" s="968"/>
      <c r="N264" s="968"/>
      <c r="O264" s="324">
        <f t="shared" si="84"/>
        <v>1.3651564722252965E-2</v>
      </c>
      <c r="P264" s="169">
        <f>(INDEX(Models!$BJ264:$BT264,,T264)*(1-R264)+INDEX(Models!$BJ264:$BT264,,T264+1)*R264-ERP_i)*Q264*Ramure*Pc/MaxiM</f>
        <v>6.0631835711821132E-5</v>
      </c>
      <c r="Q264" s="305">
        <f t="shared" si="85"/>
        <v>0.7</v>
      </c>
      <c r="R264" s="177">
        <f t="shared" si="86"/>
        <v>0.48760811648256608</v>
      </c>
      <c r="S264" s="919">
        <f t="shared" si="103"/>
        <v>-2</v>
      </c>
      <c r="T264" s="176">
        <f t="shared" si="87"/>
        <v>4</v>
      </c>
      <c r="U264" s="251">
        <f t="shared" si="88"/>
        <v>-1.5123918835174339</v>
      </c>
      <c r="V264" s="383">
        <f t="shared" si="89"/>
        <v>49.372792058898412</v>
      </c>
      <c r="W264" s="58"/>
      <c r="X264" s="157">
        <f t="shared" si="90"/>
        <v>43350</v>
      </c>
      <c r="Y264" s="385">
        <f t="shared" si="91"/>
        <v>32.715000000000003</v>
      </c>
      <c r="Z264" s="385">
        <f t="shared" si="92"/>
        <v>32.79176079613449</v>
      </c>
      <c r="AA264" s="386">
        <f t="shared" si="93"/>
        <v>33.245615467419093</v>
      </c>
      <c r="AB264" s="197">
        <f t="shared" si="94"/>
        <v>43350</v>
      </c>
      <c r="AC264" s="425">
        <f t="shared" si="95"/>
        <v>1.3651564722252965E-2</v>
      </c>
      <c r="AD264" s="169">
        <f>(INDEX(Models!$BJ264:$BT264,,AH264)*(1-AF264)+INDEX(Models!$BJ264:$BT264,,AH264+1)*AF264-ERP_i)*AE264*Ramure*Pc/MaxiM</f>
        <v>6.0631835711821132E-5</v>
      </c>
      <c r="AE264" s="305">
        <f t="shared" si="96"/>
        <v>0.7</v>
      </c>
      <c r="AF264" s="177">
        <f t="shared" si="97"/>
        <v>0.48760811648256608</v>
      </c>
      <c r="AG264" s="919">
        <f t="shared" si="98"/>
        <v>-2</v>
      </c>
      <c r="AH264" s="176">
        <f t="shared" si="99"/>
        <v>4</v>
      </c>
      <c r="AI264" s="225">
        <f t="shared" si="100"/>
        <v>-1.5123918835174339</v>
      </c>
      <c r="AJ264" s="265" t="b">
        <f t="shared" si="101"/>
        <v>0</v>
      </c>
      <c r="AK264" s="265" t="b">
        <f t="shared" si="102"/>
        <v>0</v>
      </c>
      <c r="AL264" s="265"/>
      <c r="AM264" s="265"/>
      <c r="AN264" s="75"/>
    </row>
    <row r="265" spans="1:40" s="6" customFormat="1" ht="11.25" x14ac:dyDescent="0.2">
      <c r="A265" s="56">
        <f t="shared" si="104"/>
        <v>43351</v>
      </c>
      <c r="B265" s="618">
        <v>48.423000000000002</v>
      </c>
      <c r="C265" s="390"/>
      <c r="D265" s="393">
        <f t="shared" si="80"/>
        <v>48.537680340520701</v>
      </c>
      <c r="E265" s="385">
        <f t="shared" si="106"/>
        <v>49.215425817177291</v>
      </c>
      <c r="F265" s="385">
        <f t="shared" si="108"/>
        <v>49.21838095853591</v>
      </c>
      <c r="G265" s="110">
        <f t="shared" si="107"/>
        <v>0.9836102985322569</v>
      </c>
      <c r="I265" s="380">
        <f t="shared" si="81"/>
        <v>49.21838095853591</v>
      </c>
      <c r="J265" s="85">
        <v>2018</v>
      </c>
      <c r="K265" s="197">
        <f t="shared" si="82"/>
        <v>43351</v>
      </c>
      <c r="L265" s="436">
        <f t="shared" si="83"/>
        <v>2.3627074824372762E-3</v>
      </c>
      <c r="M265" s="968"/>
      <c r="N265" s="968"/>
      <c r="O265" s="324">
        <f t="shared" si="84"/>
        <v>1.377099690601556E-2</v>
      </c>
      <c r="P265" s="169">
        <f>(INDEX(Models!$BJ265:$BT265,,T265)*(1-R265)+INDEX(Models!$BJ265:$BT265,,T265+1)*R265-ERP_i)*Q265*Ramure*Pc/MaxiM</f>
        <v>6.1480795819415345E-5</v>
      </c>
      <c r="Q265" s="305">
        <f t="shared" si="85"/>
        <v>0.7</v>
      </c>
      <c r="R265" s="177">
        <f t="shared" si="86"/>
        <v>0.48810298972941202</v>
      </c>
      <c r="S265" s="919">
        <f t="shared" si="103"/>
        <v>-2</v>
      </c>
      <c r="T265" s="176">
        <f t="shared" si="87"/>
        <v>4</v>
      </c>
      <c r="U265" s="251">
        <f t="shared" si="88"/>
        <v>-1.511897010270588</v>
      </c>
      <c r="V265" s="383">
        <f t="shared" si="89"/>
        <v>49.229791889180184</v>
      </c>
      <c r="W265" s="58"/>
      <c r="X265" s="157">
        <f t="shared" si="90"/>
        <v>43351</v>
      </c>
      <c r="Y265" s="385">
        <f t="shared" si="91"/>
        <v>48.423000000000002</v>
      </c>
      <c r="Z265" s="385">
        <f t="shared" si="92"/>
        <v>48.537680340520701</v>
      </c>
      <c r="AA265" s="386">
        <f t="shared" si="93"/>
        <v>49.215425817177291</v>
      </c>
      <c r="AB265" s="197">
        <f t="shared" si="94"/>
        <v>43351</v>
      </c>
      <c r="AC265" s="425">
        <f t="shared" si="95"/>
        <v>1.377099690601556E-2</v>
      </c>
      <c r="AD265" s="169">
        <f>(INDEX(Models!$BJ265:$BT265,,AH265)*(1-AF265)+INDEX(Models!$BJ265:$BT265,,AH265+1)*AF265-ERP_i)*AE265*Ramure*Pc/MaxiM</f>
        <v>6.1480795819415345E-5</v>
      </c>
      <c r="AE265" s="305">
        <f t="shared" si="96"/>
        <v>0.7</v>
      </c>
      <c r="AF265" s="177">
        <f t="shared" si="97"/>
        <v>0.48810298972941202</v>
      </c>
      <c r="AG265" s="919">
        <f t="shared" si="98"/>
        <v>-2</v>
      </c>
      <c r="AH265" s="176">
        <f t="shared" si="99"/>
        <v>4</v>
      </c>
      <c r="AI265" s="225">
        <f t="shared" si="100"/>
        <v>-1.511897010270588</v>
      </c>
      <c r="AJ265" s="265" t="b">
        <f t="shared" si="101"/>
        <v>0</v>
      </c>
      <c r="AK265" s="265" t="b">
        <f t="shared" si="102"/>
        <v>0</v>
      </c>
      <c r="AL265" s="265"/>
      <c r="AM265" s="265"/>
      <c r="AN265" s="75"/>
    </row>
    <row r="266" spans="1:40" s="6" customFormat="1" ht="11.25" x14ac:dyDescent="0.2">
      <c r="A266" s="56">
        <f t="shared" si="104"/>
        <v>43352</v>
      </c>
      <c r="B266" s="618">
        <v>30.873000000000001</v>
      </c>
      <c r="C266" s="390"/>
      <c r="D266" s="393">
        <f t="shared" si="80"/>
        <v>30.946794435514498</v>
      </c>
      <c r="E266" s="385">
        <f t="shared" si="106"/>
        <v>31.382706364398814</v>
      </c>
      <c r="F266" s="385">
        <f t="shared" si="108"/>
        <v>31.38363154630116</v>
      </c>
      <c r="G266" s="110">
        <f t="shared" si="107"/>
        <v>0.62895777632344674</v>
      </c>
      <c r="I266" s="380">
        <f t="shared" si="81"/>
        <v>31.38363154630116</v>
      </c>
      <c r="J266" s="85">
        <v>2018</v>
      </c>
      <c r="K266" s="197">
        <f t="shared" si="82"/>
        <v>43352</v>
      </c>
      <c r="L266" s="436">
        <f t="shared" si="83"/>
        <v>2.3845582995120074E-3</v>
      </c>
      <c r="M266" s="968"/>
      <c r="N266" s="968"/>
      <c r="O266" s="324">
        <f t="shared" si="84"/>
        <v>1.3890195568946275E-2</v>
      </c>
      <c r="P266" s="169">
        <f>(INDEX(Models!$BJ266:$BT266,,T266)*(1-R266)+INDEX(Models!$BJ266:$BT266,,T266+1)*R266-ERP_i)*Q266*Ramure*Pc/MaxiM</f>
        <v>6.2726955216374066E-5</v>
      </c>
      <c r="Q266" s="305">
        <f t="shared" si="85"/>
        <v>0.7</v>
      </c>
      <c r="R266" s="177">
        <f t="shared" si="86"/>
        <v>0.48857888222876711</v>
      </c>
      <c r="S266" s="919">
        <f t="shared" si="103"/>
        <v>-2</v>
      </c>
      <c r="T266" s="176">
        <f t="shared" si="87"/>
        <v>4</v>
      </c>
      <c r="U266" s="251">
        <f t="shared" si="88"/>
        <v>-1.5114211177712329</v>
      </c>
      <c r="V266" s="383">
        <f t="shared" si="89"/>
        <v>49.08433394292372</v>
      </c>
      <c r="W266" s="58"/>
      <c r="X266" s="157">
        <f t="shared" si="90"/>
        <v>43352</v>
      </c>
      <c r="Y266" s="385">
        <f t="shared" si="91"/>
        <v>30.873000000000001</v>
      </c>
      <c r="Z266" s="385">
        <f t="shared" si="92"/>
        <v>30.946794435514498</v>
      </c>
      <c r="AA266" s="386">
        <f t="shared" si="93"/>
        <v>31.382706364398814</v>
      </c>
      <c r="AB266" s="197">
        <f t="shared" si="94"/>
        <v>43352</v>
      </c>
      <c r="AC266" s="425">
        <f t="shared" si="95"/>
        <v>1.3890195568946275E-2</v>
      </c>
      <c r="AD266" s="169">
        <f>(INDEX(Models!$BJ266:$BT266,,AH266)*(1-AF266)+INDEX(Models!$BJ266:$BT266,,AH266+1)*AF266-ERP_i)*AE266*Ramure*Pc/MaxiM</f>
        <v>6.2726955216374066E-5</v>
      </c>
      <c r="AE266" s="305">
        <f t="shared" si="96"/>
        <v>0.7</v>
      </c>
      <c r="AF266" s="177">
        <f t="shared" si="97"/>
        <v>0.48857888222876711</v>
      </c>
      <c r="AG266" s="919">
        <f t="shared" si="98"/>
        <v>-2</v>
      </c>
      <c r="AH266" s="176">
        <f t="shared" si="99"/>
        <v>4</v>
      </c>
      <c r="AI266" s="225">
        <f t="shared" si="100"/>
        <v>-1.5114211177712329</v>
      </c>
      <c r="AJ266" s="265" t="b">
        <f t="shared" si="101"/>
        <v>0</v>
      </c>
      <c r="AK266" s="265" t="b">
        <f t="shared" si="102"/>
        <v>0</v>
      </c>
      <c r="AL266" s="265"/>
      <c r="AM266" s="265"/>
      <c r="AN266" s="75"/>
    </row>
    <row r="267" spans="1:40" s="6" customFormat="1" ht="11.25" x14ac:dyDescent="0.2">
      <c r="A267" s="56">
        <f t="shared" si="104"/>
        <v>43353</v>
      </c>
      <c r="B267" s="618">
        <v>37.555</v>
      </c>
      <c r="C267" s="390"/>
      <c r="D267" s="393">
        <f t="shared" si="80"/>
        <v>37.64559067458184</v>
      </c>
      <c r="E267" s="385">
        <f t="shared" si="106"/>
        <v>38.180466753897988</v>
      </c>
      <c r="F267" s="385">
        <f t="shared" si="108"/>
        <v>38.182108050968154</v>
      </c>
      <c r="G267" s="110">
        <f t="shared" si="107"/>
        <v>0.7674129506493409</v>
      </c>
      <c r="I267" s="380">
        <f t="shared" si="81"/>
        <v>38.182108050968154</v>
      </c>
      <c r="J267" s="85">
        <v>2018</v>
      </c>
      <c r="K267" s="197">
        <f t="shared" si="82"/>
        <v>43353</v>
      </c>
      <c r="L267" s="436">
        <f t="shared" si="83"/>
        <v>2.4064086379977923E-3</v>
      </c>
      <c r="M267" s="968"/>
      <c r="N267" s="968"/>
      <c r="O267" s="324">
        <f t="shared" si="84"/>
        <v>1.40091550677951E-2</v>
      </c>
      <c r="P267" s="169">
        <f>(INDEX(Models!$BJ267:$BT267,,T267)*(1-R267)+INDEX(Models!$BJ267:$BT267,,T267+1)*R267-ERP_i)*Q267*Ramure*Pc/MaxiM</f>
        <v>6.4373828649184835E-5</v>
      </c>
      <c r="Q267" s="305">
        <f t="shared" si="85"/>
        <v>0.7</v>
      </c>
      <c r="R267" s="177">
        <f t="shared" si="86"/>
        <v>0.48903648623643203</v>
      </c>
      <c r="S267" s="919">
        <f t="shared" si="103"/>
        <v>-2</v>
      </c>
      <c r="T267" s="176">
        <f t="shared" si="87"/>
        <v>4</v>
      </c>
      <c r="U267" s="251">
        <f t="shared" si="88"/>
        <v>-1.510963513763568</v>
      </c>
      <c r="V267" s="383">
        <f t="shared" si="89"/>
        <v>48.936099807473518</v>
      </c>
      <c r="W267" s="58"/>
      <c r="X267" s="157">
        <f t="shared" si="90"/>
        <v>43353</v>
      </c>
      <c r="Y267" s="385">
        <f t="shared" si="91"/>
        <v>37.555</v>
      </c>
      <c r="Z267" s="385">
        <f t="shared" si="92"/>
        <v>37.64559067458184</v>
      </c>
      <c r="AA267" s="386">
        <f t="shared" si="93"/>
        <v>38.180466753897988</v>
      </c>
      <c r="AB267" s="197">
        <f t="shared" si="94"/>
        <v>43353</v>
      </c>
      <c r="AC267" s="425">
        <f t="shared" si="95"/>
        <v>1.40091550677951E-2</v>
      </c>
      <c r="AD267" s="169">
        <f>(INDEX(Models!$BJ267:$BT267,,AH267)*(1-AF267)+INDEX(Models!$BJ267:$BT267,,AH267+1)*AF267-ERP_i)*AE267*Ramure*Pc/MaxiM</f>
        <v>6.4373828649184835E-5</v>
      </c>
      <c r="AE267" s="305">
        <f t="shared" si="96"/>
        <v>0.7</v>
      </c>
      <c r="AF267" s="177">
        <f t="shared" si="97"/>
        <v>0.48903648623643203</v>
      </c>
      <c r="AG267" s="919">
        <f t="shared" si="98"/>
        <v>-2</v>
      </c>
      <c r="AH267" s="176">
        <f t="shared" si="99"/>
        <v>4</v>
      </c>
      <c r="AI267" s="225">
        <f t="shared" si="100"/>
        <v>-1.510963513763568</v>
      </c>
      <c r="AJ267" s="265" t="b">
        <f t="shared" si="101"/>
        <v>0</v>
      </c>
      <c r="AK267" s="265" t="b">
        <f t="shared" si="102"/>
        <v>0</v>
      </c>
      <c r="AL267" s="265"/>
      <c r="AM267" s="265"/>
      <c r="AN267" s="75"/>
    </row>
    <row r="268" spans="1:40" s="6" customFormat="1" ht="11.25" x14ac:dyDescent="0.2">
      <c r="A268" s="56">
        <f t="shared" si="104"/>
        <v>43354</v>
      </c>
      <c r="B268" s="618">
        <v>47.23</v>
      </c>
      <c r="C268" s="390"/>
      <c r="D268" s="393">
        <f t="shared" si="80"/>
        <v>47.344965815574689</v>
      </c>
      <c r="E268" s="385">
        <f t="shared" si="106"/>
        <v>48.023434633200559</v>
      </c>
      <c r="F268" s="385">
        <f t="shared" si="108"/>
        <v>48.02648130757494</v>
      </c>
      <c r="G268" s="110">
        <f t="shared" si="107"/>
        <v>0.96812709502660566</v>
      </c>
      <c r="I268" s="380">
        <f t="shared" si="81"/>
        <v>48.02648130757494</v>
      </c>
      <c r="J268" s="85">
        <v>2018</v>
      </c>
      <c r="K268" s="197">
        <f t="shared" si="82"/>
        <v>43354</v>
      </c>
      <c r="L268" s="436">
        <f t="shared" si="83"/>
        <v>2.428258497905067E-3</v>
      </c>
      <c r="M268" s="968"/>
      <c r="N268" s="968"/>
      <c r="O268" s="324">
        <f t="shared" si="84"/>
        <v>1.4127869503878046E-2</v>
      </c>
      <c r="P268" s="169">
        <f>(INDEX(Models!$BJ268:$BT268,,T268)*(1-R268)+INDEX(Models!$BJ268:$BT268,,T268+1)*R268-ERP_i)*Q268*Ramure*Pc/MaxiM</f>
        <v>6.6463364466990419E-5</v>
      </c>
      <c r="Q268" s="305">
        <f t="shared" si="85"/>
        <v>0.7</v>
      </c>
      <c r="R268" s="177">
        <f t="shared" si="86"/>
        <v>0.48947647152776863</v>
      </c>
      <c r="S268" s="919">
        <f t="shared" si="103"/>
        <v>-2</v>
      </c>
      <c r="T268" s="176">
        <f t="shared" si="87"/>
        <v>4</v>
      </c>
      <c r="U268" s="251">
        <f t="shared" si="88"/>
        <v>-1.5105235284722314</v>
      </c>
      <c r="V268" s="383">
        <f t="shared" si="89"/>
        <v>48.784769392922115</v>
      </c>
      <c r="W268" s="58"/>
      <c r="X268" s="157">
        <f t="shared" si="90"/>
        <v>43354</v>
      </c>
      <c r="Y268" s="385">
        <f t="shared" si="91"/>
        <v>47.23</v>
      </c>
      <c r="Z268" s="385">
        <f t="shared" si="92"/>
        <v>47.344965815574689</v>
      </c>
      <c r="AA268" s="386">
        <f t="shared" si="93"/>
        <v>48.023434633200559</v>
      </c>
      <c r="AB268" s="197">
        <f t="shared" si="94"/>
        <v>43354</v>
      </c>
      <c r="AC268" s="425">
        <f t="shared" si="95"/>
        <v>1.4127869503878046E-2</v>
      </c>
      <c r="AD268" s="169">
        <f>(INDEX(Models!$BJ268:$BT268,,AH268)*(1-AF268)+INDEX(Models!$BJ268:$BT268,,AH268+1)*AF268-ERP_i)*AE268*Ramure*Pc/MaxiM</f>
        <v>6.6463364466990419E-5</v>
      </c>
      <c r="AE268" s="305">
        <f t="shared" si="96"/>
        <v>0.7</v>
      </c>
      <c r="AF268" s="177">
        <f t="shared" si="97"/>
        <v>0.48947647152776863</v>
      </c>
      <c r="AG268" s="919">
        <f t="shared" si="98"/>
        <v>-2</v>
      </c>
      <c r="AH268" s="176">
        <f t="shared" si="99"/>
        <v>4</v>
      </c>
      <c r="AI268" s="225">
        <f t="shared" si="100"/>
        <v>-1.5105235284722314</v>
      </c>
      <c r="AJ268" s="265" t="b">
        <f t="shared" si="101"/>
        <v>0</v>
      </c>
      <c r="AK268" s="265" t="b">
        <f t="shared" si="102"/>
        <v>0</v>
      </c>
      <c r="AL268" s="265"/>
      <c r="AM268" s="265"/>
      <c r="AN268" s="75"/>
    </row>
    <row r="269" spans="1:40" s="6" customFormat="1" ht="11.25" x14ac:dyDescent="0.2">
      <c r="A269" s="56">
        <f t="shared" si="104"/>
        <v>43355</v>
      </c>
      <c r="B269" s="618">
        <v>31.661000000000001</v>
      </c>
      <c r="C269" s="390"/>
      <c r="D269" s="393">
        <f t="shared" si="80"/>
        <v>31.738763394269775</v>
      </c>
      <c r="E269" s="385">
        <f t="shared" si="106"/>
        <v>32.197459109394671</v>
      </c>
      <c r="F269" s="385">
        <f t="shared" si="108"/>
        <v>32.198568333806598</v>
      </c>
      <c r="G269" s="110">
        <f t="shared" si="107"/>
        <v>0.65103619182084105</v>
      </c>
      <c r="I269" s="380">
        <f t="shared" si="81"/>
        <v>32.198568333806598</v>
      </c>
      <c r="J269" s="85">
        <v>2018</v>
      </c>
      <c r="K269" s="197">
        <f t="shared" si="82"/>
        <v>43355</v>
      </c>
      <c r="L269" s="436">
        <f t="shared" si="83"/>
        <v>2.4501078792443787E-3</v>
      </c>
      <c r="M269" s="968"/>
      <c r="N269" s="968"/>
      <c r="O269" s="324">
        <f t="shared" si="84"/>
        <v>1.424633271732475E-2</v>
      </c>
      <c r="P269" s="169">
        <f>(INDEX(Models!$BJ269:$BT269,,T269)*(1-R269)+INDEX(Models!$BJ269:$BT269,,T269+1)*R269-ERP_i)*Q269*Ramure*Pc/MaxiM</f>
        <v>6.8691250357315225E-5</v>
      </c>
      <c r="Q269" s="305">
        <f t="shared" si="85"/>
        <v>0.7</v>
      </c>
      <c r="R269" s="177">
        <f t="shared" si="86"/>
        <v>0.48989948590935573</v>
      </c>
      <c r="S269" s="919">
        <f t="shared" si="103"/>
        <v>-2</v>
      </c>
      <c r="T269" s="176">
        <f t="shared" si="87"/>
        <v>4</v>
      </c>
      <c r="U269" s="251">
        <f t="shared" si="88"/>
        <v>-1.5101005140906443</v>
      </c>
      <c r="V269" s="383">
        <f t="shared" si="89"/>
        <v>48.630039669346687</v>
      </c>
      <c r="W269" s="58"/>
      <c r="X269" s="157">
        <f t="shared" si="90"/>
        <v>43355</v>
      </c>
      <c r="Y269" s="385">
        <f t="shared" si="91"/>
        <v>31.661000000000001</v>
      </c>
      <c r="Z269" s="385">
        <f t="shared" si="92"/>
        <v>31.738763394269775</v>
      </c>
      <c r="AA269" s="386">
        <f t="shared" si="93"/>
        <v>32.197459109394671</v>
      </c>
      <c r="AB269" s="197">
        <f t="shared" si="94"/>
        <v>43355</v>
      </c>
      <c r="AC269" s="425">
        <f t="shared" si="95"/>
        <v>1.424633271732475E-2</v>
      </c>
      <c r="AD269" s="169">
        <f>(INDEX(Models!$BJ269:$BT269,,AH269)*(1-AF269)+INDEX(Models!$BJ269:$BT269,,AH269+1)*AF269-ERP_i)*AE269*Ramure*Pc/MaxiM</f>
        <v>6.8691250357315225E-5</v>
      </c>
      <c r="AE269" s="305">
        <f t="shared" si="96"/>
        <v>0.7</v>
      </c>
      <c r="AF269" s="177">
        <f t="shared" si="97"/>
        <v>0.48989948590935573</v>
      </c>
      <c r="AG269" s="919">
        <f t="shared" si="98"/>
        <v>-2</v>
      </c>
      <c r="AH269" s="176">
        <f t="shared" si="99"/>
        <v>4</v>
      </c>
      <c r="AI269" s="225">
        <f t="shared" si="100"/>
        <v>-1.5101005140906443</v>
      </c>
      <c r="AJ269" s="265" t="b">
        <f t="shared" si="101"/>
        <v>0</v>
      </c>
      <c r="AK269" s="265" t="b">
        <f t="shared" si="102"/>
        <v>0</v>
      </c>
      <c r="AL269" s="265"/>
      <c r="AM269" s="265"/>
      <c r="AN269" s="75"/>
    </row>
    <row r="270" spans="1:40" s="6" customFormat="1" ht="11.25" x14ac:dyDescent="0.2">
      <c r="A270" s="56">
        <f t="shared" si="104"/>
        <v>43356</v>
      </c>
      <c r="B270" s="618">
        <v>26.545000000000002</v>
      </c>
      <c r="C270" s="390"/>
      <c r="D270" s="393">
        <f t="shared" si="80"/>
        <v>26.610780699825948</v>
      </c>
      <c r="E270" s="385">
        <f t="shared" si="106"/>
        <v>26.998603168632762</v>
      </c>
      <c r="F270" s="385">
        <f t="shared" si="108"/>
        <v>26.999281894194333</v>
      </c>
      <c r="G270" s="110">
        <f t="shared" si="107"/>
        <v>0.54761520070362257</v>
      </c>
      <c r="I270" s="380">
        <f t="shared" si="81"/>
        <v>26.999281894194333</v>
      </c>
      <c r="J270" s="85">
        <v>2018</v>
      </c>
      <c r="K270" s="197">
        <f t="shared" si="82"/>
        <v>43356</v>
      </c>
      <c r="L270" s="436">
        <f t="shared" si="83"/>
        <v>2.4719567820261634E-3</v>
      </c>
      <c r="M270" s="968"/>
      <c r="N270" s="968"/>
      <c r="O270" s="324">
        <f t="shared" si="84"/>
        <v>1.4364538283128215E-2</v>
      </c>
      <c r="P270" s="169">
        <f>(INDEX(Models!$BJ270:$BT270,,T270)*(1-R270)+INDEX(Models!$BJ270:$BT270,,T270+1)*R270-ERP_i)*Q270*Ramure*Pc/MaxiM</f>
        <v>7.1058923618494264E-5</v>
      </c>
      <c r="Q270" s="305">
        <f t="shared" si="85"/>
        <v>0.7</v>
      </c>
      <c r="R270" s="177">
        <f t="shared" si="86"/>
        <v>0.49030615573756586</v>
      </c>
      <c r="S270" s="919">
        <f t="shared" si="103"/>
        <v>-2</v>
      </c>
      <c r="T270" s="176">
        <f t="shared" si="87"/>
        <v>4</v>
      </c>
      <c r="U270" s="251">
        <f t="shared" si="88"/>
        <v>-1.5096938442624341</v>
      </c>
      <c r="V270" s="383">
        <f t="shared" si="89"/>
        <v>48.471592792987082</v>
      </c>
      <c r="W270" s="58"/>
      <c r="X270" s="157">
        <f t="shared" si="90"/>
        <v>43356</v>
      </c>
      <c r="Y270" s="385">
        <f t="shared" si="91"/>
        <v>26.545000000000002</v>
      </c>
      <c r="Z270" s="385">
        <f t="shared" si="92"/>
        <v>26.610780699825948</v>
      </c>
      <c r="AA270" s="386">
        <f t="shared" si="93"/>
        <v>26.998603168632762</v>
      </c>
      <c r="AB270" s="197">
        <f t="shared" si="94"/>
        <v>43356</v>
      </c>
      <c r="AC270" s="425">
        <f t="shared" si="95"/>
        <v>1.4364538283128215E-2</v>
      </c>
      <c r="AD270" s="169">
        <f>(INDEX(Models!$BJ270:$BT270,,AH270)*(1-AF270)+INDEX(Models!$BJ270:$BT270,,AH270+1)*AF270-ERP_i)*AE270*Ramure*Pc/MaxiM</f>
        <v>7.1058923618494264E-5</v>
      </c>
      <c r="AE270" s="305">
        <f t="shared" si="96"/>
        <v>0.7</v>
      </c>
      <c r="AF270" s="177">
        <f t="shared" si="97"/>
        <v>0.49030615573756586</v>
      </c>
      <c r="AG270" s="919">
        <f t="shared" si="98"/>
        <v>-2</v>
      </c>
      <c r="AH270" s="176">
        <f t="shared" si="99"/>
        <v>4</v>
      </c>
      <c r="AI270" s="225">
        <f t="shared" si="100"/>
        <v>-1.5096938442624341</v>
      </c>
      <c r="AJ270" s="265" t="b">
        <f t="shared" si="101"/>
        <v>0</v>
      </c>
      <c r="AK270" s="265" t="b">
        <f t="shared" si="102"/>
        <v>0</v>
      </c>
      <c r="AL270" s="265"/>
      <c r="AM270" s="265"/>
      <c r="AN270" s="75"/>
    </row>
    <row r="271" spans="1:40" s="6" customFormat="1" ht="11.25" x14ac:dyDescent="0.2">
      <c r="A271" s="56">
        <f t="shared" si="104"/>
        <v>43357</v>
      </c>
      <c r="B271" s="618">
        <v>28.488</v>
      </c>
      <c r="C271" s="390"/>
      <c r="D271" s="393">
        <f t="shared" ref="D271:D334" si="109">Wh/(1-Ppv)</f>
        <v>28.559221134351599</v>
      </c>
      <c r="E271" s="385">
        <f t="shared" si="106"/>
        <v>28.97890756942698</v>
      </c>
      <c r="F271" s="385">
        <f t="shared" si="108"/>
        <v>28.979789912638342</v>
      </c>
      <c r="G271" s="110">
        <f t="shared" si="107"/>
        <v>0.58967699625346182</v>
      </c>
      <c r="I271" s="380">
        <f t="shared" ref="I271:I334" si="110">Wh_hp</f>
        <v>28.979789912638342</v>
      </c>
      <c r="J271" s="85">
        <v>2018</v>
      </c>
      <c r="K271" s="197">
        <f t="shared" ref="K271:K334" si="111">t</f>
        <v>43357</v>
      </c>
      <c r="L271" s="436">
        <f t="shared" ref="L271:L334" si="112">IF(t&lt;T0,0,IF(t&lt;Tvie,1-EXP((T0-t)*PertePVj),1-EXP((T0-t)*PertePVj)+Pspv))</f>
        <v>2.4938052062608573E-3</v>
      </c>
      <c r="M271" s="968"/>
      <c r="N271" s="968"/>
      <c r="O271" s="324">
        <f t="shared" ref="O271:O334" si="113">IF(t&lt;T0,0,IF(t&lt;Tnet,Salim_i*(1-EXP((T0-t)/Tau_ij)),Resal+(Salim-Resal)*(1-EXP((Tnet-t)/(Tau_j)))))*Salcycl</f>
        <v>1.4482479509274336E-2</v>
      </c>
      <c r="P271" s="169">
        <f>(INDEX(Models!$BJ271:$BT271,,T271)*(1-R271)+INDEX(Models!$BJ271:$BT271,,T271+1)*R271-ERP_i)*Q271*Ramure*Pc/MaxiM</f>
        <v>7.3567877161951278E-5</v>
      </c>
      <c r="Q271" s="305">
        <f t="shared" ref="Q271:Q334" si="114">IF(OR(t&lt;Ttai,Notai),Dd+PousD*Croivg,Dens+PousD*(Croivg-Croi_tai))</f>
        <v>0.7</v>
      </c>
      <c r="R271" s="177">
        <f t="shared" ref="R271:R334" si="115">(Hp_vg-S271)/(INDEX(Echel_vg,T271+1)-S271)</f>
        <v>0.4906970864420015</v>
      </c>
      <c r="S271" s="919">
        <f t="shared" si="103"/>
        <v>-2</v>
      </c>
      <c r="T271" s="176">
        <f t="shared" ref="T271:T334" si="116">MIN(MATCH(Hp_vg,Echel_vg),10)</f>
        <v>4</v>
      </c>
      <c r="U271" s="251">
        <f t="shared" ref="U271:U334" si="117">IF(OR(t&lt;Ttai,Notai),Hdd+PousH*Croivg,Hdtf+PousH*(Croivg-Croi_tai))</f>
        <v>-1.5093029135579985</v>
      </c>
      <c r="V271" s="383">
        <f t="shared" ref="V271:V334" si="118">MaxiM*(1-Ppv)*(1-Pvg)*(1-Psa)</f>
        <v>48.309111109410345</v>
      </c>
      <c r="W271" s="58"/>
      <c r="X271" s="157">
        <f t="shared" ref="X271:X334" si="119">t</f>
        <v>43357</v>
      </c>
      <c r="Y271" s="385">
        <f t="shared" ref="Y271:Y334" si="120">Wh_pvt_s*(1-Ppv)</f>
        <v>28.488</v>
      </c>
      <c r="Z271" s="385">
        <f t="shared" ref="Z271:Z334" si="121">Wh_sa_s*(1-Psa_s)</f>
        <v>28.559221134351599</v>
      </c>
      <c r="AA271" s="386">
        <f t="shared" ref="AA271:AA334" si="122">Wh_hp*(1-Pvg_s*MEDIAN((-Sdif+Wh/Env_an)/Csdif,0,1))</f>
        <v>28.97890756942698</v>
      </c>
      <c r="AB271" s="197">
        <f t="shared" ref="AB271:AB334" si="123">t</f>
        <v>43357</v>
      </c>
      <c r="AC271" s="425">
        <f t="shared" ref="AC271:AC334" si="124">IF(t&lt;T0,0,IF(OR(t&lt;Tnet,NoTnet),Salim_i*(1-EXP((T0-t)/Tau_ij)),Resal_s+(Salim-Resal_s)*(1-EXP((Tnet_s-t)/Tau_j))))*Salcycl</f>
        <v>1.4482479509274336E-2</v>
      </c>
      <c r="AD271" s="169">
        <f>(INDEX(Models!$BJ271:$BT271,,AH271)*(1-AF271)+INDEX(Models!$BJ271:$BT271,,AH271+1)*AF271-ERP_i)*AE271*Ramure*Pc/MaxiM</f>
        <v>7.3567877161951278E-5</v>
      </c>
      <c r="AE271" s="305">
        <f t="shared" ref="AE271:AE334" si="125">Dd+PousD*Croivg</f>
        <v>0.7</v>
      </c>
      <c r="AF271" s="177">
        <f t="shared" ref="AF271:AF334" si="126">(Hp_vg_s-AG271)/(INDEX(Echel_vg,AH271+1)-AG271)</f>
        <v>0.4906970864420015</v>
      </c>
      <c r="AG271" s="919">
        <f t="shared" ref="AG271:AG334" si="127">INDEX(Echel_vg,AH271)</f>
        <v>-2</v>
      </c>
      <c r="AH271" s="176">
        <f t="shared" ref="AH271:AH334" si="128">MIN(MATCH(Hp_vg_s,Echel_vg),10)</f>
        <v>4</v>
      </c>
      <c r="AI271" s="225">
        <f t="shared" ref="AI271:AI334" si="129">Hdd+PousH*Croivg</f>
        <v>-1.5093029135579985</v>
      </c>
      <c r="AJ271" s="265" t="b">
        <f t="shared" ref="AJ271:AJ334" si="130">t&lt;Tnet</f>
        <v>0</v>
      </c>
      <c r="AK271" s="265" t="b">
        <f t="shared" ref="AK271:AK334" si="131">t&lt;Ttai</f>
        <v>0</v>
      </c>
      <c r="AL271" s="265"/>
      <c r="AM271" s="265"/>
      <c r="AN271" s="75"/>
    </row>
    <row r="272" spans="1:40" s="6" customFormat="1" ht="11.25" x14ac:dyDescent="0.2">
      <c r="A272" s="56">
        <f t="shared" si="104"/>
        <v>43358</v>
      </c>
      <c r="B272" s="618">
        <v>39.847000000000001</v>
      </c>
      <c r="C272" s="390"/>
      <c r="D272" s="393">
        <f t="shared" si="109"/>
        <v>39.947494039292813</v>
      </c>
      <c r="E272" s="385">
        <f t="shared" si="106"/>
        <v>40.539374971975128</v>
      </c>
      <c r="F272" s="385">
        <f t="shared" si="108"/>
        <v>40.541704414016117</v>
      </c>
      <c r="G272" s="110">
        <f t="shared" si="107"/>
        <v>0.82767693424481381</v>
      </c>
      <c r="I272" s="380">
        <f t="shared" si="110"/>
        <v>40.541704414016117</v>
      </c>
      <c r="J272" s="85">
        <v>2018</v>
      </c>
      <c r="K272" s="197">
        <f t="shared" si="111"/>
        <v>43358</v>
      </c>
      <c r="L272" s="436">
        <f t="shared" si="112"/>
        <v>2.5156531519590075E-3</v>
      </c>
      <c r="M272" s="968"/>
      <c r="N272" s="968"/>
      <c r="O272" s="324">
        <f t="shared" si="113"/>
        <v>1.4600149437219536E-2</v>
      </c>
      <c r="P272" s="169">
        <f>(INDEX(Models!$BJ272:$BT272,,T272)*(1-R272)+INDEX(Models!$BJ272:$BT272,,T272+1)*R272-ERP_i)*Q272*Ramure*Pc/MaxiM</f>
        <v>7.6219668255685701E-5</v>
      </c>
      <c r="Q272" s="305">
        <f t="shared" si="114"/>
        <v>0.7</v>
      </c>
      <c r="R272" s="177">
        <f t="shared" si="115"/>
        <v>0.49107286305189946</v>
      </c>
      <c r="S272" s="919">
        <f t="shared" ref="S272:S335" si="132">INDEX(Echel_vg,T272)</f>
        <v>-2</v>
      </c>
      <c r="T272" s="176">
        <f t="shared" si="116"/>
        <v>4</v>
      </c>
      <c r="U272" s="251">
        <f t="shared" si="117"/>
        <v>-1.5089271369481005</v>
      </c>
      <c r="V272" s="383">
        <f t="shared" si="118"/>
        <v>48.142277148326272</v>
      </c>
      <c r="W272" s="58"/>
      <c r="X272" s="157">
        <f t="shared" si="119"/>
        <v>43358</v>
      </c>
      <c r="Y272" s="385">
        <f t="shared" si="120"/>
        <v>39.847000000000001</v>
      </c>
      <c r="Z272" s="385">
        <f t="shared" si="121"/>
        <v>39.947494039292813</v>
      </c>
      <c r="AA272" s="386">
        <f t="shared" si="122"/>
        <v>40.539374971975128</v>
      </c>
      <c r="AB272" s="197">
        <f t="shared" si="123"/>
        <v>43358</v>
      </c>
      <c r="AC272" s="425">
        <f t="shared" si="124"/>
        <v>1.4600149437219536E-2</v>
      </c>
      <c r="AD272" s="169">
        <f>(INDEX(Models!$BJ272:$BT272,,AH272)*(1-AF272)+INDEX(Models!$BJ272:$BT272,,AH272+1)*AF272-ERP_i)*AE272*Ramure*Pc/MaxiM</f>
        <v>7.6219668255685701E-5</v>
      </c>
      <c r="AE272" s="305">
        <f t="shared" si="125"/>
        <v>0.7</v>
      </c>
      <c r="AF272" s="177">
        <f t="shared" si="126"/>
        <v>0.49107286305189946</v>
      </c>
      <c r="AG272" s="919">
        <f t="shared" si="127"/>
        <v>-2</v>
      </c>
      <c r="AH272" s="176">
        <f t="shared" si="128"/>
        <v>4</v>
      </c>
      <c r="AI272" s="225">
        <f t="shared" si="129"/>
        <v>-1.5089271369481005</v>
      </c>
      <c r="AJ272" s="265" t="b">
        <f t="shared" si="130"/>
        <v>0</v>
      </c>
      <c r="AK272" s="265" t="b">
        <f t="shared" si="131"/>
        <v>0</v>
      </c>
      <c r="AL272" s="265"/>
      <c r="AM272" s="265"/>
      <c r="AN272" s="75"/>
    </row>
    <row r="273" spans="1:40" s="6" customFormat="1" ht="11.25" x14ac:dyDescent="0.2">
      <c r="A273" s="56">
        <f t="shared" ref="A273:A336" si="133">A272+1</f>
        <v>43359</v>
      </c>
      <c r="B273" s="618">
        <v>46.442</v>
      </c>
      <c r="C273" s="390"/>
      <c r="D273" s="393">
        <f t="shared" si="109"/>
        <v>46.560146400317642</v>
      </c>
      <c r="E273" s="385">
        <f t="shared" si="106"/>
        <v>47.255633110780607</v>
      </c>
      <c r="F273" s="385">
        <f t="shared" si="108"/>
        <v>47.259197332077989</v>
      </c>
      <c r="G273" s="110">
        <f t="shared" si="107"/>
        <v>0.9681276620124184</v>
      </c>
      <c r="I273" s="380">
        <f t="shared" si="110"/>
        <v>47.259197332077989</v>
      </c>
      <c r="J273" s="85">
        <v>2018</v>
      </c>
      <c r="K273" s="197">
        <f t="shared" si="111"/>
        <v>43359</v>
      </c>
      <c r="L273" s="436">
        <f t="shared" si="112"/>
        <v>2.5375006191310501E-3</v>
      </c>
      <c r="M273" s="968"/>
      <c r="N273" s="968"/>
      <c r="O273" s="324">
        <f t="shared" si="113"/>
        <v>1.471754084497285E-2</v>
      </c>
      <c r="P273" s="169">
        <f>(INDEX(Models!$BJ273:$BT273,,T273)*(1-R273)+INDEX(Models!$BJ273:$BT273,,T273+1)*R273-ERP_i)*Q273*Ramure*Pc/MaxiM</f>
        <v>7.9015927613150126E-5</v>
      </c>
      <c r="Q273" s="305">
        <f t="shared" si="114"/>
        <v>0.7</v>
      </c>
      <c r="R273" s="177">
        <f t="shared" si="115"/>
        <v>0.49143405072379509</v>
      </c>
      <c r="S273" s="919">
        <f t="shared" si="132"/>
        <v>-2</v>
      </c>
      <c r="T273" s="176">
        <f t="shared" si="116"/>
        <v>4</v>
      </c>
      <c r="U273" s="251">
        <f t="shared" si="117"/>
        <v>-1.5085659492762049</v>
      </c>
      <c r="V273" s="383">
        <f t="shared" si="118"/>
        <v>47.970773629782443</v>
      </c>
      <c r="W273" s="58"/>
      <c r="X273" s="157">
        <f t="shared" si="119"/>
        <v>43359</v>
      </c>
      <c r="Y273" s="385">
        <f t="shared" si="120"/>
        <v>46.442</v>
      </c>
      <c r="Z273" s="385">
        <f t="shared" si="121"/>
        <v>46.560146400317642</v>
      </c>
      <c r="AA273" s="386">
        <f t="shared" si="122"/>
        <v>47.255633110780607</v>
      </c>
      <c r="AB273" s="197">
        <f t="shared" si="123"/>
        <v>43359</v>
      </c>
      <c r="AC273" s="425">
        <f t="shared" si="124"/>
        <v>1.471754084497285E-2</v>
      </c>
      <c r="AD273" s="169">
        <f>(INDEX(Models!$BJ273:$BT273,,AH273)*(1-AF273)+INDEX(Models!$BJ273:$BT273,,AH273+1)*AF273-ERP_i)*AE273*Ramure*Pc/MaxiM</f>
        <v>7.9015927613150126E-5</v>
      </c>
      <c r="AE273" s="305">
        <f t="shared" si="125"/>
        <v>0.7</v>
      </c>
      <c r="AF273" s="177">
        <f t="shared" si="126"/>
        <v>0.49143405072379509</v>
      </c>
      <c r="AG273" s="919">
        <f t="shared" si="127"/>
        <v>-2</v>
      </c>
      <c r="AH273" s="176">
        <f t="shared" si="128"/>
        <v>4</v>
      </c>
      <c r="AI273" s="225">
        <f t="shared" si="129"/>
        <v>-1.5085659492762049</v>
      </c>
      <c r="AJ273" s="265" t="b">
        <f t="shared" si="130"/>
        <v>0</v>
      </c>
      <c r="AK273" s="265" t="b">
        <f t="shared" si="131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33"/>
        <v>43360</v>
      </c>
      <c r="B274" s="618">
        <v>44.305</v>
      </c>
      <c r="C274" s="390"/>
      <c r="D274" s="393">
        <f t="shared" si="109"/>
        <v>44.418682849692431</v>
      </c>
      <c r="E274" s="385">
        <f t="shared" si="106"/>
        <v>45.087540564383843</v>
      </c>
      <c r="F274" s="385">
        <f t="shared" si="108"/>
        <v>45.090850708314242</v>
      </c>
      <c r="G274" s="110">
        <f t="shared" si="107"/>
        <v>0.92698578279978194</v>
      </c>
      <c r="I274" s="380">
        <f t="shared" si="110"/>
        <v>45.090850708314242</v>
      </c>
      <c r="J274" s="85">
        <v>2018</v>
      </c>
      <c r="K274" s="197">
        <f t="shared" si="111"/>
        <v>43360</v>
      </c>
      <c r="L274" s="436">
        <f t="shared" si="112"/>
        <v>2.5593476077875321E-3</v>
      </c>
      <c r="M274" s="968"/>
      <c r="N274" s="968"/>
      <c r="O274" s="324">
        <f t="shared" si="113"/>
        <v>1.4834646253021973E-2</v>
      </c>
      <c r="P274" s="169">
        <f>(INDEX(Models!$BJ274:$BT274,,T274)*(1-R274)+INDEX(Models!$BJ274:$BT274,,T274+1)*R274-ERP_i)*Q274*Ramure*Pc/MaxiM</f>
        <v>8.1958368954693542E-5</v>
      </c>
      <c r="Q274" s="305">
        <f t="shared" si="114"/>
        <v>0.7</v>
      </c>
      <c r="R274" s="177">
        <f t="shared" si="115"/>
        <v>0.49178119526889352</v>
      </c>
      <c r="S274" s="919">
        <f t="shared" si="132"/>
        <v>-2</v>
      </c>
      <c r="T274" s="176">
        <f t="shared" si="116"/>
        <v>4</v>
      </c>
      <c r="U274" s="251">
        <f t="shared" si="117"/>
        <v>-1.5082188047311065</v>
      </c>
      <c r="V274" s="383">
        <f t="shared" si="118"/>
        <v>47.794283453892845</v>
      </c>
      <c r="W274" s="58"/>
      <c r="X274" s="157">
        <f t="shared" si="119"/>
        <v>43360</v>
      </c>
      <c r="Y274" s="385">
        <f t="shared" si="120"/>
        <v>44.305</v>
      </c>
      <c r="Z274" s="385">
        <f t="shared" si="121"/>
        <v>44.418682849692431</v>
      </c>
      <c r="AA274" s="386">
        <f t="shared" si="122"/>
        <v>45.087540564383843</v>
      </c>
      <c r="AB274" s="197">
        <f t="shared" si="123"/>
        <v>43360</v>
      </c>
      <c r="AC274" s="425">
        <f t="shared" si="124"/>
        <v>1.4834646253021973E-2</v>
      </c>
      <c r="AD274" s="169">
        <f>(INDEX(Models!$BJ274:$BT274,,AH274)*(1-AF274)+INDEX(Models!$BJ274:$BT274,,AH274+1)*AF274-ERP_i)*AE274*Ramure*Pc/MaxiM</f>
        <v>8.1958368954693542E-5</v>
      </c>
      <c r="AE274" s="305">
        <f t="shared" si="125"/>
        <v>0.7</v>
      </c>
      <c r="AF274" s="177">
        <f t="shared" si="126"/>
        <v>0.49178119526889352</v>
      </c>
      <c r="AG274" s="919">
        <f t="shared" si="127"/>
        <v>-2</v>
      </c>
      <c r="AH274" s="176">
        <f t="shared" si="128"/>
        <v>4</v>
      </c>
      <c r="AI274" s="225">
        <f t="shared" si="129"/>
        <v>-1.5082188047311065</v>
      </c>
      <c r="AJ274" s="265" t="b">
        <f t="shared" si="130"/>
        <v>0</v>
      </c>
      <c r="AK274" s="265" t="b">
        <f t="shared" si="131"/>
        <v>0</v>
      </c>
      <c r="AL274" s="265"/>
      <c r="AM274" s="265"/>
      <c r="AN274" s="75"/>
    </row>
    <row r="275" spans="1:40" s="6" customFormat="1" ht="11.25" x14ac:dyDescent="0.2">
      <c r="A275" s="56">
        <f t="shared" si="133"/>
        <v>43361</v>
      </c>
      <c r="B275" s="618">
        <v>40.895000000000003</v>
      </c>
      <c r="C275" s="390"/>
      <c r="D275" s="393">
        <f t="shared" si="109"/>
        <v>41.000831104076454</v>
      </c>
      <c r="E275" s="385">
        <f t="shared" si="106"/>
        <v>41.623157999964988</v>
      </c>
      <c r="F275" s="385">
        <f t="shared" si="108"/>
        <v>41.625984598825738</v>
      </c>
      <c r="G275" s="110">
        <f t="shared" si="107"/>
        <v>0.85888692972475555</v>
      </c>
      <c r="I275" s="380">
        <f t="shared" si="110"/>
        <v>41.625984598825738</v>
      </c>
      <c r="J275" s="85">
        <v>2018</v>
      </c>
      <c r="K275" s="197">
        <f t="shared" si="111"/>
        <v>43361</v>
      </c>
      <c r="L275" s="436">
        <f t="shared" si="112"/>
        <v>2.5811941179388898E-3</v>
      </c>
      <c r="M275" s="968"/>
      <c r="N275" s="968"/>
      <c r="O275" s="324">
        <f t="shared" si="113"/>
        <v>1.4951457933322957E-2</v>
      </c>
      <c r="P275" s="169">
        <f>(INDEX(Models!$BJ275:$BT275,,T275)*(1-R275)+INDEX(Models!$BJ275:$BT275,,T275+1)*R275-ERP_i)*Q275*Ramure*Pc/MaxiM</f>
        <v>8.5047647452616071E-5</v>
      </c>
      <c r="Q275" s="305">
        <f t="shared" si="114"/>
        <v>0.7</v>
      </c>
      <c r="R275" s="177">
        <f t="shared" si="115"/>
        <v>0.49211482367875137</v>
      </c>
      <c r="S275" s="919">
        <f t="shared" si="132"/>
        <v>-2</v>
      </c>
      <c r="T275" s="176">
        <f t="shared" si="116"/>
        <v>4</v>
      </c>
      <c r="U275" s="251">
        <f t="shared" si="117"/>
        <v>-1.5078851763212486</v>
      </c>
      <c r="V275" s="383">
        <f t="shared" si="118"/>
        <v>47.613134482725059</v>
      </c>
      <c r="W275" s="58"/>
      <c r="X275" s="157">
        <f t="shared" si="119"/>
        <v>43361</v>
      </c>
      <c r="Y275" s="385">
        <f t="shared" si="120"/>
        <v>40.895000000000003</v>
      </c>
      <c r="Z275" s="385">
        <f t="shared" si="121"/>
        <v>41.000831104076454</v>
      </c>
      <c r="AA275" s="386">
        <f t="shared" si="122"/>
        <v>41.623157999964988</v>
      </c>
      <c r="AB275" s="197">
        <f t="shared" si="123"/>
        <v>43361</v>
      </c>
      <c r="AC275" s="425">
        <f t="shared" si="124"/>
        <v>1.4951457933322957E-2</v>
      </c>
      <c r="AD275" s="169">
        <f>(INDEX(Models!$BJ275:$BT275,,AH275)*(1-AF275)+INDEX(Models!$BJ275:$BT275,,AH275+1)*AF275-ERP_i)*AE275*Ramure*Pc/MaxiM</f>
        <v>8.5047647452616071E-5</v>
      </c>
      <c r="AE275" s="305">
        <f t="shared" si="125"/>
        <v>0.7</v>
      </c>
      <c r="AF275" s="177">
        <f t="shared" si="126"/>
        <v>0.49211482367875137</v>
      </c>
      <c r="AG275" s="919">
        <f t="shared" si="127"/>
        <v>-2</v>
      </c>
      <c r="AH275" s="176">
        <f t="shared" si="128"/>
        <v>4</v>
      </c>
      <c r="AI275" s="225">
        <f t="shared" si="129"/>
        <v>-1.5078851763212486</v>
      </c>
      <c r="AJ275" s="265" t="b">
        <f t="shared" si="130"/>
        <v>0</v>
      </c>
      <c r="AK275" s="265" t="b">
        <f t="shared" si="131"/>
        <v>0</v>
      </c>
      <c r="AL275" s="265"/>
      <c r="AM275" s="265"/>
      <c r="AN275" s="75"/>
    </row>
    <row r="276" spans="1:40" s="6" customFormat="1" ht="11.25" x14ac:dyDescent="0.2">
      <c r="A276" s="56">
        <f t="shared" si="133"/>
        <v>43362</v>
      </c>
      <c r="B276" s="618">
        <v>36.292999999999999</v>
      </c>
      <c r="C276" s="390"/>
      <c r="D276" s="393">
        <f t="shared" si="109"/>
        <v>36.387718692709313</v>
      </c>
      <c r="E276" s="385">
        <f t="shared" si="106"/>
        <v>36.944395661416578</v>
      </c>
      <c r="F276" s="385">
        <f t="shared" si="108"/>
        <v>36.946571616643965</v>
      </c>
      <c r="G276" s="110">
        <f t="shared" si="107"/>
        <v>0.76520196397627616</v>
      </c>
      <c r="I276" s="380">
        <f t="shared" si="110"/>
        <v>36.946571616643965</v>
      </c>
      <c r="J276" s="85">
        <v>2018</v>
      </c>
      <c r="K276" s="197">
        <f t="shared" si="111"/>
        <v>43362</v>
      </c>
      <c r="L276" s="436">
        <f t="shared" si="112"/>
        <v>2.6030401495955591E-3</v>
      </c>
      <c r="M276" s="968"/>
      <c r="N276" s="968"/>
      <c r="O276" s="324">
        <f t="shared" si="113"/>
        <v>1.5067967921549639E-2</v>
      </c>
      <c r="P276" s="169">
        <f>(INDEX(Models!$BJ276:$BT276,,T276)*(1-R276)+INDEX(Models!$BJ276:$BT276,,T276+1)*R276-ERP_i)*Q276*Ramure*Pc/MaxiM</f>
        <v>8.8615782620483466E-5</v>
      </c>
      <c r="Q276" s="305">
        <f t="shared" si="114"/>
        <v>0.7</v>
      </c>
      <c r="R276" s="177">
        <f t="shared" si="115"/>
        <v>0.49243544464801281</v>
      </c>
      <c r="S276" s="919">
        <f t="shared" si="132"/>
        <v>-2</v>
      </c>
      <c r="T276" s="176">
        <f t="shared" si="116"/>
        <v>4</v>
      </c>
      <c r="U276" s="251">
        <f t="shared" si="117"/>
        <v>-1.5075645553519872</v>
      </c>
      <c r="V276" s="383">
        <f t="shared" si="118"/>
        <v>47.427898745374684</v>
      </c>
      <c r="W276" s="58"/>
      <c r="X276" s="157">
        <f t="shared" si="119"/>
        <v>43362</v>
      </c>
      <c r="Y276" s="385">
        <f t="shared" si="120"/>
        <v>36.292999999999999</v>
      </c>
      <c r="Z276" s="385">
        <f t="shared" si="121"/>
        <v>36.387718692709313</v>
      </c>
      <c r="AA276" s="386">
        <f t="shared" si="122"/>
        <v>36.944395661416578</v>
      </c>
      <c r="AB276" s="197">
        <f t="shared" si="123"/>
        <v>43362</v>
      </c>
      <c r="AC276" s="425">
        <f t="shared" si="124"/>
        <v>1.5067967921549639E-2</v>
      </c>
      <c r="AD276" s="169">
        <f>(INDEX(Models!$BJ276:$BT276,,AH276)*(1-AF276)+INDEX(Models!$BJ276:$BT276,,AH276+1)*AF276-ERP_i)*AE276*Ramure*Pc/MaxiM</f>
        <v>8.8615782620483466E-5</v>
      </c>
      <c r="AE276" s="305">
        <f t="shared" si="125"/>
        <v>0.7</v>
      </c>
      <c r="AF276" s="177">
        <f t="shared" si="126"/>
        <v>0.49243544464801281</v>
      </c>
      <c r="AG276" s="919">
        <f t="shared" si="127"/>
        <v>-2</v>
      </c>
      <c r="AH276" s="176">
        <f t="shared" si="128"/>
        <v>4</v>
      </c>
      <c r="AI276" s="225">
        <f t="shared" si="129"/>
        <v>-1.5075645553519872</v>
      </c>
      <c r="AJ276" s="265" t="b">
        <f t="shared" si="130"/>
        <v>0</v>
      </c>
      <c r="AK276" s="265" t="b">
        <f t="shared" si="131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33"/>
        <v>43363</v>
      </c>
      <c r="B277" s="618">
        <v>45.975999999999999</v>
      </c>
      <c r="C277" s="390"/>
      <c r="D277" s="393">
        <f t="shared" si="109"/>
        <v>46.096999354546256</v>
      </c>
      <c r="E277" s="385">
        <f t="shared" si="106"/>
        <v>46.807735881403055</v>
      </c>
      <c r="F277" s="385">
        <f t="shared" si="108"/>
        <v>46.811903999404414</v>
      </c>
      <c r="G277" s="110">
        <f t="shared" si="107"/>
        <v>0.97326731485466234</v>
      </c>
      <c r="I277" s="380">
        <f t="shared" si="110"/>
        <v>46.811903999404414</v>
      </c>
      <c r="J277" s="85">
        <v>2018</v>
      </c>
      <c r="K277" s="197">
        <f t="shared" si="111"/>
        <v>43363</v>
      </c>
      <c r="L277" s="436">
        <f t="shared" si="112"/>
        <v>2.6248857027680872E-3</v>
      </c>
      <c r="M277" s="968"/>
      <c r="N277" s="968"/>
      <c r="O277" s="324">
        <f t="shared" si="113"/>
        <v>1.5184168032771199E-2</v>
      </c>
      <c r="P277" s="169">
        <f>(INDEX(Models!$BJ277:$BT277,,T277)*(1-R277)+INDEX(Models!$BJ277:$BT277,,T277+1)*R277-ERP_i)*Q277*Ramure*Pc/MaxiM</f>
        <v>9.2574630887104519E-5</v>
      </c>
      <c r="Q277" s="305">
        <f t="shared" si="114"/>
        <v>0.7</v>
      </c>
      <c r="R277" s="177">
        <f t="shared" si="115"/>
        <v>0.49274354909307161</v>
      </c>
      <c r="S277" s="919">
        <f t="shared" si="132"/>
        <v>-2</v>
      </c>
      <c r="T277" s="176">
        <f t="shared" si="116"/>
        <v>4</v>
      </c>
      <c r="U277" s="251">
        <f t="shared" si="117"/>
        <v>-1.5072564509069284</v>
      </c>
      <c r="V277" s="383">
        <f t="shared" si="118"/>
        <v>47.238653514755818</v>
      </c>
      <c r="W277" s="58"/>
      <c r="X277" s="157">
        <f t="shared" si="119"/>
        <v>43363</v>
      </c>
      <c r="Y277" s="385">
        <f t="shared" si="120"/>
        <v>45.975999999999999</v>
      </c>
      <c r="Z277" s="385">
        <f t="shared" si="121"/>
        <v>46.096999354546256</v>
      </c>
      <c r="AA277" s="386">
        <f t="shared" si="122"/>
        <v>46.807735881403055</v>
      </c>
      <c r="AB277" s="197">
        <f t="shared" si="123"/>
        <v>43363</v>
      </c>
      <c r="AC277" s="425">
        <f t="shared" si="124"/>
        <v>1.5184168032771199E-2</v>
      </c>
      <c r="AD277" s="169">
        <f>(INDEX(Models!$BJ277:$BT277,,AH277)*(1-AF277)+INDEX(Models!$BJ277:$BT277,,AH277+1)*AF277-ERP_i)*AE277*Ramure*Pc/MaxiM</f>
        <v>9.2574630887104519E-5</v>
      </c>
      <c r="AE277" s="305">
        <f t="shared" si="125"/>
        <v>0.7</v>
      </c>
      <c r="AF277" s="177">
        <f t="shared" si="126"/>
        <v>0.49274354909307161</v>
      </c>
      <c r="AG277" s="919">
        <f t="shared" si="127"/>
        <v>-2</v>
      </c>
      <c r="AH277" s="176">
        <f t="shared" si="128"/>
        <v>4</v>
      </c>
      <c r="AI277" s="225">
        <f t="shared" si="129"/>
        <v>-1.5072564509069284</v>
      </c>
      <c r="AJ277" s="265" t="b">
        <f t="shared" si="130"/>
        <v>0</v>
      </c>
      <c r="AK277" s="265" t="b">
        <f t="shared" si="131"/>
        <v>0</v>
      </c>
      <c r="AL277" s="265"/>
      <c r="AM277" s="265"/>
      <c r="AN277" s="75"/>
    </row>
    <row r="278" spans="1:40" s="6" customFormat="1" ht="11.25" x14ac:dyDescent="0.2">
      <c r="A278" s="56">
        <f t="shared" si="133"/>
        <v>43364</v>
      </c>
      <c r="B278" s="618">
        <v>33.662999999999997</v>
      </c>
      <c r="C278" s="390"/>
      <c r="D278" s="393">
        <f t="shared" si="109"/>
        <v>33.752333339460868</v>
      </c>
      <c r="E278" s="385">
        <f t="shared" si="106"/>
        <v>34.276769624464322</v>
      </c>
      <c r="F278" s="385">
        <f t="shared" si="108"/>
        <v>34.278741985006434</v>
      </c>
      <c r="G278" s="110">
        <f t="shared" si="107"/>
        <v>0.71551358279538479</v>
      </c>
      <c r="I278" s="380">
        <f t="shared" si="110"/>
        <v>34.278741985006434</v>
      </c>
      <c r="J278" s="85">
        <v>2018</v>
      </c>
      <c r="K278" s="197">
        <f t="shared" si="111"/>
        <v>43364</v>
      </c>
      <c r="L278" s="436">
        <f t="shared" si="112"/>
        <v>2.6467307774669102E-3</v>
      </c>
      <c r="M278" s="968"/>
      <c r="N278" s="968"/>
      <c r="O278" s="324">
        <f t="shared" si="113"/>
        <v>1.5300049880696647E-2</v>
      </c>
      <c r="P278" s="169">
        <f>(INDEX(Models!$BJ278:$BT278,,T278)*(1-R278)+INDEX(Models!$BJ278:$BT278,,T278+1)*R278-ERP_i)*Q278*Ramure*Pc/MaxiM</f>
        <v>9.6927003580992764E-5</v>
      </c>
      <c r="Q278" s="305">
        <f t="shared" si="114"/>
        <v>0.7</v>
      </c>
      <c r="R278" s="177">
        <f t="shared" si="115"/>
        <v>0.49303961066565938</v>
      </c>
      <c r="S278" s="919">
        <f t="shared" si="132"/>
        <v>-2</v>
      </c>
      <c r="T278" s="176">
        <f t="shared" si="116"/>
        <v>4</v>
      </c>
      <c r="U278" s="251">
        <f t="shared" si="117"/>
        <v>-1.5069603893343406</v>
      </c>
      <c r="V278" s="383">
        <f t="shared" si="118"/>
        <v>47.045471687494086</v>
      </c>
      <c r="W278" s="58"/>
      <c r="X278" s="157">
        <f t="shared" si="119"/>
        <v>43364</v>
      </c>
      <c r="Y278" s="385">
        <f t="shared" si="120"/>
        <v>33.662999999999997</v>
      </c>
      <c r="Z278" s="385">
        <f t="shared" si="121"/>
        <v>33.752333339460868</v>
      </c>
      <c r="AA278" s="386">
        <f t="shared" si="122"/>
        <v>34.276769624464322</v>
      </c>
      <c r="AB278" s="197">
        <f t="shared" si="123"/>
        <v>43364</v>
      </c>
      <c r="AC278" s="425">
        <f t="shared" si="124"/>
        <v>1.5300049880696647E-2</v>
      </c>
      <c r="AD278" s="169">
        <f>(INDEX(Models!$BJ278:$BT278,,AH278)*(1-AF278)+INDEX(Models!$BJ278:$BT278,,AH278+1)*AF278-ERP_i)*AE278*Ramure*Pc/MaxiM</f>
        <v>9.6927003580992764E-5</v>
      </c>
      <c r="AE278" s="305">
        <f t="shared" si="125"/>
        <v>0.7</v>
      </c>
      <c r="AF278" s="177">
        <f t="shared" si="126"/>
        <v>0.49303961066565938</v>
      </c>
      <c r="AG278" s="919">
        <f t="shared" si="127"/>
        <v>-2</v>
      </c>
      <c r="AH278" s="176">
        <f t="shared" si="128"/>
        <v>4</v>
      </c>
      <c r="AI278" s="225">
        <f t="shared" si="129"/>
        <v>-1.5069603893343406</v>
      </c>
      <c r="AJ278" s="265" t="b">
        <f t="shared" si="130"/>
        <v>0</v>
      </c>
      <c r="AK278" s="265" t="b">
        <f t="shared" si="131"/>
        <v>0</v>
      </c>
      <c r="AL278" s="265"/>
      <c r="AM278" s="265"/>
      <c r="AN278" s="75"/>
    </row>
    <row r="279" spans="1:40" s="6" customFormat="1" ht="11.25" x14ac:dyDescent="0.2">
      <c r="A279" s="56">
        <f t="shared" si="133"/>
        <v>43365</v>
      </c>
      <c r="B279" s="618">
        <v>44.999000000000002</v>
      </c>
      <c r="C279" s="390"/>
      <c r="D279" s="393">
        <f t="shared" si="109"/>
        <v>45.119404531809714</v>
      </c>
      <c r="E279" s="385">
        <f t="shared" si="106"/>
        <v>45.825837537526908</v>
      </c>
      <c r="F279" s="385">
        <f t="shared" si="108"/>
        <v>45.830234564690414</v>
      </c>
      <c r="G279" s="110">
        <f t="shared" si="107"/>
        <v>0.96051768799876225</v>
      </c>
      <c r="I279" s="380">
        <f t="shared" si="110"/>
        <v>45.830234564690414</v>
      </c>
      <c r="J279" s="85">
        <v>2018</v>
      </c>
      <c r="K279" s="197">
        <f t="shared" si="111"/>
        <v>43365</v>
      </c>
      <c r="L279" s="436">
        <f t="shared" si="112"/>
        <v>2.6685753737025752E-3</v>
      </c>
      <c r="M279" s="968"/>
      <c r="N279" s="968"/>
      <c r="O279" s="324">
        <f t="shared" si="113"/>
        <v>1.5415604900591221E-2</v>
      </c>
      <c r="P279" s="169">
        <f>(INDEX(Models!$BJ279:$BT279,,T279)*(1-R279)+INDEX(Models!$BJ279:$BT279,,T279+1)*R279-ERP_i)*Q279*Ramure*Pc/MaxiM</f>
        <v>1.0167566810681616E-4</v>
      </c>
      <c r="Q279" s="305">
        <f t="shared" si="114"/>
        <v>0.7</v>
      </c>
      <c r="R279" s="177">
        <f t="shared" si="115"/>
        <v>0.49332408626046931</v>
      </c>
      <c r="S279" s="919">
        <f t="shared" si="132"/>
        <v>-2</v>
      </c>
      <c r="T279" s="176">
        <f t="shared" si="116"/>
        <v>4</v>
      </c>
      <c r="U279" s="251">
        <f t="shared" si="117"/>
        <v>-1.5066759137395307</v>
      </c>
      <c r="V279" s="383">
        <f t="shared" si="118"/>
        <v>46.848426126099511</v>
      </c>
      <c r="W279" s="58"/>
      <c r="X279" s="157">
        <f t="shared" si="119"/>
        <v>43365</v>
      </c>
      <c r="Y279" s="385">
        <f t="shared" si="120"/>
        <v>44.999000000000002</v>
      </c>
      <c r="Z279" s="385">
        <f t="shared" si="121"/>
        <v>45.119404531809714</v>
      </c>
      <c r="AA279" s="386">
        <f t="shared" si="122"/>
        <v>45.825837537526908</v>
      </c>
      <c r="AB279" s="197">
        <f t="shared" si="123"/>
        <v>43365</v>
      </c>
      <c r="AC279" s="425">
        <f t="shared" si="124"/>
        <v>1.5415604900591221E-2</v>
      </c>
      <c r="AD279" s="169">
        <f>(INDEX(Models!$BJ279:$BT279,,AH279)*(1-AF279)+INDEX(Models!$BJ279:$BT279,,AH279+1)*AF279-ERP_i)*AE279*Ramure*Pc/MaxiM</f>
        <v>1.0167566810681616E-4</v>
      </c>
      <c r="AE279" s="305">
        <f t="shared" si="125"/>
        <v>0.7</v>
      </c>
      <c r="AF279" s="177">
        <f t="shared" si="126"/>
        <v>0.49332408626046931</v>
      </c>
      <c r="AG279" s="919">
        <f t="shared" si="127"/>
        <v>-2</v>
      </c>
      <c r="AH279" s="176">
        <f t="shared" si="128"/>
        <v>4</v>
      </c>
      <c r="AI279" s="225">
        <f t="shared" si="129"/>
        <v>-1.5066759137395307</v>
      </c>
      <c r="AJ279" s="265" t="b">
        <f t="shared" si="130"/>
        <v>0</v>
      </c>
      <c r="AK279" s="265" t="b">
        <f t="shared" si="131"/>
        <v>0</v>
      </c>
      <c r="AL279" s="265"/>
      <c r="AM279" s="265"/>
      <c r="AN279" s="75"/>
    </row>
    <row r="280" spans="1:40" s="6" customFormat="1" ht="11.25" x14ac:dyDescent="0.2">
      <c r="A280" s="56">
        <f t="shared" si="133"/>
        <v>43366</v>
      </c>
      <c r="B280" s="618">
        <v>45.396999999999998</v>
      </c>
      <c r="C280" s="390"/>
      <c r="D280" s="393">
        <f t="shared" si="109"/>
        <v>45.519466459805479</v>
      </c>
      <c r="E280" s="385">
        <f t="shared" si="106"/>
        <v>46.237574102764746</v>
      </c>
      <c r="F280" s="385">
        <f t="shared" si="108"/>
        <v>46.242324699542912</v>
      </c>
      <c r="G280" s="110">
        <f t="shared" si="107"/>
        <v>0.97318670937170504</v>
      </c>
      <c r="I280" s="380">
        <f t="shared" si="110"/>
        <v>46.242324699542912</v>
      </c>
      <c r="J280" s="85">
        <v>2018</v>
      </c>
      <c r="K280" s="197">
        <f t="shared" si="111"/>
        <v>43366</v>
      </c>
      <c r="L280" s="436">
        <f t="shared" si="112"/>
        <v>2.6904194914855184E-3</v>
      </c>
      <c r="M280" s="968"/>
      <c r="N280" s="968"/>
      <c r="O280" s="324">
        <f t="shared" si="113"/>
        <v>1.5530824375933944E-2</v>
      </c>
      <c r="P280" s="169">
        <f>(INDEX(Models!$BJ280:$BT280,,T280)*(1-R280)+INDEX(Models!$BJ280:$BT280,,T280+1)*R280-ERP_i)*Q280*Ramure*Pc/MaxiM</f>
        <v>1.0682390479974131E-4</v>
      </c>
      <c r="Q280" s="305">
        <f t="shared" si="114"/>
        <v>0.7</v>
      </c>
      <c r="R280" s="177">
        <f t="shared" si="115"/>
        <v>0.49359741651603461</v>
      </c>
      <c r="S280" s="919">
        <f t="shared" si="132"/>
        <v>-2</v>
      </c>
      <c r="T280" s="176">
        <f t="shared" si="116"/>
        <v>4</v>
      </c>
      <c r="U280" s="251">
        <f t="shared" si="117"/>
        <v>-1.5064025834839654</v>
      </c>
      <c r="V280" s="383">
        <f t="shared" si="118"/>
        <v>46.647589628250635</v>
      </c>
      <c r="W280" s="58"/>
      <c r="X280" s="157">
        <f t="shared" si="119"/>
        <v>43366</v>
      </c>
      <c r="Y280" s="385">
        <f t="shared" si="120"/>
        <v>45.396999999999998</v>
      </c>
      <c r="Z280" s="385">
        <f t="shared" si="121"/>
        <v>45.519466459805479</v>
      </c>
      <c r="AA280" s="386">
        <f t="shared" si="122"/>
        <v>46.237574102764746</v>
      </c>
      <c r="AB280" s="197">
        <f t="shared" si="123"/>
        <v>43366</v>
      </c>
      <c r="AC280" s="425">
        <f t="shared" si="124"/>
        <v>1.5530824375933944E-2</v>
      </c>
      <c r="AD280" s="169">
        <f>(INDEX(Models!$BJ280:$BT280,,AH280)*(1-AF280)+INDEX(Models!$BJ280:$BT280,,AH280+1)*AF280-ERP_i)*AE280*Ramure*Pc/MaxiM</f>
        <v>1.0682390479974131E-4</v>
      </c>
      <c r="AE280" s="305">
        <f t="shared" si="125"/>
        <v>0.7</v>
      </c>
      <c r="AF280" s="177">
        <f t="shared" si="126"/>
        <v>0.49359741651603461</v>
      </c>
      <c r="AG280" s="919">
        <f t="shared" si="127"/>
        <v>-2</v>
      </c>
      <c r="AH280" s="176">
        <f t="shared" si="128"/>
        <v>4</v>
      </c>
      <c r="AI280" s="225">
        <f t="shared" si="129"/>
        <v>-1.5064025834839654</v>
      </c>
      <c r="AJ280" s="265" t="b">
        <f t="shared" si="130"/>
        <v>0</v>
      </c>
      <c r="AK280" s="265" t="b">
        <f t="shared" si="131"/>
        <v>0</v>
      </c>
      <c r="AL280" s="265"/>
      <c r="AM280" s="265"/>
      <c r="AN280" s="75"/>
    </row>
    <row r="281" spans="1:40" s="6" customFormat="1" ht="11.25" x14ac:dyDescent="0.2">
      <c r="A281" s="56">
        <f t="shared" si="133"/>
        <v>43367</v>
      </c>
      <c r="B281" s="618">
        <v>33.628</v>
      </c>
      <c r="C281" s="390"/>
      <c r="D281" s="393">
        <f t="shared" si="109"/>
        <v>33.719456037401763</v>
      </c>
      <c r="E281" s="385">
        <f t="shared" si="106"/>
        <v>34.255405822077385</v>
      </c>
      <c r="F281" s="385">
        <f t="shared" si="108"/>
        <v>34.2577380271441</v>
      </c>
      <c r="G281" s="110">
        <f t="shared" si="107"/>
        <v>0.72403774463940951</v>
      </c>
      <c r="I281" s="380">
        <f t="shared" si="110"/>
        <v>34.2577380271441</v>
      </c>
      <c r="J281" s="85">
        <v>2018</v>
      </c>
      <c r="K281" s="197">
        <f t="shared" si="111"/>
        <v>43367</v>
      </c>
      <c r="L281" s="436">
        <f t="shared" si="112"/>
        <v>2.7122631308262868E-3</v>
      </c>
      <c r="M281" s="968"/>
      <c r="N281" s="968"/>
      <c r="O281" s="324">
        <f t="shared" si="113"/>
        <v>1.5645699468847345E-2</v>
      </c>
      <c r="P281" s="169">
        <f>(INDEX(Models!$BJ281:$BT281,,T281)*(1-R281)+INDEX(Models!$BJ281:$BT281,,T281+1)*R281-ERP_i)*Q281*Ramure*Pc/MaxiM</f>
        <v>1.1237474624711897E-4</v>
      </c>
      <c r="Q281" s="305">
        <f t="shared" si="114"/>
        <v>0.7</v>
      </c>
      <c r="R281" s="177">
        <f t="shared" si="115"/>
        <v>0.49386002630817072</v>
      </c>
      <c r="S281" s="919">
        <f t="shared" si="132"/>
        <v>-2</v>
      </c>
      <c r="T281" s="176">
        <f t="shared" si="116"/>
        <v>4</v>
      </c>
      <c r="U281" s="251">
        <f t="shared" si="117"/>
        <v>-1.5061399736918293</v>
      </c>
      <c r="V281" s="383">
        <f t="shared" si="118"/>
        <v>46.443034970504684</v>
      </c>
      <c r="W281" s="58"/>
      <c r="X281" s="157">
        <f t="shared" si="119"/>
        <v>43367</v>
      </c>
      <c r="Y281" s="385">
        <f t="shared" si="120"/>
        <v>33.628</v>
      </c>
      <c r="Z281" s="385">
        <f t="shared" si="121"/>
        <v>33.719456037401763</v>
      </c>
      <c r="AA281" s="386">
        <f t="shared" si="122"/>
        <v>34.255405822077385</v>
      </c>
      <c r="AB281" s="197">
        <f t="shared" si="123"/>
        <v>43367</v>
      </c>
      <c r="AC281" s="425">
        <f t="shared" si="124"/>
        <v>1.5645699468847345E-2</v>
      </c>
      <c r="AD281" s="169">
        <f>(INDEX(Models!$BJ281:$BT281,,AH281)*(1-AF281)+INDEX(Models!$BJ281:$BT281,,AH281+1)*AF281-ERP_i)*AE281*Ramure*Pc/MaxiM</f>
        <v>1.1237474624711897E-4</v>
      </c>
      <c r="AE281" s="305">
        <f t="shared" si="125"/>
        <v>0.7</v>
      </c>
      <c r="AF281" s="177">
        <f t="shared" si="126"/>
        <v>0.49386002630817072</v>
      </c>
      <c r="AG281" s="919">
        <f t="shared" si="127"/>
        <v>-2</v>
      </c>
      <c r="AH281" s="176">
        <f t="shared" si="128"/>
        <v>4</v>
      </c>
      <c r="AI281" s="225">
        <f t="shared" si="129"/>
        <v>-1.5061399736918293</v>
      </c>
      <c r="AJ281" s="265" t="b">
        <f t="shared" si="130"/>
        <v>0</v>
      </c>
      <c r="AK281" s="265" t="b">
        <f t="shared" si="131"/>
        <v>0</v>
      </c>
      <c r="AL281" s="265"/>
      <c r="AM281" s="265"/>
      <c r="AN281" s="75"/>
    </row>
    <row r="282" spans="1:40" s="6" customFormat="1" ht="11.25" x14ac:dyDescent="0.2">
      <c r="A282" s="56">
        <f t="shared" si="133"/>
        <v>43368</v>
      </c>
      <c r="B282" s="618">
        <v>48.006</v>
      </c>
      <c r="C282" s="390"/>
      <c r="D282" s="393">
        <f t="shared" si="109"/>
        <v>48.137613351533545</v>
      </c>
      <c r="E282" s="385">
        <f t="shared" si="106"/>
        <v>48.908420885893158</v>
      </c>
      <c r="F282" s="385">
        <f t="shared" si="108"/>
        <v>48.914209724554347</v>
      </c>
      <c r="G282" s="110">
        <f t="shared" si="107"/>
        <v>1.0383080390468189</v>
      </c>
      <c r="I282" s="380">
        <f t="shared" si="110"/>
        <v>48.914209724554347</v>
      </c>
      <c r="J282" s="85">
        <v>2018</v>
      </c>
      <c r="K282" s="197">
        <f t="shared" si="111"/>
        <v>43368</v>
      </c>
      <c r="L282" s="436">
        <f t="shared" si="112"/>
        <v>2.7341062917352055E-3</v>
      </c>
      <c r="M282" s="968"/>
      <c r="N282" s="968"/>
      <c r="O282" s="324">
        <f t="shared" si="113"/>
        <v>1.5760221254289955E-2</v>
      </c>
      <c r="P282" s="169">
        <f>(INDEX(Models!$BJ282:$BT282,,T282)*(1-R282)+INDEX(Models!$BJ282:$BT282,,T282+1)*R282-ERP_i)*Q282*Ramure*Pc/MaxiM</f>
        <v>1.1834676863412917E-4</v>
      </c>
      <c r="Q282" s="305">
        <f t="shared" si="114"/>
        <v>0.7</v>
      </c>
      <c r="R282" s="177">
        <f t="shared" si="115"/>
        <v>0.49411232523538895</v>
      </c>
      <c r="S282" s="919">
        <f t="shared" si="132"/>
        <v>-2</v>
      </c>
      <c r="T282" s="176">
        <f t="shared" si="116"/>
        <v>4</v>
      </c>
      <c r="U282" s="251">
        <f t="shared" si="117"/>
        <v>-1.5058876747646111</v>
      </c>
      <c r="V282" s="383">
        <f t="shared" si="118"/>
        <v>46.234834167392336</v>
      </c>
      <c r="W282" s="58"/>
      <c r="X282" s="157">
        <f t="shared" si="119"/>
        <v>43368</v>
      </c>
      <c r="Y282" s="385">
        <f t="shared" si="120"/>
        <v>48.006</v>
      </c>
      <c r="Z282" s="385">
        <f t="shared" si="121"/>
        <v>48.137613351533545</v>
      </c>
      <c r="AA282" s="386">
        <f t="shared" si="122"/>
        <v>48.908420885893158</v>
      </c>
      <c r="AB282" s="197">
        <f t="shared" si="123"/>
        <v>43368</v>
      </c>
      <c r="AC282" s="425">
        <f t="shared" si="124"/>
        <v>1.5760221254289955E-2</v>
      </c>
      <c r="AD282" s="169">
        <f>(INDEX(Models!$BJ282:$BT282,,AH282)*(1-AF282)+INDEX(Models!$BJ282:$BT282,,AH282+1)*AF282-ERP_i)*AE282*Ramure*Pc/MaxiM</f>
        <v>1.1834676863412917E-4</v>
      </c>
      <c r="AE282" s="305">
        <f t="shared" si="125"/>
        <v>0.7</v>
      </c>
      <c r="AF282" s="177">
        <f t="shared" si="126"/>
        <v>0.49411232523538895</v>
      </c>
      <c r="AG282" s="919">
        <f t="shared" si="127"/>
        <v>-2</v>
      </c>
      <c r="AH282" s="176">
        <f t="shared" si="128"/>
        <v>4</v>
      </c>
      <c r="AI282" s="225">
        <f t="shared" si="129"/>
        <v>-1.5058876747646111</v>
      </c>
      <c r="AJ282" s="265" t="b">
        <f t="shared" si="130"/>
        <v>0</v>
      </c>
      <c r="AK282" s="265" t="b">
        <f t="shared" si="131"/>
        <v>0</v>
      </c>
      <c r="AL282" s="265"/>
      <c r="AM282" s="265"/>
      <c r="AN282" s="75"/>
    </row>
    <row r="283" spans="1:40" s="6" customFormat="1" ht="11.25" x14ac:dyDescent="0.2">
      <c r="A283" s="56">
        <f t="shared" si="133"/>
        <v>43369</v>
      </c>
      <c r="B283" s="618">
        <v>47.082000000000001</v>
      </c>
      <c r="C283" s="390"/>
      <c r="D283" s="393">
        <f t="shared" si="109"/>
        <v>47.212114177638753</v>
      </c>
      <c r="E283" s="385">
        <f t="shared" si="106"/>
        <v>47.973666424821779</v>
      </c>
      <c r="F283" s="385">
        <f t="shared" si="108"/>
        <v>47.979649608380406</v>
      </c>
      <c r="G283" s="110">
        <f t="shared" si="107"/>
        <v>1.0230088607180976</v>
      </c>
      <c r="I283" s="380">
        <f t="shared" si="110"/>
        <v>47.979649608380406</v>
      </c>
      <c r="J283" s="85">
        <v>2018</v>
      </c>
      <c r="K283" s="197">
        <f t="shared" si="111"/>
        <v>43369</v>
      </c>
      <c r="L283" s="436">
        <f t="shared" si="112"/>
        <v>2.7559489742228216E-3</v>
      </c>
      <c r="M283" s="968"/>
      <c r="N283" s="968"/>
      <c r="O283" s="324">
        <f t="shared" si="113"/>
        <v>1.5874380757960858E-2</v>
      </c>
      <c r="P283" s="169">
        <f>(INDEX(Models!$BJ283:$BT283,,T283)*(1-R283)+INDEX(Models!$BJ283:$BT283,,T283+1)*R283-ERP_i)*Q283*Ramure*Pc/MaxiM</f>
        <v>1.2470252716449752E-4</v>
      </c>
      <c r="Q283" s="305">
        <f t="shared" si="114"/>
        <v>0.7</v>
      </c>
      <c r="R283" s="177">
        <f t="shared" si="115"/>
        <v>0.49435470809576687</v>
      </c>
      <c r="S283" s="919">
        <f t="shared" si="132"/>
        <v>-2</v>
      </c>
      <c r="T283" s="176">
        <f t="shared" si="116"/>
        <v>4</v>
      </c>
      <c r="U283" s="251">
        <f t="shared" si="117"/>
        <v>-1.5056452919042331</v>
      </c>
      <c r="V283" s="383">
        <f t="shared" si="118"/>
        <v>46.023061781645708</v>
      </c>
      <c r="W283" s="58"/>
      <c r="X283" s="157">
        <f t="shared" si="119"/>
        <v>43369</v>
      </c>
      <c r="Y283" s="385">
        <f t="shared" si="120"/>
        <v>47.082000000000001</v>
      </c>
      <c r="Z283" s="385">
        <f t="shared" si="121"/>
        <v>47.212114177638753</v>
      </c>
      <c r="AA283" s="386">
        <f t="shared" si="122"/>
        <v>47.973666424821779</v>
      </c>
      <c r="AB283" s="197">
        <f t="shared" si="123"/>
        <v>43369</v>
      </c>
      <c r="AC283" s="425">
        <f t="shared" si="124"/>
        <v>1.5874380757960858E-2</v>
      </c>
      <c r="AD283" s="169">
        <f>(INDEX(Models!$BJ283:$BT283,,AH283)*(1-AF283)+INDEX(Models!$BJ283:$BT283,,AH283+1)*AF283-ERP_i)*AE283*Ramure*Pc/MaxiM</f>
        <v>1.2470252716449752E-4</v>
      </c>
      <c r="AE283" s="305">
        <f t="shared" si="125"/>
        <v>0.7</v>
      </c>
      <c r="AF283" s="177">
        <f t="shared" si="126"/>
        <v>0.49435470809576687</v>
      </c>
      <c r="AG283" s="919">
        <f t="shared" si="127"/>
        <v>-2</v>
      </c>
      <c r="AH283" s="176">
        <f t="shared" si="128"/>
        <v>4</v>
      </c>
      <c r="AI283" s="225">
        <f t="shared" si="129"/>
        <v>-1.5056452919042331</v>
      </c>
      <c r="AJ283" s="265" t="b">
        <f t="shared" si="130"/>
        <v>0</v>
      </c>
      <c r="AK283" s="265" t="b">
        <f t="shared" si="131"/>
        <v>0</v>
      </c>
      <c r="AL283" s="265"/>
      <c r="AM283" s="265"/>
      <c r="AN283" s="75"/>
    </row>
    <row r="284" spans="1:40" s="6" customFormat="1" ht="11.25" x14ac:dyDescent="0.2">
      <c r="A284" s="56">
        <f t="shared" si="133"/>
        <v>43370</v>
      </c>
      <c r="B284" s="618">
        <v>46.103000000000002</v>
      </c>
      <c r="C284" s="390"/>
      <c r="D284" s="393">
        <f t="shared" si="109"/>
        <v>46.231421234064243</v>
      </c>
      <c r="E284" s="385">
        <f t="shared" si="106"/>
        <v>46.982586771318942</v>
      </c>
      <c r="F284" s="385">
        <f t="shared" si="108"/>
        <v>46.988763169188566</v>
      </c>
      <c r="G284" s="110">
        <f t="shared" si="107"/>
        <v>1.0064445263653861</v>
      </c>
      <c r="I284" s="380">
        <f t="shared" si="110"/>
        <v>46.988763169188566</v>
      </c>
      <c r="J284" s="85">
        <v>2018</v>
      </c>
      <c r="K284" s="197">
        <f t="shared" si="111"/>
        <v>43370</v>
      </c>
      <c r="L284" s="436">
        <f t="shared" si="112"/>
        <v>2.7777911782996823E-3</v>
      </c>
      <c r="M284" s="968"/>
      <c r="N284" s="968"/>
      <c r="O284" s="324">
        <f t="shared" si="113"/>
        <v>1.5988168997822426E-2</v>
      </c>
      <c r="P284" s="169">
        <f>(INDEX(Models!$BJ284:$BT284,,T284)*(1-R284)+INDEX(Models!$BJ284:$BT284,,T284+1)*R284-ERP_i)*Q284*Ramure*Pc/MaxiM</f>
        <v>1.3144414649491259E-4</v>
      </c>
      <c r="Q284" s="305">
        <f t="shared" si="114"/>
        <v>0.7</v>
      </c>
      <c r="R284" s="177">
        <f t="shared" si="115"/>
        <v>0.49458755535483623</v>
      </c>
      <c r="S284" s="919">
        <f t="shared" si="132"/>
        <v>-2</v>
      </c>
      <c r="T284" s="176">
        <f t="shared" si="116"/>
        <v>4</v>
      </c>
      <c r="U284" s="251">
        <f t="shared" si="117"/>
        <v>-1.5054124446451638</v>
      </c>
      <c r="V284" s="383">
        <f t="shared" si="118"/>
        <v>45.807790486469862</v>
      </c>
      <c r="W284" s="58"/>
      <c r="X284" s="157">
        <f t="shared" si="119"/>
        <v>43370</v>
      </c>
      <c r="Y284" s="385">
        <f t="shared" si="120"/>
        <v>46.103000000000002</v>
      </c>
      <c r="Z284" s="385">
        <f t="shared" si="121"/>
        <v>46.231421234064243</v>
      </c>
      <c r="AA284" s="386">
        <f t="shared" si="122"/>
        <v>46.982586771318942</v>
      </c>
      <c r="AB284" s="197">
        <f t="shared" si="123"/>
        <v>43370</v>
      </c>
      <c r="AC284" s="425">
        <f t="shared" si="124"/>
        <v>1.5988168997822426E-2</v>
      </c>
      <c r="AD284" s="169">
        <f>(INDEX(Models!$BJ284:$BT284,,AH284)*(1-AF284)+INDEX(Models!$BJ284:$BT284,,AH284+1)*AF284-ERP_i)*AE284*Ramure*Pc/MaxiM</f>
        <v>1.3144414649491259E-4</v>
      </c>
      <c r="AE284" s="305">
        <f t="shared" si="125"/>
        <v>0.7</v>
      </c>
      <c r="AF284" s="177">
        <f t="shared" si="126"/>
        <v>0.49458755535483623</v>
      </c>
      <c r="AG284" s="919">
        <f t="shared" si="127"/>
        <v>-2</v>
      </c>
      <c r="AH284" s="176">
        <f t="shared" si="128"/>
        <v>4</v>
      </c>
      <c r="AI284" s="225">
        <f t="shared" si="129"/>
        <v>-1.5054124446451638</v>
      </c>
      <c r="AJ284" s="265" t="b">
        <f t="shared" si="130"/>
        <v>0</v>
      </c>
      <c r="AK284" s="265" t="b">
        <f t="shared" si="131"/>
        <v>0</v>
      </c>
      <c r="AL284" s="265"/>
      <c r="AM284" s="265"/>
      <c r="AN284" s="75"/>
    </row>
    <row r="285" spans="1:40" s="6" customFormat="1" ht="11.25" x14ac:dyDescent="0.2">
      <c r="A285" s="56">
        <f t="shared" si="133"/>
        <v>43371</v>
      </c>
      <c r="B285" s="618">
        <v>43.301000000000002</v>
      </c>
      <c r="C285" s="390"/>
      <c r="D285" s="393">
        <f t="shared" si="109"/>
        <v>43.422567248042739</v>
      </c>
      <c r="E285" s="385">
        <f t="shared" si="106"/>
        <v>44.133181062459307</v>
      </c>
      <c r="F285" s="385">
        <f t="shared" si="108"/>
        <v>44.138858996476266</v>
      </c>
      <c r="G285" s="110">
        <f t="shared" si="107"/>
        <v>0.94980108084566361</v>
      </c>
      <c r="I285" s="380">
        <f t="shared" si="110"/>
        <v>44.138858996476266</v>
      </c>
      <c r="J285" s="85">
        <v>2018</v>
      </c>
      <c r="K285" s="197">
        <f t="shared" si="111"/>
        <v>43371</v>
      </c>
      <c r="L285" s="436">
        <f t="shared" si="112"/>
        <v>2.7996329039762236E-3</v>
      </c>
      <c r="M285" s="968"/>
      <c r="N285" s="968"/>
      <c r="O285" s="324">
        <f t="shared" si="113"/>
        <v>1.6101577029103704E-2</v>
      </c>
      <c r="P285" s="169">
        <f>(INDEX(Models!$BJ285:$BT285,,T285)*(1-R285)+INDEX(Models!$BJ285:$BT285,,T285+1)*R285-ERP_i)*Q285*Ramure*Pc/MaxiM</f>
        <v>1.3857361340322867E-4</v>
      </c>
      <c r="Q285" s="305">
        <f t="shared" si="114"/>
        <v>0.7</v>
      </c>
      <c r="R285" s="177">
        <f t="shared" si="115"/>
        <v>0.49481123360412282</v>
      </c>
      <c r="S285" s="919">
        <f t="shared" si="132"/>
        <v>-2</v>
      </c>
      <c r="T285" s="176">
        <f t="shared" si="116"/>
        <v>4</v>
      </c>
      <c r="U285" s="251">
        <f t="shared" si="117"/>
        <v>-1.5051887663958772</v>
      </c>
      <c r="V285" s="383">
        <f t="shared" si="118"/>
        <v>45.589092911522343</v>
      </c>
      <c r="W285" s="58"/>
      <c r="X285" s="157">
        <f t="shared" si="119"/>
        <v>43371</v>
      </c>
      <c r="Y285" s="385">
        <f t="shared" si="120"/>
        <v>43.301000000000002</v>
      </c>
      <c r="Z285" s="385">
        <f t="shared" si="121"/>
        <v>43.422567248042739</v>
      </c>
      <c r="AA285" s="386">
        <f t="shared" si="122"/>
        <v>44.133181062459307</v>
      </c>
      <c r="AB285" s="197">
        <f t="shared" si="123"/>
        <v>43371</v>
      </c>
      <c r="AC285" s="425">
        <f t="shared" si="124"/>
        <v>1.6101577029103704E-2</v>
      </c>
      <c r="AD285" s="169">
        <f>(INDEX(Models!$BJ285:$BT285,,AH285)*(1-AF285)+INDEX(Models!$BJ285:$BT285,,AH285+1)*AF285-ERP_i)*AE285*Ramure*Pc/MaxiM</f>
        <v>1.3857361340322867E-4</v>
      </c>
      <c r="AE285" s="305">
        <f t="shared" si="125"/>
        <v>0.7</v>
      </c>
      <c r="AF285" s="177">
        <f t="shared" si="126"/>
        <v>0.49481123360412282</v>
      </c>
      <c r="AG285" s="919">
        <f t="shared" si="127"/>
        <v>-2</v>
      </c>
      <c r="AH285" s="176">
        <f t="shared" si="128"/>
        <v>4</v>
      </c>
      <c r="AI285" s="225">
        <f t="shared" si="129"/>
        <v>-1.5051887663958772</v>
      </c>
      <c r="AJ285" s="265" t="b">
        <f t="shared" si="130"/>
        <v>0</v>
      </c>
      <c r="AK285" s="265" t="b">
        <f t="shared" si="131"/>
        <v>0</v>
      </c>
      <c r="AL285" s="265"/>
      <c r="AM285" s="265"/>
      <c r="AN285" s="75"/>
    </row>
    <row r="286" spans="1:40" s="6" customFormat="1" ht="11.25" x14ac:dyDescent="0.2">
      <c r="A286" s="56">
        <f t="shared" si="133"/>
        <v>43372</v>
      </c>
      <c r="B286" s="618">
        <v>44.597999999999999</v>
      </c>
      <c r="C286" s="390"/>
      <c r="D286" s="393">
        <f t="shared" si="109"/>
        <v>44.724188140775418</v>
      </c>
      <c r="E286" s="385">
        <f t="shared" si="106"/>
        <v>45.461325161558484</v>
      </c>
      <c r="F286" s="385">
        <f t="shared" si="108"/>
        <v>45.467806820564945</v>
      </c>
      <c r="G286" s="110">
        <f t="shared" si="107"/>
        <v>0.98304497237688671</v>
      </c>
      <c r="I286" s="380">
        <f t="shared" si="110"/>
        <v>45.467806820564945</v>
      </c>
      <c r="J286" s="85">
        <v>2018</v>
      </c>
      <c r="K286" s="197">
        <f t="shared" si="111"/>
        <v>43372</v>
      </c>
      <c r="L286" s="436">
        <f t="shared" si="112"/>
        <v>2.8214741512629926E-3</v>
      </c>
      <c r="M286" s="968"/>
      <c r="N286" s="968"/>
      <c r="O286" s="324">
        <f t="shared" si="113"/>
        <v>1.6214595992603862E-2</v>
      </c>
      <c r="P286" s="169">
        <f>(INDEX(Models!$BJ286:$BT286,,T286)*(1-R286)+INDEX(Models!$BJ286:$BT286,,T286+1)*R286-ERP_i)*Q286*Ramure*Pc/MaxiM</f>
        <v>1.4609276297724026E-4</v>
      </c>
      <c r="Q286" s="305">
        <f t="shared" si="114"/>
        <v>0.7</v>
      </c>
      <c r="R286" s="177">
        <f t="shared" si="115"/>
        <v>0.495026096010033</v>
      </c>
      <c r="S286" s="919">
        <f t="shared" si="132"/>
        <v>-2</v>
      </c>
      <c r="T286" s="176">
        <f t="shared" si="116"/>
        <v>4</v>
      </c>
      <c r="U286" s="251">
        <f t="shared" si="117"/>
        <v>-1.504973903989967</v>
      </c>
      <c r="V286" s="383">
        <f t="shared" si="118"/>
        <v>45.367041640428845</v>
      </c>
      <c r="W286" s="58"/>
      <c r="X286" s="157">
        <f t="shared" si="119"/>
        <v>43372</v>
      </c>
      <c r="Y286" s="385">
        <f t="shared" si="120"/>
        <v>44.597999999999999</v>
      </c>
      <c r="Z286" s="385">
        <f t="shared" si="121"/>
        <v>44.724188140775418</v>
      </c>
      <c r="AA286" s="386">
        <f t="shared" si="122"/>
        <v>45.461325161558484</v>
      </c>
      <c r="AB286" s="197">
        <f t="shared" si="123"/>
        <v>43372</v>
      </c>
      <c r="AC286" s="425">
        <f t="shared" si="124"/>
        <v>1.6214595992603862E-2</v>
      </c>
      <c r="AD286" s="169">
        <f>(INDEX(Models!$BJ286:$BT286,,AH286)*(1-AF286)+INDEX(Models!$BJ286:$BT286,,AH286+1)*AF286-ERP_i)*AE286*Ramure*Pc/MaxiM</f>
        <v>1.4609276297724026E-4</v>
      </c>
      <c r="AE286" s="305">
        <f t="shared" si="125"/>
        <v>0.7</v>
      </c>
      <c r="AF286" s="177">
        <f t="shared" si="126"/>
        <v>0.495026096010033</v>
      </c>
      <c r="AG286" s="919">
        <f t="shared" si="127"/>
        <v>-2</v>
      </c>
      <c r="AH286" s="176">
        <f t="shared" si="128"/>
        <v>4</v>
      </c>
      <c r="AI286" s="225">
        <f t="shared" si="129"/>
        <v>-1.504973903989967</v>
      </c>
      <c r="AJ286" s="265" t="b">
        <f t="shared" si="130"/>
        <v>0</v>
      </c>
      <c r="AK286" s="265" t="b">
        <f t="shared" si="131"/>
        <v>0</v>
      </c>
      <c r="AL286" s="265"/>
      <c r="AM286" s="265"/>
      <c r="AN286" s="75"/>
    </row>
    <row r="287" spans="1:40" s="6" customFormat="1" ht="11.25" x14ac:dyDescent="0.2">
      <c r="A287" s="56">
        <f t="shared" si="133"/>
        <v>43373</v>
      </c>
      <c r="B287" s="618">
        <v>40.588999999999999</v>
      </c>
      <c r="C287" s="390"/>
      <c r="D287" s="393">
        <f t="shared" si="109"/>
        <v>40.704736384283024</v>
      </c>
      <c r="E287" s="385">
        <f t="shared" si="106"/>
        <v>41.380362550048417</v>
      </c>
      <c r="F287" s="385">
        <f t="shared" si="108"/>
        <v>41.385817820684117</v>
      </c>
      <c r="G287" s="110">
        <f t="shared" si="107"/>
        <v>0.89912632878845555</v>
      </c>
      <c r="I287" s="380">
        <f t="shared" si="110"/>
        <v>41.385817820684117</v>
      </c>
      <c r="J287" s="85">
        <v>2018</v>
      </c>
      <c r="K287" s="197">
        <f t="shared" si="111"/>
        <v>43373</v>
      </c>
      <c r="L287" s="436">
        <f t="shared" si="112"/>
        <v>2.8433149201702035E-3</v>
      </c>
      <c r="M287" s="968"/>
      <c r="N287" s="968"/>
      <c r="O287" s="324">
        <f t="shared" si="113"/>
        <v>1.6327217166071037E-2</v>
      </c>
      <c r="P287" s="169">
        <f>(INDEX(Models!$BJ287:$BT287,,T287)*(1-R287)+INDEX(Models!$BJ287:$BT287,,T287+1)*R287-ERP_i)*Q287*Ramure*Pc/MaxiM</f>
        <v>1.5400326577524249E-4</v>
      </c>
      <c r="Q287" s="305">
        <f t="shared" si="114"/>
        <v>0.7</v>
      </c>
      <c r="R287" s="177">
        <f t="shared" si="115"/>
        <v>0.49523248275284204</v>
      </c>
      <c r="S287" s="919">
        <f t="shared" si="132"/>
        <v>-2</v>
      </c>
      <c r="T287" s="176">
        <f t="shared" si="116"/>
        <v>4</v>
      </c>
      <c r="U287" s="251">
        <f t="shared" si="117"/>
        <v>-1.504767517247158</v>
      </c>
      <c r="V287" s="383">
        <f t="shared" si="118"/>
        <v>45.141709214011264</v>
      </c>
      <c r="W287" s="58"/>
      <c r="X287" s="157">
        <f t="shared" si="119"/>
        <v>43373</v>
      </c>
      <c r="Y287" s="385">
        <f t="shared" si="120"/>
        <v>40.588999999999999</v>
      </c>
      <c r="Z287" s="385">
        <f t="shared" si="121"/>
        <v>40.704736384283024</v>
      </c>
      <c r="AA287" s="386">
        <f t="shared" si="122"/>
        <v>41.380362550048417</v>
      </c>
      <c r="AB287" s="197">
        <f t="shared" si="123"/>
        <v>43373</v>
      </c>
      <c r="AC287" s="425">
        <f t="shared" si="124"/>
        <v>1.6327217166071037E-2</v>
      </c>
      <c r="AD287" s="169">
        <f>(INDEX(Models!$BJ287:$BT287,,AH287)*(1-AF287)+INDEX(Models!$BJ287:$BT287,,AH287+1)*AF287-ERP_i)*AE287*Ramure*Pc/MaxiM</f>
        <v>1.5400326577524249E-4</v>
      </c>
      <c r="AE287" s="305">
        <f t="shared" si="125"/>
        <v>0.7</v>
      </c>
      <c r="AF287" s="177">
        <f t="shared" si="126"/>
        <v>0.49523248275284204</v>
      </c>
      <c r="AG287" s="919">
        <f t="shared" si="127"/>
        <v>-2</v>
      </c>
      <c r="AH287" s="176">
        <f t="shared" si="128"/>
        <v>4</v>
      </c>
      <c r="AI287" s="225">
        <f t="shared" si="129"/>
        <v>-1.504767517247158</v>
      </c>
      <c r="AJ287" s="265" t="b">
        <f t="shared" si="130"/>
        <v>0</v>
      </c>
      <c r="AK287" s="265" t="b">
        <f t="shared" si="131"/>
        <v>0</v>
      </c>
      <c r="AL287" s="265"/>
      <c r="AM287" s="265"/>
      <c r="AN287" s="75"/>
    </row>
    <row r="288" spans="1:40" s="6" customFormat="1" ht="11.25" x14ac:dyDescent="0.2">
      <c r="A288" s="56">
        <f t="shared" si="133"/>
        <v>43374</v>
      </c>
      <c r="B288" s="618">
        <v>30.856999999999999</v>
      </c>
      <c r="C288" s="390"/>
      <c r="D288" s="393">
        <f t="shared" si="109"/>
        <v>30.945664130833297</v>
      </c>
      <c r="E288" s="385">
        <f t="shared" si="106"/>
        <v>31.462896275251943</v>
      </c>
      <c r="F288" s="385">
        <f t="shared" si="108"/>
        <v>31.465720037551144</v>
      </c>
      <c r="G288" s="110">
        <f t="shared" si="107"/>
        <v>0.68698695566027668</v>
      </c>
      <c r="I288" s="380">
        <f t="shared" si="110"/>
        <v>31.465720037551144</v>
      </c>
      <c r="J288" s="85">
        <v>2018</v>
      </c>
      <c r="K288" s="197">
        <f t="shared" si="111"/>
        <v>43374</v>
      </c>
      <c r="L288" s="436">
        <f t="shared" si="112"/>
        <v>2.8651552107086253E-3</v>
      </c>
      <c r="M288" s="968"/>
      <c r="N288" s="968"/>
      <c r="O288" s="324">
        <f t="shared" si="113"/>
        <v>1.6439432018389506E-2</v>
      </c>
      <c r="P288" s="169">
        <f>(INDEX(Models!$BJ288:$BT288,,T288)*(1-R288)+INDEX(Models!$BJ288:$BT288,,T288+1)*R288-ERP_i)*Q288*Ramure*Pc/MaxiM</f>
        <v>1.6230661622666735E-4</v>
      </c>
      <c r="Q288" s="305">
        <f t="shared" si="114"/>
        <v>0.7</v>
      </c>
      <c r="R288" s="177">
        <f t="shared" si="115"/>
        <v>0.4954307214555902</v>
      </c>
      <c r="S288" s="919">
        <f t="shared" si="132"/>
        <v>-2</v>
      </c>
      <c r="T288" s="176">
        <f t="shared" si="116"/>
        <v>4</v>
      </c>
      <c r="U288" s="251">
        <f t="shared" si="117"/>
        <v>-1.5045692785444098</v>
      </c>
      <c r="V288" s="383">
        <f t="shared" si="118"/>
        <v>44.913168124620015</v>
      </c>
      <c r="W288" s="58"/>
      <c r="X288" s="157">
        <f t="shared" si="119"/>
        <v>43374</v>
      </c>
      <c r="Y288" s="385">
        <f t="shared" si="120"/>
        <v>30.856999999999999</v>
      </c>
      <c r="Z288" s="385">
        <f t="shared" si="121"/>
        <v>30.945664130833297</v>
      </c>
      <c r="AA288" s="386">
        <f t="shared" si="122"/>
        <v>31.462896275251943</v>
      </c>
      <c r="AB288" s="197">
        <f t="shared" si="123"/>
        <v>43374</v>
      </c>
      <c r="AC288" s="425">
        <f t="shared" si="124"/>
        <v>1.6439432018389506E-2</v>
      </c>
      <c r="AD288" s="169">
        <f>(INDEX(Models!$BJ288:$BT288,,AH288)*(1-AF288)+INDEX(Models!$BJ288:$BT288,,AH288+1)*AF288-ERP_i)*AE288*Ramure*Pc/MaxiM</f>
        <v>1.6230661622666735E-4</v>
      </c>
      <c r="AE288" s="305">
        <f t="shared" si="125"/>
        <v>0.7</v>
      </c>
      <c r="AF288" s="177">
        <f t="shared" si="126"/>
        <v>0.4954307214555902</v>
      </c>
      <c r="AG288" s="919">
        <f t="shared" si="127"/>
        <v>-2</v>
      </c>
      <c r="AH288" s="176">
        <f t="shared" si="128"/>
        <v>4</v>
      </c>
      <c r="AI288" s="225">
        <f t="shared" si="129"/>
        <v>-1.5045692785444098</v>
      </c>
      <c r="AJ288" s="265" t="b">
        <f t="shared" si="130"/>
        <v>0</v>
      </c>
      <c r="AK288" s="265" t="b">
        <f t="shared" si="131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33"/>
        <v>43375</v>
      </c>
      <c r="B289" s="618">
        <v>46.716000000000001</v>
      </c>
      <c r="C289" s="390"/>
      <c r="D289" s="393">
        <f t="shared" si="109"/>
        <v>46.851259352566927</v>
      </c>
      <c r="E289" s="385">
        <f t="shared" si="106"/>
        <v>47.639756019554873</v>
      </c>
      <c r="F289" s="385">
        <f t="shared" si="108"/>
        <v>47.647904130278036</v>
      </c>
      <c r="G289" s="110">
        <f t="shared" si="107"/>
        <v>1.0455493472194759</v>
      </c>
      <c r="I289" s="380">
        <f t="shared" si="110"/>
        <v>47.647904130278036</v>
      </c>
      <c r="J289" s="85">
        <v>2018</v>
      </c>
      <c r="K289" s="197">
        <f t="shared" si="111"/>
        <v>43375</v>
      </c>
      <c r="L289" s="436">
        <f t="shared" si="112"/>
        <v>2.8869950228886943E-3</v>
      </c>
      <c r="M289" s="968"/>
      <c r="N289" s="968"/>
      <c r="O289" s="324">
        <f t="shared" si="113"/>
        <v>1.6551232266266945E-2</v>
      </c>
      <c r="P289" s="169">
        <f>(INDEX(Models!$BJ289:$BT289,,T289)*(1-R289)+INDEX(Models!$BJ289:$BT289,,T289+1)*R289-ERP_i)*Q289*Ramure*Pc/MaxiM</f>
        <v>1.7100669739604751E-4</v>
      </c>
      <c r="Q289" s="305">
        <f t="shared" si="114"/>
        <v>0.7</v>
      </c>
      <c r="R289" s="177">
        <f t="shared" si="115"/>
        <v>0.49562112760274668</v>
      </c>
      <c r="S289" s="919">
        <f t="shared" si="132"/>
        <v>-2</v>
      </c>
      <c r="T289" s="176">
        <f t="shared" si="116"/>
        <v>4</v>
      </c>
      <c r="U289" s="251">
        <f t="shared" si="117"/>
        <v>-1.5043788723972533</v>
      </c>
      <c r="V289" s="383">
        <f t="shared" si="118"/>
        <v>44.6808179109251</v>
      </c>
      <c r="W289" s="58"/>
      <c r="X289" s="157">
        <f t="shared" si="119"/>
        <v>43375</v>
      </c>
      <c r="Y289" s="385">
        <f t="shared" si="120"/>
        <v>46.716000000000001</v>
      </c>
      <c r="Z289" s="385">
        <f t="shared" si="121"/>
        <v>46.851259352566927</v>
      </c>
      <c r="AA289" s="386">
        <f t="shared" si="122"/>
        <v>47.639756019554873</v>
      </c>
      <c r="AB289" s="197">
        <f t="shared" si="123"/>
        <v>43375</v>
      </c>
      <c r="AC289" s="425">
        <f t="shared" si="124"/>
        <v>1.6551232266266945E-2</v>
      </c>
      <c r="AD289" s="169">
        <f>(INDEX(Models!$BJ289:$BT289,,AH289)*(1-AF289)+INDEX(Models!$BJ289:$BT289,,AH289+1)*AF289-ERP_i)*AE289*Ramure*Pc/MaxiM</f>
        <v>1.7100669739604751E-4</v>
      </c>
      <c r="AE289" s="305">
        <f t="shared" si="125"/>
        <v>0.7</v>
      </c>
      <c r="AF289" s="177">
        <f t="shared" si="126"/>
        <v>0.49562112760274668</v>
      </c>
      <c r="AG289" s="919">
        <f t="shared" si="127"/>
        <v>-2</v>
      </c>
      <c r="AH289" s="176">
        <f t="shared" si="128"/>
        <v>4</v>
      </c>
      <c r="AI289" s="225">
        <f t="shared" si="129"/>
        <v>-1.5043788723972533</v>
      </c>
      <c r="AJ289" s="265" t="b">
        <f t="shared" si="130"/>
        <v>0</v>
      </c>
      <c r="AK289" s="265" t="b">
        <f t="shared" si="131"/>
        <v>0</v>
      </c>
      <c r="AL289" s="265"/>
      <c r="AM289" s="265"/>
      <c r="AN289" s="75"/>
    </row>
    <row r="290" spans="1:40" s="6" customFormat="1" ht="11.25" x14ac:dyDescent="0.2">
      <c r="A290" s="56">
        <f t="shared" si="133"/>
        <v>43376</v>
      </c>
      <c r="B290" s="618">
        <v>42.497999999999998</v>
      </c>
      <c r="C290" s="390"/>
      <c r="D290" s="393">
        <f t="shared" si="109"/>
        <v>42.621980280591657</v>
      </c>
      <c r="E290" s="385">
        <f t="shared" si="106"/>
        <v>43.344207909851562</v>
      </c>
      <c r="F290" s="385">
        <f t="shared" si="108"/>
        <v>43.351504842538631</v>
      </c>
      <c r="G290" s="110">
        <f t="shared" si="107"/>
        <v>0.95619976293901221</v>
      </c>
      <c r="I290" s="380">
        <f t="shared" si="110"/>
        <v>43.351504842538631</v>
      </c>
      <c r="J290" s="85">
        <v>2018</v>
      </c>
      <c r="K290" s="197">
        <f t="shared" si="111"/>
        <v>43376</v>
      </c>
      <c r="L290" s="436">
        <f t="shared" si="112"/>
        <v>2.9088343567207353E-3</v>
      </c>
      <c r="M290" s="968"/>
      <c r="N290" s="968"/>
      <c r="O290" s="324">
        <f t="shared" si="113"/>
        <v>1.6662609933073742E-2</v>
      </c>
      <c r="P290" s="169">
        <f>(INDEX(Models!$BJ290:$BT290,,T290)*(1-R290)+INDEX(Models!$BJ290:$BT290,,T290+1)*R290-ERP_i)*Q290*Ramure*Pc/MaxiM</f>
        <v>1.7955232117201276E-4</v>
      </c>
      <c r="Q290" s="305">
        <f t="shared" si="114"/>
        <v>0.7</v>
      </c>
      <c r="R290" s="177">
        <f t="shared" si="115"/>
        <v>0.49580400494853483</v>
      </c>
      <c r="S290" s="919">
        <f t="shared" si="132"/>
        <v>-2</v>
      </c>
      <c r="T290" s="176">
        <f t="shared" si="116"/>
        <v>4</v>
      </c>
      <c r="U290" s="251">
        <f t="shared" si="117"/>
        <v>-1.5041959950514652</v>
      </c>
      <c r="V290" s="383">
        <f t="shared" si="118"/>
        <v>44.444188571098479</v>
      </c>
      <c r="W290" s="58"/>
      <c r="X290" s="157">
        <f t="shared" si="119"/>
        <v>43376</v>
      </c>
      <c r="Y290" s="385">
        <f t="shared" si="120"/>
        <v>42.497999999999998</v>
      </c>
      <c r="Z290" s="385">
        <f t="shared" si="121"/>
        <v>42.621980280591657</v>
      </c>
      <c r="AA290" s="386">
        <f t="shared" si="122"/>
        <v>43.344207909851562</v>
      </c>
      <c r="AB290" s="197">
        <f t="shared" si="123"/>
        <v>43376</v>
      </c>
      <c r="AC290" s="425">
        <f t="shared" si="124"/>
        <v>1.6662609933073742E-2</v>
      </c>
      <c r="AD290" s="169">
        <f>(INDEX(Models!$BJ290:$BT290,,AH290)*(1-AF290)+INDEX(Models!$BJ290:$BT290,,AH290+1)*AF290-ERP_i)*AE290*Ramure*Pc/MaxiM</f>
        <v>1.7955232117201276E-4</v>
      </c>
      <c r="AE290" s="305">
        <f t="shared" si="125"/>
        <v>0.7</v>
      </c>
      <c r="AF290" s="177">
        <f t="shared" si="126"/>
        <v>0.49580400494853483</v>
      </c>
      <c r="AG290" s="919">
        <f t="shared" si="127"/>
        <v>-2</v>
      </c>
      <c r="AH290" s="176">
        <f t="shared" si="128"/>
        <v>4</v>
      </c>
      <c r="AI290" s="225">
        <f t="shared" si="129"/>
        <v>-1.5041959950514652</v>
      </c>
      <c r="AJ290" s="265" t="b">
        <f t="shared" si="130"/>
        <v>0</v>
      </c>
      <c r="AK290" s="265" t="b">
        <f t="shared" si="131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33"/>
        <v>43377</v>
      </c>
      <c r="B291" s="618">
        <v>43.954999999999998</v>
      </c>
      <c r="C291" s="390"/>
      <c r="D291" s="393">
        <f t="shared" si="109"/>
        <v>44.084196373393539</v>
      </c>
      <c r="E291" s="385">
        <f t="shared" si="106"/>
        <v>44.836259953752773</v>
      </c>
      <c r="F291" s="385">
        <f t="shared" si="108"/>
        <v>44.844605022343991</v>
      </c>
      <c r="G291" s="110">
        <f t="shared" si="107"/>
        <v>0.994376186132363</v>
      </c>
      <c r="I291" s="380">
        <f t="shared" si="110"/>
        <v>44.844605022343991</v>
      </c>
      <c r="J291" s="85">
        <v>2018</v>
      </c>
      <c r="K291" s="197">
        <f t="shared" si="111"/>
        <v>43377</v>
      </c>
      <c r="L291" s="436">
        <f t="shared" si="112"/>
        <v>2.9306732122152956E-3</v>
      </c>
      <c r="M291" s="968"/>
      <c r="N291" s="968"/>
      <c r="O291" s="324">
        <f t="shared" si="113"/>
        <v>1.6773557409448622E-2</v>
      </c>
      <c r="P291" s="169">
        <f>(INDEX(Models!$BJ291:$BT291,,T291)*(1-R291)+INDEX(Models!$BJ291:$BT291,,T291+1)*R291-ERP_i)*Q291*Ramure*Pc/MaxiM</f>
        <v>1.8759531668890498E-4</v>
      </c>
      <c r="Q291" s="305">
        <f t="shared" si="114"/>
        <v>0.7</v>
      </c>
      <c r="R291" s="177">
        <f t="shared" si="115"/>
        <v>0.49597964591486532</v>
      </c>
      <c r="S291" s="919">
        <f t="shared" si="132"/>
        <v>-2</v>
      </c>
      <c r="T291" s="176">
        <f t="shared" si="116"/>
        <v>4</v>
      </c>
      <c r="U291" s="251">
        <f t="shared" si="117"/>
        <v>-1.5040203540851347</v>
      </c>
      <c r="V291" s="383">
        <f t="shared" si="118"/>
        <v>44.203526162219106</v>
      </c>
      <c r="W291" s="58"/>
      <c r="X291" s="157">
        <f t="shared" si="119"/>
        <v>43377</v>
      </c>
      <c r="Y291" s="385">
        <f t="shared" si="120"/>
        <v>43.954999999999998</v>
      </c>
      <c r="Z291" s="385">
        <f t="shared" si="121"/>
        <v>44.084196373393539</v>
      </c>
      <c r="AA291" s="386">
        <f t="shared" si="122"/>
        <v>44.836259953752773</v>
      </c>
      <c r="AB291" s="197">
        <f t="shared" si="123"/>
        <v>43377</v>
      </c>
      <c r="AC291" s="425">
        <f t="shared" si="124"/>
        <v>1.6773557409448622E-2</v>
      </c>
      <c r="AD291" s="169">
        <f>(INDEX(Models!$BJ291:$BT291,,AH291)*(1-AF291)+INDEX(Models!$BJ291:$BT291,,AH291+1)*AF291-ERP_i)*AE291*Ramure*Pc/MaxiM</f>
        <v>1.8759531668890498E-4</v>
      </c>
      <c r="AE291" s="305">
        <f t="shared" si="125"/>
        <v>0.7</v>
      </c>
      <c r="AF291" s="177">
        <f t="shared" si="126"/>
        <v>0.49597964591486532</v>
      </c>
      <c r="AG291" s="919">
        <f t="shared" si="127"/>
        <v>-2</v>
      </c>
      <c r="AH291" s="176">
        <f t="shared" si="128"/>
        <v>4</v>
      </c>
      <c r="AI291" s="225">
        <f t="shared" si="129"/>
        <v>-1.5040203540851347</v>
      </c>
      <c r="AJ291" s="265" t="b">
        <f t="shared" si="130"/>
        <v>0</v>
      </c>
      <c r="AK291" s="265" t="b">
        <f t="shared" si="131"/>
        <v>0</v>
      </c>
      <c r="AL291" s="265"/>
      <c r="AM291" s="265"/>
      <c r="AN291" s="75"/>
    </row>
    <row r="292" spans="1:40" s="6" customFormat="1" ht="11.25" x14ac:dyDescent="0.2">
      <c r="A292" s="56">
        <f t="shared" si="133"/>
        <v>43378</v>
      </c>
      <c r="B292" s="618">
        <v>43.790999999999997</v>
      </c>
      <c r="C292" s="390"/>
      <c r="D292" s="393">
        <f t="shared" si="109"/>
        <v>43.920676305806424</v>
      </c>
      <c r="E292" s="385">
        <f t="shared" si="106"/>
        <v>44.674971541555969</v>
      </c>
      <c r="F292" s="385">
        <f t="shared" si="108"/>
        <v>44.683643039833356</v>
      </c>
      <c r="G292" s="110">
        <f t="shared" si="107"/>
        <v>0.99617580888278223</v>
      </c>
      <c r="I292" s="380">
        <f t="shared" si="110"/>
        <v>44.683643039833356</v>
      </c>
      <c r="J292" s="85">
        <v>2018</v>
      </c>
      <c r="K292" s="197">
        <f t="shared" si="111"/>
        <v>43378</v>
      </c>
      <c r="L292" s="436">
        <f t="shared" si="112"/>
        <v>2.9525115893829224E-3</v>
      </c>
      <c r="M292" s="968"/>
      <c r="N292" s="968"/>
      <c r="O292" s="324">
        <f t="shared" si="113"/>
        <v>1.6884067515250956E-2</v>
      </c>
      <c r="P292" s="169">
        <f>(INDEX(Models!$BJ292:$BT292,,T292)*(1-R292)+INDEX(Models!$BJ292:$BT292,,T292+1)*R292-ERP_i)*Q292*Ramure*Pc/MaxiM</f>
        <v>1.9512998803246766E-4</v>
      </c>
      <c r="Q292" s="305">
        <f t="shared" si="114"/>
        <v>0.7</v>
      </c>
      <c r="R292" s="177">
        <f t="shared" si="115"/>
        <v>0.49614833197884689</v>
      </c>
      <c r="S292" s="919">
        <f t="shared" si="132"/>
        <v>-2</v>
      </c>
      <c r="T292" s="176">
        <f t="shared" si="116"/>
        <v>4</v>
      </c>
      <c r="U292" s="251">
        <f t="shared" si="117"/>
        <v>-1.5038516680211531</v>
      </c>
      <c r="V292" s="383">
        <f t="shared" si="118"/>
        <v>43.959061173058018</v>
      </c>
      <c r="W292" s="58"/>
      <c r="X292" s="157">
        <f t="shared" si="119"/>
        <v>43378</v>
      </c>
      <c r="Y292" s="385">
        <f t="shared" si="120"/>
        <v>43.790999999999997</v>
      </c>
      <c r="Z292" s="385">
        <f t="shared" si="121"/>
        <v>43.920676305806424</v>
      </c>
      <c r="AA292" s="386">
        <f t="shared" si="122"/>
        <v>44.674971541555969</v>
      </c>
      <c r="AB292" s="197">
        <f t="shared" si="123"/>
        <v>43378</v>
      </c>
      <c r="AC292" s="425">
        <f t="shared" si="124"/>
        <v>1.6884067515250956E-2</v>
      </c>
      <c r="AD292" s="169">
        <f>(INDEX(Models!$BJ292:$BT292,,AH292)*(1-AF292)+INDEX(Models!$BJ292:$BT292,,AH292+1)*AF292-ERP_i)*AE292*Ramure*Pc/MaxiM</f>
        <v>1.9512998803246766E-4</v>
      </c>
      <c r="AE292" s="305">
        <f t="shared" si="125"/>
        <v>0.7</v>
      </c>
      <c r="AF292" s="177">
        <f t="shared" si="126"/>
        <v>0.49614833197884689</v>
      </c>
      <c r="AG292" s="919">
        <f t="shared" si="127"/>
        <v>-2</v>
      </c>
      <c r="AH292" s="176">
        <f t="shared" si="128"/>
        <v>4</v>
      </c>
      <c r="AI292" s="225">
        <f t="shared" si="129"/>
        <v>-1.5038516680211531</v>
      </c>
      <c r="AJ292" s="265" t="b">
        <f t="shared" si="130"/>
        <v>0</v>
      </c>
      <c r="AK292" s="265" t="b">
        <f t="shared" si="131"/>
        <v>0</v>
      </c>
      <c r="AL292" s="265"/>
      <c r="AM292" s="265"/>
      <c r="AN292" s="75"/>
    </row>
    <row r="293" spans="1:40" s="6" customFormat="1" ht="11.25" x14ac:dyDescent="0.2">
      <c r="A293" s="56">
        <f t="shared" si="133"/>
        <v>43379</v>
      </c>
      <c r="B293" s="618">
        <v>41.433</v>
      </c>
      <c r="C293" s="390"/>
      <c r="D293" s="393">
        <f t="shared" si="109"/>
        <v>41.556603863433949</v>
      </c>
      <c r="E293" s="385">
        <f t="shared" si="106"/>
        <v>42.275031393286426</v>
      </c>
      <c r="F293" s="385">
        <f t="shared" ref="F293:F324" si="134">Wh_sa/(1-Pvg*MEDIAN((-Sdif+Wh/Env_an)/Csdif,0,1))</f>
        <v>42.282942542755286</v>
      </c>
      <c r="G293" s="110">
        <f t="shared" si="107"/>
        <v>0.94787018472648343</v>
      </c>
      <c r="I293" s="380">
        <f t="shared" si="110"/>
        <v>42.282942542755286</v>
      </c>
      <c r="J293" s="85">
        <v>2018</v>
      </c>
      <c r="K293" s="197">
        <f t="shared" si="111"/>
        <v>43379</v>
      </c>
      <c r="L293" s="436">
        <f t="shared" si="112"/>
        <v>2.9743494882340515E-3</v>
      </c>
      <c r="M293" s="968"/>
      <c r="N293" s="968"/>
      <c r="O293" s="324">
        <f t="shared" si="113"/>
        <v>1.6994133562407466E-2</v>
      </c>
      <c r="P293" s="169">
        <f>(INDEX(Models!$BJ293:$BT293,,T293)*(1-R293)+INDEX(Models!$BJ293:$BT293,,T293+1)*R293-ERP_i)*Q293*Ramure*Pc/MaxiM</f>
        <v>2.0215052251789064E-4</v>
      </c>
      <c r="Q293" s="305">
        <f t="shared" si="114"/>
        <v>0.7</v>
      </c>
      <c r="R293" s="177">
        <f t="shared" si="115"/>
        <v>0.496310334049886</v>
      </c>
      <c r="S293" s="919">
        <f t="shared" si="132"/>
        <v>-2</v>
      </c>
      <c r="T293" s="176">
        <f t="shared" si="116"/>
        <v>4</v>
      </c>
      <c r="U293" s="251">
        <f t="shared" si="117"/>
        <v>-1.503689665950114</v>
      </c>
      <c r="V293" s="383">
        <f t="shared" si="118"/>
        <v>43.711023907416674</v>
      </c>
      <c r="W293" s="58"/>
      <c r="X293" s="157">
        <f t="shared" si="119"/>
        <v>43379</v>
      </c>
      <c r="Y293" s="385">
        <f t="shared" si="120"/>
        <v>41.433</v>
      </c>
      <c r="Z293" s="385">
        <f t="shared" si="121"/>
        <v>41.556603863433949</v>
      </c>
      <c r="AA293" s="386">
        <f t="shared" si="122"/>
        <v>42.275031393286426</v>
      </c>
      <c r="AB293" s="197">
        <f t="shared" si="123"/>
        <v>43379</v>
      </c>
      <c r="AC293" s="425">
        <f t="shared" si="124"/>
        <v>1.6994133562407466E-2</v>
      </c>
      <c r="AD293" s="169">
        <f>(INDEX(Models!$BJ293:$BT293,,AH293)*(1-AF293)+INDEX(Models!$BJ293:$BT293,,AH293+1)*AF293-ERP_i)*AE293*Ramure*Pc/MaxiM</f>
        <v>2.0215052251789064E-4</v>
      </c>
      <c r="AE293" s="305">
        <f t="shared" si="125"/>
        <v>0.7</v>
      </c>
      <c r="AF293" s="177">
        <f t="shared" si="126"/>
        <v>0.496310334049886</v>
      </c>
      <c r="AG293" s="919">
        <f t="shared" si="127"/>
        <v>-2</v>
      </c>
      <c r="AH293" s="176">
        <f t="shared" si="128"/>
        <v>4</v>
      </c>
      <c r="AI293" s="225">
        <f t="shared" si="129"/>
        <v>-1.503689665950114</v>
      </c>
      <c r="AJ293" s="265" t="b">
        <f t="shared" si="130"/>
        <v>0</v>
      </c>
      <c r="AK293" s="265" t="b">
        <f t="shared" si="131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33"/>
        <v>43380</v>
      </c>
      <c r="B294" s="618">
        <v>10.583</v>
      </c>
      <c r="C294" s="390"/>
      <c r="D294" s="393">
        <f t="shared" si="109"/>
        <v>10.614803936594081</v>
      </c>
      <c r="E294" s="385">
        <f t="shared" si="106"/>
        <v>10.799516154742316</v>
      </c>
      <c r="F294" s="385">
        <f t="shared" si="134"/>
        <v>10.799516154742316</v>
      </c>
      <c r="G294" s="110">
        <f t="shared" si="107"/>
        <v>0.24346245743266806</v>
      </c>
      <c r="I294" s="380">
        <f t="shared" si="110"/>
        <v>10.799516154742316</v>
      </c>
      <c r="J294" s="85">
        <v>2018</v>
      </c>
      <c r="K294" s="197">
        <f t="shared" si="111"/>
        <v>43380</v>
      </c>
      <c r="L294" s="436">
        <f t="shared" si="112"/>
        <v>2.9961869087792303E-3</v>
      </c>
      <c r="M294" s="968"/>
      <c r="N294" s="968"/>
      <c r="O294" s="324">
        <f t="shared" si="113"/>
        <v>1.7103749418173927E-2</v>
      </c>
      <c r="P294" s="169">
        <f>(INDEX(Models!$BJ294:$BT294,,T294)*(1-R294)+INDEX(Models!$BJ294:$BT294,,T294+1)*R294-ERP_i)*Q294*Ramure*Pc/MaxiM</f>
        <v>2.0865103533995217E-4</v>
      </c>
      <c r="Q294" s="305">
        <f t="shared" si="114"/>
        <v>0.7</v>
      </c>
      <c r="R294" s="177">
        <f t="shared" si="115"/>
        <v>0.49646591283640884</v>
      </c>
      <c r="S294" s="919">
        <f t="shared" si="132"/>
        <v>-2</v>
      </c>
      <c r="T294" s="176">
        <f t="shared" si="116"/>
        <v>4</v>
      </c>
      <c r="U294" s="251">
        <f t="shared" si="117"/>
        <v>-1.5035340871635912</v>
      </c>
      <c r="V294" s="383">
        <f t="shared" si="118"/>
        <v>43.459644487566301</v>
      </c>
      <c r="W294" s="58"/>
      <c r="X294" s="157">
        <f t="shared" si="119"/>
        <v>43380</v>
      </c>
      <c r="Y294" s="385">
        <f t="shared" si="120"/>
        <v>10.583</v>
      </c>
      <c r="Z294" s="385">
        <f t="shared" si="121"/>
        <v>10.614803936594081</v>
      </c>
      <c r="AA294" s="386">
        <f t="shared" si="122"/>
        <v>10.799516154742316</v>
      </c>
      <c r="AB294" s="197">
        <f t="shared" si="123"/>
        <v>43380</v>
      </c>
      <c r="AC294" s="425">
        <f t="shared" si="124"/>
        <v>1.7103749418173927E-2</v>
      </c>
      <c r="AD294" s="169">
        <f>(INDEX(Models!$BJ294:$BT294,,AH294)*(1-AF294)+INDEX(Models!$BJ294:$BT294,,AH294+1)*AF294-ERP_i)*AE294*Ramure*Pc/MaxiM</f>
        <v>2.0865103533995217E-4</v>
      </c>
      <c r="AE294" s="305">
        <f t="shared" si="125"/>
        <v>0.7</v>
      </c>
      <c r="AF294" s="177">
        <f t="shared" si="126"/>
        <v>0.49646591283640884</v>
      </c>
      <c r="AG294" s="919">
        <f t="shared" si="127"/>
        <v>-2</v>
      </c>
      <c r="AH294" s="176">
        <f t="shared" si="128"/>
        <v>4</v>
      </c>
      <c r="AI294" s="225">
        <f t="shared" si="129"/>
        <v>-1.5035340871635912</v>
      </c>
      <c r="AJ294" s="265" t="b">
        <f t="shared" si="130"/>
        <v>0</v>
      </c>
      <c r="AK294" s="265" t="b">
        <f t="shared" si="131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33"/>
        <v>43381</v>
      </c>
      <c r="B295" s="618">
        <v>13.284000000000001</v>
      </c>
      <c r="C295" s="390"/>
      <c r="D295" s="393">
        <f t="shared" si="109"/>
        <v>13.324212792002445</v>
      </c>
      <c r="E295" s="385">
        <f t="shared" si="106"/>
        <v>13.557578158815403</v>
      </c>
      <c r="F295" s="385">
        <f t="shared" si="134"/>
        <v>13.557609182904672</v>
      </c>
      <c r="G295" s="110">
        <f t="shared" si="107"/>
        <v>0.30739804003445448</v>
      </c>
      <c r="I295" s="380">
        <f t="shared" si="110"/>
        <v>13.557609182904672</v>
      </c>
      <c r="J295" s="85">
        <v>2018</v>
      </c>
      <c r="K295" s="197">
        <f t="shared" si="111"/>
        <v>43381</v>
      </c>
      <c r="L295" s="436">
        <f t="shared" si="112"/>
        <v>3.0180238510286728E-3</v>
      </c>
      <c r="M295" s="968"/>
      <c r="N295" s="968"/>
      <c r="O295" s="324">
        <f t="shared" si="113"/>
        <v>1.7212909568307969E-2</v>
      </c>
      <c r="P295" s="169">
        <f>(INDEX(Models!$BJ295:$BT295,,T295)*(1-R295)+INDEX(Models!$BJ295:$BT295,,T295+1)*R295-ERP_i)*Q295*Ramure*Pc/MaxiM</f>
        <v>2.1462561465049066E-4</v>
      </c>
      <c r="Q295" s="305">
        <f t="shared" si="114"/>
        <v>0.7</v>
      </c>
      <c r="R295" s="177">
        <f t="shared" si="115"/>
        <v>0.4966153192022702</v>
      </c>
      <c r="S295" s="919">
        <f t="shared" si="132"/>
        <v>-2</v>
      </c>
      <c r="T295" s="176">
        <f t="shared" si="116"/>
        <v>4</v>
      </c>
      <c r="U295" s="251">
        <f t="shared" si="117"/>
        <v>-1.5033846807977298</v>
      </c>
      <c r="V295" s="383">
        <f t="shared" si="118"/>
        <v>43.205152848003934</v>
      </c>
      <c r="W295" s="58"/>
      <c r="X295" s="157">
        <f t="shared" si="119"/>
        <v>43381</v>
      </c>
      <c r="Y295" s="385">
        <f t="shared" si="120"/>
        <v>13.284000000000001</v>
      </c>
      <c r="Z295" s="385">
        <f t="shared" si="121"/>
        <v>13.324212792002445</v>
      </c>
      <c r="AA295" s="386">
        <f t="shared" si="122"/>
        <v>13.557578158815403</v>
      </c>
      <c r="AB295" s="197">
        <f t="shared" si="123"/>
        <v>43381</v>
      </c>
      <c r="AC295" s="425">
        <f t="shared" si="124"/>
        <v>1.7212909568307969E-2</v>
      </c>
      <c r="AD295" s="169">
        <f>(INDEX(Models!$BJ295:$BT295,,AH295)*(1-AF295)+INDEX(Models!$BJ295:$BT295,,AH295+1)*AF295-ERP_i)*AE295*Ramure*Pc/MaxiM</f>
        <v>2.1462561465049066E-4</v>
      </c>
      <c r="AE295" s="305">
        <f t="shared" si="125"/>
        <v>0.7</v>
      </c>
      <c r="AF295" s="177">
        <f t="shared" si="126"/>
        <v>0.4966153192022702</v>
      </c>
      <c r="AG295" s="919">
        <f t="shared" si="127"/>
        <v>-2</v>
      </c>
      <c r="AH295" s="176">
        <f t="shared" si="128"/>
        <v>4</v>
      </c>
      <c r="AI295" s="225">
        <f t="shared" si="129"/>
        <v>-1.5033846807977298</v>
      </c>
      <c r="AJ295" s="265" t="b">
        <f t="shared" si="130"/>
        <v>0</v>
      </c>
      <c r="AK295" s="265" t="b">
        <f t="shared" si="131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33"/>
        <v>43382</v>
      </c>
      <c r="B296" s="618">
        <v>35.954000000000001</v>
      </c>
      <c r="C296" s="390"/>
      <c r="D296" s="393">
        <f t="shared" si="109"/>
        <v>36.063628392765828</v>
      </c>
      <c r="E296" s="385">
        <f t="shared" si="106"/>
        <v>36.699319665164076</v>
      </c>
      <c r="F296" s="385">
        <f t="shared" si="134"/>
        <v>36.705511878602785</v>
      </c>
      <c r="G296" s="110">
        <f t="shared" si="107"/>
        <v>0.83711320685961066</v>
      </c>
      <c r="I296" s="380">
        <f t="shared" si="110"/>
        <v>36.705511878602785</v>
      </c>
      <c r="J296" s="85">
        <v>2018</v>
      </c>
      <c r="K296" s="197">
        <f t="shared" si="111"/>
        <v>43382</v>
      </c>
      <c r="L296" s="436">
        <f t="shared" si="112"/>
        <v>3.039860314993148E-3</v>
      </c>
      <c r="M296" s="968"/>
      <c r="N296" s="968"/>
      <c r="O296" s="324">
        <f t="shared" si="113"/>
        <v>1.7321609179628994E-2</v>
      </c>
      <c r="P296" s="169">
        <f>(INDEX(Models!$BJ296:$BT296,,T296)*(1-R296)+INDEX(Models!$BJ296:$BT296,,T296+1)*R296-ERP_i)*Q296*Ramure*Pc/MaxiM</f>
        <v>2.1984278560274251E-4</v>
      </c>
      <c r="Q296" s="305">
        <f t="shared" si="114"/>
        <v>0.7</v>
      </c>
      <c r="R296" s="177">
        <f t="shared" si="115"/>
        <v>0.49675879451293259</v>
      </c>
      <c r="S296" s="919">
        <f t="shared" si="132"/>
        <v>-2</v>
      </c>
      <c r="T296" s="176">
        <f t="shared" si="116"/>
        <v>4</v>
      </c>
      <c r="U296" s="251">
        <f t="shared" si="117"/>
        <v>-1.5032412054870674</v>
      </c>
      <c r="V296" s="383">
        <f t="shared" si="118"/>
        <v>42.947788424720706</v>
      </c>
      <c r="W296" s="58"/>
      <c r="X296" s="157">
        <f t="shared" si="119"/>
        <v>43382</v>
      </c>
      <c r="Y296" s="385">
        <f t="shared" si="120"/>
        <v>35.954000000000001</v>
      </c>
      <c r="Z296" s="385">
        <f t="shared" si="121"/>
        <v>36.063628392765828</v>
      </c>
      <c r="AA296" s="386">
        <f t="shared" si="122"/>
        <v>36.699319665164076</v>
      </c>
      <c r="AB296" s="197">
        <f t="shared" si="123"/>
        <v>43382</v>
      </c>
      <c r="AC296" s="425">
        <f t="shared" si="124"/>
        <v>1.7321609179628994E-2</v>
      </c>
      <c r="AD296" s="169">
        <f>(INDEX(Models!$BJ296:$BT296,,AH296)*(1-AF296)+INDEX(Models!$BJ296:$BT296,,AH296+1)*AF296-ERP_i)*AE296*Ramure*Pc/MaxiM</f>
        <v>2.1984278560274251E-4</v>
      </c>
      <c r="AE296" s="305">
        <f t="shared" si="125"/>
        <v>0.7</v>
      </c>
      <c r="AF296" s="177">
        <f t="shared" si="126"/>
        <v>0.49675879451293259</v>
      </c>
      <c r="AG296" s="919">
        <f t="shared" si="127"/>
        <v>-2</v>
      </c>
      <c r="AH296" s="176">
        <f t="shared" si="128"/>
        <v>4</v>
      </c>
      <c r="AI296" s="225">
        <f t="shared" si="129"/>
        <v>-1.5032412054870674</v>
      </c>
      <c r="AJ296" s="265" t="b">
        <f t="shared" si="130"/>
        <v>0</v>
      </c>
      <c r="AK296" s="265" t="b">
        <f t="shared" si="131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33"/>
        <v>43383</v>
      </c>
      <c r="B297" s="618">
        <v>23.152999999999999</v>
      </c>
      <c r="C297" s="390"/>
      <c r="D297" s="393">
        <f t="shared" si="109"/>
        <v>23.224105156845386</v>
      </c>
      <c r="E297" s="385">
        <f t="shared" ref="E297:E360" si="135">Wh_pvt/(1-Psa)</f>
        <v>23.636078318524547</v>
      </c>
      <c r="F297" s="385">
        <f t="shared" si="134"/>
        <v>23.637913993410017</v>
      </c>
      <c r="G297" s="110">
        <f t="shared" ref="G297:G360" si="136">+Wh_hp/MaxiM</f>
        <v>0.54230049648259637</v>
      </c>
      <c r="I297" s="380">
        <f t="shared" si="110"/>
        <v>23.637913993410017</v>
      </c>
      <c r="J297" s="85">
        <v>2018</v>
      </c>
      <c r="K297" s="197">
        <f t="shared" si="111"/>
        <v>43383</v>
      </c>
      <c r="L297" s="436">
        <f t="shared" si="112"/>
        <v>3.0616963006829812E-3</v>
      </c>
      <c r="M297" s="968"/>
      <c r="N297" s="968"/>
      <c r="O297" s="324">
        <f t="shared" si="113"/>
        <v>1.742984416142675E-2</v>
      </c>
      <c r="P297" s="169">
        <f>(INDEX(Models!$BJ297:$BT297,,T297)*(1-R297)+INDEX(Models!$BJ297:$BT297,,T297+1)*R297-ERP_i)*Q297*Ramure*Pc/MaxiM</f>
        <v>2.242785962043435E-4</v>
      </c>
      <c r="Q297" s="305">
        <f t="shared" si="114"/>
        <v>0.7</v>
      </c>
      <c r="R297" s="177">
        <f t="shared" si="115"/>
        <v>0.49689657097152384</v>
      </c>
      <c r="S297" s="919">
        <f t="shared" si="132"/>
        <v>-2</v>
      </c>
      <c r="T297" s="176">
        <f t="shared" si="116"/>
        <v>4</v>
      </c>
      <c r="U297" s="251">
        <f t="shared" si="117"/>
        <v>-1.5031034290284762</v>
      </c>
      <c r="V297" s="383">
        <f t="shared" si="118"/>
        <v>42.68778137133188</v>
      </c>
      <c r="W297" s="58"/>
      <c r="X297" s="157">
        <f t="shared" si="119"/>
        <v>43383</v>
      </c>
      <c r="Y297" s="385">
        <f t="shared" si="120"/>
        <v>23.152999999999999</v>
      </c>
      <c r="Z297" s="385">
        <f t="shared" si="121"/>
        <v>23.224105156845386</v>
      </c>
      <c r="AA297" s="386">
        <f t="shared" si="122"/>
        <v>23.636078318524547</v>
      </c>
      <c r="AB297" s="197">
        <f t="shared" si="123"/>
        <v>43383</v>
      </c>
      <c r="AC297" s="425">
        <f t="shared" si="124"/>
        <v>1.742984416142675E-2</v>
      </c>
      <c r="AD297" s="169">
        <f>(INDEX(Models!$BJ297:$BT297,,AH297)*(1-AF297)+INDEX(Models!$BJ297:$BT297,,AH297+1)*AF297-ERP_i)*AE297*Ramure*Pc/MaxiM</f>
        <v>2.242785962043435E-4</v>
      </c>
      <c r="AE297" s="305">
        <f t="shared" si="125"/>
        <v>0.7</v>
      </c>
      <c r="AF297" s="177">
        <f t="shared" si="126"/>
        <v>0.49689657097152384</v>
      </c>
      <c r="AG297" s="919">
        <f t="shared" si="127"/>
        <v>-2</v>
      </c>
      <c r="AH297" s="176">
        <f t="shared" si="128"/>
        <v>4</v>
      </c>
      <c r="AI297" s="225">
        <f t="shared" si="129"/>
        <v>-1.5031034290284762</v>
      </c>
      <c r="AJ297" s="265" t="b">
        <f t="shared" si="130"/>
        <v>0</v>
      </c>
      <c r="AK297" s="265" t="b">
        <f t="shared" si="131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33"/>
        <v>43384</v>
      </c>
      <c r="B298" s="618">
        <v>31.094999999999999</v>
      </c>
      <c r="C298" s="390"/>
      <c r="D298" s="393">
        <f t="shared" si="109"/>
        <v>31.191178992555958</v>
      </c>
      <c r="E298" s="385">
        <f t="shared" si="135"/>
        <v>31.747962414574037</v>
      </c>
      <c r="F298" s="385">
        <f t="shared" si="134"/>
        <v>31.752438460099782</v>
      </c>
      <c r="G298" s="110">
        <f t="shared" si="136"/>
        <v>0.73287050380535934</v>
      </c>
      <c r="I298" s="380">
        <f t="shared" si="110"/>
        <v>31.752438460099782</v>
      </c>
      <c r="J298" s="85">
        <v>2018</v>
      </c>
      <c r="K298" s="197">
        <f t="shared" si="111"/>
        <v>43384</v>
      </c>
      <c r="L298" s="436">
        <f t="shared" si="112"/>
        <v>3.0835318081087193E-3</v>
      </c>
      <c r="M298" s="968"/>
      <c r="N298" s="968"/>
      <c r="O298" s="324">
        <f t="shared" si="113"/>
        <v>1.7537611225169007E-2</v>
      </c>
      <c r="P298" s="169">
        <f>(INDEX(Models!$BJ298:$BT298,,T298)*(1-R298)+INDEX(Models!$BJ298:$BT298,,T298+1)*R298-ERP_i)*Q298*Ramure*Pc/MaxiM</f>
        <v>2.2792581135012537E-4</v>
      </c>
      <c r="Q298" s="305">
        <f t="shared" si="114"/>
        <v>0.7</v>
      </c>
      <c r="R298" s="177">
        <f t="shared" si="115"/>
        <v>0.49702887194489009</v>
      </c>
      <c r="S298" s="919">
        <f t="shared" si="132"/>
        <v>-2</v>
      </c>
      <c r="T298" s="176">
        <f t="shared" si="116"/>
        <v>4</v>
      </c>
      <c r="U298" s="251">
        <f t="shared" si="117"/>
        <v>-1.5029711280551099</v>
      </c>
      <c r="V298" s="383">
        <f t="shared" si="118"/>
        <v>42.425360923429196</v>
      </c>
      <c r="W298" s="58"/>
      <c r="X298" s="157">
        <f t="shared" si="119"/>
        <v>43384</v>
      </c>
      <c r="Y298" s="385">
        <f t="shared" si="120"/>
        <v>31.094999999999999</v>
      </c>
      <c r="Z298" s="385">
        <f t="shared" si="121"/>
        <v>31.191178992555958</v>
      </c>
      <c r="AA298" s="386">
        <f t="shared" si="122"/>
        <v>31.747962414574037</v>
      </c>
      <c r="AB298" s="197">
        <f t="shared" si="123"/>
        <v>43384</v>
      </c>
      <c r="AC298" s="425">
        <f t="shared" si="124"/>
        <v>1.7537611225169007E-2</v>
      </c>
      <c r="AD298" s="169">
        <f>(INDEX(Models!$BJ298:$BT298,,AH298)*(1-AF298)+INDEX(Models!$BJ298:$BT298,,AH298+1)*AF298-ERP_i)*AE298*Ramure*Pc/MaxiM</f>
        <v>2.2792581135012537E-4</v>
      </c>
      <c r="AE298" s="305">
        <f t="shared" si="125"/>
        <v>0.7</v>
      </c>
      <c r="AF298" s="177">
        <f t="shared" si="126"/>
        <v>0.49702887194489009</v>
      </c>
      <c r="AG298" s="919">
        <f t="shared" si="127"/>
        <v>-2</v>
      </c>
      <c r="AH298" s="176">
        <f t="shared" si="128"/>
        <v>4</v>
      </c>
      <c r="AI298" s="225">
        <f t="shared" si="129"/>
        <v>-1.5029711280551099</v>
      </c>
      <c r="AJ298" s="265" t="b">
        <f t="shared" si="130"/>
        <v>0</v>
      </c>
      <c r="AK298" s="265" t="b">
        <f t="shared" si="131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33"/>
        <v>43385</v>
      </c>
      <c r="B299" s="618">
        <v>39.625999999999998</v>
      </c>
      <c r="C299" s="390"/>
      <c r="D299" s="393">
        <f t="shared" si="109"/>
        <v>39.749436582162843</v>
      </c>
      <c r="E299" s="385">
        <f t="shared" si="135"/>
        <v>40.463409721720161</v>
      </c>
      <c r="F299" s="385">
        <f t="shared" si="134"/>
        <v>40.471947544594585</v>
      </c>
      <c r="G299" s="110">
        <f t="shared" si="136"/>
        <v>0.93986014637188831</v>
      </c>
      <c r="I299" s="380">
        <f t="shared" si="110"/>
        <v>40.471947544594585</v>
      </c>
      <c r="J299" s="85">
        <v>2018</v>
      </c>
      <c r="K299" s="197">
        <f t="shared" si="111"/>
        <v>43385</v>
      </c>
      <c r="L299" s="436">
        <f t="shared" si="112"/>
        <v>3.1053668372807985E-3</v>
      </c>
      <c r="M299" s="968"/>
      <c r="N299" s="968"/>
      <c r="O299" s="324">
        <f t="shared" si="113"/>
        <v>1.7644907941954016E-2</v>
      </c>
      <c r="P299" s="169">
        <f>(INDEX(Models!$BJ299:$BT299,,T299)*(1-R299)+INDEX(Models!$BJ299:$BT299,,T299+1)*R299-ERP_i)*Q299*Ramure*Pc/MaxiM</f>
        <v>2.307774495456804E-4</v>
      </c>
      <c r="Q299" s="305">
        <f t="shared" si="114"/>
        <v>0.7</v>
      </c>
      <c r="R299" s="177">
        <f t="shared" si="115"/>
        <v>0.4971559122797915</v>
      </c>
      <c r="S299" s="919">
        <f t="shared" si="132"/>
        <v>-2</v>
      </c>
      <c r="T299" s="176">
        <f t="shared" si="116"/>
        <v>4</v>
      </c>
      <c r="U299" s="251">
        <f t="shared" si="117"/>
        <v>-1.5028440877202085</v>
      </c>
      <c r="V299" s="383">
        <f t="shared" si="118"/>
        <v>42.160756113250237</v>
      </c>
      <c r="W299" s="58"/>
      <c r="X299" s="157">
        <f t="shared" si="119"/>
        <v>43385</v>
      </c>
      <c r="Y299" s="385">
        <f t="shared" si="120"/>
        <v>39.625999999999998</v>
      </c>
      <c r="Z299" s="385">
        <f t="shared" si="121"/>
        <v>39.749436582162843</v>
      </c>
      <c r="AA299" s="386">
        <f t="shared" si="122"/>
        <v>40.463409721720161</v>
      </c>
      <c r="AB299" s="197">
        <f t="shared" si="123"/>
        <v>43385</v>
      </c>
      <c r="AC299" s="425">
        <f t="shared" si="124"/>
        <v>1.7644907941954016E-2</v>
      </c>
      <c r="AD299" s="169">
        <f>(INDEX(Models!$BJ299:$BT299,,AH299)*(1-AF299)+INDEX(Models!$BJ299:$BT299,,AH299+1)*AF299-ERP_i)*AE299*Ramure*Pc/MaxiM</f>
        <v>2.307774495456804E-4</v>
      </c>
      <c r="AE299" s="305">
        <f t="shared" si="125"/>
        <v>0.7</v>
      </c>
      <c r="AF299" s="177">
        <f t="shared" si="126"/>
        <v>0.4971559122797915</v>
      </c>
      <c r="AG299" s="919">
        <f t="shared" si="127"/>
        <v>-2</v>
      </c>
      <c r="AH299" s="176">
        <f t="shared" si="128"/>
        <v>4</v>
      </c>
      <c r="AI299" s="225">
        <f t="shared" si="129"/>
        <v>-1.5028440877202085</v>
      </c>
      <c r="AJ299" s="265" t="b">
        <f t="shared" si="130"/>
        <v>0</v>
      </c>
      <c r="AK299" s="265" t="b">
        <f t="shared" si="131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33"/>
        <v>43386</v>
      </c>
      <c r="B300" s="618">
        <v>31.007999999999999</v>
      </c>
      <c r="C300" s="390"/>
      <c r="D300" s="393">
        <f t="shared" si="109"/>
        <v>31.105272451190004</v>
      </c>
      <c r="E300" s="385">
        <f t="shared" si="135"/>
        <v>31.667424102226871</v>
      </c>
      <c r="F300" s="385">
        <f t="shared" si="134"/>
        <v>31.672060837370708</v>
      </c>
      <c r="G300" s="110">
        <f t="shared" si="136"/>
        <v>0.74008628307961988</v>
      </c>
      <c r="I300" s="380">
        <f t="shared" si="110"/>
        <v>31.672060837370708</v>
      </c>
      <c r="J300" s="85">
        <v>2018</v>
      </c>
      <c r="K300" s="197">
        <f t="shared" si="111"/>
        <v>43386</v>
      </c>
      <c r="L300" s="436">
        <f t="shared" si="112"/>
        <v>3.127201388209766E-3</v>
      </c>
      <c r="M300" s="968"/>
      <c r="N300" s="968"/>
      <c r="O300" s="324">
        <f t="shared" si="113"/>
        <v>1.7751732797153391E-2</v>
      </c>
      <c r="P300" s="169">
        <f>(INDEX(Models!$BJ300:$BT300,,T300)*(1-R300)+INDEX(Models!$BJ300:$BT300,,T300+1)*R300-ERP_i)*Q300*Ramure*Pc/MaxiM</f>
        <v>2.3282683846069521E-4</v>
      </c>
      <c r="Q300" s="305">
        <f t="shared" si="114"/>
        <v>0.7</v>
      </c>
      <c r="R300" s="177">
        <f t="shared" si="115"/>
        <v>0.49727789860938554</v>
      </c>
      <c r="S300" s="919">
        <f t="shared" si="132"/>
        <v>-2</v>
      </c>
      <c r="T300" s="176">
        <f t="shared" si="116"/>
        <v>4</v>
      </c>
      <c r="U300" s="251">
        <f t="shared" si="117"/>
        <v>-1.5027221013906145</v>
      </c>
      <c r="V300" s="383">
        <f t="shared" si="118"/>
        <v>41.894195771004739</v>
      </c>
      <c r="W300" s="58"/>
      <c r="X300" s="157">
        <f t="shared" si="119"/>
        <v>43386</v>
      </c>
      <c r="Y300" s="385">
        <f t="shared" si="120"/>
        <v>31.007999999999999</v>
      </c>
      <c r="Z300" s="385">
        <f t="shared" si="121"/>
        <v>31.105272451190004</v>
      </c>
      <c r="AA300" s="386">
        <f t="shared" si="122"/>
        <v>31.667424102226871</v>
      </c>
      <c r="AB300" s="197">
        <f t="shared" si="123"/>
        <v>43386</v>
      </c>
      <c r="AC300" s="425">
        <f t="shared" si="124"/>
        <v>1.7751732797153391E-2</v>
      </c>
      <c r="AD300" s="169">
        <f>(INDEX(Models!$BJ300:$BT300,,AH300)*(1-AF300)+INDEX(Models!$BJ300:$BT300,,AH300+1)*AF300-ERP_i)*AE300*Ramure*Pc/MaxiM</f>
        <v>2.3282683846069521E-4</v>
      </c>
      <c r="AE300" s="305">
        <f t="shared" si="125"/>
        <v>0.7</v>
      </c>
      <c r="AF300" s="177">
        <f t="shared" si="126"/>
        <v>0.49727789860938554</v>
      </c>
      <c r="AG300" s="919">
        <f t="shared" si="127"/>
        <v>-2</v>
      </c>
      <c r="AH300" s="176">
        <f t="shared" si="128"/>
        <v>4</v>
      </c>
      <c r="AI300" s="225">
        <f t="shared" si="129"/>
        <v>-1.5027221013906145</v>
      </c>
      <c r="AJ300" s="265" t="b">
        <f t="shared" si="130"/>
        <v>0</v>
      </c>
      <c r="AK300" s="265" t="b">
        <f t="shared" si="131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33"/>
        <v>43387</v>
      </c>
      <c r="B301" s="618">
        <v>34.676000000000002</v>
      </c>
      <c r="C301" s="390"/>
      <c r="D301" s="393">
        <f t="shared" si="109"/>
        <v>34.78554090182665</v>
      </c>
      <c r="E301" s="385">
        <f t="shared" si="135"/>
        <v>35.41803926613504</v>
      </c>
      <c r="F301" s="385">
        <f t="shared" si="134"/>
        <v>35.424353260670031</v>
      </c>
      <c r="G301" s="110">
        <f t="shared" si="136"/>
        <v>0.83299235888553802</v>
      </c>
      <c r="I301" s="380">
        <f t="shared" si="110"/>
        <v>35.424353260670031</v>
      </c>
      <c r="J301" s="85">
        <v>2018</v>
      </c>
      <c r="K301" s="197">
        <f t="shared" si="111"/>
        <v>43387</v>
      </c>
      <c r="L301" s="436">
        <f t="shared" si="112"/>
        <v>3.1490354609059468E-3</v>
      </c>
      <c r="M301" s="968"/>
      <c r="N301" s="968"/>
      <c r="O301" s="324">
        <f t="shared" si="113"/>
        <v>1.7858085241696374E-2</v>
      </c>
      <c r="P301" s="169">
        <f>(INDEX(Models!$BJ301:$BT301,,T301)*(1-R301)+INDEX(Models!$BJ301:$BT301,,T301+1)*R301-ERP_i)*Q301*Ramure*Pc/MaxiM</f>
        <v>2.3406766786816387E-4</v>
      </c>
      <c r="Q301" s="305">
        <f t="shared" si="114"/>
        <v>0.7</v>
      </c>
      <c r="R301" s="177">
        <f t="shared" si="115"/>
        <v>0.49739502965016635</v>
      </c>
      <c r="S301" s="919">
        <f t="shared" si="132"/>
        <v>-2</v>
      </c>
      <c r="T301" s="176">
        <f t="shared" si="116"/>
        <v>4</v>
      </c>
      <c r="U301" s="251">
        <f t="shared" si="117"/>
        <v>-1.5026049703498336</v>
      </c>
      <c r="V301" s="383">
        <f t="shared" si="118"/>
        <v>41.625908525454825</v>
      </c>
      <c r="W301" s="58"/>
      <c r="X301" s="157">
        <f t="shared" si="119"/>
        <v>43387</v>
      </c>
      <c r="Y301" s="385">
        <f t="shared" si="120"/>
        <v>34.676000000000002</v>
      </c>
      <c r="Z301" s="385">
        <f t="shared" si="121"/>
        <v>34.78554090182665</v>
      </c>
      <c r="AA301" s="386">
        <f t="shared" si="122"/>
        <v>35.41803926613504</v>
      </c>
      <c r="AB301" s="197">
        <f t="shared" si="123"/>
        <v>43387</v>
      </c>
      <c r="AC301" s="425">
        <f t="shared" si="124"/>
        <v>1.7858085241696374E-2</v>
      </c>
      <c r="AD301" s="169">
        <f>(INDEX(Models!$BJ301:$BT301,,AH301)*(1-AF301)+INDEX(Models!$BJ301:$BT301,,AH301+1)*AF301-ERP_i)*AE301*Ramure*Pc/MaxiM</f>
        <v>2.3406766786816387E-4</v>
      </c>
      <c r="AE301" s="305">
        <f t="shared" si="125"/>
        <v>0.7</v>
      </c>
      <c r="AF301" s="177">
        <f t="shared" si="126"/>
        <v>0.49739502965016635</v>
      </c>
      <c r="AG301" s="919">
        <f t="shared" si="127"/>
        <v>-2</v>
      </c>
      <c r="AH301" s="176">
        <f t="shared" si="128"/>
        <v>4</v>
      </c>
      <c r="AI301" s="225">
        <f t="shared" si="129"/>
        <v>-1.5026049703498336</v>
      </c>
      <c r="AJ301" s="265" t="b">
        <f t="shared" si="130"/>
        <v>0</v>
      </c>
      <c r="AK301" s="265" t="b">
        <f t="shared" si="131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33"/>
        <v>43388</v>
      </c>
      <c r="B302" s="618">
        <v>11.744999999999999</v>
      </c>
      <c r="C302" s="390"/>
      <c r="D302" s="393">
        <f t="shared" si="109"/>
        <v>11.782360321743552</v>
      </c>
      <c r="E302" s="385">
        <f t="shared" si="135"/>
        <v>11.997890006770966</v>
      </c>
      <c r="F302" s="385">
        <f t="shared" si="134"/>
        <v>11.997890006770966</v>
      </c>
      <c r="G302" s="110">
        <f t="shared" si="136"/>
        <v>0.28393004642440545</v>
      </c>
      <c r="I302" s="380">
        <f t="shared" si="110"/>
        <v>11.997890006770966</v>
      </c>
      <c r="J302" s="85">
        <v>2018</v>
      </c>
      <c r="K302" s="197">
        <f t="shared" si="111"/>
        <v>43388</v>
      </c>
      <c r="L302" s="436">
        <f t="shared" si="112"/>
        <v>3.1708690553798879E-3</v>
      </c>
      <c r="M302" s="968"/>
      <c r="N302" s="968"/>
      <c r="O302" s="324">
        <f t="shared" si="113"/>
        <v>1.7963965739457619E-2</v>
      </c>
      <c r="P302" s="169">
        <f>(INDEX(Models!$BJ302:$BT302,,T302)*(1-R302)+INDEX(Models!$BJ302:$BT302,,T302+1)*R302-ERP_i)*Q302*Ramure*Pc/MaxiM</f>
        <v>2.3449403949038963E-4</v>
      </c>
      <c r="Q302" s="305">
        <f t="shared" si="114"/>
        <v>0.7</v>
      </c>
      <c r="R302" s="177">
        <f t="shared" si="115"/>
        <v>0.49750749648953252</v>
      </c>
      <c r="S302" s="919">
        <f t="shared" si="132"/>
        <v>-2</v>
      </c>
      <c r="T302" s="176">
        <f t="shared" si="116"/>
        <v>4</v>
      </c>
      <c r="U302" s="251">
        <f t="shared" si="117"/>
        <v>-1.5024925035104675</v>
      </c>
      <c r="V302" s="383">
        <f t="shared" si="118"/>
        <v>41.356122803412006</v>
      </c>
      <c r="W302" s="58"/>
      <c r="X302" s="157">
        <f t="shared" si="119"/>
        <v>43388</v>
      </c>
      <c r="Y302" s="385">
        <f t="shared" si="120"/>
        <v>11.744999999999999</v>
      </c>
      <c r="Z302" s="385">
        <f t="shared" si="121"/>
        <v>11.782360321743552</v>
      </c>
      <c r="AA302" s="386">
        <f t="shared" si="122"/>
        <v>11.997890006770966</v>
      </c>
      <c r="AB302" s="197">
        <f t="shared" si="123"/>
        <v>43388</v>
      </c>
      <c r="AC302" s="425">
        <f t="shared" si="124"/>
        <v>1.7963965739457619E-2</v>
      </c>
      <c r="AD302" s="169">
        <f>(INDEX(Models!$BJ302:$BT302,,AH302)*(1-AF302)+INDEX(Models!$BJ302:$BT302,,AH302+1)*AF302-ERP_i)*AE302*Ramure*Pc/MaxiM</f>
        <v>2.3449403949038963E-4</v>
      </c>
      <c r="AE302" s="305">
        <f t="shared" si="125"/>
        <v>0.7</v>
      </c>
      <c r="AF302" s="177">
        <f t="shared" si="126"/>
        <v>0.49750749648953252</v>
      </c>
      <c r="AG302" s="919">
        <f t="shared" si="127"/>
        <v>-2</v>
      </c>
      <c r="AH302" s="176">
        <f t="shared" si="128"/>
        <v>4</v>
      </c>
      <c r="AI302" s="225">
        <f t="shared" si="129"/>
        <v>-1.5024925035104675</v>
      </c>
      <c r="AJ302" s="265" t="b">
        <f t="shared" si="130"/>
        <v>0</v>
      </c>
      <c r="AK302" s="265" t="b">
        <f t="shared" si="131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33"/>
        <v>43389</v>
      </c>
      <c r="B303" s="618">
        <v>25.49</v>
      </c>
      <c r="C303" s="390"/>
      <c r="D303" s="393">
        <f t="shared" si="109"/>
        <v>25.571642638985946</v>
      </c>
      <c r="E303" s="385">
        <f t="shared" si="135"/>
        <v>26.042209102181772</v>
      </c>
      <c r="F303" s="385">
        <f t="shared" si="134"/>
        <v>26.045000097080738</v>
      </c>
      <c r="G303" s="110">
        <f t="shared" si="136"/>
        <v>0.62034648151733207</v>
      </c>
      <c r="I303" s="380">
        <f t="shared" si="110"/>
        <v>26.045000097080738</v>
      </c>
      <c r="J303" s="85">
        <v>2018</v>
      </c>
      <c r="K303" s="197">
        <f t="shared" si="111"/>
        <v>43389</v>
      </c>
      <c r="L303" s="436">
        <f t="shared" si="112"/>
        <v>3.1927021716421367E-3</v>
      </c>
      <c r="M303" s="968"/>
      <c r="N303" s="968"/>
      <c r="O303" s="324">
        <f t="shared" si="113"/>
        <v>1.8069375810226645E-2</v>
      </c>
      <c r="P303" s="169">
        <f>(INDEX(Models!$BJ303:$BT303,,T303)*(1-R303)+INDEX(Models!$BJ303:$BT303,,T303+1)*R303-ERP_i)*Q303*Ramure*Pc/MaxiM</f>
        <v>2.3410246695869594E-4</v>
      </c>
      <c r="Q303" s="305">
        <f t="shared" si="114"/>
        <v>0.7</v>
      </c>
      <c r="R303" s="177">
        <f t="shared" si="115"/>
        <v>0.49761548286416546</v>
      </c>
      <c r="S303" s="919">
        <f t="shared" si="132"/>
        <v>-2</v>
      </c>
      <c r="T303" s="176">
        <f t="shared" si="116"/>
        <v>4</v>
      </c>
      <c r="U303" s="251">
        <f t="shared" si="117"/>
        <v>-1.5023845171358345</v>
      </c>
      <c r="V303" s="383">
        <f t="shared" si="118"/>
        <v>41.084723878524152</v>
      </c>
      <c r="W303" s="58"/>
      <c r="X303" s="157">
        <f t="shared" si="119"/>
        <v>43389</v>
      </c>
      <c r="Y303" s="385">
        <f t="shared" si="120"/>
        <v>25.49</v>
      </c>
      <c r="Z303" s="385">
        <f t="shared" si="121"/>
        <v>25.571642638985946</v>
      </c>
      <c r="AA303" s="386">
        <f t="shared" si="122"/>
        <v>26.042209102181772</v>
      </c>
      <c r="AB303" s="197">
        <f t="shared" si="123"/>
        <v>43389</v>
      </c>
      <c r="AC303" s="425">
        <f t="shared" si="124"/>
        <v>1.8069375810226645E-2</v>
      </c>
      <c r="AD303" s="169">
        <f>(INDEX(Models!$BJ303:$BT303,,AH303)*(1-AF303)+INDEX(Models!$BJ303:$BT303,,AH303+1)*AF303-ERP_i)*AE303*Ramure*Pc/MaxiM</f>
        <v>2.3410246695869594E-4</v>
      </c>
      <c r="AE303" s="305">
        <f t="shared" si="125"/>
        <v>0.7</v>
      </c>
      <c r="AF303" s="177">
        <f t="shared" si="126"/>
        <v>0.49761548286416546</v>
      </c>
      <c r="AG303" s="919">
        <f t="shared" si="127"/>
        <v>-2</v>
      </c>
      <c r="AH303" s="176">
        <f t="shared" si="128"/>
        <v>4</v>
      </c>
      <c r="AI303" s="225">
        <f t="shared" si="129"/>
        <v>-1.5023845171358345</v>
      </c>
      <c r="AJ303" s="265" t="b">
        <f t="shared" si="130"/>
        <v>0</v>
      </c>
      <c r="AK303" s="265" t="b">
        <f t="shared" si="131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33"/>
        <v>43390</v>
      </c>
      <c r="B304" s="618">
        <v>22.975000000000001</v>
      </c>
      <c r="C304" s="390"/>
      <c r="D304" s="393">
        <f t="shared" si="109"/>
        <v>23.049092108916163</v>
      </c>
      <c r="E304" s="385">
        <f t="shared" si="135"/>
        <v>23.475747816613811</v>
      </c>
      <c r="F304" s="385">
        <f t="shared" si="134"/>
        <v>23.477802408188175</v>
      </c>
      <c r="G304" s="110">
        <f t="shared" si="136"/>
        <v>0.56287395255585071</v>
      </c>
      <c r="I304" s="380">
        <f t="shared" si="110"/>
        <v>23.477802408188175</v>
      </c>
      <c r="J304" s="85">
        <v>2018</v>
      </c>
      <c r="K304" s="197">
        <f t="shared" si="111"/>
        <v>43390</v>
      </c>
      <c r="L304" s="436">
        <f t="shared" si="112"/>
        <v>3.214534809703018E-3</v>
      </c>
      <c r="M304" s="968"/>
      <c r="N304" s="968"/>
      <c r="O304" s="324">
        <f t="shared" si="113"/>
        <v>1.8174318067759505E-2</v>
      </c>
      <c r="P304" s="169">
        <f>(INDEX(Models!$BJ304:$BT304,,T304)*(1-R304)+INDEX(Models!$BJ304:$BT304,,T304+1)*R304-ERP_i)*Q304*Ramure*Pc/MaxiM</f>
        <v>2.329610297389417E-4</v>
      </c>
      <c r="Q304" s="305">
        <f t="shared" si="114"/>
        <v>0.7</v>
      </c>
      <c r="R304" s="177">
        <f t="shared" si="115"/>
        <v>0.49771916542941019</v>
      </c>
      <c r="S304" s="919">
        <f t="shared" si="132"/>
        <v>-2</v>
      </c>
      <c r="T304" s="176">
        <f t="shared" si="116"/>
        <v>4</v>
      </c>
      <c r="U304" s="251">
        <f t="shared" si="117"/>
        <v>-1.5022808345705898</v>
      </c>
      <c r="V304" s="383">
        <f t="shared" si="118"/>
        <v>40.811371558151805</v>
      </c>
      <c r="W304" s="58"/>
      <c r="X304" s="157">
        <f t="shared" si="119"/>
        <v>43390</v>
      </c>
      <c r="Y304" s="385">
        <f t="shared" si="120"/>
        <v>22.975000000000001</v>
      </c>
      <c r="Z304" s="385">
        <f t="shared" si="121"/>
        <v>23.049092108916163</v>
      </c>
      <c r="AA304" s="386">
        <f t="shared" si="122"/>
        <v>23.475747816613811</v>
      </c>
      <c r="AB304" s="197">
        <f t="shared" si="123"/>
        <v>43390</v>
      </c>
      <c r="AC304" s="425">
        <f t="shared" si="124"/>
        <v>1.8174318067759505E-2</v>
      </c>
      <c r="AD304" s="169">
        <f>(INDEX(Models!$BJ304:$BT304,,AH304)*(1-AF304)+INDEX(Models!$BJ304:$BT304,,AH304+1)*AF304-ERP_i)*AE304*Ramure*Pc/MaxiM</f>
        <v>2.329610297389417E-4</v>
      </c>
      <c r="AE304" s="305">
        <f t="shared" si="125"/>
        <v>0.7</v>
      </c>
      <c r="AF304" s="177">
        <f t="shared" si="126"/>
        <v>0.49771916542941019</v>
      </c>
      <c r="AG304" s="919">
        <f t="shared" si="127"/>
        <v>-2</v>
      </c>
      <c r="AH304" s="176">
        <f t="shared" si="128"/>
        <v>4</v>
      </c>
      <c r="AI304" s="225">
        <f t="shared" si="129"/>
        <v>-1.5022808345705898</v>
      </c>
      <c r="AJ304" s="265" t="b">
        <f t="shared" si="130"/>
        <v>0</v>
      </c>
      <c r="AK304" s="265" t="b">
        <f t="shared" si="131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33"/>
        <v>43391</v>
      </c>
      <c r="B305" s="618">
        <v>10.602</v>
      </c>
      <c r="C305" s="390"/>
      <c r="D305" s="393">
        <f t="shared" si="109"/>
        <v>10.636423369266691</v>
      </c>
      <c r="E305" s="385">
        <f t="shared" si="135"/>
        <v>10.834464335357007</v>
      </c>
      <c r="F305" s="385">
        <f t="shared" si="134"/>
        <v>10.834464335357007</v>
      </c>
      <c r="G305" s="110">
        <f t="shared" si="136"/>
        <v>0.26148511510776073</v>
      </c>
      <c r="I305" s="380">
        <f t="shared" si="110"/>
        <v>10.834464335357007</v>
      </c>
      <c r="J305" s="85">
        <v>2018</v>
      </c>
      <c r="K305" s="197">
        <f t="shared" si="111"/>
        <v>43391</v>
      </c>
      <c r="L305" s="436">
        <f t="shared" si="112"/>
        <v>3.23636696957319E-3</v>
      </c>
      <c r="M305" s="968"/>
      <c r="N305" s="968"/>
      <c r="O305" s="324">
        <f t="shared" si="113"/>
        <v>1.8278796252439798E-2</v>
      </c>
      <c r="P305" s="169">
        <f>(INDEX(Models!$BJ305:$BT305,,T305)*(1-R305)+INDEX(Models!$BJ305:$BT305,,T305+1)*R305-ERP_i)*Q305*Ramure*Pc/MaxiM</f>
        <v>2.3164021518838458E-4</v>
      </c>
      <c r="Q305" s="305">
        <f t="shared" si="114"/>
        <v>0.7</v>
      </c>
      <c r="R305" s="177">
        <f t="shared" si="115"/>
        <v>0.49781871401985089</v>
      </c>
      <c r="S305" s="919">
        <f t="shared" si="132"/>
        <v>-2</v>
      </c>
      <c r="T305" s="176">
        <f t="shared" si="116"/>
        <v>4</v>
      </c>
      <c r="U305" s="251">
        <f t="shared" si="117"/>
        <v>-1.5021812859801491</v>
      </c>
      <c r="V305" s="383">
        <f t="shared" si="118"/>
        <v>40.535936992323215</v>
      </c>
      <c r="W305" s="58"/>
      <c r="X305" s="157">
        <f t="shared" si="119"/>
        <v>43391</v>
      </c>
      <c r="Y305" s="385">
        <f t="shared" si="120"/>
        <v>10.602</v>
      </c>
      <c r="Z305" s="385">
        <f t="shared" si="121"/>
        <v>10.636423369266691</v>
      </c>
      <c r="AA305" s="386">
        <f t="shared" si="122"/>
        <v>10.834464335357007</v>
      </c>
      <c r="AB305" s="197">
        <f t="shared" si="123"/>
        <v>43391</v>
      </c>
      <c r="AC305" s="425">
        <f t="shared" si="124"/>
        <v>1.8278796252439798E-2</v>
      </c>
      <c r="AD305" s="169">
        <f>(INDEX(Models!$BJ305:$BT305,,AH305)*(1-AF305)+INDEX(Models!$BJ305:$BT305,,AH305+1)*AF305-ERP_i)*AE305*Ramure*Pc/MaxiM</f>
        <v>2.3164021518838458E-4</v>
      </c>
      <c r="AE305" s="305">
        <f t="shared" si="125"/>
        <v>0.7</v>
      </c>
      <c r="AF305" s="177">
        <f t="shared" si="126"/>
        <v>0.49781871401985089</v>
      </c>
      <c r="AG305" s="919">
        <f t="shared" si="127"/>
        <v>-2</v>
      </c>
      <c r="AH305" s="176">
        <f t="shared" si="128"/>
        <v>4</v>
      </c>
      <c r="AI305" s="225">
        <f t="shared" si="129"/>
        <v>-1.5021812859801491</v>
      </c>
      <c r="AJ305" s="265" t="b">
        <f t="shared" si="130"/>
        <v>0</v>
      </c>
      <c r="AK305" s="265" t="b">
        <f t="shared" si="131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33"/>
        <v>43392</v>
      </c>
      <c r="B306" s="618">
        <v>24.963999999999999</v>
      </c>
      <c r="C306" s="390"/>
      <c r="D306" s="393">
        <f t="shared" si="109"/>
        <v>25.045603551712254</v>
      </c>
      <c r="E306" s="385">
        <f t="shared" si="135"/>
        <v>25.514634361558997</v>
      </c>
      <c r="F306" s="385">
        <f t="shared" si="134"/>
        <v>25.517319769533525</v>
      </c>
      <c r="G306" s="110">
        <f t="shared" si="136"/>
        <v>0.62001804288008999</v>
      </c>
      <c r="I306" s="380">
        <f t="shared" si="110"/>
        <v>25.517319769533525</v>
      </c>
      <c r="J306" s="85">
        <v>2018</v>
      </c>
      <c r="K306" s="197">
        <f t="shared" si="111"/>
        <v>43392</v>
      </c>
      <c r="L306" s="436">
        <f t="shared" si="112"/>
        <v>3.2581986512629779E-3</v>
      </c>
      <c r="M306" s="968"/>
      <c r="N306" s="968"/>
      <c r="O306" s="324">
        <f t="shared" si="113"/>
        <v>1.8382815258109194E-2</v>
      </c>
      <c r="P306" s="169">
        <f>(INDEX(Models!$BJ306:$BT306,,T306)*(1-R306)+INDEX(Models!$BJ306:$BT306,,T306+1)*R306-ERP_i)*Q306*Ramure*Pc/MaxiM</f>
        <v>2.3014083600475529E-4</v>
      </c>
      <c r="Q306" s="305">
        <f t="shared" si="114"/>
        <v>0.7</v>
      </c>
      <c r="R306" s="177">
        <f t="shared" si="115"/>
        <v>0.49791429190128089</v>
      </c>
      <c r="S306" s="919">
        <f t="shared" si="132"/>
        <v>-2</v>
      </c>
      <c r="T306" s="176">
        <f t="shared" si="116"/>
        <v>4</v>
      </c>
      <c r="U306" s="251">
        <f t="shared" si="117"/>
        <v>-1.5020857080987191</v>
      </c>
      <c r="V306" s="383">
        <f t="shared" si="118"/>
        <v>40.258314899036357</v>
      </c>
      <c r="W306" s="58"/>
      <c r="X306" s="157">
        <f t="shared" si="119"/>
        <v>43392</v>
      </c>
      <c r="Y306" s="385">
        <f t="shared" si="120"/>
        <v>24.963999999999999</v>
      </c>
      <c r="Z306" s="385">
        <f t="shared" si="121"/>
        <v>25.045603551712254</v>
      </c>
      <c r="AA306" s="386">
        <f t="shared" si="122"/>
        <v>25.514634361558997</v>
      </c>
      <c r="AB306" s="197">
        <f t="shared" si="123"/>
        <v>43392</v>
      </c>
      <c r="AC306" s="425">
        <f t="shared" si="124"/>
        <v>1.8382815258109194E-2</v>
      </c>
      <c r="AD306" s="169">
        <f>(INDEX(Models!$BJ306:$BT306,,AH306)*(1-AF306)+INDEX(Models!$BJ306:$BT306,,AH306+1)*AF306-ERP_i)*AE306*Ramure*Pc/MaxiM</f>
        <v>2.3014083600475529E-4</v>
      </c>
      <c r="AE306" s="305">
        <f t="shared" si="125"/>
        <v>0.7</v>
      </c>
      <c r="AF306" s="177">
        <f t="shared" si="126"/>
        <v>0.49791429190128089</v>
      </c>
      <c r="AG306" s="919">
        <f t="shared" si="127"/>
        <v>-2</v>
      </c>
      <c r="AH306" s="176">
        <f t="shared" si="128"/>
        <v>4</v>
      </c>
      <c r="AI306" s="225">
        <f t="shared" si="129"/>
        <v>-1.5020857080987191</v>
      </c>
      <c r="AJ306" s="265" t="b">
        <f t="shared" si="130"/>
        <v>0</v>
      </c>
      <c r="AK306" s="265" t="b">
        <f t="shared" si="131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33"/>
        <v>43393</v>
      </c>
      <c r="B307" s="618">
        <v>9.7059999999999995</v>
      </c>
      <c r="C307" s="390"/>
      <c r="D307" s="393">
        <f t="shared" si="109"/>
        <v>9.7379407363392989</v>
      </c>
      <c r="E307" s="385">
        <f t="shared" si="135"/>
        <v>9.9213506051757925</v>
      </c>
      <c r="F307" s="385">
        <f t="shared" si="134"/>
        <v>9.9213506051757925</v>
      </c>
      <c r="G307" s="110">
        <f t="shared" si="136"/>
        <v>0.24272563512724563</v>
      </c>
      <c r="I307" s="380">
        <f t="shared" si="110"/>
        <v>9.9213506051757925</v>
      </c>
      <c r="J307" s="85">
        <v>2018</v>
      </c>
      <c r="K307" s="197">
        <f t="shared" si="111"/>
        <v>43393</v>
      </c>
      <c r="L307" s="436">
        <f t="shared" si="112"/>
        <v>3.2800298547829287E-3</v>
      </c>
      <c r="M307" s="968"/>
      <c r="N307" s="968"/>
      <c r="O307" s="324">
        <f t="shared" si="113"/>
        <v>1.8486381152664117E-2</v>
      </c>
      <c r="P307" s="169">
        <f>(INDEX(Models!$BJ307:$BT307,,T307)*(1-R307)+INDEX(Models!$BJ307:$BT307,,T307+1)*R307-ERP_i)*Q307*Ramure*Pc/MaxiM</f>
        <v>2.2846387455293009E-4</v>
      </c>
      <c r="Q307" s="305">
        <f t="shared" si="114"/>
        <v>0.7</v>
      </c>
      <c r="R307" s="177">
        <f t="shared" si="115"/>
        <v>0.49800605601427428</v>
      </c>
      <c r="S307" s="919">
        <f t="shared" si="132"/>
        <v>-2</v>
      </c>
      <c r="T307" s="176">
        <f t="shared" si="116"/>
        <v>4</v>
      </c>
      <c r="U307" s="251">
        <f t="shared" si="117"/>
        <v>-1.5019939439857257</v>
      </c>
      <c r="V307" s="383">
        <f t="shared" si="118"/>
        <v>39.978399992841759</v>
      </c>
      <c r="W307" s="58"/>
      <c r="X307" s="157">
        <f t="shared" si="119"/>
        <v>43393</v>
      </c>
      <c r="Y307" s="385">
        <f t="shared" si="120"/>
        <v>9.7059999999999995</v>
      </c>
      <c r="Z307" s="385">
        <f t="shared" si="121"/>
        <v>9.7379407363392989</v>
      </c>
      <c r="AA307" s="386">
        <f t="shared" si="122"/>
        <v>9.9213506051757925</v>
      </c>
      <c r="AB307" s="197">
        <f t="shared" si="123"/>
        <v>43393</v>
      </c>
      <c r="AC307" s="425">
        <f t="shared" si="124"/>
        <v>1.8486381152664117E-2</v>
      </c>
      <c r="AD307" s="169">
        <f>(INDEX(Models!$BJ307:$BT307,,AH307)*(1-AF307)+INDEX(Models!$BJ307:$BT307,,AH307+1)*AF307-ERP_i)*AE307*Ramure*Pc/MaxiM</f>
        <v>2.2846387455293009E-4</v>
      </c>
      <c r="AE307" s="305">
        <f t="shared" si="125"/>
        <v>0.7</v>
      </c>
      <c r="AF307" s="177">
        <f t="shared" si="126"/>
        <v>0.49800605601427428</v>
      </c>
      <c r="AG307" s="919">
        <f t="shared" si="127"/>
        <v>-2</v>
      </c>
      <c r="AH307" s="176">
        <f t="shared" si="128"/>
        <v>4</v>
      </c>
      <c r="AI307" s="225">
        <f t="shared" si="129"/>
        <v>-1.5019939439857257</v>
      </c>
      <c r="AJ307" s="265" t="b">
        <f t="shared" si="130"/>
        <v>0</v>
      </c>
      <c r="AK307" s="265" t="b">
        <f t="shared" si="131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33"/>
        <v>43394</v>
      </c>
      <c r="B308" s="618">
        <v>18.215</v>
      </c>
      <c r="C308" s="390"/>
      <c r="D308" s="393">
        <f t="shared" si="109"/>
        <v>18.275342633429936</v>
      </c>
      <c r="E308" s="385">
        <f t="shared" si="135"/>
        <v>18.621507163035101</v>
      </c>
      <c r="F308" s="385">
        <f t="shared" si="134"/>
        <v>18.622464880357207</v>
      </c>
      <c r="G308" s="110">
        <f t="shared" si="136"/>
        <v>0.45878095981023626</v>
      </c>
      <c r="I308" s="380">
        <f t="shared" si="110"/>
        <v>18.622464880357207</v>
      </c>
      <c r="J308" s="85">
        <v>2018</v>
      </c>
      <c r="K308" s="197">
        <f t="shared" si="111"/>
        <v>43394</v>
      </c>
      <c r="L308" s="436">
        <f t="shared" si="112"/>
        <v>3.3018605801434786E-3</v>
      </c>
      <c r="M308" s="968"/>
      <c r="N308" s="968"/>
      <c r="O308" s="324">
        <f t="shared" si="113"/>
        <v>1.8589501192058405E-2</v>
      </c>
      <c r="P308" s="169">
        <f>(INDEX(Models!$BJ308:$BT308,,T308)*(1-R308)+INDEX(Models!$BJ308:$BT308,,T308+1)*R308-ERP_i)*Q308*Ramure*Pc/MaxiM</f>
        <v>2.2661047138131815E-4</v>
      </c>
      <c r="Q308" s="305">
        <f t="shared" si="114"/>
        <v>0.7</v>
      </c>
      <c r="R308" s="177">
        <f t="shared" si="115"/>
        <v>0.49809415720955963</v>
      </c>
      <c r="S308" s="919">
        <f t="shared" si="132"/>
        <v>-2</v>
      </c>
      <c r="T308" s="176">
        <f t="shared" si="116"/>
        <v>4</v>
      </c>
      <c r="U308" s="251">
        <f t="shared" si="117"/>
        <v>-1.5019058427904404</v>
      </c>
      <c r="V308" s="383">
        <f t="shared" si="118"/>
        <v>39.696086986425918</v>
      </c>
      <c r="W308" s="58"/>
      <c r="X308" s="157">
        <f t="shared" si="119"/>
        <v>43394</v>
      </c>
      <c r="Y308" s="385">
        <f t="shared" si="120"/>
        <v>18.215</v>
      </c>
      <c r="Z308" s="385">
        <f t="shared" si="121"/>
        <v>18.275342633429936</v>
      </c>
      <c r="AA308" s="386">
        <f t="shared" si="122"/>
        <v>18.621507163035101</v>
      </c>
      <c r="AB308" s="197">
        <f t="shared" si="123"/>
        <v>43394</v>
      </c>
      <c r="AC308" s="425">
        <f t="shared" si="124"/>
        <v>1.8589501192058405E-2</v>
      </c>
      <c r="AD308" s="169">
        <f>(INDEX(Models!$BJ308:$BT308,,AH308)*(1-AF308)+INDEX(Models!$BJ308:$BT308,,AH308+1)*AF308-ERP_i)*AE308*Ramure*Pc/MaxiM</f>
        <v>2.2661047138131815E-4</v>
      </c>
      <c r="AE308" s="305">
        <f t="shared" si="125"/>
        <v>0.7</v>
      </c>
      <c r="AF308" s="177">
        <f t="shared" si="126"/>
        <v>0.49809415720955963</v>
      </c>
      <c r="AG308" s="919">
        <f t="shared" si="127"/>
        <v>-2</v>
      </c>
      <c r="AH308" s="176">
        <f t="shared" si="128"/>
        <v>4</v>
      </c>
      <c r="AI308" s="225">
        <f t="shared" si="129"/>
        <v>-1.5019058427904404</v>
      </c>
      <c r="AJ308" s="265" t="b">
        <f t="shared" si="130"/>
        <v>0</v>
      </c>
      <c r="AK308" s="265" t="b">
        <f t="shared" si="131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33"/>
        <v>43395</v>
      </c>
      <c r="B309" s="618">
        <v>23.86</v>
      </c>
      <c r="C309" s="390"/>
      <c r="D309" s="393">
        <f t="shared" si="109"/>
        <v>23.939567721647283</v>
      </c>
      <c r="E309" s="385">
        <f t="shared" si="135"/>
        <v>24.395574280676605</v>
      </c>
      <c r="F309" s="385">
        <f t="shared" si="134"/>
        <v>24.397964921918717</v>
      </c>
      <c r="G309" s="110">
        <f t="shared" si="136"/>
        <v>0.60533392479820713</v>
      </c>
      <c r="I309" s="380">
        <f t="shared" si="110"/>
        <v>24.397964921918717</v>
      </c>
      <c r="J309" s="85">
        <v>2018</v>
      </c>
      <c r="K309" s="197">
        <f t="shared" si="111"/>
        <v>43395</v>
      </c>
      <c r="L309" s="436">
        <f t="shared" si="112"/>
        <v>3.3236908273550636E-3</v>
      </c>
      <c r="M309" s="968"/>
      <c r="N309" s="968"/>
      <c r="O309" s="324">
        <f t="shared" si="113"/>
        <v>1.8692183827396951E-2</v>
      </c>
      <c r="P309" s="169">
        <f>(INDEX(Models!$BJ309:$BT309,,T309)*(1-R309)+INDEX(Models!$BJ309:$BT309,,T309+1)*R309-ERP_i)*Q309*Ramure*Pc/MaxiM</f>
        <v>2.2458191146756338E-4</v>
      </c>
      <c r="Q309" s="305">
        <f t="shared" si="114"/>
        <v>0.7</v>
      </c>
      <c r="R309" s="177">
        <f t="shared" si="115"/>
        <v>0.49817874047540545</v>
      </c>
      <c r="S309" s="919">
        <f t="shared" si="132"/>
        <v>-2</v>
      </c>
      <c r="T309" s="176">
        <f t="shared" si="116"/>
        <v>4</v>
      </c>
      <c r="U309" s="251">
        <f t="shared" si="117"/>
        <v>-1.5018212595245946</v>
      </c>
      <c r="V309" s="383">
        <f t="shared" si="118"/>
        <v>39.411270591095679</v>
      </c>
      <c r="W309" s="58"/>
      <c r="X309" s="157">
        <f t="shared" si="119"/>
        <v>43395</v>
      </c>
      <c r="Y309" s="385">
        <f t="shared" si="120"/>
        <v>23.86</v>
      </c>
      <c r="Z309" s="385">
        <f t="shared" si="121"/>
        <v>23.939567721647283</v>
      </c>
      <c r="AA309" s="386">
        <f t="shared" si="122"/>
        <v>24.395574280676605</v>
      </c>
      <c r="AB309" s="197">
        <f t="shared" si="123"/>
        <v>43395</v>
      </c>
      <c r="AC309" s="425">
        <f t="shared" si="124"/>
        <v>1.8692183827396951E-2</v>
      </c>
      <c r="AD309" s="169">
        <f>(INDEX(Models!$BJ309:$BT309,,AH309)*(1-AF309)+INDEX(Models!$BJ309:$BT309,,AH309+1)*AF309-ERP_i)*AE309*Ramure*Pc/MaxiM</f>
        <v>2.2458191146756338E-4</v>
      </c>
      <c r="AE309" s="305">
        <f t="shared" si="125"/>
        <v>0.7</v>
      </c>
      <c r="AF309" s="177">
        <f t="shared" si="126"/>
        <v>0.49817874047540545</v>
      </c>
      <c r="AG309" s="919">
        <f t="shared" si="127"/>
        <v>-2</v>
      </c>
      <c r="AH309" s="176">
        <f t="shared" si="128"/>
        <v>4</v>
      </c>
      <c r="AI309" s="225">
        <f t="shared" si="129"/>
        <v>-1.5018212595245946</v>
      </c>
      <c r="AJ309" s="265" t="b">
        <f t="shared" si="130"/>
        <v>0</v>
      </c>
      <c r="AK309" s="265" t="b">
        <f t="shared" si="131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33"/>
        <v>43396</v>
      </c>
      <c r="B310" s="618">
        <v>38.948</v>
      </c>
      <c r="C310" s="390"/>
      <c r="D310" s="393">
        <f t="shared" si="109"/>
        <v>39.078738725287891</v>
      </c>
      <c r="E310" s="385">
        <f t="shared" si="135"/>
        <v>39.827269908362396</v>
      </c>
      <c r="F310" s="385">
        <f t="shared" si="134"/>
        <v>39.836073518385142</v>
      </c>
      <c r="G310" s="110">
        <f t="shared" si="136"/>
        <v>0.99550403542653865</v>
      </c>
      <c r="I310" s="380">
        <f t="shared" si="110"/>
        <v>39.836073518385142</v>
      </c>
      <c r="J310" s="85">
        <v>2018</v>
      </c>
      <c r="K310" s="197">
        <f t="shared" si="111"/>
        <v>43396</v>
      </c>
      <c r="L310" s="436">
        <f t="shared" si="112"/>
        <v>3.3455205964282309E-3</v>
      </c>
      <c r="M310" s="968"/>
      <c r="N310" s="968"/>
      <c r="O310" s="324">
        <f t="shared" si="113"/>
        <v>1.8794438704856746E-2</v>
      </c>
      <c r="P310" s="169">
        <f>(INDEX(Models!$BJ310:$BT310,,T310)*(1-R310)+INDEX(Models!$BJ310:$BT310,,T310+1)*R310-ERP_i)*Q310*Ramure*Pc/MaxiM</f>
        <v>2.2242406256468467E-4</v>
      </c>
      <c r="Q310" s="305">
        <f t="shared" si="114"/>
        <v>0.7</v>
      </c>
      <c r="R310" s="177">
        <f t="shared" si="115"/>
        <v>0.49825994515722716</v>
      </c>
      <c r="S310" s="919">
        <f t="shared" si="132"/>
        <v>-2</v>
      </c>
      <c r="T310" s="176">
        <f t="shared" si="116"/>
        <v>4</v>
      </c>
      <c r="U310" s="251">
        <f t="shared" si="117"/>
        <v>-1.5017400548427728</v>
      </c>
      <c r="V310" s="383">
        <f t="shared" si="118"/>
        <v>39.123843780321714</v>
      </c>
      <c r="W310" s="58"/>
      <c r="X310" s="157">
        <f t="shared" si="119"/>
        <v>43396</v>
      </c>
      <c r="Y310" s="385">
        <f t="shared" si="120"/>
        <v>38.948</v>
      </c>
      <c r="Z310" s="385">
        <f t="shared" si="121"/>
        <v>39.078738725287891</v>
      </c>
      <c r="AA310" s="386">
        <f t="shared" si="122"/>
        <v>39.827269908362396</v>
      </c>
      <c r="AB310" s="197">
        <f t="shared" si="123"/>
        <v>43396</v>
      </c>
      <c r="AC310" s="425">
        <f t="shared" si="124"/>
        <v>1.8794438704856746E-2</v>
      </c>
      <c r="AD310" s="169">
        <f>(INDEX(Models!$BJ310:$BT310,,AH310)*(1-AF310)+INDEX(Models!$BJ310:$BT310,,AH310+1)*AF310-ERP_i)*AE310*Ramure*Pc/MaxiM</f>
        <v>2.2242406256468467E-4</v>
      </c>
      <c r="AE310" s="305">
        <f t="shared" si="125"/>
        <v>0.7</v>
      </c>
      <c r="AF310" s="177">
        <f t="shared" si="126"/>
        <v>0.49825994515722716</v>
      </c>
      <c r="AG310" s="919">
        <f t="shared" si="127"/>
        <v>-2</v>
      </c>
      <c r="AH310" s="176">
        <f t="shared" si="128"/>
        <v>4</v>
      </c>
      <c r="AI310" s="225">
        <f t="shared" si="129"/>
        <v>-1.5017400548427728</v>
      </c>
      <c r="AJ310" s="265" t="b">
        <f t="shared" si="130"/>
        <v>0</v>
      </c>
      <c r="AK310" s="265" t="b">
        <f t="shared" si="131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33"/>
        <v>43397</v>
      </c>
      <c r="B311" s="618">
        <v>35.939</v>
      </c>
      <c r="C311" s="390"/>
      <c r="D311" s="393">
        <f t="shared" si="109"/>
        <v>36.060428078428536</v>
      </c>
      <c r="E311" s="385">
        <f t="shared" si="135"/>
        <v>36.754959970594889</v>
      </c>
      <c r="F311" s="385">
        <f t="shared" si="134"/>
        <v>36.762198666415699</v>
      </c>
      <c r="G311" s="110">
        <f t="shared" si="136"/>
        <v>0.92543753677702678</v>
      </c>
      <c r="I311" s="380">
        <f t="shared" si="110"/>
        <v>36.762198666415699</v>
      </c>
      <c r="J311" s="85">
        <v>2018</v>
      </c>
      <c r="K311" s="197">
        <f t="shared" si="111"/>
        <v>43397</v>
      </c>
      <c r="L311" s="436">
        <f t="shared" si="112"/>
        <v>3.3673498873735275E-3</v>
      </c>
      <c r="M311" s="968"/>
      <c r="N311" s="968"/>
      <c r="O311" s="324">
        <f t="shared" si="113"/>
        <v>1.889627665822529E-2</v>
      </c>
      <c r="P311" s="169">
        <f>(INDEX(Models!$BJ311:$BT311,,T311)*(1-R311)+INDEX(Models!$BJ311:$BT311,,T311+1)*R311-ERP_i)*Q311*Ramure*Pc/MaxiM</f>
        <v>2.2037273620735694E-4</v>
      </c>
      <c r="Q311" s="305">
        <f t="shared" si="114"/>
        <v>0.7</v>
      </c>
      <c r="R311" s="177">
        <f t="shared" si="115"/>
        <v>0.49833790516961995</v>
      </c>
      <c r="S311" s="919">
        <f t="shared" si="132"/>
        <v>-2</v>
      </c>
      <c r="T311" s="176">
        <f t="shared" si="116"/>
        <v>4</v>
      </c>
      <c r="U311" s="251">
        <f t="shared" si="117"/>
        <v>-1.50166209483038</v>
      </c>
      <c r="V311" s="383">
        <f t="shared" si="118"/>
        <v>38.833692208333339</v>
      </c>
      <c r="W311" s="58"/>
      <c r="X311" s="157">
        <f t="shared" si="119"/>
        <v>43397</v>
      </c>
      <c r="Y311" s="385">
        <f t="shared" si="120"/>
        <v>35.939</v>
      </c>
      <c r="Z311" s="385">
        <f t="shared" si="121"/>
        <v>36.060428078428536</v>
      </c>
      <c r="AA311" s="386">
        <f t="shared" si="122"/>
        <v>36.754959970594889</v>
      </c>
      <c r="AB311" s="197">
        <f t="shared" si="123"/>
        <v>43397</v>
      </c>
      <c r="AC311" s="425">
        <f t="shared" si="124"/>
        <v>1.889627665822529E-2</v>
      </c>
      <c r="AD311" s="169">
        <f>(INDEX(Models!$BJ311:$BT311,,AH311)*(1-AF311)+INDEX(Models!$BJ311:$BT311,,AH311+1)*AF311-ERP_i)*AE311*Ramure*Pc/MaxiM</f>
        <v>2.2037273620735694E-4</v>
      </c>
      <c r="AE311" s="305">
        <f t="shared" si="125"/>
        <v>0.7</v>
      </c>
      <c r="AF311" s="177">
        <f t="shared" si="126"/>
        <v>0.49833790516961995</v>
      </c>
      <c r="AG311" s="919">
        <f t="shared" si="127"/>
        <v>-2</v>
      </c>
      <c r="AH311" s="176">
        <f t="shared" si="128"/>
        <v>4</v>
      </c>
      <c r="AI311" s="225">
        <f t="shared" si="129"/>
        <v>-1.50166209483038</v>
      </c>
      <c r="AJ311" s="265" t="b">
        <f t="shared" si="130"/>
        <v>0</v>
      </c>
      <c r="AK311" s="265" t="b">
        <f t="shared" si="131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33"/>
        <v>43398</v>
      </c>
      <c r="B312" s="618">
        <v>38.493000000000002</v>
      </c>
      <c r="C312" s="390"/>
      <c r="D312" s="393">
        <f t="shared" si="109"/>
        <v>38.623903310418306</v>
      </c>
      <c r="E312" s="385">
        <f t="shared" si="135"/>
        <v>39.371878834621995</v>
      </c>
      <c r="F312" s="385">
        <f t="shared" si="134"/>
        <v>39.380465592356508</v>
      </c>
      <c r="G312" s="110">
        <f t="shared" si="136"/>
        <v>0.99876168323739611</v>
      </c>
      <c r="I312" s="380">
        <f t="shared" si="110"/>
        <v>39.380465592356508</v>
      </c>
      <c r="J312" s="85">
        <v>2018</v>
      </c>
      <c r="K312" s="197">
        <f t="shared" si="111"/>
        <v>43398</v>
      </c>
      <c r="L312" s="436">
        <f t="shared" si="112"/>
        <v>3.3891787002012785E-3</v>
      </c>
      <c r="M312" s="968"/>
      <c r="N312" s="968"/>
      <c r="O312" s="324">
        <f t="shared" si="113"/>
        <v>1.8997709693903301E-2</v>
      </c>
      <c r="P312" s="169">
        <f>(INDEX(Models!$BJ312:$BT312,,T312)*(1-R312)+INDEX(Models!$BJ312:$BT312,,T312+1)*R312-ERP_i)*Q312*Ramure*Pc/MaxiM</f>
        <v>2.184324119604322E-4</v>
      </c>
      <c r="Q312" s="305">
        <f t="shared" si="114"/>
        <v>0.7</v>
      </c>
      <c r="R312" s="177">
        <f t="shared" si="115"/>
        <v>0.49841274920102818</v>
      </c>
      <c r="S312" s="919">
        <f t="shared" si="132"/>
        <v>-2</v>
      </c>
      <c r="T312" s="176">
        <f t="shared" si="116"/>
        <v>4</v>
      </c>
      <c r="U312" s="251">
        <f t="shared" si="117"/>
        <v>-1.5015872507989718</v>
      </c>
      <c r="V312" s="383">
        <f t="shared" si="118"/>
        <v>38.540710735375022</v>
      </c>
      <c r="W312" s="58"/>
      <c r="X312" s="157">
        <f t="shared" si="119"/>
        <v>43398</v>
      </c>
      <c r="Y312" s="385">
        <f t="shared" si="120"/>
        <v>38.493000000000002</v>
      </c>
      <c r="Z312" s="385">
        <f t="shared" si="121"/>
        <v>38.623903310418306</v>
      </c>
      <c r="AA312" s="386">
        <f t="shared" si="122"/>
        <v>39.371878834621995</v>
      </c>
      <c r="AB312" s="197">
        <f t="shared" si="123"/>
        <v>43398</v>
      </c>
      <c r="AC312" s="425">
        <f t="shared" si="124"/>
        <v>1.8997709693903301E-2</v>
      </c>
      <c r="AD312" s="169">
        <f>(INDEX(Models!$BJ312:$BT312,,AH312)*(1-AF312)+INDEX(Models!$BJ312:$BT312,,AH312+1)*AF312-ERP_i)*AE312*Ramure*Pc/MaxiM</f>
        <v>2.184324119604322E-4</v>
      </c>
      <c r="AE312" s="305">
        <f t="shared" si="125"/>
        <v>0.7</v>
      </c>
      <c r="AF312" s="177">
        <f t="shared" si="126"/>
        <v>0.49841274920102818</v>
      </c>
      <c r="AG312" s="919">
        <f t="shared" si="127"/>
        <v>-2</v>
      </c>
      <c r="AH312" s="176">
        <f t="shared" si="128"/>
        <v>4</v>
      </c>
      <c r="AI312" s="225">
        <f t="shared" si="129"/>
        <v>-1.5015872507989718</v>
      </c>
      <c r="AJ312" s="265" t="b">
        <f t="shared" si="130"/>
        <v>0</v>
      </c>
      <c r="AK312" s="265" t="b">
        <f t="shared" si="131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33"/>
        <v>43399</v>
      </c>
      <c r="B313" s="618">
        <v>4.4669999999999996</v>
      </c>
      <c r="C313" s="390"/>
      <c r="D313" s="393">
        <f t="shared" si="109"/>
        <v>4.4822891197199182</v>
      </c>
      <c r="E313" s="385">
        <f t="shared" si="135"/>
        <v>4.5695620472953111</v>
      </c>
      <c r="F313" s="385">
        <f t="shared" si="134"/>
        <v>4.5695620472953111</v>
      </c>
      <c r="G313" s="110">
        <f t="shared" si="136"/>
        <v>0.11677491022829266</v>
      </c>
      <c r="I313" s="380">
        <f t="shared" si="110"/>
        <v>4.5695620472953111</v>
      </c>
      <c r="J313" s="85">
        <v>2018</v>
      </c>
      <c r="K313" s="197">
        <f t="shared" si="111"/>
        <v>43399</v>
      </c>
      <c r="L313" s="436">
        <f t="shared" si="112"/>
        <v>3.4110070349219201E-3</v>
      </c>
      <c r="M313" s="968"/>
      <c r="N313" s="968"/>
      <c r="O313" s="324">
        <f t="shared" si="113"/>
        <v>1.9098750968279048E-2</v>
      </c>
      <c r="P313" s="169">
        <f>(INDEX(Models!$BJ313:$BT313,,T313)*(1-R313)+INDEX(Models!$BJ313:$BT313,,T313+1)*R313-ERP_i)*Q313*Ramure*Pc/MaxiM</f>
        <v>2.166057914054514E-4</v>
      </c>
      <c r="Q313" s="305">
        <f t="shared" si="114"/>
        <v>0.7</v>
      </c>
      <c r="R313" s="177">
        <f t="shared" si="115"/>
        <v>0.49848460091125757</v>
      </c>
      <c r="S313" s="919">
        <f t="shared" si="132"/>
        <v>-2</v>
      </c>
      <c r="T313" s="176">
        <f t="shared" si="116"/>
        <v>4</v>
      </c>
      <c r="U313" s="251">
        <f t="shared" si="117"/>
        <v>-1.5015153990887424</v>
      </c>
      <c r="V313" s="383">
        <f t="shared" si="118"/>
        <v>38.244794307259887</v>
      </c>
      <c r="W313" s="58"/>
      <c r="X313" s="157">
        <f t="shared" si="119"/>
        <v>43399</v>
      </c>
      <c r="Y313" s="385">
        <f t="shared" si="120"/>
        <v>4.4669999999999996</v>
      </c>
      <c r="Z313" s="385">
        <f t="shared" si="121"/>
        <v>4.4822891197199182</v>
      </c>
      <c r="AA313" s="386">
        <f t="shared" si="122"/>
        <v>4.5695620472953111</v>
      </c>
      <c r="AB313" s="197">
        <f t="shared" si="123"/>
        <v>43399</v>
      </c>
      <c r="AC313" s="425">
        <f t="shared" si="124"/>
        <v>1.9098750968279048E-2</v>
      </c>
      <c r="AD313" s="169">
        <f>(INDEX(Models!$BJ313:$BT313,,AH313)*(1-AF313)+INDEX(Models!$BJ313:$BT313,,AH313+1)*AF313-ERP_i)*AE313*Ramure*Pc/MaxiM</f>
        <v>2.166057914054514E-4</v>
      </c>
      <c r="AE313" s="305">
        <f t="shared" si="125"/>
        <v>0.7</v>
      </c>
      <c r="AF313" s="177">
        <f t="shared" si="126"/>
        <v>0.49848460091125757</v>
      </c>
      <c r="AG313" s="919">
        <f t="shared" si="127"/>
        <v>-2</v>
      </c>
      <c r="AH313" s="176">
        <f t="shared" si="128"/>
        <v>4</v>
      </c>
      <c r="AI313" s="225">
        <f t="shared" si="129"/>
        <v>-1.5015153990887424</v>
      </c>
      <c r="AJ313" s="265" t="b">
        <f t="shared" si="130"/>
        <v>0</v>
      </c>
      <c r="AK313" s="265" t="b">
        <f t="shared" si="131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33"/>
        <v>43400</v>
      </c>
      <c r="B314" s="618">
        <v>8.51</v>
      </c>
      <c r="C314" s="390"/>
      <c r="D314" s="393">
        <f t="shared" si="109"/>
        <v>8.5393140552386928</v>
      </c>
      <c r="E314" s="385">
        <f t="shared" si="135"/>
        <v>8.7064732461664196</v>
      </c>
      <c r="F314" s="385">
        <f t="shared" si="134"/>
        <v>8.7064732461664196</v>
      </c>
      <c r="G314" s="110">
        <f>+Wh_hp/MaxiM</f>
        <v>0.22421882637526563</v>
      </c>
      <c r="I314" s="380">
        <f t="shared" si="110"/>
        <v>8.7064732461664196</v>
      </c>
      <c r="J314" s="85">
        <v>2018</v>
      </c>
      <c r="K314" s="197">
        <f t="shared" si="111"/>
        <v>43400</v>
      </c>
      <c r="L314" s="436">
        <f t="shared" si="112"/>
        <v>3.4328348915461104E-3</v>
      </c>
      <c r="M314" s="968"/>
      <c r="N314" s="968"/>
      <c r="O314" s="324">
        <f t="shared" si="113"/>
        <v>1.9199414757442707E-2</v>
      </c>
      <c r="P314" s="169">
        <f>(INDEX(Models!$BJ314:$BT314,,T314)*(1-R314)+INDEX(Models!$BJ314:$BT314,,T314+1)*R314-ERP_i)*Q314*Ramure*Pc/MaxiM</f>
        <v>2.1489566292556036E-4</v>
      </c>
      <c r="Q314" s="305">
        <f t="shared" si="114"/>
        <v>0.7</v>
      </c>
      <c r="R314" s="177">
        <f t="shared" si="115"/>
        <v>0.49855357912203502</v>
      </c>
      <c r="S314" s="919">
        <f t="shared" si="132"/>
        <v>-2</v>
      </c>
      <c r="T314" s="176">
        <f t="shared" si="116"/>
        <v>4</v>
      </c>
      <c r="U314" s="251">
        <f t="shared" si="117"/>
        <v>-1.501446420877965</v>
      </c>
      <c r="V314" s="383">
        <f t="shared" si="118"/>
        <v>37.945837891724281</v>
      </c>
      <c r="W314" s="58"/>
      <c r="X314" s="157">
        <f t="shared" si="119"/>
        <v>43400</v>
      </c>
      <c r="Y314" s="385">
        <f t="shared" si="120"/>
        <v>8.51</v>
      </c>
      <c r="Z314" s="385">
        <f t="shared" si="121"/>
        <v>8.5393140552386928</v>
      </c>
      <c r="AA314" s="386">
        <f t="shared" si="122"/>
        <v>8.7064732461664196</v>
      </c>
      <c r="AB314" s="197">
        <f t="shared" si="123"/>
        <v>43400</v>
      </c>
      <c r="AC314" s="425">
        <f t="shared" si="124"/>
        <v>1.9199414757442707E-2</v>
      </c>
      <c r="AD314" s="169">
        <f>(INDEX(Models!$BJ314:$BT314,,AH314)*(1-AF314)+INDEX(Models!$BJ314:$BT314,,AH314+1)*AF314-ERP_i)*AE314*Ramure*Pc/MaxiM</f>
        <v>2.1489566292556036E-4</v>
      </c>
      <c r="AE314" s="305">
        <f t="shared" si="125"/>
        <v>0.7</v>
      </c>
      <c r="AF314" s="177">
        <f t="shared" si="126"/>
        <v>0.49855357912203502</v>
      </c>
      <c r="AG314" s="919">
        <f t="shared" si="127"/>
        <v>-2</v>
      </c>
      <c r="AH314" s="176">
        <f t="shared" si="128"/>
        <v>4</v>
      </c>
      <c r="AI314" s="225">
        <f t="shared" si="129"/>
        <v>-1.501446420877965</v>
      </c>
      <c r="AJ314" s="265" t="b">
        <f t="shared" si="130"/>
        <v>0</v>
      </c>
      <c r="AK314" s="265" t="b">
        <f t="shared" si="131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33"/>
        <v>43401</v>
      </c>
      <c r="B315" s="618">
        <v>3.6749999999999998</v>
      </c>
      <c r="C315" s="390"/>
      <c r="D315" s="393">
        <f t="shared" si="109"/>
        <v>3.6877398958801813</v>
      </c>
      <c r="E315" s="385">
        <f t="shared" si="135"/>
        <v>3.7603128678779698</v>
      </c>
      <c r="F315" s="385">
        <f t="shared" si="134"/>
        <v>3.7603128678779698</v>
      </c>
      <c r="G315" s="110">
        <f t="shared" si="136"/>
        <v>9.7604978898193126E-2</v>
      </c>
      <c r="I315" s="380">
        <f t="shared" si="110"/>
        <v>3.7603128678779698</v>
      </c>
      <c r="J315" s="85">
        <v>2018</v>
      </c>
      <c r="K315" s="197">
        <f t="shared" si="111"/>
        <v>43401</v>
      </c>
      <c r="L315" s="436">
        <f t="shared" si="112"/>
        <v>3.4546622700841745E-3</v>
      </c>
      <c r="M315" s="968"/>
      <c r="N315" s="968"/>
      <c r="O315" s="324">
        <f t="shared" si="113"/>
        <v>1.9299716419273201E-2</v>
      </c>
      <c r="P315" s="169">
        <f>(INDEX(Models!$BJ315:$BT315,,T315)*(1-R315)+INDEX(Models!$BJ315:$BT315,,T315+1)*R315-ERP_i)*Q315*Ramure*Pc/MaxiM</f>
        <v>2.133049090017709E-4</v>
      </c>
      <c r="Q315" s="305">
        <f t="shared" si="114"/>
        <v>0.7</v>
      </c>
      <c r="R315" s="177">
        <f t="shared" si="115"/>
        <v>0.49861979800081713</v>
      </c>
      <c r="S315" s="919">
        <f t="shared" si="132"/>
        <v>-2</v>
      </c>
      <c r="T315" s="176">
        <f t="shared" si="116"/>
        <v>4</v>
      </c>
      <c r="U315" s="251">
        <f t="shared" si="117"/>
        <v>-1.5013802019991829</v>
      </c>
      <c r="V315" s="383">
        <f t="shared" si="118"/>
        <v>37.643736476720207</v>
      </c>
      <c r="W315" s="58"/>
      <c r="X315" s="157">
        <f t="shared" si="119"/>
        <v>43401</v>
      </c>
      <c r="Y315" s="385">
        <f t="shared" si="120"/>
        <v>3.6749999999999998</v>
      </c>
      <c r="Z315" s="385">
        <f t="shared" si="121"/>
        <v>3.6877398958801813</v>
      </c>
      <c r="AA315" s="386">
        <f t="shared" si="122"/>
        <v>3.7603128678779698</v>
      </c>
      <c r="AB315" s="197">
        <f t="shared" si="123"/>
        <v>43401</v>
      </c>
      <c r="AC315" s="425">
        <f t="shared" si="124"/>
        <v>1.9299716419273201E-2</v>
      </c>
      <c r="AD315" s="169">
        <f>(INDEX(Models!$BJ315:$BT315,,AH315)*(1-AF315)+INDEX(Models!$BJ315:$BT315,,AH315+1)*AF315-ERP_i)*AE315*Ramure*Pc/MaxiM</f>
        <v>2.133049090017709E-4</v>
      </c>
      <c r="AE315" s="305">
        <f t="shared" si="125"/>
        <v>0.7</v>
      </c>
      <c r="AF315" s="177">
        <f t="shared" si="126"/>
        <v>0.49861979800081713</v>
      </c>
      <c r="AG315" s="919">
        <f t="shared" si="127"/>
        <v>-2</v>
      </c>
      <c r="AH315" s="176">
        <f t="shared" si="128"/>
        <v>4</v>
      </c>
      <c r="AI315" s="225">
        <f t="shared" si="129"/>
        <v>-1.5013802019991829</v>
      </c>
      <c r="AJ315" s="265" t="b">
        <f t="shared" si="130"/>
        <v>0</v>
      </c>
      <c r="AK315" s="265" t="b">
        <f t="shared" si="131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33"/>
        <v>43402</v>
      </c>
      <c r="B316" s="618">
        <v>4.617</v>
      </c>
      <c r="C316" s="390"/>
      <c r="D316" s="393">
        <f t="shared" si="109"/>
        <v>4.6331069461241849</v>
      </c>
      <c r="E316" s="385">
        <f t="shared" si="135"/>
        <v>4.7247658556446801</v>
      </c>
      <c r="F316" s="385">
        <f t="shared" si="134"/>
        <v>4.7247658556446801</v>
      </c>
      <c r="G316" s="110">
        <f t="shared" si="136"/>
        <v>0.12362671662008812</v>
      </c>
      <c r="I316" s="380">
        <f t="shared" si="110"/>
        <v>4.7247658556446801</v>
      </c>
      <c r="J316" s="85">
        <v>2018</v>
      </c>
      <c r="K316" s="197">
        <f t="shared" si="111"/>
        <v>43402</v>
      </c>
      <c r="L316" s="436">
        <f t="shared" si="112"/>
        <v>3.4764891705466594E-3</v>
      </c>
      <c r="M316" s="968"/>
      <c r="N316" s="968"/>
      <c r="O316" s="324">
        <f t="shared" si="113"/>
        <v>1.939967234799363E-2</v>
      </c>
      <c r="P316" s="169">
        <f>(INDEX(Models!$BJ316:$BT316,,T316)*(1-R316)+INDEX(Models!$BJ316:$BT316,,T316+1)*R316-ERP_i)*Q316*Ramure*Pc/MaxiM</f>
        <v>2.1183651448228481E-4</v>
      </c>
      <c r="Q316" s="305">
        <f t="shared" si="114"/>
        <v>0.7</v>
      </c>
      <c r="R316" s="177">
        <f t="shared" si="115"/>
        <v>0.49868336723805329</v>
      </c>
      <c r="S316" s="919">
        <f t="shared" si="132"/>
        <v>-2</v>
      </c>
      <c r="T316" s="176">
        <f t="shared" si="116"/>
        <v>4</v>
      </c>
      <c r="U316" s="251">
        <f t="shared" si="117"/>
        <v>-1.5013166327619467</v>
      </c>
      <c r="V316" s="383">
        <f t="shared" si="118"/>
        <v>37.338385075759405</v>
      </c>
      <c r="W316" s="58"/>
      <c r="X316" s="157">
        <f t="shared" si="119"/>
        <v>43402</v>
      </c>
      <c r="Y316" s="385">
        <f t="shared" si="120"/>
        <v>4.617</v>
      </c>
      <c r="Z316" s="385">
        <f t="shared" si="121"/>
        <v>4.6331069461241849</v>
      </c>
      <c r="AA316" s="386">
        <f t="shared" si="122"/>
        <v>4.7247658556446801</v>
      </c>
      <c r="AB316" s="197">
        <f t="shared" si="123"/>
        <v>43402</v>
      </c>
      <c r="AC316" s="425">
        <f t="shared" si="124"/>
        <v>1.939967234799363E-2</v>
      </c>
      <c r="AD316" s="169">
        <f>(INDEX(Models!$BJ316:$BT316,,AH316)*(1-AF316)+INDEX(Models!$BJ316:$BT316,,AH316+1)*AF316-ERP_i)*AE316*Ramure*Pc/MaxiM</f>
        <v>2.1183651448228481E-4</v>
      </c>
      <c r="AE316" s="305">
        <f t="shared" si="125"/>
        <v>0.7</v>
      </c>
      <c r="AF316" s="177">
        <f t="shared" si="126"/>
        <v>0.49868336723805329</v>
      </c>
      <c r="AG316" s="919">
        <f t="shared" si="127"/>
        <v>-2</v>
      </c>
      <c r="AH316" s="176">
        <f t="shared" si="128"/>
        <v>4</v>
      </c>
      <c r="AI316" s="225">
        <f t="shared" si="129"/>
        <v>-1.5013166327619467</v>
      </c>
      <c r="AJ316" s="265" t="b">
        <f t="shared" si="130"/>
        <v>0</v>
      </c>
      <c r="AK316" s="265" t="b">
        <f t="shared" si="131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33"/>
        <v>43403</v>
      </c>
      <c r="B317" s="618">
        <v>34.393999999999998</v>
      </c>
      <c r="C317" s="390"/>
      <c r="D317" s="393">
        <f t="shared" si="109"/>
        <v>34.514743465250945</v>
      </c>
      <c r="E317" s="385">
        <f t="shared" si="135"/>
        <v>35.201141072599562</v>
      </c>
      <c r="F317" s="385">
        <f t="shared" si="134"/>
        <v>35.207799824990232</v>
      </c>
      <c r="G317" s="110">
        <f t="shared" si="136"/>
        <v>0.92887613191889518</v>
      </c>
      <c r="I317" s="380">
        <f t="shared" si="110"/>
        <v>35.207799824990232</v>
      </c>
      <c r="J317" s="85">
        <v>2018</v>
      </c>
      <c r="K317" s="197">
        <f t="shared" si="111"/>
        <v>43403</v>
      </c>
      <c r="L317" s="436">
        <f t="shared" si="112"/>
        <v>3.4983155929440013E-3</v>
      </c>
      <c r="M317" s="968"/>
      <c r="N317" s="968"/>
      <c r="O317" s="324">
        <f t="shared" si="113"/>
        <v>1.949929992135695E-2</v>
      </c>
      <c r="P317" s="169">
        <f>(INDEX(Models!$BJ317:$BT317,,T317)*(1-R317)+INDEX(Models!$BJ317:$BT317,,T317+1)*R317-ERP_i)*Q317*Ramure*Pc/MaxiM</f>
        <v>2.1051022143217998E-4</v>
      </c>
      <c r="Q317" s="305">
        <f t="shared" si="114"/>
        <v>0.7</v>
      </c>
      <c r="R317" s="177">
        <f t="shared" si="115"/>
        <v>0.49874439221809586</v>
      </c>
      <c r="S317" s="919">
        <f t="shared" si="132"/>
        <v>-2</v>
      </c>
      <c r="T317" s="176">
        <f t="shared" si="116"/>
        <v>4</v>
      </c>
      <c r="U317" s="251">
        <f t="shared" si="117"/>
        <v>-1.5012556077819041</v>
      </c>
      <c r="V317" s="383">
        <f t="shared" si="118"/>
        <v>37.026750102823009</v>
      </c>
      <c r="W317" s="58"/>
      <c r="X317" s="157">
        <f t="shared" si="119"/>
        <v>43403</v>
      </c>
      <c r="Y317" s="385">
        <f t="shared" si="120"/>
        <v>34.393999999999998</v>
      </c>
      <c r="Z317" s="385">
        <f t="shared" si="121"/>
        <v>34.514743465250945</v>
      </c>
      <c r="AA317" s="386">
        <f t="shared" si="122"/>
        <v>35.201141072599562</v>
      </c>
      <c r="AB317" s="197">
        <f t="shared" si="123"/>
        <v>43403</v>
      </c>
      <c r="AC317" s="425">
        <f t="shared" si="124"/>
        <v>1.949929992135695E-2</v>
      </c>
      <c r="AD317" s="169">
        <f>(INDEX(Models!$BJ317:$BT317,,AH317)*(1-AF317)+INDEX(Models!$BJ317:$BT317,,AH317+1)*AF317-ERP_i)*AE317*Ramure*Pc/MaxiM</f>
        <v>2.1051022143217998E-4</v>
      </c>
      <c r="AE317" s="305">
        <f t="shared" si="125"/>
        <v>0.7</v>
      </c>
      <c r="AF317" s="177">
        <f t="shared" si="126"/>
        <v>0.49874439221809586</v>
      </c>
      <c r="AG317" s="919">
        <f t="shared" si="127"/>
        <v>-2</v>
      </c>
      <c r="AH317" s="176">
        <f t="shared" si="128"/>
        <v>4</v>
      </c>
      <c r="AI317" s="225">
        <f t="shared" si="129"/>
        <v>-1.5012556077819041</v>
      </c>
      <c r="AJ317" s="265" t="b">
        <f t="shared" si="130"/>
        <v>0</v>
      </c>
      <c r="AK317" s="265" t="b">
        <f t="shared" si="131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33"/>
        <v>43404</v>
      </c>
      <c r="B318" s="618">
        <v>7.6029999999999998</v>
      </c>
      <c r="C318" s="390"/>
      <c r="D318" s="393">
        <f t="shared" si="109"/>
        <v>7.629858180705507</v>
      </c>
      <c r="E318" s="385">
        <f t="shared" si="135"/>
        <v>7.78238211046577</v>
      </c>
      <c r="F318" s="385">
        <f t="shared" si="134"/>
        <v>7.78238211046577</v>
      </c>
      <c r="G318" s="110">
        <f t="shared" si="136"/>
        <v>0.2070841838172805</v>
      </c>
      <c r="I318" s="380">
        <f t="shared" si="110"/>
        <v>7.78238211046577</v>
      </c>
      <c r="J318" s="85">
        <v>2018</v>
      </c>
      <c r="K318" s="197">
        <f t="shared" si="111"/>
        <v>43404</v>
      </c>
      <c r="L318" s="436">
        <f t="shared" si="112"/>
        <v>3.5201415372866363E-3</v>
      </c>
      <c r="M318" s="968"/>
      <c r="N318" s="968"/>
      <c r="O318" s="324">
        <f t="shared" si="113"/>
        <v>1.9598617440686673E-2</v>
      </c>
      <c r="P318" s="169">
        <f>(INDEX(Models!$BJ318:$BT318,,T318)*(1-R318)+INDEX(Models!$BJ318:$BT318,,T318+1)*R318-ERP_i)*Q318*Ramure*Pc/MaxiM</f>
        <v>2.0940217465289344E-4</v>
      </c>
      <c r="Q318" s="305">
        <f t="shared" si="114"/>
        <v>0.7</v>
      </c>
      <c r="R318" s="177">
        <f t="shared" si="115"/>
        <v>0.4988029741839568</v>
      </c>
      <c r="S318" s="919">
        <f t="shared" si="132"/>
        <v>-2</v>
      </c>
      <c r="T318" s="176">
        <f t="shared" si="116"/>
        <v>4</v>
      </c>
      <c r="U318" s="251">
        <f t="shared" si="117"/>
        <v>-1.5011970258160432</v>
      </c>
      <c r="V318" s="383">
        <f t="shared" si="118"/>
        <v>36.706849239501416</v>
      </c>
      <c r="W318" s="58"/>
      <c r="X318" s="157">
        <f t="shared" si="119"/>
        <v>43404</v>
      </c>
      <c r="Y318" s="385">
        <f t="shared" si="120"/>
        <v>7.6029999999999998</v>
      </c>
      <c r="Z318" s="385">
        <f t="shared" si="121"/>
        <v>7.629858180705507</v>
      </c>
      <c r="AA318" s="386">
        <f t="shared" si="122"/>
        <v>7.78238211046577</v>
      </c>
      <c r="AB318" s="197">
        <f t="shared" si="123"/>
        <v>43404</v>
      </c>
      <c r="AC318" s="425">
        <f t="shared" si="124"/>
        <v>1.9598617440686673E-2</v>
      </c>
      <c r="AD318" s="169">
        <f>(INDEX(Models!$BJ318:$BT318,,AH318)*(1-AF318)+INDEX(Models!$BJ318:$BT318,,AH318+1)*AF318-ERP_i)*AE318*Ramure*Pc/MaxiM</f>
        <v>2.0940217465289344E-4</v>
      </c>
      <c r="AE318" s="305">
        <f t="shared" si="125"/>
        <v>0.7</v>
      </c>
      <c r="AF318" s="177">
        <f t="shared" si="126"/>
        <v>0.4988029741839568</v>
      </c>
      <c r="AG318" s="919">
        <f t="shared" si="127"/>
        <v>-2</v>
      </c>
      <c r="AH318" s="176">
        <f t="shared" si="128"/>
        <v>4</v>
      </c>
      <c r="AI318" s="225">
        <f t="shared" si="129"/>
        <v>-1.5011970258160432</v>
      </c>
      <c r="AJ318" s="265" t="b">
        <f t="shared" si="130"/>
        <v>0</v>
      </c>
      <c r="AK318" s="265" t="b">
        <f t="shared" si="131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33"/>
        <v>43405</v>
      </c>
      <c r="B319" s="618">
        <v>24.800999999999998</v>
      </c>
      <c r="C319" s="390"/>
      <c r="D319" s="393">
        <f t="shared" si="109"/>
        <v>24.889156571322687</v>
      </c>
      <c r="E319" s="385">
        <f t="shared" si="135"/>
        <v>25.389265281893476</v>
      </c>
      <c r="F319" s="385">
        <f t="shared" si="134"/>
        <v>25.392151416441983</v>
      </c>
      <c r="G319" s="110">
        <f t="shared" si="136"/>
        <v>0.6816531126440849</v>
      </c>
      <c r="I319" s="380">
        <f t="shared" si="110"/>
        <v>25.392151416441983</v>
      </c>
      <c r="J319" s="85">
        <v>2018</v>
      </c>
      <c r="K319" s="197">
        <f t="shared" si="111"/>
        <v>43405</v>
      </c>
      <c r="L319" s="436">
        <f t="shared" si="112"/>
        <v>3.5419670035851114E-3</v>
      </c>
      <c r="M319" s="968"/>
      <c r="N319" s="968"/>
      <c r="O319" s="324">
        <f t="shared" si="113"/>
        <v>1.9697644064062197E-2</v>
      </c>
      <c r="P319" s="169">
        <f>(INDEX(Models!$BJ319:$BT319,,T319)*(1-R319)+INDEX(Models!$BJ319:$BT319,,T319+1)*R319-ERP_i)*Q319*Ramure*Pc/MaxiM</f>
        <v>2.0843602546252163E-4</v>
      </c>
      <c r="Q319" s="305">
        <f t="shared" si="114"/>
        <v>0.7</v>
      </c>
      <c r="R319" s="177">
        <f t="shared" si="115"/>
        <v>0.49885921039609848</v>
      </c>
      <c r="S319" s="919">
        <f t="shared" si="132"/>
        <v>-2</v>
      </c>
      <c r="T319" s="176">
        <f t="shared" si="116"/>
        <v>4</v>
      </c>
      <c r="U319" s="251">
        <f t="shared" si="117"/>
        <v>-1.5011407896039015</v>
      </c>
      <c r="V319" s="383">
        <f t="shared" si="118"/>
        <v>36.380159928514601</v>
      </c>
      <c r="W319" s="58"/>
      <c r="X319" s="157">
        <f t="shared" si="119"/>
        <v>43405</v>
      </c>
      <c r="Y319" s="385">
        <f t="shared" si="120"/>
        <v>24.800999999999998</v>
      </c>
      <c r="Z319" s="385">
        <f t="shared" si="121"/>
        <v>24.889156571322687</v>
      </c>
      <c r="AA319" s="386">
        <f t="shared" si="122"/>
        <v>25.389265281893476</v>
      </c>
      <c r="AB319" s="197">
        <f t="shared" si="123"/>
        <v>43405</v>
      </c>
      <c r="AC319" s="425">
        <f t="shared" si="124"/>
        <v>1.9697644064062197E-2</v>
      </c>
      <c r="AD319" s="169">
        <f>(INDEX(Models!$BJ319:$BT319,,AH319)*(1-AF319)+INDEX(Models!$BJ319:$BT319,,AH319+1)*AF319-ERP_i)*AE319*Ramure*Pc/MaxiM</f>
        <v>2.0843602546252163E-4</v>
      </c>
      <c r="AE319" s="305">
        <f t="shared" si="125"/>
        <v>0.7</v>
      </c>
      <c r="AF319" s="177">
        <f t="shared" si="126"/>
        <v>0.49885921039609848</v>
      </c>
      <c r="AG319" s="919">
        <f t="shared" si="127"/>
        <v>-2</v>
      </c>
      <c r="AH319" s="176">
        <f t="shared" si="128"/>
        <v>4</v>
      </c>
      <c r="AI319" s="225">
        <f t="shared" si="129"/>
        <v>-1.5011407896039015</v>
      </c>
      <c r="AJ319" s="265" t="b">
        <f t="shared" si="130"/>
        <v>0</v>
      </c>
      <c r="AK319" s="265" t="b">
        <f t="shared" si="131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33"/>
        <v>43406</v>
      </c>
      <c r="B320" s="618">
        <v>7.2080000000000002</v>
      </c>
      <c r="C320" s="390"/>
      <c r="D320" s="393">
        <f t="shared" si="109"/>
        <v>7.2337796861161872</v>
      </c>
      <c r="E320" s="385">
        <f t="shared" si="135"/>
        <v>7.3798746343573471</v>
      </c>
      <c r="F320" s="385">
        <f t="shared" si="134"/>
        <v>7.3798746343573471</v>
      </c>
      <c r="G320" s="110">
        <f t="shared" si="136"/>
        <v>0.19991323627544494</v>
      </c>
      <c r="I320" s="380">
        <f t="shared" si="110"/>
        <v>7.3798746343573471</v>
      </c>
      <c r="J320" s="85">
        <v>2018</v>
      </c>
      <c r="K320" s="197">
        <f t="shared" si="111"/>
        <v>43406</v>
      </c>
      <c r="L320" s="436">
        <f t="shared" si="112"/>
        <v>3.5637919918498628E-3</v>
      </c>
      <c r="M320" s="968"/>
      <c r="N320" s="968"/>
      <c r="O320" s="324">
        <f t="shared" si="113"/>
        <v>1.9796399732999306E-2</v>
      </c>
      <c r="P320" s="169">
        <f>(INDEX(Models!$BJ320:$BT320,,T320)*(1-R320)+INDEX(Models!$BJ320:$BT320,,T320+1)*R320-ERP_i)*Q320*Ramure*Pc/MaxiM</f>
        <v>2.0760654029450604E-4</v>
      </c>
      <c r="Q320" s="305">
        <f t="shared" si="114"/>
        <v>0.7</v>
      </c>
      <c r="R320" s="177">
        <f t="shared" si="115"/>
        <v>0.49891319428545255</v>
      </c>
      <c r="S320" s="919">
        <f t="shared" si="132"/>
        <v>-2</v>
      </c>
      <c r="T320" s="176">
        <f t="shared" si="116"/>
        <v>4</v>
      </c>
      <c r="U320" s="251">
        <f t="shared" si="117"/>
        <v>-1.5010868057145474</v>
      </c>
      <c r="V320" s="383">
        <f t="shared" si="118"/>
        <v>36.048156221773503</v>
      </c>
      <c r="W320" s="58"/>
      <c r="X320" s="157">
        <f t="shared" si="119"/>
        <v>43406</v>
      </c>
      <c r="Y320" s="385">
        <f t="shared" si="120"/>
        <v>7.2080000000000002</v>
      </c>
      <c r="Z320" s="385">
        <f t="shared" si="121"/>
        <v>7.2337796861161872</v>
      </c>
      <c r="AA320" s="386">
        <f t="shared" si="122"/>
        <v>7.3798746343573471</v>
      </c>
      <c r="AB320" s="197">
        <f t="shared" si="123"/>
        <v>43406</v>
      </c>
      <c r="AC320" s="425">
        <f t="shared" si="124"/>
        <v>1.9796399732999306E-2</v>
      </c>
      <c r="AD320" s="169">
        <f>(INDEX(Models!$BJ320:$BT320,,AH320)*(1-AF320)+INDEX(Models!$BJ320:$BT320,,AH320+1)*AF320-ERP_i)*AE320*Ramure*Pc/MaxiM</f>
        <v>2.0760654029450604E-4</v>
      </c>
      <c r="AE320" s="305">
        <f t="shared" si="125"/>
        <v>0.7</v>
      </c>
      <c r="AF320" s="177">
        <f t="shared" si="126"/>
        <v>0.49891319428545255</v>
      </c>
      <c r="AG320" s="919">
        <f t="shared" si="127"/>
        <v>-2</v>
      </c>
      <c r="AH320" s="176">
        <f t="shared" si="128"/>
        <v>4</v>
      </c>
      <c r="AI320" s="225">
        <f t="shared" si="129"/>
        <v>-1.5010868057145474</v>
      </c>
      <c r="AJ320" s="265" t="b">
        <f t="shared" si="130"/>
        <v>0</v>
      </c>
      <c r="AK320" s="265" t="b">
        <f t="shared" si="131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33"/>
        <v>43407</v>
      </c>
      <c r="B321" s="618">
        <v>30.452999999999999</v>
      </c>
      <c r="C321" s="390"/>
      <c r="D321" s="393">
        <f t="shared" si="109"/>
        <v>30.562585711674362</v>
      </c>
      <c r="E321" s="385">
        <f t="shared" si="135"/>
        <v>31.182967898534919</v>
      </c>
      <c r="F321" s="385">
        <f t="shared" si="134"/>
        <v>31.18806335046073</v>
      </c>
      <c r="G321" s="110">
        <f t="shared" si="136"/>
        <v>0.85269401305506587</v>
      </c>
      <c r="I321" s="380">
        <f t="shared" si="110"/>
        <v>31.18806335046073</v>
      </c>
      <c r="J321" s="85">
        <v>2018</v>
      </c>
      <c r="K321" s="197">
        <f t="shared" si="111"/>
        <v>43407</v>
      </c>
      <c r="L321" s="436">
        <f t="shared" si="112"/>
        <v>3.5856165020914377E-3</v>
      </c>
      <c r="M321" s="968"/>
      <c r="N321" s="968"/>
      <c r="O321" s="324">
        <f t="shared" si="113"/>
        <v>1.9894905093036458E-2</v>
      </c>
      <c r="P321" s="169">
        <f>(INDEX(Models!$BJ321:$BT321,,T321)*(1-R321)+INDEX(Models!$BJ321:$BT321,,T321+1)*R321-ERP_i)*Q321*Ramure*Pc/MaxiM</f>
        <v>2.0690853658791541E-4</v>
      </c>
      <c r="Q321" s="305">
        <f t="shared" si="114"/>
        <v>0.7</v>
      </c>
      <c r="R321" s="177">
        <f t="shared" si="115"/>
        <v>0.49896501560084583</v>
      </c>
      <c r="S321" s="919">
        <f t="shared" si="132"/>
        <v>-2</v>
      </c>
      <c r="T321" s="176">
        <f t="shared" si="116"/>
        <v>4</v>
      </c>
      <c r="U321" s="251">
        <f t="shared" si="117"/>
        <v>-1.5010349843991542</v>
      </c>
      <c r="V321" s="383">
        <f t="shared" si="118"/>
        <v>35.712311438851188</v>
      </c>
      <c r="W321" s="58"/>
      <c r="X321" s="157">
        <f t="shared" si="119"/>
        <v>43407</v>
      </c>
      <c r="Y321" s="385">
        <f t="shared" si="120"/>
        <v>30.452999999999999</v>
      </c>
      <c r="Z321" s="385">
        <f t="shared" si="121"/>
        <v>30.562585711674362</v>
      </c>
      <c r="AA321" s="386">
        <f t="shared" si="122"/>
        <v>31.182967898534919</v>
      </c>
      <c r="AB321" s="197">
        <f t="shared" si="123"/>
        <v>43407</v>
      </c>
      <c r="AC321" s="425">
        <f t="shared" si="124"/>
        <v>1.9894905093036458E-2</v>
      </c>
      <c r="AD321" s="169">
        <f>(INDEX(Models!$BJ321:$BT321,,AH321)*(1-AF321)+INDEX(Models!$BJ321:$BT321,,AH321+1)*AF321-ERP_i)*AE321*Ramure*Pc/MaxiM</f>
        <v>2.0690853658791541E-4</v>
      </c>
      <c r="AE321" s="305">
        <f t="shared" si="125"/>
        <v>0.7</v>
      </c>
      <c r="AF321" s="177">
        <f t="shared" si="126"/>
        <v>0.49896501560084583</v>
      </c>
      <c r="AG321" s="919">
        <f t="shared" si="127"/>
        <v>-2</v>
      </c>
      <c r="AH321" s="176">
        <f t="shared" si="128"/>
        <v>4</v>
      </c>
      <c r="AI321" s="225">
        <f t="shared" si="129"/>
        <v>-1.5010349843991542</v>
      </c>
      <c r="AJ321" s="265" t="b">
        <f t="shared" si="130"/>
        <v>0</v>
      </c>
      <c r="AK321" s="265" t="b">
        <f t="shared" si="131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33"/>
        <v>43408</v>
      </c>
      <c r="B322" s="618">
        <v>29.116</v>
      </c>
      <c r="C322" s="390"/>
      <c r="D322" s="393">
        <f t="shared" si="109"/>
        <v>29.221414515192272</v>
      </c>
      <c r="E322" s="385">
        <f t="shared" si="135"/>
        <v>29.817562450428788</v>
      </c>
      <c r="F322" s="385">
        <f t="shared" si="134"/>
        <v>29.822160701304174</v>
      </c>
      <c r="G322" s="110">
        <f t="shared" si="136"/>
        <v>0.82304519210125515</v>
      </c>
      <c r="I322" s="380">
        <f t="shared" si="110"/>
        <v>29.822160701304174</v>
      </c>
      <c r="J322" s="85">
        <v>2018</v>
      </c>
      <c r="K322" s="197">
        <f t="shared" si="111"/>
        <v>43408</v>
      </c>
      <c r="L322" s="436">
        <f t="shared" si="112"/>
        <v>3.60744053432005E-3</v>
      </c>
      <c r="M322" s="968"/>
      <c r="N322" s="968"/>
      <c r="O322" s="324">
        <f t="shared" si="113"/>
        <v>1.9993181408695042E-2</v>
      </c>
      <c r="P322" s="169">
        <f>(INDEX(Models!$BJ322:$BT322,,T322)*(1-R322)+INDEX(Models!$BJ322:$BT322,,T322+1)*R322-ERP_i)*Q322*Ramure*Pc/MaxiM</f>
        <v>2.0633682261398507E-4</v>
      </c>
      <c r="Q322" s="305">
        <f t="shared" si="114"/>
        <v>0.7</v>
      </c>
      <c r="R322" s="177">
        <f t="shared" si="115"/>
        <v>0.49901476055101823</v>
      </c>
      <c r="S322" s="919">
        <f t="shared" si="132"/>
        <v>-2</v>
      </c>
      <c r="T322" s="176">
        <f t="shared" si="116"/>
        <v>4</v>
      </c>
      <c r="U322" s="251">
        <f t="shared" si="117"/>
        <v>-1.5009852394489818</v>
      </c>
      <c r="V322" s="383">
        <f t="shared" si="118"/>
        <v>35.374098179491163</v>
      </c>
      <c r="W322" s="58"/>
      <c r="X322" s="157">
        <f t="shared" si="119"/>
        <v>43408</v>
      </c>
      <c r="Y322" s="385">
        <f t="shared" si="120"/>
        <v>29.116</v>
      </c>
      <c r="Z322" s="385">
        <f t="shared" si="121"/>
        <v>29.221414515192272</v>
      </c>
      <c r="AA322" s="386">
        <f t="shared" si="122"/>
        <v>29.817562450428788</v>
      </c>
      <c r="AB322" s="197">
        <f t="shared" si="123"/>
        <v>43408</v>
      </c>
      <c r="AC322" s="425">
        <f t="shared" si="124"/>
        <v>1.9993181408695042E-2</v>
      </c>
      <c r="AD322" s="169">
        <f>(INDEX(Models!$BJ322:$BT322,,AH322)*(1-AF322)+INDEX(Models!$BJ322:$BT322,,AH322+1)*AF322-ERP_i)*AE322*Ramure*Pc/MaxiM</f>
        <v>2.0633682261398507E-4</v>
      </c>
      <c r="AE322" s="305">
        <f t="shared" si="125"/>
        <v>0.7</v>
      </c>
      <c r="AF322" s="177">
        <f t="shared" si="126"/>
        <v>0.49901476055101823</v>
      </c>
      <c r="AG322" s="919">
        <f t="shared" si="127"/>
        <v>-2</v>
      </c>
      <c r="AH322" s="176">
        <f t="shared" si="128"/>
        <v>4</v>
      </c>
      <c r="AI322" s="225">
        <f t="shared" si="129"/>
        <v>-1.5009852394489818</v>
      </c>
      <c r="AJ322" s="265" t="b">
        <f t="shared" si="130"/>
        <v>0</v>
      </c>
      <c r="AK322" s="265" t="b">
        <f t="shared" si="131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33"/>
        <v>43409</v>
      </c>
      <c r="B323" s="618">
        <v>12.119</v>
      </c>
      <c r="C323" s="390"/>
      <c r="D323" s="393">
        <f t="shared" si="109"/>
        <v>12.163143259033857</v>
      </c>
      <c r="E323" s="385">
        <f t="shared" si="135"/>
        <v>12.412526436680084</v>
      </c>
      <c r="F323" s="385">
        <f t="shared" si="134"/>
        <v>12.412694052556738</v>
      </c>
      <c r="G323" s="110">
        <f t="shared" si="136"/>
        <v>0.34584479864279516</v>
      </c>
      <c r="I323" s="380">
        <f t="shared" si="110"/>
        <v>12.412694052556738</v>
      </c>
      <c r="J323" s="85">
        <v>2018</v>
      </c>
      <c r="K323" s="197">
        <f t="shared" si="111"/>
        <v>43409</v>
      </c>
      <c r="L323" s="436">
        <f t="shared" si="112"/>
        <v>3.6292640885464689E-3</v>
      </c>
      <c r="M323" s="968"/>
      <c r="N323" s="968"/>
      <c r="O323" s="324">
        <f t="shared" si="113"/>
        <v>2.0091250473334602E-2</v>
      </c>
      <c r="P323" s="169">
        <f>(INDEX(Models!$BJ323:$BT323,,T323)*(1-R323)+INDEX(Models!$BJ323:$BT323,,T323+1)*R323-ERP_i)*Q323*Ramure*Pc/MaxiM</f>
        <v>2.0588613856981072E-4</v>
      </c>
      <c r="Q323" s="305">
        <f t="shared" si="114"/>
        <v>0.7</v>
      </c>
      <c r="R323" s="177">
        <f t="shared" si="115"/>
        <v>0.4990625119414076</v>
      </c>
      <c r="S323" s="919">
        <f t="shared" si="132"/>
        <v>-2</v>
      </c>
      <c r="T323" s="176">
        <f t="shared" si="116"/>
        <v>4</v>
      </c>
      <c r="U323" s="251">
        <f t="shared" si="117"/>
        <v>-1.5009374880585924</v>
      </c>
      <c r="V323" s="383">
        <f t="shared" si="118"/>
        <v>35.034988329754796</v>
      </c>
      <c r="W323" s="58"/>
      <c r="X323" s="157">
        <f t="shared" si="119"/>
        <v>43409</v>
      </c>
      <c r="Y323" s="385">
        <f t="shared" si="120"/>
        <v>12.119</v>
      </c>
      <c r="Z323" s="385">
        <f t="shared" si="121"/>
        <v>12.163143259033857</v>
      </c>
      <c r="AA323" s="386">
        <f t="shared" si="122"/>
        <v>12.412526436680084</v>
      </c>
      <c r="AB323" s="197">
        <f t="shared" si="123"/>
        <v>43409</v>
      </c>
      <c r="AC323" s="425">
        <f t="shared" si="124"/>
        <v>2.0091250473334602E-2</v>
      </c>
      <c r="AD323" s="169">
        <f>(INDEX(Models!$BJ323:$BT323,,AH323)*(1-AF323)+INDEX(Models!$BJ323:$BT323,,AH323+1)*AF323-ERP_i)*AE323*Ramure*Pc/MaxiM</f>
        <v>2.0588613856981072E-4</v>
      </c>
      <c r="AE323" s="305">
        <f t="shared" si="125"/>
        <v>0.7</v>
      </c>
      <c r="AF323" s="177">
        <f t="shared" si="126"/>
        <v>0.4990625119414076</v>
      </c>
      <c r="AG323" s="919">
        <f t="shared" si="127"/>
        <v>-2</v>
      </c>
      <c r="AH323" s="176">
        <f t="shared" si="128"/>
        <v>4</v>
      </c>
      <c r="AI323" s="225">
        <f t="shared" si="129"/>
        <v>-1.5009374880585924</v>
      </c>
      <c r="AJ323" s="265" t="b">
        <f t="shared" si="130"/>
        <v>0</v>
      </c>
      <c r="AK323" s="265" t="b">
        <f t="shared" si="131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33"/>
        <v>43410</v>
      </c>
      <c r="B324" s="618">
        <v>21.164000000000001</v>
      </c>
      <c r="C324" s="390"/>
      <c r="D324" s="393">
        <f t="shared" si="109"/>
        <v>21.241554767973341</v>
      </c>
      <c r="E324" s="385">
        <f t="shared" si="135"/>
        <v>21.679239857630609</v>
      </c>
      <c r="F324" s="385">
        <f t="shared" si="134"/>
        <v>21.681215275304478</v>
      </c>
      <c r="G324" s="110">
        <f t="shared" si="136"/>
        <v>0.60990608305141747</v>
      </c>
      <c r="I324" s="380">
        <f t="shared" si="110"/>
        <v>21.681215275304478</v>
      </c>
      <c r="J324" s="85">
        <v>2018</v>
      </c>
      <c r="K324" s="197">
        <f t="shared" si="111"/>
        <v>43410</v>
      </c>
      <c r="L324" s="436">
        <f t="shared" si="112"/>
        <v>3.6510871647810195E-3</v>
      </c>
      <c r="M324" s="968"/>
      <c r="N324" s="968"/>
      <c r="O324" s="324">
        <f t="shared" si="113"/>
        <v>2.0189134514474762E-2</v>
      </c>
      <c r="P324" s="169">
        <f>(INDEX(Models!$BJ324:$BT324,,T324)*(1-R324)+INDEX(Models!$BJ324:$BT324,,T324+1)*R324-ERP_i)*Q324*Ramure*Pc/MaxiM</f>
        <v>2.0575256558175224E-4</v>
      </c>
      <c r="Q324" s="305">
        <f t="shared" si="114"/>
        <v>0.7</v>
      </c>
      <c r="R324" s="177">
        <f t="shared" si="115"/>
        <v>0.49910834930587678</v>
      </c>
      <c r="S324" s="919">
        <f t="shared" si="132"/>
        <v>-2</v>
      </c>
      <c r="T324" s="176">
        <f t="shared" si="116"/>
        <v>4</v>
      </c>
      <c r="U324" s="251">
        <f t="shared" si="117"/>
        <v>-1.5008916506941232</v>
      </c>
      <c r="V324" s="383">
        <f t="shared" si="118"/>
        <v>34.696446080571029</v>
      </c>
      <c r="W324" s="58"/>
      <c r="X324" s="157">
        <f t="shared" si="119"/>
        <v>43410</v>
      </c>
      <c r="Y324" s="385">
        <f t="shared" si="120"/>
        <v>21.164000000000001</v>
      </c>
      <c r="Z324" s="385">
        <f t="shared" si="121"/>
        <v>21.241554767973341</v>
      </c>
      <c r="AA324" s="386">
        <f t="shared" si="122"/>
        <v>21.679239857630609</v>
      </c>
      <c r="AB324" s="197">
        <f t="shared" si="123"/>
        <v>43410</v>
      </c>
      <c r="AC324" s="425">
        <f t="shared" si="124"/>
        <v>2.0189134514474762E-2</v>
      </c>
      <c r="AD324" s="169">
        <f>(INDEX(Models!$BJ324:$BT324,,AH324)*(1-AF324)+INDEX(Models!$BJ324:$BT324,,AH324+1)*AF324-ERP_i)*AE324*Ramure*Pc/MaxiM</f>
        <v>2.0575256558175224E-4</v>
      </c>
      <c r="AE324" s="305">
        <f t="shared" si="125"/>
        <v>0.7</v>
      </c>
      <c r="AF324" s="177">
        <f t="shared" si="126"/>
        <v>0.49910834930587678</v>
      </c>
      <c r="AG324" s="919">
        <f t="shared" si="127"/>
        <v>-2</v>
      </c>
      <c r="AH324" s="176">
        <f t="shared" si="128"/>
        <v>4</v>
      </c>
      <c r="AI324" s="225">
        <f t="shared" si="129"/>
        <v>-1.5008916506941232</v>
      </c>
      <c r="AJ324" s="265" t="b">
        <f t="shared" si="130"/>
        <v>0</v>
      </c>
      <c r="AK324" s="265" t="b">
        <f t="shared" si="131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33"/>
        <v>43411</v>
      </c>
      <c r="B325" s="618">
        <v>10.244</v>
      </c>
      <c r="C325" s="390"/>
      <c r="D325" s="393">
        <f t="shared" si="109"/>
        <v>10.281763991345025</v>
      </c>
      <c r="E325" s="385">
        <f t="shared" si="135"/>
        <v>10.494667806910758</v>
      </c>
      <c r="F325" s="385">
        <f t="shared" ref="F325:F356" si="137">Wh_sa/(1-Pvg*MEDIAN((-Sdif+Wh/Env_an)/Csdif,0,1))</f>
        <v>10.494667806910758</v>
      </c>
      <c r="G325" s="110">
        <f t="shared" si="136"/>
        <v>0.29807647556248545</v>
      </c>
      <c r="I325" s="380">
        <f t="shared" si="110"/>
        <v>10.494667806910758</v>
      </c>
      <c r="J325" s="85">
        <v>2018</v>
      </c>
      <c r="K325" s="197">
        <f t="shared" si="111"/>
        <v>43411</v>
      </c>
      <c r="L325" s="436">
        <f t="shared" si="112"/>
        <v>3.6729097630342489E-3</v>
      </c>
      <c r="M325" s="968"/>
      <c r="N325" s="968"/>
      <c r="O325" s="324">
        <f t="shared" si="113"/>
        <v>2.0286856095200655E-2</v>
      </c>
      <c r="P325" s="169">
        <f>(INDEX(Models!$BJ325:$BT325,,T325)*(1-R325)+INDEX(Models!$BJ325:$BT325,,T325+1)*R325-ERP_i)*Q325*Ramure*Pc/MaxiM</f>
        <v>2.058863910729001E-4</v>
      </c>
      <c r="Q325" s="305">
        <f t="shared" si="114"/>
        <v>0.7</v>
      </c>
      <c r="R325" s="177">
        <f t="shared" si="115"/>
        <v>0.49915234903354788</v>
      </c>
      <c r="S325" s="919">
        <f t="shared" si="132"/>
        <v>-2</v>
      </c>
      <c r="T325" s="176">
        <f t="shared" si="116"/>
        <v>4</v>
      </c>
      <c r="U325" s="251">
        <f t="shared" si="117"/>
        <v>-1.5008476509664521</v>
      </c>
      <c r="V325" s="383">
        <f t="shared" si="118"/>
        <v>34.359943636890094</v>
      </c>
      <c r="W325" s="58"/>
      <c r="X325" s="157">
        <f t="shared" si="119"/>
        <v>43411</v>
      </c>
      <c r="Y325" s="385">
        <f t="shared" si="120"/>
        <v>10.244</v>
      </c>
      <c r="Z325" s="385">
        <f t="shared" si="121"/>
        <v>10.281763991345025</v>
      </c>
      <c r="AA325" s="386">
        <f t="shared" si="122"/>
        <v>10.494667806910758</v>
      </c>
      <c r="AB325" s="197">
        <f t="shared" si="123"/>
        <v>43411</v>
      </c>
      <c r="AC325" s="425">
        <f t="shared" si="124"/>
        <v>2.0286856095200655E-2</v>
      </c>
      <c r="AD325" s="169">
        <f>(INDEX(Models!$BJ325:$BT325,,AH325)*(1-AF325)+INDEX(Models!$BJ325:$BT325,,AH325+1)*AF325-ERP_i)*AE325*Ramure*Pc/MaxiM</f>
        <v>2.058863910729001E-4</v>
      </c>
      <c r="AE325" s="305">
        <f t="shared" si="125"/>
        <v>0.7</v>
      </c>
      <c r="AF325" s="177">
        <f t="shared" si="126"/>
        <v>0.49915234903354788</v>
      </c>
      <c r="AG325" s="919">
        <f t="shared" si="127"/>
        <v>-2</v>
      </c>
      <c r="AH325" s="176">
        <f t="shared" si="128"/>
        <v>4</v>
      </c>
      <c r="AI325" s="225">
        <f t="shared" si="129"/>
        <v>-1.5008476509664521</v>
      </c>
      <c r="AJ325" s="265" t="b">
        <f t="shared" si="130"/>
        <v>0</v>
      </c>
      <c r="AK325" s="265" t="b">
        <f t="shared" si="131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33"/>
        <v>43412</v>
      </c>
      <c r="B326" s="618">
        <v>17.484999999999999</v>
      </c>
      <c r="C326" s="390"/>
      <c r="D326" s="393">
        <f t="shared" si="109"/>
        <v>17.549841960639139</v>
      </c>
      <c r="E326" s="385">
        <f t="shared" si="135"/>
        <v>17.915029774567486</v>
      </c>
      <c r="F326" s="385">
        <f t="shared" si="137"/>
        <v>17.916158880352736</v>
      </c>
      <c r="G326" s="110">
        <f t="shared" si="136"/>
        <v>0.51378376410161752</v>
      </c>
      <c r="I326" s="380">
        <f t="shared" si="110"/>
        <v>17.916158880352736</v>
      </c>
      <c r="J326" s="85">
        <v>2018</v>
      </c>
      <c r="K326" s="197">
        <f t="shared" si="111"/>
        <v>43412</v>
      </c>
      <c r="L326" s="436">
        <f t="shared" si="112"/>
        <v>3.6947318833164822E-3</v>
      </c>
      <c r="M326" s="968"/>
      <c r="N326" s="968"/>
      <c r="O326" s="324">
        <f t="shared" si="113"/>
        <v>2.0384438012309308E-2</v>
      </c>
      <c r="P326" s="169">
        <f>(INDEX(Models!$BJ326:$BT326,,T326)*(1-R326)+INDEX(Models!$BJ326:$BT326,,T326+1)*R326-ERP_i)*Q326*Ramure*Pc/MaxiM</f>
        <v>2.0628303674524593E-4</v>
      </c>
      <c r="Q326" s="305">
        <f t="shared" si="114"/>
        <v>0.7</v>
      </c>
      <c r="R326" s="177">
        <f t="shared" si="115"/>
        <v>0.49919458449091403</v>
      </c>
      <c r="S326" s="919">
        <f t="shared" si="132"/>
        <v>-2</v>
      </c>
      <c r="T326" s="176">
        <f t="shared" si="116"/>
        <v>4</v>
      </c>
      <c r="U326" s="251">
        <f t="shared" si="117"/>
        <v>-1.500805415509086</v>
      </c>
      <c r="V326" s="383">
        <f t="shared" si="118"/>
        <v>34.026950904610779</v>
      </c>
      <c r="W326" s="58"/>
      <c r="X326" s="157">
        <f t="shared" si="119"/>
        <v>43412</v>
      </c>
      <c r="Y326" s="385">
        <f t="shared" si="120"/>
        <v>17.484999999999999</v>
      </c>
      <c r="Z326" s="385">
        <f t="shared" si="121"/>
        <v>17.549841960639139</v>
      </c>
      <c r="AA326" s="386">
        <f t="shared" si="122"/>
        <v>17.915029774567486</v>
      </c>
      <c r="AB326" s="197">
        <f t="shared" si="123"/>
        <v>43412</v>
      </c>
      <c r="AC326" s="425">
        <f t="shared" si="124"/>
        <v>2.0384438012309308E-2</v>
      </c>
      <c r="AD326" s="169">
        <f>(INDEX(Models!$BJ326:$BT326,,AH326)*(1-AF326)+INDEX(Models!$BJ326:$BT326,,AH326+1)*AF326-ERP_i)*AE326*Ramure*Pc/MaxiM</f>
        <v>2.0628303674524593E-4</v>
      </c>
      <c r="AE326" s="305">
        <f t="shared" si="125"/>
        <v>0.7</v>
      </c>
      <c r="AF326" s="177">
        <f t="shared" si="126"/>
        <v>0.49919458449091403</v>
      </c>
      <c r="AG326" s="919">
        <f t="shared" si="127"/>
        <v>-2</v>
      </c>
      <c r="AH326" s="176">
        <f t="shared" si="128"/>
        <v>4</v>
      </c>
      <c r="AI326" s="225">
        <f t="shared" si="129"/>
        <v>-1.500805415509086</v>
      </c>
      <c r="AJ326" s="265" t="b">
        <f t="shared" si="130"/>
        <v>0</v>
      </c>
      <c r="AK326" s="265" t="b">
        <f t="shared" si="131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33"/>
        <v>43413</v>
      </c>
      <c r="B327" s="618">
        <v>5.2430000000000003</v>
      </c>
      <c r="C327" s="390"/>
      <c r="D327" s="393">
        <f t="shared" si="109"/>
        <v>5.2625585806467807</v>
      </c>
      <c r="E327" s="385">
        <f t="shared" si="135"/>
        <v>5.3725996464950745</v>
      </c>
      <c r="F327" s="385">
        <f t="shared" si="137"/>
        <v>5.3725996464950745</v>
      </c>
      <c r="G327" s="110">
        <f t="shared" si="136"/>
        <v>0.15555134602828841</v>
      </c>
      <c r="I327" s="380">
        <f t="shared" si="110"/>
        <v>5.3725996464950745</v>
      </c>
      <c r="J327" s="85">
        <v>2018</v>
      </c>
      <c r="K327" s="197">
        <f t="shared" si="111"/>
        <v>43413</v>
      </c>
      <c r="L327" s="436">
        <f t="shared" si="112"/>
        <v>3.7165535256382665E-3</v>
      </c>
      <c r="M327" s="968"/>
      <c r="N327" s="968"/>
      <c r="O327" s="324">
        <f t="shared" si="113"/>
        <v>2.0481903191889757E-2</v>
      </c>
      <c r="P327" s="169">
        <f>(INDEX(Models!$BJ327:$BT327,,T327)*(1-R327)+INDEX(Models!$BJ327:$BT327,,T327+1)*R327-ERP_i)*Q327*Ramure*Pc/MaxiM</f>
        <v>2.0693757134004673E-4</v>
      </c>
      <c r="Q327" s="305">
        <f t="shared" si="114"/>
        <v>0.7</v>
      </c>
      <c r="R327" s="177">
        <f t="shared" si="115"/>
        <v>0.49923512613938348</v>
      </c>
      <c r="S327" s="919">
        <f t="shared" si="132"/>
        <v>-2</v>
      </c>
      <c r="T327" s="176">
        <f t="shared" si="116"/>
        <v>4</v>
      </c>
      <c r="U327" s="251">
        <f t="shared" si="117"/>
        <v>-1.5007648738606165</v>
      </c>
      <c r="V327" s="383">
        <f t="shared" si="118"/>
        <v>33.698937104409083</v>
      </c>
      <c r="W327" s="58"/>
      <c r="X327" s="157">
        <f t="shared" si="119"/>
        <v>43413</v>
      </c>
      <c r="Y327" s="385">
        <f t="shared" si="120"/>
        <v>5.2430000000000003</v>
      </c>
      <c r="Z327" s="385">
        <f t="shared" si="121"/>
        <v>5.2625585806467807</v>
      </c>
      <c r="AA327" s="386">
        <f t="shared" si="122"/>
        <v>5.3725996464950745</v>
      </c>
      <c r="AB327" s="197">
        <f t="shared" si="123"/>
        <v>43413</v>
      </c>
      <c r="AC327" s="425">
        <f t="shared" si="124"/>
        <v>2.0481903191889757E-2</v>
      </c>
      <c r="AD327" s="169">
        <f>(INDEX(Models!$BJ327:$BT327,,AH327)*(1-AF327)+INDEX(Models!$BJ327:$BT327,,AH327+1)*AF327-ERP_i)*AE327*Ramure*Pc/MaxiM</f>
        <v>2.0693757134004673E-4</v>
      </c>
      <c r="AE327" s="305">
        <f t="shared" si="125"/>
        <v>0.7</v>
      </c>
      <c r="AF327" s="177">
        <f t="shared" si="126"/>
        <v>0.49923512613938348</v>
      </c>
      <c r="AG327" s="919">
        <f t="shared" si="127"/>
        <v>-2</v>
      </c>
      <c r="AH327" s="176">
        <f t="shared" si="128"/>
        <v>4</v>
      </c>
      <c r="AI327" s="225">
        <f t="shared" si="129"/>
        <v>-1.5007648738606165</v>
      </c>
      <c r="AJ327" s="265" t="b">
        <f t="shared" si="130"/>
        <v>0</v>
      </c>
      <c r="AK327" s="265" t="b">
        <f t="shared" si="131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33"/>
        <v>43414</v>
      </c>
      <c r="B328" s="618">
        <v>21.134</v>
      </c>
      <c r="C328" s="390"/>
      <c r="D328" s="393">
        <f t="shared" si="109"/>
        <v>21.213303276058728</v>
      </c>
      <c r="E328" s="385">
        <f t="shared" si="135"/>
        <v>21.659030410070397</v>
      </c>
      <c r="F328" s="385">
        <f t="shared" si="137"/>
        <v>21.661173331050904</v>
      </c>
      <c r="G328" s="110">
        <f t="shared" si="136"/>
        <v>0.63311451635592686</v>
      </c>
      <c r="I328" s="380">
        <f t="shared" si="110"/>
        <v>21.661173331050904</v>
      </c>
      <c r="J328" s="85">
        <v>2018</v>
      </c>
      <c r="K328" s="197">
        <f t="shared" si="111"/>
        <v>43414</v>
      </c>
      <c r="L328" s="436">
        <f t="shared" si="112"/>
        <v>3.7383746900101489E-3</v>
      </c>
      <c r="M328" s="968"/>
      <c r="N328" s="968"/>
      <c r="O328" s="324">
        <f t="shared" si="113"/>
        <v>2.0579274583059311E-2</v>
      </c>
      <c r="P328" s="169">
        <f>(INDEX(Models!$BJ328:$BT328,,T328)*(1-R328)+INDEX(Models!$BJ328:$BT328,,T328+1)*R328-ERP_i)*Q328*Ramure*Pc/MaxiM</f>
        <v>2.0784460243456751E-4</v>
      </c>
      <c r="Q328" s="305">
        <f t="shared" si="114"/>
        <v>0.7</v>
      </c>
      <c r="R328" s="177">
        <f t="shared" si="115"/>
        <v>0.49927404164841871</v>
      </c>
      <c r="S328" s="919">
        <f t="shared" si="132"/>
        <v>-2</v>
      </c>
      <c r="T328" s="176">
        <f t="shared" si="116"/>
        <v>4</v>
      </c>
      <c r="U328" s="251">
        <f t="shared" si="117"/>
        <v>-1.5007259583515813</v>
      </c>
      <c r="V328" s="383">
        <f t="shared" si="118"/>
        <v>33.377370770528145</v>
      </c>
      <c r="W328" s="58"/>
      <c r="X328" s="157">
        <f t="shared" si="119"/>
        <v>43414</v>
      </c>
      <c r="Y328" s="385">
        <f t="shared" si="120"/>
        <v>21.134</v>
      </c>
      <c r="Z328" s="385">
        <f t="shared" si="121"/>
        <v>21.213303276058728</v>
      </c>
      <c r="AA328" s="386">
        <f t="shared" si="122"/>
        <v>21.659030410070397</v>
      </c>
      <c r="AB328" s="197">
        <f t="shared" si="123"/>
        <v>43414</v>
      </c>
      <c r="AC328" s="425">
        <f t="shared" si="124"/>
        <v>2.0579274583059311E-2</v>
      </c>
      <c r="AD328" s="169">
        <f>(INDEX(Models!$BJ328:$BT328,,AH328)*(1-AF328)+INDEX(Models!$BJ328:$BT328,,AH328+1)*AF328-ERP_i)*AE328*Ramure*Pc/MaxiM</f>
        <v>2.0784460243456751E-4</v>
      </c>
      <c r="AE328" s="305">
        <f t="shared" si="125"/>
        <v>0.7</v>
      </c>
      <c r="AF328" s="177">
        <f t="shared" si="126"/>
        <v>0.49927404164841871</v>
      </c>
      <c r="AG328" s="919">
        <f t="shared" si="127"/>
        <v>-2</v>
      </c>
      <c r="AH328" s="176">
        <f t="shared" si="128"/>
        <v>4</v>
      </c>
      <c r="AI328" s="225">
        <f t="shared" si="129"/>
        <v>-1.5007259583515813</v>
      </c>
      <c r="AJ328" s="265" t="b">
        <f t="shared" si="130"/>
        <v>0</v>
      </c>
      <c r="AK328" s="265" t="b">
        <f t="shared" si="131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33"/>
        <v>43415</v>
      </c>
      <c r="B329" s="618">
        <v>28.439</v>
      </c>
      <c r="C329" s="390"/>
      <c r="D329" s="393">
        <f t="shared" si="109"/>
        <v>28.54633981498667</v>
      </c>
      <c r="E329" s="385">
        <f t="shared" si="135"/>
        <v>29.149042173132603</v>
      </c>
      <c r="F329" s="385">
        <f t="shared" si="137"/>
        <v>29.153917771397072</v>
      </c>
      <c r="G329" s="110">
        <f t="shared" si="136"/>
        <v>0.86009113150075711</v>
      </c>
      <c r="I329" s="380">
        <f t="shared" si="110"/>
        <v>29.153917771397072</v>
      </c>
      <c r="J329" s="85">
        <v>2018</v>
      </c>
      <c r="K329" s="197">
        <f t="shared" si="111"/>
        <v>43415</v>
      </c>
      <c r="L329" s="436">
        <f t="shared" si="112"/>
        <v>3.7601953764424545E-3</v>
      </c>
      <c r="M329" s="968"/>
      <c r="N329" s="968"/>
      <c r="O329" s="324">
        <f t="shared" si="113"/>
        <v>2.0676575050601855E-2</v>
      </c>
      <c r="P329" s="169">
        <f>(INDEX(Models!$BJ329:$BT329,,T329)*(1-R329)+INDEX(Models!$BJ329:$BT329,,T329+1)*R329-ERP_i)*Q329*Ramure*Pc/MaxiM</f>
        <v>2.0899816680313791E-4</v>
      </c>
      <c r="Q329" s="305">
        <f t="shared" si="114"/>
        <v>0.7</v>
      </c>
      <c r="R329" s="177">
        <f t="shared" si="115"/>
        <v>0.49931139600441576</v>
      </c>
      <c r="S329" s="919">
        <f t="shared" si="132"/>
        <v>-2</v>
      </c>
      <c r="T329" s="176">
        <f t="shared" si="116"/>
        <v>4</v>
      </c>
      <c r="U329" s="251">
        <f t="shared" si="117"/>
        <v>-1.5006886039955842</v>
      </c>
      <c r="V329" s="383">
        <f t="shared" si="118"/>
        <v>33.063719760487494</v>
      </c>
      <c r="W329" s="58"/>
      <c r="X329" s="157">
        <f t="shared" si="119"/>
        <v>43415</v>
      </c>
      <c r="Y329" s="385">
        <f t="shared" si="120"/>
        <v>28.439</v>
      </c>
      <c r="Z329" s="385">
        <f t="shared" si="121"/>
        <v>28.54633981498667</v>
      </c>
      <c r="AA329" s="386">
        <f t="shared" si="122"/>
        <v>29.149042173132603</v>
      </c>
      <c r="AB329" s="197">
        <f t="shared" si="123"/>
        <v>43415</v>
      </c>
      <c r="AC329" s="425">
        <f t="shared" si="124"/>
        <v>2.0676575050601855E-2</v>
      </c>
      <c r="AD329" s="169">
        <f>(INDEX(Models!$BJ329:$BT329,,AH329)*(1-AF329)+INDEX(Models!$BJ329:$BT329,,AH329+1)*AF329-ERP_i)*AE329*Ramure*Pc/MaxiM</f>
        <v>2.0899816680313791E-4</v>
      </c>
      <c r="AE329" s="305">
        <f t="shared" si="125"/>
        <v>0.7</v>
      </c>
      <c r="AF329" s="177">
        <f t="shared" si="126"/>
        <v>0.49931139600441576</v>
      </c>
      <c r="AG329" s="919">
        <f t="shared" si="127"/>
        <v>-2</v>
      </c>
      <c r="AH329" s="176">
        <f t="shared" si="128"/>
        <v>4</v>
      </c>
      <c r="AI329" s="225">
        <f t="shared" si="129"/>
        <v>-1.5006886039955842</v>
      </c>
      <c r="AJ329" s="265" t="b">
        <f t="shared" si="130"/>
        <v>0</v>
      </c>
      <c r="AK329" s="265" t="b">
        <f t="shared" si="131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33"/>
        <v>43416</v>
      </c>
      <c r="B330" s="618">
        <v>27.134</v>
      </c>
      <c r="C330" s="390"/>
      <c r="D330" s="393">
        <f t="shared" si="109"/>
        <v>27.237010799330406</v>
      </c>
      <c r="E330" s="385">
        <f t="shared" si="135"/>
        <v>27.814831300229667</v>
      </c>
      <c r="F330" s="385">
        <f t="shared" si="137"/>
        <v>27.819248428423119</v>
      </c>
      <c r="G330" s="110">
        <f t="shared" si="136"/>
        <v>0.82823729637265686</v>
      </c>
      <c r="I330" s="380">
        <f t="shared" si="110"/>
        <v>27.819248428423119</v>
      </c>
      <c r="J330" s="85">
        <v>2018</v>
      </c>
      <c r="K330" s="197">
        <f t="shared" si="111"/>
        <v>43416</v>
      </c>
      <c r="L330" s="436">
        <f t="shared" si="112"/>
        <v>3.7820155849458414E-3</v>
      </c>
      <c r="M330" s="968"/>
      <c r="N330" s="968"/>
      <c r="O330" s="324">
        <f t="shared" si="113"/>
        <v>2.0773827267271228E-2</v>
      </c>
      <c r="P330" s="169">
        <f>(INDEX(Models!$BJ330:$BT330,,T330)*(1-R330)+INDEX(Models!$BJ330:$BT330,,T330+1)*R330-ERP_i)*Q330*Ramure*Pc/MaxiM</f>
        <v>2.1039162038125712E-4</v>
      </c>
      <c r="Q330" s="305">
        <f t="shared" si="114"/>
        <v>0.7</v>
      </c>
      <c r="R330" s="177">
        <f t="shared" si="115"/>
        <v>0.49934725161547888</v>
      </c>
      <c r="S330" s="919">
        <f t="shared" si="132"/>
        <v>-2</v>
      </c>
      <c r="T330" s="176">
        <f t="shared" si="116"/>
        <v>4</v>
      </c>
      <c r="U330" s="251">
        <f t="shared" si="117"/>
        <v>-1.5006527483845211</v>
      </c>
      <c r="V330" s="383">
        <f t="shared" si="118"/>
        <v>32.759451252619137</v>
      </c>
      <c r="W330" s="58"/>
      <c r="X330" s="157">
        <f t="shared" si="119"/>
        <v>43416</v>
      </c>
      <c r="Y330" s="385">
        <f t="shared" si="120"/>
        <v>27.134</v>
      </c>
      <c r="Z330" s="385">
        <f t="shared" si="121"/>
        <v>27.237010799330406</v>
      </c>
      <c r="AA330" s="386">
        <f t="shared" si="122"/>
        <v>27.814831300229667</v>
      </c>
      <c r="AB330" s="197">
        <f t="shared" si="123"/>
        <v>43416</v>
      </c>
      <c r="AC330" s="425">
        <f t="shared" si="124"/>
        <v>2.0773827267271228E-2</v>
      </c>
      <c r="AD330" s="169">
        <f>(INDEX(Models!$BJ330:$BT330,,AH330)*(1-AF330)+INDEX(Models!$BJ330:$BT330,,AH330+1)*AF330-ERP_i)*AE330*Ramure*Pc/MaxiM</f>
        <v>2.1039162038125712E-4</v>
      </c>
      <c r="AE330" s="305">
        <f t="shared" si="125"/>
        <v>0.7</v>
      </c>
      <c r="AF330" s="177">
        <f t="shared" si="126"/>
        <v>0.49934725161547888</v>
      </c>
      <c r="AG330" s="919">
        <f t="shared" si="127"/>
        <v>-2</v>
      </c>
      <c r="AH330" s="176">
        <f t="shared" si="128"/>
        <v>4</v>
      </c>
      <c r="AI330" s="225">
        <f t="shared" si="129"/>
        <v>-1.5006527483845211</v>
      </c>
      <c r="AJ330" s="265" t="b">
        <f t="shared" si="130"/>
        <v>0</v>
      </c>
      <c r="AK330" s="265" t="b">
        <f t="shared" si="131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33"/>
        <v>43417</v>
      </c>
      <c r="B331" s="618">
        <v>8.4469999999999992</v>
      </c>
      <c r="C331" s="390"/>
      <c r="D331" s="393">
        <f t="shared" si="109"/>
        <v>8.4792536846148803</v>
      </c>
      <c r="E331" s="385">
        <f t="shared" si="135"/>
        <v>8.659996945088233</v>
      </c>
      <c r="F331" s="385">
        <f t="shared" si="137"/>
        <v>8.659996945088233</v>
      </c>
      <c r="G331" s="110">
        <f t="shared" si="136"/>
        <v>0.2601612110291146</v>
      </c>
      <c r="I331" s="380">
        <f t="shared" si="110"/>
        <v>8.659996945088233</v>
      </c>
      <c r="J331" s="85">
        <v>2018</v>
      </c>
      <c r="K331" s="197">
        <f t="shared" si="111"/>
        <v>43417</v>
      </c>
      <c r="L331" s="436">
        <f t="shared" si="112"/>
        <v>3.8038353155305238E-3</v>
      </c>
      <c r="M331" s="968"/>
      <c r="N331" s="968"/>
      <c r="O331" s="324">
        <f t="shared" si="113"/>
        <v>2.0871053606533484E-2</v>
      </c>
      <c r="P331" s="169">
        <f>(INDEX(Models!$BJ331:$BT331,,T331)*(1-R331)+INDEX(Models!$BJ331:$BT331,,T331+1)*R331-ERP_i)*Q331*Ramure*Pc/MaxiM</f>
        <v>2.1204748055080624E-4</v>
      </c>
      <c r="Q331" s="305">
        <f t="shared" si="114"/>
        <v>0.7</v>
      </c>
      <c r="R331" s="177">
        <f t="shared" si="115"/>
        <v>0.49938166841222964</v>
      </c>
      <c r="S331" s="919">
        <f t="shared" si="132"/>
        <v>-2</v>
      </c>
      <c r="T331" s="176">
        <f t="shared" si="116"/>
        <v>4</v>
      </c>
      <c r="U331" s="251">
        <f t="shared" si="117"/>
        <v>-1.5006183315877704</v>
      </c>
      <c r="V331" s="383">
        <f t="shared" si="118"/>
        <v>32.461444969160624</v>
      </c>
      <c r="W331" s="58"/>
      <c r="X331" s="157">
        <f t="shared" si="119"/>
        <v>43417</v>
      </c>
      <c r="Y331" s="385">
        <f t="shared" si="120"/>
        <v>8.4469999999999992</v>
      </c>
      <c r="Z331" s="385">
        <f t="shared" si="121"/>
        <v>8.4792536846148803</v>
      </c>
      <c r="AA331" s="386">
        <f t="shared" si="122"/>
        <v>8.659996945088233</v>
      </c>
      <c r="AB331" s="197">
        <f t="shared" si="123"/>
        <v>43417</v>
      </c>
      <c r="AC331" s="425">
        <f t="shared" si="124"/>
        <v>2.0871053606533484E-2</v>
      </c>
      <c r="AD331" s="169">
        <f>(INDEX(Models!$BJ331:$BT331,,AH331)*(1-AF331)+INDEX(Models!$BJ331:$BT331,,AH331+1)*AF331-ERP_i)*AE331*Ramure*Pc/MaxiM</f>
        <v>2.1204748055080624E-4</v>
      </c>
      <c r="AE331" s="305">
        <f t="shared" si="125"/>
        <v>0.7</v>
      </c>
      <c r="AF331" s="177">
        <f t="shared" si="126"/>
        <v>0.49938166841222964</v>
      </c>
      <c r="AG331" s="919">
        <f t="shared" si="127"/>
        <v>-2</v>
      </c>
      <c r="AH331" s="176">
        <f t="shared" si="128"/>
        <v>4</v>
      </c>
      <c r="AI331" s="225">
        <f t="shared" si="129"/>
        <v>-1.5006183315877704</v>
      </c>
      <c r="AJ331" s="265" t="b">
        <f t="shared" si="130"/>
        <v>0</v>
      </c>
      <c r="AK331" s="265" t="b">
        <f t="shared" si="131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33"/>
        <v>43418</v>
      </c>
      <c r="B332" s="618">
        <v>18.725000000000001</v>
      </c>
      <c r="C332" s="390"/>
      <c r="D332" s="393">
        <f t="shared" si="109"/>
        <v>18.79691048647075</v>
      </c>
      <c r="E332" s="385">
        <f t="shared" si="135"/>
        <v>19.19949070738388</v>
      </c>
      <c r="F332" s="385">
        <f t="shared" si="137"/>
        <v>19.201146475349681</v>
      </c>
      <c r="G332" s="110">
        <f t="shared" si="136"/>
        <v>0.58206417180416414</v>
      </c>
      <c r="I332" s="380">
        <f t="shared" si="110"/>
        <v>19.201146475349681</v>
      </c>
      <c r="J332" s="85">
        <v>2018</v>
      </c>
      <c r="K332" s="197">
        <f t="shared" si="111"/>
        <v>43418</v>
      </c>
      <c r="L332" s="436">
        <f t="shared" si="112"/>
        <v>3.8256545682071597E-3</v>
      </c>
      <c r="M332" s="968"/>
      <c r="N332" s="968"/>
      <c r="O332" s="324">
        <f t="shared" si="113"/>
        <v>2.0968276036525475E-2</v>
      </c>
      <c r="P332" s="169">
        <f>(INDEX(Models!$BJ332:$BT332,,T332)*(1-R332)+INDEX(Models!$BJ332:$BT332,,T332+1)*R332-ERP_i)*Q332*Ramure*Pc/MaxiM</f>
        <v>2.1394786755167568E-4</v>
      </c>
      <c r="Q332" s="305">
        <f t="shared" si="114"/>
        <v>0.7</v>
      </c>
      <c r="R332" s="177">
        <f t="shared" si="115"/>
        <v>0.49941470394479137</v>
      </c>
      <c r="S332" s="919">
        <f t="shared" si="132"/>
        <v>-2</v>
      </c>
      <c r="T332" s="176">
        <f t="shared" si="116"/>
        <v>4</v>
      </c>
      <c r="U332" s="251">
        <f t="shared" si="117"/>
        <v>-1.5005852960552086</v>
      </c>
      <c r="V332" s="383">
        <f t="shared" si="118"/>
        <v>32.165883480588491</v>
      </c>
      <c r="W332" s="58"/>
      <c r="X332" s="157">
        <f t="shared" si="119"/>
        <v>43418</v>
      </c>
      <c r="Y332" s="385">
        <f t="shared" si="120"/>
        <v>18.725000000000001</v>
      </c>
      <c r="Z332" s="385">
        <f t="shared" si="121"/>
        <v>18.79691048647075</v>
      </c>
      <c r="AA332" s="386">
        <f t="shared" si="122"/>
        <v>19.19949070738388</v>
      </c>
      <c r="AB332" s="197">
        <f t="shared" si="123"/>
        <v>43418</v>
      </c>
      <c r="AC332" s="425">
        <f t="shared" si="124"/>
        <v>2.0968276036525475E-2</v>
      </c>
      <c r="AD332" s="169">
        <f>(INDEX(Models!$BJ332:$BT332,,AH332)*(1-AF332)+INDEX(Models!$BJ332:$BT332,,AH332+1)*AF332-ERP_i)*AE332*Ramure*Pc/MaxiM</f>
        <v>2.1394786755167568E-4</v>
      </c>
      <c r="AE332" s="305">
        <f t="shared" si="125"/>
        <v>0.7</v>
      </c>
      <c r="AF332" s="177">
        <f t="shared" si="126"/>
        <v>0.49941470394479137</v>
      </c>
      <c r="AG332" s="919">
        <f t="shared" si="127"/>
        <v>-2</v>
      </c>
      <c r="AH332" s="176">
        <f t="shared" si="128"/>
        <v>4</v>
      </c>
      <c r="AI332" s="225">
        <f t="shared" si="129"/>
        <v>-1.5005852960552086</v>
      </c>
      <c r="AJ332" s="265" t="b">
        <f t="shared" si="130"/>
        <v>0</v>
      </c>
      <c r="AK332" s="265" t="b">
        <f t="shared" si="131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33"/>
        <v>43419</v>
      </c>
      <c r="B333" s="618">
        <v>21.306000000000001</v>
      </c>
      <c r="C333" s="390"/>
      <c r="D333" s="393">
        <f t="shared" si="109"/>
        <v>21.388290879009023</v>
      </c>
      <c r="E333" s="385">
        <f t="shared" si="135"/>
        <v>21.848541683774929</v>
      </c>
      <c r="F333" s="385">
        <f t="shared" si="137"/>
        <v>21.851026415041137</v>
      </c>
      <c r="G333" s="110">
        <f t="shared" si="136"/>
        <v>0.66839313907897879</v>
      </c>
      <c r="I333" s="380">
        <f t="shared" si="110"/>
        <v>21.851026415041137</v>
      </c>
      <c r="J333" s="85">
        <v>2018</v>
      </c>
      <c r="K333" s="197">
        <f t="shared" si="111"/>
        <v>43419</v>
      </c>
      <c r="L333" s="436">
        <f t="shared" si="112"/>
        <v>3.8474733429861852E-3</v>
      </c>
      <c r="M333" s="968"/>
      <c r="N333" s="968"/>
      <c r="O333" s="324">
        <f t="shared" si="113"/>
        <v>2.1065516016004707E-2</v>
      </c>
      <c r="P333" s="169">
        <f>(INDEX(Models!$BJ333:$BT333,,T333)*(1-R333)+INDEX(Models!$BJ333:$BT333,,T333+1)*R333-ERP_i)*Q333*Ramure*Pc/MaxiM</f>
        <v>2.160296974959141E-4</v>
      </c>
      <c r="Q333" s="305">
        <f t="shared" si="114"/>
        <v>0.7</v>
      </c>
      <c r="R333" s="177">
        <f t="shared" si="115"/>
        <v>0.49944641347608654</v>
      </c>
      <c r="S333" s="919">
        <f t="shared" si="132"/>
        <v>-2</v>
      </c>
      <c r="T333" s="176">
        <f t="shared" si="116"/>
        <v>4</v>
      </c>
      <c r="U333" s="251">
        <f t="shared" si="117"/>
        <v>-1.5005535865239135</v>
      </c>
      <c r="V333" s="383">
        <f t="shared" si="118"/>
        <v>31.873187399472858</v>
      </c>
      <c r="W333" s="58"/>
      <c r="X333" s="157">
        <f t="shared" si="119"/>
        <v>43419</v>
      </c>
      <c r="Y333" s="385">
        <f t="shared" si="120"/>
        <v>21.306000000000001</v>
      </c>
      <c r="Z333" s="385">
        <f t="shared" si="121"/>
        <v>21.388290879009023</v>
      </c>
      <c r="AA333" s="386">
        <f t="shared" si="122"/>
        <v>21.848541683774929</v>
      </c>
      <c r="AB333" s="197">
        <f t="shared" si="123"/>
        <v>43419</v>
      </c>
      <c r="AC333" s="425">
        <f t="shared" si="124"/>
        <v>2.1065516016004707E-2</v>
      </c>
      <c r="AD333" s="169">
        <f>(INDEX(Models!$BJ333:$BT333,,AH333)*(1-AF333)+INDEX(Models!$BJ333:$BT333,,AH333+1)*AF333-ERP_i)*AE333*Ramure*Pc/MaxiM</f>
        <v>2.160296974959141E-4</v>
      </c>
      <c r="AE333" s="305">
        <f t="shared" si="125"/>
        <v>0.7</v>
      </c>
      <c r="AF333" s="177">
        <f t="shared" si="126"/>
        <v>0.49944641347608654</v>
      </c>
      <c r="AG333" s="919">
        <f t="shared" si="127"/>
        <v>-2</v>
      </c>
      <c r="AH333" s="176">
        <f t="shared" si="128"/>
        <v>4</v>
      </c>
      <c r="AI333" s="225">
        <f t="shared" si="129"/>
        <v>-1.5005535865239135</v>
      </c>
      <c r="AJ333" s="265" t="b">
        <f t="shared" si="130"/>
        <v>0</v>
      </c>
      <c r="AK333" s="265" t="b">
        <f t="shared" si="131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33"/>
        <v>43420</v>
      </c>
      <c r="B334" s="618">
        <v>25.712</v>
      </c>
      <c r="C334" s="390"/>
      <c r="D334" s="393">
        <f t="shared" si="109"/>
        <v>25.811873666989268</v>
      </c>
      <c r="E334" s="385">
        <f t="shared" si="135"/>
        <v>26.369935183434485</v>
      </c>
      <c r="F334" s="385">
        <f t="shared" si="137"/>
        <v>26.374163427809396</v>
      </c>
      <c r="G334" s="110">
        <f t="shared" si="136"/>
        <v>0.81404167210692902</v>
      </c>
      <c r="I334" s="380">
        <f t="shared" si="110"/>
        <v>26.374163427809396</v>
      </c>
      <c r="J334" s="85">
        <v>2018</v>
      </c>
      <c r="K334" s="197">
        <f t="shared" si="111"/>
        <v>43420</v>
      </c>
      <c r="L334" s="436">
        <f t="shared" si="112"/>
        <v>3.8692916398780364E-3</v>
      </c>
      <c r="M334" s="968"/>
      <c r="N334" s="968"/>
      <c r="O334" s="324">
        <f t="shared" si="113"/>
        <v>2.1162794393055247E-2</v>
      </c>
      <c r="P334" s="169">
        <f>(INDEX(Models!$BJ334:$BT334,,T334)*(1-R334)+INDEX(Models!$BJ334:$BT334,,T334+1)*R334-ERP_i)*Q334*Ramure*Pc/MaxiM</f>
        <v>2.1829370857020053E-4</v>
      </c>
      <c r="Q334" s="305">
        <f t="shared" si="114"/>
        <v>0.7</v>
      </c>
      <c r="R334" s="177">
        <f t="shared" si="115"/>
        <v>0.49947685007157605</v>
      </c>
      <c r="S334" s="919">
        <f t="shared" si="132"/>
        <v>-2</v>
      </c>
      <c r="T334" s="176">
        <f t="shared" si="116"/>
        <v>4</v>
      </c>
      <c r="U334" s="251">
        <f t="shared" si="117"/>
        <v>-1.5005231499284239</v>
      </c>
      <c r="V334" s="383">
        <f t="shared" si="118"/>
        <v>31.583775084238837</v>
      </c>
      <c r="W334" s="58"/>
      <c r="X334" s="157">
        <f t="shared" si="119"/>
        <v>43420</v>
      </c>
      <c r="Y334" s="385">
        <f t="shared" si="120"/>
        <v>25.712</v>
      </c>
      <c r="Z334" s="385">
        <f t="shared" si="121"/>
        <v>25.811873666989268</v>
      </c>
      <c r="AA334" s="386">
        <f t="shared" si="122"/>
        <v>26.369935183434485</v>
      </c>
      <c r="AB334" s="197">
        <f t="shared" si="123"/>
        <v>43420</v>
      </c>
      <c r="AC334" s="425">
        <f t="shared" si="124"/>
        <v>2.1162794393055247E-2</v>
      </c>
      <c r="AD334" s="169">
        <f>(INDEX(Models!$BJ334:$BT334,,AH334)*(1-AF334)+INDEX(Models!$BJ334:$BT334,,AH334+1)*AF334-ERP_i)*AE334*Ramure*Pc/MaxiM</f>
        <v>2.1829370857020053E-4</v>
      </c>
      <c r="AE334" s="305">
        <f t="shared" si="125"/>
        <v>0.7</v>
      </c>
      <c r="AF334" s="177">
        <f t="shared" si="126"/>
        <v>0.49947685007157605</v>
      </c>
      <c r="AG334" s="919">
        <f t="shared" si="127"/>
        <v>-2</v>
      </c>
      <c r="AH334" s="176">
        <f t="shared" si="128"/>
        <v>4</v>
      </c>
      <c r="AI334" s="225">
        <f t="shared" si="129"/>
        <v>-1.5005231499284239</v>
      </c>
      <c r="AJ334" s="265" t="b">
        <f t="shared" si="130"/>
        <v>0</v>
      </c>
      <c r="AK334" s="265" t="b">
        <f t="shared" si="131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33"/>
        <v>43421</v>
      </c>
      <c r="B335" s="618">
        <v>30.687000000000001</v>
      </c>
      <c r="C335" s="390"/>
      <c r="D335" s="393">
        <f t="shared" ref="D335:D379" si="138">Wh/(1-Ppv)</f>
        <v>30.806872914596912</v>
      </c>
      <c r="E335" s="385">
        <f t="shared" si="135"/>
        <v>31.476058041597398</v>
      </c>
      <c r="F335" s="385">
        <f t="shared" si="137"/>
        <v>31.482813740825435</v>
      </c>
      <c r="G335" s="110">
        <f t="shared" si="136"/>
        <v>0.98046992010709288</v>
      </c>
      <c r="I335" s="380">
        <f t="shared" ref="I335:I380" si="139">Wh_hp</f>
        <v>31.482813740825435</v>
      </c>
      <c r="J335" s="85">
        <v>2018</v>
      </c>
      <c r="K335" s="197">
        <f t="shared" ref="K335:K379" si="140">t</f>
        <v>43421</v>
      </c>
      <c r="L335" s="436">
        <f t="shared" ref="L335:L378" si="141">IF(t&lt;T0,0,IF(t&lt;Tvie,1-EXP((T0-t)*PertePVj),1-EXP((T0-t)*PertePVj)+Pspv))</f>
        <v>3.8911094588932604E-3</v>
      </c>
      <c r="M335" s="968"/>
      <c r="N335" s="968"/>
      <c r="O335" s="324">
        <f t="shared" ref="O335:O379" si="142">IF(t&lt;T0,0,IF(t&lt;Tnet,Salim_i*(1-EXP((T0-t)/Tau_ij)),Resal+(Salim-Resal)*(1-EXP((Tnet-t)/(Tau_j)))))*Salcycl</f>
        <v>2.1260131307297786E-2</v>
      </c>
      <c r="P335" s="169">
        <f>(INDEX(Models!$BJ335:$BT335,,T335)*(1-R335)+INDEX(Models!$BJ335:$BT335,,T335+1)*R335-ERP_i)*Q335*Ramure*Pc/MaxiM</f>
        <v>2.2074049919448491E-4</v>
      </c>
      <c r="Q335" s="305">
        <f t="shared" ref="Q335:Q379" si="143">IF(OR(t&lt;Ttai,Notai),Dd+PousD*Croivg,Dens+PousD*(Croivg-Croi_tai))</f>
        <v>0.7</v>
      </c>
      <c r="R335" s="177">
        <f t="shared" ref="R335:R379" si="144">(Hp_vg-S335)/(INDEX(Echel_vg,T335+1)-S335)</f>
        <v>0.49950606468557024</v>
      </c>
      <c r="S335" s="919">
        <f t="shared" si="132"/>
        <v>-2</v>
      </c>
      <c r="T335" s="176">
        <f t="shared" ref="T335:T379" si="145">MIN(MATCH(Hp_vg,Echel_vg),10)</f>
        <v>4</v>
      </c>
      <c r="U335" s="251">
        <f t="shared" ref="U335:U379" si="146">IF(OR(t&lt;Ttai,Notai),Hdd+PousH*Croivg,Hdtf+PousH*(Croivg-Croi_tai))</f>
        <v>-1.5004939353144298</v>
      </c>
      <c r="V335" s="383">
        <f t="shared" ref="V335:V379" si="147">MaxiM*(1-Ppv)*(1-Pvg)*(1-Psa)</f>
        <v>31.298064730996924</v>
      </c>
      <c r="W335" s="58"/>
      <c r="X335" s="157">
        <f t="shared" ref="X335:X379" si="148">t</f>
        <v>43421</v>
      </c>
      <c r="Y335" s="385">
        <f t="shared" ref="Y335:Y379" si="149">Wh_pvt_s*(1-Ppv)</f>
        <v>30.687000000000001</v>
      </c>
      <c r="Z335" s="385">
        <f t="shared" ref="Z335:Z379" si="150">Wh_sa_s*(1-Psa_s)</f>
        <v>30.806872914596912</v>
      </c>
      <c r="AA335" s="386">
        <f t="shared" ref="AA335:AA379" si="151">Wh_hp*(1-Pvg_s*MEDIAN((-Sdif+Wh/Env_an)/Csdif,0,1))</f>
        <v>31.476058041597398</v>
      </c>
      <c r="AB335" s="197">
        <f t="shared" ref="AB335:AB379" si="152">t</f>
        <v>43421</v>
      </c>
      <c r="AC335" s="425">
        <f t="shared" ref="AC335:AC379" si="153">IF(t&lt;T0,0,IF(OR(t&lt;Tnet,NoTnet),Salim_i*(1-EXP((T0-t)/Tau_ij)),Resal_s+(Salim-Resal_s)*(1-EXP((Tnet_s-t)/Tau_j))))*Salcycl</f>
        <v>2.1260131307297786E-2</v>
      </c>
      <c r="AD335" s="169">
        <f>(INDEX(Models!$BJ335:$BT335,,AH335)*(1-AF335)+INDEX(Models!$BJ335:$BT335,,AH335+1)*AF335-ERP_i)*AE335*Ramure*Pc/MaxiM</f>
        <v>2.2074049919448491E-4</v>
      </c>
      <c r="AE335" s="305">
        <f t="shared" ref="AE335:AE379" si="154">Dd+PousD*Croivg</f>
        <v>0.7</v>
      </c>
      <c r="AF335" s="177">
        <f t="shared" ref="AF335:AF379" si="155">(Hp_vg_s-AG335)/(INDEX(Echel_vg,AH335+1)-AG335)</f>
        <v>0.49950606468557024</v>
      </c>
      <c r="AG335" s="919">
        <f t="shared" ref="AG335:AG379" si="156">INDEX(Echel_vg,AH335)</f>
        <v>-2</v>
      </c>
      <c r="AH335" s="176">
        <f t="shared" ref="AH335:AH379" si="157">MIN(MATCH(Hp_vg_s,Echel_vg),10)</f>
        <v>4</v>
      </c>
      <c r="AI335" s="225">
        <f t="shared" ref="AI335:AI379" si="158">Hdd+PousH*Croivg</f>
        <v>-1.5004939353144298</v>
      </c>
      <c r="AJ335" s="265" t="b">
        <f t="shared" ref="AJ335:AJ380" si="159">t&lt;Tnet</f>
        <v>0</v>
      </c>
      <c r="AK335" s="265" t="b">
        <f t="shared" ref="AK335:AK380" si="160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si="133"/>
        <v>43422</v>
      </c>
      <c r="B336" s="618">
        <v>22.553000000000001</v>
      </c>
      <c r="C336" s="390"/>
      <c r="D336" s="393">
        <f t="shared" si="138"/>
        <v>22.64159490349358</v>
      </c>
      <c r="E336" s="385">
        <f t="shared" si="135"/>
        <v>23.135717046792077</v>
      </c>
      <c r="F336" s="385">
        <f t="shared" si="137"/>
        <v>23.138870814554306</v>
      </c>
      <c r="G336" s="110">
        <f t="shared" si="136"/>
        <v>0.72706638718428773</v>
      </c>
      <c r="I336" s="380">
        <f t="shared" si="139"/>
        <v>23.138870814554306</v>
      </c>
      <c r="J336" s="85">
        <v>2018</v>
      </c>
      <c r="K336" s="197">
        <f t="shared" si="140"/>
        <v>43422</v>
      </c>
      <c r="L336" s="436">
        <f t="shared" si="141"/>
        <v>3.9129268000421824E-3</v>
      </c>
      <c r="M336" s="968"/>
      <c r="N336" s="968"/>
      <c r="O336" s="324">
        <f t="shared" si="142"/>
        <v>2.1357546096329415E-2</v>
      </c>
      <c r="P336" s="169">
        <f>(INDEX(Models!$BJ336:$BT336,,T336)*(1-R336)+INDEX(Models!$BJ336:$BT336,,T336+1)*R336-ERP_i)*Q336*Ramure*Pc/MaxiM</f>
        <v>2.233704957258946E-4</v>
      </c>
      <c r="Q336" s="305">
        <f t="shared" si="143"/>
        <v>0.7</v>
      </c>
      <c r="R336" s="177">
        <f t="shared" si="144"/>
        <v>0.49953410624423356</v>
      </c>
      <c r="S336" s="919">
        <f t="shared" ref="S336:S379" si="161">INDEX(Echel_vg,T336)</f>
        <v>-2</v>
      </c>
      <c r="T336" s="176">
        <f t="shared" si="145"/>
        <v>4</v>
      </c>
      <c r="U336" s="251">
        <f t="shared" si="146"/>
        <v>-1.5004658937557664</v>
      </c>
      <c r="V336" s="383">
        <f t="shared" si="147"/>
        <v>31.016474382689168</v>
      </c>
      <c r="W336" s="58"/>
      <c r="X336" s="157">
        <f t="shared" si="148"/>
        <v>43422</v>
      </c>
      <c r="Y336" s="385">
        <f t="shared" si="149"/>
        <v>22.553000000000001</v>
      </c>
      <c r="Z336" s="385">
        <f t="shared" si="150"/>
        <v>22.64159490349358</v>
      </c>
      <c r="AA336" s="386">
        <f t="shared" si="151"/>
        <v>23.135717046792077</v>
      </c>
      <c r="AB336" s="197">
        <f t="shared" si="152"/>
        <v>43422</v>
      </c>
      <c r="AC336" s="425">
        <f t="shared" si="153"/>
        <v>2.1357546096329415E-2</v>
      </c>
      <c r="AD336" s="169">
        <f>(INDEX(Models!$BJ336:$BT336,,AH336)*(1-AF336)+INDEX(Models!$BJ336:$BT336,,AH336+1)*AF336-ERP_i)*AE336*Ramure*Pc/MaxiM</f>
        <v>2.233704957258946E-4</v>
      </c>
      <c r="AE336" s="305">
        <f t="shared" si="154"/>
        <v>0.7</v>
      </c>
      <c r="AF336" s="177">
        <f t="shared" si="155"/>
        <v>0.49953410624423356</v>
      </c>
      <c r="AG336" s="919">
        <f t="shared" si="156"/>
        <v>-2</v>
      </c>
      <c r="AH336" s="176">
        <f t="shared" si="157"/>
        <v>4</v>
      </c>
      <c r="AI336" s="225">
        <f t="shared" si="158"/>
        <v>-1.5004658937557664</v>
      </c>
      <c r="AJ336" s="265" t="b">
        <f t="shared" si="159"/>
        <v>0</v>
      </c>
      <c r="AK336" s="265" t="b">
        <f t="shared" si="160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ref="A337:A379" si="162">A336+1</f>
        <v>43423</v>
      </c>
      <c r="B337" s="618">
        <v>22.507000000000001</v>
      </c>
      <c r="C337" s="390"/>
      <c r="D337" s="393">
        <f t="shared" si="138"/>
        <v>22.595909110188618</v>
      </c>
      <c r="E337" s="385">
        <f t="shared" si="135"/>
        <v>23.091335024119118</v>
      </c>
      <c r="F337" s="385">
        <f t="shared" si="137"/>
        <v>23.094560136920578</v>
      </c>
      <c r="G337" s="110">
        <f t="shared" si="136"/>
        <v>0.7321234643615524</v>
      </c>
      <c r="I337" s="380">
        <f t="shared" si="139"/>
        <v>23.094560136920578</v>
      </c>
      <c r="J337" s="85">
        <v>2018</v>
      </c>
      <c r="K337" s="197">
        <f t="shared" si="140"/>
        <v>43423</v>
      </c>
      <c r="L337" s="436">
        <f t="shared" si="141"/>
        <v>3.9347436633353494E-3</v>
      </c>
      <c r="M337" s="968"/>
      <c r="N337" s="968"/>
      <c r="O337" s="324">
        <f t="shared" si="142"/>
        <v>2.1455057207087503E-2</v>
      </c>
      <c r="P337" s="169">
        <f>(INDEX(Models!$BJ337:$BT337,,T337)*(1-R337)+INDEX(Models!$BJ337:$BT337,,T337+1)*R337-ERP_i)*Q337*Ramure*Pc/MaxiM</f>
        <v>2.2618391762986245E-4</v>
      </c>
      <c r="Q337" s="305">
        <f t="shared" si="143"/>
        <v>0.7</v>
      </c>
      <c r="R337" s="177">
        <f t="shared" si="144"/>
        <v>0.49956102172540406</v>
      </c>
      <c r="S337" s="919">
        <f t="shared" si="161"/>
        <v>-2</v>
      </c>
      <c r="T337" s="176">
        <f t="shared" si="145"/>
        <v>4</v>
      </c>
      <c r="U337" s="251">
        <f t="shared" si="146"/>
        <v>-1.5004389782745959</v>
      </c>
      <c r="V337" s="383">
        <f t="shared" si="147"/>
        <v>30.739421918783062</v>
      </c>
      <c r="W337" s="58"/>
      <c r="X337" s="157">
        <f t="shared" si="148"/>
        <v>43423</v>
      </c>
      <c r="Y337" s="385">
        <f t="shared" si="149"/>
        <v>22.507000000000001</v>
      </c>
      <c r="Z337" s="385">
        <f t="shared" si="150"/>
        <v>22.595909110188618</v>
      </c>
      <c r="AA337" s="386">
        <f t="shared" si="151"/>
        <v>23.091335024119118</v>
      </c>
      <c r="AB337" s="197">
        <f t="shared" si="152"/>
        <v>43423</v>
      </c>
      <c r="AC337" s="425">
        <f t="shared" si="153"/>
        <v>2.1455057207087503E-2</v>
      </c>
      <c r="AD337" s="169">
        <f>(INDEX(Models!$BJ337:$BT337,,AH337)*(1-AF337)+INDEX(Models!$BJ337:$BT337,,AH337+1)*AF337-ERP_i)*AE337*Ramure*Pc/MaxiM</f>
        <v>2.2618391762986245E-4</v>
      </c>
      <c r="AE337" s="305">
        <f t="shared" si="154"/>
        <v>0.7</v>
      </c>
      <c r="AF337" s="177">
        <f t="shared" si="155"/>
        <v>0.49956102172540406</v>
      </c>
      <c r="AG337" s="919">
        <f t="shared" si="156"/>
        <v>-2</v>
      </c>
      <c r="AH337" s="176">
        <f t="shared" si="157"/>
        <v>4</v>
      </c>
      <c r="AI337" s="225">
        <f t="shared" si="158"/>
        <v>-1.5004389782745959</v>
      </c>
      <c r="AJ337" s="265" t="b">
        <f t="shared" si="159"/>
        <v>0</v>
      </c>
      <c r="AK337" s="265" t="b">
        <f t="shared" si="160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62"/>
        <v>43424</v>
      </c>
      <c r="B338" s="618">
        <v>10.316000000000001</v>
      </c>
      <c r="C338" s="390"/>
      <c r="D338" s="393">
        <f t="shared" si="138"/>
        <v>10.356978005402302</v>
      </c>
      <c r="E338" s="385">
        <f t="shared" si="135"/>
        <v>10.585115637872569</v>
      </c>
      <c r="F338" s="385">
        <f t="shared" si="137"/>
        <v>10.585249209500249</v>
      </c>
      <c r="G338" s="110">
        <f t="shared" si="136"/>
        <v>0.33851891805066542</v>
      </c>
      <c r="I338" s="380">
        <f t="shared" si="139"/>
        <v>10.585249209500249</v>
      </c>
      <c r="J338" s="85">
        <v>2018</v>
      </c>
      <c r="K338" s="197">
        <f t="shared" si="140"/>
        <v>43424</v>
      </c>
      <c r="L338" s="436">
        <f t="shared" si="141"/>
        <v>3.9565600487831976E-3</v>
      </c>
      <c r="M338" s="968"/>
      <c r="N338" s="968"/>
      <c r="O338" s="324">
        <f t="shared" si="142"/>
        <v>2.155268211279722E-2</v>
      </c>
      <c r="P338" s="169">
        <f>(INDEX(Models!$BJ338:$BT338,,T338)*(1-R338)+INDEX(Models!$BJ338:$BT338,,T338+1)*R338-ERP_i)*Q338*Ramure*Pc/MaxiM</f>
        <v>2.288823283568297E-4</v>
      </c>
      <c r="Q338" s="305">
        <f t="shared" si="143"/>
        <v>0.7</v>
      </c>
      <c r="R338" s="177">
        <f t="shared" si="144"/>
        <v>0.49958685623534316</v>
      </c>
      <c r="S338" s="919">
        <f t="shared" si="161"/>
        <v>-2</v>
      </c>
      <c r="T338" s="176">
        <f t="shared" si="145"/>
        <v>4</v>
      </c>
      <c r="U338" s="251">
        <f t="shared" si="146"/>
        <v>-1.5004131437646568</v>
      </c>
      <c r="V338" s="383">
        <f t="shared" si="147"/>
        <v>30.46733416024049</v>
      </c>
      <c r="W338" s="58"/>
      <c r="X338" s="157">
        <f t="shared" si="148"/>
        <v>43424</v>
      </c>
      <c r="Y338" s="385">
        <f t="shared" si="149"/>
        <v>10.316000000000001</v>
      </c>
      <c r="Z338" s="385">
        <f t="shared" si="150"/>
        <v>10.356978005402302</v>
      </c>
      <c r="AA338" s="386">
        <f t="shared" si="151"/>
        <v>10.585115637872569</v>
      </c>
      <c r="AB338" s="197">
        <f t="shared" si="152"/>
        <v>43424</v>
      </c>
      <c r="AC338" s="425">
        <f t="shared" si="153"/>
        <v>2.155268211279722E-2</v>
      </c>
      <c r="AD338" s="169">
        <f>(INDEX(Models!$BJ338:$BT338,,AH338)*(1-AF338)+INDEX(Models!$BJ338:$BT338,,AH338+1)*AF338-ERP_i)*AE338*Ramure*Pc/MaxiM</f>
        <v>2.288823283568297E-4</v>
      </c>
      <c r="AE338" s="305">
        <f t="shared" si="154"/>
        <v>0.7</v>
      </c>
      <c r="AF338" s="177">
        <f t="shared" si="155"/>
        <v>0.49958685623534316</v>
      </c>
      <c r="AG338" s="919">
        <f t="shared" si="156"/>
        <v>-2</v>
      </c>
      <c r="AH338" s="176">
        <f t="shared" si="157"/>
        <v>4</v>
      </c>
      <c r="AI338" s="225">
        <f t="shared" si="158"/>
        <v>-1.5004131437646568</v>
      </c>
      <c r="AJ338" s="265" t="b">
        <f t="shared" si="159"/>
        <v>0</v>
      </c>
      <c r="AK338" s="265" t="b">
        <f t="shared" si="160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62"/>
        <v>43425</v>
      </c>
      <c r="B339" s="618">
        <v>30.09</v>
      </c>
      <c r="C339" s="390"/>
      <c r="D339" s="393">
        <f t="shared" si="138"/>
        <v>30.21018748352267</v>
      </c>
      <c r="E339" s="385">
        <f t="shared" si="135"/>
        <v>30.87872538949938</v>
      </c>
      <c r="F339" s="385">
        <f t="shared" si="137"/>
        <v>30.885830486283265</v>
      </c>
      <c r="G339" s="110">
        <f t="shared" si="136"/>
        <v>0.99633546636946158</v>
      </c>
      <c r="I339" s="380">
        <f t="shared" si="139"/>
        <v>30.885830486283265</v>
      </c>
      <c r="J339" s="85">
        <v>2018</v>
      </c>
      <c r="K339" s="197">
        <f t="shared" si="140"/>
        <v>43425</v>
      </c>
      <c r="L339" s="436">
        <f t="shared" si="141"/>
        <v>3.9783759563962739E-3</v>
      </c>
      <c r="M339" s="968"/>
      <c r="N339" s="968"/>
      <c r="O339" s="324">
        <f t="shared" si="142"/>
        <v>2.1650437236118918E-2</v>
      </c>
      <c r="P339" s="169">
        <f>(INDEX(Models!$BJ339:$BT339,,T339)*(1-R339)+INDEX(Models!$BJ339:$BT339,,T339+1)*R339-ERP_i)*Q339*Ramure*Pc/MaxiM</f>
        <v>2.3125412425609518E-4</v>
      </c>
      <c r="Q339" s="305">
        <f t="shared" si="143"/>
        <v>0.7</v>
      </c>
      <c r="R339" s="177">
        <f t="shared" si="144"/>
        <v>0.49961165308252831</v>
      </c>
      <c r="S339" s="919">
        <f t="shared" si="161"/>
        <v>-2</v>
      </c>
      <c r="T339" s="176">
        <f t="shared" si="145"/>
        <v>4</v>
      </c>
      <c r="U339" s="251">
        <f t="shared" si="146"/>
        <v>-1.5003883469174717</v>
      </c>
      <c r="V339" s="383">
        <f t="shared" si="147"/>
        <v>30.20063481781354</v>
      </c>
      <c r="W339" s="58"/>
      <c r="X339" s="157">
        <f t="shared" si="148"/>
        <v>43425</v>
      </c>
      <c r="Y339" s="385">
        <f t="shared" si="149"/>
        <v>30.09</v>
      </c>
      <c r="Z339" s="385">
        <f t="shared" si="150"/>
        <v>30.21018748352267</v>
      </c>
      <c r="AA339" s="386">
        <f t="shared" si="151"/>
        <v>30.87872538949938</v>
      </c>
      <c r="AB339" s="197">
        <f t="shared" si="152"/>
        <v>43425</v>
      </c>
      <c r="AC339" s="425">
        <f t="shared" si="153"/>
        <v>2.1650437236118918E-2</v>
      </c>
      <c r="AD339" s="169">
        <f>(INDEX(Models!$BJ339:$BT339,,AH339)*(1-AF339)+INDEX(Models!$BJ339:$BT339,,AH339+1)*AF339-ERP_i)*AE339*Ramure*Pc/MaxiM</f>
        <v>2.3125412425609518E-4</v>
      </c>
      <c r="AE339" s="305">
        <f t="shared" si="154"/>
        <v>0.7</v>
      </c>
      <c r="AF339" s="177">
        <f t="shared" si="155"/>
        <v>0.49961165308252831</v>
      </c>
      <c r="AG339" s="919">
        <f t="shared" si="156"/>
        <v>-2</v>
      </c>
      <c r="AH339" s="176">
        <f t="shared" si="157"/>
        <v>4</v>
      </c>
      <c r="AI339" s="225">
        <f t="shared" si="158"/>
        <v>-1.5003883469174717</v>
      </c>
      <c r="AJ339" s="265" t="b">
        <f t="shared" si="159"/>
        <v>0</v>
      </c>
      <c r="AK339" s="265" t="b">
        <f t="shared" si="160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62"/>
        <v>43426</v>
      </c>
      <c r="B340" s="618">
        <v>22.675000000000001</v>
      </c>
      <c r="C340" s="390"/>
      <c r="D340" s="393">
        <f t="shared" si="138"/>
        <v>22.766068631637573</v>
      </c>
      <c r="E340" s="385">
        <f t="shared" si="135"/>
        <v>23.272200307105777</v>
      </c>
      <c r="F340" s="385">
        <f t="shared" si="137"/>
        <v>23.275748141901541</v>
      </c>
      <c r="G340" s="110">
        <f t="shared" si="136"/>
        <v>0.75729332490789614</v>
      </c>
      <c r="I340" s="380">
        <f t="shared" si="139"/>
        <v>23.275748141901541</v>
      </c>
      <c r="J340" s="85">
        <v>2018</v>
      </c>
      <c r="K340" s="197">
        <f t="shared" si="140"/>
        <v>43426</v>
      </c>
      <c r="L340" s="436">
        <f t="shared" si="141"/>
        <v>4.0001913861849037E-3</v>
      </c>
      <c r="M340" s="968"/>
      <c r="N340" s="968"/>
      <c r="O340" s="324">
        <f t="shared" si="142"/>
        <v>2.1748337879064359E-2</v>
      </c>
      <c r="P340" s="169">
        <f>(INDEX(Models!$BJ340:$BT340,,T340)*(1-R340)+INDEX(Models!$BJ340:$BT340,,T340+1)*R340-ERP_i)*Q340*Ramure*Pc/MaxiM</f>
        <v>2.332946324337661E-4</v>
      </c>
      <c r="Q340" s="305">
        <f t="shared" si="143"/>
        <v>0.7</v>
      </c>
      <c r="R340" s="177">
        <f t="shared" si="144"/>
        <v>0.49963545384859698</v>
      </c>
      <c r="S340" s="919">
        <f t="shared" si="161"/>
        <v>-2</v>
      </c>
      <c r="T340" s="176">
        <f t="shared" si="145"/>
        <v>4</v>
      </c>
      <c r="U340" s="251">
        <f t="shared" si="146"/>
        <v>-1.500364546151403</v>
      </c>
      <c r="V340" s="383">
        <f t="shared" si="147"/>
        <v>29.939741027608608</v>
      </c>
      <c r="W340" s="58"/>
      <c r="X340" s="157">
        <f t="shared" si="148"/>
        <v>43426</v>
      </c>
      <c r="Y340" s="385">
        <f t="shared" si="149"/>
        <v>22.675000000000001</v>
      </c>
      <c r="Z340" s="385">
        <f t="shared" si="150"/>
        <v>22.766068631637573</v>
      </c>
      <c r="AA340" s="386">
        <f t="shared" si="151"/>
        <v>23.272200307105777</v>
      </c>
      <c r="AB340" s="197">
        <f t="shared" si="152"/>
        <v>43426</v>
      </c>
      <c r="AC340" s="425">
        <f t="shared" si="153"/>
        <v>2.1748337879064359E-2</v>
      </c>
      <c r="AD340" s="169">
        <f>(INDEX(Models!$BJ340:$BT340,,AH340)*(1-AF340)+INDEX(Models!$BJ340:$BT340,,AH340+1)*AF340-ERP_i)*AE340*Ramure*Pc/MaxiM</f>
        <v>2.332946324337661E-4</v>
      </c>
      <c r="AE340" s="305">
        <f t="shared" si="154"/>
        <v>0.7</v>
      </c>
      <c r="AF340" s="177">
        <f t="shared" si="155"/>
        <v>0.49963545384859698</v>
      </c>
      <c r="AG340" s="919">
        <f t="shared" si="156"/>
        <v>-2</v>
      </c>
      <c r="AH340" s="176">
        <f t="shared" si="157"/>
        <v>4</v>
      </c>
      <c r="AI340" s="225">
        <f t="shared" si="158"/>
        <v>-1.500364546151403</v>
      </c>
      <c r="AJ340" s="265" t="b">
        <f t="shared" si="159"/>
        <v>0</v>
      </c>
      <c r="AK340" s="265" t="b">
        <f t="shared" si="160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62"/>
        <v>43427</v>
      </c>
      <c r="B341" s="618">
        <v>12.962</v>
      </c>
      <c r="C341" s="390"/>
      <c r="D341" s="393">
        <f t="shared" si="138"/>
        <v>13.014343773142567</v>
      </c>
      <c r="E341" s="385">
        <f t="shared" si="135"/>
        <v>13.305010326255484</v>
      </c>
      <c r="F341" s="385">
        <f t="shared" si="137"/>
        <v>13.305620721497654</v>
      </c>
      <c r="G341" s="110">
        <f t="shared" si="136"/>
        <v>0.43656789618823549</v>
      </c>
      <c r="I341" s="380">
        <f t="shared" si="139"/>
        <v>13.305620721497654</v>
      </c>
      <c r="J341" s="85">
        <v>2018</v>
      </c>
      <c r="K341" s="197">
        <f t="shared" si="140"/>
        <v>43427</v>
      </c>
      <c r="L341" s="436">
        <f t="shared" si="141"/>
        <v>4.0220063381596338E-3</v>
      </c>
      <c r="M341" s="968"/>
      <c r="N341" s="968"/>
      <c r="O341" s="324">
        <f t="shared" si="142"/>
        <v>2.1846398160197466E-2</v>
      </c>
      <c r="P341" s="169">
        <f>(INDEX(Models!$BJ341:$BT341,,T341)*(1-R341)+INDEX(Models!$BJ341:$BT341,,T341+1)*R341-ERP_i)*Q341*Ramure*Pc/MaxiM</f>
        <v>2.3499730274816681E-4</v>
      </c>
      <c r="Q341" s="305">
        <f t="shared" si="143"/>
        <v>0.7</v>
      </c>
      <c r="R341" s="177">
        <f t="shared" si="144"/>
        <v>0.49965829845654652</v>
      </c>
      <c r="S341" s="919">
        <f t="shared" si="161"/>
        <v>-2</v>
      </c>
      <c r="T341" s="176">
        <f t="shared" si="145"/>
        <v>4</v>
      </c>
      <c r="U341" s="251">
        <f t="shared" si="146"/>
        <v>-1.5003417015434535</v>
      </c>
      <c r="V341" s="383">
        <f t="shared" si="147"/>
        <v>29.685069830593076</v>
      </c>
      <c r="W341" s="58"/>
      <c r="X341" s="157">
        <f t="shared" si="148"/>
        <v>43427</v>
      </c>
      <c r="Y341" s="385">
        <f t="shared" si="149"/>
        <v>12.962</v>
      </c>
      <c r="Z341" s="385">
        <f t="shared" si="150"/>
        <v>13.014343773142567</v>
      </c>
      <c r="AA341" s="386">
        <f t="shared" si="151"/>
        <v>13.305010326255484</v>
      </c>
      <c r="AB341" s="197">
        <f t="shared" si="152"/>
        <v>43427</v>
      </c>
      <c r="AC341" s="425">
        <f t="shared" si="153"/>
        <v>2.1846398160197466E-2</v>
      </c>
      <c r="AD341" s="169">
        <f>(INDEX(Models!$BJ341:$BT341,,AH341)*(1-AF341)+INDEX(Models!$BJ341:$BT341,,AH341+1)*AF341-ERP_i)*AE341*Ramure*Pc/MaxiM</f>
        <v>2.3499730274816681E-4</v>
      </c>
      <c r="AE341" s="305">
        <f t="shared" si="154"/>
        <v>0.7</v>
      </c>
      <c r="AF341" s="177">
        <f t="shared" si="155"/>
        <v>0.49965829845654652</v>
      </c>
      <c r="AG341" s="919">
        <f t="shared" si="156"/>
        <v>-2</v>
      </c>
      <c r="AH341" s="176">
        <f t="shared" si="157"/>
        <v>4</v>
      </c>
      <c r="AI341" s="225">
        <f t="shared" si="158"/>
        <v>-1.5003417015434535</v>
      </c>
      <c r="AJ341" s="265" t="b">
        <f t="shared" si="159"/>
        <v>0</v>
      </c>
      <c r="AK341" s="265" t="b">
        <f t="shared" si="160"/>
        <v>0</v>
      </c>
      <c r="AL341" s="265"/>
      <c r="AM341" s="265"/>
      <c r="AN341" s="75"/>
    </row>
    <row r="342" spans="1:40" s="6" customFormat="1" ht="11.25" x14ac:dyDescent="0.2">
      <c r="A342" s="56">
        <f t="shared" si="162"/>
        <v>43428</v>
      </c>
      <c r="B342" s="618">
        <v>22.835999999999999</v>
      </c>
      <c r="C342" s="390"/>
      <c r="D342" s="393">
        <f t="shared" si="138"/>
        <v>22.928719633654673</v>
      </c>
      <c r="E342" s="385">
        <f t="shared" si="135"/>
        <v>23.443171378068506</v>
      </c>
      <c r="F342" s="385">
        <f t="shared" si="137"/>
        <v>23.446937900123171</v>
      </c>
      <c r="G342" s="110">
        <f t="shared" si="136"/>
        <v>0.77569864891560136</v>
      </c>
      <c r="I342" s="380">
        <f t="shared" si="139"/>
        <v>23.446937900123171</v>
      </c>
      <c r="J342" s="85">
        <v>2018</v>
      </c>
      <c r="K342" s="197">
        <f t="shared" si="140"/>
        <v>43428</v>
      </c>
      <c r="L342" s="436">
        <f t="shared" si="141"/>
        <v>4.0438208123310115E-3</v>
      </c>
      <c r="M342" s="968"/>
      <c r="N342" s="968"/>
      <c r="O342" s="324">
        <f t="shared" si="142"/>
        <v>2.1944630959576973E-2</v>
      </c>
      <c r="P342" s="169">
        <f>(INDEX(Models!$BJ342:$BT342,,T342)*(1-R342)+INDEX(Models!$BJ342:$BT342,,T342+1)*R342-ERP_i)*Q342*Ramure*Pc/MaxiM</f>
        <v>2.3635613173675834E-4</v>
      </c>
      <c r="Q342" s="305">
        <f t="shared" si="143"/>
        <v>0.7</v>
      </c>
      <c r="R342" s="177">
        <f t="shared" si="144"/>
        <v>0.49968022523629463</v>
      </c>
      <c r="S342" s="919">
        <f t="shared" si="161"/>
        <v>-2</v>
      </c>
      <c r="T342" s="176">
        <f t="shared" si="145"/>
        <v>4</v>
      </c>
      <c r="U342" s="251">
        <f t="shared" si="146"/>
        <v>-1.5003197747637054</v>
      </c>
      <c r="V342" s="383">
        <f t="shared" si="147"/>
        <v>29.437038089898937</v>
      </c>
      <c r="W342" s="58"/>
      <c r="X342" s="157">
        <f t="shared" si="148"/>
        <v>43428</v>
      </c>
      <c r="Y342" s="385">
        <f t="shared" si="149"/>
        <v>22.835999999999999</v>
      </c>
      <c r="Z342" s="385">
        <f t="shared" si="150"/>
        <v>22.928719633654673</v>
      </c>
      <c r="AA342" s="386">
        <f t="shared" si="151"/>
        <v>23.443171378068506</v>
      </c>
      <c r="AB342" s="197">
        <f t="shared" si="152"/>
        <v>43428</v>
      </c>
      <c r="AC342" s="425">
        <f t="shared" si="153"/>
        <v>2.1944630959576973E-2</v>
      </c>
      <c r="AD342" s="169">
        <f>(INDEX(Models!$BJ342:$BT342,,AH342)*(1-AF342)+INDEX(Models!$BJ342:$BT342,,AH342+1)*AF342-ERP_i)*AE342*Ramure*Pc/MaxiM</f>
        <v>2.3635613173675834E-4</v>
      </c>
      <c r="AE342" s="305">
        <f t="shared" si="154"/>
        <v>0.7</v>
      </c>
      <c r="AF342" s="177">
        <f t="shared" si="155"/>
        <v>0.49968022523629463</v>
      </c>
      <c r="AG342" s="919">
        <f t="shared" si="156"/>
        <v>-2</v>
      </c>
      <c r="AH342" s="176">
        <f t="shared" si="157"/>
        <v>4</v>
      </c>
      <c r="AI342" s="225">
        <f t="shared" si="158"/>
        <v>-1.5003197747637054</v>
      </c>
      <c r="AJ342" s="265" t="b">
        <f t="shared" si="159"/>
        <v>0</v>
      </c>
      <c r="AK342" s="265" t="b">
        <f t="shared" si="160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62"/>
        <v>43429</v>
      </c>
      <c r="B343" s="618">
        <v>11.73</v>
      </c>
      <c r="C343" s="390"/>
      <c r="D343" s="393">
        <f t="shared" si="138"/>
        <v>11.777884577511292</v>
      </c>
      <c r="E343" s="385">
        <f t="shared" si="135"/>
        <v>12.043356869523819</v>
      </c>
      <c r="F343" s="385">
        <f t="shared" si="137"/>
        <v>12.043772481262371</v>
      </c>
      <c r="G343" s="110">
        <f t="shared" si="136"/>
        <v>0.40168500124508366</v>
      </c>
      <c r="I343" s="380">
        <f t="shared" si="139"/>
        <v>12.043772481262371</v>
      </c>
      <c r="J343" s="85">
        <v>2018</v>
      </c>
      <c r="K343" s="197">
        <f t="shared" si="140"/>
        <v>43429</v>
      </c>
      <c r="L343" s="436">
        <f t="shared" si="141"/>
        <v>4.0656348087093619E-3</v>
      </c>
      <c r="M343" s="968"/>
      <c r="N343" s="968"/>
      <c r="O343" s="324">
        <f t="shared" si="142"/>
        <v>2.2043047871836724E-2</v>
      </c>
      <c r="P343" s="169">
        <f>(INDEX(Models!$BJ343:$BT343,,T343)*(1-R343)+INDEX(Models!$BJ343:$BT343,,T343+1)*R343-ERP_i)*Q343*Ramure*Pc/MaxiM</f>
        <v>2.3736596168789009E-4</v>
      </c>
      <c r="Q343" s="305">
        <f t="shared" si="143"/>
        <v>0.7</v>
      </c>
      <c r="R343" s="177">
        <f t="shared" si="144"/>
        <v>0.49970127098769179</v>
      </c>
      <c r="S343" s="919">
        <f t="shared" si="161"/>
        <v>-2</v>
      </c>
      <c r="T343" s="176">
        <f t="shared" si="145"/>
        <v>4</v>
      </c>
      <c r="U343" s="251">
        <f t="shared" si="146"/>
        <v>-1.5002987290123082</v>
      </c>
      <c r="V343" s="383">
        <f t="shared" si="147"/>
        <v>29.19606249360287</v>
      </c>
      <c r="W343" s="58"/>
      <c r="X343" s="157">
        <f t="shared" si="148"/>
        <v>43429</v>
      </c>
      <c r="Y343" s="385">
        <f t="shared" si="149"/>
        <v>11.73</v>
      </c>
      <c r="Z343" s="385">
        <f t="shared" si="150"/>
        <v>11.777884577511292</v>
      </c>
      <c r="AA343" s="386">
        <f t="shared" si="151"/>
        <v>12.043356869523819</v>
      </c>
      <c r="AB343" s="197">
        <f t="shared" si="152"/>
        <v>43429</v>
      </c>
      <c r="AC343" s="425">
        <f t="shared" si="153"/>
        <v>2.2043047871836724E-2</v>
      </c>
      <c r="AD343" s="169">
        <f>(INDEX(Models!$BJ343:$BT343,,AH343)*(1-AF343)+INDEX(Models!$BJ343:$BT343,,AH343+1)*AF343-ERP_i)*AE343*Ramure*Pc/MaxiM</f>
        <v>2.3736596168789009E-4</v>
      </c>
      <c r="AE343" s="305">
        <f t="shared" si="154"/>
        <v>0.7</v>
      </c>
      <c r="AF343" s="177">
        <f t="shared" si="155"/>
        <v>0.49970127098769179</v>
      </c>
      <c r="AG343" s="919">
        <f t="shared" si="156"/>
        <v>-2</v>
      </c>
      <c r="AH343" s="176">
        <f t="shared" si="157"/>
        <v>4</v>
      </c>
      <c r="AI343" s="225">
        <f t="shared" si="158"/>
        <v>-1.5002987290123082</v>
      </c>
      <c r="AJ343" s="265" t="b">
        <f t="shared" si="159"/>
        <v>0</v>
      </c>
      <c r="AK343" s="265" t="b">
        <f t="shared" si="160"/>
        <v>0</v>
      </c>
      <c r="AL343" s="265"/>
      <c r="AM343" s="265"/>
      <c r="AN343" s="75"/>
    </row>
    <row r="344" spans="1:40" s="6" customFormat="1" ht="11.25" x14ac:dyDescent="0.2">
      <c r="A344" s="56">
        <f t="shared" si="162"/>
        <v>43430</v>
      </c>
      <c r="B344" s="618">
        <v>4.3040000000000003</v>
      </c>
      <c r="C344" s="390"/>
      <c r="D344" s="393">
        <f t="shared" si="138"/>
        <v>4.3216645806613991</v>
      </c>
      <c r="E344" s="385">
        <f t="shared" si="135"/>
        <v>4.4195200881378982</v>
      </c>
      <c r="F344" s="385">
        <f t="shared" si="137"/>
        <v>4.4195200881378982</v>
      </c>
      <c r="G344" s="110">
        <f t="shared" si="136"/>
        <v>0.14857027896145167</v>
      </c>
      <c r="I344" s="380">
        <f t="shared" si="139"/>
        <v>4.4195200881378982</v>
      </c>
      <c r="J344" s="85">
        <v>2018</v>
      </c>
      <c r="K344" s="197">
        <f t="shared" si="140"/>
        <v>43430</v>
      </c>
      <c r="L344" s="436">
        <f t="shared" si="141"/>
        <v>4.087448327305232E-3</v>
      </c>
      <c r="M344" s="968"/>
      <c r="N344" s="968"/>
      <c r="O344" s="324">
        <f t="shared" si="142"/>
        <v>2.214165916773304E-2</v>
      </c>
      <c r="P344" s="169">
        <f>(INDEX(Models!$BJ344:$BT344,,T344)*(1-R344)+INDEX(Models!$BJ344:$BT344,,T344+1)*R344-ERP_i)*Q344*Ramure*Pc/MaxiM</f>
        <v>2.3802131794164043E-4</v>
      </c>
      <c r="Q344" s="305">
        <f t="shared" si="143"/>
        <v>0.7</v>
      </c>
      <c r="R344" s="177">
        <f t="shared" si="144"/>
        <v>0.49972147104109021</v>
      </c>
      <c r="S344" s="919">
        <f t="shared" si="161"/>
        <v>-2</v>
      </c>
      <c r="T344" s="176">
        <f t="shared" si="145"/>
        <v>4</v>
      </c>
      <c r="U344" s="251">
        <f t="shared" si="146"/>
        <v>-1.5002785289589098</v>
      </c>
      <c r="V344" s="383">
        <f t="shared" si="147"/>
        <v>28.962559580062702</v>
      </c>
      <c r="W344" s="58"/>
      <c r="X344" s="157">
        <f t="shared" si="148"/>
        <v>43430</v>
      </c>
      <c r="Y344" s="385">
        <f t="shared" si="149"/>
        <v>4.3040000000000003</v>
      </c>
      <c r="Z344" s="385">
        <f t="shared" si="150"/>
        <v>4.3216645806613991</v>
      </c>
      <c r="AA344" s="386">
        <f t="shared" si="151"/>
        <v>4.4195200881378982</v>
      </c>
      <c r="AB344" s="197">
        <f t="shared" si="152"/>
        <v>43430</v>
      </c>
      <c r="AC344" s="425">
        <f t="shared" si="153"/>
        <v>2.214165916773304E-2</v>
      </c>
      <c r="AD344" s="169">
        <f>(INDEX(Models!$BJ344:$BT344,,AH344)*(1-AF344)+INDEX(Models!$BJ344:$BT344,,AH344+1)*AF344-ERP_i)*AE344*Ramure*Pc/MaxiM</f>
        <v>2.3802131794164043E-4</v>
      </c>
      <c r="AE344" s="305">
        <f t="shared" si="154"/>
        <v>0.7</v>
      </c>
      <c r="AF344" s="177">
        <f t="shared" si="155"/>
        <v>0.49972147104109021</v>
      </c>
      <c r="AG344" s="919">
        <f t="shared" si="156"/>
        <v>-2</v>
      </c>
      <c r="AH344" s="176">
        <f t="shared" si="157"/>
        <v>4</v>
      </c>
      <c r="AI344" s="225">
        <f t="shared" si="158"/>
        <v>-1.5002785289589098</v>
      </c>
      <c r="AJ344" s="265" t="b">
        <f t="shared" si="159"/>
        <v>0</v>
      </c>
      <c r="AK344" s="265" t="b">
        <f t="shared" si="160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62"/>
        <v>43431</v>
      </c>
      <c r="B345" s="618">
        <v>26.93</v>
      </c>
      <c r="C345" s="390"/>
      <c r="D345" s="393">
        <f t="shared" si="138"/>
        <v>27.04111902576355</v>
      </c>
      <c r="E345" s="385">
        <f t="shared" si="135"/>
        <v>27.656206153135738</v>
      </c>
      <c r="F345" s="385">
        <f t="shared" si="137"/>
        <v>27.662208875171967</v>
      </c>
      <c r="G345" s="110">
        <f t="shared" si="136"/>
        <v>0.93726131864683326</v>
      </c>
      <c r="I345" s="380">
        <f t="shared" si="139"/>
        <v>27.662208875171967</v>
      </c>
      <c r="J345" s="85">
        <v>2018</v>
      </c>
      <c r="K345" s="197">
        <f t="shared" si="140"/>
        <v>43431</v>
      </c>
      <c r="L345" s="436">
        <f t="shared" si="141"/>
        <v>4.109261368129058E-3</v>
      </c>
      <c r="M345" s="968"/>
      <c r="N345" s="968"/>
      <c r="O345" s="324">
        <f t="shared" si="142"/>
        <v>2.2240473764419448E-2</v>
      </c>
      <c r="P345" s="169">
        <f>(INDEX(Models!$BJ345:$BT345,,T345)*(1-R345)+INDEX(Models!$BJ345:$BT345,,T345+1)*R345-ERP_i)*Q345*Ramure*Pc/MaxiM</f>
        <v>2.3835716689234922E-4</v>
      </c>
      <c r="Q345" s="305">
        <f t="shared" si="143"/>
        <v>0.7</v>
      </c>
      <c r="R345" s="177">
        <f t="shared" si="144"/>
        <v>0.49974085931555079</v>
      </c>
      <c r="S345" s="919">
        <f t="shared" si="161"/>
        <v>-2</v>
      </c>
      <c r="T345" s="176">
        <f t="shared" si="145"/>
        <v>4</v>
      </c>
      <c r="U345" s="251">
        <f t="shared" si="146"/>
        <v>-1.5002591406844492</v>
      </c>
      <c r="V345" s="383">
        <f t="shared" si="147"/>
        <v>28.732034719680968</v>
      </c>
      <c r="W345" s="58"/>
      <c r="X345" s="157">
        <f t="shared" si="148"/>
        <v>43431</v>
      </c>
      <c r="Y345" s="385">
        <f t="shared" si="149"/>
        <v>26.93</v>
      </c>
      <c r="Z345" s="385">
        <f t="shared" si="150"/>
        <v>27.04111902576355</v>
      </c>
      <c r="AA345" s="386">
        <f t="shared" si="151"/>
        <v>27.656206153135738</v>
      </c>
      <c r="AB345" s="197">
        <f t="shared" si="152"/>
        <v>43431</v>
      </c>
      <c r="AC345" s="425">
        <f t="shared" si="153"/>
        <v>2.2240473764419448E-2</v>
      </c>
      <c r="AD345" s="169">
        <f>(INDEX(Models!$BJ345:$BT345,,AH345)*(1-AF345)+INDEX(Models!$BJ345:$BT345,,AH345+1)*AF345-ERP_i)*AE345*Ramure*Pc/MaxiM</f>
        <v>2.3835716689234922E-4</v>
      </c>
      <c r="AE345" s="305">
        <f t="shared" si="154"/>
        <v>0.7</v>
      </c>
      <c r="AF345" s="177">
        <f t="shared" si="155"/>
        <v>0.49974085931555079</v>
      </c>
      <c r="AG345" s="919">
        <f t="shared" si="156"/>
        <v>-2</v>
      </c>
      <c r="AH345" s="176">
        <f t="shared" si="157"/>
        <v>4</v>
      </c>
      <c r="AI345" s="225">
        <f t="shared" si="158"/>
        <v>-1.5002591406844492</v>
      </c>
      <c r="AJ345" s="265" t="b">
        <f t="shared" si="159"/>
        <v>0</v>
      </c>
      <c r="AK345" s="265" t="b">
        <f t="shared" si="160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62"/>
        <v>43432</v>
      </c>
      <c r="B346" s="618">
        <v>19.803999999999998</v>
      </c>
      <c r="C346" s="390"/>
      <c r="D346" s="393">
        <f t="shared" si="138"/>
        <v>19.886151160651494</v>
      </c>
      <c r="E346" s="385">
        <f t="shared" si="135"/>
        <v>20.340548835176826</v>
      </c>
      <c r="F346" s="385">
        <f t="shared" si="137"/>
        <v>20.343286490073936</v>
      </c>
      <c r="G346" s="110">
        <f t="shared" si="136"/>
        <v>0.69478299106083663</v>
      </c>
      <c r="I346" s="380">
        <f t="shared" si="139"/>
        <v>20.343286490073936</v>
      </c>
      <c r="J346" s="85">
        <v>2018</v>
      </c>
      <c r="K346" s="197">
        <f t="shared" si="140"/>
        <v>43432</v>
      </c>
      <c r="L346" s="436">
        <f t="shared" si="141"/>
        <v>4.1310739311912759E-3</v>
      </c>
      <c r="M346" s="968"/>
      <c r="N346" s="968"/>
      <c r="O346" s="324">
        <f t="shared" si="142"/>
        <v>2.2339499204637986E-2</v>
      </c>
      <c r="P346" s="169">
        <f>(INDEX(Models!$BJ346:$BT346,,T346)*(1-R346)+INDEX(Models!$BJ346:$BT346,,T346+1)*R346-ERP_i)*Q346*Ramure*Pc/MaxiM</f>
        <v>2.3857102318559342E-4</v>
      </c>
      <c r="Q346" s="305">
        <f t="shared" si="143"/>
        <v>0.7</v>
      </c>
      <c r="R346" s="177">
        <f t="shared" si="144"/>
        <v>0.49975946837478569</v>
      </c>
      <c r="S346" s="919">
        <f t="shared" si="161"/>
        <v>-2</v>
      </c>
      <c r="T346" s="176">
        <f t="shared" si="145"/>
        <v>4</v>
      </c>
      <c r="U346" s="251">
        <f t="shared" si="146"/>
        <v>-1.5002405316252143</v>
      </c>
      <c r="V346" s="383">
        <f t="shared" si="147"/>
        <v>28.500899415478951</v>
      </c>
      <c r="W346" s="58"/>
      <c r="X346" s="157">
        <f t="shared" si="148"/>
        <v>43432</v>
      </c>
      <c r="Y346" s="385">
        <f t="shared" si="149"/>
        <v>19.803999999999998</v>
      </c>
      <c r="Z346" s="385">
        <f t="shared" si="150"/>
        <v>19.886151160651494</v>
      </c>
      <c r="AA346" s="386">
        <f t="shared" si="151"/>
        <v>20.340548835176826</v>
      </c>
      <c r="AB346" s="197">
        <f t="shared" si="152"/>
        <v>43432</v>
      </c>
      <c r="AC346" s="425">
        <f t="shared" si="153"/>
        <v>2.2339499204637986E-2</v>
      </c>
      <c r="AD346" s="169">
        <f>(INDEX(Models!$BJ346:$BT346,,AH346)*(1-AF346)+INDEX(Models!$BJ346:$BT346,,AH346+1)*AF346-ERP_i)*AE346*Ramure*Pc/MaxiM</f>
        <v>2.3857102318559342E-4</v>
      </c>
      <c r="AE346" s="305">
        <f t="shared" si="154"/>
        <v>0.7</v>
      </c>
      <c r="AF346" s="177">
        <f t="shared" si="155"/>
        <v>0.49975946837478569</v>
      </c>
      <c r="AG346" s="919">
        <f t="shared" si="156"/>
        <v>-2</v>
      </c>
      <c r="AH346" s="176">
        <f t="shared" si="157"/>
        <v>4</v>
      </c>
      <c r="AI346" s="225">
        <f t="shared" si="158"/>
        <v>-1.5002405316252143</v>
      </c>
      <c r="AJ346" s="265" t="b">
        <f t="shared" si="159"/>
        <v>0</v>
      </c>
      <c r="AK346" s="265" t="b">
        <f t="shared" si="160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62"/>
        <v>43433</v>
      </c>
      <c r="B347" s="618">
        <v>28.76</v>
      </c>
      <c r="C347" s="390"/>
      <c r="D347" s="393">
        <f t="shared" si="138"/>
        <v>28.879935078545191</v>
      </c>
      <c r="E347" s="385">
        <f t="shared" si="135"/>
        <v>29.542839215152064</v>
      </c>
      <c r="F347" s="385">
        <f t="shared" si="137"/>
        <v>29.549892661364552</v>
      </c>
      <c r="G347" s="110">
        <f t="shared" si="136"/>
        <v>1.0172992284558136</v>
      </c>
      <c r="I347" s="380">
        <f t="shared" si="139"/>
        <v>29.549892661364552</v>
      </c>
      <c r="J347" s="85">
        <v>2018</v>
      </c>
      <c r="K347" s="197">
        <f t="shared" si="140"/>
        <v>43433</v>
      </c>
      <c r="L347" s="436">
        <f t="shared" si="141"/>
        <v>4.1528860165024328E-3</v>
      </c>
      <c r="M347" s="968"/>
      <c r="N347" s="968"/>
      <c r="O347" s="324">
        <f t="shared" si="142"/>
        <v>2.2438741644942525E-2</v>
      </c>
      <c r="P347" s="169">
        <f>(INDEX(Models!$BJ347:$BT347,,T347)*(1-R347)+INDEX(Models!$BJ347:$BT347,,T347+1)*R347-ERP_i)*Q347*Ramure*Pc/MaxiM</f>
        <v>2.3869617034883421E-4</v>
      </c>
      <c r="Q347" s="305">
        <f t="shared" si="143"/>
        <v>0.7</v>
      </c>
      <c r="R347" s="177">
        <f t="shared" si="144"/>
        <v>0.49977732948091469</v>
      </c>
      <c r="S347" s="919">
        <f t="shared" si="161"/>
        <v>-2</v>
      </c>
      <c r="T347" s="176">
        <f t="shared" si="145"/>
        <v>4</v>
      </c>
      <c r="U347" s="251">
        <f t="shared" si="146"/>
        <v>-1.5002226705190853</v>
      </c>
      <c r="V347" s="383">
        <f t="shared" si="147"/>
        <v>28.270934642952199</v>
      </c>
      <c r="W347" s="58"/>
      <c r="X347" s="157">
        <f t="shared" si="148"/>
        <v>43433</v>
      </c>
      <c r="Y347" s="385">
        <f t="shared" si="149"/>
        <v>28.76</v>
      </c>
      <c r="Z347" s="385">
        <f t="shared" si="150"/>
        <v>28.879935078545191</v>
      </c>
      <c r="AA347" s="386">
        <f t="shared" si="151"/>
        <v>29.542839215152064</v>
      </c>
      <c r="AB347" s="197">
        <f t="shared" si="152"/>
        <v>43433</v>
      </c>
      <c r="AC347" s="425">
        <f t="shared" si="153"/>
        <v>2.2438741644942525E-2</v>
      </c>
      <c r="AD347" s="169">
        <f>(INDEX(Models!$BJ347:$BT347,,AH347)*(1-AF347)+INDEX(Models!$BJ347:$BT347,,AH347+1)*AF347-ERP_i)*AE347*Ramure*Pc/MaxiM</f>
        <v>2.3869617034883421E-4</v>
      </c>
      <c r="AE347" s="305">
        <f t="shared" si="154"/>
        <v>0.7</v>
      </c>
      <c r="AF347" s="177">
        <f t="shared" si="155"/>
        <v>0.49977732948091469</v>
      </c>
      <c r="AG347" s="919">
        <f t="shared" si="156"/>
        <v>-2</v>
      </c>
      <c r="AH347" s="176">
        <f t="shared" si="157"/>
        <v>4</v>
      </c>
      <c r="AI347" s="225">
        <f t="shared" si="158"/>
        <v>-1.5002226705190853</v>
      </c>
      <c r="AJ347" s="265" t="b">
        <f t="shared" si="159"/>
        <v>0</v>
      </c>
      <c r="AK347" s="265" t="b">
        <f t="shared" si="160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62"/>
        <v>43434</v>
      </c>
      <c r="B348" s="618">
        <v>10.721</v>
      </c>
      <c r="C348" s="390"/>
      <c r="D348" s="393">
        <f t="shared" si="138"/>
        <v>10.765944563188844</v>
      </c>
      <c r="E348" s="385">
        <f t="shared" si="135"/>
        <v>11.014184521231227</v>
      </c>
      <c r="F348" s="385">
        <f t="shared" si="137"/>
        <v>11.014493632077157</v>
      </c>
      <c r="G348" s="110">
        <f t="shared" si="136"/>
        <v>0.38221264312649572</v>
      </c>
      <c r="I348" s="380">
        <f t="shared" si="139"/>
        <v>11.014493632077157</v>
      </c>
      <c r="J348" s="85">
        <v>2018</v>
      </c>
      <c r="K348" s="197">
        <f t="shared" si="140"/>
        <v>43434</v>
      </c>
      <c r="L348" s="436">
        <f t="shared" si="141"/>
        <v>4.1746976240728539E-3</v>
      </c>
      <c r="M348" s="968"/>
      <c r="N348" s="968"/>
      <c r="O348" s="324">
        <f t="shared" si="142"/>
        <v>2.2538205852995263E-2</v>
      </c>
      <c r="P348" s="169">
        <f>(INDEX(Models!$BJ348:$BT348,,T348)*(1-R348)+INDEX(Models!$BJ348:$BT348,,T348+1)*R348-ERP_i)*Q348*Ramure*Pc/MaxiM</f>
        <v>2.3871731445520433E-4</v>
      </c>
      <c r="Q348" s="305">
        <f t="shared" si="143"/>
        <v>0.7</v>
      </c>
      <c r="R348" s="177">
        <f t="shared" si="144"/>
        <v>0.49979447264612387</v>
      </c>
      <c r="S348" s="919">
        <f t="shared" si="161"/>
        <v>-2</v>
      </c>
      <c r="T348" s="176">
        <f t="shared" si="145"/>
        <v>4</v>
      </c>
      <c r="U348" s="251">
        <f t="shared" si="146"/>
        <v>-1.5002055273538761</v>
      </c>
      <c r="V348" s="383">
        <f t="shared" si="147"/>
        <v>28.043921924844387</v>
      </c>
      <c r="W348" s="58"/>
      <c r="X348" s="157">
        <f t="shared" si="148"/>
        <v>43434</v>
      </c>
      <c r="Y348" s="385">
        <f t="shared" si="149"/>
        <v>10.721</v>
      </c>
      <c r="Z348" s="385">
        <f t="shared" si="150"/>
        <v>10.765944563188844</v>
      </c>
      <c r="AA348" s="386">
        <f t="shared" si="151"/>
        <v>11.014184521231227</v>
      </c>
      <c r="AB348" s="197">
        <f t="shared" si="152"/>
        <v>43434</v>
      </c>
      <c r="AC348" s="425">
        <f t="shared" si="153"/>
        <v>2.2538205852995263E-2</v>
      </c>
      <c r="AD348" s="169">
        <f>(INDEX(Models!$BJ348:$BT348,,AH348)*(1-AF348)+INDEX(Models!$BJ348:$BT348,,AH348+1)*AF348-ERP_i)*AE348*Ramure*Pc/MaxiM</f>
        <v>2.3871731445520433E-4</v>
      </c>
      <c r="AE348" s="305">
        <f t="shared" si="154"/>
        <v>0.7</v>
      </c>
      <c r="AF348" s="177">
        <f t="shared" si="155"/>
        <v>0.49979447264612387</v>
      </c>
      <c r="AG348" s="919">
        <f t="shared" si="156"/>
        <v>-2</v>
      </c>
      <c r="AH348" s="176">
        <f t="shared" si="157"/>
        <v>4</v>
      </c>
      <c r="AI348" s="225">
        <f t="shared" si="158"/>
        <v>-1.5002055273538761</v>
      </c>
      <c r="AJ348" s="265" t="b">
        <f t="shared" si="159"/>
        <v>0</v>
      </c>
      <c r="AK348" s="265" t="b">
        <f t="shared" si="160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62"/>
        <v>43435</v>
      </c>
      <c r="B349" s="618">
        <v>19.683</v>
      </c>
      <c r="C349" s="390"/>
      <c r="D349" s="393">
        <f t="shared" si="138"/>
        <v>19.765947973701028</v>
      </c>
      <c r="E349" s="385">
        <f t="shared" si="135"/>
        <v>20.223771595919349</v>
      </c>
      <c r="F349" s="385">
        <f t="shared" si="137"/>
        <v>20.226581068449882</v>
      </c>
      <c r="G349" s="110">
        <f t="shared" si="136"/>
        <v>0.7074002676695258</v>
      </c>
      <c r="I349" s="380">
        <f t="shared" si="139"/>
        <v>20.226581068449882</v>
      </c>
      <c r="J349" s="85">
        <v>2018</v>
      </c>
      <c r="K349" s="197">
        <f t="shared" si="140"/>
        <v>43435</v>
      </c>
      <c r="L349" s="436">
        <f t="shared" si="141"/>
        <v>4.1965087539131973E-3</v>
      </c>
      <c r="M349" s="968"/>
      <c r="N349" s="968"/>
      <c r="O349" s="324">
        <f t="shared" si="142"/>
        <v>2.2637895213902446E-2</v>
      </c>
      <c r="P349" s="169">
        <f>(INDEX(Models!$BJ349:$BT349,,T349)*(1-R349)+INDEX(Models!$BJ349:$BT349,,T349+1)*R349-ERP_i)*Q349*Ramure*Pc/MaxiM</f>
        <v>2.3861834641474656E-4</v>
      </c>
      <c r="Q349" s="305">
        <f t="shared" si="143"/>
        <v>0.7</v>
      </c>
      <c r="R349" s="177">
        <f t="shared" si="144"/>
        <v>0.49981092668229943</v>
      </c>
      <c r="S349" s="919">
        <f t="shared" si="161"/>
        <v>-2</v>
      </c>
      <c r="T349" s="176">
        <f t="shared" si="145"/>
        <v>4</v>
      </c>
      <c r="U349" s="251">
        <f t="shared" si="146"/>
        <v>-1.5001890733177006</v>
      </c>
      <c r="V349" s="383">
        <f t="shared" si="147"/>
        <v>27.821641962858283</v>
      </c>
      <c r="W349" s="58"/>
      <c r="X349" s="157">
        <f t="shared" si="148"/>
        <v>43435</v>
      </c>
      <c r="Y349" s="385">
        <f t="shared" si="149"/>
        <v>19.683</v>
      </c>
      <c r="Z349" s="385">
        <f t="shared" si="150"/>
        <v>19.765947973701028</v>
      </c>
      <c r="AA349" s="386">
        <f t="shared" si="151"/>
        <v>20.223771595919349</v>
      </c>
      <c r="AB349" s="197">
        <f t="shared" si="152"/>
        <v>43435</v>
      </c>
      <c r="AC349" s="425">
        <f t="shared" si="153"/>
        <v>2.2637895213902446E-2</v>
      </c>
      <c r="AD349" s="169">
        <f>(INDEX(Models!$BJ349:$BT349,,AH349)*(1-AF349)+INDEX(Models!$BJ349:$BT349,,AH349+1)*AF349-ERP_i)*AE349*Ramure*Pc/MaxiM</f>
        <v>2.3861834641474656E-4</v>
      </c>
      <c r="AE349" s="305">
        <f t="shared" si="154"/>
        <v>0.7</v>
      </c>
      <c r="AF349" s="177">
        <f t="shared" si="155"/>
        <v>0.49981092668229943</v>
      </c>
      <c r="AG349" s="919">
        <f t="shared" si="156"/>
        <v>-2</v>
      </c>
      <c r="AH349" s="176">
        <f t="shared" si="157"/>
        <v>4</v>
      </c>
      <c r="AI349" s="225">
        <f t="shared" si="158"/>
        <v>-1.5001890733177006</v>
      </c>
      <c r="AJ349" s="265" t="b">
        <f t="shared" si="159"/>
        <v>0</v>
      </c>
      <c r="AK349" s="265" t="b">
        <f t="shared" si="160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62"/>
        <v>43436</v>
      </c>
      <c r="B350" s="618">
        <v>7.6029999999999998</v>
      </c>
      <c r="C350" s="390"/>
      <c r="D350" s="393">
        <f t="shared" si="138"/>
        <v>7.6352077449998319</v>
      </c>
      <c r="E350" s="385">
        <f t="shared" si="135"/>
        <v>7.8128549705141292</v>
      </c>
      <c r="F350" s="385">
        <f t="shared" si="137"/>
        <v>7.8128549705141292</v>
      </c>
      <c r="G350" s="110">
        <f t="shared" si="136"/>
        <v>0.27534673990414443</v>
      </c>
      <c r="I350" s="380">
        <f t="shared" si="139"/>
        <v>7.8128549705141292</v>
      </c>
      <c r="J350" s="85">
        <v>2018</v>
      </c>
      <c r="K350" s="197">
        <f t="shared" si="140"/>
        <v>43436</v>
      </c>
      <c r="L350" s="436">
        <f t="shared" si="141"/>
        <v>4.2183194060337881E-3</v>
      </c>
      <c r="M350" s="968"/>
      <c r="N350" s="968"/>
      <c r="O350" s="324">
        <f t="shared" si="142"/>
        <v>2.2737811745481212E-2</v>
      </c>
      <c r="P350" s="169">
        <f>(INDEX(Models!$BJ350:$BT350,,T350)*(1-R350)+INDEX(Models!$BJ350:$BT350,,T350+1)*R350-ERP_i)*Q350*Ramure*Pc/MaxiM</f>
        <v>2.3838241289055097E-4</v>
      </c>
      <c r="Q350" s="305">
        <f t="shared" si="143"/>
        <v>0.7</v>
      </c>
      <c r="R350" s="177">
        <f t="shared" si="144"/>
        <v>0.49982671924872113</v>
      </c>
      <c r="S350" s="919">
        <f t="shared" si="161"/>
        <v>-2</v>
      </c>
      <c r="T350" s="176">
        <f t="shared" si="145"/>
        <v>4</v>
      </c>
      <c r="U350" s="251">
        <f t="shared" si="146"/>
        <v>-1.5001732807512789</v>
      </c>
      <c r="V350" s="383">
        <f t="shared" si="147"/>
        <v>27.605874618893147</v>
      </c>
      <c r="W350" s="58"/>
      <c r="X350" s="157">
        <f t="shared" si="148"/>
        <v>43436</v>
      </c>
      <c r="Y350" s="385">
        <f t="shared" si="149"/>
        <v>7.6029999999999998</v>
      </c>
      <c r="Z350" s="385">
        <f t="shared" si="150"/>
        <v>7.6352077449998319</v>
      </c>
      <c r="AA350" s="386">
        <f t="shared" si="151"/>
        <v>7.8128549705141292</v>
      </c>
      <c r="AB350" s="197">
        <f t="shared" si="152"/>
        <v>43436</v>
      </c>
      <c r="AC350" s="425">
        <f t="shared" si="153"/>
        <v>2.2737811745481212E-2</v>
      </c>
      <c r="AD350" s="169">
        <f>(INDEX(Models!$BJ350:$BT350,,AH350)*(1-AF350)+INDEX(Models!$BJ350:$BT350,,AH350+1)*AF350-ERP_i)*AE350*Ramure*Pc/MaxiM</f>
        <v>2.3838241289055097E-4</v>
      </c>
      <c r="AE350" s="305">
        <f t="shared" si="154"/>
        <v>0.7</v>
      </c>
      <c r="AF350" s="177">
        <f t="shared" si="155"/>
        <v>0.49982671924872113</v>
      </c>
      <c r="AG350" s="919">
        <f t="shared" si="156"/>
        <v>-2</v>
      </c>
      <c r="AH350" s="176">
        <f t="shared" si="157"/>
        <v>4</v>
      </c>
      <c r="AI350" s="225">
        <f t="shared" si="158"/>
        <v>-1.5001732807512789</v>
      </c>
      <c r="AJ350" s="265" t="b">
        <f t="shared" si="159"/>
        <v>0</v>
      </c>
      <c r="AK350" s="265" t="b">
        <f t="shared" si="160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62"/>
        <v>43437</v>
      </c>
      <c r="B351" s="618">
        <v>9.9179999999999993</v>
      </c>
      <c r="C351" s="390"/>
      <c r="D351" s="393">
        <f t="shared" si="138"/>
        <v>9.9602326772027219</v>
      </c>
      <c r="E351" s="385">
        <f t="shared" si="135"/>
        <v>10.193020430549051</v>
      </c>
      <c r="F351" s="385">
        <f t="shared" si="137"/>
        <v>10.193235268861663</v>
      </c>
      <c r="G351" s="110">
        <f t="shared" si="136"/>
        <v>0.36191343219245942</v>
      </c>
      <c r="I351" s="380">
        <f t="shared" si="139"/>
        <v>10.193235268861663</v>
      </c>
      <c r="J351" s="85">
        <v>2018</v>
      </c>
      <c r="K351" s="197">
        <f t="shared" si="140"/>
        <v>43437</v>
      </c>
      <c r="L351" s="436">
        <f t="shared" si="141"/>
        <v>4.2401295804450623E-3</v>
      </c>
      <c r="M351" s="968"/>
      <c r="N351" s="968"/>
      <c r="O351" s="324">
        <f t="shared" si="142"/>
        <v>2.2837956122274791E-2</v>
      </c>
      <c r="P351" s="169">
        <f>(INDEX(Models!$BJ351:$BT351,,T351)*(1-R351)+INDEX(Models!$BJ351:$BT351,,T351+1)*R351-ERP_i)*Q351*Ramure*Pc/MaxiM</f>
        <v>2.379920162536631E-4</v>
      </c>
      <c r="Q351" s="305">
        <f t="shared" si="143"/>
        <v>0.7</v>
      </c>
      <c r="R351" s="177">
        <f t="shared" si="144"/>
        <v>0.49984187689788384</v>
      </c>
      <c r="S351" s="919">
        <f t="shared" si="161"/>
        <v>-2</v>
      </c>
      <c r="T351" s="176">
        <f t="shared" si="145"/>
        <v>4</v>
      </c>
      <c r="U351" s="251">
        <f t="shared" si="146"/>
        <v>-1.5001581231021162</v>
      </c>
      <c r="V351" s="383">
        <f t="shared" si="147"/>
        <v>27.398398912881159</v>
      </c>
      <c r="W351" s="58"/>
      <c r="X351" s="157">
        <f t="shared" si="148"/>
        <v>43437</v>
      </c>
      <c r="Y351" s="385">
        <f t="shared" si="149"/>
        <v>9.9179999999999993</v>
      </c>
      <c r="Z351" s="385">
        <f t="shared" si="150"/>
        <v>9.9602326772027219</v>
      </c>
      <c r="AA351" s="386">
        <f t="shared" si="151"/>
        <v>10.193020430549051</v>
      </c>
      <c r="AB351" s="197">
        <f t="shared" si="152"/>
        <v>43437</v>
      </c>
      <c r="AC351" s="425">
        <f t="shared" si="153"/>
        <v>2.2837956122274791E-2</v>
      </c>
      <c r="AD351" s="169">
        <f>(INDEX(Models!$BJ351:$BT351,,AH351)*(1-AF351)+INDEX(Models!$BJ351:$BT351,,AH351+1)*AF351-ERP_i)*AE351*Ramure*Pc/MaxiM</f>
        <v>2.379920162536631E-4</v>
      </c>
      <c r="AE351" s="305">
        <f t="shared" si="154"/>
        <v>0.7</v>
      </c>
      <c r="AF351" s="177">
        <f t="shared" si="155"/>
        <v>0.49984187689788384</v>
      </c>
      <c r="AG351" s="919">
        <f t="shared" si="156"/>
        <v>-2</v>
      </c>
      <c r="AH351" s="176">
        <f t="shared" si="157"/>
        <v>4</v>
      </c>
      <c r="AI351" s="225">
        <f t="shared" si="158"/>
        <v>-1.5001581231021162</v>
      </c>
      <c r="AJ351" s="265" t="b">
        <f t="shared" si="159"/>
        <v>0</v>
      </c>
      <c r="AK351" s="265" t="b">
        <f t="shared" si="160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62"/>
        <v>43438</v>
      </c>
      <c r="B352" s="618">
        <v>5.9429999999999996</v>
      </c>
      <c r="C352" s="390"/>
      <c r="D352" s="393">
        <f t="shared" si="138"/>
        <v>5.9684371165703567</v>
      </c>
      <c r="E352" s="385">
        <f t="shared" si="135"/>
        <v>6.108557203528334</v>
      </c>
      <c r="F352" s="385">
        <f t="shared" si="137"/>
        <v>6.108557203528334</v>
      </c>
      <c r="G352" s="110">
        <f t="shared" si="136"/>
        <v>0.21843279605780436</v>
      </c>
      <c r="I352" s="380">
        <f t="shared" si="139"/>
        <v>6.108557203528334</v>
      </c>
      <c r="J352" s="85">
        <v>2018</v>
      </c>
      <c r="K352" s="197">
        <f t="shared" si="140"/>
        <v>43438</v>
      </c>
      <c r="L352" s="436">
        <f t="shared" si="141"/>
        <v>4.2619392771576781E-3</v>
      </c>
      <c r="M352" s="968"/>
      <c r="N352" s="968"/>
      <c r="O352" s="324">
        <f t="shared" si="142"/>
        <v>2.2938327708062214E-2</v>
      </c>
      <c r="P352" s="169">
        <f>(INDEX(Models!$BJ352:$BT352,,T352)*(1-R352)+INDEX(Models!$BJ352:$BT352,,T352+1)*R352-ERP_i)*Q352*Ramure*Pc/MaxiM</f>
        <v>2.3753677786097886E-4</v>
      </c>
      <c r="Q352" s="305">
        <f t="shared" si="143"/>
        <v>0.7</v>
      </c>
      <c r="R352" s="177">
        <f t="shared" si="144"/>
        <v>0.49985642511951878</v>
      </c>
      <c r="S352" s="919">
        <f t="shared" si="161"/>
        <v>-2</v>
      </c>
      <c r="T352" s="176">
        <f t="shared" si="145"/>
        <v>4</v>
      </c>
      <c r="U352" s="251">
        <f t="shared" si="146"/>
        <v>-1.5001435748804812</v>
      </c>
      <c r="V352" s="383">
        <f t="shared" si="147"/>
        <v>27.200990080980496</v>
      </c>
      <c r="W352" s="58"/>
      <c r="X352" s="157">
        <f t="shared" si="148"/>
        <v>43438</v>
      </c>
      <c r="Y352" s="385">
        <f t="shared" si="149"/>
        <v>5.9429999999999996</v>
      </c>
      <c r="Z352" s="385">
        <f t="shared" si="150"/>
        <v>5.9684371165703567</v>
      </c>
      <c r="AA352" s="386">
        <f t="shared" si="151"/>
        <v>6.108557203528334</v>
      </c>
      <c r="AB352" s="197">
        <f t="shared" si="152"/>
        <v>43438</v>
      </c>
      <c r="AC352" s="425">
        <f t="shared" si="153"/>
        <v>2.2938327708062214E-2</v>
      </c>
      <c r="AD352" s="169">
        <f>(INDEX(Models!$BJ352:$BT352,,AH352)*(1-AF352)+INDEX(Models!$BJ352:$BT352,,AH352+1)*AF352-ERP_i)*AE352*Ramure*Pc/MaxiM</f>
        <v>2.3753677786097886E-4</v>
      </c>
      <c r="AE352" s="305">
        <f t="shared" si="154"/>
        <v>0.7</v>
      </c>
      <c r="AF352" s="177">
        <f t="shared" si="155"/>
        <v>0.49985642511951878</v>
      </c>
      <c r="AG352" s="919">
        <f t="shared" si="156"/>
        <v>-2</v>
      </c>
      <c r="AH352" s="176">
        <f t="shared" si="157"/>
        <v>4</v>
      </c>
      <c r="AI352" s="225">
        <f t="shared" si="158"/>
        <v>-1.5001435748804812</v>
      </c>
      <c r="AJ352" s="265" t="b">
        <f t="shared" si="159"/>
        <v>0</v>
      </c>
      <c r="AK352" s="265" t="b">
        <f t="shared" si="160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62"/>
        <v>43439</v>
      </c>
      <c r="B353" s="618">
        <v>21.015000000000001</v>
      </c>
      <c r="C353" s="390"/>
      <c r="D353" s="393">
        <f t="shared" si="138"/>
        <v>21.105410269503285</v>
      </c>
      <c r="E353" s="385">
        <f t="shared" si="135"/>
        <v>21.603122991146041</v>
      </c>
      <c r="F353" s="385">
        <f t="shared" si="137"/>
        <v>21.606623524518486</v>
      </c>
      <c r="G353" s="110">
        <f t="shared" si="136"/>
        <v>0.77783057365518871</v>
      </c>
      <c r="I353" s="380">
        <f t="shared" si="139"/>
        <v>21.606623524518486</v>
      </c>
      <c r="J353" s="85">
        <v>2018</v>
      </c>
      <c r="K353" s="197">
        <f t="shared" si="140"/>
        <v>43439</v>
      </c>
      <c r="L353" s="436">
        <f t="shared" si="141"/>
        <v>4.2837484961818495E-3</v>
      </c>
      <c r="M353" s="968"/>
      <c r="N353" s="968"/>
      <c r="O353" s="324">
        <f t="shared" si="142"/>
        <v>2.3038924596538255E-2</v>
      </c>
      <c r="P353" s="169">
        <f>(INDEX(Models!$BJ353:$BT353,,T353)*(1-R353)+INDEX(Models!$BJ353:$BT353,,T353+1)*R353-ERP_i)*Q353*Ramure*Pc/MaxiM</f>
        <v>2.3731116990263125E-4</v>
      </c>
      <c r="Q353" s="305">
        <f t="shared" si="143"/>
        <v>0.7</v>
      </c>
      <c r="R353" s="177">
        <f t="shared" si="144"/>
        <v>0.49987038838288766</v>
      </c>
      <c r="S353" s="919">
        <f t="shared" si="161"/>
        <v>-2</v>
      </c>
      <c r="T353" s="176">
        <f t="shared" si="145"/>
        <v>4</v>
      </c>
      <c r="U353" s="251">
        <f t="shared" si="146"/>
        <v>-1.5001296116171123</v>
      </c>
      <c r="V353" s="383">
        <f t="shared" si="147"/>
        <v>27.015417038493641</v>
      </c>
      <c r="W353" s="58"/>
      <c r="X353" s="157">
        <f t="shared" si="148"/>
        <v>43439</v>
      </c>
      <c r="Y353" s="385">
        <f t="shared" si="149"/>
        <v>21.015000000000001</v>
      </c>
      <c r="Z353" s="385">
        <f t="shared" si="150"/>
        <v>21.105410269503285</v>
      </c>
      <c r="AA353" s="386">
        <f t="shared" si="151"/>
        <v>21.603122991146041</v>
      </c>
      <c r="AB353" s="197">
        <f t="shared" si="152"/>
        <v>43439</v>
      </c>
      <c r="AC353" s="425">
        <f t="shared" si="153"/>
        <v>2.3038924596538255E-2</v>
      </c>
      <c r="AD353" s="169">
        <f>(INDEX(Models!$BJ353:$BT353,,AH353)*(1-AF353)+INDEX(Models!$BJ353:$BT353,,AH353+1)*AF353-ERP_i)*AE353*Ramure*Pc/MaxiM</f>
        <v>2.3731116990263125E-4</v>
      </c>
      <c r="AE353" s="305">
        <f t="shared" si="154"/>
        <v>0.7</v>
      </c>
      <c r="AF353" s="177">
        <f t="shared" si="155"/>
        <v>0.49987038838288766</v>
      </c>
      <c r="AG353" s="919">
        <f t="shared" si="156"/>
        <v>-2</v>
      </c>
      <c r="AH353" s="176">
        <f t="shared" si="157"/>
        <v>4</v>
      </c>
      <c r="AI353" s="225">
        <f t="shared" si="158"/>
        <v>-1.5001296116171123</v>
      </c>
      <c r="AJ353" s="265" t="b">
        <f t="shared" si="159"/>
        <v>0</v>
      </c>
      <c r="AK353" s="265" t="b">
        <f t="shared" si="160"/>
        <v>0</v>
      </c>
      <c r="AL353" s="265"/>
      <c r="AM353" s="265"/>
      <c r="AN353" s="75"/>
    </row>
    <row r="354" spans="1:40" s="6" customFormat="1" ht="11.25" x14ac:dyDescent="0.2">
      <c r="A354" s="56">
        <f t="shared" si="162"/>
        <v>43440</v>
      </c>
      <c r="B354" s="618">
        <v>10.673999999999999</v>
      </c>
      <c r="C354" s="390"/>
      <c r="D354" s="393">
        <f t="shared" si="138"/>
        <v>10.720156246313747</v>
      </c>
      <c r="E354" s="385">
        <f t="shared" si="135"/>
        <v>10.9740939676228</v>
      </c>
      <c r="F354" s="385">
        <f t="shared" si="137"/>
        <v>10.974457217410322</v>
      </c>
      <c r="G354" s="110">
        <f t="shared" si="136"/>
        <v>0.3975576076306182</v>
      </c>
      <c r="I354" s="380">
        <f t="shared" si="139"/>
        <v>10.974457217410322</v>
      </c>
      <c r="J354" s="85">
        <v>2018</v>
      </c>
      <c r="K354" s="197">
        <f t="shared" si="140"/>
        <v>43440</v>
      </c>
      <c r="L354" s="436">
        <f t="shared" si="141"/>
        <v>4.3055572375281237E-3</v>
      </c>
      <c r="M354" s="968"/>
      <c r="N354" s="968"/>
      <c r="O354" s="324">
        <f t="shared" si="142"/>
        <v>2.3139743659772848E-2</v>
      </c>
      <c r="P354" s="169">
        <f>(INDEX(Models!$BJ354:$BT354,,T354)*(1-R354)+INDEX(Models!$BJ354:$BT354,,T354+1)*R354-ERP_i)*Q354*Ramure*Pc/MaxiM</f>
        <v>2.3730008223546724E-4</v>
      </c>
      <c r="Q354" s="305">
        <f t="shared" si="143"/>
        <v>0.7</v>
      </c>
      <c r="R354" s="177">
        <f t="shared" si="144"/>
        <v>0.49988379017741069</v>
      </c>
      <c r="S354" s="919">
        <f t="shared" si="161"/>
        <v>-2</v>
      </c>
      <c r="T354" s="176">
        <f t="shared" si="145"/>
        <v>4</v>
      </c>
      <c r="U354" s="251">
        <f t="shared" si="146"/>
        <v>-1.5001162098225893</v>
      </c>
      <c r="V354" s="383">
        <f t="shared" si="147"/>
        <v>26.843456361357994</v>
      </c>
      <c r="W354" s="58"/>
      <c r="X354" s="157">
        <f t="shared" si="148"/>
        <v>43440</v>
      </c>
      <c r="Y354" s="385">
        <f t="shared" si="149"/>
        <v>10.673999999999999</v>
      </c>
      <c r="Z354" s="385">
        <f t="shared" si="150"/>
        <v>10.720156246313747</v>
      </c>
      <c r="AA354" s="386">
        <f t="shared" si="151"/>
        <v>10.9740939676228</v>
      </c>
      <c r="AB354" s="197">
        <f t="shared" si="152"/>
        <v>43440</v>
      </c>
      <c r="AC354" s="425">
        <f t="shared" si="153"/>
        <v>2.3139743659772848E-2</v>
      </c>
      <c r="AD354" s="169">
        <f>(INDEX(Models!$BJ354:$BT354,,AH354)*(1-AF354)+INDEX(Models!$BJ354:$BT354,,AH354+1)*AF354-ERP_i)*AE354*Ramure*Pc/MaxiM</f>
        <v>2.3730008223546724E-4</v>
      </c>
      <c r="AE354" s="305">
        <f t="shared" si="154"/>
        <v>0.7</v>
      </c>
      <c r="AF354" s="177">
        <f t="shared" si="155"/>
        <v>0.49988379017741069</v>
      </c>
      <c r="AG354" s="919">
        <f t="shared" si="156"/>
        <v>-2</v>
      </c>
      <c r="AH354" s="176">
        <f t="shared" si="157"/>
        <v>4</v>
      </c>
      <c r="AI354" s="225">
        <f t="shared" si="158"/>
        <v>-1.5001162098225893</v>
      </c>
      <c r="AJ354" s="265" t="b">
        <f t="shared" si="159"/>
        <v>0</v>
      </c>
      <c r="AK354" s="265" t="b">
        <f t="shared" si="160"/>
        <v>0</v>
      </c>
      <c r="AL354" s="265"/>
      <c r="AM354" s="265"/>
      <c r="AN354" s="75"/>
    </row>
    <row r="355" spans="1:40" s="6" customFormat="1" ht="11.25" x14ac:dyDescent="0.2">
      <c r="A355" s="56">
        <f t="shared" si="162"/>
        <v>43441</v>
      </c>
      <c r="B355" s="618">
        <v>22.962</v>
      </c>
      <c r="C355" s="390"/>
      <c r="D355" s="393">
        <f t="shared" si="138"/>
        <v>23.061796823971903</v>
      </c>
      <c r="E355" s="385">
        <f t="shared" si="135"/>
        <v>23.61052382820872</v>
      </c>
      <c r="F355" s="385">
        <f t="shared" si="137"/>
        <v>23.615013833101326</v>
      </c>
      <c r="G355" s="110">
        <f t="shared" si="136"/>
        <v>0.86038192720790785</v>
      </c>
      <c r="I355" s="380">
        <f t="shared" si="139"/>
        <v>23.615013833101326</v>
      </c>
      <c r="J355" s="85">
        <v>2018</v>
      </c>
      <c r="K355" s="197">
        <f t="shared" si="140"/>
        <v>43441</v>
      </c>
      <c r="L355" s="436">
        <f t="shared" si="141"/>
        <v>4.3273655012070478E-3</v>
      </c>
      <c r="M355" s="968"/>
      <c r="N355" s="968"/>
      <c r="O355" s="324">
        <f t="shared" si="142"/>
        <v>2.3240780603995936E-2</v>
      </c>
      <c r="P355" s="169">
        <f>(INDEX(Models!$BJ355:$BT355,,T355)*(1-R355)+INDEX(Models!$BJ355:$BT355,,T355+1)*R355-ERP_i)*Q355*Ramure*Pc/MaxiM</f>
        <v>2.3748760495572509E-4</v>
      </c>
      <c r="Q355" s="305">
        <f t="shared" si="143"/>
        <v>0.7</v>
      </c>
      <c r="R355" s="177">
        <f t="shared" si="144"/>
        <v>0.49989665305169573</v>
      </c>
      <c r="S355" s="919">
        <f t="shared" si="161"/>
        <v>-2</v>
      </c>
      <c r="T355" s="176">
        <f t="shared" si="145"/>
        <v>4</v>
      </c>
      <c r="U355" s="251">
        <f t="shared" si="146"/>
        <v>-1.5001033469483043</v>
      </c>
      <c r="V355" s="383">
        <f t="shared" si="147"/>
        <v>26.686883722027442</v>
      </c>
      <c r="W355" s="58"/>
      <c r="X355" s="157">
        <f t="shared" si="148"/>
        <v>43441</v>
      </c>
      <c r="Y355" s="385">
        <f t="shared" si="149"/>
        <v>22.962</v>
      </c>
      <c r="Z355" s="385">
        <f t="shared" si="150"/>
        <v>23.061796823971903</v>
      </c>
      <c r="AA355" s="386">
        <f t="shared" si="151"/>
        <v>23.61052382820872</v>
      </c>
      <c r="AB355" s="197">
        <f t="shared" si="152"/>
        <v>43441</v>
      </c>
      <c r="AC355" s="425">
        <f t="shared" si="153"/>
        <v>2.3240780603995936E-2</v>
      </c>
      <c r="AD355" s="169">
        <f>(INDEX(Models!$BJ355:$BT355,,AH355)*(1-AF355)+INDEX(Models!$BJ355:$BT355,,AH355+1)*AF355-ERP_i)*AE355*Ramure*Pc/MaxiM</f>
        <v>2.3748760495572509E-4</v>
      </c>
      <c r="AE355" s="305">
        <f t="shared" si="154"/>
        <v>0.7</v>
      </c>
      <c r="AF355" s="177">
        <f t="shared" si="155"/>
        <v>0.49989665305169573</v>
      </c>
      <c r="AG355" s="919">
        <f t="shared" si="156"/>
        <v>-2</v>
      </c>
      <c r="AH355" s="176">
        <f t="shared" si="157"/>
        <v>4</v>
      </c>
      <c r="AI355" s="225">
        <f t="shared" si="158"/>
        <v>-1.5001033469483043</v>
      </c>
      <c r="AJ355" s="265" t="b">
        <f t="shared" si="159"/>
        <v>0</v>
      </c>
      <c r="AK355" s="265" t="b">
        <f t="shared" si="160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62"/>
        <v>43442</v>
      </c>
      <c r="B356" s="618">
        <v>17.545000000000002</v>
      </c>
      <c r="C356" s="390"/>
      <c r="D356" s="393">
        <f t="shared" si="138"/>
        <v>17.62163956406923</v>
      </c>
      <c r="E356" s="385">
        <f t="shared" si="135"/>
        <v>18.042795027465054</v>
      </c>
      <c r="F356" s="385">
        <f t="shared" si="137"/>
        <v>18.045007875310837</v>
      </c>
      <c r="G356" s="110">
        <f t="shared" si="136"/>
        <v>0.66081534313372825</v>
      </c>
      <c r="I356" s="380">
        <f t="shared" si="139"/>
        <v>18.045007875310837</v>
      </c>
      <c r="J356" s="85">
        <v>2018</v>
      </c>
      <c r="K356" s="197">
        <f t="shared" si="140"/>
        <v>43442</v>
      </c>
      <c r="L356" s="436">
        <f t="shared" si="141"/>
        <v>4.3491732872290578E-3</v>
      </c>
      <c r="M356" s="968"/>
      <c r="N356" s="968"/>
      <c r="O356" s="324">
        <f t="shared" si="142"/>
        <v>2.3342030032194861E-2</v>
      </c>
      <c r="P356" s="169">
        <f>(INDEX(Models!$BJ356:$BT356,,T356)*(1-R356)+INDEX(Models!$BJ356:$BT356,,T356+1)*R356-ERP_i)*Q356*Ramure*Pc/MaxiM</f>
        <v>2.3785695637436384E-4</v>
      </c>
      <c r="Q356" s="305">
        <f t="shared" si="143"/>
        <v>0.7</v>
      </c>
      <c r="R356" s="177">
        <f t="shared" si="144"/>
        <v>0.49990899865102989</v>
      </c>
      <c r="S356" s="919">
        <f t="shared" si="161"/>
        <v>-2</v>
      </c>
      <c r="T356" s="176">
        <f t="shared" si="145"/>
        <v>4</v>
      </c>
      <c r="U356" s="251">
        <f t="shared" si="146"/>
        <v>-1.5000910013489701</v>
      </c>
      <c r="V356" s="383">
        <f t="shared" si="147"/>
        <v>26.547473914209402</v>
      </c>
      <c r="W356" s="58"/>
      <c r="X356" s="157">
        <f t="shared" si="148"/>
        <v>43442</v>
      </c>
      <c r="Y356" s="385">
        <f t="shared" si="149"/>
        <v>17.545000000000002</v>
      </c>
      <c r="Z356" s="385">
        <f t="shared" si="150"/>
        <v>17.62163956406923</v>
      </c>
      <c r="AA356" s="386">
        <f t="shared" si="151"/>
        <v>18.042795027465054</v>
      </c>
      <c r="AB356" s="197">
        <f t="shared" si="152"/>
        <v>43442</v>
      </c>
      <c r="AC356" s="425">
        <f t="shared" si="153"/>
        <v>2.3342030032194861E-2</v>
      </c>
      <c r="AD356" s="169">
        <f>(INDEX(Models!$BJ356:$BT356,,AH356)*(1-AF356)+INDEX(Models!$BJ356:$BT356,,AH356+1)*AF356-ERP_i)*AE356*Ramure*Pc/MaxiM</f>
        <v>2.3785695637436384E-4</v>
      </c>
      <c r="AE356" s="305">
        <f t="shared" si="154"/>
        <v>0.7</v>
      </c>
      <c r="AF356" s="177">
        <f t="shared" si="155"/>
        <v>0.49990899865102989</v>
      </c>
      <c r="AG356" s="919">
        <f t="shared" si="156"/>
        <v>-2</v>
      </c>
      <c r="AH356" s="176">
        <f t="shared" si="157"/>
        <v>4</v>
      </c>
      <c r="AI356" s="225">
        <f t="shared" si="158"/>
        <v>-1.5000910013489701</v>
      </c>
      <c r="AJ356" s="265" t="b">
        <f t="shared" si="159"/>
        <v>0</v>
      </c>
      <c r="AK356" s="265" t="b">
        <f t="shared" si="160"/>
        <v>0</v>
      </c>
      <c r="AL356" s="265"/>
      <c r="AM356" s="265"/>
      <c r="AN356" s="75"/>
    </row>
    <row r="357" spans="1:40" s="6" customFormat="1" ht="11.25" x14ac:dyDescent="0.2">
      <c r="A357" s="56">
        <f t="shared" si="162"/>
        <v>43443</v>
      </c>
      <c r="B357" s="618">
        <v>4.5650000000000004</v>
      </c>
      <c r="C357" s="390"/>
      <c r="D357" s="393">
        <f t="shared" si="138"/>
        <v>4.5850411257908812</v>
      </c>
      <c r="E357" s="385">
        <f t="shared" si="135"/>
        <v>4.6951108899204579</v>
      </c>
      <c r="F357" s="385">
        <f t="shared" ref="F357:F379" si="163">Wh_sa/(1-Pvg*MEDIAN((-Sdif+Wh/Env_an)/Csdif,0,1))</f>
        <v>4.6951108899204579</v>
      </c>
      <c r="G357" s="110">
        <f t="shared" si="136"/>
        <v>0.17269881570341919</v>
      </c>
      <c r="I357" s="380">
        <f t="shared" si="139"/>
        <v>4.6951108899204579</v>
      </c>
      <c r="J357" s="85">
        <v>2018</v>
      </c>
      <c r="K357" s="197">
        <f t="shared" si="140"/>
        <v>43443</v>
      </c>
      <c r="L357" s="436">
        <f t="shared" si="141"/>
        <v>4.37098059560459E-3</v>
      </c>
      <c r="M357" s="968"/>
      <c r="N357" s="968"/>
      <c r="O357" s="324">
        <f t="shared" si="142"/>
        <v>2.3443485512956982E-2</v>
      </c>
      <c r="P357" s="169">
        <f>(INDEX(Models!$BJ357:$BT357,,T357)*(1-R357)+INDEX(Models!$BJ357:$BT357,,T357+1)*R357-ERP_i)*Q357*Ramure*Pc/MaxiM</f>
        <v>2.3839043635163405E-4</v>
      </c>
      <c r="Q357" s="305">
        <f t="shared" si="143"/>
        <v>0.7</v>
      </c>
      <c r="R357" s="177">
        <f t="shared" si="144"/>
        <v>0.49992084775338985</v>
      </c>
      <c r="S357" s="919">
        <f t="shared" si="161"/>
        <v>-2</v>
      </c>
      <c r="T357" s="176">
        <f t="shared" si="145"/>
        <v>4</v>
      </c>
      <c r="U357" s="251">
        <f t="shared" si="146"/>
        <v>-1.5000791522466101</v>
      </c>
      <c r="V357" s="383">
        <f t="shared" si="147"/>
        <v>26.427000839981414</v>
      </c>
      <c r="W357" s="58"/>
      <c r="X357" s="157">
        <f t="shared" si="148"/>
        <v>43443</v>
      </c>
      <c r="Y357" s="385">
        <f t="shared" si="149"/>
        <v>4.5650000000000004</v>
      </c>
      <c r="Z357" s="385">
        <f t="shared" si="150"/>
        <v>4.5850411257908812</v>
      </c>
      <c r="AA357" s="386">
        <f t="shared" si="151"/>
        <v>4.6951108899204579</v>
      </c>
      <c r="AB357" s="197">
        <f t="shared" si="152"/>
        <v>43443</v>
      </c>
      <c r="AC357" s="425">
        <f t="shared" si="153"/>
        <v>2.3443485512956982E-2</v>
      </c>
      <c r="AD357" s="169">
        <f>(INDEX(Models!$BJ357:$BT357,,AH357)*(1-AF357)+INDEX(Models!$BJ357:$BT357,,AH357+1)*AF357-ERP_i)*AE357*Ramure*Pc/MaxiM</f>
        <v>2.3839043635163405E-4</v>
      </c>
      <c r="AE357" s="305">
        <f t="shared" si="154"/>
        <v>0.7</v>
      </c>
      <c r="AF357" s="177">
        <f t="shared" si="155"/>
        <v>0.49992084775338985</v>
      </c>
      <c r="AG357" s="919">
        <f t="shared" si="156"/>
        <v>-2</v>
      </c>
      <c r="AH357" s="176">
        <f t="shared" si="157"/>
        <v>4</v>
      </c>
      <c r="AI357" s="225">
        <f t="shared" si="158"/>
        <v>-1.5000791522466101</v>
      </c>
      <c r="AJ357" s="265" t="b">
        <f t="shared" si="159"/>
        <v>0</v>
      </c>
      <c r="AK357" s="265" t="b">
        <f t="shared" si="160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62"/>
        <v>43444</v>
      </c>
      <c r="B358" s="618">
        <v>15.03</v>
      </c>
      <c r="C358" s="390"/>
      <c r="D358" s="393">
        <f t="shared" si="138"/>
        <v>15.096314902286895</v>
      </c>
      <c r="E358" s="385">
        <f t="shared" si="135"/>
        <v>15.460330544058309</v>
      </c>
      <c r="F358" s="385">
        <f t="shared" si="163"/>
        <v>15.461761019938425</v>
      </c>
      <c r="G358" s="110">
        <f t="shared" si="136"/>
        <v>0.57080797489389667</v>
      </c>
      <c r="I358" s="380">
        <f t="shared" si="139"/>
        <v>15.461761019938425</v>
      </c>
      <c r="J358" s="85">
        <v>2018</v>
      </c>
      <c r="K358" s="197">
        <f t="shared" si="140"/>
        <v>43444</v>
      </c>
      <c r="L358" s="436">
        <f t="shared" si="141"/>
        <v>4.3927874263440803E-3</v>
      </c>
      <c r="M358" s="968"/>
      <c r="N358" s="968"/>
      <c r="O358" s="324">
        <f t="shared" si="142"/>
        <v>2.3545139654941663E-2</v>
      </c>
      <c r="P358" s="169">
        <f>(INDEX(Models!$BJ358:$BT358,,T358)*(1-R358)+INDEX(Models!$BJ358:$BT358,,T358+1)*R358-ERP_i)*Q358*Ramure*Pc/MaxiM</f>
        <v>2.3906940869417636E-4</v>
      </c>
      <c r="Q358" s="305">
        <f t="shared" si="143"/>
        <v>0.7</v>
      </c>
      <c r="R358" s="177">
        <f t="shared" si="144"/>
        <v>0.49993222030403439</v>
      </c>
      <c r="S358" s="919">
        <f t="shared" si="161"/>
        <v>-2</v>
      </c>
      <c r="T358" s="176">
        <f t="shared" si="145"/>
        <v>4</v>
      </c>
      <c r="U358" s="251">
        <f t="shared" si="146"/>
        <v>-1.5000677796959656</v>
      </c>
      <c r="V358" s="383">
        <f t="shared" si="147"/>
        <v>26.3272374854579</v>
      </c>
      <c r="W358" s="58"/>
      <c r="X358" s="157">
        <f t="shared" si="148"/>
        <v>43444</v>
      </c>
      <c r="Y358" s="385">
        <f t="shared" si="149"/>
        <v>15.03</v>
      </c>
      <c r="Z358" s="385">
        <f t="shared" si="150"/>
        <v>15.096314902286895</v>
      </c>
      <c r="AA358" s="386">
        <f t="shared" si="151"/>
        <v>15.460330544058309</v>
      </c>
      <c r="AB358" s="197">
        <f t="shared" si="152"/>
        <v>43444</v>
      </c>
      <c r="AC358" s="425">
        <f t="shared" si="153"/>
        <v>2.3545139654941663E-2</v>
      </c>
      <c r="AD358" s="169">
        <f>(INDEX(Models!$BJ358:$BT358,,AH358)*(1-AF358)+INDEX(Models!$BJ358:$BT358,,AH358+1)*AF358-ERP_i)*AE358*Ramure*Pc/MaxiM</f>
        <v>2.3906940869417636E-4</v>
      </c>
      <c r="AE358" s="305">
        <f t="shared" si="154"/>
        <v>0.7</v>
      </c>
      <c r="AF358" s="177">
        <f t="shared" si="155"/>
        <v>0.49993222030403439</v>
      </c>
      <c r="AG358" s="919">
        <f t="shared" si="156"/>
        <v>-2</v>
      </c>
      <c r="AH358" s="176">
        <f t="shared" si="157"/>
        <v>4</v>
      </c>
      <c r="AI358" s="225">
        <f t="shared" si="158"/>
        <v>-1.5000677796959656</v>
      </c>
      <c r="AJ358" s="265" t="b">
        <f t="shared" si="159"/>
        <v>0</v>
      </c>
      <c r="AK358" s="265" t="b">
        <f t="shared" si="160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62"/>
        <v>43445</v>
      </c>
      <c r="B359" s="618">
        <v>22.369</v>
      </c>
      <c r="C359" s="390"/>
      <c r="D359" s="393">
        <f t="shared" si="138"/>
        <v>22.468187922638975</v>
      </c>
      <c r="E359" s="385">
        <f t="shared" si="135"/>
        <v>23.012360855888094</v>
      </c>
      <c r="F359" s="385">
        <f t="shared" si="163"/>
        <v>23.016717284204159</v>
      </c>
      <c r="G359" s="110">
        <f t="shared" si="136"/>
        <v>0.852219763692461</v>
      </c>
      <c r="I359" s="380">
        <f t="shared" si="139"/>
        <v>23.016717284204159</v>
      </c>
      <c r="J359" s="85">
        <v>2018</v>
      </c>
      <c r="K359" s="197">
        <f t="shared" si="140"/>
        <v>43445</v>
      </c>
      <c r="L359" s="436">
        <f t="shared" si="141"/>
        <v>4.4145937794579648E-3</v>
      </c>
      <c r="M359" s="968"/>
      <c r="N359" s="968"/>
      <c r="O359" s="324">
        <f t="shared" si="142"/>
        <v>2.3646984186321971E-2</v>
      </c>
      <c r="P359" s="169">
        <f>(INDEX(Models!$BJ359:$BT359,,T359)*(1-R359)+INDEX(Models!$BJ359:$BT359,,T359+1)*R359-ERP_i)*Q359*Ramure*Pc/MaxiM</f>
        <v>2.3990502285273541E-4</v>
      </c>
      <c r="Q359" s="305">
        <f t="shared" si="143"/>
        <v>0.7</v>
      </c>
      <c r="R359" s="177">
        <f t="shared" si="144"/>
        <v>0.49994313544872582</v>
      </c>
      <c r="S359" s="919">
        <f t="shared" si="161"/>
        <v>-2</v>
      </c>
      <c r="T359" s="176">
        <f t="shared" si="145"/>
        <v>4</v>
      </c>
      <c r="U359" s="251">
        <f t="shared" si="146"/>
        <v>-1.5000568645512742</v>
      </c>
      <c r="V359" s="383">
        <f t="shared" si="147"/>
        <v>26.246595228627243</v>
      </c>
      <c r="W359" s="58"/>
      <c r="X359" s="157">
        <f t="shared" si="148"/>
        <v>43445</v>
      </c>
      <c r="Y359" s="385">
        <f t="shared" si="149"/>
        <v>22.369</v>
      </c>
      <c r="Z359" s="385">
        <f t="shared" si="150"/>
        <v>22.468187922638975</v>
      </c>
      <c r="AA359" s="386">
        <f t="shared" si="151"/>
        <v>23.012360855888094</v>
      </c>
      <c r="AB359" s="197">
        <f t="shared" si="152"/>
        <v>43445</v>
      </c>
      <c r="AC359" s="425">
        <f t="shared" si="153"/>
        <v>2.3646984186321971E-2</v>
      </c>
      <c r="AD359" s="169">
        <f>(INDEX(Models!$BJ359:$BT359,,AH359)*(1-AF359)+INDEX(Models!$BJ359:$BT359,,AH359+1)*AF359-ERP_i)*AE359*Ramure*Pc/MaxiM</f>
        <v>2.3990502285273541E-4</v>
      </c>
      <c r="AE359" s="305">
        <f t="shared" si="154"/>
        <v>0.7</v>
      </c>
      <c r="AF359" s="177">
        <f t="shared" si="155"/>
        <v>0.49994313544872582</v>
      </c>
      <c r="AG359" s="919">
        <f t="shared" si="156"/>
        <v>-2</v>
      </c>
      <c r="AH359" s="176">
        <f t="shared" si="157"/>
        <v>4</v>
      </c>
      <c r="AI359" s="225">
        <f t="shared" si="158"/>
        <v>-1.5000568645512742</v>
      </c>
      <c r="AJ359" s="265" t="b">
        <f t="shared" si="159"/>
        <v>0</v>
      </c>
      <c r="AK359" s="265" t="b">
        <f t="shared" si="160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62"/>
        <v>43446</v>
      </c>
      <c r="B360" s="618">
        <v>3.3620000000000001</v>
      </c>
      <c r="C360" s="390"/>
      <c r="D360" s="393">
        <f t="shared" si="138"/>
        <v>3.3769816401833048</v>
      </c>
      <c r="E360" s="385">
        <f t="shared" si="135"/>
        <v>3.4591326153907218</v>
      </c>
      <c r="F360" s="385">
        <f t="shared" si="163"/>
        <v>3.4591326153907218</v>
      </c>
      <c r="G360" s="110">
        <f t="shared" si="136"/>
        <v>0.12837806428938964</v>
      </c>
      <c r="I360" s="380">
        <f t="shared" si="139"/>
        <v>3.4591326153907218</v>
      </c>
      <c r="J360" s="85">
        <v>2018</v>
      </c>
      <c r="K360" s="197">
        <f t="shared" si="140"/>
        <v>43446</v>
      </c>
      <c r="L360" s="436">
        <f t="shared" si="141"/>
        <v>4.4363996549567908E-3</v>
      </c>
      <c r="M360" s="968"/>
      <c r="N360" s="968"/>
      <c r="O360" s="324">
        <f t="shared" si="142"/>
        <v>2.3749010038499978E-2</v>
      </c>
      <c r="P360" s="169">
        <f>(INDEX(Models!$BJ360:$BT360,,T360)*(1-R360)+INDEX(Models!$BJ360:$BT360,,T360+1)*R360-ERP_i)*Q360*Ramure*Pc/MaxiM</f>
        <v>2.4092229691836795E-4</v>
      </c>
      <c r="Q360" s="305">
        <f t="shared" si="143"/>
        <v>0.7</v>
      </c>
      <c r="R360" s="177">
        <f t="shared" si="144"/>
        <v>0.49995361156564044</v>
      </c>
      <c r="S360" s="919">
        <f t="shared" si="161"/>
        <v>-2</v>
      </c>
      <c r="T360" s="176">
        <f t="shared" si="145"/>
        <v>4</v>
      </c>
      <c r="U360" s="251">
        <f t="shared" si="146"/>
        <v>-1.5000463884343596</v>
      </c>
      <c r="V360" s="383">
        <f t="shared" si="147"/>
        <v>26.181965258963334</v>
      </c>
      <c r="W360" s="58"/>
      <c r="X360" s="157">
        <f t="shared" si="148"/>
        <v>43446</v>
      </c>
      <c r="Y360" s="385">
        <f t="shared" si="149"/>
        <v>3.3620000000000001</v>
      </c>
      <c r="Z360" s="385">
        <f t="shared" si="150"/>
        <v>3.3769816401833048</v>
      </c>
      <c r="AA360" s="386">
        <f t="shared" si="151"/>
        <v>3.4591326153907218</v>
      </c>
      <c r="AB360" s="197">
        <f t="shared" si="152"/>
        <v>43446</v>
      </c>
      <c r="AC360" s="425">
        <f t="shared" si="153"/>
        <v>2.3749010038499978E-2</v>
      </c>
      <c r="AD360" s="169">
        <f>(INDEX(Models!$BJ360:$BT360,,AH360)*(1-AF360)+INDEX(Models!$BJ360:$BT360,,AH360+1)*AF360-ERP_i)*AE360*Ramure*Pc/MaxiM</f>
        <v>2.4092229691836795E-4</v>
      </c>
      <c r="AE360" s="305">
        <f t="shared" si="154"/>
        <v>0.7</v>
      </c>
      <c r="AF360" s="177">
        <f t="shared" si="155"/>
        <v>0.49995361156564044</v>
      </c>
      <c r="AG360" s="919">
        <f t="shared" si="156"/>
        <v>-2</v>
      </c>
      <c r="AH360" s="176">
        <f t="shared" si="157"/>
        <v>4</v>
      </c>
      <c r="AI360" s="225">
        <f t="shared" si="158"/>
        <v>-1.5000463884343596</v>
      </c>
      <c r="AJ360" s="265" t="b">
        <f t="shared" si="159"/>
        <v>0</v>
      </c>
      <c r="AK360" s="265" t="b">
        <f t="shared" si="160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62"/>
        <v>43447</v>
      </c>
      <c r="B361" s="618">
        <v>1.8149999999999999</v>
      </c>
      <c r="C361" s="390"/>
      <c r="D361" s="393">
        <f t="shared" si="138"/>
        <v>1.8231278779173246</v>
      </c>
      <c r="E361" s="385">
        <f t="shared" ref="E361:E379" si="164">Wh_pvt/(1-Psa)</f>
        <v>1.8676741617675858</v>
      </c>
      <c r="F361" s="385">
        <f t="shared" si="163"/>
        <v>1.8676741617675858</v>
      </c>
      <c r="G361" s="110">
        <f t="shared" ref="G361:G379" si="165">+Wh_hp/MaxiM</f>
        <v>6.9436026208153923E-2</v>
      </c>
      <c r="I361" s="380">
        <f t="shared" si="139"/>
        <v>1.8676741617675858</v>
      </c>
      <c r="J361" s="85">
        <v>2018</v>
      </c>
      <c r="K361" s="197">
        <f t="shared" si="140"/>
        <v>43447</v>
      </c>
      <c r="L361" s="436">
        <f t="shared" si="141"/>
        <v>4.4582050528509942E-3</v>
      </c>
      <c r="M361" s="968"/>
      <c r="N361" s="968"/>
      <c r="O361" s="324">
        <f t="shared" si="142"/>
        <v>2.385120743336841E-2</v>
      </c>
      <c r="P361" s="169">
        <f>(INDEX(Models!$BJ361:$BT361,,T361)*(1-R361)+INDEX(Models!$BJ361:$BT361,,T361+1)*R361-ERP_i)*Q361*Ramure*Pc/MaxiM</f>
        <v>2.4183545414326767E-4</v>
      </c>
      <c r="Q361" s="305">
        <f t="shared" si="143"/>
        <v>0.7</v>
      </c>
      <c r="R361" s="177">
        <f t="shared" si="144"/>
        <v>0.4999636662960163</v>
      </c>
      <c r="S361" s="919">
        <f t="shared" si="161"/>
        <v>-2</v>
      </c>
      <c r="T361" s="176">
        <f t="shared" si="145"/>
        <v>4</v>
      </c>
      <c r="U361" s="251">
        <f t="shared" si="146"/>
        <v>-1.5000363337039837</v>
      </c>
      <c r="V361" s="383">
        <f t="shared" si="147"/>
        <v>26.132847280330751</v>
      </c>
      <c r="W361" s="58"/>
      <c r="X361" s="157">
        <f t="shared" si="148"/>
        <v>43447</v>
      </c>
      <c r="Y361" s="385">
        <f t="shared" si="149"/>
        <v>1.8149999999999999</v>
      </c>
      <c r="Z361" s="385">
        <f t="shared" si="150"/>
        <v>1.8231278779173246</v>
      </c>
      <c r="AA361" s="386">
        <f t="shared" si="151"/>
        <v>1.8676741617675858</v>
      </c>
      <c r="AB361" s="197">
        <f t="shared" si="152"/>
        <v>43447</v>
      </c>
      <c r="AC361" s="425">
        <f t="shared" si="153"/>
        <v>2.385120743336841E-2</v>
      </c>
      <c r="AD361" s="169">
        <f>(INDEX(Models!$BJ361:$BT361,,AH361)*(1-AF361)+INDEX(Models!$BJ361:$BT361,,AH361+1)*AF361-ERP_i)*AE361*Ramure*Pc/MaxiM</f>
        <v>2.4183545414326767E-4</v>
      </c>
      <c r="AE361" s="305">
        <f t="shared" si="154"/>
        <v>0.7</v>
      </c>
      <c r="AF361" s="177">
        <f t="shared" si="155"/>
        <v>0.4999636662960163</v>
      </c>
      <c r="AG361" s="919">
        <f t="shared" si="156"/>
        <v>-2</v>
      </c>
      <c r="AH361" s="176">
        <f t="shared" si="157"/>
        <v>4</v>
      </c>
      <c r="AI361" s="225">
        <f t="shared" si="158"/>
        <v>-1.5000363337039837</v>
      </c>
      <c r="AJ361" s="265" t="b">
        <f t="shared" si="159"/>
        <v>0</v>
      </c>
      <c r="AK361" s="265" t="b">
        <f t="shared" si="160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62"/>
        <v>43448</v>
      </c>
      <c r="B362" s="618">
        <v>1.6919999999999999</v>
      </c>
      <c r="C362" s="390"/>
      <c r="D362" s="393">
        <f t="shared" si="138"/>
        <v>1.6996142889650734</v>
      </c>
      <c r="E362" s="385">
        <f t="shared" si="164"/>
        <v>1.7413252379329918</v>
      </c>
      <c r="F362" s="385">
        <f t="shared" si="163"/>
        <v>1.7413252379329918</v>
      </c>
      <c r="G362" s="110">
        <f t="shared" si="165"/>
        <v>6.4815000668408465E-2</v>
      </c>
      <c r="I362" s="380">
        <f t="shared" si="139"/>
        <v>1.7413252379329918</v>
      </c>
      <c r="J362" s="85">
        <v>2018</v>
      </c>
      <c r="K362" s="197">
        <f t="shared" si="140"/>
        <v>43448</v>
      </c>
      <c r="L362" s="436">
        <f t="shared" si="141"/>
        <v>4.4800099731510112E-3</v>
      </c>
      <c r="M362" s="968"/>
      <c r="N362" s="968"/>
      <c r="O362" s="324">
        <f t="shared" si="142"/>
        <v>2.3953565973367796E-2</v>
      </c>
      <c r="P362" s="169">
        <f>(INDEX(Models!$BJ362:$BT362,,T362)*(1-R362)+INDEX(Models!$BJ362:$BT362,,T362+1)*R362-ERP_i)*Q362*Ramure*Pc/MaxiM</f>
        <v>2.4264613013480713E-4</v>
      </c>
      <c r="Q362" s="305">
        <f t="shared" si="143"/>
        <v>0.7</v>
      </c>
      <c r="R362" s="177">
        <f t="shared" si="144"/>
        <v>0.49997331657358579</v>
      </c>
      <c r="S362" s="919">
        <f t="shared" si="161"/>
        <v>-2</v>
      </c>
      <c r="T362" s="176">
        <f t="shared" si="145"/>
        <v>4</v>
      </c>
      <c r="U362" s="251">
        <f t="shared" si="146"/>
        <v>-1.5000266834264142</v>
      </c>
      <c r="V362" s="383">
        <f t="shared" si="147"/>
        <v>26.098733708295875</v>
      </c>
      <c r="W362" s="58"/>
      <c r="X362" s="157">
        <f t="shared" si="148"/>
        <v>43448</v>
      </c>
      <c r="Y362" s="385">
        <f t="shared" si="149"/>
        <v>1.6919999999999999</v>
      </c>
      <c r="Z362" s="385">
        <f t="shared" si="150"/>
        <v>1.6996142889650734</v>
      </c>
      <c r="AA362" s="386">
        <f t="shared" si="151"/>
        <v>1.7413252379329918</v>
      </c>
      <c r="AB362" s="197">
        <f t="shared" si="152"/>
        <v>43448</v>
      </c>
      <c r="AC362" s="425">
        <f t="shared" si="153"/>
        <v>2.3953565973367796E-2</v>
      </c>
      <c r="AD362" s="169">
        <f>(INDEX(Models!$BJ362:$BT362,,AH362)*(1-AF362)+INDEX(Models!$BJ362:$BT362,,AH362+1)*AF362-ERP_i)*AE362*Ramure*Pc/MaxiM</f>
        <v>2.4264613013480713E-4</v>
      </c>
      <c r="AE362" s="305">
        <f t="shared" si="154"/>
        <v>0.7</v>
      </c>
      <c r="AF362" s="177">
        <f t="shared" si="155"/>
        <v>0.49997331657358579</v>
      </c>
      <c r="AG362" s="919">
        <f t="shared" si="156"/>
        <v>-2</v>
      </c>
      <c r="AH362" s="176">
        <f t="shared" si="157"/>
        <v>4</v>
      </c>
      <c r="AI362" s="225">
        <f t="shared" si="158"/>
        <v>-1.5000266834264142</v>
      </c>
      <c r="AJ362" s="265" t="b">
        <f t="shared" si="159"/>
        <v>0</v>
      </c>
      <c r="AK362" s="265" t="b">
        <f t="shared" si="160"/>
        <v>0</v>
      </c>
      <c r="AL362" s="265"/>
      <c r="AM362" s="265"/>
      <c r="AN362" s="75"/>
    </row>
    <row r="363" spans="1:40" s="6" customFormat="1" ht="11.25" x14ac:dyDescent="0.2">
      <c r="A363" s="56">
        <f t="shared" si="162"/>
        <v>43449</v>
      </c>
      <c r="B363" s="618">
        <v>6.3929999999999998</v>
      </c>
      <c r="C363" s="390"/>
      <c r="D363" s="393">
        <f t="shared" si="138"/>
        <v>6.4219102481324484</v>
      </c>
      <c r="E363" s="385">
        <f t="shared" si="164"/>
        <v>6.580204130456873</v>
      </c>
      <c r="F363" s="385">
        <f t="shared" si="163"/>
        <v>6.580204130456873</v>
      </c>
      <c r="G363" s="110">
        <f t="shared" si="165"/>
        <v>0.24507900982927536</v>
      </c>
      <c r="I363" s="380">
        <f t="shared" si="139"/>
        <v>6.580204130456873</v>
      </c>
      <c r="J363" s="85">
        <v>2018</v>
      </c>
      <c r="K363" s="197">
        <f t="shared" si="140"/>
        <v>43449</v>
      </c>
      <c r="L363" s="436">
        <f t="shared" si="141"/>
        <v>4.5018144158672779E-3</v>
      </c>
      <c r="M363" s="968"/>
      <c r="N363" s="968"/>
      <c r="O363" s="324">
        <f t="shared" si="142"/>
        <v>2.4056074733571318E-2</v>
      </c>
      <c r="P363" s="169">
        <f>(INDEX(Models!$BJ363:$BT363,,T363)*(1-R363)+INDEX(Models!$BJ363:$BT363,,T363+1)*R363-ERP_i)*Q363*Ramure*Pc/MaxiM</f>
        <v>2.4335632550911724E-4</v>
      </c>
      <c r="Q363" s="305">
        <f t="shared" si="143"/>
        <v>0.7</v>
      </c>
      <c r="R363" s="177">
        <f t="shared" si="144"/>
        <v>0.49998257865284224</v>
      </c>
      <c r="S363" s="919">
        <f t="shared" si="161"/>
        <v>-2</v>
      </c>
      <c r="T363" s="176">
        <f t="shared" si="145"/>
        <v>4</v>
      </c>
      <c r="U363" s="251">
        <f t="shared" si="146"/>
        <v>-1.5000174213471578</v>
      </c>
      <c r="V363" s="383">
        <f t="shared" si="147"/>
        <v>26.079117209847418</v>
      </c>
      <c r="W363" s="58"/>
      <c r="X363" s="157">
        <f t="shared" si="148"/>
        <v>43449</v>
      </c>
      <c r="Y363" s="385">
        <f t="shared" si="149"/>
        <v>6.3929999999999998</v>
      </c>
      <c r="Z363" s="385">
        <f t="shared" si="150"/>
        <v>6.4219102481324484</v>
      </c>
      <c r="AA363" s="386">
        <f t="shared" si="151"/>
        <v>6.580204130456873</v>
      </c>
      <c r="AB363" s="197">
        <f t="shared" si="152"/>
        <v>43449</v>
      </c>
      <c r="AC363" s="425">
        <f t="shared" si="153"/>
        <v>2.4056074733571318E-2</v>
      </c>
      <c r="AD363" s="169">
        <f>(INDEX(Models!$BJ363:$BT363,,AH363)*(1-AF363)+INDEX(Models!$BJ363:$BT363,,AH363+1)*AF363-ERP_i)*AE363*Ramure*Pc/MaxiM</f>
        <v>2.4335632550911724E-4</v>
      </c>
      <c r="AE363" s="305">
        <f t="shared" si="154"/>
        <v>0.7</v>
      </c>
      <c r="AF363" s="177">
        <f t="shared" si="155"/>
        <v>0.49998257865284224</v>
      </c>
      <c r="AG363" s="919">
        <f t="shared" si="156"/>
        <v>-2</v>
      </c>
      <c r="AH363" s="176">
        <f t="shared" si="157"/>
        <v>4</v>
      </c>
      <c r="AI363" s="225">
        <f t="shared" si="158"/>
        <v>-1.5000174213471578</v>
      </c>
      <c r="AJ363" s="265" t="b">
        <f t="shared" si="159"/>
        <v>0</v>
      </c>
      <c r="AK363" s="265" t="b">
        <f t="shared" si="160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62"/>
        <v>43450</v>
      </c>
      <c r="B364" s="618">
        <v>3.819</v>
      </c>
      <c r="C364" s="390"/>
      <c r="D364" s="393">
        <f t="shared" si="138"/>
        <v>3.8363542023859796</v>
      </c>
      <c r="E364" s="385">
        <f t="shared" si="164"/>
        <v>3.9313301151231674</v>
      </c>
      <c r="F364" s="385">
        <f t="shared" si="163"/>
        <v>3.9313301151231674</v>
      </c>
      <c r="G364" s="110">
        <f t="shared" si="165"/>
        <v>0.14643487245494111</v>
      </c>
      <c r="I364" s="380">
        <f t="shared" si="139"/>
        <v>3.9313301151231674</v>
      </c>
      <c r="J364" s="85">
        <v>2018</v>
      </c>
      <c r="K364" s="197">
        <f t="shared" si="140"/>
        <v>43450</v>
      </c>
      <c r="L364" s="436">
        <f t="shared" si="141"/>
        <v>4.5236183810103414E-3</v>
      </c>
      <c r="M364" s="968"/>
      <c r="N364" s="968"/>
      <c r="O364" s="324">
        <f t="shared" si="142"/>
        <v>2.4158722355019584E-2</v>
      </c>
      <c r="P364" s="169">
        <f>(INDEX(Models!$BJ364:$BT364,,T364)*(1-R364)+INDEX(Models!$BJ364:$BT364,,T364+1)*R364-ERP_i)*Q364*Ramure*Pc/MaxiM</f>
        <v>2.4396839023752538E-4</v>
      </c>
      <c r="Q364" s="305">
        <f t="shared" si="143"/>
        <v>0.7</v>
      </c>
      <c r="R364" s="177">
        <f t="shared" si="144"/>
        <v>0.49999146813618744</v>
      </c>
      <c r="S364" s="919">
        <f t="shared" si="161"/>
        <v>-2</v>
      </c>
      <c r="T364" s="176">
        <f t="shared" si="145"/>
        <v>4</v>
      </c>
      <c r="U364" s="251">
        <f t="shared" si="146"/>
        <v>-1.5000085318638126</v>
      </c>
      <c r="V364" s="383">
        <f t="shared" si="147"/>
        <v>26.073490697323656</v>
      </c>
      <c r="W364" s="58"/>
      <c r="X364" s="157">
        <f t="shared" si="148"/>
        <v>43450</v>
      </c>
      <c r="Y364" s="385">
        <f t="shared" si="149"/>
        <v>3.819</v>
      </c>
      <c r="Z364" s="385">
        <f t="shared" si="150"/>
        <v>3.8363542023859796</v>
      </c>
      <c r="AA364" s="386">
        <f t="shared" si="151"/>
        <v>3.9313301151231674</v>
      </c>
      <c r="AB364" s="197">
        <f t="shared" si="152"/>
        <v>43450</v>
      </c>
      <c r="AC364" s="425">
        <f t="shared" si="153"/>
        <v>2.4158722355019584E-2</v>
      </c>
      <c r="AD364" s="169">
        <f>(INDEX(Models!$BJ364:$BT364,,AH364)*(1-AF364)+INDEX(Models!$BJ364:$BT364,,AH364+1)*AF364-ERP_i)*AE364*Ramure*Pc/MaxiM</f>
        <v>2.4396839023752538E-4</v>
      </c>
      <c r="AE364" s="305">
        <f t="shared" si="154"/>
        <v>0.7</v>
      </c>
      <c r="AF364" s="177">
        <f t="shared" si="155"/>
        <v>0.49999146813618744</v>
      </c>
      <c r="AG364" s="919">
        <f t="shared" si="156"/>
        <v>-2</v>
      </c>
      <c r="AH364" s="176">
        <f t="shared" si="157"/>
        <v>4</v>
      </c>
      <c r="AI364" s="225">
        <f t="shared" si="158"/>
        <v>-1.5000085318638126</v>
      </c>
      <c r="AJ364" s="265" t="b">
        <f t="shared" si="159"/>
        <v>0</v>
      </c>
      <c r="AK364" s="265" t="b">
        <f t="shared" si="160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62"/>
        <v>43451</v>
      </c>
      <c r="B365" s="618">
        <v>20.666</v>
      </c>
      <c r="C365" s="390"/>
      <c r="D365" s="393">
        <f t="shared" si="138"/>
        <v>20.760364615322398</v>
      </c>
      <c r="E365" s="385">
        <f t="shared" si="164"/>
        <v>21.276565959465614</v>
      </c>
      <c r="F365" s="385">
        <f t="shared" si="163"/>
        <v>21.280225439535702</v>
      </c>
      <c r="G365" s="110">
        <f t="shared" si="165"/>
        <v>0.79230956892088811</v>
      </c>
      <c r="I365" s="380">
        <f t="shared" si="139"/>
        <v>21.280225439535702</v>
      </c>
      <c r="J365" s="85">
        <v>2018</v>
      </c>
      <c r="K365" s="197">
        <f t="shared" si="140"/>
        <v>43451</v>
      </c>
      <c r="L365" s="436">
        <f t="shared" si="141"/>
        <v>4.5454218685905268E-3</v>
      </c>
      <c r="M365" s="968"/>
      <c r="N365" s="968"/>
      <c r="O365" s="324">
        <f t="shared" si="142"/>
        <v>2.4261497138525059E-2</v>
      </c>
      <c r="P365" s="169">
        <f>(INDEX(Models!$BJ365:$BT365,,T365)*(1-R365)+INDEX(Models!$BJ365:$BT365,,T365+1)*R365-ERP_i)*Q365*Ramure*Pc/MaxiM</f>
        <v>2.4448500563678191E-4</v>
      </c>
      <c r="Q365" s="305">
        <f t="shared" si="143"/>
        <v>0.7</v>
      </c>
      <c r="R365" s="177">
        <f t="shared" si="144"/>
        <v>0.5</v>
      </c>
      <c r="S365" s="919">
        <f t="shared" si="161"/>
        <v>-2</v>
      </c>
      <c r="T365" s="176">
        <f t="shared" si="145"/>
        <v>4</v>
      </c>
      <c r="U365" s="251">
        <f t="shared" si="146"/>
        <v>-1.5</v>
      </c>
      <c r="V365" s="383">
        <f t="shared" si="147"/>
        <v>26.081347341660511</v>
      </c>
      <c r="W365" s="58"/>
      <c r="X365" s="157">
        <f t="shared" si="148"/>
        <v>43451</v>
      </c>
      <c r="Y365" s="385">
        <f t="shared" si="149"/>
        <v>20.666</v>
      </c>
      <c r="Z365" s="385">
        <f t="shared" si="150"/>
        <v>20.760364615322398</v>
      </c>
      <c r="AA365" s="386">
        <f t="shared" si="151"/>
        <v>21.276565959465614</v>
      </c>
      <c r="AB365" s="197">
        <f t="shared" si="152"/>
        <v>43451</v>
      </c>
      <c r="AC365" s="425">
        <f t="shared" si="153"/>
        <v>2.4261497138525059E-2</v>
      </c>
      <c r="AD365" s="169">
        <f>(INDEX(Models!$BJ365:$BT365,,AH365)*(1-AF365)+INDEX(Models!$BJ365:$BT365,,AH365+1)*AF365-ERP_i)*AE365*Ramure*Pc/MaxiM</f>
        <v>2.4448500563678191E-4</v>
      </c>
      <c r="AE365" s="305">
        <f t="shared" si="154"/>
        <v>0.7</v>
      </c>
      <c r="AF365" s="177">
        <f t="shared" si="155"/>
        <v>0.5</v>
      </c>
      <c r="AG365" s="919">
        <f t="shared" si="156"/>
        <v>-2</v>
      </c>
      <c r="AH365" s="176">
        <f t="shared" si="157"/>
        <v>4</v>
      </c>
      <c r="AI365" s="225">
        <f t="shared" si="158"/>
        <v>-1.5</v>
      </c>
      <c r="AJ365" s="265" t="b">
        <f t="shared" si="159"/>
        <v>0</v>
      </c>
      <c r="AK365" s="265" t="b">
        <f t="shared" si="160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62"/>
        <v>43452</v>
      </c>
      <c r="B366" s="618">
        <v>13.035</v>
      </c>
      <c r="C366" s="390"/>
      <c r="D366" s="393">
        <f t="shared" si="138"/>
        <v>13.094806927982185</v>
      </c>
      <c r="E366" s="385">
        <f t="shared" si="164"/>
        <v>13.42182138018847</v>
      </c>
      <c r="F366" s="385">
        <f t="shared" si="163"/>
        <v>13.422757303719896</v>
      </c>
      <c r="G366" s="110">
        <f t="shared" si="165"/>
        <v>0.49929607612481391</v>
      </c>
      <c r="I366" s="380">
        <f t="shared" si="139"/>
        <v>13.422757303719896</v>
      </c>
      <c r="J366" s="85">
        <v>2018</v>
      </c>
      <c r="K366" s="197">
        <f t="shared" si="140"/>
        <v>43452</v>
      </c>
      <c r="L366" s="436">
        <f t="shared" si="141"/>
        <v>4.5672248786184921E-3</v>
      </c>
      <c r="M366" s="968"/>
      <c r="N366" s="968"/>
      <c r="O366" s="324">
        <f t="shared" si="142"/>
        <v>2.4364387138170469E-2</v>
      </c>
      <c r="P366" s="169">
        <f>(INDEX(Models!$BJ366:$BT366,,T366)*(1-R366)+INDEX(Models!$BJ366:$BT366,,T366+1)*R366-ERP_i)*Q366*Ramure*Pc/MaxiM</f>
        <v>2.4479775576589263E-4</v>
      </c>
      <c r="Q366" s="305">
        <f t="shared" si="143"/>
        <v>0.7</v>
      </c>
      <c r="R366" s="177">
        <f t="shared" si="144"/>
        <v>0.50000818861966922</v>
      </c>
      <c r="S366" s="919">
        <f t="shared" si="161"/>
        <v>-2</v>
      </c>
      <c r="T366" s="176">
        <f t="shared" si="145"/>
        <v>4</v>
      </c>
      <c r="U366" s="251">
        <f t="shared" si="146"/>
        <v>-1.4999918113803308</v>
      </c>
      <c r="V366" s="383">
        <f t="shared" si="147"/>
        <v>26.102183477582692</v>
      </c>
      <c r="W366" s="58"/>
      <c r="X366" s="157">
        <f t="shared" si="148"/>
        <v>43452</v>
      </c>
      <c r="Y366" s="385">
        <f t="shared" si="149"/>
        <v>13.035</v>
      </c>
      <c r="Z366" s="385">
        <f t="shared" si="150"/>
        <v>13.094806927982185</v>
      </c>
      <c r="AA366" s="386">
        <f t="shared" si="151"/>
        <v>13.42182138018847</v>
      </c>
      <c r="AB366" s="197">
        <f t="shared" si="152"/>
        <v>43452</v>
      </c>
      <c r="AC366" s="425">
        <f t="shared" si="153"/>
        <v>2.4364387138170469E-2</v>
      </c>
      <c r="AD366" s="169">
        <f>(INDEX(Models!$BJ366:$BT366,,AH366)*(1-AF366)+INDEX(Models!$BJ366:$BT366,,AH366+1)*AF366-ERP_i)*AE366*Ramure*Pc/MaxiM</f>
        <v>2.4479775576589263E-4</v>
      </c>
      <c r="AE366" s="305">
        <f t="shared" si="154"/>
        <v>0.7</v>
      </c>
      <c r="AF366" s="177">
        <f t="shared" si="155"/>
        <v>0.50000818861966922</v>
      </c>
      <c r="AG366" s="919">
        <f t="shared" si="156"/>
        <v>-2</v>
      </c>
      <c r="AH366" s="176">
        <f t="shared" si="157"/>
        <v>4</v>
      </c>
      <c r="AI366" s="225">
        <f t="shared" si="158"/>
        <v>-1.4999918113803308</v>
      </c>
      <c r="AJ366" s="265" t="b">
        <f t="shared" si="159"/>
        <v>0</v>
      </c>
      <c r="AK366" s="265" t="b">
        <f t="shared" si="160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62"/>
        <v>43453</v>
      </c>
      <c r="B367" s="618">
        <v>24.201000000000001</v>
      </c>
      <c r="C367" s="390"/>
      <c r="D367" s="393">
        <f t="shared" si="138"/>
        <v>24.312571055005847</v>
      </c>
      <c r="E367" s="385">
        <f t="shared" si="164"/>
        <v>24.922355811463859</v>
      </c>
      <c r="F367" s="385">
        <f t="shared" si="163"/>
        <v>24.927812947970743</v>
      </c>
      <c r="G367" s="110">
        <f t="shared" si="165"/>
        <v>0.92595808360636356</v>
      </c>
      <c r="I367" s="380">
        <f t="shared" si="139"/>
        <v>24.927812947970743</v>
      </c>
      <c r="J367" s="85">
        <v>2018</v>
      </c>
      <c r="K367" s="197">
        <f t="shared" si="140"/>
        <v>43453</v>
      </c>
      <c r="L367" s="436">
        <f t="shared" si="141"/>
        <v>4.5890274111044516E-3</v>
      </c>
      <c r="M367" s="968"/>
      <c r="N367" s="968"/>
      <c r="O367" s="324">
        <f t="shared" si="142"/>
        <v>2.4467380253736782E-2</v>
      </c>
      <c r="P367" s="169">
        <f>(INDEX(Models!$BJ367:$BT367,,T367)*(1-R367)+INDEX(Models!$BJ367:$BT367,,T367+1)*R367-ERP_i)*Q367*Ramure*Pc/MaxiM</f>
        <v>2.448030332029162E-4</v>
      </c>
      <c r="Q367" s="305">
        <f t="shared" si="143"/>
        <v>0.7</v>
      </c>
      <c r="R367" s="177">
        <f t="shared" si="144"/>
        <v>0.50001604779363529</v>
      </c>
      <c r="S367" s="919">
        <f t="shared" si="161"/>
        <v>-2</v>
      </c>
      <c r="T367" s="176">
        <f t="shared" si="145"/>
        <v>4</v>
      </c>
      <c r="U367" s="251">
        <f t="shared" si="146"/>
        <v>-1.4999839522063647</v>
      </c>
      <c r="V367" s="383">
        <f t="shared" si="147"/>
        <v>26.135495588247519</v>
      </c>
      <c r="W367" s="58"/>
      <c r="X367" s="157">
        <f t="shared" si="148"/>
        <v>43453</v>
      </c>
      <c r="Y367" s="385">
        <f t="shared" si="149"/>
        <v>24.201000000000001</v>
      </c>
      <c r="Z367" s="385">
        <f t="shared" si="150"/>
        <v>24.312571055005847</v>
      </c>
      <c r="AA367" s="386">
        <f t="shared" si="151"/>
        <v>24.922355811463859</v>
      </c>
      <c r="AB367" s="197">
        <f t="shared" si="152"/>
        <v>43453</v>
      </c>
      <c r="AC367" s="425">
        <f t="shared" si="153"/>
        <v>2.4467380253736782E-2</v>
      </c>
      <c r="AD367" s="169">
        <f>(INDEX(Models!$BJ367:$BT367,,AH367)*(1-AF367)+INDEX(Models!$BJ367:$BT367,,AH367+1)*AF367-ERP_i)*AE367*Ramure*Pc/MaxiM</f>
        <v>2.448030332029162E-4</v>
      </c>
      <c r="AE367" s="305">
        <f t="shared" si="154"/>
        <v>0.7</v>
      </c>
      <c r="AF367" s="177">
        <f t="shared" si="155"/>
        <v>0.50001604779363529</v>
      </c>
      <c r="AG367" s="919">
        <f t="shared" si="156"/>
        <v>-2</v>
      </c>
      <c r="AH367" s="176">
        <f t="shared" si="157"/>
        <v>4</v>
      </c>
      <c r="AI367" s="225">
        <f t="shared" si="158"/>
        <v>-1.4999839522063647</v>
      </c>
      <c r="AJ367" s="265" t="b">
        <f t="shared" si="159"/>
        <v>0</v>
      </c>
      <c r="AK367" s="265" t="b">
        <f t="shared" si="160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62"/>
        <v>43454</v>
      </c>
      <c r="B368" s="618">
        <v>15.422000000000001</v>
      </c>
      <c r="C368" s="390"/>
      <c r="D368" s="393">
        <f t="shared" si="138"/>
        <v>15.493437598610219</v>
      </c>
      <c r="E368" s="385">
        <f t="shared" si="164"/>
        <v>15.883707671236541</v>
      </c>
      <c r="F368" s="385">
        <f t="shared" si="163"/>
        <v>15.88531155636926</v>
      </c>
      <c r="G368" s="110">
        <f t="shared" si="165"/>
        <v>0.58897357269998341</v>
      </c>
      <c r="I368" s="380">
        <f t="shared" si="139"/>
        <v>15.88531155636926</v>
      </c>
      <c r="J368" s="85">
        <v>2018</v>
      </c>
      <c r="K368" s="197">
        <f t="shared" si="140"/>
        <v>43454</v>
      </c>
      <c r="L368" s="436">
        <f t="shared" si="141"/>
        <v>4.6108294660590632E-3</v>
      </c>
      <c r="M368" s="968"/>
      <c r="N368" s="968"/>
      <c r="O368" s="324">
        <f t="shared" si="142"/>
        <v>2.4570464321315481E-2</v>
      </c>
      <c r="P368" s="169">
        <f>(INDEX(Models!$BJ368:$BT368,,T368)*(1-R368)+INDEX(Models!$BJ368:$BT368,,T368+1)*R368-ERP_i)*Q368*Ramure*Pc/MaxiM</f>
        <v>2.4450647751073101E-4</v>
      </c>
      <c r="Q368" s="305">
        <f t="shared" si="143"/>
        <v>0.7</v>
      </c>
      <c r="R368" s="177">
        <f t="shared" si="144"/>
        <v>0.50002359076647362</v>
      </c>
      <c r="S368" s="919">
        <f t="shared" si="161"/>
        <v>-2</v>
      </c>
      <c r="T368" s="176">
        <f t="shared" si="145"/>
        <v>4</v>
      </c>
      <c r="U368" s="251">
        <f t="shared" si="146"/>
        <v>-1.4999764092335264</v>
      </c>
      <c r="V368" s="383">
        <f t="shared" si="147"/>
        <v>26.180777573854691</v>
      </c>
      <c r="W368" s="58"/>
      <c r="X368" s="157">
        <f t="shared" si="148"/>
        <v>43454</v>
      </c>
      <c r="Y368" s="385">
        <f t="shared" si="149"/>
        <v>15.422000000000001</v>
      </c>
      <c r="Z368" s="385">
        <f t="shared" si="150"/>
        <v>15.493437598610219</v>
      </c>
      <c r="AA368" s="386">
        <f t="shared" si="151"/>
        <v>15.883707671236541</v>
      </c>
      <c r="AB368" s="197">
        <f t="shared" si="152"/>
        <v>43454</v>
      </c>
      <c r="AC368" s="425">
        <f t="shared" si="153"/>
        <v>2.4570464321315481E-2</v>
      </c>
      <c r="AD368" s="169">
        <f>(INDEX(Models!$BJ368:$BT368,,AH368)*(1-AF368)+INDEX(Models!$BJ368:$BT368,,AH368+1)*AF368-ERP_i)*AE368*Ramure*Pc/MaxiM</f>
        <v>2.4450647751073101E-4</v>
      </c>
      <c r="AE368" s="305">
        <f t="shared" si="154"/>
        <v>0.7</v>
      </c>
      <c r="AF368" s="177">
        <f t="shared" si="155"/>
        <v>0.50002359076647362</v>
      </c>
      <c r="AG368" s="919">
        <f t="shared" si="156"/>
        <v>-2</v>
      </c>
      <c r="AH368" s="176">
        <f t="shared" si="157"/>
        <v>4</v>
      </c>
      <c r="AI368" s="225">
        <f t="shared" si="158"/>
        <v>-1.4999764092335264</v>
      </c>
      <c r="AJ368" s="265" t="b">
        <f t="shared" si="159"/>
        <v>0</v>
      </c>
      <c r="AK368" s="265" t="b">
        <f t="shared" si="160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62"/>
        <v>43455</v>
      </c>
      <c r="B369" s="618">
        <v>8.6959999999999997</v>
      </c>
      <c r="C369" s="390"/>
      <c r="D369" s="393">
        <f t="shared" si="138"/>
        <v>8.7364728553603737</v>
      </c>
      <c r="E369" s="385">
        <f t="shared" si="164"/>
        <v>8.9574865388821756</v>
      </c>
      <c r="F369" s="385">
        <f t="shared" si="163"/>
        <v>8.9575846517536011</v>
      </c>
      <c r="G369" s="110">
        <f t="shared" si="165"/>
        <v>0.3313565060402861</v>
      </c>
      <c r="I369" s="380">
        <f t="shared" si="139"/>
        <v>8.9575846517536011</v>
      </c>
      <c r="J369" s="85">
        <v>2018</v>
      </c>
      <c r="K369" s="197">
        <f t="shared" si="140"/>
        <v>43455</v>
      </c>
      <c r="L369" s="436">
        <f t="shared" si="141"/>
        <v>4.6326310434927631E-3</v>
      </c>
      <c r="M369" s="968"/>
      <c r="N369" s="968"/>
      <c r="O369" s="324">
        <f t="shared" si="142"/>
        <v>2.4673627201384881E-2</v>
      </c>
      <c r="P369" s="169">
        <f>(INDEX(Models!$BJ369:$BT369,,T369)*(1-R369)+INDEX(Models!$BJ369:$BT369,,T369+1)*R369-ERP_i)*Q369*Ramure*Pc/MaxiM</f>
        <v>2.4391434962770981E-4</v>
      </c>
      <c r="Q369" s="305">
        <f t="shared" si="143"/>
        <v>0.7</v>
      </c>
      <c r="R369" s="177">
        <f t="shared" si="144"/>
        <v>0.50003083025106054</v>
      </c>
      <c r="S369" s="919">
        <f t="shared" si="161"/>
        <v>-2</v>
      </c>
      <c r="T369" s="176">
        <f t="shared" si="145"/>
        <v>4</v>
      </c>
      <c r="U369" s="251">
        <f t="shared" si="146"/>
        <v>-1.4999691697489395</v>
      </c>
      <c r="V369" s="383">
        <f t="shared" si="147"/>
        <v>26.237523597291439</v>
      </c>
      <c r="W369" s="58"/>
      <c r="X369" s="157">
        <f t="shared" si="148"/>
        <v>43455</v>
      </c>
      <c r="Y369" s="385">
        <f t="shared" si="149"/>
        <v>8.6959999999999997</v>
      </c>
      <c r="Z369" s="385">
        <f t="shared" si="150"/>
        <v>8.7364728553603737</v>
      </c>
      <c r="AA369" s="386">
        <f t="shared" si="151"/>
        <v>8.9574865388821756</v>
      </c>
      <c r="AB369" s="197">
        <f t="shared" si="152"/>
        <v>43455</v>
      </c>
      <c r="AC369" s="425">
        <f t="shared" si="153"/>
        <v>2.4673627201384881E-2</v>
      </c>
      <c r="AD369" s="169">
        <f>(INDEX(Models!$BJ369:$BT369,,AH369)*(1-AF369)+INDEX(Models!$BJ369:$BT369,,AH369+1)*AF369-ERP_i)*AE369*Ramure*Pc/MaxiM</f>
        <v>2.4391434962770981E-4</v>
      </c>
      <c r="AE369" s="305">
        <f t="shared" si="154"/>
        <v>0.7</v>
      </c>
      <c r="AF369" s="177">
        <f t="shared" si="155"/>
        <v>0.50003083025106054</v>
      </c>
      <c r="AG369" s="919">
        <f t="shared" si="156"/>
        <v>-2</v>
      </c>
      <c r="AH369" s="176">
        <f t="shared" si="157"/>
        <v>4</v>
      </c>
      <c r="AI369" s="225">
        <f t="shared" si="158"/>
        <v>-1.4999691697489395</v>
      </c>
      <c r="AJ369" s="265" t="b">
        <f t="shared" si="159"/>
        <v>0</v>
      </c>
      <c r="AK369" s="265" t="b">
        <f t="shared" si="160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62"/>
        <v>43456</v>
      </c>
      <c r="B370" s="618">
        <v>6.9550000000000001</v>
      </c>
      <c r="C370" s="390"/>
      <c r="D370" s="393">
        <f t="shared" si="138"/>
        <v>6.9875229514279829</v>
      </c>
      <c r="E370" s="385">
        <f t="shared" si="164"/>
        <v>7.1650503790916655</v>
      </c>
      <c r="F370" s="385">
        <f>Wh_sa/(1-Pvg*MEDIAN((-Sdif+Wh/Env_an)/Csdif,0,1))</f>
        <v>7.1650503790916655</v>
      </c>
      <c r="G370" s="110">
        <f t="shared" si="165"/>
        <v>0.26433185381980795</v>
      </c>
      <c r="I370" s="380">
        <f t="shared" si="139"/>
        <v>7.1650503790916655</v>
      </c>
      <c r="J370" s="85">
        <v>2018</v>
      </c>
      <c r="K370" s="197">
        <f t="shared" si="140"/>
        <v>43456</v>
      </c>
      <c r="L370" s="436">
        <f t="shared" si="141"/>
        <v>4.6544321434158764E-3</v>
      </c>
      <c r="M370" s="968"/>
      <c r="N370" s="968"/>
      <c r="O370" s="324">
        <f t="shared" si="142"/>
        <v>2.4776856863662163E-2</v>
      </c>
      <c r="P370" s="169">
        <f>(INDEX(Models!$BJ370:$BT370,,T370)*(1-R370)+INDEX(Models!$BJ370:$BT370,,T370+1)*R370-ERP_i)*Q370*Ramure*Pc/MaxiM</f>
        <v>2.4303346492807312E-4</v>
      </c>
      <c r="Q370" s="305">
        <f t="shared" si="143"/>
        <v>0.7</v>
      </c>
      <c r="R370" s="177">
        <f t="shared" si="144"/>
        <v>0.50003777844985797</v>
      </c>
      <c r="S370" s="919">
        <f t="shared" si="161"/>
        <v>-2</v>
      </c>
      <c r="T370" s="176">
        <f t="shared" si="145"/>
        <v>4</v>
      </c>
      <c r="U370" s="251">
        <f t="shared" si="146"/>
        <v>-1.499962221550142</v>
      </c>
      <c r="V370" s="383">
        <f t="shared" si="147"/>
        <v>26.305228075127932</v>
      </c>
      <c r="W370" s="58"/>
      <c r="X370" s="157">
        <f t="shared" si="148"/>
        <v>43456</v>
      </c>
      <c r="Y370" s="385">
        <f t="shared" si="149"/>
        <v>6.9550000000000001</v>
      </c>
      <c r="Z370" s="385">
        <f t="shared" si="150"/>
        <v>6.9875229514279829</v>
      </c>
      <c r="AA370" s="386">
        <f t="shared" si="151"/>
        <v>7.1650503790916655</v>
      </c>
      <c r="AB370" s="197">
        <f t="shared" si="152"/>
        <v>43456</v>
      </c>
      <c r="AC370" s="425">
        <f t="shared" si="153"/>
        <v>2.4776856863662163E-2</v>
      </c>
      <c r="AD370" s="169">
        <f>(INDEX(Models!$BJ370:$BT370,,AH370)*(1-AF370)+INDEX(Models!$BJ370:$BT370,,AH370+1)*AF370-ERP_i)*AE370*Ramure*Pc/MaxiM</f>
        <v>2.4303346492807312E-4</v>
      </c>
      <c r="AE370" s="305">
        <f t="shared" si="154"/>
        <v>0.7</v>
      </c>
      <c r="AF370" s="177">
        <f t="shared" si="155"/>
        <v>0.50003777844985797</v>
      </c>
      <c r="AG370" s="919">
        <f t="shared" si="156"/>
        <v>-2</v>
      </c>
      <c r="AH370" s="176">
        <f t="shared" si="157"/>
        <v>4</v>
      </c>
      <c r="AI370" s="225">
        <f t="shared" si="158"/>
        <v>-1.499962221550142</v>
      </c>
      <c r="AJ370" s="265" t="b">
        <f t="shared" si="159"/>
        <v>0</v>
      </c>
      <c r="AK370" s="265" t="b">
        <f t="shared" si="160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62"/>
        <v>43457</v>
      </c>
      <c r="B371" s="618">
        <v>4.7510000000000003</v>
      </c>
      <c r="C371" s="390"/>
      <c r="D371" s="393">
        <f t="shared" si="138"/>
        <v>4.7733211608140724</v>
      </c>
      <c r="E371" s="385">
        <f t="shared" si="164"/>
        <v>4.8951122459966037</v>
      </c>
      <c r="F371" s="385">
        <f t="shared" si="163"/>
        <v>4.8951122459966037</v>
      </c>
      <c r="G371" s="110">
        <f t="shared" si="165"/>
        <v>0.18003189315263116</v>
      </c>
      <c r="I371" s="380">
        <f t="shared" si="139"/>
        <v>4.8951122459966037</v>
      </c>
      <c r="J371" s="85">
        <v>2018</v>
      </c>
      <c r="K371" s="197">
        <f t="shared" si="140"/>
        <v>43457</v>
      </c>
      <c r="L371" s="436">
        <f t="shared" si="141"/>
        <v>4.6762327658390612E-3</v>
      </c>
      <c r="M371" s="968"/>
      <c r="N371" s="968"/>
      <c r="O371" s="324">
        <f t="shared" si="142"/>
        <v>2.4880141468080926E-2</v>
      </c>
      <c r="P371" s="169">
        <f>(INDEX(Models!$BJ371:$BT371,,T371)*(1-R371)+INDEX(Models!$BJ371:$BT371,,T371+1)*R371-ERP_i)*Q371*Ramure*Pc/MaxiM</f>
        <v>2.4186806588805097E-4</v>
      </c>
      <c r="Q371" s="305">
        <f t="shared" si="143"/>
        <v>0.7</v>
      </c>
      <c r="R371" s="177">
        <f t="shared" si="144"/>
        <v>0.50003777844985797</v>
      </c>
      <c r="S371" s="919">
        <f t="shared" si="161"/>
        <v>-2</v>
      </c>
      <c r="T371" s="176">
        <f t="shared" si="145"/>
        <v>4</v>
      </c>
      <c r="U371" s="251">
        <f t="shared" si="146"/>
        <v>-1.499962221550142</v>
      </c>
      <c r="V371" s="383">
        <f t="shared" si="147"/>
        <v>26.383385752612401</v>
      </c>
      <c r="W371" s="58"/>
      <c r="X371" s="157">
        <f t="shared" si="148"/>
        <v>43457</v>
      </c>
      <c r="Y371" s="385">
        <f t="shared" si="149"/>
        <v>4.7510000000000003</v>
      </c>
      <c r="Z371" s="385">
        <f t="shared" si="150"/>
        <v>4.7733211608140724</v>
      </c>
      <c r="AA371" s="386">
        <f t="shared" si="151"/>
        <v>4.8951122459966037</v>
      </c>
      <c r="AB371" s="197">
        <f t="shared" si="152"/>
        <v>43457</v>
      </c>
      <c r="AC371" s="425">
        <f t="shared" si="153"/>
        <v>2.4880141468080926E-2</v>
      </c>
      <c r="AD371" s="169">
        <f>(INDEX(Models!$BJ371:$BT371,,AH371)*(1-AF371)+INDEX(Models!$BJ371:$BT371,,AH371+1)*AF371-ERP_i)*AE371*Ramure*Pc/MaxiM</f>
        <v>2.4186806588805097E-4</v>
      </c>
      <c r="AE371" s="305">
        <f t="shared" si="154"/>
        <v>0.7</v>
      </c>
      <c r="AF371" s="177">
        <f t="shared" si="155"/>
        <v>0.50003777844985797</v>
      </c>
      <c r="AG371" s="919">
        <f t="shared" si="156"/>
        <v>-2</v>
      </c>
      <c r="AH371" s="176">
        <f t="shared" si="157"/>
        <v>4</v>
      </c>
      <c r="AI371" s="225">
        <f t="shared" si="158"/>
        <v>-1.499962221550142</v>
      </c>
      <c r="AJ371" s="265" t="b">
        <f t="shared" si="159"/>
        <v>0</v>
      </c>
      <c r="AK371" s="265" t="b">
        <f t="shared" si="160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62"/>
        <v>43458</v>
      </c>
      <c r="B372" s="618">
        <v>4.4889999999999999</v>
      </c>
      <c r="C372" s="390"/>
      <c r="D372" s="393">
        <f t="shared" si="138"/>
        <v>4.5101890164330065</v>
      </c>
      <c r="E372" s="385">
        <f t="shared" si="164"/>
        <v>4.625756461635107</v>
      </c>
      <c r="F372" s="385">
        <f t="shared" si="163"/>
        <v>4.625756461635107</v>
      </c>
      <c r="G372" s="110">
        <f t="shared" si="165"/>
        <v>0.16953788640639622</v>
      </c>
      <c r="I372" s="380">
        <f t="shared" si="139"/>
        <v>4.625756461635107</v>
      </c>
      <c r="J372" s="85">
        <v>2018</v>
      </c>
      <c r="K372" s="197">
        <f t="shared" si="140"/>
        <v>43458</v>
      </c>
      <c r="L372" s="436">
        <f t="shared" si="141"/>
        <v>4.6980329107725316E-3</v>
      </c>
      <c r="M372" s="968"/>
      <c r="N372" s="968"/>
      <c r="O372" s="324">
        <f t="shared" si="142"/>
        <v>2.4983469441287782E-2</v>
      </c>
      <c r="P372" s="169">
        <f>(INDEX(Models!$BJ372:$BT372,,T372)*(1-R372)+INDEX(Models!$BJ372:$BT372,,T372+1)*R372-ERP_i)*Q372*Ramure*Pc/MaxiM</f>
        <v>2.4042872432671953E-4</v>
      </c>
      <c r="Q372" s="305">
        <f t="shared" si="143"/>
        <v>0.7</v>
      </c>
      <c r="R372" s="177">
        <f t="shared" si="144"/>
        <v>0.50003777844985797</v>
      </c>
      <c r="S372" s="919">
        <f t="shared" si="161"/>
        <v>-2</v>
      </c>
      <c r="T372" s="176">
        <f t="shared" si="145"/>
        <v>4</v>
      </c>
      <c r="U372" s="251">
        <f t="shared" si="146"/>
        <v>-1.499962221550142</v>
      </c>
      <c r="V372" s="383">
        <f t="shared" si="147"/>
        <v>26.471491479483131</v>
      </c>
      <c r="W372" s="58"/>
      <c r="X372" s="157">
        <f t="shared" si="148"/>
        <v>43458</v>
      </c>
      <c r="Y372" s="385">
        <f t="shared" si="149"/>
        <v>4.4889999999999999</v>
      </c>
      <c r="Z372" s="385">
        <f t="shared" si="150"/>
        <v>4.5101890164330065</v>
      </c>
      <c r="AA372" s="386">
        <f t="shared" si="151"/>
        <v>4.625756461635107</v>
      </c>
      <c r="AB372" s="197">
        <f t="shared" si="152"/>
        <v>43458</v>
      </c>
      <c r="AC372" s="425">
        <f t="shared" si="153"/>
        <v>2.4983469441287782E-2</v>
      </c>
      <c r="AD372" s="169">
        <f>(INDEX(Models!$BJ372:$BT372,,AH372)*(1-AF372)+INDEX(Models!$BJ372:$BT372,,AH372+1)*AF372-ERP_i)*AE372*Ramure*Pc/MaxiM</f>
        <v>2.4042872432671953E-4</v>
      </c>
      <c r="AE372" s="305">
        <f t="shared" si="154"/>
        <v>0.7</v>
      </c>
      <c r="AF372" s="177">
        <f t="shared" si="155"/>
        <v>0.50003777844985797</v>
      </c>
      <c r="AG372" s="919">
        <f t="shared" si="156"/>
        <v>-2</v>
      </c>
      <c r="AH372" s="176">
        <f t="shared" si="157"/>
        <v>4</v>
      </c>
      <c r="AI372" s="225">
        <f t="shared" si="158"/>
        <v>-1.499962221550142</v>
      </c>
      <c r="AJ372" s="265" t="b">
        <f t="shared" si="159"/>
        <v>0</v>
      </c>
      <c r="AK372" s="265" t="b">
        <f t="shared" si="160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62"/>
        <v>43459</v>
      </c>
      <c r="B373" s="618">
        <v>13.209</v>
      </c>
      <c r="C373" s="390"/>
      <c r="D373" s="393">
        <f t="shared" si="138"/>
        <v>13.271639918453614</v>
      </c>
      <c r="E373" s="385">
        <f t="shared" si="164"/>
        <v>13.613150709926137</v>
      </c>
      <c r="F373" s="385">
        <f t="shared" si="163"/>
        <v>13.614065497581036</v>
      </c>
      <c r="G373" s="110">
        <f t="shared" si="165"/>
        <v>0.49698257594667156</v>
      </c>
      <c r="I373" s="380">
        <f t="shared" si="139"/>
        <v>13.614065497581036</v>
      </c>
      <c r="J373" s="85">
        <v>2018</v>
      </c>
      <c r="K373" s="197">
        <f t="shared" si="140"/>
        <v>43459</v>
      </c>
      <c r="L373" s="436">
        <f t="shared" si="141"/>
        <v>4.7198325782269457E-3</v>
      </c>
      <c r="M373" s="968"/>
      <c r="N373" s="968"/>
      <c r="O373" s="324">
        <f t="shared" si="142"/>
        <v>2.508682954810074E-2</v>
      </c>
      <c r="P373" s="169">
        <f>(INDEX(Models!$BJ373:$BT373,,T373)*(1-R373)+INDEX(Models!$BJ373:$BT373,,T373+1)*R373-ERP_i)*Q373*Ramure*Pc/MaxiM</f>
        <v>2.3867931575078947E-4</v>
      </c>
      <c r="Q373" s="305">
        <f t="shared" si="143"/>
        <v>0.7</v>
      </c>
      <c r="R373" s="177">
        <f t="shared" si="144"/>
        <v>0.50003777844985797</v>
      </c>
      <c r="S373" s="919">
        <f t="shared" si="161"/>
        <v>-2</v>
      </c>
      <c r="T373" s="176">
        <f t="shared" si="145"/>
        <v>4</v>
      </c>
      <c r="U373" s="251">
        <f t="shared" si="146"/>
        <v>-1.499962221550142</v>
      </c>
      <c r="V373" s="383">
        <f t="shared" si="147"/>
        <v>26.573838483385828</v>
      </c>
      <c r="W373" s="58"/>
      <c r="X373" s="157">
        <f t="shared" si="148"/>
        <v>43459</v>
      </c>
      <c r="Y373" s="385">
        <f t="shared" si="149"/>
        <v>13.209</v>
      </c>
      <c r="Z373" s="385">
        <f t="shared" si="150"/>
        <v>13.271639918453614</v>
      </c>
      <c r="AA373" s="386">
        <f t="shared" si="151"/>
        <v>13.613150709926137</v>
      </c>
      <c r="AB373" s="197">
        <f t="shared" si="152"/>
        <v>43459</v>
      </c>
      <c r="AC373" s="425">
        <f t="shared" si="153"/>
        <v>2.508682954810074E-2</v>
      </c>
      <c r="AD373" s="169">
        <f>(INDEX(Models!$BJ373:$BT373,,AH373)*(1-AF373)+INDEX(Models!$BJ373:$BT373,,AH373+1)*AF373-ERP_i)*AE373*Ramure*Pc/MaxiM</f>
        <v>2.3867931575078947E-4</v>
      </c>
      <c r="AE373" s="305">
        <f t="shared" si="154"/>
        <v>0.7</v>
      </c>
      <c r="AF373" s="177">
        <f t="shared" si="155"/>
        <v>0.50003777844985797</v>
      </c>
      <c r="AG373" s="919">
        <f t="shared" si="156"/>
        <v>-2</v>
      </c>
      <c r="AH373" s="176">
        <f t="shared" si="157"/>
        <v>4</v>
      </c>
      <c r="AI373" s="225">
        <f t="shared" si="158"/>
        <v>-1.499962221550142</v>
      </c>
      <c r="AJ373" s="265" t="b">
        <f t="shared" si="159"/>
        <v>0</v>
      </c>
      <c r="AK373" s="265" t="b">
        <f t="shared" si="160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62"/>
        <v>43460</v>
      </c>
      <c r="B374" s="618">
        <v>25.539000000000001</v>
      </c>
      <c r="C374" s="390"/>
      <c r="D374" s="393">
        <f t="shared" si="138"/>
        <v>25.660673464492977</v>
      </c>
      <c r="E374" s="385">
        <f t="shared" si="164"/>
        <v>26.323774907611497</v>
      </c>
      <c r="F374" s="385">
        <f t="shared" si="163"/>
        <v>26.329619230701343</v>
      </c>
      <c r="G374" s="110">
        <f t="shared" si="165"/>
        <v>0.95671644578654846</v>
      </c>
      <c r="I374" s="380">
        <f t="shared" si="139"/>
        <v>26.329619230701343</v>
      </c>
      <c r="J374" s="85">
        <v>2018</v>
      </c>
      <c r="K374" s="197">
        <f t="shared" si="140"/>
        <v>43460</v>
      </c>
      <c r="L374" s="436">
        <f t="shared" si="141"/>
        <v>4.7416317682127396E-3</v>
      </c>
      <c r="M374" s="968"/>
      <c r="N374" s="968"/>
      <c r="O374" s="324">
        <f t="shared" si="142"/>
        <v>2.5190210957425706E-2</v>
      </c>
      <c r="P374" s="169">
        <f>(INDEX(Models!$BJ374:$BT374,,T374)*(1-R374)+INDEX(Models!$BJ374:$BT374,,T374+1)*R374-ERP_i)*Q374*Ramure*Pc/MaxiM</f>
        <v>2.3659225914167875E-4</v>
      </c>
      <c r="Q374" s="305">
        <f t="shared" si="143"/>
        <v>0.7</v>
      </c>
      <c r="R374" s="177">
        <f t="shared" si="144"/>
        <v>0.50003777844985797</v>
      </c>
      <c r="S374" s="919">
        <f t="shared" si="161"/>
        <v>-2</v>
      </c>
      <c r="T374" s="176">
        <f t="shared" si="145"/>
        <v>4</v>
      </c>
      <c r="U374" s="251">
        <f t="shared" si="146"/>
        <v>-1.499962221550142</v>
      </c>
      <c r="V374" s="383">
        <f t="shared" si="147"/>
        <v>26.694039316519028</v>
      </c>
      <c r="W374" s="58"/>
      <c r="X374" s="157">
        <f t="shared" si="148"/>
        <v>43460</v>
      </c>
      <c r="Y374" s="385">
        <f t="shared" si="149"/>
        <v>25.539000000000001</v>
      </c>
      <c r="Z374" s="385">
        <f t="shared" si="150"/>
        <v>25.660673464492977</v>
      </c>
      <c r="AA374" s="386">
        <f t="shared" si="151"/>
        <v>26.323774907611497</v>
      </c>
      <c r="AB374" s="197">
        <f t="shared" si="152"/>
        <v>43460</v>
      </c>
      <c r="AC374" s="425">
        <f t="shared" si="153"/>
        <v>2.5190210957425706E-2</v>
      </c>
      <c r="AD374" s="169">
        <f>(INDEX(Models!$BJ374:$BT374,,AH374)*(1-AF374)+INDEX(Models!$BJ374:$BT374,,AH374+1)*AF374-ERP_i)*AE374*Ramure*Pc/MaxiM</f>
        <v>2.3659225914167875E-4</v>
      </c>
      <c r="AE374" s="305">
        <f t="shared" si="154"/>
        <v>0.7</v>
      </c>
      <c r="AF374" s="177">
        <f t="shared" si="155"/>
        <v>0.50003777844985797</v>
      </c>
      <c r="AG374" s="919">
        <f t="shared" si="156"/>
        <v>-2</v>
      </c>
      <c r="AH374" s="176">
        <f t="shared" si="157"/>
        <v>4</v>
      </c>
      <c r="AI374" s="225">
        <f t="shared" si="158"/>
        <v>-1.499962221550142</v>
      </c>
      <c r="AJ374" s="265" t="b">
        <f t="shared" si="159"/>
        <v>0</v>
      </c>
      <c r="AK374" s="265" t="b">
        <f t="shared" si="160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62"/>
        <v>43461</v>
      </c>
      <c r="B375" s="618">
        <v>26.783000000000001</v>
      </c>
      <c r="C375" s="390"/>
      <c r="D375" s="393">
        <f t="shared" si="138"/>
        <v>26.911189580721789</v>
      </c>
      <c r="E375" s="385">
        <f t="shared" si="164"/>
        <v>27.609534185774926</v>
      </c>
      <c r="F375" s="385">
        <f t="shared" si="163"/>
        <v>27.615988001355355</v>
      </c>
      <c r="G375" s="110">
        <f t="shared" si="165"/>
        <v>0.99822658359005534</v>
      </c>
      <c r="I375" s="380">
        <f t="shared" si="139"/>
        <v>27.615988001355355</v>
      </c>
      <c r="J375" s="85">
        <v>2018</v>
      </c>
      <c r="K375" s="197">
        <f t="shared" si="140"/>
        <v>43461</v>
      </c>
      <c r="L375" s="436">
        <f t="shared" si="141"/>
        <v>4.7634304807402383E-3</v>
      </c>
      <c r="M375" s="968"/>
      <c r="N375" s="968"/>
      <c r="O375" s="324">
        <f t="shared" si="142"/>
        <v>2.5293603302186132E-2</v>
      </c>
      <c r="P375" s="169">
        <f>(INDEX(Models!$BJ375:$BT375,,T375)*(1-R375)+INDEX(Models!$BJ375:$BT375,,T375+1)*R375-ERP_i)*Q375*Ramure*Pc/MaxiM</f>
        <v>2.3429189100089277E-4</v>
      </c>
      <c r="Q375" s="305">
        <f t="shared" si="143"/>
        <v>0.7</v>
      </c>
      <c r="R375" s="177">
        <f t="shared" si="144"/>
        <v>0.50003777844985797</v>
      </c>
      <c r="S375" s="919">
        <f t="shared" si="161"/>
        <v>-2</v>
      </c>
      <c r="T375" s="176">
        <f t="shared" si="145"/>
        <v>4</v>
      </c>
      <c r="U375" s="251">
        <f t="shared" si="146"/>
        <v>-1.499962221550142</v>
      </c>
      <c r="V375" s="383">
        <f t="shared" si="147"/>
        <v>26.83056586988587</v>
      </c>
      <c r="W375" s="58"/>
      <c r="X375" s="157">
        <f t="shared" si="148"/>
        <v>43461</v>
      </c>
      <c r="Y375" s="385">
        <f t="shared" si="149"/>
        <v>26.783000000000001</v>
      </c>
      <c r="Z375" s="385">
        <f t="shared" si="150"/>
        <v>26.911189580721789</v>
      </c>
      <c r="AA375" s="386">
        <f t="shared" si="151"/>
        <v>27.609534185774926</v>
      </c>
      <c r="AB375" s="197">
        <f t="shared" si="152"/>
        <v>43461</v>
      </c>
      <c r="AC375" s="425">
        <f t="shared" si="153"/>
        <v>2.5293603302186132E-2</v>
      </c>
      <c r="AD375" s="169">
        <f>(INDEX(Models!$BJ375:$BT375,,AH375)*(1-AF375)+INDEX(Models!$BJ375:$BT375,,AH375+1)*AF375-ERP_i)*AE375*Ramure*Pc/MaxiM</f>
        <v>2.3429189100089277E-4</v>
      </c>
      <c r="AE375" s="305">
        <f t="shared" si="154"/>
        <v>0.7</v>
      </c>
      <c r="AF375" s="177">
        <f t="shared" si="155"/>
        <v>0.50003777844985797</v>
      </c>
      <c r="AG375" s="919">
        <f t="shared" si="156"/>
        <v>-2</v>
      </c>
      <c r="AH375" s="176">
        <f t="shared" si="157"/>
        <v>4</v>
      </c>
      <c r="AI375" s="225">
        <f t="shared" si="158"/>
        <v>-1.499962221550142</v>
      </c>
      <c r="AJ375" s="265" t="b">
        <f t="shared" si="159"/>
        <v>0</v>
      </c>
      <c r="AK375" s="265" t="b">
        <f t="shared" si="160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62"/>
        <v>43462</v>
      </c>
      <c r="B376" s="618">
        <v>3.0419999999999998</v>
      </c>
      <c r="C376" s="390"/>
      <c r="D376" s="393">
        <f t="shared" si="138"/>
        <v>3.0566266576557553</v>
      </c>
      <c r="E376" s="385">
        <f t="shared" si="164"/>
        <v>3.136278718010475</v>
      </c>
      <c r="F376" s="385">
        <f t="shared" si="163"/>
        <v>3.136278718010475</v>
      </c>
      <c r="G376" s="110">
        <f t="shared" si="165"/>
        <v>0.11271613915876565</v>
      </c>
      <c r="I376" s="380">
        <f t="shared" si="139"/>
        <v>3.136278718010475</v>
      </c>
      <c r="J376" s="85">
        <v>2018</v>
      </c>
      <c r="K376" s="197">
        <f t="shared" si="140"/>
        <v>43462</v>
      </c>
      <c r="L376" s="436">
        <f t="shared" si="141"/>
        <v>4.7852287158201001E-3</v>
      </c>
      <c r="M376" s="968"/>
      <c r="N376" s="968"/>
      <c r="O376" s="324">
        <f t="shared" si="142"/>
        <v>2.5396996732882114E-2</v>
      </c>
      <c r="P376" s="169">
        <f>(INDEX(Models!$BJ376:$BT376,,T376)*(1-R376)+INDEX(Models!$BJ376:$BT376,,T376+1)*R376-ERP_i)*Q376*Ramure*Pc/MaxiM</f>
        <v>2.3190347663275547E-4</v>
      </c>
      <c r="Q376" s="305">
        <f t="shared" si="143"/>
        <v>0.7</v>
      </c>
      <c r="R376" s="177">
        <f t="shared" si="144"/>
        <v>0.50003777844985797</v>
      </c>
      <c r="S376" s="919">
        <f t="shared" si="161"/>
        <v>-2</v>
      </c>
      <c r="T376" s="176">
        <f t="shared" si="145"/>
        <v>4</v>
      </c>
      <c r="U376" s="251">
        <f t="shared" si="146"/>
        <v>-1.499962221550142</v>
      </c>
      <c r="V376" s="383">
        <f t="shared" si="147"/>
        <v>26.981890724098395</v>
      </c>
      <c r="W376" s="58"/>
      <c r="X376" s="157">
        <f t="shared" si="148"/>
        <v>43462</v>
      </c>
      <c r="Y376" s="385">
        <f t="shared" si="149"/>
        <v>3.0419999999999998</v>
      </c>
      <c r="Z376" s="385">
        <f t="shared" si="150"/>
        <v>3.0566266576557553</v>
      </c>
      <c r="AA376" s="386">
        <f t="shared" si="151"/>
        <v>3.136278718010475</v>
      </c>
      <c r="AB376" s="197">
        <f t="shared" si="152"/>
        <v>43462</v>
      </c>
      <c r="AC376" s="425">
        <f t="shared" si="153"/>
        <v>2.5396996732882114E-2</v>
      </c>
      <c r="AD376" s="169">
        <f>(INDEX(Models!$BJ376:$BT376,,AH376)*(1-AF376)+INDEX(Models!$BJ376:$BT376,,AH376+1)*AF376-ERP_i)*AE376*Ramure*Pc/MaxiM</f>
        <v>2.3190347663275547E-4</v>
      </c>
      <c r="AE376" s="305">
        <f t="shared" si="154"/>
        <v>0.7</v>
      </c>
      <c r="AF376" s="177">
        <f t="shared" si="155"/>
        <v>0.50003777844985797</v>
      </c>
      <c r="AG376" s="919">
        <f t="shared" si="156"/>
        <v>-2</v>
      </c>
      <c r="AH376" s="176">
        <f t="shared" si="157"/>
        <v>4</v>
      </c>
      <c r="AI376" s="225">
        <f t="shared" si="158"/>
        <v>-1.499962221550142</v>
      </c>
      <c r="AJ376" s="265" t="b">
        <f t="shared" si="159"/>
        <v>0</v>
      </c>
      <c r="AK376" s="265" t="b">
        <f t="shared" si="160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62"/>
        <v>43463</v>
      </c>
      <c r="B377" s="618">
        <v>3.3839999999999999</v>
      </c>
      <c r="C377" s="390"/>
      <c r="D377" s="393">
        <f t="shared" si="138"/>
        <v>3.4003455510829763</v>
      </c>
      <c r="E377" s="385">
        <f t="shared" si="164"/>
        <v>3.4893246627819283</v>
      </c>
      <c r="F377" s="385">
        <f t="shared" si="163"/>
        <v>3.4893246627819283</v>
      </c>
      <c r="G377" s="110">
        <f t="shared" si="165"/>
        <v>0.12462839765983064</v>
      </c>
      <c r="I377" s="380">
        <f t="shared" si="139"/>
        <v>3.4893246627819283</v>
      </c>
      <c r="J377" s="85">
        <v>2018</v>
      </c>
      <c r="K377" s="197">
        <f t="shared" si="140"/>
        <v>43463</v>
      </c>
      <c r="L377" s="436">
        <f t="shared" si="141"/>
        <v>4.807026473462539E-3</v>
      </c>
      <c r="M377" s="968"/>
      <c r="N377" s="968"/>
      <c r="O377" s="324">
        <f t="shared" si="142"/>
        <v>2.5500381964460573E-2</v>
      </c>
      <c r="P377" s="169">
        <f>(INDEX(Models!$BJ377:$BT377,,T377)*(1-R377)+INDEX(Models!$BJ377:$BT377,,T377+1)*R377-ERP_i)*Q377*Ramure*Pc/MaxiM</f>
        <v>2.2944318441396163E-4</v>
      </c>
      <c r="Q377" s="305">
        <f t="shared" si="143"/>
        <v>0.7</v>
      </c>
      <c r="R377" s="177">
        <f t="shared" si="144"/>
        <v>0.50003777844985797</v>
      </c>
      <c r="S377" s="919">
        <f t="shared" si="161"/>
        <v>-2</v>
      </c>
      <c r="T377" s="176">
        <f t="shared" si="145"/>
        <v>4</v>
      </c>
      <c r="U377" s="251">
        <f t="shared" si="146"/>
        <v>-1.499962221550142</v>
      </c>
      <c r="V377" s="383">
        <f t="shared" si="147"/>
        <v>27.146490108124055</v>
      </c>
      <c r="W377" s="58"/>
      <c r="X377" s="157">
        <f t="shared" si="148"/>
        <v>43463</v>
      </c>
      <c r="Y377" s="385">
        <f t="shared" si="149"/>
        <v>3.3839999999999999</v>
      </c>
      <c r="Z377" s="385">
        <f t="shared" si="150"/>
        <v>3.4003455510829763</v>
      </c>
      <c r="AA377" s="386">
        <f t="shared" si="151"/>
        <v>3.4893246627819283</v>
      </c>
      <c r="AB377" s="197">
        <f t="shared" si="152"/>
        <v>43463</v>
      </c>
      <c r="AC377" s="425">
        <f t="shared" si="153"/>
        <v>2.5500381964460573E-2</v>
      </c>
      <c r="AD377" s="169">
        <f>(INDEX(Models!$BJ377:$BT377,,AH377)*(1-AF377)+INDEX(Models!$BJ377:$BT377,,AH377+1)*AF377-ERP_i)*AE377*Ramure*Pc/MaxiM</f>
        <v>2.2944318441396163E-4</v>
      </c>
      <c r="AE377" s="305">
        <f t="shared" si="154"/>
        <v>0.7</v>
      </c>
      <c r="AF377" s="177">
        <f t="shared" si="155"/>
        <v>0.50003777844985797</v>
      </c>
      <c r="AG377" s="919">
        <f t="shared" si="156"/>
        <v>-2</v>
      </c>
      <c r="AH377" s="176">
        <f t="shared" si="157"/>
        <v>4</v>
      </c>
      <c r="AI377" s="225">
        <f t="shared" si="158"/>
        <v>-1.499962221550142</v>
      </c>
      <c r="AJ377" s="265" t="b">
        <f t="shared" si="159"/>
        <v>0</v>
      </c>
      <c r="AK377" s="265" t="b">
        <f t="shared" si="160"/>
        <v>0</v>
      </c>
      <c r="AL377" s="265"/>
      <c r="AM377" s="265"/>
      <c r="AN377" s="75"/>
    </row>
    <row r="378" spans="1:40" s="6" customFormat="1" ht="11.25" x14ac:dyDescent="0.2">
      <c r="A378" s="56">
        <f t="shared" si="162"/>
        <v>43464</v>
      </c>
      <c r="B378" s="618">
        <v>3.3420000000000001</v>
      </c>
      <c r="C378" s="390"/>
      <c r="D378" s="393">
        <f t="shared" si="138"/>
        <v>3.3582162343222834</v>
      </c>
      <c r="E378" s="385">
        <f t="shared" si="164"/>
        <v>3.4464584971588406</v>
      </c>
      <c r="F378" s="385">
        <f t="shared" si="163"/>
        <v>3.4464584971588406</v>
      </c>
      <c r="G378" s="110">
        <f t="shared" si="165"/>
        <v>0.12228748865784882</v>
      </c>
      <c r="I378" s="380">
        <f t="shared" si="139"/>
        <v>3.4464584971588406</v>
      </c>
      <c r="J378" s="85">
        <v>2018</v>
      </c>
      <c r="K378" s="197">
        <f t="shared" si="140"/>
        <v>43464</v>
      </c>
      <c r="L378" s="436">
        <f t="shared" si="141"/>
        <v>4.828823753678213E-3</v>
      </c>
      <c r="M378" s="968"/>
      <c r="N378" s="968"/>
      <c r="O378" s="324">
        <f t="shared" si="142"/>
        <v>2.5603750316245247E-2</v>
      </c>
      <c r="P378" s="169">
        <f>(INDEX(Models!$BJ378:$BT378,,T378)*(1-R378)+INDEX(Models!$BJ378:$BT378,,T378+1)*R378-ERP_i)*Q378*Ramure*Pc/MaxiM</f>
        <v>2.2692659640840621E-4</v>
      </c>
      <c r="Q378" s="305">
        <f t="shared" si="143"/>
        <v>0.7</v>
      </c>
      <c r="R378" s="177">
        <f t="shared" si="144"/>
        <v>0.50003777844985797</v>
      </c>
      <c r="S378" s="919">
        <f t="shared" si="161"/>
        <v>-2</v>
      </c>
      <c r="T378" s="176">
        <f t="shared" si="145"/>
        <v>4</v>
      </c>
      <c r="U378" s="251">
        <f t="shared" si="146"/>
        <v>-1.499962221550142</v>
      </c>
      <c r="V378" s="383">
        <f t="shared" si="147"/>
        <v>27.322841019847463</v>
      </c>
      <c r="W378" s="58"/>
      <c r="X378" s="157">
        <f t="shared" si="148"/>
        <v>43464</v>
      </c>
      <c r="Y378" s="385">
        <f t="shared" si="149"/>
        <v>3.3420000000000001</v>
      </c>
      <c r="Z378" s="385">
        <f t="shared" si="150"/>
        <v>3.3582162343222834</v>
      </c>
      <c r="AA378" s="386">
        <f t="shared" si="151"/>
        <v>3.4464584971588406</v>
      </c>
      <c r="AB378" s="197">
        <f t="shared" si="152"/>
        <v>43464</v>
      </c>
      <c r="AC378" s="425">
        <f t="shared" si="153"/>
        <v>2.5603750316245247E-2</v>
      </c>
      <c r="AD378" s="169">
        <f>(INDEX(Models!$BJ378:$BT378,,AH378)*(1-AF378)+INDEX(Models!$BJ378:$BT378,,AH378+1)*AF378-ERP_i)*AE378*Ramure*Pc/MaxiM</f>
        <v>2.2692659640840621E-4</v>
      </c>
      <c r="AE378" s="305">
        <f t="shared" si="154"/>
        <v>0.7</v>
      </c>
      <c r="AF378" s="177">
        <f t="shared" si="155"/>
        <v>0.50003777844985797</v>
      </c>
      <c r="AG378" s="919">
        <f t="shared" si="156"/>
        <v>-2</v>
      </c>
      <c r="AH378" s="176">
        <f t="shared" si="157"/>
        <v>4</v>
      </c>
      <c r="AI378" s="225">
        <f t="shared" si="158"/>
        <v>-1.499962221550142</v>
      </c>
      <c r="AJ378" s="265" t="b">
        <f t="shared" si="159"/>
        <v>0</v>
      </c>
      <c r="AK378" s="265" t="b">
        <f t="shared" si="160"/>
        <v>0</v>
      </c>
      <c r="AL378" s="265"/>
      <c r="AM378" s="265"/>
      <c r="AN378" s="75"/>
    </row>
    <row r="379" spans="1:40" s="18" customFormat="1" ht="12.75" x14ac:dyDescent="0.2">
      <c r="A379" s="56">
        <f t="shared" si="162"/>
        <v>43465</v>
      </c>
      <c r="B379" s="618">
        <v>5.65</v>
      </c>
      <c r="C379" s="390"/>
      <c r="D379" s="393">
        <f t="shared" si="138"/>
        <v>5.6775395902466661</v>
      </c>
      <c r="E379" s="385">
        <f t="shared" si="164"/>
        <v>5.827343659997049</v>
      </c>
      <c r="F379" s="385">
        <f t="shared" si="163"/>
        <v>5.827343659997049</v>
      </c>
      <c r="G379" s="110">
        <f t="shared" si="165"/>
        <v>0.20533810117101289</v>
      </c>
      <c r="I379" s="380">
        <f t="shared" si="139"/>
        <v>5.827343659997049</v>
      </c>
      <c r="J379" s="85">
        <v>2018</v>
      </c>
      <c r="K379" s="197">
        <f t="shared" si="140"/>
        <v>43465</v>
      </c>
      <c r="L379" s="436">
        <f>IF(t&lt;T0,0,IF(t&lt;Tvie,1-EXP((T0-t)*PertePVj),1-EXP((T0-t)*PertePVj)+Pspv))</f>
        <v>4.8506205564775584E-3</v>
      </c>
      <c r="M379" s="968"/>
      <c r="N379" s="968"/>
      <c r="O379" s="324">
        <f t="shared" si="142"/>
        <v>2.5707093744743881E-2</v>
      </c>
      <c r="P379" s="169">
        <f>(INDEX(Models!$BJ379:$BT379,,T379)*(1-R379)+INDEX(Models!$BJ379:$BT379,,T379+1)*R379-ERP_i)*Q379*Ramure*Pc/MaxiM</f>
        <v>2.2436861963048049E-4</v>
      </c>
      <c r="Q379" s="306">
        <f t="shared" si="143"/>
        <v>0.7</v>
      </c>
      <c r="R379" s="177">
        <f t="shared" si="144"/>
        <v>0.50003777844985797</v>
      </c>
      <c r="S379" s="919">
        <f t="shared" si="161"/>
        <v>-2</v>
      </c>
      <c r="T379" s="176">
        <f t="shared" si="145"/>
        <v>4</v>
      </c>
      <c r="U379" s="307">
        <f t="shared" si="146"/>
        <v>-1.499962221550142</v>
      </c>
      <c r="V379" s="383">
        <f t="shared" si="147"/>
        <v>27.509421218396398</v>
      </c>
      <c r="W379" s="392"/>
      <c r="X379" s="157">
        <f t="shared" si="148"/>
        <v>43465</v>
      </c>
      <c r="Y379" s="385">
        <f t="shared" si="149"/>
        <v>5.65</v>
      </c>
      <c r="Z379" s="385">
        <f t="shared" si="150"/>
        <v>5.6775395902466661</v>
      </c>
      <c r="AA379" s="386">
        <f t="shared" si="151"/>
        <v>5.827343659997049</v>
      </c>
      <c r="AB379" s="197">
        <f t="shared" si="152"/>
        <v>43465</v>
      </c>
      <c r="AC379" s="425">
        <f t="shared" si="153"/>
        <v>2.5707093744743881E-2</v>
      </c>
      <c r="AD379" s="169">
        <f>(INDEX(Models!$BJ379:$BT379,,AH379)*(1-AF379)+INDEX(Models!$BJ379:$BT379,,AH379+1)*AF379-ERP_i)*AE379*Ramure*Pc/MaxiM</f>
        <v>2.2436861963048049E-4</v>
      </c>
      <c r="AE379" s="306">
        <f t="shared" si="154"/>
        <v>0.7</v>
      </c>
      <c r="AF379" s="177">
        <f t="shared" si="155"/>
        <v>0.50003777844985797</v>
      </c>
      <c r="AG379" s="919">
        <f t="shared" si="156"/>
        <v>-2</v>
      </c>
      <c r="AH379" s="176">
        <f t="shared" si="157"/>
        <v>4</v>
      </c>
      <c r="AI379" s="222">
        <f t="shared" si="158"/>
        <v>-1.499962221550142</v>
      </c>
      <c r="AJ379" s="265" t="b">
        <f t="shared" si="159"/>
        <v>0</v>
      </c>
      <c r="AK379" s="265" t="b">
        <f t="shared" si="160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4"/>
      <c r="C380" s="967"/>
      <c r="D380" s="394"/>
      <c r="E380" s="395"/>
      <c r="F380" s="395"/>
      <c r="G380" s="97"/>
      <c r="I380" s="381">
        <f t="shared" si="139"/>
        <v>0</v>
      </c>
      <c r="J380" s="151">
        <v>2018</v>
      </c>
      <c r="K380" s="199"/>
      <c r="L380" s="469"/>
      <c r="M380" s="969"/>
      <c r="N380" s="969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9"/>
        <v>1</v>
      </c>
      <c r="AK380" s="265" t="b">
        <f t="shared" si="160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1.6919999999999999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6">MIN(L15:L380)</f>
        <v>0</v>
      </c>
      <c r="M381" s="959"/>
      <c r="N381" s="959"/>
      <c r="O381" s="47">
        <f t="shared" si="166"/>
        <v>0</v>
      </c>
      <c r="P381" s="168">
        <f t="shared" si="166"/>
        <v>5.3028345570172775E-10</v>
      </c>
      <c r="Q381" s="310">
        <f t="shared" si="166"/>
        <v>0.7</v>
      </c>
      <c r="R381" s="311">
        <f t="shared" si="166"/>
        <v>3.9051486028895965E-5</v>
      </c>
      <c r="S381" s="919">
        <f t="shared" si="166"/>
        <v>-2</v>
      </c>
      <c r="T381" s="176">
        <f t="shared" si="166"/>
        <v>4</v>
      </c>
      <c r="U381" s="252">
        <f>+MIN(U15:U380)</f>
        <v>-1.9999609485139711</v>
      </c>
      <c r="V381" s="373">
        <f>MIN(V15:V380)</f>
        <v>26.073490697323656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7">MIN(AC15:AC380)</f>
        <v>0</v>
      </c>
      <c r="AD381" s="168">
        <f t="shared" si="167"/>
        <v>5.3028345570172775E-10</v>
      </c>
      <c r="AE381" s="310">
        <f t="shared" si="167"/>
        <v>0.7</v>
      </c>
      <c r="AF381" s="311">
        <f t="shared" si="167"/>
        <v>3.9051486028895965E-5</v>
      </c>
      <c r="AG381" s="919">
        <f t="shared" si="167"/>
        <v>-2</v>
      </c>
      <c r="AH381" s="176">
        <f t="shared" si="167"/>
        <v>4</v>
      </c>
      <c r="AI381" s="226">
        <f>MIN(AI15:AI380)</f>
        <v>-1.9999609485139711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31.011081967213126</v>
      </c>
      <c r="C382" s="375"/>
      <c r="D382" s="375">
        <f>AVERAGE(D15:D380)</f>
        <v>26.960347508698714</v>
      </c>
      <c r="E382" s="375">
        <f>AVERAGE(E15:E380)</f>
        <v>27.334178414535337</v>
      </c>
      <c r="F382" s="376">
        <f>AVERAGE(F15:F380)</f>
        <v>27.342244829569321</v>
      </c>
      <c r="G382" s="126">
        <f>AVERAGE(G15:G380)</f>
        <v>0.60177005925886995</v>
      </c>
      <c r="H382" s="94"/>
      <c r="I382" s="376">
        <f>AVERAGE(I15:I380)</f>
        <v>15.76287884983368</v>
      </c>
      <c r="J382" s="166">
        <f>AVERAGE(J15:J380)</f>
        <v>2018</v>
      </c>
      <c r="K382" s="200" t="s">
        <v>8</v>
      </c>
      <c r="L382" s="147">
        <f t="shared" ref="L382:V382" si="168">AVERAGE(L15:L380)</f>
        <v>1.4829603280748747E-3</v>
      </c>
      <c r="M382" s="957"/>
      <c r="N382" s="957"/>
      <c r="O382" s="48">
        <f t="shared" si="168"/>
        <v>8.3235867655175062E-3</v>
      </c>
      <c r="P382" s="169">
        <f t="shared" si="168"/>
        <v>2.3985579526258544E-4</v>
      </c>
      <c r="Q382" s="312">
        <f t="shared" si="168"/>
        <v>0.69999999999999529</v>
      </c>
      <c r="R382" s="177">
        <f t="shared" si="168"/>
        <v>0.27992264848517262</v>
      </c>
      <c r="S382" s="919">
        <f t="shared" si="168"/>
        <v>-2</v>
      </c>
      <c r="T382" s="176">
        <f t="shared" si="168"/>
        <v>4</v>
      </c>
      <c r="U382" s="251">
        <f t="shared" si="168"/>
        <v>-1.7200773515148275</v>
      </c>
      <c r="V382" s="375">
        <f t="shared" si="168"/>
        <v>46.294292028022085</v>
      </c>
      <c r="X382" s="112" t="s">
        <v>8</v>
      </c>
      <c r="Y382" s="375">
        <f>AVERAGE(Y15:Y380)</f>
        <v>15.548021917808224</v>
      </c>
      <c r="Z382" s="375">
        <f>AVERAGE(Z15:Z380)</f>
        <v>15.585296779001174</v>
      </c>
      <c r="AA382" s="375">
        <f>AVERAGE(AA15:AA380)</f>
        <v>15.80140176840262</v>
      </c>
      <c r="AB382" s="200" t="s">
        <v>8</v>
      </c>
      <c r="AC382" s="48">
        <f t="shared" ref="AC382:AH382" si="169">AVERAGE(AC15:AC380)</f>
        <v>8.3235867655175062E-3</v>
      </c>
      <c r="AD382" s="169">
        <f t="shared" si="169"/>
        <v>2.3985579526258544E-4</v>
      </c>
      <c r="AE382" s="312">
        <f t="shared" si="169"/>
        <v>0.69999999999999529</v>
      </c>
      <c r="AF382" s="177">
        <f t="shared" si="169"/>
        <v>0.27992264848517262</v>
      </c>
      <c r="AG382" s="919">
        <f t="shared" si="169"/>
        <v>-2</v>
      </c>
      <c r="AH382" s="176">
        <f t="shared" si="169"/>
        <v>4</v>
      </c>
      <c r="AI382" s="225">
        <f>AVERAGE(AI15:AI380)</f>
        <v>-1.7200773515148275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56.649000000000001</v>
      </c>
      <c r="C383" s="377"/>
      <c r="D383" s="377">
        <f>MAX(D15:D380)</f>
        <v>56.708588377724325</v>
      </c>
      <c r="E383" s="377">
        <f>MAX(E15:E380)</f>
        <v>57.06803943800967</v>
      </c>
      <c r="F383" s="378">
        <f>MAX(F15:F380)</f>
        <v>57.125082544615957</v>
      </c>
      <c r="G383" s="127">
        <f>+MAX(G15:G380)</f>
        <v>1.0455493472194759</v>
      </c>
      <c r="H383" s="94"/>
      <c r="I383" s="378">
        <f>MAX(I15:I380)</f>
        <v>57.125082544615957</v>
      </c>
      <c r="J383" s="167">
        <f>MAX(J15:J380)</f>
        <v>2018</v>
      </c>
      <c r="K383" s="200" t="s">
        <v>9</v>
      </c>
      <c r="L383" s="148">
        <f t="shared" ref="L383:T383" si="170">MAX(L15:L380)</f>
        <v>4.8506205564775584E-3</v>
      </c>
      <c r="M383" s="960"/>
      <c r="N383" s="960"/>
      <c r="O383" s="49">
        <f t="shared" si="170"/>
        <v>2.5707093744743881E-2</v>
      </c>
      <c r="P383" s="170">
        <f t="shared" si="170"/>
        <v>1.0221323497353549E-3</v>
      </c>
      <c r="Q383" s="313">
        <f t="shared" si="170"/>
        <v>0.7</v>
      </c>
      <c r="R383" s="314">
        <f t="shared" si="170"/>
        <v>0.50003777844985797</v>
      </c>
      <c r="S383" s="920">
        <f t="shared" si="170"/>
        <v>-2</v>
      </c>
      <c r="T383" s="233">
        <f t="shared" si="170"/>
        <v>4</v>
      </c>
      <c r="U383" s="253">
        <f>+MAX(U15:U380)</f>
        <v>-1.499962221550142</v>
      </c>
      <c r="V383" s="377">
        <f>MAX(V15:V380)</f>
        <v>59.746570900535424</v>
      </c>
      <c r="X383" s="112" t="s">
        <v>9</v>
      </c>
      <c r="Y383" s="377">
        <f>MAX(Y15:Y380)</f>
        <v>56.649000000000001</v>
      </c>
      <c r="Z383" s="377">
        <f>MAX(Z15:Z380)</f>
        <v>56.708588377724325</v>
      </c>
      <c r="AA383" s="377">
        <f>MAX(AA15:AA380)</f>
        <v>57.06803943800967</v>
      </c>
      <c r="AB383" s="200" t="s">
        <v>9</v>
      </c>
      <c r="AC383" s="49">
        <f t="shared" ref="AC383:AH383" si="171">MAX(AC15:AC380)</f>
        <v>2.5707093744743881E-2</v>
      </c>
      <c r="AD383" s="170">
        <f t="shared" si="171"/>
        <v>1.0221323497353549E-3</v>
      </c>
      <c r="AE383" s="313">
        <f t="shared" si="171"/>
        <v>0.7</v>
      </c>
      <c r="AF383" s="314">
        <f t="shared" si="171"/>
        <v>0.50003777844985797</v>
      </c>
      <c r="AG383" s="920">
        <f t="shared" si="171"/>
        <v>-2</v>
      </c>
      <c r="AH383" s="233">
        <f t="shared" si="171"/>
        <v>4</v>
      </c>
      <c r="AI383" s="227">
        <f>MAX(AI15:AI380)</f>
        <v>-1.499962221550142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32" priority="4" stopIfTrue="1" operator="lessThan">
      <formula>0.01</formula>
    </cfRule>
    <cfRule type="cellIs" dxfId="3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'2018'!An+1</f>
        <v>2019</v>
      </c>
      <c r="K1" s="1213"/>
      <c r="L1" s="113" t="str">
        <f>"Calcul pertes et enveloppes en "&amp;TEXT(An,0)</f>
        <v>Calcul pertes et enveloppes en 2019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0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0</v>
      </c>
      <c r="AK4" s="946">
        <f>AM12-AK12</f>
        <v>0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334"/>
      <c r="I5" s="158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7348.0719999999928</v>
      </c>
      <c r="AK5" s="515">
        <f>SUMIF(AK15:AK380,"VRAI",Wh)</f>
        <v>0</v>
      </c>
      <c r="AL5" s="515">
        <f>SUMIF(AJ15:AJ380,"VRAI",Wh_s)</f>
        <v>7348.0719999999928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3873.3389999999986</v>
      </c>
      <c r="AK6" s="515">
        <f>SUMIF(AK15:AK380,"FAUX",Wh)</f>
        <v>11221.410999999996</v>
      </c>
      <c r="AL6" s="515">
        <f>SUMIF(AJ15:AJ380,"FAUX",Wh_s)</f>
        <v>3873.3389999999986</v>
      </c>
      <c r="AM6" s="515">
        <f>SUMIF(AK15:AK380,"FAUX",Wh_s)</f>
        <v>11221.410999999996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AND(YEAR(Tnet)=An,Resal_2019="I")</f>
        <v>1</v>
      </c>
      <c r="F7" s="320" t="b">
        <f>YEAR(Tnet)=An</f>
        <v>1</v>
      </c>
      <c r="H7" s="335"/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7403.6820883884448</v>
      </c>
      <c r="AK7" s="515">
        <f>SUMIF(AK15:AK380,"VRAI",Wh_sa)</f>
        <v>0</v>
      </c>
      <c r="AL7" s="515">
        <f>SUMIF(AJ15:AJ380,"VRAI",Wh_pvt_s)</f>
        <v>7403.6820883884448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AND(YEAR(Tnet)=An,Resal_2019&lt;&gt;"I")</f>
        <v>0</v>
      </c>
      <c r="F8" s="321" t="b">
        <f>YEAR(Ttai)=An</f>
        <v>0</v>
      </c>
      <c r="H8" s="336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3915.2630260361552</v>
      </c>
      <c r="AK8" s="515">
        <f>SUMIF(AK15:AK380,"FAUX",Wh_sa)</f>
        <v>11849.465661845712</v>
      </c>
      <c r="AL8" s="515">
        <f>SUMIF(AJ15:AJ380,"FAUX",Wh_pvt_s)</f>
        <v>3915.2630260361552</v>
      </c>
      <c r="AM8" s="515">
        <f>SUMIF(AK15:AK380,"FAUX",Wh_sa_s)</f>
        <v>11849.465661845712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11318.945114424601</v>
      </c>
      <c r="E9" s="184">
        <f>SUM(E$15:E$380)</f>
        <v>11849.465661845712</v>
      </c>
      <c r="F9" s="184">
        <f>SUM(F$15:F$380)</f>
        <v>11856.245260033535</v>
      </c>
      <c r="H9" s="1214">
        <f>+SUM(Wh)</f>
        <v>11221.410999999996</v>
      </c>
      <c r="I9" s="1215"/>
      <c r="J9" s="1216"/>
      <c r="K9" s="191"/>
      <c r="L9" s="114"/>
      <c r="M9" s="114"/>
      <c r="N9" s="114"/>
      <c r="O9" s="223">
        <f>Tnet_2019</f>
        <v>43678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11221.410999999996</v>
      </c>
      <c r="Y9" s="1209"/>
      <c r="Z9" s="515">
        <f>SUM(Z$15:Z$380)</f>
        <v>11318.945114424601</v>
      </c>
      <c r="AA9" s="515">
        <f>SUM(AA$15:AA$380)</f>
        <v>11849.465661845712</v>
      </c>
      <c r="AB9" s="515">
        <f>F9</f>
        <v>11856.245260033535</v>
      </c>
      <c r="AC9" s="325">
        <f>IF(An_Tnet,Tnet,'2018'!Tnet_s)</f>
        <v>43678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7700.5229805459885</v>
      </c>
      <c r="AK9" s="515">
        <f>SUMIF(AK15:AK380,"VRAI",Wh_hp)</f>
        <v>0</v>
      </c>
      <c r="AL9" s="515">
        <f>SUMIF(AJ15:AJ380,"VRAI",Wh_sa_s)</f>
        <v>7700.5229805459885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4.5897731970198939E-2</v>
      </c>
      <c r="P10" s="420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IF(OR(Inflex,GainD),'2018'!Resal_s+('2018'!Salim-'2018'!Resal_s)*(1-EXP(('2018'!Tnet_s-Tnet)/('2018'!Tau_j))),IF(Acti_net,'2018'!Resal+('2018'!Salim-'2018'!Resal)*(1-EXP(('2018'!Tnet-Tnet)/'2018'!Tau_j)),'2018'!Resal_s))</f>
        <v>4.5897731970198939E-2</v>
      </c>
      <c r="AD10" s="427"/>
      <c r="AE10" s="427"/>
      <c r="AF10" s="260"/>
      <c r="AG10" s="261"/>
      <c r="AH10" s="262"/>
      <c r="AI10" s="522"/>
      <c r="AJ10" s="515">
        <f>SUMIF(AJ15:AJ380,"FAUX",Wh_sa)</f>
        <v>4148.942681299729</v>
      </c>
      <c r="AK10" s="515">
        <f>SUMIF(AK15:AK380,"FAUX",Wh_hp)</f>
        <v>11856.245260033535</v>
      </c>
      <c r="AL10" s="515">
        <f>SUMIF(AJ15:AJ380,"FAUX",Wh_sa_s)</f>
        <v>4148.942681299729</v>
      </c>
      <c r="AM10" s="515">
        <f>SUMIF(AK15:AK380,"FAUX",Wh_hp)</f>
        <v>11856.245260033535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97.534114424604923</v>
      </c>
      <c r="E11" s="51">
        <f>(E$9-D$9)*Prod_an/D$9</f>
        <v>525.94910977796553</v>
      </c>
      <c r="F11" s="186">
        <f>(F$9-E$9)*Prod_an/E$9</f>
        <v>6.4202606135542934</v>
      </c>
      <c r="G11" s="185" t="s">
        <v>6</v>
      </c>
      <c r="H11" s="335"/>
      <c r="K11" s="194"/>
      <c r="L11" s="182">
        <f>Tvie_2019</f>
        <v>43243</v>
      </c>
      <c r="M11" s="956"/>
      <c r="N11" s="956"/>
      <c r="O11" s="202">
        <f>IF(An_Tnet,Salim_2019,'2018'!Salim)</f>
        <v>0.08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-0.99996222155014203</v>
      </c>
      <c r="V11" s="427"/>
      <c r="W11" s="518"/>
      <c r="X11" s="525" t="s">
        <v>44</v>
      </c>
      <c r="Y11" s="50">
        <f>Z$9-Prod_an_s</f>
        <v>97.534114424604923</v>
      </c>
      <c r="Z11" s="51">
        <f>(AA$9-Z$9)*Prod_an_s/Z$9</f>
        <v>525.94910977796553</v>
      </c>
      <c r="AA11" s="186">
        <f>(AB$9-AA$9)*Prod_an_s/AA$9</f>
        <v>6.4202606135542934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294.61127883094275</v>
      </c>
      <c r="AK11" s="946">
        <f>IF($AK7=0,0,($AK9-$AK7)*$AK5/$AK7)</f>
        <v>0</v>
      </c>
      <c r="AL11" s="945">
        <f>IF($AL7=0,0,($AL9-$AL7)*$AL5/$AL7)</f>
        <v>294.61127883094275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4.8208038888630789E-2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182.5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-1.499962221550142</v>
      </c>
      <c r="V12" s="517"/>
      <c r="W12" s="504"/>
      <c r="X12" s="505"/>
      <c r="Y12" s="504"/>
      <c r="Z12" s="427"/>
      <c r="AA12" s="427"/>
      <c r="AB12" s="531"/>
      <c r="AC12" s="318" t="b">
        <f>NOT(An_Tnet)</f>
        <v>0</v>
      </c>
      <c r="AD12" s="427"/>
      <c r="AE12" s="296">
        <f>'2018'!Df_s</f>
        <v>0.7</v>
      </c>
      <c r="AF12" s="203"/>
      <c r="AG12" s="203"/>
      <c r="AH12" s="203"/>
      <c r="AI12" s="297">
        <f>'2018'!Hdf_s</f>
        <v>-1.499962221550142</v>
      </c>
      <c r="AJ12" s="945">
        <f>IF($AJ8=0,0,($AJ10-$AJ8)*$AJ6/$AJ8)</f>
        <v>231.17744994907957</v>
      </c>
      <c r="AK12" s="946">
        <f>IF($AK8=0,0,($AK10-$AK8)*$AK6/$AK8)</f>
        <v>6.4202606135542934</v>
      </c>
      <c r="AL12" s="945">
        <f>IF($AL8=0,0,($AL10-$AL8)*$AL6/$AL8)</f>
        <v>231.17744994907957</v>
      </c>
      <c r="AM12" s="946">
        <f>IF($AM8=0,0,($AM10-$AM8)*$AM6/$AM8)</f>
        <v>6.4202606135542934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813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525.78872878002232</v>
      </c>
      <c r="AK13" s="73">
        <f>+AK11+AK12</f>
        <v>6.4202606135542934</v>
      </c>
      <c r="AL13" s="73">
        <f>+AL11+AL12</f>
        <v>525.78872878002232</v>
      </c>
      <c r="AM13" s="73">
        <f>+AM11+AM12</f>
        <v>6.4202606135542934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389" t="s">
        <v>197</v>
      </c>
      <c r="C14" s="389"/>
      <c r="D14" s="53" t="s">
        <v>31</v>
      </c>
      <c r="E14" s="162" t="s">
        <v>30</v>
      </c>
      <c r="F14" s="162" t="str">
        <f>"Hors pertes "&amp; TEXT(An,0)</f>
        <v>Hors pertes 2019</v>
      </c>
      <c r="G14" s="107" t="s">
        <v>43</v>
      </c>
      <c r="H14" s="411" t="s">
        <v>120</v>
      </c>
      <c r="I14" s="413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331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7">
        <v>2.0030000000000001</v>
      </c>
      <c r="C15" s="390"/>
      <c r="D15" s="393">
        <f t="shared" ref="D15:D78" si="0">Wh/(1-Ppv)</f>
        <v>2.012807235956426</v>
      </c>
      <c r="E15" s="385">
        <f t="shared" ref="E15:E79" si="1">Wh_pvt/(1-Psa)</f>
        <v>2.0661350172665505</v>
      </c>
      <c r="F15" s="385">
        <f t="shared" ref="F15:F78" si="2">Wh_sa/(1-Pvg*MEDIAN((-Sdif+Wh/Env_an)/Csdif,0,1))</f>
        <v>2.0661350172665505</v>
      </c>
      <c r="G15" s="110">
        <f>+Wh_hp/MaxiM</f>
        <v>7.2282143501937804E-2</v>
      </c>
      <c r="H15" s="412" t="b">
        <f>Wh_hp&gt;='2018'!Maxi_hp</f>
        <v>1</v>
      </c>
      <c r="I15" s="396">
        <f>IF(H15,Wh_hp,'2018'!Maxi_hp)</f>
        <v>2.0661350172665505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4.8724168818709002E-3</v>
      </c>
      <c r="M15" s="959"/>
      <c r="N15" s="959"/>
      <c r="O15" s="421">
        <f>IF(t&lt;Tnet,'2018'!Resal+('2018'!Salim-'2018'!Resal)*(1-EXP(('2018'!Tnet-t)/('2018'!Tau_j))),Resal+(Salim-Resal)*(1-EXP((Tnet-t)/(Tau_j))))*Salcycl</f>
        <v>2.581040486922101E-2</v>
      </c>
      <c r="P15" s="302">
        <f>(INDEX(Models!$BJ15:$BT15,,T15)*(1-R15)+INDEX(Models!$BJ15:$BT15,,T15+1)*R15-ERP_i)*Q15*Ramure*Pc/MaxiM</f>
        <v>2.2178395099329071E-4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0.50003897394808727</v>
      </c>
      <c r="S15" s="918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-1.4999610260519127</v>
      </c>
      <c r="V15" s="382">
        <f t="shared" ref="V15:V78" si="8">MaxiM*(1-Ppv)*(1-Pvg)*(1-Psa)</f>
        <v>27.704709209301104</v>
      </c>
      <c r="W15" s="422"/>
      <c r="X15" s="423">
        <f t="shared" ref="X15:X78" si="9">t</f>
        <v>43466</v>
      </c>
      <c r="Y15" s="385">
        <f t="shared" ref="Y15:Y78" si="10">Wh_pvt_s*(1-Ppv)</f>
        <v>2.0030000000000001</v>
      </c>
      <c r="Z15" s="385">
        <f t="shared" ref="Z15:Z78" si="11">Wh_sa_s*(1-Psa_s)</f>
        <v>2.012807235956426</v>
      </c>
      <c r="AA15" s="386">
        <f t="shared" ref="AA15:AA78" si="12">Wh_hp*(1-Pvg_s*MEDIAN((-Sdif+Wh/Env_an)/Csdif,0,1))</f>
        <v>2.0661350172665505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2.581040486922101E-2</v>
      </c>
      <c r="AD15" s="231">
        <f>(INDEX(Models!$BJ15:$BT15,,AH15)*(1-AF15)+INDEX(Models!$BJ15:$BT15,,AH15+1)*AF15-ERP_i)*AE15*Ramure*Pc/MaxiM</f>
        <v>2.2178395099329071E-4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0.50003897394808727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-1.4999610260519127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8">
        <v>5.3070000000000004</v>
      </c>
      <c r="C16" s="390"/>
      <c r="D16" s="393">
        <f t="shared" si="0"/>
        <v>5.3331013324308634</v>
      </c>
      <c r="E16" s="385">
        <f t="shared" si="1"/>
        <v>5.4749781476770405</v>
      </c>
      <c r="F16" s="385">
        <f t="shared" si="2"/>
        <v>5.4749781476770405</v>
      </c>
      <c r="G16" s="110">
        <f>+Wh_hp/MaxiM</f>
        <v>0.19012440406471373</v>
      </c>
      <c r="H16" s="412" t="b">
        <f>Wh_hp&gt;='2018'!Maxi_hp</f>
        <v>1</v>
      </c>
      <c r="I16" s="390">
        <f>IF(H16,Wh_hp,'2018'!Maxi_hp)</f>
        <v>5.4749781476770405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4.8942127298687854E-3</v>
      </c>
      <c r="M16" s="957"/>
      <c r="N16" s="957"/>
      <c r="O16" s="48">
        <f>IF(t&lt;Tnet,'2018'!Resal+('2018'!Salim-'2018'!Resal)*(1-EXP(('2018'!Tnet-t)/('2018'!Tau_j))),Resal+(Salim-Resal)*(1-EXP((Tnet-t)/(Tau_j))))*Salcycl</f>
        <v>2.5913676989993677E-2</v>
      </c>
      <c r="P16" s="169">
        <f>(INDEX(Models!$BJ16:$BT16,,T16)*(1-R16)+INDEX(Models!$BJ16:$BT16,,T16+1)*R16-ERP_i)*Q16*Ramure*Pc/MaxiM</f>
        <v>2.1946120508253278E-4</v>
      </c>
      <c r="Q16" s="305">
        <f t="shared" si="4"/>
        <v>0.7</v>
      </c>
      <c r="R16" s="177">
        <f t="shared" si="5"/>
        <v>0.50006818856208168</v>
      </c>
      <c r="S16" s="919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-1.4999318114379183</v>
      </c>
      <c r="V16" s="383">
        <f t="shared" si="8"/>
        <v>27.907176595691787</v>
      </c>
      <c r="W16" s="58"/>
      <c r="X16" s="157">
        <f t="shared" si="9"/>
        <v>43467</v>
      </c>
      <c r="Y16" s="385">
        <f t="shared" si="10"/>
        <v>5.3070000000000004</v>
      </c>
      <c r="Z16" s="385">
        <f t="shared" si="11"/>
        <v>5.3331013324308634</v>
      </c>
      <c r="AA16" s="386">
        <f t="shared" si="12"/>
        <v>5.4749781476770405</v>
      </c>
      <c r="AB16" s="197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2.5913676989993677E-2</v>
      </c>
      <c r="AD16" s="231">
        <f>(INDEX(Models!$BJ16:$BT16,,AH16)*(1-AF16)+INDEX(Models!$BJ16:$BT16,,AH16+1)*AF16-ERP_i)*AE16*Ramure*Pc/MaxiM</f>
        <v>2.1946120508253278E-4</v>
      </c>
      <c r="AE16" s="305">
        <f t="shared" si="14"/>
        <v>0.7</v>
      </c>
      <c r="AF16" s="177">
        <f t="shared" si="15"/>
        <v>0.50006818856208168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-1.4999318114379183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8">
        <v>29.332000000000001</v>
      </c>
      <c r="C17" s="390"/>
      <c r="D17" s="393">
        <f t="shared" si="0"/>
        <v>29.47690872205478</v>
      </c>
      <c r="E17" s="385">
        <f>Wh_pvt/(1-Psa)</f>
        <v>30.264291902110628</v>
      </c>
      <c r="F17" s="385">
        <f t="shared" si="2"/>
        <v>30.270872638205173</v>
      </c>
      <c r="G17" s="110">
        <f t="shared" ref="G17:G79" si="23">+Wh_hp/MaxiM</f>
        <v>1.0432752302563371</v>
      </c>
      <c r="H17" s="412" t="b">
        <f>Wh_hp&gt;='2018'!Maxi_hp</f>
        <v>1</v>
      </c>
      <c r="I17" s="390">
        <f>IF(H17,Wh_hp,'2018'!Maxi_hp)</f>
        <v>30.270872638205173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4.9160081004816503E-3</v>
      </c>
      <c r="M17" s="957"/>
      <c r="N17" s="957"/>
      <c r="O17" s="48">
        <f>IF(t&lt;Tnet,'2018'!Resal+('2018'!Salim-'2018'!Resal)*(1-EXP(('2018'!Tnet-t)/('2018'!Tau_j))),Resal+(Salim-Resal)*(1-EXP((Tnet-t)/(Tau_j))))*Salcycl</f>
        <v>2.6016904099478839E-2</v>
      </c>
      <c r="P17" s="169">
        <f>(INDEX(Models!$BJ17:$BT17,,T17)*(1-R17)+INDEX(Models!$BJ17:$BT17,,T17+1)*R17-ERP_i)*Q17*Ramure*Pc/MaxiM</f>
        <v>2.1739499132376056E-4</v>
      </c>
      <c r="Q17" s="305">
        <f t="shared" si="4"/>
        <v>0.7</v>
      </c>
      <c r="R17" s="177">
        <f t="shared" si="5"/>
        <v>0.5000986251575712</v>
      </c>
      <c r="S17" s="919">
        <f t="shared" si="6"/>
        <v>-2</v>
      </c>
      <c r="T17" s="176">
        <f t="shared" si="7"/>
        <v>4</v>
      </c>
      <c r="U17" s="251">
        <f t="shared" si="21"/>
        <v>-1.4999013748424288</v>
      </c>
      <c r="V17" s="383">
        <f t="shared" si="8"/>
        <v>28.115303756222609</v>
      </c>
      <c r="W17" s="58"/>
      <c r="X17" s="157">
        <f t="shared" si="9"/>
        <v>43468</v>
      </c>
      <c r="Y17" s="385">
        <f t="shared" si="10"/>
        <v>29.332000000000001</v>
      </c>
      <c r="Z17" s="385">
        <f t="shared" si="11"/>
        <v>29.47690872205478</v>
      </c>
      <c r="AA17" s="386">
        <f t="shared" si="12"/>
        <v>30.264291902110628</v>
      </c>
      <c r="AB17" s="197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2.6016904099478839E-2</v>
      </c>
      <c r="AD17" s="231">
        <f>(INDEX(Models!$BJ17:$BT17,,AH17)*(1-AF17)+INDEX(Models!$BJ17:$BT17,,AH17+1)*AF17-ERP_i)*AE17*Ramure*Pc/MaxiM</f>
        <v>2.1739499132376056E-4</v>
      </c>
      <c r="AE17" s="305">
        <f t="shared" si="14"/>
        <v>0.7</v>
      </c>
      <c r="AF17" s="177">
        <f t="shared" si="15"/>
        <v>0.5000986251575712</v>
      </c>
      <c r="AG17" s="176">
        <f t="shared" si="16"/>
        <v>-2</v>
      </c>
      <c r="AH17" s="176">
        <f t="shared" si="17"/>
        <v>4</v>
      </c>
      <c r="AI17" s="225">
        <f t="shared" si="22"/>
        <v>-1.4999013748424288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8">
        <v>25.105</v>
      </c>
      <c r="C18" s="390"/>
      <c r="D18" s="393">
        <f t="shared" si="0"/>
        <v>25.229578689181736</v>
      </c>
      <c r="E18" s="385">
        <f>Wh_pvt/(1-Psa)</f>
        <v>25.906252089207243</v>
      </c>
      <c r="F18" s="385">
        <f t="shared" si="2"/>
        <v>25.910930416910517</v>
      </c>
      <c r="G18" s="110">
        <f>+Wh_hp/MaxiM</f>
        <v>0.88620799154756658</v>
      </c>
      <c r="H18" s="412" t="b">
        <f>Wh_hp&gt;='2018'!Maxi_hp</f>
        <v>1</v>
      </c>
      <c r="I18" s="390">
        <f>IF(H18,Wh_hp,'2018'!Maxi_hp)</f>
        <v>25.910930416910517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4.9378029937200418E-3</v>
      </c>
      <c r="M18" s="957"/>
      <c r="N18" s="957"/>
      <c r="O18" s="48">
        <f>IF(t&lt;Tnet,'2018'!Resal+('2018'!Salim-'2018'!Resal)*(1-EXP(('2018'!Tnet-t)/('2018'!Tau_j))),Resal+(Salim-Resal)*(1-EXP((Tnet-t)/(Tau_j))))*Salcycl</f>
        <v>2.6120080886089119E-2</v>
      </c>
      <c r="P18" s="169">
        <f>(INDEX(Models!$BJ18:$BT18,,T18)*(1-R18)+INDEX(Models!$BJ18:$BT18,,T18+1)*R18-ERP_i)*Q18*Ramure*Pc/MaxiM</f>
        <v>2.1559114993856927E-4</v>
      </c>
      <c r="Q18" s="305">
        <f>IF(OR(t&lt;Ttai,Notai),Dd+PousD*Croivg,Dens+PousD*(Croivg-Croi_tai))</f>
        <v>0.7</v>
      </c>
      <c r="R18" s="177">
        <f t="shared" si="5"/>
        <v>0.50013033468886636</v>
      </c>
      <c r="S18" s="919">
        <f t="shared" si="6"/>
        <v>-2</v>
      </c>
      <c r="T18" s="176">
        <f t="shared" si="7"/>
        <v>4</v>
      </c>
      <c r="U18" s="251">
        <f t="shared" si="21"/>
        <v>-1.4998696653111336</v>
      </c>
      <c r="V18" s="383">
        <f t="shared" si="8"/>
        <v>28.32757149376058</v>
      </c>
      <c r="W18" s="58"/>
      <c r="X18" s="157">
        <f t="shared" si="9"/>
        <v>43469</v>
      </c>
      <c r="Y18" s="385">
        <f t="shared" si="10"/>
        <v>25.105</v>
      </c>
      <c r="Z18" s="385">
        <f>Wh_sa_s*(1-Psa_s)</f>
        <v>25.229578689181736</v>
      </c>
      <c r="AA18" s="386">
        <f t="shared" si="12"/>
        <v>25.906252089207243</v>
      </c>
      <c r="AB18" s="197">
        <f>t</f>
        <v>43469</v>
      </c>
      <c r="AC18" s="425">
        <f>IF(OR(t&lt;Tnet,NoTnet),'2018'!Resal_s+('2018'!Salim-'2018'!Resal_s)*(1-EXP(('2018'!Tnet_s-t)/'2018'!Tau_j)),Resal_s+(Salim-Resal_s)*(1-EXP((Tnet_s-t)/Tau_j)))*Salcycl</f>
        <v>2.6120080886089119E-2</v>
      </c>
      <c r="AD18" s="231">
        <f>(INDEX(Models!$BJ18:$BT18,,AH18)*(1-AF18)+INDEX(Models!$BJ18:$BT18,,AH18+1)*AF18-ERP_i)*AE18*Ramure*Pc/MaxiM</f>
        <v>2.1559114993856927E-4</v>
      </c>
      <c r="AE18" s="305">
        <f t="shared" si="14"/>
        <v>0.7</v>
      </c>
      <c r="AF18" s="177">
        <f t="shared" si="15"/>
        <v>0.50013033468886636</v>
      </c>
      <c r="AG18" s="176">
        <f t="shared" si="16"/>
        <v>-2</v>
      </c>
      <c r="AH18" s="176">
        <f t="shared" si="17"/>
        <v>4</v>
      </c>
      <c r="AI18" s="225">
        <f t="shared" si="22"/>
        <v>-1.4998696653111336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8">
        <v>28.934999999999999</v>
      </c>
      <c r="C19" s="390"/>
      <c r="D19" s="393">
        <f t="shared" si="0"/>
        <v>29.079221230286748</v>
      </c>
      <c r="E19" s="385">
        <f>Wh_pvt/(1-Psa)</f>
        <v>29.86230654893907</v>
      </c>
      <c r="F19" s="385">
        <f t="shared" si="2"/>
        <v>29.868700088933423</v>
      </c>
      <c r="G19" s="110">
        <f>+Wh_hp/MaxiM</f>
        <v>1.0137527952270253</v>
      </c>
      <c r="H19" s="412" t="b">
        <f>Wh_hp&gt;='2018'!Maxi_hp</f>
        <v>1</v>
      </c>
      <c r="I19" s="390">
        <f>IF(H19,Wh_hp,'2018'!Maxi_hp)</f>
        <v>29.868700088933423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4.9595974095942852E-3</v>
      </c>
      <c r="M19" s="957"/>
      <c r="N19" s="957"/>
      <c r="O19" s="48">
        <f>IF(t&lt;Tnet,'2018'!Resal+('2018'!Salim-'2018'!Resal)*(1-EXP(('2018'!Tnet-t)/('2018'!Tau_j))),Resal+(Salim-Resal)*(1-EXP((Tnet-t)/(Tau_j))))*Salcycl</f>
        <v>2.6223202731141447E-2</v>
      </c>
      <c r="P19" s="169">
        <f>(INDEX(Models!$BJ19:$BT19,,T19)*(1-R19)+INDEX(Models!$BJ19:$BT19,,T19+1)*R19-ERP_i)*Q19*Ramure*Pc/MaxiM</f>
        <v>2.1405484588594742E-4</v>
      </c>
      <c r="Q19" s="305">
        <f t="shared" si="4"/>
        <v>0.7</v>
      </c>
      <c r="R19" s="177">
        <f t="shared" si="5"/>
        <v>0.50016337022142787</v>
      </c>
      <c r="S19" s="919">
        <f t="shared" si="6"/>
        <v>-2</v>
      </c>
      <c r="T19" s="176">
        <f t="shared" si="7"/>
        <v>4</v>
      </c>
      <c r="U19" s="251">
        <f t="shared" si="21"/>
        <v>-1.4998366297785721</v>
      </c>
      <c r="V19" s="383">
        <f t="shared" si="8"/>
        <v>28.542461373455584</v>
      </c>
      <c r="W19" s="58"/>
      <c r="X19" s="157">
        <f t="shared" si="9"/>
        <v>43470</v>
      </c>
      <c r="Y19" s="385">
        <f t="shared" si="10"/>
        <v>28.934999999999999</v>
      </c>
      <c r="Z19" s="385">
        <f t="shared" si="11"/>
        <v>29.079221230286748</v>
      </c>
      <c r="AA19" s="386">
        <f t="shared" si="12"/>
        <v>29.86230654893907</v>
      </c>
      <c r="AB19" s="197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2.6223202731141447E-2</v>
      </c>
      <c r="AD19" s="231">
        <f>(INDEX(Models!$BJ19:$BT19,,AH19)*(1-AF19)+INDEX(Models!$BJ19:$BT19,,AH19+1)*AF19-ERP_i)*AE19*Ramure*Pc/MaxiM</f>
        <v>2.1405484588594742E-4</v>
      </c>
      <c r="AE19" s="305">
        <f t="shared" si="14"/>
        <v>0.7</v>
      </c>
      <c r="AF19" s="177">
        <f t="shared" si="15"/>
        <v>0.50016337022142787</v>
      </c>
      <c r="AG19" s="176">
        <f t="shared" si="16"/>
        <v>-2</v>
      </c>
      <c r="AH19" s="176">
        <f t="shared" si="17"/>
        <v>4</v>
      </c>
      <c r="AI19" s="225">
        <f t="shared" si="22"/>
        <v>-1.4998366297785721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8">
        <v>5.101</v>
      </c>
      <c r="C20" s="390"/>
      <c r="D20" s="393">
        <f t="shared" si="0"/>
        <v>5.1265372884946956</v>
      </c>
      <c r="E20" s="385">
        <f t="shared" si="1"/>
        <v>5.2651490000139267</v>
      </c>
      <c r="F20" s="385">
        <f t="shared" si="2"/>
        <v>5.2651490000139267</v>
      </c>
      <c r="G20" s="110">
        <f t="shared" si="23"/>
        <v>0.17733617567110374</v>
      </c>
      <c r="H20" s="412" t="b">
        <f>Wh_hp&gt;='2018'!Maxi_hp</f>
        <v>1</v>
      </c>
      <c r="I20" s="390">
        <f>IF(H20,Wh_hp,'2018'!Maxi_hp)</f>
        <v>5.2651490000139267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4.9813913481149275E-3</v>
      </c>
      <c r="M20" s="957"/>
      <c r="N20" s="957"/>
      <c r="O20" s="48">
        <f>IF(t&lt;Tnet,'2018'!Resal+('2018'!Salim-'2018'!Resal)*(1-EXP(('2018'!Tnet-t)/('2018'!Tau_j))),Resal+(Salim-Resal)*(1-EXP((Tnet-t)/(Tau_j))))*Salcycl</f>
        <v>2.6326265699007687E-2</v>
      </c>
      <c r="P20" s="169">
        <f>(INDEX(Models!$BJ20:$BT20,,T20)*(1-R20)+INDEX(Models!$BJ20:$BT20,,T20+1)*R20-ERP_i)*Q20*Ramure*Pc/MaxiM</f>
        <v>2.1279071171815067E-4</v>
      </c>
      <c r="Q20" s="305">
        <f t="shared" si="4"/>
        <v>0.7</v>
      </c>
      <c r="R20" s="177">
        <f t="shared" si="5"/>
        <v>0.50019778701817863</v>
      </c>
      <c r="S20" s="919">
        <f t="shared" si="6"/>
        <v>-2</v>
      </c>
      <c r="T20" s="176">
        <f t="shared" si="7"/>
        <v>4</v>
      </c>
      <c r="U20" s="251">
        <f t="shared" si="21"/>
        <v>-1.4998022129818214</v>
      </c>
      <c r="V20" s="383">
        <f t="shared" si="8"/>
        <v>28.758455714293021</v>
      </c>
      <c r="W20" s="58"/>
      <c r="X20" s="157">
        <f t="shared" si="9"/>
        <v>43471</v>
      </c>
      <c r="Y20" s="385">
        <f t="shared" si="10"/>
        <v>5.101</v>
      </c>
      <c r="Z20" s="385">
        <f t="shared" si="11"/>
        <v>5.1265372884946956</v>
      </c>
      <c r="AA20" s="386">
        <f t="shared" si="12"/>
        <v>5.2651490000139267</v>
      </c>
      <c r="AB20" s="197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2.6326265699007687E-2</v>
      </c>
      <c r="AD20" s="231">
        <f>(INDEX(Models!$BJ20:$BT20,,AH20)*(1-AF20)+INDEX(Models!$BJ20:$BT20,,AH20+1)*AF20-ERP_i)*AE20*Ramure*Pc/MaxiM</f>
        <v>2.1279071171815067E-4</v>
      </c>
      <c r="AE20" s="305">
        <f>IF(OR(t&lt;Ttai,Notai),Dd_s+PousD*Croivg,Dens_s+PousD*(Croivg-Croi_tai))</f>
        <v>0.7</v>
      </c>
      <c r="AF20" s="177">
        <f t="shared" si="15"/>
        <v>0.50019778701817863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-1.4998022129818214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8">
        <v>2.8239999999999998</v>
      </c>
      <c r="C21" s="390"/>
      <c r="D21" s="393">
        <f t="shared" si="0"/>
        <v>2.8382000393224707</v>
      </c>
      <c r="E21" s="385">
        <f t="shared" si="1"/>
        <v>2.9152479031284511</v>
      </c>
      <c r="F21" s="385">
        <f t="shared" si="2"/>
        <v>2.9152479031284511</v>
      </c>
      <c r="G21" s="110">
        <f t="shared" si="23"/>
        <v>9.7445924108427187E-2</v>
      </c>
      <c r="H21" s="412" t="b">
        <f>Wh_hp&gt;='2018'!Maxi_hp</f>
        <v>1</v>
      </c>
      <c r="I21" s="390">
        <f>IF(H21,Wh_hp,'2018'!Maxi_hp)</f>
        <v>2.9152479031284511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5.0031848092922937E-3</v>
      </c>
      <c r="M21" s="957"/>
      <c r="N21" s="957"/>
      <c r="O21" s="48">
        <f>IF(t&lt;Tnet,'2018'!Resal+('2018'!Salim-'2018'!Resal)*(1-EXP(('2018'!Tnet-t)/('2018'!Tau_j))),Resal+(Salim-Resal)*(1-EXP((Tnet-t)/(Tau_j))))*Salcycl</f>
        <v>2.642926652079837E-2</v>
      </c>
      <c r="P21" s="169">
        <f>(INDEX(Models!$BJ21:$BT21,,T21)*(1-R21)+INDEX(Models!$BJ21:$BT21,,T21+1)*R21-ERP_i)*Q21*Ramure*Pc/MaxiM</f>
        <v>2.1180299073097843E-4</v>
      </c>
      <c r="Q21" s="305">
        <f t="shared" si="4"/>
        <v>0.7</v>
      </c>
      <c r="R21" s="177">
        <f t="shared" si="5"/>
        <v>0.50023364262924175</v>
      </c>
      <c r="S21" s="919">
        <f t="shared" si="6"/>
        <v>-2</v>
      </c>
      <c r="T21" s="176">
        <f t="shared" si="7"/>
        <v>4</v>
      </c>
      <c r="U21" s="251">
        <f t="shared" si="21"/>
        <v>-1.4997663573707583</v>
      </c>
      <c r="V21" s="383">
        <f t="shared" si="8"/>
        <v>28.974037592507226</v>
      </c>
      <c r="W21" s="58"/>
      <c r="X21" s="157">
        <f t="shared" si="9"/>
        <v>43472</v>
      </c>
      <c r="Y21" s="385">
        <f t="shared" si="10"/>
        <v>2.8239999999999998</v>
      </c>
      <c r="Z21" s="385">
        <f t="shared" si="11"/>
        <v>2.8382000393224707</v>
      </c>
      <c r="AA21" s="386">
        <f t="shared" si="12"/>
        <v>2.9152479031284511</v>
      </c>
      <c r="AB21" s="197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2.642926652079837E-2</v>
      </c>
      <c r="AD21" s="231">
        <f>(INDEX(Models!$BJ21:$BT21,,AH21)*(1-AF21)+INDEX(Models!$BJ21:$BT21,,AH21+1)*AF21-ERP_i)*AE21*Ramure*Pc/MaxiM</f>
        <v>2.1180299073097843E-4</v>
      </c>
      <c r="AE21" s="305">
        <f t="shared" si="14"/>
        <v>0.7</v>
      </c>
      <c r="AF21" s="177">
        <f t="shared" si="15"/>
        <v>0.50023364262924175</v>
      </c>
      <c r="AG21" s="176">
        <f t="shared" si="16"/>
        <v>-2</v>
      </c>
      <c r="AH21" s="176">
        <f t="shared" si="17"/>
        <v>4</v>
      </c>
      <c r="AI21" s="225">
        <f t="shared" si="22"/>
        <v>-1.4997663573707583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8">
        <v>5.6879999999999997</v>
      </c>
      <c r="C22" s="390"/>
      <c r="D22" s="393">
        <f t="shared" si="0"/>
        <v>5.7167264233266559</v>
      </c>
      <c r="E22" s="385">
        <f t="shared" si="1"/>
        <v>5.8725377854618364</v>
      </c>
      <c r="F22" s="385">
        <f t="shared" si="2"/>
        <v>5.8725377854618364</v>
      </c>
      <c r="G22" s="110">
        <f t="shared" si="23"/>
        <v>0.19483553251971331</v>
      </c>
      <c r="H22" s="412" t="b">
        <f>Wh_hp&gt;='2018'!Maxi_hp</f>
        <v>1</v>
      </c>
      <c r="I22" s="390">
        <f>IF(H22,Wh_hp,'2018'!Maxi_hp)</f>
        <v>5.8725377854618364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5.0249777931370421E-3</v>
      </c>
      <c r="M22" s="957"/>
      <c r="N22" s="957"/>
      <c r="O22" s="48">
        <f>IF(t&lt;Tnet,'2018'!Resal+('2018'!Salim-'2018'!Resal)*(1-EXP(('2018'!Tnet-t)/('2018'!Tau_j))),Resal+(Salim-Resal)*(1-EXP((Tnet-t)/(Tau_j))))*Salcycl</f>
        <v>2.653220257192887E-2</v>
      </c>
      <c r="P22" s="169">
        <f>(INDEX(Models!$BJ22:$BT22,,T22)*(1-R22)+INDEX(Models!$BJ22:$BT22,,T22+1)*R22-ERP_i)*Q22*Ramure*Pc/MaxiM</f>
        <v>2.1109567943982166E-4</v>
      </c>
      <c r="Q22" s="305">
        <f t="shared" si="4"/>
        <v>0.7</v>
      </c>
      <c r="R22" s="177">
        <f t="shared" si="5"/>
        <v>0.50027099698523902</v>
      </c>
      <c r="S22" s="919">
        <f t="shared" si="6"/>
        <v>-2</v>
      </c>
      <c r="T22" s="176">
        <f t="shared" si="7"/>
        <v>4</v>
      </c>
      <c r="U22" s="251">
        <f t="shared" si="21"/>
        <v>-1.499729003014761</v>
      </c>
      <c r="V22" s="383">
        <f t="shared" si="8"/>
        <v>29.187690839708413</v>
      </c>
      <c r="W22" s="58"/>
      <c r="X22" s="157">
        <f t="shared" si="9"/>
        <v>43473</v>
      </c>
      <c r="Y22" s="385">
        <f t="shared" si="10"/>
        <v>5.6879999999999997</v>
      </c>
      <c r="Z22" s="385">
        <f t="shared" si="11"/>
        <v>5.7167264233266559</v>
      </c>
      <c r="AA22" s="386">
        <f t="shared" si="12"/>
        <v>5.8725377854618364</v>
      </c>
      <c r="AB22" s="197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2.653220257192887E-2</v>
      </c>
      <c r="AD22" s="231">
        <f>(INDEX(Models!$BJ22:$BT22,,AH22)*(1-AF22)+INDEX(Models!$BJ22:$BT22,,AH22+1)*AF22-ERP_i)*AE22*Ramure*Pc/MaxiM</f>
        <v>2.1109567943982166E-4</v>
      </c>
      <c r="AE22" s="305">
        <f t="shared" si="14"/>
        <v>0.7</v>
      </c>
      <c r="AF22" s="177">
        <f t="shared" si="15"/>
        <v>0.50027099698523902</v>
      </c>
      <c r="AG22" s="176">
        <f t="shared" si="16"/>
        <v>-2</v>
      </c>
      <c r="AH22" s="176">
        <f t="shared" si="17"/>
        <v>4</v>
      </c>
      <c r="AI22" s="225">
        <f t="shared" si="22"/>
        <v>-1.499729003014761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8">
        <v>8.6560000000000006</v>
      </c>
      <c r="C23" s="390"/>
      <c r="D23" s="393">
        <f t="shared" si="0"/>
        <v>8.6999064293775987</v>
      </c>
      <c r="E23" s="385">
        <f t="shared" si="1"/>
        <v>8.9379698997979755</v>
      </c>
      <c r="F23" s="385">
        <f t="shared" si="2"/>
        <v>8.9379698997979755</v>
      </c>
      <c r="G23" s="110">
        <f t="shared" si="23"/>
        <v>0.29434792678533478</v>
      </c>
      <c r="H23" s="412" t="b">
        <f>Wh_hp&gt;='2018'!Maxi_hp</f>
        <v>1</v>
      </c>
      <c r="I23" s="390">
        <f>IF(H23,Wh_hp,'2018'!Maxi_hp)</f>
        <v>8.9379698997979755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5.0467702996593866E-3</v>
      </c>
      <c r="M23" s="957"/>
      <c r="N23" s="957"/>
      <c r="O23" s="48">
        <f>IF(t&lt;Tnet,'2018'!Resal+('2018'!Salim-'2018'!Resal)*(1-EXP(('2018'!Tnet-t)/('2018'!Tau_j))),Resal+(Salim-Resal)*(1-EXP((Tnet-t)/(Tau_j))))*Salcycl</f>
        <v>2.6635071843971743E-2</v>
      </c>
      <c r="P23" s="169">
        <f>(INDEX(Models!$BJ23:$BT23,,T23)*(1-R23)+INDEX(Models!$BJ23:$BT23,,T23+1)*R23-ERP_i)*Q23*Ramure*Pc/MaxiM</f>
        <v>2.1064916538101965E-4</v>
      </c>
      <c r="Q23" s="305">
        <f t="shared" si="4"/>
        <v>0.7</v>
      </c>
      <c r="R23" s="177">
        <f t="shared" si="5"/>
        <v>0.50030991249427403</v>
      </c>
      <c r="S23" s="919">
        <f t="shared" si="6"/>
        <v>-2</v>
      </c>
      <c r="T23" s="176">
        <f t="shared" si="7"/>
        <v>4</v>
      </c>
      <c r="U23" s="251">
        <f t="shared" si="21"/>
        <v>-1.499690087505726</v>
      </c>
      <c r="V23" s="383">
        <f t="shared" si="8"/>
        <v>29.401180824813057</v>
      </c>
      <c r="W23" s="58"/>
      <c r="X23" s="157">
        <f t="shared" si="9"/>
        <v>43474</v>
      </c>
      <c r="Y23" s="385">
        <f t="shared" si="10"/>
        <v>8.6560000000000006</v>
      </c>
      <c r="Z23" s="385">
        <f t="shared" si="11"/>
        <v>8.6999064293775987</v>
      </c>
      <c r="AA23" s="386">
        <f t="shared" si="12"/>
        <v>8.9379698997979755</v>
      </c>
      <c r="AB23" s="197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2.6635071843971743E-2</v>
      </c>
      <c r="AD23" s="231">
        <f>(INDEX(Models!$BJ23:$BT23,,AH23)*(1-AF23)+INDEX(Models!$BJ23:$BT23,,AH23+1)*AF23-ERP_i)*AE23*Ramure*Pc/MaxiM</f>
        <v>2.1064916538101965E-4</v>
      </c>
      <c r="AE23" s="305">
        <f t="shared" si="14"/>
        <v>0.7</v>
      </c>
      <c r="AF23" s="177">
        <f t="shared" si="15"/>
        <v>0.50030991249427403</v>
      </c>
      <c r="AG23" s="176">
        <f t="shared" si="16"/>
        <v>-2</v>
      </c>
      <c r="AH23" s="176">
        <f t="shared" si="17"/>
        <v>4</v>
      </c>
      <c r="AI23" s="225">
        <f t="shared" si="22"/>
        <v>-1.499690087505726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8">
        <v>10.48</v>
      </c>
      <c r="C24" s="390"/>
      <c r="D24" s="393">
        <f t="shared" si="0"/>
        <v>10.533389139387227</v>
      </c>
      <c r="E24" s="385">
        <f t="shared" si="1"/>
        <v>10.822766905453298</v>
      </c>
      <c r="F24" s="385">
        <f t="shared" si="2"/>
        <v>10.822941868477683</v>
      </c>
      <c r="G24" s="110">
        <f t="shared" si="23"/>
        <v>0.35377590601962383</v>
      </c>
      <c r="H24" s="412" t="b">
        <f>Wh_hp&gt;='2018'!Maxi_hp</f>
        <v>1</v>
      </c>
      <c r="I24" s="390">
        <f>IF(H24,Wh_hp,'2018'!Maxi_hp)</f>
        <v>10.822941868477683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5.0685623288699855E-3</v>
      </c>
      <c r="M24" s="957"/>
      <c r="N24" s="957"/>
      <c r="O24" s="48">
        <f>IF(t&lt;Tnet,'2018'!Resal+('2018'!Salim-'2018'!Resal)*(1-EXP(('2018'!Tnet-t)/('2018'!Tau_j))),Resal+(Salim-Resal)*(1-EXP((Tnet-t)/(Tau_j))))*Salcycl</f>
        <v>2.6737872911248035E-2</v>
      </c>
      <c r="P24" s="169">
        <f>(INDEX(Models!$BJ24:$BT24,,T24)*(1-R24)+INDEX(Models!$BJ24:$BT24,,T24+1)*R24-ERP_i)*Q24*Ramure*Pc/MaxiM</f>
        <v>2.1016346629683339E-4</v>
      </c>
      <c r="Q24" s="305">
        <f t="shared" si="4"/>
        <v>0.7</v>
      </c>
      <c r="R24" s="177">
        <f t="shared" si="5"/>
        <v>0.50035045414274371</v>
      </c>
      <c r="S24" s="919">
        <f t="shared" si="6"/>
        <v>-2</v>
      </c>
      <c r="T24" s="176">
        <f t="shared" si="7"/>
        <v>4</v>
      </c>
      <c r="U24" s="251">
        <f t="shared" si="21"/>
        <v>-1.4996495458572563</v>
      </c>
      <c r="V24" s="383">
        <f t="shared" si="8"/>
        <v>29.617525373453358</v>
      </c>
      <c r="W24" s="58"/>
      <c r="X24" s="157">
        <f t="shared" si="9"/>
        <v>43475</v>
      </c>
      <c r="Y24" s="385">
        <f t="shared" si="10"/>
        <v>10.48</v>
      </c>
      <c r="Z24" s="385">
        <f t="shared" si="11"/>
        <v>10.533389139387227</v>
      </c>
      <c r="AA24" s="386">
        <f t="shared" si="12"/>
        <v>10.822766905453298</v>
      </c>
      <c r="AB24" s="197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2.6737872911248035E-2</v>
      </c>
      <c r="AD24" s="231">
        <f>(INDEX(Models!$BJ24:$BT24,,AH24)*(1-AF24)+INDEX(Models!$BJ24:$BT24,,AH24+1)*AF24-ERP_i)*AE24*Ramure*Pc/MaxiM</f>
        <v>2.1016346629683339E-4</v>
      </c>
      <c r="AE24" s="305">
        <f t="shared" si="14"/>
        <v>0.7</v>
      </c>
      <c r="AF24" s="177">
        <f t="shared" si="15"/>
        <v>0.50035045414274371</v>
      </c>
      <c r="AG24" s="176">
        <f t="shared" si="16"/>
        <v>-2</v>
      </c>
      <c r="AH24" s="176">
        <f t="shared" si="17"/>
        <v>4</v>
      </c>
      <c r="AI24" s="225">
        <f t="shared" si="22"/>
        <v>-1.4996495458572563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8">
        <v>28.016999999999999</v>
      </c>
      <c r="C25" s="390"/>
      <c r="D25" s="393">
        <f t="shared" si="0"/>
        <v>28.160346127192643</v>
      </c>
      <c r="E25" s="385">
        <f t="shared" si="1"/>
        <v>28.937033613169206</v>
      </c>
      <c r="F25" s="385">
        <f t="shared" si="2"/>
        <v>28.942569822543398</v>
      </c>
      <c r="G25" s="110">
        <f t="shared" si="23"/>
        <v>0.93898230185671927</v>
      </c>
      <c r="H25" s="412" t="b">
        <f>Wh_hp&gt;='2018'!Maxi_hp</f>
        <v>1</v>
      </c>
      <c r="I25" s="390">
        <f>IF(H25,Wh_hp,'2018'!Maxi_hp)</f>
        <v>28.942569822543398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5.0903538807792748E-3</v>
      </c>
      <c r="M25" s="957"/>
      <c r="N25" s="957"/>
      <c r="O25" s="48">
        <f>IF(t&lt;Tnet,'2018'!Resal+('2018'!Salim-'2018'!Resal)*(1-EXP(('2018'!Tnet-t)/('2018'!Tau_j))),Resal+(Salim-Resal)*(1-EXP((Tnet-t)/(Tau_j))))*Salcycl</f>
        <v>2.6840604892655395E-2</v>
      </c>
      <c r="P25" s="169">
        <f>(INDEX(Models!$BJ25:$BT25,,T25)*(1-R25)+INDEX(Models!$BJ25:$BT25,,T25+1)*R25-ERP_i)*Q25*Ramure*Pc/MaxiM</f>
        <v>2.0954291021718421E-4</v>
      </c>
      <c r="Q25" s="305">
        <f t="shared" si="4"/>
        <v>0.7</v>
      </c>
      <c r="R25" s="177">
        <f t="shared" si="5"/>
        <v>0.50039268960010963</v>
      </c>
      <c r="S25" s="919">
        <f t="shared" si="6"/>
        <v>-2</v>
      </c>
      <c r="T25" s="176">
        <f t="shared" si="7"/>
        <v>4</v>
      </c>
      <c r="U25" s="251">
        <f t="shared" si="21"/>
        <v>-1.4996073103998904</v>
      </c>
      <c r="V25" s="383">
        <f t="shared" si="8"/>
        <v>29.837078129160478</v>
      </c>
      <c r="W25" s="58"/>
      <c r="X25" s="157">
        <f t="shared" si="9"/>
        <v>43476</v>
      </c>
      <c r="Y25" s="385">
        <f t="shared" si="10"/>
        <v>28.016999999999999</v>
      </c>
      <c r="Z25" s="385">
        <f t="shared" si="11"/>
        <v>28.160346127192643</v>
      </c>
      <c r="AA25" s="386">
        <f t="shared" si="12"/>
        <v>28.937033613169206</v>
      </c>
      <c r="AB25" s="197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2.6840604892655395E-2</v>
      </c>
      <c r="AD25" s="231">
        <f>(INDEX(Models!$BJ25:$BT25,,AH25)*(1-AF25)+INDEX(Models!$BJ25:$BT25,,AH25+1)*AF25-ERP_i)*AE25*Ramure*Pc/MaxiM</f>
        <v>2.0954291021718421E-4</v>
      </c>
      <c r="AE25" s="305">
        <f t="shared" si="14"/>
        <v>0.7</v>
      </c>
      <c r="AF25" s="177">
        <f t="shared" si="15"/>
        <v>0.50039268960010963</v>
      </c>
      <c r="AG25" s="176">
        <f t="shared" si="16"/>
        <v>-2</v>
      </c>
      <c r="AH25" s="176">
        <f t="shared" si="17"/>
        <v>4</v>
      </c>
      <c r="AI25" s="225">
        <f t="shared" si="22"/>
        <v>-1.4996073103998904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8">
        <v>8.0869999999999997</v>
      </c>
      <c r="C26" s="390"/>
      <c r="D26" s="393">
        <f t="shared" si="0"/>
        <v>8.1285543481053413</v>
      </c>
      <c r="E26" s="385">
        <f t="shared" si="1"/>
        <v>8.3536283917005942</v>
      </c>
      <c r="F26" s="385">
        <f t="shared" si="2"/>
        <v>8.3536283917005942</v>
      </c>
      <c r="G26" s="110">
        <f t="shared" si="23"/>
        <v>0.26897074176535524</v>
      </c>
      <c r="H26" s="412" t="b">
        <f>Wh_hp&gt;='2018'!Maxi_hp</f>
        <v>1</v>
      </c>
      <c r="I26" s="390">
        <f>IF(H26,Wh_hp,'2018'!Maxi_hp)</f>
        <v>8.3536283917005942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5.1121449553975795E-3</v>
      </c>
      <c r="M26" s="957"/>
      <c r="N26" s="957"/>
      <c r="O26" s="48">
        <f>IF(t&lt;Tnet,'2018'!Resal+('2018'!Salim-'2018'!Resal)*(1-EXP(('2018'!Tnet-t)/('2018'!Tau_j))),Resal+(Salim-Resal)*(1-EXP((Tnet-t)/(Tau_j))))*Salcycl</f>
        <v>2.6943267409269191E-2</v>
      </c>
      <c r="P26" s="169">
        <f>(INDEX(Models!$BJ26:$BT26,,T26)*(1-R26)+INDEX(Models!$BJ26:$BT26,,T26+1)*R26-ERP_i)*Q26*Ramure*Pc/MaxiM</f>
        <v>2.0878763043823801E-4</v>
      </c>
      <c r="Q26" s="305">
        <f t="shared" si="4"/>
        <v>0.7</v>
      </c>
      <c r="R26" s="177">
        <f t="shared" si="5"/>
        <v>0.50043668932778074</v>
      </c>
      <c r="S26" s="919">
        <f t="shared" si="6"/>
        <v>-2</v>
      </c>
      <c r="T26" s="176">
        <f t="shared" si="7"/>
        <v>4</v>
      </c>
      <c r="U26" s="251">
        <f t="shared" si="21"/>
        <v>-1.4995633106722193</v>
      </c>
      <c r="V26" s="383">
        <f t="shared" si="8"/>
        <v>30.060189749136779</v>
      </c>
      <c r="W26" s="58"/>
      <c r="X26" s="157">
        <f t="shared" si="9"/>
        <v>43477</v>
      </c>
      <c r="Y26" s="385">
        <f t="shared" si="10"/>
        <v>8.0869999999999997</v>
      </c>
      <c r="Z26" s="385">
        <f t="shared" si="11"/>
        <v>8.1285543481053413</v>
      </c>
      <c r="AA26" s="386">
        <f t="shared" si="12"/>
        <v>8.3536283917005942</v>
      </c>
      <c r="AB26" s="197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2.6943267409269191E-2</v>
      </c>
      <c r="AD26" s="231">
        <f>(INDEX(Models!$BJ26:$BT26,,AH26)*(1-AF26)+INDEX(Models!$BJ26:$BT26,,AH26+1)*AF26-ERP_i)*AE26*Ramure*Pc/MaxiM</f>
        <v>2.0878763043823801E-4</v>
      </c>
      <c r="AE26" s="305">
        <f t="shared" si="14"/>
        <v>0.7</v>
      </c>
      <c r="AF26" s="177">
        <f t="shared" si="15"/>
        <v>0.50043668932778074</v>
      </c>
      <c r="AG26" s="176">
        <f t="shared" si="16"/>
        <v>-2</v>
      </c>
      <c r="AH26" s="176">
        <f t="shared" si="17"/>
        <v>4</v>
      </c>
      <c r="AI26" s="225">
        <f t="shared" si="22"/>
        <v>-1.4995633106722193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8">
        <v>3.1240000000000001</v>
      </c>
      <c r="C27" s="390"/>
      <c r="D27" s="393">
        <f t="shared" si="0"/>
        <v>3.1401211797646913</v>
      </c>
      <c r="E27" s="385">
        <f t="shared" si="1"/>
        <v>3.2274092399688667</v>
      </c>
      <c r="F27" s="385">
        <f t="shared" si="2"/>
        <v>3.2274092399688667</v>
      </c>
      <c r="G27" s="110">
        <f t="shared" si="23"/>
        <v>0.10312440318117429</v>
      </c>
      <c r="H27" s="412" t="b">
        <f>Wh_hp&gt;='2018'!Maxi_hp</f>
        <v>1</v>
      </c>
      <c r="I27" s="390">
        <f>IF(H27,Wh_hp,'2018'!Maxi_hp)</f>
        <v>3.2274092399688667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5.1339355527353359E-3</v>
      </c>
      <c r="M27" s="957"/>
      <c r="N27" s="957"/>
      <c r="O27" s="48">
        <f>IF(t&lt;Tnet,'2018'!Resal+('2018'!Salim-'2018'!Resal)*(1-EXP(('2018'!Tnet-t)/('2018'!Tau_j))),Resal+(Salim-Resal)*(1-EXP((Tnet-t)/(Tau_j))))*Salcycl</f>
        <v>2.7045860538286576E-2</v>
      </c>
      <c r="P27" s="169">
        <f>(INDEX(Models!$BJ27:$BT27,,T27)*(1-R27)+INDEX(Models!$BJ27:$BT27,,T27+1)*R27-ERP_i)*Q27*Ramure*Pc/MaxiM</f>
        <v>2.0789792356120849E-4</v>
      </c>
      <c r="Q27" s="305">
        <f t="shared" si="4"/>
        <v>0.7</v>
      </c>
      <c r="R27" s="177">
        <f t="shared" si="5"/>
        <v>0.50048252669224991</v>
      </c>
      <c r="S27" s="919">
        <f t="shared" si="6"/>
        <v>-2</v>
      </c>
      <c r="T27" s="176">
        <f t="shared" si="7"/>
        <v>4</v>
      </c>
      <c r="U27" s="251">
        <f t="shared" si="21"/>
        <v>-1.4995174733077501</v>
      </c>
      <c r="V27" s="383">
        <f t="shared" si="8"/>
        <v>30.287210694441846</v>
      </c>
      <c r="W27" s="58"/>
      <c r="X27" s="157">
        <f t="shared" si="9"/>
        <v>43478</v>
      </c>
      <c r="Y27" s="385">
        <f t="shared" si="10"/>
        <v>3.1240000000000001</v>
      </c>
      <c r="Z27" s="385">
        <f t="shared" si="11"/>
        <v>3.1401211797646913</v>
      </c>
      <c r="AA27" s="386">
        <f t="shared" si="12"/>
        <v>3.2274092399688667</v>
      </c>
      <c r="AB27" s="197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2.7045860538286576E-2</v>
      </c>
      <c r="AD27" s="231">
        <f>(INDEX(Models!$BJ27:$BT27,,AH27)*(1-AF27)+INDEX(Models!$BJ27:$BT27,,AH27+1)*AF27-ERP_i)*AE27*Ramure*Pc/MaxiM</f>
        <v>2.0789792356120849E-4</v>
      </c>
      <c r="AE27" s="305">
        <f t="shared" si="14"/>
        <v>0.7</v>
      </c>
      <c r="AF27" s="177">
        <f t="shared" si="15"/>
        <v>0.50048252669224991</v>
      </c>
      <c r="AG27" s="176">
        <f t="shared" si="16"/>
        <v>-2</v>
      </c>
      <c r="AH27" s="300">
        <f t="shared" si="17"/>
        <v>4</v>
      </c>
      <c r="AI27" s="225">
        <f t="shared" si="22"/>
        <v>-1.4995174733077501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8">
        <v>6.65</v>
      </c>
      <c r="C28" s="390"/>
      <c r="D28" s="393">
        <f t="shared" si="0"/>
        <v>6.6844632588324728</v>
      </c>
      <c r="E28" s="385">
        <f t="shared" si="1"/>
        <v>6.8709998052583758</v>
      </c>
      <c r="F28" s="385">
        <f t="shared" si="2"/>
        <v>6.8709998052583758</v>
      </c>
      <c r="G28" s="110">
        <f t="shared" si="23"/>
        <v>0.21785560218362265</v>
      </c>
      <c r="H28" s="412" t="b">
        <f>Wh_hp&gt;='2018'!Maxi_hp</f>
        <v>1</v>
      </c>
      <c r="I28" s="390">
        <f>IF(H28,Wh_hp,'2018'!Maxi_hp)</f>
        <v>6.8709998052583758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5.1557256728032019E-3</v>
      </c>
      <c r="M28" s="957"/>
      <c r="N28" s="957"/>
      <c r="O28" s="48">
        <f>IF(t&lt;Tnet,'2018'!Resal+('2018'!Salim-'2018'!Resal)*(1-EXP(('2018'!Tnet-t)/('2018'!Tau_j))),Resal+(Salim-Resal)*(1-EXP((Tnet-t)/(Tau_j))))*Salcycl</f>
        <v>2.7148384763909721E-2</v>
      </c>
      <c r="P28" s="169">
        <f>(INDEX(Models!$BJ28:$BT28,,T28)*(1-R28)+INDEX(Models!$BJ28:$BT28,,T28+1)*R28-ERP_i)*Q28*Ramure*Pc/MaxiM</f>
        <v>2.0687425660595264E-4</v>
      </c>
      <c r="Q28" s="305">
        <f t="shared" si="4"/>
        <v>0.7</v>
      </c>
      <c r="R28" s="177">
        <f t="shared" si="5"/>
        <v>0.5005302780826395</v>
      </c>
      <c r="S28" s="919">
        <f t="shared" si="6"/>
        <v>-2</v>
      </c>
      <c r="T28" s="176">
        <f t="shared" si="7"/>
        <v>4</v>
      </c>
      <c r="U28" s="251">
        <f t="shared" si="21"/>
        <v>-1.4994697219173605</v>
      </c>
      <c r="V28" s="383">
        <f t="shared" si="8"/>
        <v>30.518491237097884</v>
      </c>
      <c r="W28" s="58"/>
      <c r="X28" s="157">
        <f t="shared" si="9"/>
        <v>43479</v>
      </c>
      <c r="Y28" s="385">
        <f t="shared" si="10"/>
        <v>6.65</v>
      </c>
      <c r="Z28" s="385">
        <f t="shared" si="11"/>
        <v>6.6844632588324728</v>
      </c>
      <c r="AA28" s="386">
        <f t="shared" si="12"/>
        <v>6.8709998052583758</v>
      </c>
      <c r="AB28" s="197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2.7148384763909721E-2</v>
      </c>
      <c r="AD28" s="231">
        <f>(INDEX(Models!$BJ28:$BT28,,AH28)*(1-AF28)+INDEX(Models!$BJ28:$BT28,,AH28+1)*AF28-ERP_i)*AE28*Ramure*Pc/MaxiM</f>
        <v>2.0687425660595264E-4</v>
      </c>
      <c r="AE28" s="305">
        <f t="shared" si="14"/>
        <v>0.7</v>
      </c>
      <c r="AF28" s="177">
        <f t="shared" si="15"/>
        <v>0.5005302780826395</v>
      </c>
      <c r="AG28" s="176">
        <f t="shared" si="16"/>
        <v>-2</v>
      </c>
      <c r="AH28" s="176">
        <f t="shared" si="17"/>
        <v>4</v>
      </c>
      <c r="AI28" s="225">
        <f t="shared" si="22"/>
        <v>-1.4994697219173605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8">
        <v>30.228999999999999</v>
      </c>
      <c r="C29" s="390"/>
      <c r="D29" s="393">
        <f t="shared" si="0"/>
        <v>30.386325666523582</v>
      </c>
      <c r="E29" s="385">
        <f t="shared" si="1"/>
        <v>31.237575877673219</v>
      </c>
      <c r="F29" s="385">
        <f t="shared" si="2"/>
        <v>31.24384641917025</v>
      </c>
      <c r="G29" s="110">
        <f t="shared" si="23"/>
        <v>0.9829119225457682</v>
      </c>
      <c r="H29" s="412" t="b">
        <f>Wh_hp&gt;='2018'!Maxi_hp</f>
        <v>1</v>
      </c>
      <c r="I29" s="390">
        <f>IF(H29,Wh_hp,'2018'!Maxi_hp)</f>
        <v>31.24384641917025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5.1775153156115028E-3</v>
      </c>
      <c r="M29" s="957"/>
      <c r="N29" s="957"/>
      <c r="O29" s="48">
        <f>IF(t&lt;Tnet,'2018'!Resal+('2018'!Salim-'2018'!Resal)*(1-EXP(('2018'!Tnet-t)/('2018'!Tau_j))),Resal+(Salim-Resal)*(1-EXP((Tnet-t)/(Tau_j))))*Salcycl</f>
        <v>2.7250840925785825E-2</v>
      </c>
      <c r="P29" s="169">
        <f>(INDEX(Models!$BJ29:$BT29,,T29)*(1-R29)+INDEX(Models!$BJ29:$BT29,,T29+1)*R29-ERP_i)*Q29*Ramure*Pc/MaxiM</f>
        <v>2.0571727281749197E-4</v>
      </c>
      <c r="Q29" s="305">
        <f t="shared" si="4"/>
        <v>0.7</v>
      </c>
      <c r="R29" s="177">
        <f t="shared" si="5"/>
        <v>0.50058002303281168</v>
      </c>
      <c r="S29" s="919">
        <f t="shared" si="6"/>
        <v>-2</v>
      </c>
      <c r="T29" s="176">
        <f t="shared" si="7"/>
        <v>4</v>
      </c>
      <c r="U29" s="251">
        <f t="shared" si="21"/>
        <v>-1.4994199769671883</v>
      </c>
      <c r="V29" s="383">
        <f t="shared" si="8"/>
        <v>30.754381459552935</v>
      </c>
      <c r="W29" s="58"/>
      <c r="X29" s="157">
        <f t="shared" si="9"/>
        <v>43480</v>
      </c>
      <c r="Y29" s="385">
        <f t="shared" si="10"/>
        <v>30.228999999999999</v>
      </c>
      <c r="Z29" s="385">
        <f t="shared" si="11"/>
        <v>30.386325666523582</v>
      </c>
      <c r="AA29" s="386">
        <f t="shared" si="12"/>
        <v>31.237575877673219</v>
      </c>
      <c r="AB29" s="197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2.7250840925785825E-2</v>
      </c>
      <c r="AD29" s="231">
        <f>(INDEX(Models!$BJ29:$BT29,,AH29)*(1-AF29)+INDEX(Models!$BJ29:$BT29,,AH29+1)*AF29-ERP_i)*AE29*Ramure*Pc/MaxiM</f>
        <v>2.0571727281749197E-4</v>
      </c>
      <c r="AE29" s="305">
        <f t="shared" si="14"/>
        <v>0.7</v>
      </c>
      <c r="AF29" s="177">
        <f t="shared" si="15"/>
        <v>0.50058002303281168</v>
      </c>
      <c r="AG29" s="176">
        <f t="shared" si="16"/>
        <v>-2</v>
      </c>
      <c r="AH29" s="176">
        <f t="shared" si="17"/>
        <v>4</v>
      </c>
      <c r="AI29" s="225">
        <f t="shared" si="22"/>
        <v>-1.4994199769671883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8">
        <v>31.154</v>
      </c>
      <c r="C30" s="390"/>
      <c r="D30" s="393">
        <f t="shared" si="0"/>
        <v>31.316825712261803</v>
      </c>
      <c r="E30" s="385">
        <f t="shared" si="1"/>
        <v>32.197532221892693</v>
      </c>
      <c r="F30" s="385">
        <f t="shared" si="2"/>
        <v>32.204114318448951</v>
      </c>
      <c r="G30" s="110">
        <f t="shared" si="23"/>
        <v>1.005122319245128</v>
      </c>
      <c r="H30" s="412" t="b">
        <f>Wh_hp&gt;='2018'!Maxi_hp</f>
        <v>1</v>
      </c>
      <c r="I30" s="390">
        <f>IF(H30,Wh_hp,'2018'!Maxi_hp)</f>
        <v>32.204114318448951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5.1993044811706746E-3</v>
      </c>
      <c r="M30" s="957"/>
      <c r="N30" s="957"/>
      <c r="O30" s="48">
        <f>IF(t&lt;Tnet,'2018'!Resal+('2018'!Salim-'2018'!Resal)*(1-EXP(('2018'!Tnet-t)/('2018'!Tau_j))),Resal+(Salim-Resal)*(1-EXP((Tnet-t)/(Tau_j))))*Salcycl</f>
        <v>2.7353230165635272E-2</v>
      </c>
      <c r="P30" s="169">
        <f>(INDEX(Models!$BJ30:$BT30,,T30)*(1-R30)+INDEX(Models!$BJ30:$BT30,,T30+1)*R30-ERP_i)*Q30*Ramure*Pc/MaxiM</f>
        <v>2.0438682123562009E-4</v>
      </c>
      <c r="Q30" s="305">
        <f t="shared" si="4"/>
        <v>0.7</v>
      </c>
      <c r="R30" s="177">
        <f t="shared" si="5"/>
        <v>0.50063184434820496</v>
      </c>
      <c r="S30" s="919">
        <f t="shared" si="6"/>
        <v>-2</v>
      </c>
      <c r="T30" s="176">
        <f t="shared" si="7"/>
        <v>4</v>
      </c>
      <c r="U30" s="251">
        <f t="shared" si="21"/>
        <v>-1.499368155651795</v>
      </c>
      <c r="V30" s="383">
        <f t="shared" si="8"/>
        <v>30.995232523935432</v>
      </c>
      <c r="W30" s="58"/>
      <c r="X30" s="157">
        <f t="shared" si="9"/>
        <v>43481</v>
      </c>
      <c r="Y30" s="385">
        <f t="shared" si="10"/>
        <v>31.154</v>
      </c>
      <c r="Z30" s="385">
        <f t="shared" si="11"/>
        <v>31.316825712261803</v>
      </c>
      <c r="AA30" s="386">
        <f t="shared" si="12"/>
        <v>32.197532221892693</v>
      </c>
      <c r="AB30" s="197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2.7353230165635272E-2</v>
      </c>
      <c r="AD30" s="231">
        <f>(INDEX(Models!$BJ30:$BT30,,AH30)*(1-AF30)+INDEX(Models!$BJ30:$BT30,,AH30+1)*AF30-ERP_i)*AE30*Ramure*Pc/MaxiM</f>
        <v>2.0438682123562009E-4</v>
      </c>
      <c r="AE30" s="305">
        <f t="shared" si="14"/>
        <v>0.7</v>
      </c>
      <c r="AF30" s="177">
        <f t="shared" si="15"/>
        <v>0.50063184434820496</v>
      </c>
      <c r="AG30" s="176">
        <f t="shared" si="16"/>
        <v>-2</v>
      </c>
      <c r="AH30" s="176">
        <f t="shared" si="17"/>
        <v>4</v>
      </c>
      <c r="AI30" s="225">
        <f t="shared" si="22"/>
        <v>-1.499368155651795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8">
        <v>8.8719999999999999</v>
      </c>
      <c r="C31" s="390"/>
      <c r="D31" s="393">
        <f t="shared" si="0"/>
        <v>8.9185646570123929</v>
      </c>
      <c r="E31" s="385">
        <f t="shared" si="1"/>
        <v>9.1703414610267338</v>
      </c>
      <c r="F31" s="385">
        <f t="shared" si="2"/>
        <v>9.1703414610267338</v>
      </c>
      <c r="G31" s="110">
        <f t="shared" si="23"/>
        <v>0.28392458948609361</v>
      </c>
      <c r="H31" s="412" t="b">
        <f>Wh_hp&gt;='2018'!Maxi_hp</f>
        <v>1</v>
      </c>
      <c r="I31" s="390">
        <f>IF(H31,Wh_hp,'2018'!Maxi_hp)</f>
        <v>9.1703414610267338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5.2210931694912643E-3</v>
      </c>
      <c r="M31" s="957"/>
      <c r="N31" s="957"/>
      <c r="O31" s="48">
        <f>IF(t&lt;Tnet,'2018'!Resal+('2018'!Salim-'2018'!Resal)*(1-EXP(('2018'!Tnet-t)/('2018'!Tau_j))),Resal+(Salim-Resal)*(1-EXP((Tnet-t)/(Tau_j))))*Salcycl</f>
        <v>2.7455553872707334E-2</v>
      </c>
      <c r="P31" s="169">
        <f>(INDEX(Models!$BJ31:$BT31,,T31)*(1-R31)+INDEX(Models!$BJ31:$BT31,,T31+1)*R31-ERP_i)*Q31*Ramure*Pc/MaxiM</f>
        <v>2.0274159716736204E-4</v>
      </c>
      <c r="Q31" s="305">
        <f t="shared" si="4"/>
        <v>0.7</v>
      </c>
      <c r="R31" s="177">
        <f t="shared" si="5"/>
        <v>0.50068582823755903</v>
      </c>
      <c r="S31" s="919">
        <f t="shared" si="6"/>
        <v>-2</v>
      </c>
      <c r="T31" s="176">
        <f t="shared" si="7"/>
        <v>4</v>
      </c>
      <c r="U31" s="251">
        <f t="shared" si="21"/>
        <v>-1.499314171762441</v>
      </c>
      <c r="V31" s="383">
        <f t="shared" si="8"/>
        <v>31.241398614347158</v>
      </c>
      <c r="W31" s="58"/>
      <c r="X31" s="157">
        <f t="shared" si="9"/>
        <v>43482</v>
      </c>
      <c r="Y31" s="385">
        <f t="shared" si="10"/>
        <v>8.8719999999999999</v>
      </c>
      <c r="Z31" s="385">
        <f t="shared" si="11"/>
        <v>8.9185646570123929</v>
      </c>
      <c r="AA31" s="386">
        <f t="shared" si="12"/>
        <v>9.1703414610267338</v>
      </c>
      <c r="AB31" s="197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2.7455553872707334E-2</v>
      </c>
      <c r="AD31" s="231">
        <f>(INDEX(Models!$BJ31:$BT31,,AH31)*(1-AF31)+INDEX(Models!$BJ31:$BT31,,AH31+1)*AF31-ERP_i)*AE31*Ramure*Pc/MaxiM</f>
        <v>2.0274159716736204E-4</v>
      </c>
      <c r="AE31" s="305">
        <f t="shared" si="14"/>
        <v>0.7</v>
      </c>
      <c r="AF31" s="177">
        <f t="shared" si="15"/>
        <v>0.50068582823755903</v>
      </c>
      <c r="AG31" s="176">
        <f t="shared" si="16"/>
        <v>-2</v>
      </c>
      <c r="AH31" s="176">
        <f t="shared" si="17"/>
        <v>4</v>
      </c>
      <c r="AI31" s="225">
        <f t="shared" si="22"/>
        <v>-1.499314171762441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8">
        <v>15.895</v>
      </c>
      <c r="C32" s="390"/>
      <c r="D32" s="393">
        <f t="shared" si="0"/>
        <v>15.978774820993525</v>
      </c>
      <c r="E32" s="385">
        <f t="shared" si="1"/>
        <v>16.431593615471275</v>
      </c>
      <c r="F32" s="385">
        <f t="shared" si="2"/>
        <v>16.432558523170069</v>
      </c>
      <c r="G32" s="110">
        <f t="shared" si="23"/>
        <v>0.50463995197490386</v>
      </c>
      <c r="H32" s="412" t="b">
        <f>Wh_hp&gt;='2018'!Maxi_hp</f>
        <v>1</v>
      </c>
      <c r="I32" s="390">
        <f>IF(H32,Wh_hp,'2018'!Maxi_hp)</f>
        <v>16.432558523170069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5.2428813805835972E-3</v>
      </c>
      <c r="M32" s="957"/>
      <c r="N32" s="957"/>
      <c r="O32" s="48">
        <f>IF(t&lt;Tnet,'2018'!Resal+('2018'!Salim-'2018'!Resal)*(1-EXP(('2018'!Tnet-t)/('2018'!Tau_j))),Resal+(Salim-Resal)*(1-EXP((Tnet-t)/(Tau_j))))*Salcycl</f>
        <v>2.7557813628703316E-2</v>
      </c>
      <c r="P32" s="169">
        <f>(INDEX(Models!$BJ32:$BT32,,T32)*(1-R32)+INDEX(Models!$BJ32:$BT32,,T32+1)*R32-ERP_i)*Q32*Ramure*Pc/MaxiM</f>
        <v>2.0078720991161436E-4</v>
      </c>
      <c r="Q32" s="305">
        <f t="shared" si="4"/>
        <v>0.7</v>
      </c>
      <c r="R32" s="177">
        <f t="shared" si="5"/>
        <v>0.50074206444970071</v>
      </c>
      <c r="S32" s="919">
        <f t="shared" si="6"/>
        <v>-2</v>
      </c>
      <c r="T32" s="176">
        <f t="shared" si="7"/>
        <v>4</v>
      </c>
      <c r="U32" s="251">
        <f t="shared" si="21"/>
        <v>-1.4992579355502993</v>
      </c>
      <c r="V32" s="383">
        <f t="shared" si="8"/>
        <v>31.49322925217448</v>
      </c>
      <c r="W32" s="58"/>
      <c r="X32" s="157">
        <f t="shared" si="9"/>
        <v>43483</v>
      </c>
      <c r="Y32" s="385">
        <f t="shared" si="10"/>
        <v>15.895</v>
      </c>
      <c r="Z32" s="385">
        <f t="shared" si="11"/>
        <v>15.978774820993525</v>
      </c>
      <c r="AA32" s="386">
        <f t="shared" si="12"/>
        <v>16.431593615471275</v>
      </c>
      <c r="AB32" s="197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2.7557813628703316E-2</v>
      </c>
      <c r="AD32" s="231">
        <f>(INDEX(Models!$BJ32:$BT32,,AH32)*(1-AF32)+INDEX(Models!$BJ32:$BT32,,AH32+1)*AF32-ERP_i)*AE32*Ramure*Pc/MaxiM</f>
        <v>2.0078720991161436E-4</v>
      </c>
      <c r="AE32" s="305">
        <f t="shared" si="14"/>
        <v>0.7</v>
      </c>
      <c r="AF32" s="177">
        <f t="shared" si="15"/>
        <v>0.50074206444970071</v>
      </c>
      <c r="AG32" s="176">
        <f t="shared" si="16"/>
        <v>-2</v>
      </c>
      <c r="AH32" s="176">
        <f t="shared" si="17"/>
        <v>4</v>
      </c>
      <c r="AI32" s="225">
        <f t="shared" si="22"/>
        <v>-1.4992579355502993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8">
        <v>17.067</v>
      </c>
      <c r="C33" s="390"/>
      <c r="D33" s="393">
        <f t="shared" si="0"/>
        <v>17.157327652981291</v>
      </c>
      <c r="E33" s="385">
        <f t="shared" si="1"/>
        <v>17.645399602790125</v>
      </c>
      <c r="F33" s="385">
        <f t="shared" si="2"/>
        <v>17.646588371615735</v>
      </c>
      <c r="G33" s="110">
        <f t="shared" si="23"/>
        <v>0.53745461933360528</v>
      </c>
      <c r="H33" s="412" t="b">
        <f>Wh_hp&gt;='2018'!Maxi_hp</f>
        <v>1</v>
      </c>
      <c r="I33" s="390">
        <f>IF(H33,Wh_hp,'2018'!Maxi_hp)</f>
        <v>17.646588371615735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5.2646691144582203E-3</v>
      </c>
      <c r="M33" s="957"/>
      <c r="N33" s="957"/>
      <c r="O33" s="48">
        <f>IF(t&lt;Tnet,'2018'!Resal+('2018'!Salim-'2018'!Resal)*(1-EXP(('2018'!Tnet-t)/('2018'!Tau_j))),Resal+(Salim-Resal)*(1-EXP((Tnet-t)/(Tau_j))))*Salcycl</f>
        <v>2.7660011152802647E-2</v>
      </c>
      <c r="P33" s="169">
        <f>(INDEX(Models!$BJ33:$BT33,,T33)*(1-R33)+INDEX(Models!$BJ33:$BT33,,T33+1)*R33-ERP_i)*Q33*Ramure*Pc/MaxiM</f>
        <v>1.9852953767150134E-4</v>
      </c>
      <c r="Q33" s="305">
        <f t="shared" si="4"/>
        <v>0.7</v>
      </c>
      <c r="R33" s="177">
        <f t="shared" si="5"/>
        <v>0.50080064641556166</v>
      </c>
      <c r="S33" s="919">
        <f t="shared" si="6"/>
        <v>-2</v>
      </c>
      <c r="T33" s="176">
        <f t="shared" si="7"/>
        <v>4</v>
      </c>
      <c r="U33" s="251">
        <f t="shared" si="21"/>
        <v>-1.4991993535844383</v>
      </c>
      <c r="V33" s="383">
        <f t="shared" si="8"/>
        <v>31.751073776928774</v>
      </c>
      <c r="W33" s="58"/>
      <c r="X33" s="157">
        <f t="shared" si="9"/>
        <v>43484</v>
      </c>
      <c r="Y33" s="385">
        <f t="shared" si="10"/>
        <v>17.067</v>
      </c>
      <c r="Z33" s="385">
        <f t="shared" si="11"/>
        <v>17.157327652981291</v>
      </c>
      <c r="AA33" s="386">
        <f t="shared" si="12"/>
        <v>17.645399602790125</v>
      </c>
      <c r="AB33" s="197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2.7660011152802647E-2</v>
      </c>
      <c r="AD33" s="231">
        <f>(INDEX(Models!$BJ33:$BT33,,AH33)*(1-AF33)+INDEX(Models!$BJ33:$BT33,,AH33+1)*AF33-ERP_i)*AE33*Ramure*Pc/MaxiM</f>
        <v>1.9852953767150134E-4</v>
      </c>
      <c r="AE33" s="305">
        <f t="shared" si="14"/>
        <v>0.7</v>
      </c>
      <c r="AF33" s="177">
        <f t="shared" si="15"/>
        <v>0.50080064641556166</v>
      </c>
      <c r="AG33" s="176">
        <f t="shared" si="16"/>
        <v>-2</v>
      </c>
      <c r="AH33" s="176">
        <f t="shared" si="17"/>
        <v>4</v>
      </c>
      <c r="AI33" s="225">
        <f t="shared" si="22"/>
        <v>-1.4991993535844383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8">
        <v>5.9180000000000001</v>
      </c>
      <c r="C34" s="390"/>
      <c r="D34" s="393">
        <f t="shared" si="0"/>
        <v>5.9494515158707779</v>
      </c>
      <c r="E34" s="385">
        <f t="shared" si="1"/>
        <v>6.1193374698857044</v>
      </c>
      <c r="F34" s="385">
        <f t="shared" si="2"/>
        <v>6.1193374698857044</v>
      </c>
      <c r="G34" s="110">
        <f t="shared" si="23"/>
        <v>0.18481300094804679</v>
      </c>
      <c r="H34" s="412" t="b">
        <f>Wh_hp&gt;='2018'!Maxi_hp</f>
        <v>1</v>
      </c>
      <c r="I34" s="390">
        <f>IF(H34,Wh_hp,'2018'!Maxi_hp)</f>
        <v>6.1193374698857044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5.2864563711255697E-3</v>
      </c>
      <c r="M34" s="957"/>
      <c r="N34" s="957"/>
      <c r="O34" s="48">
        <f>IF(t&lt;Tnet,'2018'!Resal+('2018'!Salim-'2018'!Resal)*(1-EXP(('2018'!Tnet-t)/('2018'!Tau_j))),Resal+(Salim-Resal)*(1-EXP((Tnet-t)/(Tau_j))))*Salcycl</f>
        <v>2.7762148247414596E-2</v>
      </c>
      <c r="P34" s="169">
        <f>(INDEX(Models!$BJ34:$BT34,,T34)*(1-R34)+INDEX(Models!$BJ34:$BT34,,T34+1)*R34-ERP_i)*Q34*Ramure*Pc/MaxiM</f>
        <v>1.9597583227219721E-4</v>
      </c>
      <c r="Q34" s="305">
        <f t="shared" si="4"/>
        <v>0.7</v>
      </c>
      <c r="R34" s="177">
        <f t="shared" si="5"/>
        <v>0.50086167139560445</v>
      </c>
      <c r="S34" s="919">
        <f t="shared" si="6"/>
        <v>-2</v>
      </c>
      <c r="T34" s="176">
        <f t="shared" si="7"/>
        <v>4</v>
      </c>
      <c r="U34" s="251">
        <f t="shared" si="21"/>
        <v>-1.4991383286043956</v>
      </c>
      <c r="V34" s="383">
        <f t="shared" si="8"/>
        <v>32.015281309608255</v>
      </c>
      <c r="W34" s="58"/>
      <c r="X34" s="157">
        <f t="shared" si="9"/>
        <v>43485</v>
      </c>
      <c r="Y34" s="385">
        <f t="shared" si="10"/>
        <v>5.9180000000000001</v>
      </c>
      <c r="Z34" s="385">
        <f t="shared" si="11"/>
        <v>5.9494515158707779</v>
      </c>
      <c r="AA34" s="386">
        <f t="shared" si="12"/>
        <v>6.1193374698857044</v>
      </c>
      <c r="AB34" s="197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2.7762148247414596E-2</v>
      </c>
      <c r="AD34" s="231">
        <f>(INDEX(Models!$BJ34:$BT34,,AH34)*(1-AF34)+INDEX(Models!$BJ34:$BT34,,AH34+1)*AF34-ERP_i)*AE34*Ramure*Pc/MaxiM</f>
        <v>1.9597583227219721E-4</v>
      </c>
      <c r="AE34" s="305">
        <f t="shared" si="14"/>
        <v>0.7</v>
      </c>
      <c r="AF34" s="177">
        <f t="shared" si="15"/>
        <v>0.50086167139560445</v>
      </c>
      <c r="AG34" s="176">
        <f t="shared" si="16"/>
        <v>-2</v>
      </c>
      <c r="AH34" s="176">
        <f t="shared" si="17"/>
        <v>4</v>
      </c>
      <c r="AI34" s="225">
        <f t="shared" si="22"/>
        <v>-1.4991383286043956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8">
        <v>8.9939999999999998</v>
      </c>
      <c r="C35" s="390"/>
      <c r="D35" s="393">
        <f t="shared" si="0"/>
        <v>9.0419971192761075</v>
      </c>
      <c r="E35" s="385">
        <f t="shared" si="1"/>
        <v>9.3011669439992293</v>
      </c>
      <c r="F35" s="385">
        <f t="shared" si="2"/>
        <v>9.3011669439992293</v>
      </c>
      <c r="G35" s="110">
        <f t="shared" si="23"/>
        <v>0.27851722209758545</v>
      </c>
      <c r="H35" s="412" t="b">
        <f>Wh_hp&gt;='2018'!Maxi_hp</f>
        <v>1</v>
      </c>
      <c r="I35" s="390">
        <f>IF(H35,Wh_hp,'2018'!Maxi_hp)</f>
        <v>9.3011669439992293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5.3082431505960814E-3</v>
      </c>
      <c r="M35" s="957"/>
      <c r="N35" s="957"/>
      <c r="O35" s="48">
        <f>IF(t&lt;Tnet,'2018'!Resal+('2018'!Salim-'2018'!Resal)*(1-EXP(('2018'!Tnet-t)/('2018'!Tau_j))),Resal+(Salim-Resal)*(1-EXP((Tnet-t)/(Tau_j))))*Salcycl</f>
        <v>2.7864226745261074E-2</v>
      </c>
      <c r="P35" s="169">
        <f>(INDEX(Models!$BJ35:$BT35,,T35)*(1-R35)+INDEX(Models!$BJ35:$BT35,,T35+1)*R35-ERP_i)*Q35*Ramure*Pc/MaxiM</f>
        <v>1.9313405826658253E-4</v>
      </c>
      <c r="Q35" s="305">
        <f t="shared" si="4"/>
        <v>0.7</v>
      </c>
      <c r="R35" s="177">
        <f t="shared" si="5"/>
        <v>0.50092524063284061</v>
      </c>
      <c r="S35" s="919">
        <f t="shared" si="6"/>
        <v>-2</v>
      </c>
      <c r="T35" s="176">
        <f t="shared" si="7"/>
        <v>4</v>
      </c>
      <c r="U35" s="251">
        <f t="shared" si="21"/>
        <v>-1.4990747593671594</v>
      </c>
      <c r="V35" s="383">
        <f t="shared" si="8"/>
        <v>32.286200776228071</v>
      </c>
      <c r="W35" s="58"/>
      <c r="X35" s="157">
        <f t="shared" si="9"/>
        <v>43486</v>
      </c>
      <c r="Y35" s="385">
        <f t="shared" si="10"/>
        <v>8.9939999999999998</v>
      </c>
      <c r="Z35" s="385">
        <f t="shared" si="11"/>
        <v>9.0419971192761075</v>
      </c>
      <c r="AA35" s="386">
        <f t="shared" si="12"/>
        <v>9.3011669439992293</v>
      </c>
      <c r="AB35" s="197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2.7864226745261074E-2</v>
      </c>
      <c r="AD35" s="231">
        <f>(INDEX(Models!$BJ35:$BT35,,AH35)*(1-AF35)+INDEX(Models!$BJ35:$BT35,,AH35+1)*AF35-ERP_i)*AE35*Ramure*Pc/MaxiM</f>
        <v>1.9313405826658253E-4</v>
      </c>
      <c r="AE35" s="305">
        <f t="shared" si="14"/>
        <v>0.7</v>
      </c>
      <c r="AF35" s="177">
        <f t="shared" si="15"/>
        <v>0.50092524063284061</v>
      </c>
      <c r="AG35" s="176">
        <f t="shared" si="16"/>
        <v>-2</v>
      </c>
      <c r="AH35" s="176">
        <f t="shared" si="17"/>
        <v>4</v>
      </c>
      <c r="AI35" s="225">
        <f t="shared" si="22"/>
        <v>-1.4990747593671594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8">
        <v>11.553000000000001</v>
      </c>
      <c r="C36" s="390"/>
      <c r="D36" s="393">
        <f t="shared" si="0"/>
        <v>11.614907800670059</v>
      </c>
      <c r="E36" s="385">
        <f t="shared" si="1"/>
        <v>11.949078704570724</v>
      </c>
      <c r="F36" s="385">
        <f t="shared" si="2"/>
        <v>11.949256375188444</v>
      </c>
      <c r="G36" s="110">
        <f t="shared" si="23"/>
        <v>0.35471417387370752</v>
      </c>
      <c r="H36" s="412" t="b">
        <f>Wh_hp&gt;='2018'!Maxi_hp</f>
        <v>1</v>
      </c>
      <c r="I36" s="390">
        <f>IF(H36,Wh_hp,'2018'!Maxi_hp)</f>
        <v>11.949256375188444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5.3300294528800807E-3</v>
      </c>
      <c r="M36" s="957"/>
      <c r="N36" s="957"/>
      <c r="O36" s="48">
        <f>IF(t&lt;Tnet,'2018'!Resal+('2018'!Salim-'2018'!Resal)*(1-EXP(('2018'!Tnet-t)/('2018'!Tau_j))),Resal+(Salim-Resal)*(1-EXP((Tnet-t)/(Tau_j))))*Salcycl</f>
        <v>2.7966248458371767E-2</v>
      </c>
      <c r="P36" s="169">
        <f>(INDEX(Models!$BJ36:$BT36,,T36)*(1-R36)+INDEX(Models!$BJ36:$BT36,,T36+1)*R36-ERP_i)*Q36*Ramure*Pc/MaxiM</f>
        <v>1.9001154535313835E-4</v>
      </c>
      <c r="Q36" s="305">
        <f t="shared" si="4"/>
        <v>0.7</v>
      </c>
      <c r="R36" s="177">
        <f t="shared" si="5"/>
        <v>0.50099145951162272</v>
      </c>
      <c r="S36" s="919">
        <f t="shared" si="6"/>
        <v>-2</v>
      </c>
      <c r="T36" s="176">
        <f t="shared" si="7"/>
        <v>4</v>
      </c>
      <c r="U36" s="251">
        <f t="shared" si="21"/>
        <v>-1.4990085404883773</v>
      </c>
      <c r="V36" s="383">
        <f t="shared" si="8"/>
        <v>32.564180954945186</v>
      </c>
      <c r="W36" s="58"/>
      <c r="X36" s="157">
        <f t="shared" si="9"/>
        <v>43487</v>
      </c>
      <c r="Y36" s="385">
        <f t="shared" si="10"/>
        <v>11.553000000000001</v>
      </c>
      <c r="Z36" s="385">
        <f t="shared" si="11"/>
        <v>11.614907800670059</v>
      </c>
      <c r="AA36" s="386">
        <f t="shared" si="12"/>
        <v>11.949078704570724</v>
      </c>
      <c r="AB36" s="197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2.7966248458371767E-2</v>
      </c>
      <c r="AD36" s="231">
        <f>(INDEX(Models!$BJ36:$BT36,,AH36)*(1-AF36)+INDEX(Models!$BJ36:$BT36,,AH36+1)*AF36-ERP_i)*AE36*Ramure*Pc/MaxiM</f>
        <v>1.9001154535313835E-4</v>
      </c>
      <c r="AE36" s="305">
        <f t="shared" si="14"/>
        <v>0.7</v>
      </c>
      <c r="AF36" s="177">
        <f t="shared" si="15"/>
        <v>0.50099145951162272</v>
      </c>
      <c r="AG36" s="176">
        <f t="shared" si="16"/>
        <v>-2</v>
      </c>
      <c r="AH36" s="176">
        <f t="shared" si="17"/>
        <v>4</v>
      </c>
      <c r="AI36" s="225">
        <f t="shared" si="22"/>
        <v>-1.4990085404883773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8">
        <v>9.2870000000000008</v>
      </c>
      <c r="C37" s="390"/>
      <c r="D37" s="393">
        <f t="shared" si="0"/>
        <v>9.3369697372901452</v>
      </c>
      <c r="E37" s="385">
        <f t="shared" si="1"/>
        <v>9.6066101372892323</v>
      </c>
      <c r="F37" s="385">
        <f t="shared" si="2"/>
        <v>9.6066101372892323</v>
      </c>
      <c r="G37" s="110">
        <f t="shared" si="23"/>
        <v>0.28264643366012582</v>
      </c>
      <c r="H37" s="412" t="b">
        <f>Wh_hp&gt;='2018'!Maxi_hp</f>
        <v>1</v>
      </c>
      <c r="I37" s="390">
        <f>IF(H37,Wh_hp,'2018'!Maxi_hp)</f>
        <v>9.6066101372892323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5.3518152779883366E-3</v>
      </c>
      <c r="M37" s="957"/>
      <c r="N37" s="957"/>
      <c r="O37" s="48">
        <f>IF(t&lt;Tnet,'2018'!Resal+('2018'!Salim-'2018'!Resal)*(1-EXP(('2018'!Tnet-t)/('2018'!Tau_j))),Resal+(Salim-Resal)*(1-EXP((Tnet-t)/(Tau_j))))*Salcycl</f>
        <v>2.8068215129543436E-2</v>
      </c>
      <c r="P37" s="169">
        <f>(INDEX(Models!$BJ37:$BT37,,T37)*(1-R37)+INDEX(Models!$BJ37:$BT37,,T37+1)*R37-ERP_i)*Q37*Ramure*Pc/MaxiM</f>
        <v>1.8660674682379323E-4</v>
      </c>
      <c r="Q37" s="305">
        <f t="shared" si="4"/>
        <v>0.7</v>
      </c>
      <c r="R37" s="177">
        <f t="shared" si="5"/>
        <v>0.50106043772239994</v>
      </c>
      <c r="S37" s="919">
        <f t="shared" si="6"/>
        <v>-2</v>
      </c>
      <c r="T37" s="176">
        <f t="shared" si="7"/>
        <v>4</v>
      </c>
      <c r="U37" s="251">
        <f t="shared" si="21"/>
        <v>-1.4989395622776001</v>
      </c>
      <c r="V37" s="383">
        <f t="shared" si="8"/>
        <v>32.851173329529843</v>
      </c>
      <c r="W37" s="58"/>
      <c r="X37" s="157">
        <f t="shared" si="9"/>
        <v>43488</v>
      </c>
      <c r="Y37" s="385">
        <f t="shared" si="10"/>
        <v>9.2870000000000008</v>
      </c>
      <c r="Z37" s="385">
        <f t="shared" si="11"/>
        <v>9.3369697372901452</v>
      </c>
      <c r="AA37" s="386">
        <f t="shared" si="12"/>
        <v>9.6066101372892323</v>
      </c>
      <c r="AB37" s="197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2.8068215129543436E-2</v>
      </c>
      <c r="AD37" s="231">
        <f>(INDEX(Models!$BJ37:$BT37,,AH37)*(1-AF37)+INDEX(Models!$BJ37:$BT37,,AH37+1)*AF37-ERP_i)*AE37*Ramure*Pc/MaxiM</f>
        <v>1.8660674682379323E-4</v>
      </c>
      <c r="AE37" s="305">
        <f t="shared" si="14"/>
        <v>0.7</v>
      </c>
      <c r="AF37" s="177">
        <f t="shared" si="15"/>
        <v>0.50106043772239994</v>
      </c>
      <c r="AG37" s="176">
        <f t="shared" si="16"/>
        <v>-2</v>
      </c>
      <c r="AH37" s="176">
        <f t="shared" si="17"/>
        <v>4</v>
      </c>
      <c r="AI37" s="225">
        <f t="shared" si="22"/>
        <v>-1.4989395622776001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8">
        <v>11.295999999999999</v>
      </c>
      <c r="C38" s="390"/>
      <c r="D38" s="393">
        <f t="shared" si="0"/>
        <v>11.357028133486819</v>
      </c>
      <c r="E38" s="385">
        <f t="shared" si="1"/>
        <v>11.686230754189891</v>
      </c>
      <c r="F38" s="385">
        <f t="shared" si="2"/>
        <v>11.686355387559336</v>
      </c>
      <c r="G38" s="110">
        <f t="shared" si="23"/>
        <v>0.3407146598188483</v>
      </c>
      <c r="H38" s="412" t="b">
        <f>Wh_hp&gt;='2018'!Maxi_hp</f>
        <v>1</v>
      </c>
      <c r="I38" s="390">
        <f>IF(H38,Wh_hp,'2018'!Maxi_hp)</f>
        <v>11.686355387559336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5.3736006259309521E-3</v>
      </c>
      <c r="M38" s="957"/>
      <c r="N38" s="957"/>
      <c r="O38" s="48">
        <f>IF(t&lt;Tnet,'2018'!Resal+('2018'!Salim-'2018'!Resal)*(1-EXP(('2018'!Tnet-t)/('2018'!Tau_j))),Resal+(Salim-Resal)*(1-EXP((Tnet-t)/(Tau_j))))*Salcycl</f>
        <v>2.8170128386780461E-2</v>
      </c>
      <c r="P38" s="169">
        <f>(INDEX(Models!$BJ38:$BT38,,T38)*(1-R38)+INDEX(Models!$BJ38:$BT38,,T38+1)*R38-ERP_i)*Q38*Ramure*Pc/MaxiM</f>
        <v>1.8309485729000368E-4</v>
      </c>
      <c r="Q38" s="305">
        <f t="shared" si="4"/>
        <v>0.7</v>
      </c>
      <c r="R38" s="177">
        <f t="shared" si="5"/>
        <v>0.50113228943262933</v>
      </c>
      <c r="S38" s="919">
        <f t="shared" si="6"/>
        <v>-2</v>
      </c>
      <c r="T38" s="176">
        <f t="shared" si="7"/>
        <v>4</v>
      </c>
      <c r="U38" s="251">
        <f t="shared" si="21"/>
        <v>-1.4988677105673707</v>
      </c>
      <c r="V38" s="383">
        <f t="shared" si="8"/>
        <v>33.148125225979477</v>
      </c>
      <c r="W38" s="58"/>
      <c r="X38" s="157">
        <f t="shared" si="9"/>
        <v>43489</v>
      </c>
      <c r="Y38" s="385">
        <f t="shared" si="10"/>
        <v>11.295999999999999</v>
      </c>
      <c r="Z38" s="385">
        <f t="shared" si="11"/>
        <v>11.357028133486819</v>
      </c>
      <c r="AA38" s="386">
        <f t="shared" si="12"/>
        <v>11.686230754189891</v>
      </c>
      <c r="AB38" s="197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2.8170128386780461E-2</v>
      </c>
      <c r="AD38" s="231">
        <f>(INDEX(Models!$BJ38:$BT38,,AH38)*(1-AF38)+INDEX(Models!$BJ38:$BT38,,AH38+1)*AF38-ERP_i)*AE38*Ramure*Pc/MaxiM</f>
        <v>1.8309485729000368E-4</v>
      </c>
      <c r="AE38" s="305">
        <f t="shared" si="14"/>
        <v>0.7</v>
      </c>
      <c r="AF38" s="177">
        <f t="shared" si="15"/>
        <v>0.50113228943262933</v>
      </c>
      <c r="AG38" s="176">
        <f t="shared" si="16"/>
        <v>-2</v>
      </c>
      <c r="AH38" s="176">
        <f t="shared" si="17"/>
        <v>4</v>
      </c>
      <c r="AI38" s="225">
        <f t="shared" si="22"/>
        <v>-1.4988677105673707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8">
        <v>3.5419999999999998</v>
      </c>
      <c r="C39" s="390"/>
      <c r="D39" s="393">
        <f t="shared" si="0"/>
        <v>3.5612141230301058</v>
      </c>
      <c r="E39" s="385">
        <f t="shared" si="1"/>
        <v>3.6648260472959229</v>
      </c>
      <c r="F39" s="385">
        <f t="shared" si="2"/>
        <v>3.6648260472959229</v>
      </c>
      <c r="G39" s="110">
        <f t="shared" si="23"/>
        <v>0.10585807720958634</v>
      </c>
      <c r="H39" s="412" t="b">
        <f>Wh_hp&gt;='2018'!Maxi_hp</f>
        <v>1</v>
      </c>
      <c r="I39" s="390">
        <f>IF(H39,Wh_hp,'2018'!Maxi_hp)</f>
        <v>3.6648260472959229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5.3953854967185855E-3</v>
      </c>
      <c r="M39" s="957"/>
      <c r="N39" s="957"/>
      <c r="O39" s="48">
        <f>IF(t&lt;Tnet,'2018'!Resal+('2018'!Salim-'2018'!Resal)*(1-EXP(('2018'!Tnet-t)/('2018'!Tau_j))),Resal+(Salim-Resal)*(1-EXP((Tnet-t)/(Tau_j))))*Salcycl</f>
        <v>2.8271989701193857E-2</v>
      </c>
      <c r="P39" s="169">
        <f>(INDEX(Models!$BJ39:$BT39,,T39)*(1-R39)+INDEX(Models!$BJ39:$BT39,,T39+1)*R39-ERP_i)*Q39*Ramure*Pc/MaxiM</f>
        <v>1.7972949437595573E-4</v>
      </c>
      <c r="Q39" s="305">
        <f t="shared" si="4"/>
        <v>0.7</v>
      </c>
      <c r="R39" s="177">
        <f t="shared" si="5"/>
        <v>0.50120713346403756</v>
      </c>
      <c r="S39" s="919">
        <f t="shared" si="6"/>
        <v>-2</v>
      </c>
      <c r="T39" s="176">
        <f t="shared" si="7"/>
        <v>4</v>
      </c>
      <c r="U39" s="251">
        <f t="shared" si="21"/>
        <v>-1.4987928665359624</v>
      </c>
      <c r="V39" s="383">
        <f t="shared" si="8"/>
        <v>33.453879868981971</v>
      </c>
      <c r="W39" s="58"/>
      <c r="X39" s="157">
        <f t="shared" si="9"/>
        <v>43490</v>
      </c>
      <c r="Y39" s="385">
        <f t="shared" si="10"/>
        <v>3.5419999999999998</v>
      </c>
      <c r="Z39" s="385">
        <f t="shared" si="11"/>
        <v>3.5612141230301058</v>
      </c>
      <c r="AA39" s="386">
        <f t="shared" si="12"/>
        <v>3.6648260472959229</v>
      </c>
      <c r="AB39" s="197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2.8271989701193857E-2</v>
      </c>
      <c r="AD39" s="231">
        <f>(INDEX(Models!$BJ39:$BT39,,AH39)*(1-AF39)+INDEX(Models!$BJ39:$BT39,,AH39+1)*AF39-ERP_i)*AE39*Ramure*Pc/MaxiM</f>
        <v>1.7972949437595573E-4</v>
      </c>
      <c r="AE39" s="305">
        <f t="shared" si="14"/>
        <v>0.7</v>
      </c>
      <c r="AF39" s="177">
        <f t="shared" si="15"/>
        <v>0.50120713346403756</v>
      </c>
      <c r="AG39" s="176">
        <f t="shared" si="16"/>
        <v>-2</v>
      </c>
      <c r="AH39" s="176">
        <f t="shared" si="17"/>
        <v>4</v>
      </c>
      <c r="AI39" s="225">
        <f t="shared" si="22"/>
        <v>-1.4987928665359624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8">
        <v>16.916</v>
      </c>
      <c r="C40" s="390"/>
      <c r="D40" s="393">
        <f t="shared" si="0"/>
        <v>17.008135962024657</v>
      </c>
      <c r="E40" s="385">
        <f t="shared" si="1"/>
        <v>17.504814061343968</v>
      </c>
      <c r="F40" s="385">
        <f t="shared" si="2"/>
        <v>17.50570115666876</v>
      </c>
      <c r="G40" s="110">
        <f t="shared" si="23"/>
        <v>0.50089514423469028</v>
      </c>
      <c r="H40" s="412" t="b">
        <f>Wh_hp&gt;='2018'!Maxi_hp</f>
        <v>1</v>
      </c>
      <c r="I40" s="390">
        <f>IF(H40,Wh_hp,'2018'!Maxi_hp)</f>
        <v>17.50570115666876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5.4171698903616727E-3</v>
      </c>
      <c r="M40" s="957"/>
      <c r="N40" s="957"/>
      <c r="O40" s="48">
        <f>IF(t&lt;Tnet,'2018'!Resal+('2018'!Salim-'2018'!Resal)*(1-EXP(('2018'!Tnet-t)/('2018'!Tau_j))),Resal+(Salim-Resal)*(1-EXP((Tnet-t)/(Tau_j))))*Salcycl</f>
        <v>2.8373800348792527E-2</v>
      </c>
      <c r="P40" s="169">
        <f>(INDEX(Models!$BJ40:$BT40,,T40)*(1-R40)+INDEX(Models!$BJ40:$BT40,,T40+1)*R40-ERP_i)*Q40*Ramure*Pc/MaxiM</f>
        <v>1.7651560801521394E-4</v>
      </c>
      <c r="Q40" s="305">
        <f t="shared" si="4"/>
        <v>0.7</v>
      </c>
      <c r="R40" s="177">
        <f t="shared" si="5"/>
        <v>0.50128509347643035</v>
      </c>
      <c r="S40" s="919">
        <f t="shared" si="6"/>
        <v>-2</v>
      </c>
      <c r="T40" s="176">
        <f t="shared" si="7"/>
        <v>4</v>
      </c>
      <c r="U40" s="251">
        <f t="shared" si="21"/>
        <v>-1.4987149065235696</v>
      </c>
      <c r="V40" s="383">
        <f t="shared" si="8"/>
        <v>33.767289144643016</v>
      </c>
      <c r="W40" s="58"/>
      <c r="X40" s="157">
        <f t="shared" si="9"/>
        <v>43491</v>
      </c>
      <c r="Y40" s="385">
        <f t="shared" si="10"/>
        <v>16.916</v>
      </c>
      <c r="Z40" s="385">
        <f t="shared" si="11"/>
        <v>17.008135962024657</v>
      </c>
      <c r="AA40" s="386">
        <f t="shared" si="12"/>
        <v>17.504814061343968</v>
      </c>
      <c r="AB40" s="197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2.8373800348792527E-2</v>
      </c>
      <c r="AD40" s="231">
        <f>(INDEX(Models!$BJ40:$BT40,,AH40)*(1-AF40)+INDEX(Models!$BJ40:$BT40,,AH40+1)*AF40-ERP_i)*AE40*Ramure*Pc/MaxiM</f>
        <v>1.7651560801521394E-4</v>
      </c>
      <c r="AE40" s="305">
        <f t="shared" si="14"/>
        <v>0.7</v>
      </c>
      <c r="AF40" s="177">
        <f t="shared" si="15"/>
        <v>0.50128509347643035</v>
      </c>
      <c r="AG40" s="176">
        <f t="shared" si="16"/>
        <v>-2</v>
      </c>
      <c r="AH40" s="176">
        <f t="shared" si="17"/>
        <v>4</v>
      </c>
      <c r="AI40" s="225">
        <f t="shared" si="22"/>
        <v>-1.4987149065235696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8">
        <v>14.497</v>
      </c>
      <c r="C41" s="390"/>
      <c r="D41" s="393">
        <f t="shared" si="0"/>
        <v>14.576279712029756</v>
      </c>
      <c r="E41" s="385">
        <f t="shared" si="1"/>
        <v>15.003513172229484</v>
      </c>
      <c r="F41" s="385">
        <f t="shared" si="2"/>
        <v>15.003978997139566</v>
      </c>
      <c r="G41" s="110">
        <f t="shared" si="23"/>
        <v>0.42523096824498219</v>
      </c>
      <c r="H41" s="412" t="b">
        <f>Wh_hp&gt;='2018'!Maxi_hp</f>
        <v>1</v>
      </c>
      <c r="I41" s="390">
        <f>IF(H41,Wh_hp,'2018'!Maxi_hp)</f>
        <v>15.003978997139566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5.43895380687065E-3</v>
      </c>
      <c r="M41" s="957"/>
      <c r="N41" s="957"/>
      <c r="O41" s="48">
        <f>IF(t&lt;Tnet,'2018'!Resal+('2018'!Salim-'2018'!Resal)*(1-EXP(('2018'!Tnet-t)/('2018'!Tau_j))),Resal+(Salim-Resal)*(1-EXP((Tnet-t)/(Tau_j))))*Salcycl</f>
        <v>2.847556137655206E-2</v>
      </c>
      <c r="P41" s="169">
        <f>(INDEX(Models!$BJ41:$BT41,,T41)*(1-R41)+INDEX(Models!$BJ41:$BT41,,T41+1)*R41-ERP_i)*Q41*Ramure*Pc/MaxiM</f>
        <v>1.7345729417764523E-4</v>
      </c>
      <c r="Q41" s="305">
        <f t="shared" si="4"/>
        <v>0.7</v>
      </c>
      <c r="R41" s="177">
        <f t="shared" si="5"/>
        <v>0.50136629815825207</v>
      </c>
      <c r="S41" s="919">
        <f t="shared" si="6"/>
        <v>-2</v>
      </c>
      <c r="T41" s="176">
        <f t="shared" si="7"/>
        <v>4</v>
      </c>
      <c r="U41" s="251">
        <f t="shared" si="21"/>
        <v>-1.4986337018417479</v>
      </c>
      <c r="V41" s="383">
        <f t="shared" si="8"/>
        <v>34.087205525474346</v>
      </c>
      <c r="W41" s="58"/>
      <c r="X41" s="157">
        <f t="shared" si="9"/>
        <v>43492</v>
      </c>
      <c r="Y41" s="385">
        <f t="shared" si="10"/>
        <v>14.497</v>
      </c>
      <c r="Z41" s="385">
        <f t="shared" si="11"/>
        <v>14.576279712029756</v>
      </c>
      <c r="AA41" s="386">
        <f t="shared" si="12"/>
        <v>15.003513172229484</v>
      </c>
      <c r="AB41" s="197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2.847556137655206E-2</v>
      </c>
      <c r="AD41" s="231">
        <f>(INDEX(Models!$BJ41:$BT41,,AH41)*(1-AF41)+INDEX(Models!$BJ41:$BT41,,AH41+1)*AF41-ERP_i)*AE41*Ramure*Pc/MaxiM</f>
        <v>1.7345729417764523E-4</v>
      </c>
      <c r="AE41" s="305">
        <f t="shared" si="14"/>
        <v>0.7</v>
      </c>
      <c r="AF41" s="177">
        <f t="shared" si="15"/>
        <v>0.50136629815825207</v>
      </c>
      <c r="AG41" s="176">
        <f t="shared" si="16"/>
        <v>-2</v>
      </c>
      <c r="AH41" s="176">
        <f t="shared" si="17"/>
        <v>4</v>
      </c>
      <c r="AI41" s="225">
        <f t="shared" si="22"/>
        <v>-1.4986337018417479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8">
        <v>12.852</v>
      </c>
      <c r="C42" s="390"/>
      <c r="D42" s="393">
        <f t="shared" si="0"/>
        <v>12.922566741522662</v>
      </c>
      <c r="E42" s="385">
        <f t="shared" si="1"/>
        <v>13.302722275249376</v>
      </c>
      <c r="F42" s="385">
        <f t="shared" si="2"/>
        <v>13.302960412306884</v>
      </c>
      <c r="G42" s="110">
        <f t="shared" si="23"/>
        <v>0.37341212380892802</v>
      </c>
      <c r="H42" s="412" t="b">
        <f>Wh_hp&gt;='2018'!Maxi_hp</f>
        <v>1</v>
      </c>
      <c r="I42" s="390">
        <f>IF(H42,Wh_hp,'2018'!Maxi_hp)</f>
        <v>13.302960412306884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5.4607372462559534E-3</v>
      </c>
      <c r="M42" s="957"/>
      <c r="N42" s="957"/>
      <c r="O42" s="48">
        <f>IF(t&lt;Tnet,'2018'!Resal+('2018'!Salim-'2018'!Resal)*(1-EXP(('2018'!Tnet-t)/('2018'!Tau_j))),Resal+(Salim-Resal)*(1-EXP((Tnet-t)/(Tau_j))))*Salcycl</f>
        <v>2.8577273573095682E-2</v>
      </c>
      <c r="P42" s="169">
        <f>(INDEX(Models!$BJ42:$BT42,,T42)*(1-R42)+INDEX(Models!$BJ42:$BT42,,T42+1)*R42-ERP_i)*Q42*Ramure*Pc/MaxiM</f>
        <v>1.7055787769239546E-4</v>
      </c>
      <c r="Q42" s="305">
        <f t="shared" si="4"/>
        <v>0.7</v>
      </c>
      <c r="R42" s="177">
        <f t="shared" si="5"/>
        <v>0.5014508814240981</v>
      </c>
      <c r="S42" s="919">
        <f t="shared" si="6"/>
        <v>-2</v>
      </c>
      <c r="T42" s="176">
        <f t="shared" si="7"/>
        <v>4</v>
      </c>
      <c r="U42" s="251">
        <f t="shared" si="21"/>
        <v>-1.4985491185759019</v>
      </c>
      <c r="V42" s="383">
        <f t="shared" si="8"/>
        <v>34.412482081055643</v>
      </c>
      <c r="W42" s="58"/>
      <c r="X42" s="157">
        <f t="shared" si="9"/>
        <v>43493</v>
      </c>
      <c r="Y42" s="385">
        <f t="shared" si="10"/>
        <v>12.852</v>
      </c>
      <c r="Z42" s="385">
        <f t="shared" si="11"/>
        <v>12.922566741522662</v>
      </c>
      <c r="AA42" s="386">
        <f t="shared" si="12"/>
        <v>13.302722275249376</v>
      </c>
      <c r="AB42" s="197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2.8577273573095682E-2</v>
      </c>
      <c r="AD42" s="231">
        <f>(INDEX(Models!$BJ42:$BT42,,AH42)*(1-AF42)+INDEX(Models!$BJ42:$BT42,,AH42+1)*AF42-ERP_i)*AE42*Ramure*Pc/MaxiM</f>
        <v>1.7055787769239546E-4</v>
      </c>
      <c r="AE42" s="305">
        <f t="shared" si="14"/>
        <v>0.7</v>
      </c>
      <c r="AF42" s="177">
        <f t="shared" si="15"/>
        <v>0.5014508814240981</v>
      </c>
      <c r="AG42" s="176">
        <f t="shared" si="16"/>
        <v>-2</v>
      </c>
      <c r="AH42" s="176">
        <f t="shared" si="17"/>
        <v>4</v>
      </c>
      <c r="AI42" s="225">
        <f t="shared" si="22"/>
        <v>-1.4985491185759019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8">
        <v>5.2350000000000003</v>
      </c>
      <c r="C43" s="390"/>
      <c r="D43" s="393">
        <f t="shared" si="0"/>
        <v>5.263859214518444</v>
      </c>
      <c r="E43" s="385">
        <f t="shared" si="1"/>
        <v>5.4192783595860883</v>
      </c>
      <c r="F43" s="385">
        <f t="shared" si="2"/>
        <v>5.4192783595860883</v>
      </c>
      <c r="G43" s="110">
        <f t="shared" si="23"/>
        <v>0.15065700335483179</v>
      </c>
      <c r="H43" s="412" t="b">
        <f>Wh_hp&gt;='2018'!Maxi_hp</f>
        <v>1</v>
      </c>
      <c r="I43" s="390">
        <f>IF(H43,Wh_hp,'2018'!Maxi_hp)</f>
        <v>5.4192783595860883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5.4825202085280189E-3</v>
      </c>
      <c r="M43" s="957"/>
      <c r="N43" s="957"/>
      <c r="O43" s="48">
        <f>IF(t&lt;Tnet,'2018'!Resal+('2018'!Salim-'2018'!Resal)*(1-EXP(('2018'!Tnet-t)/('2018'!Tau_j))),Resal+(Salim-Resal)*(1-EXP((Tnet-t)/(Tau_j))))*Salcycl</f>
        <v>2.8678937444267832E-2</v>
      </c>
      <c r="P43" s="169">
        <f>(INDEX(Models!$BJ43:$BT43,,T43)*(1-R43)+INDEX(Models!$BJ43:$BT43,,T43+1)*R43-ERP_i)*Q43*Ramure*Pc/MaxiM</f>
        <v>1.6781999556966708E-4</v>
      </c>
      <c r="Q43" s="305">
        <f t="shared" si="4"/>
        <v>0.7</v>
      </c>
      <c r="R43" s="177">
        <f t="shared" si="5"/>
        <v>0.50153898261938323</v>
      </c>
      <c r="S43" s="919">
        <f t="shared" si="6"/>
        <v>-2</v>
      </c>
      <c r="T43" s="176">
        <f t="shared" si="7"/>
        <v>4</v>
      </c>
      <c r="U43" s="251">
        <f t="shared" si="21"/>
        <v>-1.4984610173806168</v>
      </c>
      <c r="V43" s="383">
        <f t="shared" si="8"/>
        <v>34.741972465731564</v>
      </c>
      <c r="W43" s="58"/>
      <c r="X43" s="157">
        <f t="shared" si="9"/>
        <v>43494</v>
      </c>
      <c r="Y43" s="385">
        <f t="shared" si="10"/>
        <v>5.2350000000000003</v>
      </c>
      <c r="Z43" s="385">
        <f t="shared" si="11"/>
        <v>5.263859214518444</v>
      </c>
      <c r="AA43" s="386">
        <f t="shared" si="12"/>
        <v>5.4192783595860883</v>
      </c>
      <c r="AB43" s="197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2.8678937444267832E-2</v>
      </c>
      <c r="AD43" s="231">
        <f>(INDEX(Models!$BJ43:$BT43,,AH43)*(1-AF43)+INDEX(Models!$BJ43:$BT43,,AH43+1)*AF43-ERP_i)*AE43*Ramure*Pc/MaxiM</f>
        <v>1.6781999556966708E-4</v>
      </c>
      <c r="AE43" s="305">
        <f t="shared" si="14"/>
        <v>0.7</v>
      </c>
      <c r="AF43" s="177">
        <f t="shared" si="15"/>
        <v>0.50153898261938323</v>
      </c>
      <c r="AG43" s="176">
        <f t="shared" si="16"/>
        <v>-2</v>
      </c>
      <c r="AH43" s="176">
        <f t="shared" si="17"/>
        <v>4</v>
      </c>
      <c r="AI43" s="225">
        <f t="shared" si="22"/>
        <v>-1.4984610173806168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8">
        <v>7.7690000000000001</v>
      </c>
      <c r="C44" s="390"/>
      <c r="D44" s="393">
        <f t="shared" si="0"/>
        <v>7.8119996104992335</v>
      </c>
      <c r="E44" s="385">
        <f t="shared" si="1"/>
        <v>8.0434958712871225</v>
      </c>
      <c r="F44" s="385">
        <f t="shared" si="2"/>
        <v>8.0434958712871225</v>
      </c>
      <c r="G44" s="110">
        <f t="shared" si="23"/>
        <v>0.22146315290850718</v>
      </c>
      <c r="H44" s="412" t="b">
        <f>Wh_hp&gt;='2018'!Maxi_hp</f>
        <v>1</v>
      </c>
      <c r="I44" s="390">
        <f>IF(H44,Wh_hp,'2018'!Maxi_hp)</f>
        <v>8.0434958712871225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5.5043026936972828E-3</v>
      </c>
      <c r="M44" s="957"/>
      <c r="N44" s="957"/>
      <c r="O44" s="48">
        <f>IF(t&lt;Tnet,'2018'!Resal+('2018'!Salim-'2018'!Resal)*(1-EXP(('2018'!Tnet-t)/('2018'!Tau_j))),Resal+(Salim-Resal)*(1-EXP((Tnet-t)/(Tau_j))))*Salcycl</f>
        <v>2.8780553193824748E-2</v>
      </c>
      <c r="P44" s="169">
        <f>(INDEX(Models!$BJ44:$BT44,,T44)*(1-R44)+INDEX(Models!$BJ44:$BT44,,T44+1)*R44-ERP_i)*Q44*Ramure*Pc/MaxiM</f>
        <v>1.6529590828018016E-4</v>
      </c>
      <c r="Q44" s="305">
        <f t="shared" si="4"/>
        <v>0.7</v>
      </c>
      <c r="R44" s="177">
        <f t="shared" si="5"/>
        <v>0.50163074673237684</v>
      </c>
      <c r="S44" s="919">
        <f t="shared" si="6"/>
        <v>-2</v>
      </c>
      <c r="T44" s="176">
        <f t="shared" si="7"/>
        <v>4</v>
      </c>
      <c r="U44" s="251">
        <f t="shared" si="21"/>
        <v>-1.4983692532676232</v>
      </c>
      <c r="V44" s="383">
        <f t="shared" si="8"/>
        <v>35.074529166924847</v>
      </c>
      <c r="W44" s="58"/>
      <c r="X44" s="157">
        <f t="shared" si="9"/>
        <v>43495</v>
      </c>
      <c r="Y44" s="385">
        <f t="shared" si="10"/>
        <v>7.7690000000000001</v>
      </c>
      <c r="Z44" s="385">
        <f t="shared" si="11"/>
        <v>7.8119996104992335</v>
      </c>
      <c r="AA44" s="386">
        <f t="shared" si="12"/>
        <v>8.0434958712871225</v>
      </c>
      <c r="AB44" s="197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2.8780553193824748E-2</v>
      </c>
      <c r="AD44" s="231">
        <f>(INDEX(Models!$BJ44:$BT44,,AH44)*(1-AF44)+INDEX(Models!$BJ44:$BT44,,AH44+1)*AF44-ERP_i)*AE44*Ramure*Pc/MaxiM</f>
        <v>1.6529590828018016E-4</v>
      </c>
      <c r="AE44" s="305">
        <f t="shared" si="14"/>
        <v>0.7</v>
      </c>
      <c r="AF44" s="177">
        <f t="shared" si="15"/>
        <v>0.50163074673237684</v>
      </c>
      <c r="AG44" s="176">
        <f t="shared" si="16"/>
        <v>-2</v>
      </c>
      <c r="AH44" s="176">
        <f t="shared" si="17"/>
        <v>4</v>
      </c>
      <c r="AI44" s="225">
        <f t="shared" si="22"/>
        <v>-1.4983692532676232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8">
        <v>7.9409999999999998</v>
      </c>
      <c r="C45" s="390"/>
      <c r="D45" s="393">
        <f t="shared" si="0"/>
        <v>7.9851264853122155</v>
      </c>
      <c r="E45" s="385">
        <f t="shared" si="1"/>
        <v>8.2226129861242114</v>
      </c>
      <c r="F45" s="385">
        <f t="shared" si="2"/>
        <v>8.2226129861242114</v>
      </c>
      <c r="G45" s="110">
        <f t="shared" si="23"/>
        <v>0.22422842088570832</v>
      </c>
      <c r="H45" s="412" t="b">
        <f>Wh_hp&gt;='2018'!Maxi_hp</f>
        <v>1</v>
      </c>
      <c r="I45" s="390">
        <f>IF(H45,Wh_hp,'2018'!Maxi_hp)</f>
        <v>8.2226129861242114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5.526084701774181E-3</v>
      </c>
      <c r="M45" s="957"/>
      <c r="N45" s="957"/>
      <c r="O45" s="48">
        <f>IF(t&lt;Tnet,'2018'!Resal+('2018'!Salim-'2018'!Resal)*(1-EXP(('2018'!Tnet-t)/('2018'!Tau_j))),Resal+(Salim-Resal)*(1-EXP((Tnet-t)/(Tau_j))))*Salcycl</f>
        <v>2.8882120709409171E-2</v>
      </c>
      <c r="P45" s="169">
        <f>(INDEX(Models!$BJ45:$BT45,,T45)*(1-R45)+INDEX(Models!$BJ45:$BT45,,T45+1)*R45-ERP_i)*Q45*Ramure*Pc/MaxiM</f>
        <v>1.6302158173770899E-4</v>
      </c>
      <c r="Q45" s="305">
        <f t="shared" si="4"/>
        <v>0.7</v>
      </c>
      <c r="R45" s="177">
        <f t="shared" si="5"/>
        <v>0.50172632461380684</v>
      </c>
      <c r="S45" s="919">
        <f t="shared" si="6"/>
        <v>-2</v>
      </c>
      <c r="T45" s="176">
        <f t="shared" si="7"/>
        <v>4</v>
      </c>
      <c r="U45" s="251">
        <f t="shared" si="21"/>
        <v>-1.4982736753861932</v>
      </c>
      <c r="V45" s="383">
        <f t="shared" si="8"/>
        <v>35.409005755190933</v>
      </c>
      <c r="W45" s="58"/>
      <c r="X45" s="157">
        <f t="shared" si="9"/>
        <v>43496</v>
      </c>
      <c r="Y45" s="385">
        <f t="shared" si="10"/>
        <v>7.9410000000000007</v>
      </c>
      <c r="Z45" s="385">
        <f t="shared" si="11"/>
        <v>7.9851264853122164</v>
      </c>
      <c r="AA45" s="386">
        <f t="shared" si="12"/>
        <v>8.2226129861242114</v>
      </c>
      <c r="AB45" s="197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2.8882120709409171E-2</v>
      </c>
      <c r="AD45" s="231">
        <f>(INDEX(Models!$BJ45:$BT45,,AH45)*(1-AF45)+INDEX(Models!$BJ45:$BT45,,AH45+1)*AF45-ERP_i)*AE45*Ramure*Pc/MaxiM</f>
        <v>1.6302158173770899E-4</v>
      </c>
      <c r="AE45" s="305">
        <f t="shared" si="14"/>
        <v>0.7</v>
      </c>
      <c r="AF45" s="177">
        <f t="shared" si="15"/>
        <v>0.50172632461380684</v>
      </c>
      <c r="AG45" s="176">
        <f t="shared" si="16"/>
        <v>-2</v>
      </c>
      <c r="AH45" s="176">
        <f t="shared" si="17"/>
        <v>4</v>
      </c>
      <c r="AI45" s="225">
        <f t="shared" si="22"/>
        <v>-1.4982736753861932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8">
        <v>28.454999999999998</v>
      </c>
      <c r="C46" s="390"/>
      <c r="D46" s="393">
        <f t="shared" si="0"/>
        <v>28.613745230959903</v>
      </c>
      <c r="E46" s="385">
        <f t="shared" si="1"/>
        <v>29.467830199910132</v>
      </c>
      <c r="F46" s="385">
        <f t="shared" si="2"/>
        <v>29.47119267155292</v>
      </c>
      <c r="G46" s="110">
        <f t="shared" si="23"/>
        <v>0.79603458305582631</v>
      </c>
      <c r="H46" s="412" t="b">
        <f>Wh_hp&gt;='2018'!Maxi_hp</f>
        <v>1</v>
      </c>
      <c r="I46" s="390">
        <f>IF(H46,Wh_hp,'2018'!Maxi_hp)</f>
        <v>29.47119267155292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5.5478662327692607E-3</v>
      </c>
      <c r="M46" s="957"/>
      <c r="N46" s="957"/>
      <c r="O46" s="48">
        <f>IF(t&lt;Tnet,'2018'!Resal+('2018'!Salim-'2018'!Resal)*(1-EXP(('2018'!Tnet-t)/('2018'!Tau_j))),Resal+(Salim-Resal)*(1-EXP((Tnet-t)/(Tau_j))))*Salcycl</f>
        <v>2.8983639553917178E-2</v>
      </c>
      <c r="P46" s="169">
        <f>(INDEX(Models!$BJ46:$BT46,,T46)*(1-R46)+INDEX(Models!$BJ46:$BT46,,T46+1)*R46-ERP_i)*Q46*Ramure*Pc/MaxiM</f>
        <v>1.6099571229628772E-4</v>
      </c>
      <c r="Q46" s="305">
        <f t="shared" si="4"/>
        <v>0.7</v>
      </c>
      <c r="R46" s="177">
        <f t="shared" si="5"/>
        <v>0.50182587320424732</v>
      </c>
      <c r="S46" s="919">
        <f t="shared" si="6"/>
        <v>-2</v>
      </c>
      <c r="T46" s="176">
        <f t="shared" si="7"/>
        <v>4</v>
      </c>
      <c r="U46" s="251">
        <f t="shared" si="21"/>
        <v>-1.4981741267957527</v>
      </c>
      <c r="V46" s="383">
        <f t="shared" si="8"/>
        <v>35.744257662966788</v>
      </c>
      <c r="W46" s="58"/>
      <c r="X46" s="157">
        <f t="shared" si="9"/>
        <v>43497</v>
      </c>
      <c r="Y46" s="385">
        <f t="shared" si="10"/>
        <v>28.454999999999998</v>
      </c>
      <c r="Z46" s="385">
        <f t="shared" si="11"/>
        <v>28.613745230959903</v>
      </c>
      <c r="AA46" s="386">
        <f t="shared" si="12"/>
        <v>29.467830199910132</v>
      </c>
      <c r="AB46" s="197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2.8983639553917178E-2</v>
      </c>
      <c r="AD46" s="231">
        <f>(INDEX(Models!$BJ46:$BT46,,AH46)*(1-AF46)+INDEX(Models!$BJ46:$BT46,,AH46+1)*AF46-ERP_i)*AE46*Ramure*Pc/MaxiM</f>
        <v>1.6099571229628772E-4</v>
      </c>
      <c r="AE46" s="305">
        <f t="shared" si="14"/>
        <v>0.7</v>
      </c>
      <c r="AF46" s="177">
        <f t="shared" si="15"/>
        <v>0.50182587320424732</v>
      </c>
      <c r="AG46" s="176">
        <f t="shared" si="16"/>
        <v>-2</v>
      </c>
      <c r="AH46" s="176">
        <f t="shared" si="17"/>
        <v>4</v>
      </c>
      <c r="AI46" s="225">
        <f t="shared" si="22"/>
        <v>-1.4981741267957527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8">
        <v>2.8319999999999999</v>
      </c>
      <c r="C47" s="390"/>
      <c r="D47" s="393">
        <f t="shared" si="0"/>
        <v>2.8478615845472501</v>
      </c>
      <c r="E47" s="385">
        <f t="shared" si="1"/>
        <v>2.9331732480727704</v>
      </c>
      <c r="F47" s="385">
        <f t="shared" si="2"/>
        <v>2.9331732480727704</v>
      </c>
      <c r="G47" s="110">
        <f t="shared" si="23"/>
        <v>7.8481610881339633E-2</v>
      </c>
      <c r="H47" s="412" t="b">
        <f>Wh_hp&gt;='2018'!Maxi_hp</f>
        <v>1</v>
      </c>
      <c r="I47" s="390">
        <f>IF(H47,Wh_hp,'2018'!Maxi_hp)</f>
        <v>2.9331732480727704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5.569647286692847E-3</v>
      </c>
      <c r="M47" s="957"/>
      <c r="N47" s="957"/>
      <c r="O47" s="48">
        <f>IF(t&lt;Tnet,'2018'!Resal+('2018'!Salim-'2018'!Resal)*(1-EXP(('2018'!Tnet-t)/('2018'!Tau_j))),Resal+(Salim-Resal)*(1-EXP((Tnet-t)/(Tau_j))))*Salcycl</f>
        <v>2.9085108962306989E-2</v>
      </c>
      <c r="P47" s="169">
        <f>(INDEX(Models!$BJ47:$BT47,,T47)*(1-R47)+INDEX(Models!$BJ47:$BT47,,T47+1)*R47-ERP_i)*Q47*Ramure*Pc/MaxiM</f>
        <v>1.5921673271781747E-4</v>
      </c>
      <c r="Q47" s="305">
        <f t="shared" si="4"/>
        <v>0.7</v>
      </c>
      <c r="R47" s="177">
        <f t="shared" si="5"/>
        <v>0.50192955576949205</v>
      </c>
      <c r="S47" s="919">
        <f t="shared" si="6"/>
        <v>-2</v>
      </c>
      <c r="T47" s="176">
        <f t="shared" si="7"/>
        <v>4</v>
      </c>
      <c r="U47" s="251">
        <f t="shared" si="21"/>
        <v>-1.4980704442305079</v>
      </c>
      <c r="V47" s="383">
        <f t="shared" si="8"/>
        <v>36.079140914858478</v>
      </c>
      <c r="W47" s="58"/>
      <c r="X47" s="157">
        <f t="shared" si="9"/>
        <v>43498</v>
      </c>
      <c r="Y47" s="385">
        <f t="shared" si="10"/>
        <v>2.8319999999999999</v>
      </c>
      <c r="Z47" s="385">
        <f t="shared" si="11"/>
        <v>2.8478615845472501</v>
      </c>
      <c r="AA47" s="386">
        <f t="shared" si="12"/>
        <v>2.9331732480727704</v>
      </c>
      <c r="AB47" s="197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2.9085108962306989E-2</v>
      </c>
      <c r="AD47" s="231">
        <f>(INDEX(Models!$BJ47:$BT47,,AH47)*(1-AF47)+INDEX(Models!$BJ47:$BT47,,AH47+1)*AF47-ERP_i)*AE47*Ramure*Pc/MaxiM</f>
        <v>1.5921673271781747E-4</v>
      </c>
      <c r="AE47" s="305">
        <f t="shared" si="14"/>
        <v>0.7</v>
      </c>
      <c r="AF47" s="177">
        <f t="shared" si="15"/>
        <v>0.50192955576949205</v>
      </c>
      <c r="AG47" s="176">
        <f t="shared" si="16"/>
        <v>-2</v>
      </c>
      <c r="AH47" s="176">
        <f t="shared" si="17"/>
        <v>4</v>
      </c>
      <c r="AI47" s="225">
        <f t="shared" si="22"/>
        <v>-1.4980704442305079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8">
        <v>13.759</v>
      </c>
      <c r="C48" s="390"/>
      <c r="D48" s="393">
        <f t="shared" si="0"/>
        <v>13.836365036998197</v>
      </c>
      <c r="E48" s="385">
        <f t="shared" si="1"/>
        <v>14.25234139599225</v>
      </c>
      <c r="F48" s="385">
        <f t="shared" si="2"/>
        <v>14.252591384801031</v>
      </c>
      <c r="G48" s="110">
        <f t="shared" si="23"/>
        <v>0.37781166239033742</v>
      </c>
      <c r="H48" s="412" t="b">
        <f>Wh_hp&gt;='2018'!Maxi_hp</f>
        <v>1</v>
      </c>
      <c r="I48" s="390">
        <f>IF(H48,Wh_hp,'2018'!Maxi_hp)</f>
        <v>14.252591384801031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5.591427863555487E-3</v>
      </c>
      <c r="M48" s="957"/>
      <c r="N48" s="957"/>
      <c r="O48" s="48">
        <f>IF(t&lt;Tnet,'2018'!Resal+('2018'!Salim-'2018'!Resal)*(1-EXP(('2018'!Tnet-t)/('2018'!Tau_j))),Resal+(Salim-Resal)*(1-EXP((Tnet-t)/(Tau_j))))*Salcycl</f>
        <v>2.9186527843840845E-2</v>
      </c>
      <c r="P48" s="169">
        <f>(INDEX(Models!$BJ48:$BT48,,T48)*(1-R48)+INDEX(Models!$BJ48:$BT48,,T48+1)*R48-ERP_i)*Q48*Ramure*Pc/MaxiM</f>
        <v>1.576829053098824E-4</v>
      </c>
      <c r="Q48" s="305">
        <f t="shared" si="4"/>
        <v>0.7</v>
      </c>
      <c r="R48" s="177">
        <f t="shared" si="5"/>
        <v>0.50203754214412522</v>
      </c>
      <c r="S48" s="919">
        <f t="shared" si="6"/>
        <v>-2</v>
      </c>
      <c r="T48" s="176">
        <f t="shared" si="7"/>
        <v>4</v>
      </c>
      <c r="U48" s="251">
        <f t="shared" si="21"/>
        <v>-1.4979624578558748</v>
      </c>
      <c r="V48" s="383">
        <f t="shared" si="8"/>
        <v>36.412512126595018</v>
      </c>
      <c r="W48" s="58"/>
      <c r="X48" s="157">
        <f t="shared" si="9"/>
        <v>43499</v>
      </c>
      <c r="Y48" s="385">
        <f t="shared" si="10"/>
        <v>13.759</v>
      </c>
      <c r="Z48" s="385">
        <f t="shared" si="11"/>
        <v>13.836365036998197</v>
      </c>
      <c r="AA48" s="386">
        <f t="shared" si="12"/>
        <v>14.25234139599225</v>
      </c>
      <c r="AB48" s="197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2.9186527843840845E-2</v>
      </c>
      <c r="AD48" s="231">
        <f>(INDEX(Models!$BJ48:$BT48,,AH48)*(1-AF48)+INDEX(Models!$BJ48:$BT48,,AH48+1)*AF48-ERP_i)*AE48*Ramure*Pc/MaxiM</f>
        <v>1.576829053098824E-4</v>
      </c>
      <c r="AE48" s="305">
        <f t="shared" si="14"/>
        <v>0.7</v>
      </c>
      <c r="AF48" s="177">
        <f t="shared" si="15"/>
        <v>0.50203754214412522</v>
      </c>
      <c r="AG48" s="176">
        <f t="shared" si="16"/>
        <v>-2</v>
      </c>
      <c r="AH48" s="176">
        <f t="shared" si="17"/>
        <v>4</v>
      </c>
      <c r="AI48" s="225">
        <f t="shared" si="22"/>
        <v>-1.4979624578558748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8">
        <v>28.881</v>
      </c>
      <c r="C49" s="390"/>
      <c r="D49" s="393">
        <f t="shared" si="0"/>
        <v>29.044030181503103</v>
      </c>
      <c r="E49" s="385">
        <f t="shared" si="1"/>
        <v>29.920333769002145</v>
      </c>
      <c r="F49" s="385">
        <f t="shared" si="2"/>
        <v>29.923583051666235</v>
      </c>
      <c r="G49" s="110">
        <f t="shared" si="23"/>
        <v>0.78598480123298742</v>
      </c>
      <c r="H49" s="412" t="b">
        <f>Wh_hp&gt;='2018'!Maxi_hp</f>
        <v>1</v>
      </c>
      <c r="I49" s="390">
        <f>IF(H49,Wh_hp,'2018'!Maxi_hp)</f>
        <v>29.923583051666235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5.6132079633676168E-3</v>
      </c>
      <c r="M49" s="957"/>
      <c r="N49" s="957"/>
      <c r="O49" s="48">
        <f>IF(t&lt;Tnet,'2018'!Resal+('2018'!Salim-'2018'!Resal)*(1-EXP(('2018'!Tnet-t)/('2018'!Tau_j))),Resal+(Salim-Resal)*(1-EXP((Tnet-t)/(Tau_j))))*Salcycl</f>
        <v>2.9287894789693337E-2</v>
      </c>
      <c r="P49" s="169">
        <f>(INDEX(Models!$BJ49:$BT49,,T49)*(1-R49)+INDEX(Models!$BJ49:$BT49,,T49+1)*R49-ERP_i)*Q49*Ramure*Pc/MaxiM</f>
        <v>1.563924088485406E-4</v>
      </c>
      <c r="Q49" s="305">
        <f t="shared" si="4"/>
        <v>0.7</v>
      </c>
      <c r="R49" s="177">
        <f t="shared" si="5"/>
        <v>0.50215000898349116</v>
      </c>
      <c r="S49" s="919">
        <f t="shared" si="6"/>
        <v>-2</v>
      </c>
      <c r="T49" s="176">
        <f t="shared" si="7"/>
        <v>4</v>
      </c>
      <c r="U49" s="251">
        <f t="shared" si="21"/>
        <v>-1.4978499910165088</v>
      </c>
      <c r="V49" s="383">
        <f t="shared" si="8"/>
        <v>36.743228505589165</v>
      </c>
      <c r="W49" s="58"/>
      <c r="X49" s="157">
        <f t="shared" si="9"/>
        <v>43500</v>
      </c>
      <c r="Y49" s="385">
        <f t="shared" si="10"/>
        <v>28.881</v>
      </c>
      <c r="Z49" s="385">
        <f t="shared" si="11"/>
        <v>29.044030181503103</v>
      </c>
      <c r="AA49" s="386">
        <f t="shared" si="12"/>
        <v>29.920333769002145</v>
      </c>
      <c r="AB49" s="197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2.9287894789693337E-2</v>
      </c>
      <c r="AD49" s="231">
        <f>(INDEX(Models!$BJ49:$BT49,,AH49)*(1-AF49)+INDEX(Models!$BJ49:$BT49,,AH49+1)*AF49-ERP_i)*AE49*Ramure*Pc/MaxiM</f>
        <v>1.563924088485406E-4</v>
      </c>
      <c r="AE49" s="305">
        <f t="shared" si="14"/>
        <v>0.7</v>
      </c>
      <c r="AF49" s="177">
        <f t="shared" si="15"/>
        <v>0.50215000898349116</v>
      </c>
      <c r="AG49" s="176">
        <f t="shared" si="16"/>
        <v>-2</v>
      </c>
      <c r="AH49" s="176">
        <f t="shared" si="17"/>
        <v>4</v>
      </c>
      <c r="AI49" s="225">
        <f t="shared" si="22"/>
        <v>-1.4978499910165088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8">
        <v>3.3540000000000001</v>
      </c>
      <c r="C50" s="390"/>
      <c r="D50" s="393">
        <f t="shared" si="0"/>
        <v>3.3730068517375051</v>
      </c>
      <c r="E50" s="385">
        <f t="shared" si="1"/>
        <v>3.4751384178259648</v>
      </c>
      <c r="F50" s="385">
        <f t="shared" si="2"/>
        <v>3.4751384178259648</v>
      </c>
      <c r="G50" s="110">
        <f t="shared" si="23"/>
        <v>9.0463059164977086E-2</v>
      </c>
      <c r="H50" s="412" t="b">
        <f>Wh_hp&gt;='2018'!Maxi_hp</f>
        <v>1</v>
      </c>
      <c r="I50" s="390">
        <f>IF(H50,Wh_hp,'2018'!Maxi_hp)</f>
        <v>3.4751384178259648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5.6349875861396725E-3</v>
      </c>
      <c r="M50" s="957"/>
      <c r="N50" s="957"/>
      <c r="O50" s="48">
        <f>IF(t&lt;Tnet,'2018'!Resal+('2018'!Salim-'2018'!Resal)*(1-EXP(('2018'!Tnet-t)/('2018'!Tau_j))),Resal+(Salim-Resal)*(1-EXP((Tnet-t)/(Tau_j))))*Salcycl</f>
        <v>2.9389208085804145E-2</v>
      </c>
      <c r="P50" s="169">
        <f>(INDEX(Models!$BJ50:$BT50,,T50)*(1-R50)+INDEX(Models!$BJ50:$BT50,,T50+1)*R50-ERP_i)*Q50*Ramure*Pc/MaxiM</f>
        <v>1.5534341960542406E-4</v>
      </c>
      <c r="Q50" s="305">
        <f t="shared" si="4"/>
        <v>0.7</v>
      </c>
      <c r="R50" s="177">
        <f t="shared" si="5"/>
        <v>0.50226714002427197</v>
      </c>
      <c r="S50" s="919">
        <f t="shared" si="6"/>
        <v>-2</v>
      </c>
      <c r="T50" s="176">
        <f t="shared" si="7"/>
        <v>4</v>
      </c>
      <c r="U50" s="251">
        <f t="shared" si="21"/>
        <v>-1.497732859975728</v>
      </c>
      <c r="V50" s="383">
        <f t="shared" si="8"/>
        <v>37.070147849576017</v>
      </c>
      <c r="W50" s="58"/>
      <c r="X50" s="157">
        <f t="shared" si="9"/>
        <v>43501</v>
      </c>
      <c r="Y50" s="385">
        <f t="shared" si="10"/>
        <v>3.3540000000000001</v>
      </c>
      <c r="Z50" s="385">
        <f t="shared" si="11"/>
        <v>3.3730068517375051</v>
      </c>
      <c r="AA50" s="386">
        <f t="shared" si="12"/>
        <v>3.4751384178259648</v>
      </c>
      <c r="AB50" s="197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2.9389208085804145E-2</v>
      </c>
      <c r="AD50" s="231">
        <f>(INDEX(Models!$BJ50:$BT50,,AH50)*(1-AF50)+INDEX(Models!$BJ50:$BT50,,AH50+1)*AF50-ERP_i)*AE50*Ramure*Pc/MaxiM</f>
        <v>1.5534341960542406E-4</v>
      </c>
      <c r="AE50" s="305">
        <f t="shared" si="14"/>
        <v>0.7</v>
      </c>
      <c r="AF50" s="177">
        <f t="shared" si="15"/>
        <v>0.50226714002427197</v>
      </c>
      <c r="AG50" s="176">
        <f t="shared" si="16"/>
        <v>-2</v>
      </c>
      <c r="AH50" s="176">
        <f t="shared" si="17"/>
        <v>4</v>
      </c>
      <c r="AI50" s="225">
        <f t="shared" si="22"/>
        <v>-1.497732859975728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8">
        <v>9.57</v>
      </c>
      <c r="C51" s="390"/>
      <c r="D51" s="393">
        <f t="shared" si="0"/>
        <v>9.6244432302779224</v>
      </c>
      <c r="E51" s="385">
        <f t="shared" si="1"/>
        <v>9.9168971457093207</v>
      </c>
      <c r="F51" s="385">
        <f t="shared" si="2"/>
        <v>9.9168971457093207</v>
      </c>
      <c r="G51" s="110">
        <f t="shared" si="23"/>
        <v>0.25586941240468403</v>
      </c>
      <c r="H51" s="412" t="b">
        <f>Wh_hp&gt;='2018'!Maxi_hp</f>
        <v>1</v>
      </c>
      <c r="I51" s="390">
        <f>IF(H51,Wh_hp,'2018'!Maxi_hp)</f>
        <v>9.9168971457093207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5.6567667318819792E-3</v>
      </c>
      <c r="M51" s="957"/>
      <c r="N51" s="957"/>
      <c r="O51" s="48">
        <f>IF(t&lt;Tnet,'2018'!Resal+('2018'!Salim-'2018'!Resal)*(1-EXP(('2018'!Tnet-t)/('2018'!Tau_j))),Resal+(Salim-Resal)*(1-EXP((Tnet-t)/(Tau_j))))*Salcycl</f>
        <v>2.9490465730798832E-2</v>
      </c>
      <c r="P51" s="169">
        <f>(INDEX(Models!$BJ51:$BT51,,T51)*(1-R51)+INDEX(Models!$BJ51:$BT51,,T51+1)*R51-ERP_i)*Q51*Ramure*Pc/MaxiM</f>
        <v>1.545177273792851E-4</v>
      </c>
      <c r="Q51" s="305">
        <f t="shared" si="4"/>
        <v>0.7</v>
      </c>
      <c r="R51" s="177">
        <f t="shared" si="5"/>
        <v>0.50238912635386601</v>
      </c>
      <c r="S51" s="919">
        <f t="shared" si="6"/>
        <v>-2</v>
      </c>
      <c r="T51" s="176">
        <f t="shared" si="7"/>
        <v>4</v>
      </c>
      <c r="U51" s="251">
        <f t="shared" si="21"/>
        <v>-1.497610873646134</v>
      </c>
      <c r="V51" s="383">
        <f t="shared" si="8"/>
        <v>37.396112241096525</v>
      </c>
      <c r="W51" s="58"/>
      <c r="X51" s="157">
        <f t="shared" si="9"/>
        <v>43502</v>
      </c>
      <c r="Y51" s="385">
        <f t="shared" si="10"/>
        <v>9.57</v>
      </c>
      <c r="Z51" s="385">
        <f t="shared" si="11"/>
        <v>9.6244432302779224</v>
      </c>
      <c r="AA51" s="386">
        <f t="shared" si="12"/>
        <v>9.9168971457093207</v>
      </c>
      <c r="AB51" s="197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2.9490465730798832E-2</v>
      </c>
      <c r="AD51" s="231">
        <f>(INDEX(Models!$BJ51:$BT51,,AH51)*(1-AF51)+INDEX(Models!$BJ51:$BT51,,AH51+1)*AF51-ERP_i)*AE51*Ramure*Pc/MaxiM</f>
        <v>1.545177273792851E-4</v>
      </c>
      <c r="AE51" s="305">
        <f t="shared" si="14"/>
        <v>0.7</v>
      </c>
      <c r="AF51" s="177">
        <f t="shared" si="15"/>
        <v>0.50238912635386601</v>
      </c>
      <c r="AG51" s="176">
        <f t="shared" si="16"/>
        <v>-2</v>
      </c>
      <c r="AH51" s="176">
        <f t="shared" si="17"/>
        <v>4</v>
      </c>
      <c r="AI51" s="225">
        <f t="shared" si="22"/>
        <v>-1.497610873646134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8">
        <v>5.875</v>
      </c>
      <c r="C52" s="390"/>
      <c r="D52" s="393">
        <f t="shared" si="0"/>
        <v>5.9085519806740932</v>
      </c>
      <c r="E52" s="385">
        <f t="shared" si="1"/>
        <v>6.0887275699948518</v>
      </c>
      <c r="F52" s="385">
        <f t="shared" si="2"/>
        <v>6.0887275699948518</v>
      </c>
      <c r="G52" s="110">
        <f t="shared" si="23"/>
        <v>0.15571087380738047</v>
      </c>
      <c r="H52" s="412" t="b">
        <f>Wh_hp&gt;='2018'!Maxi_hp</f>
        <v>1</v>
      </c>
      <c r="I52" s="390">
        <f>IF(H52,Wh_hp,'2018'!Maxi_hp)</f>
        <v>6.0887275699948518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5.678545400605195E-3</v>
      </c>
      <c r="M52" s="957"/>
      <c r="N52" s="957"/>
      <c r="O52" s="48">
        <f>IF(t&lt;Tnet,'2018'!Resal+('2018'!Salim-'2018'!Resal)*(1-EXP(('2018'!Tnet-t)/('2018'!Tau_j))),Resal+(Salim-Resal)*(1-EXP((Tnet-t)/(Tau_j))))*Salcycl</f>
        <v>2.95916654587506E-2</v>
      </c>
      <c r="P52" s="169">
        <f>(INDEX(Models!$BJ52:$BT52,,T52)*(1-R52)+INDEX(Models!$BJ52:$BT52,,T52+1)*R52-ERP_i)*Q52*Ramure*Pc/MaxiM</f>
        <v>1.5393024662525219E-4</v>
      </c>
      <c r="Q52" s="305">
        <f t="shared" si="4"/>
        <v>0.7</v>
      </c>
      <c r="R52" s="177">
        <f t="shared" si="5"/>
        <v>0.50251616668876764</v>
      </c>
      <c r="S52" s="919">
        <f t="shared" si="6"/>
        <v>-2</v>
      </c>
      <c r="T52" s="176">
        <f t="shared" si="7"/>
        <v>4</v>
      </c>
      <c r="U52" s="251">
        <f t="shared" si="21"/>
        <v>-1.4974838333112324</v>
      </c>
      <c r="V52" s="383">
        <f t="shared" si="8"/>
        <v>37.724376700033979</v>
      </c>
      <c r="W52" s="58"/>
      <c r="X52" s="157">
        <f t="shared" si="9"/>
        <v>43503</v>
      </c>
      <c r="Y52" s="385">
        <f t="shared" si="10"/>
        <v>5.875</v>
      </c>
      <c r="Z52" s="385">
        <f t="shared" si="11"/>
        <v>5.9085519806740932</v>
      </c>
      <c r="AA52" s="386">
        <f t="shared" si="12"/>
        <v>6.0887275699948518</v>
      </c>
      <c r="AB52" s="197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2.95916654587506E-2</v>
      </c>
      <c r="AD52" s="231">
        <f>(INDEX(Models!$BJ52:$BT52,,AH52)*(1-AF52)+INDEX(Models!$BJ52:$BT52,,AH52+1)*AF52-ERP_i)*AE52*Ramure*Pc/MaxiM</f>
        <v>1.5393024662525219E-4</v>
      </c>
      <c r="AE52" s="305">
        <f t="shared" si="14"/>
        <v>0.7</v>
      </c>
      <c r="AF52" s="177">
        <f t="shared" si="15"/>
        <v>0.50251616668876764</v>
      </c>
      <c r="AG52" s="176">
        <f t="shared" si="16"/>
        <v>-2</v>
      </c>
      <c r="AH52" s="176">
        <f t="shared" si="17"/>
        <v>4</v>
      </c>
      <c r="AI52" s="225">
        <f t="shared" si="22"/>
        <v>-1.4974838333112324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8">
        <v>30.83</v>
      </c>
      <c r="C53" s="390"/>
      <c r="D53" s="393">
        <f t="shared" si="0"/>
        <v>31.006748499995648</v>
      </c>
      <c r="E53" s="385">
        <f t="shared" si="1"/>
        <v>31.955599888687054</v>
      </c>
      <c r="F53" s="385">
        <f t="shared" si="2"/>
        <v>31.95917350090901</v>
      </c>
      <c r="G53" s="110">
        <f t="shared" si="23"/>
        <v>0.81012170502400771</v>
      </c>
      <c r="H53" s="412" t="b">
        <f>Wh_hp&gt;='2018'!Maxi_hp</f>
        <v>1</v>
      </c>
      <c r="I53" s="390">
        <f>IF(H53,Wh_hp,'2018'!Maxi_hp)</f>
        <v>31.95917350090901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5.7003235923197559E-3</v>
      </c>
      <c r="M53" s="957"/>
      <c r="N53" s="957"/>
      <c r="O53" s="48">
        <f>IF(t&lt;Tnet,'2018'!Resal+('2018'!Salim-'2018'!Resal)*(1-EXP(('2018'!Tnet-t)/('2018'!Tau_j))),Resal+(Salim-Resal)*(1-EXP((Tnet-t)/(Tau_j))))*Salcycl</f>
        <v>2.9692804766507295E-2</v>
      </c>
      <c r="P53" s="169">
        <f>(INDEX(Models!$BJ53:$BT53,,T53)*(1-R53)+INDEX(Models!$BJ53:$BT53,,T53+1)*R53-ERP_i)*Q53*Ramure*Pc/MaxiM</f>
        <v>1.53428987887749E-4</v>
      </c>
      <c r="Q53" s="305">
        <f t="shared" si="4"/>
        <v>0.7</v>
      </c>
      <c r="R53" s="177">
        <f t="shared" si="5"/>
        <v>0.50264846766213389</v>
      </c>
      <c r="S53" s="919">
        <f t="shared" si="6"/>
        <v>-2</v>
      </c>
      <c r="T53" s="176">
        <f t="shared" si="7"/>
        <v>4</v>
      </c>
      <c r="U53" s="251">
        <f t="shared" si="21"/>
        <v>-1.4973515323378661</v>
      </c>
      <c r="V53" s="383">
        <f t="shared" si="8"/>
        <v>38.054426637263937</v>
      </c>
      <c r="W53" s="58"/>
      <c r="X53" s="157">
        <f t="shared" si="9"/>
        <v>43504</v>
      </c>
      <c r="Y53" s="385">
        <f t="shared" si="10"/>
        <v>30.83</v>
      </c>
      <c r="Z53" s="385">
        <f t="shared" si="11"/>
        <v>31.006748499995648</v>
      </c>
      <c r="AA53" s="386">
        <f t="shared" si="12"/>
        <v>31.955599888687054</v>
      </c>
      <c r="AB53" s="197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2.9692804766507295E-2</v>
      </c>
      <c r="AD53" s="231">
        <f>(INDEX(Models!$BJ53:$BT53,,AH53)*(1-AF53)+INDEX(Models!$BJ53:$BT53,,AH53+1)*AF53-ERP_i)*AE53*Ramure*Pc/MaxiM</f>
        <v>1.53428987887749E-4</v>
      </c>
      <c r="AE53" s="305">
        <f t="shared" si="14"/>
        <v>0.7</v>
      </c>
      <c r="AF53" s="177">
        <f t="shared" si="15"/>
        <v>0.50264846766213389</v>
      </c>
      <c r="AG53" s="176">
        <f t="shared" si="16"/>
        <v>-2</v>
      </c>
      <c r="AH53" s="176">
        <f t="shared" si="17"/>
        <v>4</v>
      </c>
      <c r="AI53" s="225">
        <f t="shared" si="22"/>
        <v>-1.4973515323378661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8">
        <v>30.718</v>
      </c>
      <c r="C54" s="390"/>
      <c r="D54" s="393">
        <f t="shared" si="0"/>
        <v>30.894783078634845</v>
      </c>
      <c r="E54" s="385">
        <f t="shared" si="1"/>
        <v>31.843525279695616</v>
      </c>
      <c r="F54" s="385">
        <f t="shared" si="2"/>
        <v>31.847007727333747</v>
      </c>
      <c r="G54" s="110">
        <f t="shared" si="23"/>
        <v>0.80021010097272205</v>
      </c>
      <c r="H54" s="412" t="b">
        <f>Wh_hp&gt;='2018'!Maxi_hp</f>
        <v>1</v>
      </c>
      <c r="I54" s="390">
        <f>IF(H54,Wh_hp,'2018'!Maxi_hp)</f>
        <v>31.847007727333747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5.7221013070358762E-3</v>
      </c>
      <c r="M54" s="957"/>
      <c r="N54" s="957"/>
      <c r="O54" s="48">
        <f>IF(t&lt;Tnet,'2018'!Resal+('2018'!Salim-'2018'!Resal)*(1-EXP(('2018'!Tnet-t)/('2018'!Tau_j))),Resal+(Salim-Resal)*(1-EXP((Tnet-t)/(Tau_j))))*Salcycl</f>
        <v>2.9793880945264514E-2</v>
      </c>
      <c r="P54" s="169">
        <f>(INDEX(Models!$BJ54:$BT54,,T54)*(1-R54)+INDEX(Models!$BJ54:$BT54,,T54+1)*R54-ERP_i)*Q54*Ramure*Pc/MaxiM</f>
        <v>1.5301401266757593E-4</v>
      </c>
      <c r="Q54" s="305">
        <f t="shared" si="4"/>
        <v>0.7</v>
      </c>
      <c r="R54" s="177">
        <f t="shared" si="5"/>
        <v>0.50278624412072492</v>
      </c>
      <c r="S54" s="919">
        <f t="shared" si="6"/>
        <v>-2</v>
      </c>
      <c r="T54" s="176">
        <f t="shared" si="7"/>
        <v>4</v>
      </c>
      <c r="U54" s="251">
        <f t="shared" si="21"/>
        <v>-1.4972137558792751</v>
      </c>
      <c r="V54" s="383">
        <f t="shared" si="8"/>
        <v>38.385742098207835</v>
      </c>
      <c r="W54" s="58"/>
      <c r="X54" s="157">
        <f t="shared" si="9"/>
        <v>43505</v>
      </c>
      <c r="Y54" s="385">
        <f t="shared" si="10"/>
        <v>30.718</v>
      </c>
      <c r="Z54" s="385">
        <f t="shared" si="11"/>
        <v>30.894783078634845</v>
      </c>
      <c r="AA54" s="386">
        <f t="shared" si="12"/>
        <v>31.843525279695616</v>
      </c>
      <c r="AB54" s="197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2.9793880945264514E-2</v>
      </c>
      <c r="AD54" s="231">
        <f>(INDEX(Models!$BJ54:$BT54,,AH54)*(1-AF54)+INDEX(Models!$BJ54:$BT54,,AH54+1)*AF54-ERP_i)*AE54*Ramure*Pc/MaxiM</f>
        <v>1.5301401266757593E-4</v>
      </c>
      <c r="AE54" s="305">
        <f t="shared" si="14"/>
        <v>0.7</v>
      </c>
      <c r="AF54" s="177">
        <f t="shared" si="15"/>
        <v>0.50278624412072492</v>
      </c>
      <c r="AG54" s="176">
        <f t="shared" si="16"/>
        <v>-2</v>
      </c>
      <c r="AH54" s="176">
        <f t="shared" si="17"/>
        <v>4</v>
      </c>
      <c r="AI54" s="225">
        <f t="shared" si="22"/>
        <v>-1.4972137558792751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8">
        <v>8.52</v>
      </c>
      <c r="C55" s="390"/>
      <c r="D55" s="393">
        <f t="shared" si="0"/>
        <v>8.5692205621321822</v>
      </c>
      <c r="E55" s="385">
        <f t="shared" si="1"/>
        <v>8.8332908296816939</v>
      </c>
      <c r="F55" s="385">
        <f t="shared" si="2"/>
        <v>8.8332908296816939</v>
      </c>
      <c r="G55" s="110">
        <f t="shared" si="23"/>
        <v>0.22002020704671524</v>
      </c>
      <c r="H55" s="412" t="b">
        <f>Wh_hp&gt;='2018'!Maxi_hp</f>
        <v>1</v>
      </c>
      <c r="I55" s="390">
        <f>IF(H55,Wh_hp,'2018'!Maxi_hp)</f>
        <v>8.8332908296816939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5.7438785447642138E-3</v>
      </c>
      <c r="M55" s="957"/>
      <c r="N55" s="957"/>
      <c r="O55" s="48">
        <f>IF(t&lt;Tnet,'2018'!Resal+('2018'!Salim-'2018'!Resal)*(1-EXP(('2018'!Tnet-t)/('2018'!Tau_j))),Resal+(Salim-Resal)*(1-EXP((Tnet-t)/(Tau_j))))*Salcycl</f>
        <v>2.9894891116024485E-2</v>
      </c>
      <c r="P55" s="169">
        <f>(INDEX(Models!$BJ55:$BT55,,T55)*(1-R55)+INDEX(Models!$BJ55:$BT55,,T55+1)*R55-ERP_i)*Q55*Ramure*Pc/MaxiM</f>
        <v>1.5268534254415074E-4</v>
      </c>
      <c r="Q55" s="305">
        <f t="shared" si="4"/>
        <v>0.7</v>
      </c>
      <c r="R55" s="177">
        <f t="shared" si="5"/>
        <v>0.50292971943138753</v>
      </c>
      <c r="S55" s="919">
        <f t="shared" si="6"/>
        <v>-2</v>
      </c>
      <c r="T55" s="176">
        <f t="shared" si="7"/>
        <v>4</v>
      </c>
      <c r="U55" s="251">
        <f t="shared" si="21"/>
        <v>-1.4970702805686125</v>
      </c>
      <c r="V55" s="383">
        <f t="shared" si="8"/>
        <v>38.717803401906679</v>
      </c>
      <c r="W55" s="58"/>
      <c r="X55" s="157">
        <f t="shared" si="9"/>
        <v>43506</v>
      </c>
      <c r="Y55" s="385">
        <f t="shared" si="10"/>
        <v>8.52</v>
      </c>
      <c r="Z55" s="385">
        <f t="shared" si="11"/>
        <v>8.5692205621321822</v>
      </c>
      <c r="AA55" s="386">
        <f t="shared" si="12"/>
        <v>8.8332908296816939</v>
      </c>
      <c r="AB55" s="197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2.9894891116024485E-2</v>
      </c>
      <c r="AD55" s="231">
        <f>(INDEX(Models!$BJ55:$BT55,,AH55)*(1-AF55)+INDEX(Models!$BJ55:$BT55,,AH55+1)*AF55-ERP_i)*AE55*Ramure*Pc/MaxiM</f>
        <v>1.5268534254415074E-4</v>
      </c>
      <c r="AE55" s="305">
        <f t="shared" si="14"/>
        <v>0.7</v>
      </c>
      <c r="AF55" s="177">
        <f t="shared" si="15"/>
        <v>0.50292971943138753</v>
      </c>
      <c r="AG55" s="176">
        <f t="shared" si="16"/>
        <v>-2</v>
      </c>
      <c r="AH55" s="176">
        <f t="shared" si="17"/>
        <v>4</v>
      </c>
      <c r="AI55" s="225">
        <f t="shared" si="22"/>
        <v>-1.4970702805686125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8">
        <v>25.928000000000001</v>
      </c>
      <c r="C56" s="390"/>
      <c r="D56" s="393">
        <f t="shared" si="0"/>
        <v>26.078358827935418</v>
      </c>
      <c r="E56" s="385">
        <f t="shared" si="1"/>
        <v>26.884790494173632</v>
      </c>
      <c r="F56" s="385">
        <f t="shared" si="2"/>
        <v>26.886921640779587</v>
      </c>
      <c r="G56" s="110">
        <f t="shared" si="23"/>
        <v>0.66391912776835915</v>
      </c>
      <c r="H56" s="412" t="b">
        <f>Wh_hp&gt;='2018'!Maxi_hp</f>
        <v>1</v>
      </c>
      <c r="I56" s="390">
        <f>IF(H56,Wh_hp,'2018'!Maxi_hp)</f>
        <v>26.886921640779587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5.7656553055152049E-3</v>
      </c>
      <c r="M56" s="957"/>
      <c r="N56" s="957"/>
      <c r="O56" s="48">
        <f>IF(t&lt;Tnet,'2018'!Resal+('2018'!Salim-'2018'!Resal)*(1-EXP(('2018'!Tnet-t)/('2018'!Tau_j))),Resal+(Salim-Resal)*(1-EXP((Tnet-t)/(Tau_j))))*Salcycl</f>
        <v>2.9995832268545276E-2</v>
      </c>
      <c r="P56" s="169">
        <f>(INDEX(Models!$BJ56:$BT56,,T56)*(1-R56)+INDEX(Models!$BJ56:$BT56,,T56+1)*R56-ERP_i)*Q56*Ramure*Pc/MaxiM</f>
        <v>1.5244297529733614E-4</v>
      </c>
      <c r="Q56" s="305">
        <f t="shared" si="4"/>
        <v>0.7</v>
      </c>
      <c r="R56" s="177">
        <f t="shared" si="5"/>
        <v>0.50307912579724867</v>
      </c>
      <c r="S56" s="919">
        <f t="shared" si="6"/>
        <v>-2</v>
      </c>
      <c r="T56" s="176">
        <f t="shared" si="7"/>
        <v>4</v>
      </c>
      <c r="U56" s="251">
        <f t="shared" si="21"/>
        <v>-1.4969208742027513</v>
      </c>
      <c r="V56" s="383">
        <f t="shared" si="8"/>
        <v>39.050091137713515</v>
      </c>
      <c r="W56" s="58"/>
      <c r="X56" s="157">
        <f t="shared" si="9"/>
        <v>43507</v>
      </c>
      <c r="Y56" s="385">
        <f t="shared" si="10"/>
        <v>25.928000000000001</v>
      </c>
      <c r="Z56" s="385">
        <f t="shared" si="11"/>
        <v>26.078358827935418</v>
      </c>
      <c r="AA56" s="386">
        <f t="shared" si="12"/>
        <v>26.884790494173632</v>
      </c>
      <c r="AB56" s="197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2.9995832268545276E-2</v>
      </c>
      <c r="AD56" s="231">
        <f>(INDEX(Models!$BJ56:$BT56,,AH56)*(1-AF56)+INDEX(Models!$BJ56:$BT56,,AH56+1)*AF56-ERP_i)*AE56*Ramure*Pc/MaxiM</f>
        <v>1.5244297529733614E-4</v>
      </c>
      <c r="AE56" s="305">
        <f t="shared" si="14"/>
        <v>0.7</v>
      </c>
      <c r="AF56" s="177">
        <f t="shared" si="15"/>
        <v>0.50307912579724867</v>
      </c>
      <c r="AG56" s="176">
        <f t="shared" si="16"/>
        <v>-2</v>
      </c>
      <c r="AH56" s="176">
        <f t="shared" si="17"/>
        <v>4</v>
      </c>
      <c r="AI56" s="225">
        <f t="shared" si="22"/>
        <v>-1.4969208742027513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8">
        <v>39.517000000000003</v>
      </c>
      <c r="C57" s="390"/>
      <c r="D57" s="393">
        <f t="shared" si="0"/>
        <v>39.74703323572939</v>
      </c>
      <c r="E57" s="385">
        <f t="shared" si="1"/>
        <v>40.980408344977626</v>
      </c>
      <c r="F57" s="385">
        <f t="shared" si="2"/>
        <v>40.986650074876621</v>
      </c>
      <c r="G57" s="110">
        <f t="shared" si="23"/>
        <v>1.0034257665978887</v>
      </c>
      <c r="H57" s="412" t="b">
        <f>Wh_hp&gt;='2018'!Maxi_hp</f>
        <v>1</v>
      </c>
      <c r="I57" s="390">
        <f>IF(H57,Wh_hp,'2018'!Maxi_hp)</f>
        <v>40.986650074876621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5.7874315892991746E-3</v>
      </c>
      <c r="M57" s="957"/>
      <c r="N57" s="957"/>
      <c r="O57" s="48">
        <f>IF(t&lt;Tnet,'2018'!Resal+('2018'!Salim-'2018'!Resal)*(1-EXP(('2018'!Tnet-t)/('2018'!Tau_j))),Resal+(Salim-Resal)*(1-EXP((Tnet-t)/(Tau_j))))*Salcycl</f>
        <v>3.009670130335328E-2</v>
      </c>
      <c r="P57" s="169">
        <f>(INDEX(Models!$BJ57:$BT57,,T57)*(1-R57)+INDEX(Models!$BJ57:$BT57,,T57+1)*R57-ERP_i)*Q57*Ramure*Pc/MaxiM</f>
        <v>1.5228690043199458E-4</v>
      </c>
      <c r="Q57" s="305">
        <f t="shared" si="4"/>
        <v>0.7</v>
      </c>
      <c r="R57" s="177">
        <f t="shared" si="5"/>
        <v>0.50323470458377151</v>
      </c>
      <c r="S57" s="919">
        <f t="shared" si="6"/>
        <v>-2</v>
      </c>
      <c r="T57" s="176">
        <f t="shared" si="7"/>
        <v>4</v>
      </c>
      <c r="U57" s="251">
        <f t="shared" si="21"/>
        <v>-1.4967652954162285</v>
      </c>
      <c r="V57" s="383">
        <f t="shared" si="8"/>
        <v>39.382086164661928</v>
      </c>
      <c r="W57" s="58"/>
      <c r="X57" s="157">
        <f t="shared" si="9"/>
        <v>43508</v>
      </c>
      <c r="Y57" s="385">
        <f t="shared" si="10"/>
        <v>39.517000000000003</v>
      </c>
      <c r="Z57" s="385">
        <f t="shared" si="11"/>
        <v>39.74703323572939</v>
      </c>
      <c r="AA57" s="386">
        <f t="shared" si="12"/>
        <v>40.980408344977626</v>
      </c>
      <c r="AB57" s="197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3.009670130335328E-2</v>
      </c>
      <c r="AD57" s="231">
        <f>(INDEX(Models!$BJ57:$BT57,,AH57)*(1-AF57)+INDEX(Models!$BJ57:$BT57,,AH57+1)*AF57-ERP_i)*AE57*Ramure*Pc/MaxiM</f>
        <v>1.5228690043199458E-4</v>
      </c>
      <c r="AE57" s="305">
        <f t="shared" si="14"/>
        <v>0.7</v>
      </c>
      <c r="AF57" s="177">
        <f t="shared" si="15"/>
        <v>0.50323470458377151</v>
      </c>
      <c r="AG57" s="176">
        <f t="shared" si="16"/>
        <v>-2</v>
      </c>
      <c r="AH57" s="176">
        <f t="shared" si="17"/>
        <v>4</v>
      </c>
      <c r="AI57" s="225">
        <f t="shared" si="22"/>
        <v>-1.4967652954162285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8">
        <v>41.386000000000003</v>
      </c>
      <c r="C58" s="390"/>
      <c r="D58" s="393">
        <f t="shared" si="0"/>
        <v>41.627824666939851</v>
      </c>
      <c r="E58" s="385">
        <f t="shared" si="1"/>
        <v>42.924022628934949</v>
      </c>
      <c r="F58" s="385">
        <f t="shared" si="2"/>
        <v>42.930559585857665</v>
      </c>
      <c r="G58" s="110">
        <f t="shared" si="23"/>
        <v>1.0421202414155346</v>
      </c>
      <c r="H58" s="412" t="b">
        <f>Wh_hp&gt;='2018'!Maxi_hp</f>
        <v>1</v>
      </c>
      <c r="I58" s="390">
        <f>IF(H58,Wh_hp,'2018'!Maxi_hp)</f>
        <v>42.930559585857665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5.8092073961266699E-3</v>
      </c>
      <c r="M58" s="957"/>
      <c r="N58" s="957"/>
      <c r="O58" s="48">
        <f>IF(t&lt;Tnet,'2018'!Resal+('2018'!Salim-'2018'!Resal)*(1-EXP(('2018'!Tnet-t)/('2018'!Tau_j))),Resal+(Salim-Resal)*(1-EXP((Tnet-t)/(Tau_j))))*Salcycl</f>
        <v>3.0197495076366238E-2</v>
      </c>
      <c r="P58" s="169">
        <f>(INDEX(Models!$BJ58:$BT58,,T58)*(1-R58)+INDEX(Models!$BJ58:$BT58,,T58+1)*R58-ERP_i)*Q58*Ramure*Pc/MaxiM</f>
        <v>1.5226815084110602E-4</v>
      </c>
      <c r="Q58" s="305">
        <f t="shared" si="4"/>
        <v>0.7</v>
      </c>
      <c r="R58" s="177">
        <f t="shared" si="5"/>
        <v>0.50339670665481062</v>
      </c>
      <c r="S58" s="919">
        <f t="shared" si="6"/>
        <v>-2</v>
      </c>
      <c r="T58" s="176">
        <f t="shared" si="7"/>
        <v>4</v>
      </c>
      <c r="U58" s="251">
        <f t="shared" si="21"/>
        <v>-1.4966032933451894</v>
      </c>
      <c r="V58" s="383">
        <f t="shared" si="8"/>
        <v>39.713267582044558</v>
      </c>
      <c r="W58" s="58"/>
      <c r="X58" s="157">
        <f t="shared" si="9"/>
        <v>43509</v>
      </c>
      <c r="Y58" s="385">
        <f t="shared" si="10"/>
        <v>41.386000000000003</v>
      </c>
      <c r="Z58" s="385">
        <f t="shared" si="11"/>
        <v>41.627824666939851</v>
      </c>
      <c r="AA58" s="386">
        <f t="shared" si="12"/>
        <v>42.924022628934949</v>
      </c>
      <c r="AB58" s="197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3.0197495076366238E-2</v>
      </c>
      <c r="AD58" s="231">
        <f>(INDEX(Models!$BJ58:$BT58,,AH58)*(1-AF58)+INDEX(Models!$BJ58:$BT58,,AH58+1)*AF58-ERP_i)*AE58*Ramure*Pc/MaxiM</f>
        <v>1.5226815084110602E-4</v>
      </c>
      <c r="AE58" s="305">
        <f t="shared" si="14"/>
        <v>0.7</v>
      </c>
      <c r="AF58" s="177">
        <f t="shared" si="15"/>
        <v>0.50339670665481062</v>
      </c>
      <c r="AG58" s="176">
        <f t="shared" si="16"/>
        <v>-2</v>
      </c>
      <c r="AH58" s="176">
        <f t="shared" si="17"/>
        <v>4</v>
      </c>
      <c r="AI58" s="225">
        <f t="shared" si="22"/>
        <v>-1.4966032933451894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8">
        <v>41.35</v>
      </c>
      <c r="C59" s="390"/>
      <c r="D59" s="393">
        <f t="shared" si="0"/>
        <v>41.592525296535158</v>
      </c>
      <c r="E59" s="385">
        <f t="shared" si="1"/>
        <v>42.892078517922656</v>
      </c>
      <c r="F59" s="385">
        <f t="shared" si="2"/>
        <v>42.898613753230741</v>
      </c>
      <c r="G59" s="110">
        <f t="shared" si="23"/>
        <v>1.0326368550311511</v>
      </c>
      <c r="H59" s="412" t="b">
        <f>Wh_hp&gt;='2018'!Maxi_hp</f>
        <v>1</v>
      </c>
      <c r="I59" s="390">
        <f>IF(H59,Wh_hp,'2018'!Maxi_hp)</f>
        <v>42.898613753230741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5.8309827260081271E-3</v>
      </c>
      <c r="M59" s="957"/>
      <c r="N59" s="957"/>
      <c r="O59" s="48">
        <f>IF(t&lt;Tnet,'2018'!Resal+('2018'!Salim-'2018'!Resal)*(1-EXP(('2018'!Tnet-t)/('2018'!Tau_j))),Resal+(Salim-Resal)*(1-EXP((Tnet-t)/(Tau_j))))*Salcycl</f>
        <v>3.0298210445653062E-2</v>
      </c>
      <c r="P59" s="169">
        <f>(INDEX(Models!$BJ59:$BT59,,T59)*(1-R59)+INDEX(Models!$BJ59:$BT59,,T59+1)*R59-ERP_i)*Q59*Ramure*Pc/MaxiM</f>
        <v>1.5234141004364629E-4</v>
      </c>
      <c r="Q59" s="305">
        <f t="shared" si="4"/>
        <v>0.7</v>
      </c>
      <c r="R59" s="177">
        <f t="shared" si="5"/>
        <v>0.50356539271879242</v>
      </c>
      <c r="S59" s="919">
        <f t="shared" si="6"/>
        <v>-2</v>
      </c>
      <c r="T59" s="176">
        <f t="shared" si="7"/>
        <v>4</v>
      </c>
      <c r="U59" s="251">
        <f t="shared" si="21"/>
        <v>-1.4964346072812076</v>
      </c>
      <c r="V59" s="383">
        <f t="shared" si="8"/>
        <v>40.043118545050014</v>
      </c>
      <c r="W59" s="58"/>
      <c r="X59" s="157">
        <f t="shared" si="9"/>
        <v>43510</v>
      </c>
      <c r="Y59" s="385">
        <f t="shared" si="10"/>
        <v>41.35</v>
      </c>
      <c r="Z59" s="385">
        <f t="shared" si="11"/>
        <v>41.592525296535158</v>
      </c>
      <c r="AA59" s="386">
        <f t="shared" si="12"/>
        <v>42.892078517922656</v>
      </c>
      <c r="AB59" s="197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3.0298210445653062E-2</v>
      </c>
      <c r="AD59" s="231">
        <f>(INDEX(Models!$BJ59:$BT59,,AH59)*(1-AF59)+INDEX(Models!$BJ59:$BT59,,AH59+1)*AF59-ERP_i)*AE59*Ramure*Pc/MaxiM</f>
        <v>1.5234141004364629E-4</v>
      </c>
      <c r="AE59" s="305">
        <f t="shared" si="14"/>
        <v>0.7</v>
      </c>
      <c r="AF59" s="177">
        <f t="shared" si="15"/>
        <v>0.50356539271879242</v>
      </c>
      <c r="AG59" s="176">
        <f t="shared" si="16"/>
        <v>-2</v>
      </c>
      <c r="AH59" s="176">
        <f t="shared" si="17"/>
        <v>4</v>
      </c>
      <c r="AI59" s="225">
        <f t="shared" si="22"/>
        <v>-1.4964346072812076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8">
        <v>41.738999999999997</v>
      </c>
      <c r="C60" s="390"/>
      <c r="D60" s="393">
        <f t="shared" si="0"/>
        <v>41.984726425788836</v>
      </c>
      <c r="E60" s="385">
        <f t="shared" si="1"/>
        <v>43.301027623401779</v>
      </c>
      <c r="F60" s="385">
        <f t="shared" si="2"/>
        <v>43.307632323541206</v>
      </c>
      <c r="G60" s="110">
        <f t="shared" si="23"/>
        <v>1.0338826188079417</v>
      </c>
      <c r="H60" s="412" t="b">
        <f>Wh_hp&gt;='2018'!Maxi_hp</f>
        <v>1</v>
      </c>
      <c r="I60" s="390">
        <f>IF(H60,Wh_hp,'2018'!Maxi_hp)</f>
        <v>43.307632323541206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5.8527575789538711E-3</v>
      </c>
      <c r="M60" s="957"/>
      <c r="N60" s="957"/>
      <c r="O60" s="48">
        <f>IF(t&lt;Tnet,'2018'!Resal+('2018'!Salim-'2018'!Resal)*(1-EXP(('2018'!Tnet-t)/('2018'!Tau_j))),Resal+(Salim-Resal)*(1-EXP((Tnet-t)/(Tau_j))))*Salcycl</f>
        <v>3.0398844319841366E-2</v>
      </c>
      <c r="P60" s="169">
        <f>(INDEX(Models!$BJ60:$BT60,,T60)*(1-R60)+INDEX(Models!$BJ60:$BT60,,T60+1)*R60-ERP_i)*Q60*Ramure*Pc/MaxiM</f>
        <v>1.5250660876783224E-4</v>
      </c>
      <c r="Q60" s="305">
        <f t="shared" si="4"/>
        <v>0.7</v>
      </c>
      <c r="R60" s="177">
        <f t="shared" si="5"/>
        <v>0.50374103368512291</v>
      </c>
      <c r="S60" s="919">
        <f t="shared" si="6"/>
        <v>-2</v>
      </c>
      <c r="T60" s="176">
        <f t="shared" si="7"/>
        <v>4</v>
      </c>
      <c r="U60" s="251">
        <f t="shared" si="21"/>
        <v>-1.4962589663148771</v>
      </c>
      <c r="V60" s="383">
        <f t="shared" si="8"/>
        <v>40.371120706260378</v>
      </c>
      <c r="W60" s="58"/>
      <c r="X60" s="157">
        <f t="shared" si="9"/>
        <v>43511</v>
      </c>
      <c r="Y60" s="385">
        <f t="shared" si="10"/>
        <v>41.738999999999997</v>
      </c>
      <c r="Z60" s="385">
        <f t="shared" si="11"/>
        <v>41.984726425788836</v>
      </c>
      <c r="AA60" s="386">
        <f t="shared" si="12"/>
        <v>43.301027623401779</v>
      </c>
      <c r="AB60" s="197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3.0398844319841366E-2</v>
      </c>
      <c r="AD60" s="231">
        <f>(INDEX(Models!$BJ60:$BT60,,AH60)*(1-AF60)+INDEX(Models!$BJ60:$BT60,,AH60+1)*AF60-ERP_i)*AE60*Ramure*Pc/MaxiM</f>
        <v>1.5250660876783224E-4</v>
      </c>
      <c r="AE60" s="305">
        <f t="shared" si="14"/>
        <v>0.7</v>
      </c>
      <c r="AF60" s="177">
        <f t="shared" si="15"/>
        <v>0.50374103368512291</v>
      </c>
      <c r="AG60" s="176">
        <f t="shared" si="16"/>
        <v>-2</v>
      </c>
      <c r="AH60" s="176">
        <f t="shared" si="17"/>
        <v>4</v>
      </c>
      <c r="AI60" s="225">
        <f t="shared" si="22"/>
        <v>-1.4962589663148771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8">
        <v>42.04</v>
      </c>
      <c r="C61" s="390"/>
      <c r="D61" s="393">
        <f t="shared" si="0"/>
        <v>42.288424702238835</v>
      </c>
      <c r="E61" s="385">
        <f t="shared" si="1"/>
        <v>43.618770764840477</v>
      </c>
      <c r="F61" s="385">
        <f t="shared" si="2"/>
        <v>43.625435149292962</v>
      </c>
      <c r="G61" s="110">
        <f t="shared" si="23"/>
        <v>1.0330061694230011</v>
      </c>
      <c r="H61" s="412" t="b">
        <f>Wh_hp&gt;='2018'!Maxi_hp</f>
        <v>1</v>
      </c>
      <c r="I61" s="390">
        <f>IF(H61,Wh_hp,'2018'!Maxi_hp)</f>
        <v>43.625435149292962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5.87453195497456E-3</v>
      </c>
      <c r="M61" s="957"/>
      <c r="N61" s="957"/>
      <c r="O61" s="48">
        <f>IF(t&lt;Tnet,'2018'!Resal+('2018'!Salim-'2018'!Resal)*(1-EXP(('2018'!Tnet-t)/('2018'!Tau_j))),Resal+(Salim-Resal)*(1-EXP((Tnet-t)/(Tau_j))))*Salcycl</f>
        <v>3.0499393707673707E-2</v>
      </c>
      <c r="P61" s="169">
        <f>(INDEX(Models!$BJ61:$BT61,,T61)*(1-R61)+INDEX(Models!$BJ61:$BT61,,T61+1)*R61-ERP_i)*Q61*Ramure*Pc/MaxiM</f>
        <v>1.5276373587295238E-4</v>
      </c>
      <c r="Q61" s="305">
        <f t="shared" si="4"/>
        <v>0.7</v>
      </c>
      <c r="R61" s="177">
        <f t="shared" si="5"/>
        <v>0.50392391103091083</v>
      </c>
      <c r="S61" s="919">
        <f t="shared" si="6"/>
        <v>-2</v>
      </c>
      <c r="T61" s="176">
        <f t="shared" si="7"/>
        <v>4</v>
      </c>
      <c r="U61" s="251">
        <f t="shared" si="21"/>
        <v>-1.4960760889690892</v>
      </c>
      <c r="V61" s="383">
        <f t="shared" si="8"/>
        <v>40.696755977248401</v>
      </c>
      <c r="W61" s="58"/>
      <c r="X61" s="157">
        <f t="shared" si="9"/>
        <v>43512</v>
      </c>
      <c r="Y61" s="385">
        <f t="shared" si="10"/>
        <v>42.04</v>
      </c>
      <c r="Z61" s="385">
        <f t="shared" si="11"/>
        <v>42.288424702238835</v>
      </c>
      <c r="AA61" s="386">
        <f t="shared" si="12"/>
        <v>43.618770764840477</v>
      </c>
      <c r="AB61" s="197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3.0499393707673707E-2</v>
      </c>
      <c r="AD61" s="231">
        <f>(INDEX(Models!$BJ61:$BT61,,AH61)*(1-AF61)+INDEX(Models!$BJ61:$BT61,,AH61+1)*AF61-ERP_i)*AE61*Ramure*Pc/MaxiM</f>
        <v>1.5276373587295238E-4</v>
      </c>
      <c r="AE61" s="305">
        <f t="shared" si="14"/>
        <v>0.7</v>
      </c>
      <c r="AF61" s="177">
        <f t="shared" si="15"/>
        <v>0.50392391103091083</v>
      </c>
      <c r="AG61" s="176">
        <f t="shared" si="16"/>
        <v>-2</v>
      </c>
      <c r="AH61" s="176">
        <f t="shared" si="17"/>
        <v>4</v>
      </c>
      <c r="AI61" s="225">
        <f t="shared" si="22"/>
        <v>-1.4960760889690892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8">
        <v>42.726999999999997</v>
      </c>
      <c r="C62" s="390"/>
      <c r="D62" s="393">
        <f t="shared" si="0"/>
        <v>42.980425735877326</v>
      </c>
      <c r="E62" s="385">
        <f t="shared" si="1"/>
        <v>44.337135693266788</v>
      </c>
      <c r="F62" s="385">
        <f t="shared" si="2"/>
        <v>44.343925318135149</v>
      </c>
      <c r="G62" s="110">
        <f t="shared" si="23"/>
        <v>1.0416263777916266</v>
      </c>
      <c r="H62" s="412" t="b">
        <f>Wh_hp&gt;='2018'!Maxi_hp</f>
        <v>1</v>
      </c>
      <c r="I62" s="390">
        <f>IF(H62,Wh_hp,'2018'!Maxi_hp)</f>
        <v>44.343925318135149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5.8963058540805191E-3</v>
      </c>
      <c r="M62" s="957"/>
      <c r="N62" s="957"/>
      <c r="O62" s="48">
        <f>IF(t&lt;Tnet,'2018'!Resal+('2018'!Salim-'2018'!Resal)*(1-EXP(('2018'!Tnet-t)/('2018'!Tau_j))),Resal+(Salim-Resal)*(1-EXP((Tnet-t)/(Tau_j))))*Salcycl</f>
        <v>3.059985576820862E-2</v>
      </c>
      <c r="P62" s="169">
        <f>(INDEX(Models!$BJ62:$BT62,,T62)*(1-R62)+INDEX(Models!$BJ62:$BT62,,T62+1)*R62-ERP_i)*Q62*Ramure*Pc/MaxiM</f>
        <v>1.5311285186528448E-4</v>
      </c>
      <c r="Q62" s="305">
        <f t="shared" si="4"/>
        <v>0.7</v>
      </c>
      <c r="R62" s="177">
        <f t="shared" si="5"/>
        <v>0.50411431717806732</v>
      </c>
      <c r="S62" s="919">
        <f t="shared" si="6"/>
        <v>-2</v>
      </c>
      <c r="T62" s="176">
        <f t="shared" si="7"/>
        <v>4</v>
      </c>
      <c r="U62" s="251">
        <f t="shared" si="21"/>
        <v>-1.4958856828219327</v>
      </c>
      <c r="V62" s="383">
        <f t="shared" si="8"/>
        <v>41.019506524581679</v>
      </c>
      <c r="W62" s="58"/>
      <c r="X62" s="157">
        <f t="shared" si="9"/>
        <v>43513</v>
      </c>
      <c r="Y62" s="385">
        <f t="shared" si="10"/>
        <v>42.726999999999997</v>
      </c>
      <c r="Z62" s="385">
        <f t="shared" si="11"/>
        <v>42.980425735877326</v>
      </c>
      <c r="AA62" s="386">
        <f t="shared" si="12"/>
        <v>44.337135693266788</v>
      </c>
      <c r="AB62" s="197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3.059985576820862E-2</v>
      </c>
      <c r="AD62" s="231">
        <f>(INDEX(Models!$BJ62:$BT62,,AH62)*(1-AF62)+INDEX(Models!$BJ62:$BT62,,AH62+1)*AF62-ERP_i)*AE62*Ramure*Pc/MaxiM</f>
        <v>1.5311285186528448E-4</v>
      </c>
      <c r="AE62" s="305">
        <f t="shared" si="14"/>
        <v>0.7</v>
      </c>
      <c r="AF62" s="177">
        <f t="shared" si="15"/>
        <v>0.50411431717806732</v>
      </c>
      <c r="AG62" s="176">
        <f t="shared" si="16"/>
        <v>-2</v>
      </c>
      <c r="AH62" s="176">
        <f t="shared" si="17"/>
        <v>4</v>
      </c>
      <c r="AI62" s="225">
        <f t="shared" si="22"/>
        <v>-1.4958856828219327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8">
        <v>42.084000000000003</v>
      </c>
      <c r="C63" s="390"/>
      <c r="D63" s="393">
        <f t="shared" si="0"/>
        <v>42.334539158867052</v>
      </c>
      <c r="E63" s="385">
        <f t="shared" si="1"/>
        <v>43.675383380574388</v>
      </c>
      <c r="F63" s="385">
        <f t="shared" si="2"/>
        <v>43.682090944826165</v>
      </c>
      <c r="G63" s="110">
        <f t="shared" si="23"/>
        <v>1.0180252993144374</v>
      </c>
      <c r="H63" s="412" t="b">
        <f>Wh_hp&gt;='2018'!Maxi_hp</f>
        <v>1</v>
      </c>
      <c r="I63" s="390">
        <f>IF(H63,Wh_hp,'2018'!Maxi_hp)</f>
        <v>43.682090944826165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5.9180792762821843E-3</v>
      </c>
      <c r="M63" s="957"/>
      <c r="N63" s="957"/>
      <c r="O63" s="48">
        <f>IF(t&lt;Tnet,'2018'!Resal+('2018'!Salim-'2018'!Resal)*(1-EXP(('2018'!Tnet-t)/('2018'!Tau_j))),Resal+(Salim-Resal)*(1-EXP((Tnet-t)/(Tau_j))))*Salcycl</f>
        <v>3.0700227861164265E-2</v>
      </c>
      <c r="P63" s="169">
        <f>(INDEX(Models!$BJ63:$BT63,,T63)*(1-R63)+INDEX(Models!$BJ63:$BT63,,T63+1)*R63-ERP_i)*Q63*Ramure*Pc/MaxiM</f>
        <v>1.5355410207470283E-4</v>
      </c>
      <c r="Q63" s="305">
        <f t="shared" si="4"/>
        <v>0.7</v>
      </c>
      <c r="R63" s="177">
        <f t="shared" si="5"/>
        <v>0.50431255588081547</v>
      </c>
      <c r="S63" s="919">
        <f t="shared" si="6"/>
        <v>-2</v>
      </c>
      <c r="T63" s="176">
        <f t="shared" si="7"/>
        <v>4</v>
      </c>
      <c r="U63" s="251">
        <f t="shared" si="21"/>
        <v>-1.4956874441191845</v>
      </c>
      <c r="V63" s="383">
        <f t="shared" si="8"/>
        <v>41.338854769464341</v>
      </c>
      <c r="W63" s="58"/>
      <c r="X63" s="157">
        <f t="shared" si="9"/>
        <v>43514</v>
      </c>
      <c r="Y63" s="385">
        <f t="shared" si="10"/>
        <v>42.084000000000003</v>
      </c>
      <c r="Z63" s="385">
        <f t="shared" si="11"/>
        <v>42.334539158867052</v>
      </c>
      <c r="AA63" s="386">
        <f t="shared" si="12"/>
        <v>43.675383380574388</v>
      </c>
      <c r="AB63" s="197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3.0700227861164265E-2</v>
      </c>
      <c r="AD63" s="231">
        <f>(INDEX(Models!$BJ63:$BT63,,AH63)*(1-AF63)+INDEX(Models!$BJ63:$BT63,,AH63+1)*AF63-ERP_i)*AE63*Ramure*Pc/MaxiM</f>
        <v>1.5355410207470283E-4</v>
      </c>
      <c r="AE63" s="305">
        <f t="shared" si="14"/>
        <v>0.7</v>
      </c>
      <c r="AF63" s="177">
        <f t="shared" si="15"/>
        <v>0.50431255588081547</v>
      </c>
      <c r="AG63" s="176">
        <f t="shared" si="16"/>
        <v>-2</v>
      </c>
      <c r="AH63" s="176">
        <f t="shared" si="17"/>
        <v>4</v>
      </c>
      <c r="AI63" s="225">
        <f t="shared" si="22"/>
        <v>-1.4956874441191845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8">
        <v>30.768999999999998</v>
      </c>
      <c r="C64" s="390"/>
      <c r="D64" s="393">
        <f t="shared" si="0"/>
        <v>30.952855386834038</v>
      </c>
      <c r="E64" s="385">
        <f t="shared" si="1"/>
        <v>31.936516299743047</v>
      </c>
      <c r="F64" s="385">
        <f t="shared" si="2"/>
        <v>31.939600502413054</v>
      </c>
      <c r="G64" s="110">
        <f t="shared" si="23"/>
        <v>0.73863303775780043</v>
      </c>
      <c r="H64" s="412" t="b">
        <f>Wh_hp&gt;='2018'!Maxi_hp</f>
        <v>1</v>
      </c>
      <c r="I64" s="390">
        <f>IF(H64,Wh_hp,'2018'!Maxi_hp)</f>
        <v>31.939600502413054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5.9398522215899918E-3</v>
      </c>
      <c r="M64" s="957"/>
      <c r="N64" s="957"/>
      <c r="O64" s="48">
        <f>IF(t&lt;Tnet,'2018'!Resal+('2018'!Salim-'2018'!Resal)*(1-EXP(('2018'!Tnet-t)/('2018'!Tau_j))),Resal+(Salim-Resal)*(1-EXP((Tnet-t)/(Tau_j))))*Salcycl</f>
        <v>3.0800507596907938E-2</v>
      </c>
      <c r="P64" s="169">
        <f>(INDEX(Models!$BJ64:$BT64,,T64)*(1-R64)+INDEX(Models!$BJ64:$BT64,,T64+1)*R64-ERP_i)*Q64*Ramure*Pc/MaxiM</f>
        <v>1.5408772960692066E-4</v>
      </c>
      <c r="Q64" s="305">
        <f t="shared" si="4"/>
        <v>0.7</v>
      </c>
      <c r="R64" s="177">
        <f t="shared" si="5"/>
        <v>0.50451894262362451</v>
      </c>
      <c r="S64" s="919">
        <f t="shared" si="6"/>
        <v>-2</v>
      </c>
      <c r="T64" s="176">
        <f t="shared" si="7"/>
        <v>4</v>
      </c>
      <c r="U64" s="251">
        <f t="shared" si="21"/>
        <v>-1.4954810573763755</v>
      </c>
      <c r="V64" s="383">
        <f t="shared" si="8"/>
        <v>41.65428338054182</v>
      </c>
      <c r="W64" s="58"/>
      <c r="X64" s="157">
        <f t="shared" si="9"/>
        <v>43515</v>
      </c>
      <c r="Y64" s="385">
        <f t="shared" si="10"/>
        <v>30.768999999999998</v>
      </c>
      <c r="Z64" s="385">
        <f t="shared" si="11"/>
        <v>30.952855386834038</v>
      </c>
      <c r="AA64" s="386">
        <f t="shared" si="12"/>
        <v>31.936516299743047</v>
      </c>
      <c r="AB64" s="197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3.0800507596907938E-2</v>
      </c>
      <c r="AD64" s="231">
        <f>(INDEX(Models!$BJ64:$BT64,,AH64)*(1-AF64)+INDEX(Models!$BJ64:$BT64,,AH64+1)*AF64-ERP_i)*AE64*Ramure*Pc/MaxiM</f>
        <v>1.5408772960692066E-4</v>
      </c>
      <c r="AE64" s="305">
        <f t="shared" si="14"/>
        <v>0.7</v>
      </c>
      <c r="AF64" s="177">
        <f t="shared" si="15"/>
        <v>0.50451894262362451</v>
      </c>
      <c r="AG64" s="176">
        <f t="shared" si="16"/>
        <v>-2</v>
      </c>
      <c r="AH64" s="176">
        <f t="shared" si="17"/>
        <v>4</v>
      </c>
      <c r="AI64" s="225">
        <f t="shared" si="22"/>
        <v>-1.4954810573763755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8">
        <v>41.627000000000002</v>
      </c>
      <c r="C65" s="390"/>
      <c r="D65" s="393">
        <f t="shared" si="0"/>
        <v>41.876652887791025</v>
      </c>
      <c r="E65" s="385">
        <f t="shared" si="1"/>
        <v>43.211931512451152</v>
      </c>
      <c r="F65" s="385">
        <f t="shared" si="2"/>
        <v>43.218540620250515</v>
      </c>
      <c r="G65" s="110">
        <f t="shared" si="23"/>
        <v>0.99191205144923633</v>
      </c>
      <c r="H65" s="412" t="b">
        <f>Wh_hp&gt;='2018'!Maxi_hp</f>
        <v>1</v>
      </c>
      <c r="I65" s="390">
        <f>IF(H65,Wh_hp,'2018'!Maxi_hp)</f>
        <v>43.218540620250515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5.9616246900144887E-3</v>
      </c>
      <c r="M65" s="957"/>
      <c r="N65" s="957"/>
      <c r="O65" s="48">
        <f>IF(t&lt;Tnet,'2018'!Resal+('2018'!Salim-'2018'!Resal)*(1-EXP(('2018'!Tnet-t)/('2018'!Tau_j))),Resal+(Salim-Resal)*(1-EXP((Tnet-t)/(Tau_j))))*Salcycl</f>
        <v>3.0900692885606703E-2</v>
      </c>
      <c r="P65" s="169">
        <f>(INDEX(Models!$BJ65:$BT65,,T65)*(1-R65)+INDEX(Models!$BJ65:$BT65,,T65+1)*R65-ERP_i)*Q65*Ramure*Pc/MaxiM</f>
        <v>1.5471013672465407E-4</v>
      </c>
      <c r="Q65" s="305">
        <f t="shared" si="4"/>
        <v>0.7</v>
      </c>
      <c r="R65" s="177">
        <f t="shared" si="5"/>
        <v>0.50473380502953469</v>
      </c>
      <c r="S65" s="919">
        <f t="shared" si="6"/>
        <v>-2</v>
      </c>
      <c r="T65" s="176">
        <f t="shared" si="7"/>
        <v>4</v>
      </c>
      <c r="U65" s="251">
        <f t="shared" si="21"/>
        <v>-1.4952661949704653</v>
      </c>
      <c r="V65" s="383">
        <f t="shared" si="8"/>
        <v>41.966347251870012</v>
      </c>
      <c r="W65" s="58"/>
      <c r="X65" s="157">
        <f t="shared" si="9"/>
        <v>43516</v>
      </c>
      <c r="Y65" s="385">
        <f t="shared" si="10"/>
        <v>41.627000000000002</v>
      </c>
      <c r="Z65" s="385">
        <f t="shared" si="11"/>
        <v>41.876652887791025</v>
      </c>
      <c r="AA65" s="386">
        <f t="shared" si="12"/>
        <v>43.211931512451152</v>
      </c>
      <c r="AB65" s="197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3.0900692885606703E-2</v>
      </c>
      <c r="AD65" s="231">
        <f>(INDEX(Models!$BJ65:$BT65,,AH65)*(1-AF65)+INDEX(Models!$BJ65:$BT65,,AH65+1)*AF65-ERP_i)*AE65*Ramure*Pc/MaxiM</f>
        <v>1.5471013672465407E-4</v>
      </c>
      <c r="AE65" s="305">
        <f t="shared" si="14"/>
        <v>0.7</v>
      </c>
      <c r="AF65" s="177">
        <f t="shared" si="15"/>
        <v>0.50473380502953469</v>
      </c>
      <c r="AG65" s="176">
        <f t="shared" si="16"/>
        <v>-2</v>
      </c>
      <c r="AH65" s="176">
        <f t="shared" si="17"/>
        <v>4</v>
      </c>
      <c r="AI65" s="225">
        <f t="shared" si="22"/>
        <v>-1.4952661949704653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8">
        <v>40.874000000000002</v>
      </c>
      <c r="C66" s="390"/>
      <c r="D66" s="393">
        <f t="shared" si="0"/>
        <v>41.120037495898835</v>
      </c>
      <c r="E66" s="385">
        <f t="shared" si="1"/>
        <v>42.435573457052371</v>
      </c>
      <c r="F66" s="385">
        <f t="shared" si="2"/>
        <v>42.441850727741603</v>
      </c>
      <c r="G66" s="110">
        <f t="shared" si="23"/>
        <v>0.96682934727374215</v>
      </c>
      <c r="H66" s="412" t="b">
        <f>Wh_hp&gt;='2018'!Maxi_hp</f>
        <v>1</v>
      </c>
      <c r="I66" s="390">
        <f>IF(H66,Wh_hp,'2018'!Maxi_hp)</f>
        <v>42.441850727741603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5.983396681566E-3</v>
      </c>
      <c r="M66" s="957"/>
      <c r="N66" s="957"/>
      <c r="O66" s="48">
        <f>IF(t&lt;Tnet,'2018'!Resal+('2018'!Salim-'2018'!Resal)*(1-EXP(('2018'!Tnet-t)/('2018'!Tau_j))),Resal+(Salim-Resal)*(1-EXP((Tnet-t)/(Tau_j))))*Salcycl</f>
        <v>3.1000781985070766E-2</v>
      </c>
      <c r="P66" s="169">
        <f>(INDEX(Models!$BJ66:$BT66,,T66)*(1-R66)+INDEX(Models!$BJ66:$BT66,,T66+1)*R66-ERP_i)*Q66*Ramure*Pc/MaxiM</f>
        <v>1.5525844990944121E-4</v>
      </c>
      <c r="Q66" s="305">
        <f t="shared" si="4"/>
        <v>0.7</v>
      </c>
      <c r="R66" s="177">
        <f t="shared" si="5"/>
        <v>0.50495748327882151</v>
      </c>
      <c r="S66" s="919">
        <f t="shared" si="6"/>
        <v>-2</v>
      </c>
      <c r="T66" s="176">
        <f t="shared" si="7"/>
        <v>4</v>
      </c>
      <c r="U66" s="251">
        <f t="shared" si="21"/>
        <v>-1.4950425167211785</v>
      </c>
      <c r="V66" s="383">
        <f t="shared" si="8"/>
        <v>42.276022565924087</v>
      </c>
      <c r="W66" s="58"/>
      <c r="X66" s="157">
        <f t="shared" si="9"/>
        <v>43517</v>
      </c>
      <c r="Y66" s="385">
        <f t="shared" si="10"/>
        <v>40.874000000000002</v>
      </c>
      <c r="Z66" s="385">
        <f t="shared" si="11"/>
        <v>41.120037495898835</v>
      </c>
      <c r="AA66" s="386">
        <f t="shared" si="12"/>
        <v>42.435573457052371</v>
      </c>
      <c r="AB66" s="197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3.1000781985070766E-2</v>
      </c>
      <c r="AD66" s="231">
        <f>(INDEX(Models!$BJ66:$BT66,,AH66)*(1-AF66)+INDEX(Models!$BJ66:$BT66,,AH66+1)*AF66-ERP_i)*AE66*Ramure*Pc/MaxiM</f>
        <v>1.5525844990944121E-4</v>
      </c>
      <c r="AE66" s="305">
        <f t="shared" si="14"/>
        <v>0.7</v>
      </c>
      <c r="AF66" s="177">
        <f t="shared" si="15"/>
        <v>0.50495748327882151</v>
      </c>
      <c r="AG66" s="176">
        <f t="shared" si="16"/>
        <v>-2</v>
      </c>
      <c r="AH66" s="176">
        <f t="shared" si="17"/>
        <v>4</v>
      </c>
      <c r="AI66" s="225">
        <f t="shared" si="22"/>
        <v>-1.4950425167211785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8">
        <v>40.890999999999998</v>
      </c>
      <c r="C67" s="390"/>
      <c r="D67" s="393">
        <f t="shared" si="0"/>
        <v>41.138040854596262</v>
      </c>
      <c r="E67" s="385">
        <f t="shared" si="1"/>
        <v>42.458534109052785</v>
      </c>
      <c r="F67" s="385">
        <f t="shared" si="2"/>
        <v>42.464770609772728</v>
      </c>
      <c r="G67" s="110">
        <f t="shared" si="23"/>
        <v>0.96024797681090268</v>
      </c>
      <c r="H67" s="412" t="b">
        <f>Wh_hp&gt;='2018'!Maxi_hp</f>
        <v>1</v>
      </c>
      <c r="I67" s="390">
        <f>IF(H67,Wh_hp,'2018'!Maxi_hp)</f>
        <v>42.464770609772728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6.0051681962550729E-3</v>
      </c>
      <c r="M67" s="957"/>
      <c r="N67" s="957"/>
      <c r="O67" s="48">
        <f>IF(t&lt;Tnet,'2018'!Resal+('2018'!Salim-'2018'!Resal)*(1-EXP(('2018'!Tnet-t)/('2018'!Tau_j))),Resal+(Salim-Resal)*(1-EXP((Tnet-t)/(Tau_j))))*Salcycl</f>
        <v>3.1100773546842004E-2</v>
      </c>
      <c r="P67" s="169">
        <f>(INDEX(Models!$BJ67:$BT67,,T67)*(1-R67)+INDEX(Models!$BJ67:$BT67,,T67+1)*R67-ERP_i)*Q67*Ramure*Pc/MaxiM</f>
        <v>1.5570321165132855E-4</v>
      </c>
      <c r="Q67" s="305">
        <f t="shared" si="4"/>
        <v>0.7</v>
      </c>
      <c r="R67" s="177">
        <f t="shared" si="5"/>
        <v>0.50519033053789064</v>
      </c>
      <c r="S67" s="919">
        <f t="shared" si="6"/>
        <v>-2</v>
      </c>
      <c r="T67" s="176">
        <f t="shared" si="7"/>
        <v>4</v>
      </c>
      <c r="U67" s="251">
        <f t="shared" si="21"/>
        <v>-1.4948096694621094</v>
      </c>
      <c r="V67" s="383">
        <f t="shared" si="8"/>
        <v>42.583415374465972</v>
      </c>
      <c r="W67" s="58"/>
      <c r="X67" s="157">
        <f t="shared" si="9"/>
        <v>43518</v>
      </c>
      <c r="Y67" s="385">
        <f t="shared" si="10"/>
        <v>40.890999999999998</v>
      </c>
      <c r="Z67" s="385">
        <f t="shared" si="11"/>
        <v>41.138040854596262</v>
      </c>
      <c r="AA67" s="386">
        <f t="shared" si="12"/>
        <v>42.458534109052785</v>
      </c>
      <c r="AB67" s="197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3.1100773546842004E-2</v>
      </c>
      <c r="AD67" s="231">
        <f>(INDEX(Models!$BJ67:$BT67,,AH67)*(1-AF67)+INDEX(Models!$BJ67:$BT67,,AH67+1)*AF67-ERP_i)*AE67*Ramure*Pc/MaxiM</f>
        <v>1.5570321165132855E-4</v>
      </c>
      <c r="AE67" s="305">
        <f t="shared" si="14"/>
        <v>0.7</v>
      </c>
      <c r="AF67" s="177">
        <f t="shared" si="15"/>
        <v>0.50519033053789064</v>
      </c>
      <c r="AG67" s="176">
        <f t="shared" si="16"/>
        <v>-2</v>
      </c>
      <c r="AH67" s="176">
        <f t="shared" si="17"/>
        <v>4</v>
      </c>
      <c r="AI67" s="225">
        <f t="shared" si="22"/>
        <v>-1.4948096694621094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8">
        <v>41.874000000000002</v>
      </c>
      <c r="C68" s="390"/>
      <c r="D68" s="393">
        <f t="shared" si="0"/>
        <v>42.127902307265657</v>
      </c>
      <c r="E68" s="385">
        <f t="shared" si="1"/>
        <v>43.484652453291368</v>
      </c>
      <c r="F68" s="385">
        <f t="shared" si="2"/>
        <v>43.491209699160983</v>
      </c>
      <c r="G68" s="110">
        <f t="shared" si="23"/>
        <v>0.97633752251757888</v>
      </c>
      <c r="H68" s="412" t="b">
        <f>Wh_hp&gt;='2018'!Maxi_hp</f>
        <v>1</v>
      </c>
      <c r="I68" s="390">
        <f>IF(H68,Wh_hp,'2018'!Maxi_hp)</f>
        <v>43.491209699160983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6.0269392340920325E-3</v>
      </c>
      <c r="M68" s="957"/>
      <c r="N68" s="957"/>
      <c r="O68" s="48">
        <f>IF(t&lt;Tnet,'2018'!Resal+('2018'!Salim-'2018'!Resal)*(1-EXP(('2018'!Tnet-t)/('2018'!Tau_j))),Resal+(Salim-Resal)*(1-EXP((Tnet-t)/(Tau_j))))*Salcycl</f>
        <v>3.1200666660106107E-2</v>
      </c>
      <c r="P68" s="169">
        <f>(INDEX(Models!$BJ68:$BT68,,T68)*(1-R68)+INDEX(Models!$BJ68:$BT68,,T68+1)*R68-ERP_i)*Q68*Ramure*Pc/MaxiM</f>
        <v>1.5604549367076448E-4</v>
      </c>
      <c r="Q68" s="305">
        <f t="shared" si="4"/>
        <v>0.7</v>
      </c>
      <c r="R68" s="177">
        <f t="shared" si="5"/>
        <v>0.50543271339826856</v>
      </c>
      <c r="S68" s="919">
        <f t="shared" si="6"/>
        <v>-2</v>
      </c>
      <c r="T68" s="176">
        <f t="shared" si="7"/>
        <v>4</v>
      </c>
      <c r="U68" s="251">
        <f t="shared" si="21"/>
        <v>-1.4945672866017314</v>
      </c>
      <c r="V68" s="383">
        <f t="shared" si="8"/>
        <v>42.888630384759352</v>
      </c>
      <c r="W68" s="58"/>
      <c r="X68" s="157">
        <f t="shared" si="9"/>
        <v>43519</v>
      </c>
      <c r="Y68" s="385">
        <f t="shared" si="10"/>
        <v>41.874000000000002</v>
      </c>
      <c r="Z68" s="385">
        <f t="shared" si="11"/>
        <v>42.127902307265657</v>
      </c>
      <c r="AA68" s="386">
        <f t="shared" si="12"/>
        <v>43.484652453291368</v>
      </c>
      <c r="AB68" s="197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3.1200666660106107E-2</v>
      </c>
      <c r="AD68" s="231">
        <f>(INDEX(Models!$BJ68:$BT68,,AH68)*(1-AF68)+INDEX(Models!$BJ68:$BT68,,AH68+1)*AF68-ERP_i)*AE68*Ramure*Pc/MaxiM</f>
        <v>1.5604549367076448E-4</v>
      </c>
      <c r="AE68" s="305">
        <f t="shared" si="14"/>
        <v>0.7</v>
      </c>
      <c r="AF68" s="177">
        <f t="shared" si="15"/>
        <v>0.50543271339826856</v>
      </c>
      <c r="AG68" s="176">
        <f t="shared" si="16"/>
        <v>-2</v>
      </c>
      <c r="AH68" s="176">
        <f t="shared" si="17"/>
        <v>4</v>
      </c>
      <c r="AI68" s="225">
        <f t="shared" si="22"/>
        <v>-1.4945672866017314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8">
        <v>41.665999999999997</v>
      </c>
      <c r="C69" s="390"/>
      <c r="D69" s="393">
        <f t="shared" si="0"/>
        <v>41.91955924863295</v>
      </c>
      <c r="E69" s="385">
        <f t="shared" si="1"/>
        <v>43.274057183178002</v>
      </c>
      <c r="F69" s="385">
        <f t="shared" si="2"/>
        <v>43.280480008103218</v>
      </c>
      <c r="G69" s="110">
        <f t="shared" si="23"/>
        <v>0.96466686155353054</v>
      </c>
      <c r="H69" s="412" t="b">
        <f>Wh_hp&gt;='2018'!Maxi_hp</f>
        <v>1</v>
      </c>
      <c r="I69" s="390">
        <f>IF(H69,Wh_hp,'2018'!Maxi_hp)</f>
        <v>43.280480008103218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6.0487097950874258E-3</v>
      </c>
      <c r="M69" s="957"/>
      <c r="N69" s="957"/>
      <c r="O69" s="48">
        <f>IF(t&lt;Tnet,'2018'!Resal+('2018'!Salim-'2018'!Resal)*(1-EXP(('2018'!Tnet-t)/('2018'!Tau_j))),Resal+(Salim-Resal)*(1-EXP((Tnet-t)/(Tau_j))))*Salcycl</f>
        <v>3.1300460893035641E-2</v>
      </c>
      <c r="P69" s="169">
        <f>(INDEX(Models!$BJ69:$BT69,,T69)*(1-R69)+INDEX(Models!$BJ69:$BT69,,T69+1)*R69-ERP_i)*Q69*Ramure*Pc/MaxiM</f>
        <v>1.5628707266823269E-4</v>
      </c>
      <c r="Q69" s="305">
        <f t="shared" si="4"/>
        <v>0.7</v>
      </c>
      <c r="R69" s="177">
        <f t="shared" si="5"/>
        <v>0.50568501232548679</v>
      </c>
      <c r="S69" s="919">
        <f t="shared" si="6"/>
        <v>-2</v>
      </c>
      <c r="T69" s="176">
        <f t="shared" si="7"/>
        <v>4</v>
      </c>
      <c r="U69" s="251">
        <f t="shared" si="21"/>
        <v>-1.4943149876745132</v>
      </c>
      <c r="V69" s="383">
        <f t="shared" si="8"/>
        <v>43.191772196864662</v>
      </c>
      <c r="W69" s="58"/>
      <c r="X69" s="157">
        <f t="shared" si="9"/>
        <v>43520</v>
      </c>
      <c r="Y69" s="385">
        <f t="shared" si="10"/>
        <v>41.665999999999997</v>
      </c>
      <c r="Z69" s="385">
        <f t="shared" si="11"/>
        <v>41.91955924863295</v>
      </c>
      <c r="AA69" s="386">
        <f t="shared" si="12"/>
        <v>43.274057183178002</v>
      </c>
      <c r="AB69" s="197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3.1300460893035641E-2</v>
      </c>
      <c r="AD69" s="231">
        <f>(INDEX(Models!$BJ69:$BT69,,AH69)*(1-AF69)+INDEX(Models!$BJ69:$BT69,,AH69+1)*AF69-ERP_i)*AE69*Ramure*Pc/MaxiM</f>
        <v>1.5628707266823269E-4</v>
      </c>
      <c r="AE69" s="305">
        <f t="shared" si="14"/>
        <v>0.7</v>
      </c>
      <c r="AF69" s="177">
        <f t="shared" si="15"/>
        <v>0.50568501232548679</v>
      </c>
      <c r="AG69" s="176">
        <f t="shared" si="16"/>
        <v>-2</v>
      </c>
      <c r="AH69" s="176">
        <f t="shared" si="17"/>
        <v>4</v>
      </c>
      <c r="AI69" s="225">
        <f t="shared" si="22"/>
        <v>-1.4943149876745132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8">
        <v>42.567999999999998</v>
      </c>
      <c r="C70" s="390"/>
      <c r="D70" s="393">
        <f t="shared" si="0"/>
        <v>42.827986429891517</v>
      </c>
      <c r="E70" s="385">
        <f t="shared" si="1"/>
        <v>44.216387923077356</v>
      </c>
      <c r="F70" s="385">
        <f t="shared" si="2"/>
        <v>44.223095559004854</v>
      </c>
      <c r="G70" s="110">
        <f t="shared" si="23"/>
        <v>0.97872878787036666</v>
      </c>
      <c r="H70" s="412" t="b">
        <f>Wh_hp&gt;='2018'!Maxi_hp</f>
        <v>1</v>
      </c>
      <c r="I70" s="390">
        <f>IF(H70,Wh_hp,'2018'!Maxi_hp)</f>
        <v>44.223095559004854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6.070479879251689E-3</v>
      </c>
      <c r="M70" s="957"/>
      <c r="N70" s="957"/>
      <c r="O70" s="48">
        <f>IF(t&lt;Tnet,'2018'!Resal+('2018'!Salim-'2018'!Resal)*(1-EXP(('2018'!Tnet-t)/('2018'!Tau_j))),Resal+(Salim-Resal)*(1-EXP((Tnet-t)/(Tau_j))))*Salcycl</f>
        <v>3.1400156331205159E-2</v>
      </c>
      <c r="P70" s="169">
        <f>(INDEX(Models!$BJ70:$BT70,,T70)*(1-R70)+INDEX(Models!$BJ70:$BT70,,T70+1)*R70-ERP_i)*Q70*Ramure*Pc/MaxiM</f>
        <v>1.56429672573512E-4</v>
      </c>
      <c r="Q70" s="305">
        <f t="shared" si="4"/>
        <v>0.7</v>
      </c>
      <c r="R70" s="177">
        <f t="shared" si="5"/>
        <v>0.5059476221176229</v>
      </c>
      <c r="S70" s="919">
        <f t="shared" si="6"/>
        <v>-2</v>
      </c>
      <c r="T70" s="176">
        <f t="shared" si="7"/>
        <v>4</v>
      </c>
      <c r="U70" s="251">
        <f t="shared" si="21"/>
        <v>-1.4940523778823771</v>
      </c>
      <c r="V70" s="383">
        <f t="shared" si="8"/>
        <v>43.492945332972994</v>
      </c>
      <c r="W70" s="58"/>
      <c r="X70" s="157">
        <f t="shared" si="9"/>
        <v>43521</v>
      </c>
      <c r="Y70" s="385">
        <f t="shared" si="10"/>
        <v>42.567999999999998</v>
      </c>
      <c r="Z70" s="385">
        <f t="shared" si="11"/>
        <v>42.827986429891517</v>
      </c>
      <c r="AA70" s="386">
        <f t="shared" si="12"/>
        <v>44.216387923077356</v>
      </c>
      <c r="AB70" s="197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3.1400156331205159E-2</v>
      </c>
      <c r="AD70" s="231">
        <f>(INDEX(Models!$BJ70:$BT70,,AH70)*(1-AF70)+INDEX(Models!$BJ70:$BT70,,AH70+1)*AF70-ERP_i)*AE70*Ramure*Pc/MaxiM</f>
        <v>1.56429672573512E-4</v>
      </c>
      <c r="AE70" s="305">
        <f t="shared" si="14"/>
        <v>0.7</v>
      </c>
      <c r="AF70" s="177">
        <f t="shared" si="15"/>
        <v>0.5059476221176229</v>
      </c>
      <c r="AG70" s="176">
        <f t="shared" si="16"/>
        <v>-2</v>
      </c>
      <c r="AH70" s="176">
        <f t="shared" si="17"/>
        <v>4</v>
      </c>
      <c r="AI70" s="225">
        <f t="shared" si="22"/>
        <v>-1.4940523778823771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8">
        <v>40.348999999999997</v>
      </c>
      <c r="C71" s="390"/>
      <c r="D71" s="393">
        <f t="shared" si="0"/>
        <v>40.596322927512787</v>
      </c>
      <c r="E71" s="385">
        <f t="shared" si="1"/>
        <v>41.916688280614807</v>
      </c>
      <c r="F71" s="385">
        <f t="shared" si="2"/>
        <v>41.92251127675177</v>
      </c>
      <c r="G71" s="110">
        <f t="shared" si="23"/>
        <v>0.92135678861008508</v>
      </c>
      <c r="H71" s="412" t="b">
        <f>Wh_hp&gt;='2018'!Maxi_hp</f>
        <v>1</v>
      </c>
      <c r="I71" s="390">
        <f>IF(H71,Wh_hp,'2018'!Maxi_hp)</f>
        <v>41.92251127675177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6.0922494865951471E-3</v>
      </c>
      <c r="M71" s="957"/>
      <c r="N71" s="957"/>
      <c r="O71" s="48">
        <f>IF(t&lt;Tnet,'2018'!Resal+('2018'!Salim-'2018'!Resal)*(1-EXP(('2018'!Tnet-t)/('2018'!Tau_j))),Resal+(Salim-Resal)*(1-EXP((Tnet-t)/(Tau_j))))*Salcycl</f>
        <v>3.1499753612754935E-2</v>
      </c>
      <c r="P71" s="169">
        <f>(INDEX(Models!$BJ71:$BT71,,T71)*(1-R71)+INDEX(Models!$BJ71:$BT71,,T71+1)*R71-ERP_i)*Q71*Ramure*Pc/MaxiM</f>
        <v>1.564749725630605E-4</v>
      </c>
      <c r="Q71" s="305">
        <f t="shared" si="4"/>
        <v>0.7</v>
      </c>
      <c r="R71" s="177">
        <f t="shared" si="5"/>
        <v>0.5062209523731882</v>
      </c>
      <c r="S71" s="919">
        <f t="shared" si="6"/>
        <v>-2</v>
      </c>
      <c r="T71" s="176">
        <f t="shared" si="7"/>
        <v>4</v>
      </c>
      <c r="U71" s="251">
        <f t="shared" si="21"/>
        <v>-1.4937790476268118</v>
      </c>
      <c r="V71" s="383">
        <f t="shared" si="8"/>
        <v>43.79225423696078</v>
      </c>
      <c r="W71" s="58"/>
      <c r="X71" s="157">
        <f t="shared" si="9"/>
        <v>43522</v>
      </c>
      <c r="Y71" s="385">
        <f t="shared" si="10"/>
        <v>40.348999999999997</v>
      </c>
      <c r="Z71" s="385">
        <f t="shared" si="11"/>
        <v>40.596322927512787</v>
      </c>
      <c r="AA71" s="386">
        <f t="shared" si="12"/>
        <v>41.916688280614807</v>
      </c>
      <c r="AB71" s="197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3.1499753612754935E-2</v>
      </c>
      <c r="AD71" s="231">
        <f>(INDEX(Models!$BJ71:$BT71,,AH71)*(1-AF71)+INDEX(Models!$BJ71:$BT71,,AH71+1)*AF71-ERP_i)*AE71*Ramure*Pc/MaxiM</f>
        <v>1.564749725630605E-4</v>
      </c>
      <c r="AE71" s="305">
        <f t="shared" si="14"/>
        <v>0.7</v>
      </c>
      <c r="AF71" s="177">
        <f t="shared" si="15"/>
        <v>0.5062209523731882</v>
      </c>
      <c r="AG71" s="176">
        <f t="shared" si="16"/>
        <v>-2</v>
      </c>
      <c r="AH71" s="176">
        <f t="shared" si="17"/>
        <v>4</v>
      </c>
      <c r="AI71" s="225">
        <f t="shared" si="22"/>
        <v>-1.4937790476268118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8">
        <v>43.268999999999998</v>
      </c>
      <c r="C72" s="390"/>
      <c r="D72" s="393">
        <f t="shared" si="0"/>
        <v>43.535174869652998</v>
      </c>
      <c r="E72" s="385">
        <f t="shared" si="1"/>
        <v>44.955742803460886</v>
      </c>
      <c r="F72" s="385">
        <f t="shared" si="2"/>
        <v>44.962572405256154</v>
      </c>
      <c r="G72" s="110">
        <f t="shared" si="23"/>
        <v>0.98137893074371041</v>
      </c>
      <c r="H72" s="412" t="b">
        <f>Wh_hp&gt;='2018'!Maxi_hp</f>
        <v>1</v>
      </c>
      <c r="I72" s="390">
        <f>IF(H72,Wh_hp,'2018'!Maxi_hp)</f>
        <v>44.962572405256154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6.1140186171284583E-3</v>
      </c>
      <c r="M72" s="957"/>
      <c r="N72" s="957"/>
      <c r="O72" s="48">
        <f>IF(t&lt;Tnet,'2018'!Resal+('2018'!Salim-'2018'!Resal)*(1-EXP(('2018'!Tnet-t)/('2018'!Tau_j))),Resal+(Salim-Resal)*(1-EXP((Tnet-t)/(Tau_j))))*Salcycl</f>
        <v>3.1599253960019696E-2</v>
      </c>
      <c r="P72" s="169">
        <f>(INDEX(Models!$BJ72:$BT72,,T72)*(1-R72)+INDEX(Models!$BJ72:$BT72,,T72+1)*R72-ERP_i)*Q72*Ramure*Pc/MaxiM</f>
        <v>1.5604540174576174E-4</v>
      </c>
      <c r="Q72" s="305">
        <f t="shared" si="4"/>
        <v>0.7</v>
      </c>
      <c r="R72" s="177">
        <f t="shared" si="5"/>
        <v>0.50650542796799836</v>
      </c>
      <c r="S72" s="919">
        <f t="shared" si="6"/>
        <v>-2</v>
      </c>
      <c r="T72" s="176">
        <f t="shared" si="7"/>
        <v>4</v>
      </c>
      <c r="U72" s="251">
        <f t="shared" si="21"/>
        <v>-1.4934945720320016</v>
      </c>
      <c r="V72" s="383">
        <f t="shared" si="8"/>
        <v>44.089819991967346</v>
      </c>
      <c r="W72" s="58"/>
      <c r="X72" s="157">
        <f t="shared" si="9"/>
        <v>43523</v>
      </c>
      <c r="Y72" s="385">
        <f t="shared" si="10"/>
        <v>43.268999999999998</v>
      </c>
      <c r="Z72" s="385">
        <f t="shared" si="11"/>
        <v>43.535174869652998</v>
      </c>
      <c r="AA72" s="386">
        <f t="shared" si="12"/>
        <v>44.955742803460886</v>
      </c>
      <c r="AB72" s="197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3.1599253960019696E-2</v>
      </c>
      <c r="AD72" s="231">
        <f>(INDEX(Models!$BJ72:$BT72,,AH72)*(1-AF72)+INDEX(Models!$BJ72:$BT72,,AH72+1)*AF72-ERP_i)*AE72*Ramure*Pc/MaxiM</f>
        <v>1.5604540174576174E-4</v>
      </c>
      <c r="AE72" s="305">
        <f t="shared" si="14"/>
        <v>0.7</v>
      </c>
      <c r="AF72" s="177">
        <f t="shared" si="15"/>
        <v>0.50650542796799836</v>
      </c>
      <c r="AG72" s="176">
        <f t="shared" si="16"/>
        <v>-2</v>
      </c>
      <c r="AH72" s="176">
        <f t="shared" si="17"/>
        <v>4</v>
      </c>
      <c r="AI72" s="225">
        <f t="shared" si="22"/>
        <v>-1.4934945720320016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8">
        <v>35.158999999999999</v>
      </c>
      <c r="C73" s="390"/>
      <c r="D73" s="393">
        <f t="shared" si="0"/>
        <v>35.376059978509382</v>
      </c>
      <c r="E73" s="385">
        <f t="shared" si="1"/>
        <v>36.534143337601556</v>
      </c>
      <c r="F73" s="385">
        <f t="shared" si="2"/>
        <v>36.538127562643616</v>
      </c>
      <c r="G73" s="110">
        <f t="shared" si="23"/>
        <v>0.79208712738378573</v>
      </c>
      <c r="H73" s="412" t="b">
        <f>Wh_hp&gt;='2018'!Maxi_hp</f>
        <v>1</v>
      </c>
      <c r="I73" s="390">
        <f>IF(H73,Wh_hp,'2018'!Maxi_hp)</f>
        <v>36.538127562643616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6.1357872708618366E-3</v>
      </c>
      <c r="M73" s="957"/>
      <c r="N73" s="957"/>
      <c r="O73" s="48">
        <f>IF(t&lt;Tnet,'2018'!Resal+('2018'!Salim-'2018'!Resal)*(1-EXP(('2018'!Tnet-t)/('2018'!Tau_j))),Resal+(Salim-Resal)*(1-EXP((Tnet-t)/(Tau_j))))*Salcycl</f>
        <v>3.169865920737909E-2</v>
      </c>
      <c r="P73" s="169">
        <f>(INDEX(Models!$BJ73:$BT73,,T73)*(1-R73)+INDEX(Models!$BJ73:$BT73,,T73+1)*R73-ERP_i)*Q73*Ramure*Pc/MaxiM</f>
        <v>1.551034313726256E-4</v>
      </c>
      <c r="Q73" s="305">
        <f t="shared" si="4"/>
        <v>0.7</v>
      </c>
      <c r="R73" s="177">
        <f t="shared" si="5"/>
        <v>0.5068014895405859</v>
      </c>
      <c r="S73" s="919">
        <f t="shared" si="6"/>
        <v>-2</v>
      </c>
      <c r="T73" s="176">
        <f t="shared" si="7"/>
        <v>4</v>
      </c>
      <c r="U73" s="251">
        <f t="shared" si="21"/>
        <v>-1.4931985104594141</v>
      </c>
      <c r="V73" s="383">
        <f t="shared" si="8"/>
        <v>44.385748950222144</v>
      </c>
      <c r="W73" s="58"/>
      <c r="X73" s="157">
        <f t="shared" si="9"/>
        <v>43524</v>
      </c>
      <c r="Y73" s="385">
        <f t="shared" si="10"/>
        <v>35.158999999999999</v>
      </c>
      <c r="Z73" s="385">
        <f t="shared" si="11"/>
        <v>35.376059978509382</v>
      </c>
      <c r="AA73" s="386">
        <f t="shared" si="12"/>
        <v>36.534143337601556</v>
      </c>
      <c r="AB73" s="197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3.169865920737909E-2</v>
      </c>
      <c r="AD73" s="231">
        <f>(INDEX(Models!$BJ73:$BT73,,AH73)*(1-AF73)+INDEX(Models!$BJ73:$BT73,,AH73+1)*AF73-ERP_i)*AE73*Ramure*Pc/MaxiM</f>
        <v>1.551034313726256E-4</v>
      </c>
      <c r="AE73" s="305">
        <f t="shared" si="14"/>
        <v>0.7</v>
      </c>
      <c r="AF73" s="177">
        <f t="shared" si="15"/>
        <v>0.5068014895405859</v>
      </c>
      <c r="AG73" s="176">
        <f t="shared" si="16"/>
        <v>-2</v>
      </c>
      <c r="AH73" s="176">
        <f t="shared" si="17"/>
        <v>4</v>
      </c>
      <c r="AI73" s="225">
        <f t="shared" si="22"/>
        <v>-1.4931985104594141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8">
        <v>14.284000000000001</v>
      </c>
      <c r="C74" s="390"/>
      <c r="D74" s="393">
        <f t="shared" si="0"/>
        <v>14.372499462363061</v>
      </c>
      <c r="E74" s="385">
        <f t="shared" si="1"/>
        <v>14.844525258283383</v>
      </c>
      <c r="F74" s="385">
        <f t="shared" si="2"/>
        <v>14.844589434180083</v>
      </c>
      <c r="G74" s="110">
        <f t="shared" si="23"/>
        <v>0.31964683155777507</v>
      </c>
      <c r="H74" s="412" t="b">
        <f>Wh_hp&gt;='2018'!Maxi_hp</f>
        <v>1</v>
      </c>
      <c r="I74" s="390">
        <f>IF(H74,Wh_hp,'2018'!Maxi_hp)</f>
        <v>14.844589434180083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6.1575554478058292E-3</v>
      </c>
      <c r="M74" s="957"/>
      <c r="N74" s="957"/>
      <c r="O74" s="48">
        <f>IF(t&lt;Tnet,'2018'!Resal+('2018'!Salim-'2018'!Resal)*(1-EXP(('2018'!Tnet-t)/('2018'!Tau_j))),Resal+(Salim-Resal)*(1-EXP((Tnet-t)/(Tau_j))))*Salcycl</f>
        <v>3.1797971825129834E-2</v>
      </c>
      <c r="P74" s="169">
        <f>(INDEX(Models!$BJ74:$BT74,,T74)*(1-R74)+INDEX(Models!$BJ74:$BT74,,T74+1)*R74-ERP_i)*Q74*Ramure*Pc/MaxiM</f>
        <v>1.5365801522417564E-4</v>
      </c>
      <c r="Q74" s="305">
        <f t="shared" si="4"/>
        <v>0.7</v>
      </c>
      <c r="R74" s="177">
        <f t="shared" si="5"/>
        <v>0.5071095939856447</v>
      </c>
      <c r="S74" s="919">
        <f t="shared" si="6"/>
        <v>-2</v>
      </c>
      <c r="T74" s="176">
        <f t="shared" si="7"/>
        <v>4</v>
      </c>
      <c r="U74" s="251">
        <f t="shared" si="21"/>
        <v>-1.4928904060143553</v>
      </c>
      <c r="V74" s="383">
        <f t="shared" si="8"/>
        <v>44.68014534182096</v>
      </c>
      <c r="W74" s="58"/>
      <c r="X74" s="157">
        <f t="shared" si="9"/>
        <v>43525</v>
      </c>
      <c r="Y74" s="385">
        <f t="shared" si="10"/>
        <v>14.284000000000001</v>
      </c>
      <c r="Z74" s="385">
        <f t="shared" si="11"/>
        <v>14.372499462363061</v>
      </c>
      <c r="AA74" s="386">
        <f t="shared" si="12"/>
        <v>14.844525258283383</v>
      </c>
      <c r="AB74" s="197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3.1797971825129834E-2</v>
      </c>
      <c r="AD74" s="231">
        <f>(INDEX(Models!$BJ74:$BT74,,AH74)*(1-AF74)+INDEX(Models!$BJ74:$BT74,,AH74+1)*AF74-ERP_i)*AE74*Ramure*Pc/MaxiM</f>
        <v>1.5365801522417564E-4</v>
      </c>
      <c r="AE74" s="305">
        <f t="shared" si="14"/>
        <v>0.7</v>
      </c>
      <c r="AF74" s="177">
        <f t="shared" si="15"/>
        <v>0.5071095939856447</v>
      </c>
      <c r="AG74" s="176">
        <f t="shared" si="16"/>
        <v>-2</v>
      </c>
      <c r="AH74" s="176">
        <f t="shared" si="17"/>
        <v>4</v>
      </c>
      <c r="AI74" s="225">
        <f t="shared" si="22"/>
        <v>-1.4928904060143553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8">
        <v>18.321000000000002</v>
      </c>
      <c r="C75" s="390"/>
      <c r="D75" s="393">
        <f t="shared" si="0"/>
        <v>18.434915298836991</v>
      </c>
      <c r="E75" s="385">
        <f t="shared" si="1"/>
        <v>19.042311624827551</v>
      </c>
      <c r="F75" s="385">
        <f t="shared" si="2"/>
        <v>19.042754802954807</v>
      </c>
      <c r="G75" s="110">
        <f t="shared" si="23"/>
        <v>0.40732440687962151</v>
      </c>
      <c r="H75" s="412" t="b">
        <f>Wh_hp&gt;='2018'!Maxi_hp</f>
        <v>1</v>
      </c>
      <c r="I75" s="390">
        <f>IF(H75,Wh_hp,'2018'!Maxi_hp)</f>
        <v>19.042754802954807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6.1793231479709831E-3</v>
      </c>
      <c r="M75" s="957"/>
      <c r="N75" s="957"/>
      <c r="O75" s="48">
        <f>IF(t&lt;Tnet,'2018'!Resal+('2018'!Salim-'2018'!Resal)*(1-EXP(('2018'!Tnet-t)/('2018'!Tau_j))),Resal+(Salim-Resal)*(1-EXP((Tnet-t)/(Tau_j))))*Salcycl</f>
        <v>3.1897194939223293E-2</v>
      </c>
      <c r="P75" s="169">
        <f>(INDEX(Models!$BJ75:$BT75,,T75)*(1-R75)+INDEX(Models!$BJ75:$BT75,,T75+1)*R75-ERP_i)*Q75*Ramure*Pc/MaxiM</f>
        <v>1.5171775021351796E-4</v>
      </c>
      <c r="Q75" s="305">
        <f t="shared" si="4"/>
        <v>0.7</v>
      </c>
      <c r="R75" s="177">
        <f t="shared" si="5"/>
        <v>0.50743021495490637</v>
      </c>
      <c r="S75" s="919">
        <f t="shared" si="6"/>
        <v>-2</v>
      </c>
      <c r="T75" s="176">
        <f t="shared" si="7"/>
        <v>4</v>
      </c>
      <c r="U75" s="251">
        <f t="shared" si="21"/>
        <v>-1.4925697850450936</v>
      </c>
      <c r="V75" s="383">
        <f t="shared" si="8"/>
        <v>44.973113311670836</v>
      </c>
      <c r="W75" s="58"/>
      <c r="X75" s="157">
        <f t="shared" si="9"/>
        <v>43526</v>
      </c>
      <c r="Y75" s="385">
        <f t="shared" si="10"/>
        <v>18.321000000000002</v>
      </c>
      <c r="Z75" s="385">
        <f t="shared" si="11"/>
        <v>18.434915298836991</v>
      </c>
      <c r="AA75" s="386">
        <f t="shared" si="12"/>
        <v>19.042311624827551</v>
      </c>
      <c r="AB75" s="197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3.1897194939223293E-2</v>
      </c>
      <c r="AD75" s="231">
        <f>(INDEX(Models!$BJ75:$BT75,,AH75)*(1-AF75)+INDEX(Models!$BJ75:$BT75,,AH75+1)*AF75-ERP_i)*AE75*Ramure*Pc/MaxiM</f>
        <v>1.5171775021351796E-4</v>
      </c>
      <c r="AE75" s="305">
        <f t="shared" si="14"/>
        <v>0.7</v>
      </c>
      <c r="AF75" s="177">
        <f t="shared" si="15"/>
        <v>0.50743021495490637</v>
      </c>
      <c r="AG75" s="176">
        <f t="shared" si="16"/>
        <v>-2</v>
      </c>
      <c r="AH75" s="176">
        <f t="shared" si="17"/>
        <v>4</v>
      </c>
      <c r="AI75" s="225">
        <f t="shared" si="22"/>
        <v>-1.4925697850450936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8">
        <v>38.362000000000002</v>
      </c>
      <c r="C76" s="390"/>
      <c r="D76" s="393">
        <f t="shared" si="0"/>
        <v>38.601370587471564</v>
      </c>
      <c r="E76" s="385">
        <f t="shared" si="1"/>
        <v>39.877297862986289</v>
      </c>
      <c r="F76" s="385">
        <f t="shared" si="2"/>
        <v>39.881954773703235</v>
      </c>
      <c r="G76" s="110">
        <f t="shared" si="23"/>
        <v>0.84747505116527311</v>
      </c>
      <c r="H76" s="412" t="b">
        <f>Wh_hp&gt;='2018'!Maxi_hp</f>
        <v>1</v>
      </c>
      <c r="I76" s="390">
        <f>IF(H76,Wh_hp,'2018'!Maxi_hp)</f>
        <v>39.881954773703235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6.2010903713675125E-3</v>
      </c>
      <c r="M76" s="957"/>
      <c r="N76" s="957"/>
      <c r="O76" s="48">
        <f>IF(t&lt;Tnet,'2018'!Resal+('2018'!Salim-'2018'!Resal)*(1-EXP(('2018'!Tnet-t)/('2018'!Tau_j))),Resal+(Salim-Resal)*(1-EXP((Tnet-t)/(Tau_j))))*Salcycl</f>
        <v>3.1996332346756799E-2</v>
      </c>
      <c r="P76" s="169">
        <f>(INDEX(Models!$BJ76:$BT76,,T76)*(1-R76)+INDEX(Models!$BJ76:$BT76,,T76+1)*R76-ERP_i)*Q76*Ramure*Pc/MaxiM</f>
        <v>1.492908926060326E-4</v>
      </c>
      <c r="Q76" s="305">
        <f t="shared" si="4"/>
        <v>0.7</v>
      </c>
      <c r="R76" s="177">
        <f t="shared" si="5"/>
        <v>0.50776384336476421</v>
      </c>
      <c r="S76" s="919">
        <f t="shared" si="6"/>
        <v>-2</v>
      </c>
      <c r="T76" s="176">
        <f t="shared" si="7"/>
        <v>4</v>
      </c>
      <c r="U76" s="251">
        <f t="shared" si="21"/>
        <v>-1.4922361566352358</v>
      </c>
      <c r="V76" s="383">
        <f t="shared" si="8"/>
        <v>45.264756919903775</v>
      </c>
      <c r="W76" s="58"/>
      <c r="X76" s="157">
        <f t="shared" si="9"/>
        <v>43527</v>
      </c>
      <c r="Y76" s="385">
        <f t="shared" si="10"/>
        <v>38.362000000000002</v>
      </c>
      <c r="Z76" s="385">
        <f t="shared" si="11"/>
        <v>38.601370587471564</v>
      </c>
      <c r="AA76" s="386">
        <f t="shared" si="12"/>
        <v>39.877297862986289</v>
      </c>
      <c r="AB76" s="197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3.1996332346756799E-2</v>
      </c>
      <c r="AD76" s="231">
        <f>(INDEX(Models!$BJ76:$BT76,,AH76)*(1-AF76)+INDEX(Models!$BJ76:$BT76,,AH76+1)*AF76-ERP_i)*AE76*Ramure*Pc/MaxiM</f>
        <v>1.492908926060326E-4</v>
      </c>
      <c r="AE76" s="305">
        <f t="shared" si="14"/>
        <v>0.7</v>
      </c>
      <c r="AF76" s="177">
        <f t="shared" si="15"/>
        <v>0.50776384336476421</v>
      </c>
      <c r="AG76" s="176">
        <f t="shared" si="16"/>
        <v>-2</v>
      </c>
      <c r="AH76" s="176">
        <f t="shared" si="17"/>
        <v>4</v>
      </c>
      <c r="AI76" s="225">
        <f t="shared" si="22"/>
        <v>-1.4922361566352358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8">
        <v>10.797000000000001</v>
      </c>
      <c r="C77" s="390"/>
      <c r="D77" s="393">
        <f t="shared" si="0"/>
        <v>10.864608908882996</v>
      </c>
      <c r="E77" s="385">
        <f t="shared" si="1"/>
        <v>11.224875654172628</v>
      </c>
      <c r="F77" s="385">
        <f t="shared" si="2"/>
        <v>11.224875654172628</v>
      </c>
      <c r="G77" s="110">
        <f t="shared" si="23"/>
        <v>0.23697457554244716</v>
      </c>
      <c r="H77" s="412" t="b">
        <f>Wh_hp&gt;='2018'!Maxi_hp</f>
        <v>1</v>
      </c>
      <c r="I77" s="390">
        <f>IF(H77,Wh_hp,'2018'!Maxi_hp)</f>
        <v>11.224875654172628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6.2228571180060754E-3</v>
      </c>
      <c r="M77" s="957"/>
      <c r="N77" s="957"/>
      <c r="O77" s="48">
        <f>IF(t&lt;Tnet,'2018'!Resal+('2018'!Salim-'2018'!Resal)*(1-EXP(('2018'!Tnet-t)/('2018'!Tau_j))),Resal+(Salim-Resal)*(1-EXP((Tnet-t)/(Tau_j))))*Salcycl</f>
        <v>3.209538852715129E-2</v>
      </c>
      <c r="P77" s="169">
        <f>(INDEX(Models!$BJ77:$BT77,,T77)*(1-R77)+INDEX(Models!$BJ77:$BT77,,T77+1)*R77-ERP_i)*Q77*Ramure*Pc/MaxiM</f>
        <v>1.4638537049388878E-4</v>
      </c>
      <c r="Q77" s="305">
        <f t="shared" si="4"/>
        <v>0.7</v>
      </c>
      <c r="R77" s="177">
        <f t="shared" si="5"/>
        <v>0.50811098790986242</v>
      </c>
      <c r="S77" s="919">
        <f t="shared" si="6"/>
        <v>-2</v>
      </c>
      <c r="T77" s="176">
        <f t="shared" si="7"/>
        <v>4</v>
      </c>
      <c r="U77" s="251">
        <f t="shared" si="21"/>
        <v>-1.4918890120901376</v>
      </c>
      <c r="V77" s="383">
        <f t="shared" si="8"/>
        <v>45.555180138812361</v>
      </c>
      <c r="W77" s="58"/>
      <c r="X77" s="157">
        <f t="shared" si="9"/>
        <v>43528</v>
      </c>
      <c r="Y77" s="385">
        <f t="shared" si="10"/>
        <v>10.797000000000001</v>
      </c>
      <c r="Z77" s="385">
        <f t="shared" si="11"/>
        <v>10.864608908882996</v>
      </c>
      <c r="AA77" s="386">
        <f t="shared" si="12"/>
        <v>11.224875654172628</v>
      </c>
      <c r="AB77" s="197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3.209538852715129E-2</v>
      </c>
      <c r="AD77" s="231">
        <f>(INDEX(Models!$BJ77:$BT77,,AH77)*(1-AF77)+INDEX(Models!$BJ77:$BT77,,AH77+1)*AF77-ERP_i)*AE77*Ramure*Pc/MaxiM</f>
        <v>1.4638537049388878E-4</v>
      </c>
      <c r="AE77" s="305">
        <f t="shared" si="14"/>
        <v>0.7</v>
      </c>
      <c r="AF77" s="177">
        <f t="shared" si="15"/>
        <v>0.50811098790986242</v>
      </c>
      <c r="AG77" s="176">
        <f t="shared" si="16"/>
        <v>-2</v>
      </c>
      <c r="AH77" s="176">
        <f t="shared" si="17"/>
        <v>4</v>
      </c>
      <c r="AI77" s="225">
        <f t="shared" si="22"/>
        <v>-1.4918890120901376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8">
        <v>45.228000000000002</v>
      </c>
      <c r="C78" s="390"/>
      <c r="D78" s="393">
        <f t="shared" si="0"/>
        <v>45.512206589704874</v>
      </c>
      <c r="E78" s="385">
        <f t="shared" si="1"/>
        <v>47.026184923280667</v>
      </c>
      <c r="F78" s="385">
        <f t="shared" si="2"/>
        <v>47.032781812856342</v>
      </c>
      <c r="G78" s="110">
        <f t="shared" si="23"/>
        <v>0.986549939447116</v>
      </c>
      <c r="H78" s="412" t="b">
        <f>Wh_hp&gt;='2018'!Maxi_hp</f>
        <v>1</v>
      </c>
      <c r="I78" s="390">
        <f>IF(H78,Wh_hp,'2018'!Maxi_hp)</f>
        <v>47.032781812856342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6.244623387896997E-3</v>
      </c>
      <c r="M78" s="957"/>
      <c r="N78" s="957"/>
      <c r="O78" s="48">
        <f>IF(t&lt;Tnet,'2018'!Resal+('2018'!Salim-'2018'!Resal)*(1-EXP(('2018'!Tnet-t)/('2018'!Tau_j))),Resal+(Salim-Resal)*(1-EXP((Tnet-t)/(Tau_j))))*Salcycl</f>
        <v>3.21943686489925E-2</v>
      </c>
      <c r="P78" s="169">
        <f>(INDEX(Models!$BJ78:$BT78,,T78)*(1-R78)+INDEX(Models!$BJ78:$BT78,,T78+1)*R78-ERP_i)*Q78*Ramure*Pc/MaxiM</f>
        <v>1.430087926933847E-4</v>
      </c>
      <c r="Q78" s="305">
        <f t="shared" si="4"/>
        <v>0.7</v>
      </c>
      <c r="R78" s="177">
        <f t="shared" si="5"/>
        <v>0.50847217558175806</v>
      </c>
      <c r="S78" s="919">
        <f t="shared" si="6"/>
        <v>-2</v>
      </c>
      <c r="T78" s="176">
        <f t="shared" si="7"/>
        <v>4</v>
      </c>
      <c r="U78" s="251">
        <f t="shared" si="21"/>
        <v>-1.4915278244182419</v>
      </c>
      <c r="V78" s="383">
        <f t="shared" si="8"/>
        <v>45.844486853216452</v>
      </c>
      <c r="W78" s="58"/>
      <c r="X78" s="157">
        <f t="shared" si="9"/>
        <v>43529</v>
      </c>
      <c r="Y78" s="385">
        <f t="shared" si="10"/>
        <v>45.228000000000002</v>
      </c>
      <c r="Z78" s="385">
        <f t="shared" si="11"/>
        <v>45.512206589704874</v>
      </c>
      <c r="AA78" s="386">
        <f t="shared" si="12"/>
        <v>47.026184923280667</v>
      </c>
      <c r="AB78" s="197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3.21943686489925E-2</v>
      </c>
      <c r="AD78" s="231">
        <f>(INDEX(Models!$BJ78:$BT78,,AH78)*(1-AF78)+INDEX(Models!$BJ78:$BT78,,AH78+1)*AF78-ERP_i)*AE78*Ramure*Pc/MaxiM</f>
        <v>1.430087926933847E-4</v>
      </c>
      <c r="AE78" s="305">
        <f t="shared" si="14"/>
        <v>0.7</v>
      </c>
      <c r="AF78" s="177">
        <f t="shared" si="15"/>
        <v>0.50847217558175806</v>
      </c>
      <c r="AG78" s="176">
        <f t="shared" si="16"/>
        <v>-2</v>
      </c>
      <c r="AH78" s="176">
        <f t="shared" si="17"/>
        <v>4</v>
      </c>
      <c r="AI78" s="225">
        <f t="shared" si="22"/>
        <v>-1.4915278244182419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8">
        <v>23.253</v>
      </c>
      <c r="C79" s="390"/>
      <c r="D79" s="393">
        <f t="shared" ref="D79:D142" si="24">Wh/(1-Ppv)</f>
        <v>23.399631195765725</v>
      </c>
      <c r="E79" s="385">
        <f t="shared" si="1"/>
        <v>24.180498778854613</v>
      </c>
      <c r="F79" s="385">
        <f t="shared" ref="F79:F142" si="25">Wh_sa/(1-Pvg*MEDIAN((-Sdif+Wh/Env_an)/Csdif,0,1))</f>
        <v>24.181479709212134</v>
      </c>
      <c r="G79" s="110">
        <f t="shared" si="23"/>
        <v>0.50399082632509062</v>
      </c>
      <c r="H79" s="412" t="b">
        <f>Wh_hp&gt;='2018'!Maxi_hp</f>
        <v>1</v>
      </c>
      <c r="I79" s="390">
        <f>IF(H79,Wh_hp,'2018'!Maxi_hp)</f>
        <v>24.181479709212134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6.2663891810507133E-3</v>
      </c>
      <c r="M79" s="957"/>
      <c r="N79" s="957"/>
      <c r="O79" s="48">
        <f>IF(t&lt;Tnet,'2018'!Resal+('2018'!Salim-'2018'!Resal)*(1-EXP(('2018'!Tnet-t)/('2018'!Tau_j))),Resal+(Salim-Resal)*(1-EXP((Tnet-t)/(Tau_j))))*Salcycl</f>
        <v>3.2293278572555366E-2</v>
      </c>
      <c r="P79" s="169">
        <f>(INDEX(Models!$BJ79:$BT79,,T79)*(1-R79)+INDEX(Models!$BJ79:$BT79,,T79+1)*R79-ERP_i)*Q79*Ramure*Pc/MaxiM</f>
        <v>1.3916720483895457E-4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0.50884795219165624</v>
      </c>
      <c r="S79" s="919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-1.4911520478083438</v>
      </c>
      <c r="V79" s="383">
        <f t="shared" ref="V79:V142" si="32">MaxiM*(1-Ppv)*(1-Pvg)*(1-Psa)</f>
        <v>46.133195097530376</v>
      </c>
      <c r="W79" s="58"/>
      <c r="X79" s="157">
        <f t="shared" ref="X79:X142" si="33">t</f>
        <v>43530</v>
      </c>
      <c r="Y79" s="385">
        <f t="shared" ref="Y79:Y142" si="34">Wh_pvt_s*(1-Ppv)</f>
        <v>23.253</v>
      </c>
      <c r="Z79" s="385">
        <f t="shared" ref="Z79:Z142" si="35">Wh_sa_s*(1-Psa_s)</f>
        <v>23.399631195765725</v>
      </c>
      <c r="AA79" s="386">
        <f t="shared" ref="AA79:AA142" si="36">Wh_hp*(1-Pvg_s*MEDIAN((-Sdif+Wh/Env_an)/Csdif,0,1))</f>
        <v>24.180498778854613</v>
      </c>
      <c r="AB79" s="197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3.2293278572555366E-2</v>
      </c>
      <c r="AD79" s="231">
        <f>(INDEX(Models!$BJ79:$BT79,,AH79)*(1-AF79)+INDEX(Models!$BJ79:$BT79,,AH79+1)*AF79-ERP_i)*AE79*Ramure*Pc/MaxiM</f>
        <v>1.3916720483895457E-4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0.50884795219165624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-1.4911520478083438</v>
      </c>
      <c r="AJ79" s="265" t="b">
        <f t="shared" ref="AJ79:AJ142" si="43">t&lt;Tnet</f>
        <v>1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8">
        <v>41.359000000000002</v>
      </c>
      <c r="C80" s="390"/>
      <c r="D80" s="393">
        <f t="shared" si="24"/>
        <v>41.620717501948128</v>
      </c>
      <c r="E80" s="385">
        <f t="shared" ref="E80:E143" si="46">Wh_pvt/(1-Psa)</f>
        <v>43.014033443468158</v>
      </c>
      <c r="F80" s="385">
        <f t="shared" si="25"/>
        <v>43.018931785268983</v>
      </c>
      <c r="G80" s="110">
        <f t="shared" ref="G80:G143" si="47">+Wh_hp/MaxiM</f>
        <v>0.89092532208950526</v>
      </c>
      <c r="H80" s="412" t="b">
        <f>Wh_hp&gt;='2018'!Maxi_hp</f>
        <v>1</v>
      </c>
      <c r="I80" s="390">
        <f>IF(H80,Wh_hp,'2018'!Maxi_hp)</f>
        <v>43.018931785268983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6.2881544974777714E-3</v>
      </c>
      <c r="M80" s="957"/>
      <c r="N80" s="957"/>
      <c r="O80" s="48">
        <f>IF(t&lt;Tnet,'2018'!Resal+('2018'!Salim-'2018'!Resal)*(1-EXP(('2018'!Tnet-t)/('2018'!Tau_j))),Resal+(Salim-Resal)*(1-EXP((Tnet-t)/(Tau_j))))*Salcycl</f>
        <v>3.2392124848073522E-2</v>
      </c>
      <c r="P80" s="169">
        <f>(INDEX(Models!$BJ80:$BT80,,T80)*(1-R80)+INDEX(Models!$BJ80:$BT80,,T80+1)*R80-ERP_i)*Q80*Ramure*Pc/MaxiM</f>
        <v>1.3487800796441738E-4</v>
      </c>
      <c r="Q80" s="305">
        <f t="shared" si="27"/>
        <v>0.7</v>
      </c>
      <c r="R80" s="177">
        <f t="shared" si="28"/>
        <v>0.50923888289609187</v>
      </c>
      <c r="S80" s="919">
        <f t="shared" si="29"/>
        <v>-2</v>
      </c>
      <c r="T80" s="176">
        <f t="shared" si="30"/>
        <v>4</v>
      </c>
      <c r="U80" s="251">
        <f t="shared" si="31"/>
        <v>-1.4907611171039081</v>
      </c>
      <c r="V80" s="383">
        <f t="shared" si="32"/>
        <v>46.421545992778896</v>
      </c>
      <c r="W80" s="58"/>
      <c r="X80" s="157">
        <f t="shared" si="33"/>
        <v>43531</v>
      </c>
      <c r="Y80" s="385">
        <f t="shared" si="34"/>
        <v>41.359000000000002</v>
      </c>
      <c r="Z80" s="385">
        <f t="shared" si="35"/>
        <v>41.620717501948128</v>
      </c>
      <c r="AA80" s="386">
        <f t="shared" si="36"/>
        <v>43.014033443468158</v>
      </c>
      <c r="AB80" s="197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3.2392124848073522E-2</v>
      </c>
      <c r="AD80" s="231">
        <f>(INDEX(Models!$BJ80:$BT80,,AH80)*(1-AF80)+INDEX(Models!$BJ80:$BT80,,AH80+1)*AF80-ERP_i)*AE80*Ramure*Pc/MaxiM</f>
        <v>1.3487800796441738E-4</v>
      </c>
      <c r="AE80" s="305">
        <f t="shared" si="38"/>
        <v>0.7</v>
      </c>
      <c r="AF80" s="177">
        <f t="shared" si="39"/>
        <v>0.50923888289609187</v>
      </c>
      <c r="AG80" s="176">
        <f t="shared" si="40"/>
        <v>-2</v>
      </c>
      <c r="AH80" s="176">
        <f t="shared" si="41"/>
        <v>4</v>
      </c>
      <c r="AI80" s="225">
        <f t="shared" si="42"/>
        <v>-1.4907611171039081</v>
      </c>
      <c r="AJ80" s="265" t="b">
        <f t="shared" si="43"/>
        <v>1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8">
        <v>25.588999999999999</v>
      </c>
      <c r="C81" s="390"/>
      <c r="D81" s="393">
        <f t="shared" si="24"/>
        <v>25.751489823599339</v>
      </c>
      <c r="E81" s="385">
        <f t="shared" si="46"/>
        <v>26.616277009819246</v>
      </c>
      <c r="F81" s="385">
        <f t="shared" si="25"/>
        <v>26.617504891599626</v>
      </c>
      <c r="G81" s="110">
        <f t="shared" si="47"/>
        <v>0.54779003201369503</v>
      </c>
      <c r="H81" s="412" t="b">
        <f>Wh_hp&gt;='2018'!Maxi_hp</f>
        <v>1</v>
      </c>
      <c r="I81" s="390">
        <f>IF(H81,Wh_hp,'2018'!Maxi_hp)</f>
        <v>26.617504891599626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6.3099193371884965E-3</v>
      </c>
      <c r="M81" s="957"/>
      <c r="N81" s="957"/>
      <c r="O81" s="48">
        <f>IF(t&lt;Tnet,'2018'!Resal+('2018'!Salim-'2018'!Resal)*(1-EXP(('2018'!Tnet-t)/('2018'!Tau_j))),Resal+(Salim-Resal)*(1-EXP((Tnet-t)/(Tau_j))))*Salcycl</f>
        <v>3.24909147098549E-2</v>
      </c>
      <c r="P81" s="169">
        <f>(INDEX(Models!$BJ81:$BT81,,T81)*(1-R81)+INDEX(Models!$BJ81:$BT81,,T81+1)*R81-ERP_i)*Q81*Ramure*Pc/MaxiM</f>
        <v>1.3029345891604313E-4</v>
      </c>
      <c r="Q81" s="305">
        <f t="shared" si="27"/>
        <v>0.7</v>
      </c>
      <c r="R81" s="177">
        <f t="shared" si="28"/>
        <v>0.50964555272430201</v>
      </c>
      <c r="S81" s="919">
        <f t="shared" si="29"/>
        <v>-2</v>
      </c>
      <c r="T81" s="176">
        <f t="shared" si="30"/>
        <v>4</v>
      </c>
      <c r="U81" s="251">
        <f t="shared" si="31"/>
        <v>-1.490354447275698</v>
      </c>
      <c r="V81" s="383">
        <f t="shared" si="32"/>
        <v>46.709222078190955</v>
      </c>
      <c r="W81" s="58"/>
      <c r="X81" s="157">
        <f t="shared" si="33"/>
        <v>43532</v>
      </c>
      <c r="Y81" s="385">
        <f t="shared" si="34"/>
        <v>25.588999999999999</v>
      </c>
      <c r="Z81" s="385">
        <f t="shared" si="35"/>
        <v>25.751489823599339</v>
      </c>
      <c r="AA81" s="386">
        <f t="shared" si="36"/>
        <v>26.616277009819246</v>
      </c>
      <c r="AB81" s="197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3.24909147098549E-2</v>
      </c>
      <c r="AD81" s="231">
        <f>(INDEX(Models!$BJ81:$BT81,,AH81)*(1-AF81)+INDEX(Models!$BJ81:$BT81,,AH81+1)*AF81-ERP_i)*AE81*Ramure*Pc/MaxiM</f>
        <v>1.3029345891604313E-4</v>
      </c>
      <c r="AE81" s="305">
        <f t="shared" si="38"/>
        <v>0.7</v>
      </c>
      <c r="AF81" s="177">
        <f t="shared" si="39"/>
        <v>0.50964555272430201</v>
      </c>
      <c r="AG81" s="176">
        <f t="shared" si="40"/>
        <v>-2</v>
      </c>
      <c r="AH81" s="176">
        <f t="shared" si="41"/>
        <v>4</v>
      </c>
      <c r="AI81" s="225">
        <f t="shared" si="42"/>
        <v>-1.490354447275698</v>
      </c>
      <c r="AJ81" s="265" t="b">
        <f t="shared" si="43"/>
        <v>1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8">
        <v>19.140999999999998</v>
      </c>
      <c r="C82" s="390"/>
      <c r="D82" s="393">
        <f t="shared" si="24"/>
        <v>19.262967014261559</v>
      </c>
      <c r="E82" s="385">
        <f t="shared" si="46"/>
        <v>19.911888615885371</v>
      </c>
      <c r="F82" s="385">
        <f t="shared" si="25"/>
        <v>19.912271394138404</v>
      </c>
      <c r="G82" s="110">
        <f t="shared" si="47"/>
        <v>0.40724748512774644</v>
      </c>
      <c r="H82" s="412" t="b">
        <f>Wh_hp&gt;='2018'!Maxi_hp</f>
        <v>1</v>
      </c>
      <c r="I82" s="390">
        <f>IF(H82,Wh_hp,'2018'!Maxi_hp)</f>
        <v>19.912271394138404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6.3316837001933246E-3</v>
      </c>
      <c r="M82" s="957"/>
      <c r="N82" s="957"/>
      <c r="O82" s="48">
        <f>IF(t&lt;Tnet,'2018'!Resal+('2018'!Salim-'2018'!Resal)*(1-EXP(('2018'!Tnet-t)/('2018'!Tau_j))),Resal+(Salim-Resal)*(1-EXP((Tnet-t)/(Tau_j))))*Salcycl</f>
        <v>3.2589656066382082E-2</v>
      </c>
      <c r="P82" s="169">
        <f>(INDEX(Models!$BJ82:$BT82,,T82)*(1-R82)+INDEX(Models!$BJ82:$BT82,,T82+1)*R82-ERP_i)*Q82*Ramure*Pc/MaxiM</f>
        <v>1.2541868964597561E-4</v>
      </c>
      <c r="Q82" s="305">
        <f t="shared" si="27"/>
        <v>0.7</v>
      </c>
      <c r="R82" s="177">
        <f t="shared" si="28"/>
        <v>0.51006856710588888</v>
      </c>
      <c r="S82" s="919">
        <f t="shared" si="29"/>
        <v>-2</v>
      </c>
      <c r="T82" s="176">
        <f t="shared" si="30"/>
        <v>4</v>
      </c>
      <c r="U82" s="251">
        <f t="shared" si="31"/>
        <v>-1.4899314328941111</v>
      </c>
      <c r="V82" s="383">
        <f t="shared" si="32"/>
        <v>46.995912737692841</v>
      </c>
      <c r="W82" s="58"/>
      <c r="X82" s="157">
        <f t="shared" si="33"/>
        <v>43533</v>
      </c>
      <c r="Y82" s="385">
        <f t="shared" si="34"/>
        <v>19.140999999999998</v>
      </c>
      <c r="Z82" s="385">
        <f t="shared" si="35"/>
        <v>19.262967014261559</v>
      </c>
      <c r="AA82" s="386">
        <f t="shared" si="36"/>
        <v>19.911888615885371</v>
      </c>
      <c r="AB82" s="197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3.2589656066382082E-2</v>
      </c>
      <c r="AD82" s="231">
        <f>(INDEX(Models!$BJ82:$BT82,,AH82)*(1-AF82)+INDEX(Models!$BJ82:$BT82,,AH82+1)*AF82-ERP_i)*AE82*Ramure*Pc/MaxiM</f>
        <v>1.2541868964597561E-4</v>
      </c>
      <c r="AE82" s="305">
        <f t="shared" si="38"/>
        <v>0.7</v>
      </c>
      <c r="AF82" s="177">
        <f t="shared" si="39"/>
        <v>0.51006856710588888</v>
      </c>
      <c r="AG82" s="176">
        <f t="shared" si="40"/>
        <v>-2</v>
      </c>
      <c r="AH82" s="176">
        <f t="shared" si="41"/>
        <v>4</v>
      </c>
      <c r="AI82" s="225">
        <f t="shared" si="42"/>
        <v>-1.4899314328941111</v>
      </c>
      <c r="AJ82" s="265" t="b">
        <f t="shared" si="43"/>
        <v>1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8">
        <v>12.946</v>
      </c>
      <c r="C83" s="390"/>
      <c r="D83" s="393">
        <f t="shared" si="24"/>
        <v>13.028777655953299</v>
      </c>
      <c r="E83" s="385">
        <f t="shared" si="46"/>
        <v>13.469059073970994</v>
      </c>
      <c r="F83" s="385">
        <f t="shared" si="25"/>
        <v>13.469059073970994</v>
      </c>
      <c r="G83" s="110">
        <f t="shared" si="47"/>
        <v>0.27377506727541695</v>
      </c>
      <c r="H83" s="412" t="b">
        <f>Wh_hp&gt;='2018'!Maxi_hp</f>
        <v>1</v>
      </c>
      <c r="I83" s="390">
        <f>IF(H83,Wh_hp,'2018'!Maxi_hp)</f>
        <v>13.469059073970994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6.3534475865028028E-3</v>
      </c>
      <c r="M83" s="957"/>
      <c r="N83" s="957"/>
      <c r="O83" s="48">
        <f>IF(t&lt;Tnet,'2018'!Resal+('2018'!Salim-'2018'!Resal)*(1-EXP(('2018'!Tnet-t)/('2018'!Tau_j))),Resal+(Salim-Resal)*(1-EXP((Tnet-t)/(Tau_j))))*Salcycl</f>
        <v>3.2688357486570188E-2</v>
      </c>
      <c r="P83" s="169">
        <f>(INDEX(Models!$BJ83:$BT83,,T83)*(1-R83)+INDEX(Models!$BJ83:$BT83,,T83+1)*R83-ERP_i)*Q83*Ramure*Pc/MaxiM</f>
        <v>1.2025842237870456E-4</v>
      </c>
      <c r="Q83" s="305">
        <f t="shared" si="27"/>
        <v>0.7</v>
      </c>
      <c r="R83" s="177">
        <f t="shared" si="28"/>
        <v>0.51050855239722548</v>
      </c>
      <c r="S83" s="919">
        <f t="shared" si="29"/>
        <v>-2</v>
      </c>
      <c r="T83" s="176">
        <f t="shared" si="30"/>
        <v>4</v>
      </c>
      <c r="U83" s="251">
        <f t="shared" si="31"/>
        <v>-1.4894914476027745</v>
      </c>
      <c r="V83" s="383">
        <f t="shared" si="32"/>
        <v>47.281307473634222</v>
      </c>
      <c r="W83" s="58"/>
      <c r="X83" s="157">
        <f t="shared" si="33"/>
        <v>43534</v>
      </c>
      <c r="Y83" s="385">
        <f t="shared" si="34"/>
        <v>12.946</v>
      </c>
      <c r="Z83" s="385">
        <f t="shared" si="35"/>
        <v>13.028777655953299</v>
      </c>
      <c r="AA83" s="386">
        <f t="shared" si="36"/>
        <v>13.469059073970994</v>
      </c>
      <c r="AB83" s="197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3.2688357486570188E-2</v>
      </c>
      <c r="AD83" s="231">
        <f>(INDEX(Models!$BJ83:$BT83,,AH83)*(1-AF83)+INDEX(Models!$BJ83:$BT83,,AH83+1)*AF83-ERP_i)*AE83*Ramure*Pc/MaxiM</f>
        <v>1.2025842237870456E-4</v>
      </c>
      <c r="AE83" s="305">
        <f t="shared" si="38"/>
        <v>0.7</v>
      </c>
      <c r="AF83" s="177">
        <f t="shared" si="39"/>
        <v>0.51050855239722548</v>
      </c>
      <c r="AG83" s="176">
        <f t="shared" si="40"/>
        <v>-2</v>
      </c>
      <c r="AH83" s="176">
        <f t="shared" si="41"/>
        <v>4</v>
      </c>
      <c r="AI83" s="225">
        <f t="shared" si="42"/>
        <v>-1.4894914476027745</v>
      </c>
      <c r="AJ83" s="265" t="b">
        <f t="shared" si="43"/>
        <v>1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8">
        <v>33.837000000000003</v>
      </c>
      <c r="C84" s="390"/>
      <c r="D84" s="393">
        <f t="shared" si="24"/>
        <v>34.054102086082437</v>
      </c>
      <c r="E84" s="385">
        <f t="shared" si="46"/>
        <v>35.208483631156255</v>
      </c>
      <c r="F84" s="385">
        <f t="shared" si="25"/>
        <v>35.210859546129591</v>
      </c>
      <c r="G84" s="110">
        <f t="shared" si="47"/>
        <v>0.71134930766101345</v>
      </c>
      <c r="H84" s="412" t="b">
        <f>Wh_hp&gt;='2018'!Maxi_hp</f>
        <v>1</v>
      </c>
      <c r="I84" s="390">
        <f>IF(H84,Wh_hp,'2018'!Maxi_hp)</f>
        <v>35.210859546129591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6.3752109961273673E-3</v>
      </c>
      <c r="M84" s="957"/>
      <c r="N84" s="957"/>
      <c r="O84" s="48">
        <f>IF(t&lt;Tnet,'2018'!Resal+('2018'!Salim-'2018'!Resal)*(1-EXP(('2018'!Tnet-t)/('2018'!Tau_j))),Resal+(Salim-Resal)*(1-EXP((Tnet-t)/(Tau_j))))*Salcycl</f>
        <v>3.2787028182386518E-2</v>
      </c>
      <c r="P84" s="169">
        <f>(INDEX(Models!$BJ84:$BT84,,T84)*(1-R84)+INDEX(Models!$BJ84:$BT84,,T84+1)*R84-ERP_i)*Q84*Ramure*Pc/MaxiM</f>
        <v>1.1481694323106153E-4</v>
      </c>
      <c r="Q84" s="305">
        <f t="shared" si="27"/>
        <v>0.7</v>
      </c>
      <c r="R84" s="177">
        <f t="shared" si="28"/>
        <v>0.5109661564048904</v>
      </c>
      <c r="S84" s="919">
        <f t="shared" si="29"/>
        <v>-2</v>
      </c>
      <c r="T84" s="176">
        <f t="shared" si="30"/>
        <v>4</v>
      </c>
      <c r="U84" s="251">
        <f t="shared" si="31"/>
        <v>-1.4890338435951096</v>
      </c>
      <c r="V84" s="383">
        <f t="shared" si="32"/>
        <v>47.565095907134058</v>
      </c>
      <c r="W84" s="58"/>
      <c r="X84" s="157">
        <f t="shared" si="33"/>
        <v>43535</v>
      </c>
      <c r="Y84" s="385">
        <f t="shared" si="34"/>
        <v>33.837000000000003</v>
      </c>
      <c r="Z84" s="385">
        <f t="shared" si="35"/>
        <v>34.054102086082437</v>
      </c>
      <c r="AA84" s="386">
        <f t="shared" si="36"/>
        <v>35.208483631156255</v>
      </c>
      <c r="AB84" s="197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3.2787028182386518E-2</v>
      </c>
      <c r="AD84" s="231">
        <f>(INDEX(Models!$BJ84:$BT84,,AH84)*(1-AF84)+INDEX(Models!$BJ84:$BT84,,AH84+1)*AF84-ERP_i)*AE84*Ramure*Pc/MaxiM</f>
        <v>1.1481694323106153E-4</v>
      </c>
      <c r="AE84" s="305">
        <f t="shared" si="38"/>
        <v>0.7</v>
      </c>
      <c r="AF84" s="177">
        <f t="shared" si="39"/>
        <v>0.5109661564048904</v>
      </c>
      <c r="AG84" s="176">
        <f t="shared" si="40"/>
        <v>-2</v>
      </c>
      <c r="AH84" s="176">
        <f t="shared" si="41"/>
        <v>4</v>
      </c>
      <c r="AI84" s="225">
        <f t="shared" si="42"/>
        <v>-1.4890338435951096</v>
      </c>
      <c r="AJ84" s="265" t="b">
        <f t="shared" si="43"/>
        <v>1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8">
        <v>42.215000000000003</v>
      </c>
      <c r="C85" s="390"/>
      <c r="D85" s="393">
        <f t="shared" si="24"/>
        <v>42.48678686792438</v>
      </c>
      <c r="E85" s="385">
        <f t="shared" si="46"/>
        <v>43.931504167508336</v>
      </c>
      <c r="F85" s="385">
        <f t="shared" si="25"/>
        <v>43.935491435363161</v>
      </c>
      <c r="G85" s="110">
        <f t="shared" si="47"/>
        <v>0.88227587751403713</v>
      </c>
      <c r="H85" s="412" t="b">
        <f>Wh_hp&gt;='2018'!Maxi_hp</f>
        <v>1</v>
      </c>
      <c r="I85" s="390">
        <f>IF(H85,Wh_hp,'2018'!Maxi_hp)</f>
        <v>43.935491435363161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6.3969739290773431E-3</v>
      </c>
      <c r="M85" s="957"/>
      <c r="N85" s="957"/>
      <c r="O85" s="48">
        <f>IF(t&lt;Tnet,'2018'!Resal+('2018'!Salim-'2018'!Resal)*(1-EXP(('2018'!Tnet-t)/('2018'!Tau_j))),Resal+(Salim-Resal)*(1-EXP((Tnet-t)/(Tau_j))))*Salcycl</f>
        <v>3.2885677988063716E-2</v>
      </c>
      <c r="P85" s="169">
        <f>(INDEX(Models!$BJ85:$BT85,,T85)*(1-R85)+INDEX(Models!$BJ85:$BT85,,T85+1)*R85-ERP_i)*Q85*Ramure*Pc/MaxiM</f>
        <v>1.090980758648518E-4</v>
      </c>
      <c r="Q85" s="305">
        <f t="shared" si="27"/>
        <v>0.7</v>
      </c>
      <c r="R85" s="177">
        <f t="shared" si="28"/>
        <v>0.51144204890424572</v>
      </c>
      <c r="S85" s="919">
        <f t="shared" si="29"/>
        <v>-2</v>
      </c>
      <c r="T85" s="176">
        <f t="shared" si="30"/>
        <v>4</v>
      </c>
      <c r="U85" s="251">
        <f t="shared" si="31"/>
        <v>-1.4885579510957543</v>
      </c>
      <c r="V85" s="383">
        <f t="shared" si="32"/>
        <v>47.846967778222499</v>
      </c>
      <c r="W85" s="58"/>
      <c r="X85" s="157">
        <f t="shared" si="33"/>
        <v>43536</v>
      </c>
      <c r="Y85" s="385">
        <f t="shared" si="34"/>
        <v>42.215000000000003</v>
      </c>
      <c r="Z85" s="385">
        <f t="shared" si="35"/>
        <v>42.48678686792438</v>
      </c>
      <c r="AA85" s="386">
        <f t="shared" si="36"/>
        <v>43.931504167508336</v>
      </c>
      <c r="AB85" s="197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3.2885677988063716E-2</v>
      </c>
      <c r="AD85" s="231">
        <f>(INDEX(Models!$BJ85:$BT85,,AH85)*(1-AF85)+INDEX(Models!$BJ85:$BT85,,AH85+1)*AF85-ERP_i)*AE85*Ramure*Pc/MaxiM</f>
        <v>1.090980758648518E-4</v>
      </c>
      <c r="AE85" s="305">
        <f t="shared" si="38"/>
        <v>0.7</v>
      </c>
      <c r="AF85" s="177">
        <f t="shared" si="39"/>
        <v>0.51144204890424572</v>
      </c>
      <c r="AG85" s="176">
        <f t="shared" si="40"/>
        <v>-2</v>
      </c>
      <c r="AH85" s="176">
        <f t="shared" si="41"/>
        <v>4</v>
      </c>
      <c r="AI85" s="225">
        <f t="shared" si="42"/>
        <v>-1.4885579510957543</v>
      </c>
      <c r="AJ85" s="265" t="b">
        <f t="shared" si="43"/>
        <v>1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8">
        <v>25.216000000000001</v>
      </c>
      <c r="C86" s="390"/>
      <c r="D86" s="393">
        <f t="shared" si="24"/>
        <v>25.378900471879366</v>
      </c>
      <c r="E86" s="385">
        <f t="shared" si="46"/>
        <v>26.244559345685193</v>
      </c>
      <c r="F86" s="385">
        <f t="shared" si="25"/>
        <v>26.245426921658471</v>
      </c>
      <c r="G86" s="110">
        <f t="shared" si="47"/>
        <v>0.52391456710441264</v>
      </c>
      <c r="H86" s="412" t="b">
        <f>Wh_hp&gt;='2018'!Maxi_hp</f>
        <v>1</v>
      </c>
      <c r="I86" s="390">
        <f>IF(H86,Wh_hp,'2018'!Maxi_hp)</f>
        <v>26.245426921658471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6.4187363853632773E-3</v>
      </c>
      <c r="M86" s="957"/>
      <c r="N86" s="957"/>
      <c r="O86" s="48">
        <f>IF(t&lt;Tnet,'2018'!Resal+('2018'!Salim-'2018'!Resal)*(1-EXP(('2018'!Tnet-t)/('2018'!Tau_j))),Resal+(Salim-Resal)*(1-EXP((Tnet-t)/(Tau_j))))*Salcycl</f>
        <v>3.2984317336162319E-2</v>
      </c>
      <c r="P86" s="169">
        <f>(INDEX(Models!$BJ86:$BT86,,T86)*(1-R86)+INDEX(Models!$BJ86:$BT86,,T86+1)*R86-ERP_i)*Q86*Ramure*Pc/MaxiM</f>
        <v>1.0332327472634419E-4</v>
      </c>
      <c r="Q86" s="305">
        <f t="shared" si="27"/>
        <v>0.7</v>
      </c>
      <c r="R86" s="177">
        <f t="shared" si="28"/>
        <v>0.51193692215109143</v>
      </c>
      <c r="S86" s="919">
        <f t="shared" si="29"/>
        <v>-2</v>
      </c>
      <c r="T86" s="176">
        <f t="shared" si="30"/>
        <v>4</v>
      </c>
      <c r="U86" s="251">
        <f t="shared" si="31"/>
        <v>-1.4880630778489086</v>
      </c>
      <c r="V86" s="383">
        <f t="shared" si="32"/>
        <v>48.126602449791314</v>
      </c>
      <c r="W86" s="58"/>
      <c r="X86" s="157">
        <f t="shared" si="33"/>
        <v>43537</v>
      </c>
      <c r="Y86" s="385">
        <f t="shared" si="34"/>
        <v>25.216000000000001</v>
      </c>
      <c r="Z86" s="385">
        <f t="shared" si="35"/>
        <v>25.378900471879366</v>
      </c>
      <c r="AA86" s="386">
        <f t="shared" si="36"/>
        <v>26.244559345685193</v>
      </c>
      <c r="AB86" s="197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3.2984317336162319E-2</v>
      </c>
      <c r="AD86" s="231">
        <f>(INDEX(Models!$BJ86:$BT86,,AH86)*(1-AF86)+INDEX(Models!$BJ86:$BT86,,AH86+1)*AF86-ERP_i)*AE86*Ramure*Pc/MaxiM</f>
        <v>1.0332327472634419E-4</v>
      </c>
      <c r="AE86" s="305">
        <f t="shared" si="38"/>
        <v>0.7</v>
      </c>
      <c r="AF86" s="177">
        <f t="shared" si="39"/>
        <v>0.51193692215109143</v>
      </c>
      <c r="AG86" s="176">
        <f t="shared" si="40"/>
        <v>-2</v>
      </c>
      <c r="AH86" s="176">
        <f t="shared" si="41"/>
        <v>4</v>
      </c>
      <c r="AI86" s="225">
        <f t="shared" si="42"/>
        <v>-1.4880630778489086</v>
      </c>
      <c r="AJ86" s="265" t="b">
        <f t="shared" si="43"/>
        <v>1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8">
        <v>22.28</v>
      </c>
      <c r="C87" s="390"/>
      <c r="D87" s="393">
        <f t="shared" si="24"/>
        <v>22.424424469129395</v>
      </c>
      <c r="E87" s="385">
        <f t="shared" si="46"/>
        <v>23.19167361545934</v>
      </c>
      <c r="F87" s="385">
        <f t="shared" si="25"/>
        <v>23.19219324360332</v>
      </c>
      <c r="G87" s="110">
        <f t="shared" si="47"/>
        <v>0.46026092395326851</v>
      </c>
      <c r="H87" s="412" t="b">
        <f>Wh_hp&gt;='2018'!Maxi_hp</f>
        <v>1</v>
      </c>
      <c r="I87" s="390">
        <f>IF(H87,Wh_hp,'2018'!Maxi_hp)</f>
        <v>23.19219324360332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6.440498364995495E-3</v>
      </c>
      <c r="M87" s="957"/>
      <c r="N87" s="957"/>
      <c r="O87" s="48">
        <f>IF(t&lt;Tnet,'2018'!Resal+('2018'!Salim-'2018'!Resal)*(1-EXP(('2018'!Tnet-t)/('2018'!Tau_j))),Resal+(Salim-Resal)*(1-EXP((Tnet-t)/(Tau_j))))*Salcycl</f>
        <v>3.308295723075827E-2</v>
      </c>
      <c r="P87" s="169">
        <f>(INDEX(Models!$BJ87:$BT87,,T87)*(1-R87)+INDEX(Models!$BJ87:$BT87,,T87+1)*R87-ERP_i)*Q87*Ramure*Pc/MaxiM</f>
        <v>9.7842412468171193E-5</v>
      </c>
      <c r="Q87" s="305">
        <f t="shared" si="27"/>
        <v>0.7</v>
      </c>
      <c r="R87" s="177">
        <f t="shared" si="28"/>
        <v>0.51245149138412915</v>
      </c>
      <c r="S87" s="919">
        <f t="shared" si="29"/>
        <v>-2</v>
      </c>
      <c r="T87" s="176">
        <f t="shared" si="30"/>
        <v>4</v>
      </c>
      <c r="U87" s="251">
        <f t="shared" si="31"/>
        <v>-1.4875485086158708</v>
      </c>
      <c r="V87" s="383">
        <f t="shared" si="32"/>
        <v>48.403672925818007</v>
      </c>
      <c r="W87" s="58"/>
      <c r="X87" s="157">
        <f t="shared" si="33"/>
        <v>43538</v>
      </c>
      <c r="Y87" s="385">
        <f t="shared" si="34"/>
        <v>22.28</v>
      </c>
      <c r="Z87" s="385">
        <f t="shared" si="35"/>
        <v>22.424424469129395</v>
      </c>
      <c r="AA87" s="386">
        <f t="shared" si="36"/>
        <v>23.19167361545934</v>
      </c>
      <c r="AB87" s="197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3.308295723075827E-2</v>
      </c>
      <c r="AD87" s="231">
        <f>(INDEX(Models!$BJ87:$BT87,,AH87)*(1-AF87)+INDEX(Models!$BJ87:$BT87,,AH87+1)*AF87-ERP_i)*AE87*Ramure*Pc/MaxiM</f>
        <v>9.7842412468171193E-5</v>
      </c>
      <c r="AE87" s="305">
        <f t="shared" si="38"/>
        <v>0.7</v>
      </c>
      <c r="AF87" s="177">
        <f t="shared" si="39"/>
        <v>0.51245149138412915</v>
      </c>
      <c r="AG87" s="176">
        <f t="shared" si="40"/>
        <v>-2</v>
      </c>
      <c r="AH87" s="176">
        <f t="shared" si="41"/>
        <v>4</v>
      </c>
      <c r="AI87" s="225">
        <f t="shared" si="42"/>
        <v>-1.4875485086158708</v>
      </c>
      <c r="AJ87" s="265" t="b">
        <f t="shared" si="43"/>
        <v>1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8">
        <v>12.247999999999999</v>
      </c>
      <c r="C88" s="390"/>
      <c r="D88" s="393">
        <f t="shared" si="24"/>
        <v>12.327664572029802</v>
      </c>
      <c r="E88" s="385">
        <f t="shared" si="46"/>
        <v>12.750755146537204</v>
      </c>
      <c r="F88" s="385">
        <f t="shared" si="25"/>
        <v>12.750755146537204</v>
      </c>
      <c r="G88" s="110">
        <f t="shared" si="47"/>
        <v>0.25159000211522387</v>
      </c>
      <c r="H88" s="412" t="b">
        <f>Wh_hp&gt;='2018'!Maxi_hp</f>
        <v>1</v>
      </c>
      <c r="I88" s="390">
        <f>IF(H88,Wh_hp,'2018'!Maxi_hp)</f>
        <v>12.750755146537204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6.4622598679845433E-3</v>
      </c>
      <c r="M88" s="957"/>
      <c r="N88" s="957"/>
      <c r="O88" s="48">
        <f>IF(t&lt;Tnet,'2018'!Resal+('2018'!Salim-'2018'!Resal)*(1-EXP(('2018'!Tnet-t)/('2018'!Tau_j))),Resal+(Salim-Resal)*(1-EXP((Tnet-t)/(Tau_j))))*Salcycl</f>
        <v>3.3181609218047206E-2</v>
      </c>
      <c r="P88" s="169">
        <f>(INDEX(Models!$BJ88:$BT88,,T88)*(1-R88)+INDEX(Models!$BJ88:$BT88,,T88+1)*R88-ERP_i)*Q88*Ramure*Pc/MaxiM</f>
        <v>9.2650499862275394E-5</v>
      </c>
      <c r="Q88" s="305">
        <f t="shared" si="27"/>
        <v>0.7</v>
      </c>
      <c r="R88" s="177">
        <f t="shared" si="28"/>
        <v>0.51298649531576079</v>
      </c>
      <c r="S88" s="919">
        <f t="shared" si="29"/>
        <v>-2</v>
      </c>
      <c r="T88" s="176">
        <f t="shared" si="30"/>
        <v>4</v>
      </c>
      <c r="U88" s="251">
        <f t="shared" si="31"/>
        <v>-1.4870135046842392</v>
      </c>
      <c r="V88" s="383">
        <f t="shared" si="32"/>
        <v>48.677869206697778</v>
      </c>
      <c r="W88" s="58"/>
      <c r="X88" s="157">
        <f t="shared" si="33"/>
        <v>43539</v>
      </c>
      <c r="Y88" s="385">
        <f t="shared" si="34"/>
        <v>12.247999999999999</v>
      </c>
      <c r="Z88" s="385">
        <f t="shared" si="35"/>
        <v>12.327664572029802</v>
      </c>
      <c r="AA88" s="386">
        <f t="shared" si="36"/>
        <v>12.750755146537204</v>
      </c>
      <c r="AB88" s="197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3.3181609218047206E-2</v>
      </c>
      <c r="AD88" s="231">
        <f>(INDEX(Models!$BJ88:$BT88,,AH88)*(1-AF88)+INDEX(Models!$BJ88:$BT88,,AH88+1)*AF88-ERP_i)*AE88*Ramure*Pc/MaxiM</f>
        <v>9.2650499862275394E-5</v>
      </c>
      <c r="AE88" s="305">
        <f t="shared" si="38"/>
        <v>0.7</v>
      </c>
      <c r="AF88" s="177">
        <f t="shared" si="39"/>
        <v>0.51298649531576079</v>
      </c>
      <c r="AG88" s="176">
        <f t="shared" si="40"/>
        <v>-2</v>
      </c>
      <c r="AH88" s="176">
        <f t="shared" si="41"/>
        <v>4</v>
      </c>
      <c r="AI88" s="225">
        <f t="shared" si="42"/>
        <v>-1.4870135046842392</v>
      </c>
      <c r="AJ88" s="265" t="b">
        <f t="shared" si="43"/>
        <v>1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8">
        <v>48.792000000000002</v>
      </c>
      <c r="C89" s="390"/>
      <c r="D89" s="393">
        <f t="shared" si="24"/>
        <v>49.110433074183135</v>
      </c>
      <c r="E89" s="385">
        <f t="shared" si="46"/>
        <v>50.801108460067617</v>
      </c>
      <c r="F89" s="385">
        <f t="shared" si="25"/>
        <v>50.805545862360688</v>
      </c>
      <c r="G89" s="110">
        <f t="shared" si="47"/>
        <v>0.99679459458756658</v>
      </c>
      <c r="H89" s="412" t="b">
        <f>Wh_hp&gt;='2018'!Maxi_hp</f>
        <v>1</v>
      </c>
      <c r="I89" s="390">
        <f>IF(H89,Wh_hp,'2018'!Maxi_hp)</f>
        <v>50.805545862360688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6.4840208943408584E-3</v>
      </c>
      <c r="M89" s="957"/>
      <c r="N89" s="957"/>
      <c r="O89" s="48">
        <f>IF(t&lt;Tnet,'2018'!Resal+('2018'!Salim-'2018'!Resal)*(1-EXP(('2018'!Tnet-t)/('2018'!Tau_j))),Resal+(Salim-Resal)*(1-EXP((Tnet-t)/(Tau_j))))*Salcycl</f>
        <v>3.3280285354667836E-2</v>
      </c>
      <c r="P89" s="169">
        <f>(INDEX(Models!$BJ89:$BT89,,T89)*(1-R89)+INDEX(Models!$BJ89:$BT89,,T89+1)*R89-ERP_i)*Q89*Ramure*Pc/MaxiM</f>
        <v>8.7742640352131632E-5</v>
      </c>
      <c r="Q89" s="305">
        <f t="shared" si="27"/>
        <v>0.7</v>
      </c>
      <c r="R89" s="177">
        <f t="shared" si="28"/>
        <v>0.51354269660853258</v>
      </c>
      <c r="S89" s="919">
        <f t="shared" si="29"/>
        <v>-2</v>
      </c>
      <c r="T89" s="176">
        <f t="shared" si="30"/>
        <v>4</v>
      </c>
      <c r="U89" s="251">
        <f t="shared" si="31"/>
        <v>-1.4864573033914674</v>
      </c>
      <c r="V89" s="383">
        <f t="shared" si="32"/>
        <v>48.948881406149241</v>
      </c>
      <c r="W89" s="58"/>
      <c r="X89" s="157">
        <f t="shared" si="33"/>
        <v>43540</v>
      </c>
      <c r="Y89" s="385">
        <f t="shared" si="34"/>
        <v>48.792000000000002</v>
      </c>
      <c r="Z89" s="385">
        <f t="shared" si="35"/>
        <v>49.110433074183135</v>
      </c>
      <c r="AA89" s="386">
        <f t="shared" si="36"/>
        <v>50.801108460067617</v>
      </c>
      <c r="AB89" s="197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3.3280285354667836E-2</v>
      </c>
      <c r="AD89" s="231">
        <f>(INDEX(Models!$BJ89:$BT89,,AH89)*(1-AF89)+INDEX(Models!$BJ89:$BT89,,AH89+1)*AF89-ERP_i)*AE89*Ramure*Pc/MaxiM</f>
        <v>8.7742640352131632E-5</v>
      </c>
      <c r="AE89" s="305">
        <f t="shared" si="38"/>
        <v>0.7</v>
      </c>
      <c r="AF89" s="177">
        <f t="shared" si="39"/>
        <v>0.51354269660853258</v>
      </c>
      <c r="AG89" s="176">
        <f t="shared" si="40"/>
        <v>-2</v>
      </c>
      <c r="AH89" s="176">
        <f t="shared" si="41"/>
        <v>4</v>
      </c>
      <c r="AI89" s="225">
        <f t="shared" si="42"/>
        <v>-1.4864573033914674</v>
      </c>
      <c r="AJ89" s="265" t="b">
        <f t="shared" si="43"/>
        <v>1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8">
        <v>15.459</v>
      </c>
      <c r="C90" s="390"/>
      <c r="D90" s="393">
        <f t="shared" si="24"/>
        <v>15.560231465131359</v>
      </c>
      <c r="E90" s="385">
        <f t="shared" si="46"/>
        <v>16.097551610960362</v>
      </c>
      <c r="F90" s="385">
        <f t="shared" si="25"/>
        <v>16.09757856579601</v>
      </c>
      <c r="G90" s="110">
        <f t="shared" si="47"/>
        <v>0.31407703732615566</v>
      </c>
      <c r="H90" s="412" t="b">
        <f>Wh_hp&gt;='2018'!Maxi_hp</f>
        <v>1</v>
      </c>
      <c r="I90" s="390">
        <f>IF(H90,Wh_hp,'2018'!Maxi_hp)</f>
        <v>16.09757856579601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6.5057814440747652E-3</v>
      </c>
      <c r="M90" s="957"/>
      <c r="N90" s="957"/>
      <c r="O90" s="48">
        <f>IF(t&lt;Tnet,'2018'!Resal+('2018'!Salim-'2018'!Resal)*(1-EXP(('2018'!Tnet-t)/('2018'!Tau_j))),Resal+(Salim-Resal)*(1-EXP((Tnet-t)/(Tau_j))))*Salcycl</f>
        <v>3.3378998174055097E-2</v>
      </c>
      <c r="P90" s="169">
        <f>(INDEX(Models!$BJ90:$BT90,,T90)*(1-R90)+INDEX(Models!$BJ90:$BT90,,T90+1)*R90-ERP_i)*Q90*Ramure*Pc/MaxiM</f>
        <v>8.3114049008156614E-5</v>
      </c>
      <c r="Q90" s="305">
        <f t="shared" si="27"/>
        <v>0.7</v>
      </c>
      <c r="R90" s="177">
        <f t="shared" si="28"/>
        <v>0.51412088233429687</v>
      </c>
      <c r="S90" s="919">
        <f t="shared" si="29"/>
        <v>-2</v>
      </c>
      <c r="T90" s="176">
        <f t="shared" si="30"/>
        <v>4</v>
      </c>
      <c r="U90" s="251">
        <f t="shared" si="31"/>
        <v>-1.4858791176657031</v>
      </c>
      <c r="V90" s="383">
        <f t="shared" si="32"/>
        <v>49.216399756452432</v>
      </c>
      <c r="W90" s="58"/>
      <c r="X90" s="157">
        <f t="shared" si="33"/>
        <v>43541</v>
      </c>
      <c r="Y90" s="385">
        <f t="shared" si="34"/>
        <v>15.459</v>
      </c>
      <c r="Z90" s="385">
        <f t="shared" si="35"/>
        <v>15.560231465131359</v>
      </c>
      <c r="AA90" s="386">
        <f t="shared" si="36"/>
        <v>16.097551610960362</v>
      </c>
      <c r="AB90" s="197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3.3378998174055097E-2</v>
      </c>
      <c r="AD90" s="231">
        <f>(INDEX(Models!$BJ90:$BT90,,AH90)*(1-AF90)+INDEX(Models!$BJ90:$BT90,,AH90+1)*AF90-ERP_i)*AE90*Ramure*Pc/MaxiM</f>
        <v>8.3114049008156614E-5</v>
      </c>
      <c r="AE90" s="305">
        <f t="shared" si="38"/>
        <v>0.7</v>
      </c>
      <c r="AF90" s="177">
        <f t="shared" si="39"/>
        <v>0.51412088233429687</v>
      </c>
      <c r="AG90" s="176">
        <f t="shared" si="40"/>
        <v>-2</v>
      </c>
      <c r="AH90" s="176">
        <f t="shared" si="41"/>
        <v>4</v>
      </c>
      <c r="AI90" s="225">
        <f t="shared" si="42"/>
        <v>-1.4858791176657031</v>
      </c>
      <c r="AJ90" s="265" t="b">
        <f t="shared" si="43"/>
        <v>1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8">
        <v>36.746000000000002</v>
      </c>
      <c r="C91" s="390"/>
      <c r="D91" s="393">
        <f t="shared" si="24"/>
        <v>36.987437030833469</v>
      </c>
      <c r="E91" s="385">
        <f t="shared" si="46"/>
        <v>38.268583510040592</v>
      </c>
      <c r="F91" s="385">
        <f t="shared" si="25"/>
        <v>38.270489516966428</v>
      </c>
      <c r="G91" s="110">
        <f t="shared" si="47"/>
        <v>0.74262026688882465</v>
      </c>
      <c r="H91" s="412" t="b">
        <f>Wh_hp&gt;='2018'!Maxi_hp</f>
        <v>1</v>
      </c>
      <c r="I91" s="390">
        <f>IF(H91,Wh_hp,'2018'!Maxi_hp)</f>
        <v>38.270489516966428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6.527541517196811E-3</v>
      </c>
      <c r="M91" s="957"/>
      <c r="N91" s="957"/>
      <c r="O91" s="48">
        <f>IF(t&lt;Tnet,'2018'!Resal+('2018'!Salim-'2018'!Resal)*(1-EXP(('2018'!Tnet-t)/('2018'!Tau_j))),Resal+(Salim-Resal)*(1-EXP((Tnet-t)/(Tau_j))))*Salcycl</f>
        <v>3.3477760651135356E-2</v>
      </c>
      <c r="P91" s="169">
        <f>(INDEX(Models!$BJ91:$BT91,,T91)*(1-R91)+INDEX(Models!$BJ91:$BT91,,T91+1)*R91-ERP_i)*Q91*Ramure*Pc/MaxiM</f>
        <v>7.8760071375676092E-5</v>
      </c>
      <c r="Q91" s="305">
        <f t="shared" si="27"/>
        <v>0.7</v>
      </c>
      <c r="R91" s="177">
        <f t="shared" si="28"/>
        <v>0.51472186441292234</v>
      </c>
      <c r="S91" s="919">
        <f t="shared" si="29"/>
        <v>-2</v>
      </c>
      <c r="T91" s="176">
        <f t="shared" si="30"/>
        <v>4</v>
      </c>
      <c r="U91" s="251">
        <f t="shared" si="31"/>
        <v>-1.4852781355870777</v>
      </c>
      <c r="V91" s="383">
        <f t="shared" si="32"/>
        <v>49.480114601870063</v>
      </c>
      <c r="W91" s="58"/>
      <c r="X91" s="157">
        <f t="shared" si="33"/>
        <v>43542</v>
      </c>
      <c r="Y91" s="385">
        <f t="shared" si="34"/>
        <v>36.746000000000002</v>
      </c>
      <c r="Z91" s="385">
        <f t="shared" si="35"/>
        <v>36.987437030833469</v>
      </c>
      <c r="AA91" s="386">
        <f t="shared" si="36"/>
        <v>38.268583510040592</v>
      </c>
      <c r="AB91" s="197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3.3477760651135356E-2</v>
      </c>
      <c r="AD91" s="231">
        <f>(INDEX(Models!$BJ91:$BT91,,AH91)*(1-AF91)+INDEX(Models!$BJ91:$BT91,,AH91+1)*AF91-ERP_i)*AE91*Ramure*Pc/MaxiM</f>
        <v>7.8760071375676092E-5</v>
      </c>
      <c r="AE91" s="305">
        <f t="shared" si="38"/>
        <v>0.7</v>
      </c>
      <c r="AF91" s="177">
        <f t="shared" si="39"/>
        <v>0.51472186441292234</v>
      </c>
      <c r="AG91" s="176">
        <f t="shared" si="40"/>
        <v>-2</v>
      </c>
      <c r="AH91" s="176">
        <f t="shared" si="41"/>
        <v>4</v>
      </c>
      <c r="AI91" s="225">
        <f t="shared" si="42"/>
        <v>-1.4852781355870777</v>
      </c>
      <c r="AJ91" s="265" t="b">
        <f t="shared" si="43"/>
        <v>1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8">
        <v>12.077999999999999</v>
      </c>
      <c r="C92" s="390"/>
      <c r="D92" s="393">
        <f t="shared" si="24"/>
        <v>12.157623940010469</v>
      </c>
      <c r="E92" s="385">
        <f t="shared" si="46"/>
        <v>12.580017998295995</v>
      </c>
      <c r="F92" s="385">
        <f t="shared" si="25"/>
        <v>12.580017998295995</v>
      </c>
      <c r="G92" s="110">
        <f t="shared" si="47"/>
        <v>0.24280592920846955</v>
      </c>
      <c r="H92" s="412" t="b">
        <f>Wh_hp&gt;='2018'!Maxi_hp</f>
        <v>1</v>
      </c>
      <c r="I92" s="390">
        <f>IF(H92,Wh_hp,'2018'!Maxi_hp)</f>
        <v>12.580017998295995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6.5493011137175428E-3</v>
      </c>
      <c r="M92" s="957"/>
      <c r="N92" s="957"/>
      <c r="O92" s="48">
        <f>IF(t&lt;Tnet,'2018'!Resal+('2018'!Salim-'2018'!Resal)*(1-EXP(('2018'!Tnet-t)/('2018'!Tau_j))),Resal+(Salim-Resal)*(1-EXP((Tnet-t)/(Tau_j))))*Salcycl</f>
        <v>3.3576586165674903E-2</v>
      </c>
      <c r="P92" s="169">
        <f>(INDEX(Models!$BJ92:$BT92,,T92)*(1-R92)+INDEX(Models!$BJ92:$BT92,,T92+1)*R92-ERP_i)*Q92*Ramure*Pc/MaxiM</f>
        <v>7.467620218674036E-5</v>
      </c>
      <c r="Q92" s="305">
        <f t="shared" si="27"/>
        <v>0.7</v>
      </c>
      <c r="R92" s="177">
        <f t="shared" si="28"/>
        <v>0.51534648002712879</v>
      </c>
      <c r="S92" s="919">
        <f t="shared" si="29"/>
        <v>-2</v>
      </c>
      <c r="T92" s="176">
        <f t="shared" si="30"/>
        <v>4</v>
      </c>
      <c r="U92" s="251">
        <f t="shared" si="31"/>
        <v>-1.4846535199728712</v>
      </c>
      <c r="V92" s="383">
        <f t="shared" si="32"/>
        <v>49.739716407257802</v>
      </c>
      <c r="W92" s="58"/>
      <c r="X92" s="157">
        <f t="shared" si="33"/>
        <v>43543</v>
      </c>
      <c r="Y92" s="385">
        <f t="shared" si="34"/>
        <v>12.077999999999999</v>
      </c>
      <c r="Z92" s="385">
        <f t="shared" si="35"/>
        <v>12.157623940010469</v>
      </c>
      <c r="AA92" s="386">
        <f t="shared" si="36"/>
        <v>12.580017998295995</v>
      </c>
      <c r="AB92" s="197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3.3576586165674903E-2</v>
      </c>
      <c r="AD92" s="231">
        <f>(INDEX(Models!$BJ92:$BT92,,AH92)*(1-AF92)+INDEX(Models!$BJ92:$BT92,,AH92+1)*AF92-ERP_i)*AE92*Ramure*Pc/MaxiM</f>
        <v>7.467620218674036E-5</v>
      </c>
      <c r="AE92" s="305">
        <f t="shared" si="38"/>
        <v>0.7</v>
      </c>
      <c r="AF92" s="177">
        <f t="shared" si="39"/>
        <v>0.51534648002712879</v>
      </c>
      <c r="AG92" s="176">
        <f t="shared" si="40"/>
        <v>-2</v>
      </c>
      <c r="AH92" s="176">
        <f t="shared" si="41"/>
        <v>4</v>
      </c>
      <c r="AI92" s="225">
        <f t="shared" si="42"/>
        <v>-1.4846535199728712</v>
      </c>
      <c r="AJ92" s="265" t="b">
        <f t="shared" si="43"/>
        <v>1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8">
        <v>51.009</v>
      </c>
      <c r="C93" s="390"/>
      <c r="D93" s="393">
        <f t="shared" si="24"/>
        <v>51.346400289080499</v>
      </c>
      <c r="E93" s="385">
        <f t="shared" si="46"/>
        <v>53.135773413731535</v>
      </c>
      <c r="F93" s="385">
        <f t="shared" si="25"/>
        <v>53.139538604347429</v>
      </c>
      <c r="G93" s="110">
        <f t="shared" si="47"/>
        <v>1.0202363370762386</v>
      </c>
      <c r="H93" s="412" t="b">
        <f>Wh_hp&gt;='2018'!Maxi_hp</f>
        <v>1</v>
      </c>
      <c r="I93" s="390">
        <f>IF(H93,Wh_hp,'2018'!Maxi_hp)</f>
        <v>53.139538604347429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6.5710602336470636E-3</v>
      </c>
      <c r="M93" s="957"/>
      <c r="N93" s="957"/>
      <c r="O93" s="48">
        <f>IF(t&lt;Tnet,'2018'!Resal+('2018'!Salim-'2018'!Resal)*(1-EXP(('2018'!Tnet-t)/('2018'!Tau_j))),Resal+(Salim-Resal)*(1-EXP((Tnet-t)/(Tau_j))))*Salcycl</f>
        <v>3.3675488464587282E-2</v>
      </c>
      <c r="P93" s="169">
        <f>(INDEX(Models!$BJ93:$BT93,,T93)*(1-R93)+INDEX(Models!$BJ93:$BT93,,T93+1)*R93-ERP_i)*Q93*Ramure*Pc/MaxiM</f>
        <v>7.0854785622558649E-5</v>
      </c>
      <c r="Q93" s="305">
        <f t="shared" si="27"/>
        <v>0.7</v>
      </c>
      <c r="R93" s="177">
        <f t="shared" si="28"/>
        <v>0.51599559200975031</v>
      </c>
      <c r="S93" s="919">
        <f t="shared" si="29"/>
        <v>-2</v>
      </c>
      <c r="T93" s="176">
        <f t="shared" si="30"/>
        <v>4</v>
      </c>
      <c r="U93" s="251">
        <f t="shared" si="31"/>
        <v>-1.4840044079902497</v>
      </c>
      <c r="V93" s="383">
        <f t="shared" si="32"/>
        <v>49.997239018343528</v>
      </c>
      <c r="W93" s="58"/>
      <c r="X93" s="157">
        <f t="shared" si="33"/>
        <v>43544</v>
      </c>
      <c r="Y93" s="385">
        <f t="shared" si="34"/>
        <v>51.009</v>
      </c>
      <c r="Z93" s="385">
        <f t="shared" si="35"/>
        <v>51.346400289080499</v>
      </c>
      <c r="AA93" s="386">
        <f t="shared" si="36"/>
        <v>53.135773413731535</v>
      </c>
      <c r="AB93" s="197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3.3675488464587282E-2</v>
      </c>
      <c r="AD93" s="231">
        <f>(INDEX(Models!$BJ93:$BT93,,AH93)*(1-AF93)+INDEX(Models!$BJ93:$BT93,,AH93+1)*AF93-ERP_i)*AE93*Ramure*Pc/MaxiM</f>
        <v>7.0854785622558649E-5</v>
      </c>
      <c r="AE93" s="305">
        <f t="shared" si="38"/>
        <v>0.7</v>
      </c>
      <c r="AF93" s="177">
        <f t="shared" si="39"/>
        <v>0.51599559200975031</v>
      </c>
      <c r="AG93" s="176">
        <f t="shared" si="40"/>
        <v>-2</v>
      </c>
      <c r="AH93" s="176">
        <f t="shared" si="41"/>
        <v>4</v>
      </c>
      <c r="AI93" s="225">
        <f t="shared" si="42"/>
        <v>-1.4840044079902497</v>
      </c>
      <c r="AJ93" s="265" t="b">
        <f t="shared" si="43"/>
        <v>1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8">
        <v>51.08</v>
      </c>
      <c r="C94" s="390"/>
      <c r="D94" s="393">
        <f t="shared" si="24"/>
        <v>51.418996128310916</v>
      </c>
      <c r="E94" s="385">
        <f t="shared" si="46"/>
        <v>53.216350790142023</v>
      </c>
      <c r="F94" s="385">
        <f t="shared" si="25"/>
        <v>53.219933275475654</v>
      </c>
      <c r="G94" s="110">
        <f t="shared" si="47"/>
        <v>1.0164276371412178</v>
      </c>
      <c r="H94" s="412" t="b">
        <f>Wh_hp&gt;='2018'!Maxi_hp</f>
        <v>1</v>
      </c>
      <c r="I94" s="390">
        <f>IF(H94,Wh_hp,'2018'!Maxi_hp)</f>
        <v>53.219933275475654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6.5928188769961427E-3</v>
      </c>
      <c r="M94" s="957"/>
      <c r="N94" s="957"/>
      <c r="O94" s="48">
        <f>IF(t&lt;Tnet,'2018'!Resal+('2018'!Salim-'2018'!Resal)*(1-EXP(('2018'!Tnet-t)/('2018'!Tau_j))),Resal+(Salim-Resal)*(1-EXP((Tnet-t)/(Tau_j))))*Salcycl</f>
        <v>3.3774481623494827E-2</v>
      </c>
      <c r="P94" s="169">
        <f>(INDEX(Models!$BJ94:$BT94,,T94)*(1-R94)+INDEX(Models!$BJ94:$BT94,,T94+1)*R94-ERP_i)*Q94*Ramure*Pc/MaxiM</f>
        <v>6.7314728019063721E-5</v>
      </c>
      <c r="Q94" s="305">
        <f t="shared" si="27"/>
        <v>0.7</v>
      </c>
      <c r="R94" s="177">
        <f t="shared" si="28"/>
        <v>0.51667008919945068</v>
      </c>
      <c r="S94" s="919">
        <f t="shared" si="29"/>
        <v>-2</v>
      </c>
      <c r="T94" s="176">
        <f t="shared" si="30"/>
        <v>4</v>
      </c>
      <c r="U94" s="251">
        <f t="shared" si="31"/>
        <v>-1.4833299108005493</v>
      </c>
      <c r="V94" s="383">
        <f t="shared" si="32"/>
        <v>50.254438322502224</v>
      </c>
      <c r="W94" s="58"/>
      <c r="X94" s="157">
        <f t="shared" si="33"/>
        <v>43545</v>
      </c>
      <c r="Y94" s="385">
        <f t="shared" si="34"/>
        <v>51.08</v>
      </c>
      <c r="Z94" s="385">
        <f t="shared" si="35"/>
        <v>51.418996128310916</v>
      </c>
      <c r="AA94" s="386">
        <f t="shared" si="36"/>
        <v>53.216350790142023</v>
      </c>
      <c r="AB94" s="197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3.3774481623494827E-2</v>
      </c>
      <c r="AD94" s="231">
        <f>(INDEX(Models!$BJ94:$BT94,,AH94)*(1-AF94)+INDEX(Models!$BJ94:$BT94,,AH94+1)*AF94-ERP_i)*AE94*Ramure*Pc/MaxiM</f>
        <v>6.7314728019063721E-5</v>
      </c>
      <c r="AE94" s="305">
        <f t="shared" si="38"/>
        <v>0.7</v>
      </c>
      <c r="AF94" s="177">
        <f t="shared" si="39"/>
        <v>0.51667008919945068</v>
      </c>
      <c r="AG94" s="176">
        <f t="shared" si="40"/>
        <v>-2</v>
      </c>
      <c r="AH94" s="176">
        <f t="shared" si="41"/>
        <v>4</v>
      </c>
      <c r="AI94" s="225">
        <f t="shared" si="42"/>
        <v>-1.4833299108005493</v>
      </c>
      <c r="AJ94" s="265" t="b">
        <f t="shared" si="43"/>
        <v>1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8">
        <v>50.015999999999998</v>
      </c>
      <c r="C95" s="390"/>
      <c r="D95" s="393">
        <f t="shared" si="24"/>
        <v>50.349037588207125</v>
      </c>
      <c r="E95" s="385">
        <f t="shared" si="46"/>
        <v>52.114336743440873</v>
      </c>
      <c r="F95" s="385">
        <f t="shared" si="25"/>
        <v>52.117627843898426</v>
      </c>
      <c r="G95" s="110">
        <f t="shared" si="47"/>
        <v>0.99020729352502146</v>
      </c>
      <c r="H95" s="412" t="b">
        <f>Wh_hp&gt;='2018'!Maxi_hp</f>
        <v>1</v>
      </c>
      <c r="I95" s="390">
        <f>IF(H95,Wh_hp,'2018'!Maxi_hp)</f>
        <v>52.117627843898426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6.614577043775105E-3</v>
      </c>
      <c r="M95" s="957"/>
      <c r="N95" s="957"/>
      <c r="O95" s="48">
        <f>IF(t&lt;Tnet,'2018'!Resal+('2018'!Salim-'2018'!Resal)*(1-EXP(('2018'!Tnet-t)/('2018'!Tau_j))),Resal+(Salim-Resal)*(1-EXP((Tnet-t)/(Tau_j))))*Salcycl</f>
        <v>3.3873580007826413E-2</v>
      </c>
      <c r="P95" s="169">
        <f>(INDEX(Models!$BJ95:$BT95,,T95)*(1-R95)+INDEX(Models!$BJ95:$BT95,,T95+1)*R95-ERP_i)*Q95*Ramure*Pc/MaxiM</f>
        <v>6.4043408252162148E-5</v>
      </c>
      <c r="Q95" s="305">
        <f t="shared" si="27"/>
        <v>0.7</v>
      </c>
      <c r="R95" s="177">
        <f t="shared" si="28"/>
        <v>0.51737088676062526</v>
      </c>
      <c r="S95" s="919">
        <f t="shared" si="29"/>
        <v>-2</v>
      </c>
      <c r="T95" s="176">
        <f t="shared" si="30"/>
        <v>4</v>
      </c>
      <c r="U95" s="251">
        <f t="shared" si="31"/>
        <v>-1.4826291132393747</v>
      </c>
      <c r="V95" s="383">
        <f t="shared" si="32"/>
        <v>50.510590577274591</v>
      </c>
      <c r="W95" s="58"/>
      <c r="X95" s="157">
        <f t="shared" si="33"/>
        <v>43546</v>
      </c>
      <c r="Y95" s="385">
        <f t="shared" si="34"/>
        <v>50.015999999999998</v>
      </c>
      <c r="Z95" s="385">
        <f t="shared" si="35"/>
        <v>50.349037588207125</v>
      </c>
      <c r="AA95" s="386">
        <f t="shared" si="36"/>
        <v>52.114336743440873</v>
      </c>
      <c r="AB95" s="197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3.3873580007826413E-2</v>
      </c>
      <c r="AD95" s="231">
        <f>(INDEX(Models!$BJ95:$BT95,,AH95)*(1-AF95)+INDEX(Models!$BJ95:$BT95,,AH95+1)*AF95-ERP_i)*AE95*Ramure*Pc/MaxiM</f>
        <v>6.4043408252162148E-5</v>
      </c>
      <c r="AE95" s="305">
        <f t="shared" si="38"/>
        <v>0.7</v>
      </c>
      <c r="AF95" s="177">
        <f t="shared" si="39"/>
        <v>0.51737088676062526</v>
      </c>
      <c r="AG95" s="176">
        <f t="shared" si="40"/>
        <v>-2</v>
      </c>
      <c r="AH95" s="176">
        <f t="shared" si="41"/>
        <v>4</v>
      </c>
      <c r="AI95" s="225">
        <f t="shared" si="42"/>
        <v>-1.4826291132393747</v>
      </c>
      <c r="AJ95" s="265" t="b">
        <f t="shared" si="43"/>
        <v>1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8">
        <v>46.890999999999998</v>
      </c>
      <c r="C96" s="390"/>
      <c r="D96" s="393">
        <f t="shared" si="24"/>
        <v>47.204263292077826</v>
      </c>
      <c r="E96" s="385">
        <f t="shared" si="46"/>
        <v>48.864321010598431</v>
      </c>
      <c r="F96" s="385">
        <f t="shared" si="25"/>
        <v>48.866978588273319</v>
      </c>
      <c r="G96" s="110">
        <f t="shared" si="47"/>
        <v>0.92368194503190426</v>
      </c>
      <c r="H96" s="412" t="b">
        <f>Wh_hp&gt;='2018'!Maxi_hp</f>
        <v>1</v>
      </c>
      <c r="I96" s="390">
        <f>IF(H96,Wh_hp,'2018'!Maxi_hp)</f>
        <v>48.866978588273319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6.6363347339942758E-3</v>
      </c>
      <c r="M96" s="957"/>
      <c r="N96" s="957"/>
      <c r="O96" s="48">
        <f>IF(t&lt;Tnet,'2018'!Resal+('2018'!Salim-'2018'!Resal)*(1-EXP(('2018'!Tnet-t)/('2018'!Tau_j))),Resal+(Salim-Resal)*(1-EXP((Tnet-t)/(Tau_j))))*Salcycl</f>
        <v>3.3972798233716302E-2</v>
      </c>
      <c r="P96" s="169">
        <f>(INDEX(Models!$BJ96:$BT96,,T96)*(1-R96)+INDEX(Models!$BJ96:$BT96,,T96+1)*R96-ERP_i)*Q96*Ramure*Pc/MaxiM</f>
        <v>6.1038108526142846E-5</v>
      </c>
      <c r="Q96" s="305">
        <f t="shared" si="27"/>
        <v>0.7</v>
      </c>
      <c r="R96" s="177">
        <f t="shared" si="28"/>
        <v>0.51809892646291988</v>
      </c>
      <c r="S96" s="919">
        <f t="shared" si="29"/>
        <v>-2</v>
      </c>
      <c r="T96" s="176">
        <f t="shared" si="30"/>
        <v>4</v>
      </c>
      <c r="U96" s="251">
        <f t="shared" si="31"/>
        <v>-1.4819010735370801</v>
      </c>
      <c r="V96" s="383">
        <f t="shared" si="32"/>
        <v>50.764971875339917</v>
      </c>
      <c r="W96" s="58"/>
      <c r="X96" s="157">
        <f t="shared" si="33"/>
        <v>43547</v>
      </c>
      <c r="Y96" s="385">
        <f t="shared" si="34"/>
        <v>46.890999999999998</v>
      </c>
      <c r="Z96" s="385">
        <f t="shared" si="35"/>
        <v>47.204263292077826</v>
      </c>
      <c r="AA96" s="386">
        <f t="shared" si="36"/>
        <v>48.864321010598431</v>
      </c>
      <c r="AB96" s="197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3.3972798233716302E-2</v>
      </c>
      <c r="AD96" s="231">
        <f>(INDEX(Models!$BJ96:$BT96,,AH96)*(1-AF96)+INDEX(Models!$BJ96:$BT96,,AH96+1)*AF96-ERP_i)*AE96*Ramure*Pc/MaxiM</f>
        <v>6.1038108526142846E-5</v>
      </c>
      <c r="AE96" s="305">
        <f t="shared" si="38"/>
        <v>0.7</v>
      </c>
      <c r="AF96" s="177">
        <f t="shared" si="39"/>
        <v>0.51809892646291988</v>
      </c>
      <c r="AG96" s="176">
        <f t="shared" si="40"/>
        <v>-2</v>
      </c>
      <c r="AH96" s="176">
        <f t="shared" si="41"/>
        <v>4</v>
      </c>
      <c r="AI96" s="225">
        <f t="shared" si="42"/>
        <v>-1.4819010735370801</v>
      </c>
      <c r="AJ96" s="265" t="b">
        <f t="shared" si="43"/>
        <v>1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8">
        <v>50.500999999999998</v>
      </c>
      <c r="C97" s="390"/>
      <c r="D97" s="393">
        <f t="shared" si="24"/>
        <v>50.839494025796483</v>
      </c>
      <c r="E97" s="385">
        <f t="shared" si="46"/>
        <v>52.63280697954427</v>
      </c>
      <c r="F97" s="385">
        <f t="shared" si="25"/>
        <v>52.635831121779191</v>
      </c>
      <c r="G97" s="110">
        <f t="shared" si="47"/>
        <v>0.98988763361330712</v>
      </c>
      <c r="H97" s="412" t="b">
        <f>Wh_hp&gt;='2018'!Maxi_hp</f>
        <v>1</v>
      </c>
      <c r="I97" s="390">
        <f>IF(H97,Wh_hp,'2018'!Maxi_hp)</f>
        <v>52.635831121779191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6.658091947664313E-3</v>
      </c>
      <c r="M97" s="957"/>
      <c r="N97" s="957"/>
      <c r="O97" s="48">
        <f>IF(t&lt;Tnet,'2018'!Resal+('2018'!Salim-'2018'!Resal)*(1-EXP(('2018'!Tnet-t)/('2018'!Tau_j))),Resal+(Salim-Resal)*(1-EXP((Tnet-t)/(Tau_j))))*Salcycl</f>
        <v>3.4072151128948083E-2</v>
      </c>
      <c r="P97" s="169">
        <f>(INDEX(Models!$BJ97:$BT97,,T97)*(1-R97)+INDEX(Models!$BJ97:$BT97,,T97+1)*R97-ERP_i)*Q97*Ramure*Pc/MaxiM</f>
        <v>5.8296151308589768E-5</v>
      </c>
      <c r="Q97" s="305">
        <f t="shared" si="27"/>
        <v>0.7</v>
      </c>
      <c r="R97" s="177">
        <f t="shared" si="28"/>
        <v>0.51885517691547967</v>
      </c>
      <c r="S97" s="919">
        <f t="shared" si="29"/>
        <v>-2</v>
      </c>
      <c r="T97" s="176">
        <f t="shared" si="30"/>
        <v>4</v>
      </c>
      <c r="U97" s="251">
        <f t="shared" si="31"/>
        <v>-1.4811448230845203</v>
      </c>
      <c r="V97" s="383">
        <f t="shared" si="32"/>
        <v>51.016858637578743</v>
      </c>
      <c r="W97" s="58"/>
      <c r="X97" s="157">
        <f t="shared" si="33"/>
        <v>43548</v>
      </c>
      <c r="Y97" s="385">
        <f t="shared" si="34"/>
        <v>50.500999999999998</v>
      </c>
      <c r="Z97" s="385">
        <f t="shared" si="35"/>
        <v>50.839494025796483</v>
      </c>
      <c r="AA97" s="386">
        <f t="shared" si="36"/>
        <v>52.63280697954427</v>
      </c>
      <c r="AB97" s="197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3.4072151128948083E-2</v>
      </c>
      <c r="AD97" s="231">
        <f>(INDEX(Models!$BJ97:$BT97,,AH97)*(1-AF97)+INDEX(Models!$BJ97:$BT97,,AH97+1)*AF97-ERP_i)*AE97*Ramure*Pc/MaxiM</f>
        <v>5.8296151308589768E-5</v>
      </c>
      <c r="AE97" s="305">
        <f t="shared" si="38"/>
        <v>0.7</v>
      </c>
      <c r="AF97" s="177">
        <f t="shared" si="39"/>
        <v>0.51885517691547967</v>
      </c>
      <c r="AG97" s="176">
        <f t="shared" si="40"/>
        <v>-2</v>
      </c>
      <c r="AH97" s="176">
        <f t="shared" si="41"/>
        <v>4</v>
      </c>
      <c r="AI97" s="225">
        <f t="shared" si="42"/>
        <v>-1.4811448230845203</v>
      </c>
      <c r="AJ97" s="265" t="b">
        <f t="shared" si="43"/>
        <v>1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8">
        <v>44.89</v>
      </c>
      <c r="C98" s="390"/>
      <c r="D98" s="393">
        <f t="shared" si="24"/>
        <v>45.191874886020827</v>
      </c>
      <c r="E98" s="385">
        <f t="shared" si="46"/>
        <v>46.790793683860848</v>
      </c>
      <c r="F98" s="385">
        <f t="shared" si="25"/>
        <v>46.792941423545052</v>
      </c>
      <c r="G98" s="110">
        <f t="shared" si="47"/>
        <v>0.8756284569981595</v>
      </c>
      <c r="H98" s="412" t="b">
        <f>Wh_hp&gt;='2018'!Maxi_hp</f>
        <v>1</v>
      </c>
      <c r="I98" s="390">
        <f>IF(H98,Wh_hp,'2018'!Maxi_hp)</f>
        <v>46.792941423545052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6.6798486847954308E-3</v>
      </c>
      <c r="M98" s="957"/>
      <c r="N98" s="957"/>
      <c r="O98" s="48">
        <f>IF(t&lt;Tnet,'2018'!Resal+('2018'!Salim-'2018'!Resal)*(1-EXP(('2018'!Tnet-t)/('2018'!Tau_j))),Resal+(Salim-Resal)*(1-EXP((Tnet-t)/(Tau_j))))*Salcycl</f>
        <v>3.4171653694165104E-2</v>
      </c>
      <c r="P98" s="169">
        <f>(INDEX(Models!$BJ98:$BT98,,T98)*(1-R98)+INDEX(Models!$BJ98:$BT98,,T98+1)*R98-ERP_i)*Q98*Ramure*Pc/MaxiM</f>
        <v>5.5814948551797646E-5</v>
      </c>
      <c r="Q98" s="305">
        <f t="shared" si="27"/>
        <v>0.7</v>
      </c>
      <c r="R98" s="177">
        <f t="shared" si="28"/>
        <v>0.51964063375072689</v>
      </c>
      <c r="S98" s="919">
        <f t="shared" si="29"/>
        <v>-2</v>
      </c>
      <c r="T98" s="176">
        <f t="shared" si="30"/>
        <v>4</v>
      </c>
      <c r="U98" s="251">
        <f t="shared" si="31"/>
        <v>-1.4803593662492731</v>
      </c>
      <c r="V98" s="383">
        <f t="shared" si="32"/>
        <v>51.265527615881552</v>
      </c>
      <c r="W98" s="58"/>
      <c r="X98" s="157">
        <f t="shared" si="33"/>
        <v>43549</v>
      </c>
      <c r="Y98" s="385">
        <f t="shared" si="34"/>
        <v>44.89</v>
      </c>
      <c r="Z98" s="385">
        <f t="shared" si="35"/>
        <v>45.191874886020827</v>
      </c>
      <c r="AA98" s="386">
        <f t="shared" si="36"/>
        <v>46.790793683860848</v>
      </c>
      <c r="AB98" s="197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3.4171653694165104E-2</v>
      </c>
      <c r="AD98" s="231">
        <f>(INDEX(Models!$BJ98:$BT98,,AH98)*(1-AF98)+INDEX(Models!$BJ98:$BT98,,AH98+1)*AF98-ERP_i)*AE98*Ramure*Pc/MaxiM</f>
        <v>5.5814948551797646E-5</v>
      </c>
      <c r="AE98" s="305">
        <f t="shared" si="38"/>
        <v>0.7</v>
      </c>
      <c r="AF98" s="177">
        <f t="shared" si="39"/>
        <v>0.51964063375072689</v>
      </c>
      <c r="AG98" s="176">
        <f t="shared" si="40"/>
        <v>-2</v>
      </c>
      <c r="AH98" s="176">
        <f t="shared" si="41"/>
        <v>4</v>
      </c>
      <c r="AI98" s="225">
        <f t="shared" si="42"/>
        <v>-1.4803593662492731</v>
      </c>
      <c r="AJ98" s="265" t="b">
        <f t="shared" si="43"/>
        <v>1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8">
        <v>53.793999999999997</v>
      </c>
      <c r="C99" s="390"/>
      <c r="D99" s="393">
        <f t="shared" si="24"/>
        <v>54.156938406250951</v>
      </c>
      <c r="E99" s="385">
        <f t="shared" si="46"/>
        <v>56.078834135845732</v>
      </c>
      <c r="F99" s="385">
        <f t="shared" si="25"/>
        <v>56.081839676566283</v>
      </c>
      <c r="G99" s="110">
        <f t="shared" si="47"/>
        <v>1.0443357164871609</v>
      </c>
      <c r="H99" s="412" t="b">
        <f>Wh_hp&gt;='2018'!Maxi_hp</f>
        <v>1</v>
      </c>
      <c r="I99" s="390">
        <f>IF(H99,Wh_hp,'2018'!Maxi_hp)</f>
        <v>56.081839676566283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6.7016049453981763E-3</v>
      </c>
      <c r="M99" s="957"/>
      <c r="N99" s="957"/>
      <c r="O99" s="48">
        <f>IF(t&lt;Tnet,'2018'!Resal+('2018'!Salim-'2018'!Resal)*(1-EXP(('2018'!Tnet-t)/('2018'!Tau_j))),Resal+(Salim-Resal)*(1-EXP((Tnet-t)/(Tau_j))))*Salcycl</f>
        <v>3.4271321064542275E-2</v>
      </c>
      <c r="P99" s="169">
        <f>(INDEX(Models!$BJ99:$BT99,,T99)*(1-R99)+INDEX(Models!$BJ99:$BT99,,T99+1)*R99-ERP_i)*Q99*Ramure*Pc/MaxiM</f>
        <v>5.3592049367245498E-5</v>
      </c>
      <c r="Q99" s="305">
        <f t="shared" si="27"/>
        <v>0.7</v>
      </c>
      <c r="R99" s="177">
        <f t="shared" si="28"/>
        <v>0.52045631975213058</v>
      </c>
      <c r="S99" s="919">
        <f t="shared" si="29"/>
        <v>-2</v>
      </c>
      <c r="T99" s="176">
        <f t="shared" si="30"/>
        <v>4</v>
      </c>
      <c r="U99" s="251">
        <f t="shared" si="31"/>
        <v>-1.4795436802478694</v>
      </c>
      <c r="V99" s="383">
        <f t="shared" si="32"/>
        <v>51.51025589831135</v>
      </c>
      <c r="W99" s="58"/>
      <c r="X99" s="157">
        <f t="shared" si="33"/>
        <v>43550</v>
      </c>
      <c r="Y99" s="385">
        <f t="shared" si="34"/>
        <v>53.793999999999997</v>
      </c>
      <c r="Z99" s="385">
        <f t="shared" si="35"/>
        <v>54.156938406250951</v>
      </c>
      <c r="AA99" s="386">
        <f t="shared" si="36"/>
        <v>56.078834135845732</v>
      </c>
      <c r="AB99" s="197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3.4271321064542275E-2</v>
      </c>
      <c r="AD99" s="231">
        <f>(INDEX(Models!$BJ99:$BT99,,AH99)*(1-AF99)+INDEX(Models!$BJ99:$BT99,,AH99+1)*AF99-ERP_i)*AE99*Ramure*Pc/MaxiM</f>
        <v>5.3592049367245498E-5</v>
      </c>
      <c r="AE99" s="305">
        <f t="shared" si="38"/>
        <v>0.7</v>
      </c>
      <c r="AF99" s="177">
        <f t="shared" si="39"/>
        <v>0.52045631975213058</v>
      </c>
      <c r="AG99" s="176">
        <f t="shared" si="40"/>
        <v>-2</v>
      </c>
      <c r="AH99" s="176">
        <f t="shared" si="41"/>
        <v>4</v>
      </c>
      <c r="AI99" s="225">
        <f t="shared" si="42"/>
        <v>-1.4795436802478694</v>
      </c>
      <c r="AJ99" s="265" t="b">
        <f t="shared" si="43"/>
        <v>1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8">
        <v>53.014000000000003</v>
      </c>
      <c r="C100" s="390"/>
      <c r="D100" s="393">
        <f t="shared" si="24"/>
        <v>53.372844889349842</v>
      </c>
      <c r="E100" s="385">
        <f t="shared" si="46"/>
        <v>55.272629758680729</v>
      </c>
      <c r="F100" s="385">
        <f t="shared" si="25"/>
        <v>55.275486537639232</v>
      </c>
      <c r="G100" s="110">
        <f t="shared" si="47"/>
        <v>1.0244188270328982</v>
      </c>
      <c r="H100" s="412" t="b">
        <f>Wh_hp&gt;='2018'!Maxi_hp</f>
        <v>1</v>
      </c>
      <c r="I100" s="390">
        <f>IF(H100,Wh_hp,'2018'!Maxi_hp)</f>
        <v>55.275486537639232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6.7233607294829856E-3</v>
      </c>
      <c r="M100" s="957"/>
      <c r="N100" s="957"/>
      <c r="O100" s="48">
        <f>IF(t&lt;Tnet,'2018'!Resal+('2018'!Salim-'2018'!Resal)*(1-EXP(('2018'!Tnet-t)/('2018'!Tau_j))),Resal+(Salim-Resal)*(1-EXP((Tnet-t)/(Tau_j))))*Salcycl</f>
        <v>3.4371168472086648E-2</v>
      </c>
      <c r="P100" s="169">
        <f>(INDEX(Models!$BJ100:$BT100,,T100)*(1-R100)+INDEX(Models!$BJ100:$BT100,,T100+1)*R100-ERP_i)*Q100*Ramure*Pc/MaxiM</f>
        <v>5.1682565590072231E-5</v>
      </c>
      <c r="Q100" s="305">
        <f t="shared" si="27"/>
        <v>0.7</v>
      </c>
      <c r="R100" s="177">
        <f t="shared" si="28"/>
        <v>0.52130328492009514</v>
      </c>
      <c r="S100" s="919">
        <f t="shared" si="29"/>
        <v>-2</v>
      </c>
      <c r="T100" s="176">
        <f t="shared" si="30"/>
        <v>4</v>
      </c>
      <c r="U100" s="251">
        <f t="shared" si="31"/>
        <v>-1.4786967150799049</v>
      </c>
      <c r="V100" s="383">
        <f t="shared" si="32"/>
        <v>51.750317937389404</v>
      </c>
      <c r="W100" s="58"/>
      <c r="X100" s="157">
        <f t="shared" si="33"/>
        <v>43551</v>
      </c>
      <c r="Y100" s="385">
        <f t="shared" si="34"/>
        <v>53.014000000000003</v>
      </c>
      <c r="Z100" s="385">
        <f t="shared" si="35"/>
        <v>53.372844889349842</v>
      </c>
      <c r="AA100" s="386">
        <f t="shared" si="36"/>
        <v>55.272629758680729</v>
      </c>
      <c r="AB100" s="197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3.4371168472086648E-2</v>
      </c>
      <c r="AD100" s="231">
        <f>(INDEX(Models!$BJ100:$BT100,,AH100)*(1-AF100)+INDEX(Models!$BJ100:$BT100,,AH100+1)*AF100-ERP_i)*AE100*Ramure*Pc/MaxiM</f>
        <v>5.1682565590072231E-5</v>
      </c>
      <c r="AE100" s="305">
        <f t="shared" si="38"/>
        <v>0.7</v>
      </c>
      <c r="AF100" s="177">
        <f t="shared" si="39"/>
        <v>0.52130328492009514</v>
      </c>
      <c r="AG100" s="176">
        <f t="shared" si="40"/>
        <v>-2</v>
      </c>
      <c r="AH100" s="176">
        <f t="shared" si="41"/>
        <v>4</v>
      </c>
      <c r="AI100" s="225">
        <f t="shared" si="42"/>
        <v>-1.4786967150799049</v>
      </c>
      <c r="AJ100" s="265" t="b">
        <f t="shared" si="43"/>
        <v>1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8">
        <v>51.844000000000001</v>
      </c>
      <c r="C101" s="390"/>
      <c r="D101" s="393">
        <f t="shared" si="24"/>
        <v>52.196068538973734</v>
      </c>
      <c r="E101" s="385">
        <f t="shared" si="46"/>
        <v>54.059567301266867</v>
      </c>
      <c r="F101" s="385">
        <f t="shared" si="25"/>
        <v>54.062253279945516</v>
      </c>
      <c r="G101" s="110">
        <f t="shared" si="47"/>
        <v>0.99728744273117464</v>
      </c>
      <c r="H101" s="412" t="b">
        <f>Wh_hp&gt;='2018'!Maxi_hp</f>
        <v>1</v>
      </c>
      <c r="I101" s="390">
        <f>IF(H101,Wh_hp,'2018'!Maxi_hp)</f>
        <v>54.062253279945516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6.7451160370602947E-3</v>
      </c>
      <c r="M101" s="957"/>
      <c r="N101" s="957"/>
      <c r="O101" s="48">
        <f>IF(t&lt;Tnet,'2018'!Resal+('2018'!Salim-'2018'!Resal)*(1-EXP(('2018'!Tnet-t)/('2018'!Tau_j))),Resal+(Salim-Resal)*(1-EXP((Tnet-t)/(Tau_j))))*Salcycl</f>
        <v>3.4471211208704278E-2</v>
      </c>
      <c r="P101" s="169">
        <f>(INDEX(Models!$BJ101:$BT101,,T101)*(1-R101)+INDEX(Models!$BJ101:$BT101,,T101+1)*R101-ERP_i)*Q101*Ramure*Pc/MaxiM</f>
        <v>4.9876330472324542E-5</v>
      </c>
      <c r="Q101" s="305">
        <f t="shared" si="27"/>
        <v>0.7</v>
      </c>
      <c r="R101" s="177">
        <f t="shared" si="28"/>
        <v>0.52218260646975945</v>
      </c>
      <c r="S101" s="919">
        <f t="shared" si="29"/>
        <v>-2</v>
      </c>
      <c r="T101" s="176">
        <f t="shared" si="30"/>
        <v>4</v>
      </c>
      <c r="U101" s="251">
        <f t="shared" si="31"/>
        <v>-1.4778173935302406</v>
      </c>
      <c r="V101" s="383">
        <f t="shared" si="32"/>
        <v>51.985002275865597</v>
      </c>
      <c r="W101" s="58"/>
      <c r="X101" s="157">
        <f t="shared" si="33"/>
        <v>43552</v>
      </c>
      <c r="Y101" s="385">
        <f t="shared" si="34"/>
        <v>51.844000000000001</v>
      </c>
      <c r="Z101" s="385">
        <f t="shared" si="35"/>
        <v>52.196068538973734</v>
      </c>
      <c r="AA101" s="386">
        <f t="shared" si="36"/>
        <v>54.059567301266867</v>
      </c>
      <c r="AB101" s="197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3.4471211208704278E-2</v>
      </c>
      <c r="AD101" s="231">
        <f>(INDEX(Models!$BJ101:$BT101,,AH101)*(1-AF101)+INDEX(Models!$BJ101:$BT101,,AH101+1)*AF101-ERP_i)*AE101*Ramure*Pc/MaxiM</f>
        <v>4.9876330472324542E-5</v>
      </c>
      <c r="AE101" s="305">
        <f t="shared" si="38"/>
        <v>0.7</v>
      </c>
      <c r="AF101" s="177">
        <f t="shared" si="39"/>
        <v>0.52218260646975945</v>
      </c>
      <c r="AG101" s="176">
        <f t="shared" si="40"/>
        <v>-2</v>
      </c>
      <c r="AH101" s="176">
        <f t="shared" si="41"/>
        <v>4</v>
      </c>
      <c r="AI101" s="225">
        <f t="shared" si="42"/>
        <v>-1.4778173935302406</v>
      </c>
      <c r="AJ101" s="265" t="b">
        <f t="shared" si="43"/>
        <v>1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8">
        <v>52.521000000000001</v>
      </c>
      <c r="C102" s="390"/>
      <c r="D102" s="393">
        <f t="shared" si="24"/>
        <v>52.878824174850322</v>
      </c>
      <c r="E102" s="385">
        <f t="shared" si="46"/>
        <v>54.772385770015951</v>
      </c>
      <c r="F102" s="385">
        <f t="shared" si="25"/>
        <v>54.775024406883986</v>
      </c>
      <c r="G102" s="110">
        <f t="shared" si="47"/>
        <v>1.0058876037681892</v>
      </c>
      <c r="H102" s="412" t="b">
        <f>Wh_hp&gt;='2018'!Maxi_hp</f>
        <v>1</v>
      </c>
      <c r="I102" s="390">
        <f>IF(H102,Wh_hp,'2018'!Maxi_hp)</f>
        <v>54.775024406883986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6.7668708681405398E-3</v>
      </c>
      <c r="M102" s="957"/>
      <c r="N102" s="957"/>
      <c r="O102" s="48">
        <f>IF(t&lt;Tnet,'2018'!Resal+('2018'!Salim-'2018'!Resal)*(1-EXP(('2018'!Tnet-t)/('2018'!Tau_j))),Resal+(Salim-Resal)*(1-EXP((Tnet-t)/(Tau_j))))*Salcycl</f>
        <v>3.4571464590140613E-2</v>
      </c>
      <c r="P102" s="169">
        <f>(INDEX(Models!$BJ102:$BT102,,T102)*(1-R102)+INDEX(Models!$BJ102:$BT102,,T102+1)*R102-ERP_i)*Q102*Ramure*Pc/MaxiM</f>
        <v>4.8172262753077785E-5</v>
      </c>
      <c r="Q102" s="305">
        <f t="shared" si="27"/>
        <v>0.7</v>
      </c>
      <c r="R102" s="177">
        <f t="shared" si="28"/>
        <v>0.52309538875414585</v>
      </c>
      <c r="S102" s="919">
        <f t="shared" si="29"/>
        <v>-2</v>
      </c>
      <c r="T102" s="176">
        <f t="shared" si="30"/>
        <v>4</v>
      </c>
      <c r="U102" s="251">
        <f t="shared" si="31"/>
        <v>-1.4769046112458541</v>
      </c>
      <c r="V102" s="383">
        <f t="shared" si="32"/>
        <v>52.21358708791054</v>
      </c>
      <c r="W102" s="58"/>
      <c r="X102" s="157">
        <f t="shared" si="33"/>
        <v>43553</v>
      </c>
      <c r="Y102" s="385">
        <f t="shared" si="34"/>
        <v>52.521000000000001</v>
      </c>
      <c r="Z102" s="385">
        <f t="shared" si="35"/>
        <v>52.878824174850322</v>
      </c>
      <c r="AA102" s="386">
        <f t="shared" si="36"/>
        <v>54.772385770015951</v>
      </c>
      <c r="AB102" s="197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3.4571464590140613E-2</v>
      </c>
      <c r="AD102" s="231">
        <f>(INDEX(Models!$BJ102:$BT102,,AH102)*(1-AF102)+INDEX(Models!$BJ102:$BT102,,AH102+1)*AF102-ERP_i)*AE102*Ramure*Pc/MaxiM</f>
        <v>4.8172262753077785E-5</v>
      </c>
      <c r="AE102" s="305">
        <f t="shared" si="38"/>
        <v>0.7</v>
      </c>
      <c r="AF102" s="177">
        <f t="shared" si="39"/>
        <v>0.52309538875414585</v>
      </c>
      <c r="AG102" s="176">
        <f t="shared" si="40"/>
        <v>-2</v>
      </c>
      <c r="AH102" s="176">
        <f t="shared" si="41"/>
        <v>4</v>
      </c>
      <c r="AI102" s="225">
        <f t="shared" si="42"/>
        <v>-1.4769046112458541</v>
      </c>
      <c r="AJ102" s="265" t="b">
        <f t="shared" si="43"/>
        <v>1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8">
        <v>53.832999999999998</v>
      </c>
      <c r="C103" s="390"/>
      <c r="D103" s="393">
        <f t="shared" si="24"/>
        <v>54.200949935830529</v>
      </c>
      <c r="E103" s="385">
        <f t="shared" si="46"/>
        <v>56.147699835824049</v>
      </c>
      <c r="F103" s="385">
        <f t="shared" si="25"/>
        <v>56.1503147173473</v>
      </c>
      <c r="G103" s="110">
        <f t="shared" si="47"/>
        <v>1.0266547104601718</v>
      </c>
      <c r="H103" s="412" t="b">
        <f>Wh_hp&gt;='2018'!Maxi_hp</f>
        <v>1</v>
      </c>
      <c r="I103" s="390">
        <f>IF(H103,Wh_hp,'2018'!Maxi_hp)</f>
        <v>56.1503147173473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6.788625222734157E-3</v>
      </c>
      <c r="M103" s="957"/>
      <c r="N103" s="957"/>
      <c r="O103" s="48">
        <f>IF(t&lt;Tnet,'2018'!Resal+('2018'!Salim-'2018'!Resal)*(1-EXP(('2018'!Tnet-t)/('2018'!Tau_j))),Resal+(Salim-Resal)*(1-EXP((Tnet-t)/(Tau_j))))*Salcycl</f>
        <v>3.4671943920869829E-2</v>
      </c>
      <c r="P103" s="169">
        <f>(INDEX(Models!$BJ103:$BT103,,T103)*(1-R103)+INDEX(Models!$BJ103:$BT103,,T103+1)*R103-ERP_i)*Q103*Ramure*Pc/MaxiM</f>
        <v>4.6569311969386252E-5</v>
      </c>
      <c r="Q103" s="305">
        <f t="shared" si="27"/>
        <v>0.7</v>
      </c>
      <c r="R103" s="177">
        <f t="shared" si="28"/>
        <v>0.52404276310576403</v>
      </c>
      <c r="S103" s="919">
        <f t="shared" si="29"/>
        <v>-2</v>
      </c>
      <c r="T103" s="176">
        <f t="shared" si="30"/>
        <v>4</v>
      </c>
      <c r="U103" s="251">
        <f t="shared" si="31"/>
        <v>-1.475957236894236</v>
      </c>
      <c r="V103" s="383">
        <f t="shared" si="32"/>
        <v>52.435350903782172</v>
      </c>
      <c r="W103" s="58"/>
      <c r="X103" s="157">
        <f t="shared" si="33"/>
        <v>43554</v>
      </c>
      <c r="Y103" s="385">
        <f t="shared" si="34"/>
        <v>53.832999999999998</v>
      </c>
      <c r="Z103" s="385">
        <f t="shared" si="35"/>
        <v>54.200949935830529</v>
      </c>
      <c r="AA103" s="386">
        <f t="shared" si="36"/>
        <v>56.147699835824049</v>
      </c>
      <c r="AB103" s="197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3.4671943920869829E-2</v>
      </c>
      <c r="AD103" s="231">
        <f>(INDEX(Models!$BJ103:$BT103,,AH103)*(1-AF103)+INDEX(Models!$BJ103:$BT103,,AH103+1)*AF103-ERP_i)*AE103*Ramure*Pc/MaxiM</f>
        <v>4.6569311969386252E-5</v>
      </c>
      <c r="AE103" s="305">
        <f t="shared" si="38"/>
        <v>0.7</v>
      </c>
      <c r="AF103" s="177">
        <f t="shared" si="39"/>
        <v>0.52404276310576403</v>
      </c>
      <c r="AG103" s="176">
        <f t="shared" si="40"/>
        <v>-2</v>
      </c>
      <c r="AH103" s="176">
        <f t="shared" si="41"/>
        <v>4</v>
      </c>
      <c r="AI103" s="225">
        <f t="shared" si="42"/>
        <v>-1.475957236894236</v>
      </c>
      <c r="AJ103" s="265" t="b">
        <f t="shared" si="43"/>
        <v>1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8">
        <v>45.825000000000003</v>
      </c>
      <c r="C104" s="390"/>
      <c r="D104" s="393">
        <f t="shared" si="24"/>
        <v>46.139225617877472</v>
      </c>
      <c r="E104" s="385">
        <f t="shared" si="46"/>
        <v>47.801407936777508</v>
      </c>
      <c r="F104" s="385">
        <f t="shared" si="25"/>
        <v>47.803163330450126</v>
      </c>
      <c r="G104" s="110">
        <f t="shared" si="47"/>
        <v>0.87037017199961308</v>
      </c>
      <c r="H104" s="412" t="b">
        <f>Wh_hp&gt;='2018'!Maxi_hp</f>
        <v>1</v>
      </c>
      <c r="I104" s="390">
        <f>IF(H104,Wh_hp,'2018'!Maxi_hp)</f>
        <v>47.803163330450126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6.8103791008515824E-3</v>
      </c>
      <c r="M104" s="957"/>
      <c r="N104" s="957"/>
      <c r="O104" s="48">
        <f>IF(t&lt;Tnet,'2018'!Resal+('2018'!Salim-'2018'!Resal)*(1-EXP(('2018'!Tnet-t)/('2018'!Tau_j))),Resal+(Salim-Resal)*(1-EXP((Tnet-t)/(Tau_j))))*Salcycl</f>
        <v>3.4772664459976878E-2</v>
      </c>
      <c r="P104" s="169">
        <f>(INDEX(Models!$BJ104:$BT104,,T104)*(1-R104)+INDEX(Models!$BJ104:$BT104,,T104+1)*R104-ERP_i)*Q104*Ramure*Pc/MaxiM</f>
        <v>4.5066475598818566E-5</v>
      </c>
      <c r="Q104" s="305">
        <f t="shared" si="27"/>
        <v>0.7</v>
      </c>
      <c r="R104" s="177">
        <f t="shared" si="28"/>
        <v>0.52502588758942847</v>
      </c>
      <c r="S104" s="919">
        <f t="shared" si="29"/>
        <v>-2</v>
      </c>
      <c r="T104" s="176">
        <f t="shared" si="30"/>
        <v>4</v>
      </c>
      <c r="U104" s="251">
        <f t="shared" si="31"/>
        <v>-1.4749741124105715</v>
      </c>
      <c r="V104" s="383">
        <f t="shared" si="32"/>
        <v>52.649572609322135</v>
      </c>
      <c r="W104" s="58"/>
      <c r="X104" s="157">
        <f t="shared" si="33"/>
        <v>43555</v>
      </c>
      <c r="Y104" s="385">
        <f t="shared" si="34"/>
        <v>45.825000000000003</v>
      </c>
      <c r="Z104" s="385">
        <f t="shared" si="35"/>
        <v>46.139225617877472</v>
      </c>
      <c r="AA104" s="386">
        <f t="shared" si="36"/>
        <v>47.801407936777508</v>
      </c>
      <c r="AB104" s="197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3.4772664459976878E-2</v>
      </c>
      <c r="AD104" s="231">
        <f>(INDEX(Models!$BJ104:$BT104,,AH104)*(1-AF104)+INDEX(Models!$BJ104:$BT104,,AH104+1)*AF104-ERP_i)*AE104*Ramure*Pc/MaxiM</f>
        <v>4.5066475598818566E-5</v>
      </c>
      <c r="AE104" s="305">
        <f t="shared" si="38"/>
        <v>0.7</v>
      </c>
      <c r="AF104" s="177">
        <f t="shared" si="39"/>
        <v>0.52502588758942847</v>
      </c>
      <c r="AG104" s="176">
        <f t="shared" si="40"/>
        <v>-2</v>
      </c>
      <c r="AH104" s="176">
        <f t="shared" si="41"/>
        <v>4</v>
      </c>
      <c r="AI104" s="225">
        <f t="shared" si="42"/>
        <v>-1.4749741124105715</v>
      </c>
      <c r="AJ104" s="265" t="b">
        <f t="shared" si="43"/>
        <v>1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8">
        <v>41.273000000000003</v>
      </c>
      <c r="C105" s="390"/>
      <c r="D105" s="393">
        <f t="shared" si="24"/>
        <v>41.556922400234654</v>
      </c>
      <c r="E105" s="385">
        <f t="shared" si="46"/>
        <v>43.058530138998428</v>
      </c>
      <c r="F105" s="385">
        <f t="shared" si="25"/>
        <v>43.059821680907575</v>
      </c>
      <c r="G105" s="110">
        <f t="shared" si="47"/>
        <v>0.78085367219705915</v>
      </c>
      <c r="H105" s="412" t="b">
        <f>Wh_hp&gt;='2018'!Maxi_hp</f>
        <v>1</v>
      </c>
      <c r="I105" s="390">
        <f>IF(H105,Wh_hp,'2018'!Maxi_hp)</f>
        <v>43.059821680907575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6.832132502503252E-3</v>
      </c>
      <c r="M105" s="957"/>
      <c r="N105" s="957"/>
      <c r="O105" s="48">
        <f>IF(t&lt;Tnet,'2018'!Resal+('2018'!Salim-'2018'!Resal)*(1-EXP(('2018'!Tnet-t)/('2018'!Tau_j))),Resal+(Salim-Resal)*(1-EXP((Tnet-t)/(Tau_j))))*Salcycl</f>
        <v>3.4873641388045273E-2</v>
      </c>
      <c r="P105" s="169">
        <f>(INDEX(Models!$BJ105:$BT105,,T105)*(1-R105)+INDEX(Models!$BJ105:$BT105,,T105+1)*R105-ERP_i)*Q105*Ramure*Pc/MaxiM</f>
        <v>4.3662815723129949E-5</v>
      </c>
      <c r="Q105" s="305">
        <f t="shared" si="27"/>
        <v>0.7</v>
      </c>
      <c r="R105" s="177">
        <f t="shared" si="28"/>
        <v>0.52604594665871374</v>
      </c>
      <c r="S105" s="919">
        <f t="shared" si="29"/>
        <v>-2</v>
      </c>
      <c r="T105" s="176">
        <f t="shared" si="30"/>
        <v>4</v>
      </c>
      <c r="U105" s="251">
        <f t="shared" si="31"/>
        <v>-1.4739540533412863</v>
      </c>
      <c r="V105" s="383">
        <f t="shared" si="32"/>
        <v>52.855531458672473</v>
      </c>
      <c r="W105" s="58"/>
      <c r="X105" s="157">
        <f t="shared" si="33"/>
        <v>43556</v>
      </c>
      <c r="Y105" s="385">
        <f t="shared" si="34"/>
        <v>41.273000000000003</v>
      </c>
      <c r="Z105" s="385">
        <f t="shared" si="35"/>
        <v>41.556922400234654</v>
      </c>
      <c r="AA105" s="386">
        <f t="shared" si="36"/>
        <v>43.058530138998428</v>
      </c>
      <c r="AB105" s="197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3.4873641388045273E-2</v>
      </c>
      <c r="AD105" s="231">
        <f>(INDEX(Models!$BJ105:$BT105,,AH105)*(1-AF105)+INDEX(Models!$BJ105:$BT105,,AH105+1)*AF105-ERP_i)*AE105*Ramure*Pc/MaxiM</f>
        <v>4.3662815723129949E-5</v>
      </c>
      <c r="AE105" s="305">
        <f t="shared" si="38"/>
        <v>0.7</v>
      </c>
      <c r="AF105" s="177">
        <f t="shared" si="39"/>
        <v>0.52604594665871374</v>
      </c>
      <c r="AG105" s="176">
        <f t="shared" si="40"/>
        <v>-2</v>
      </c>
      <c r="AH105" s="176">
        <f t="shared" si="41"/>
        <v>4</v>
      </c>
      <c r="AI105" s="225">
        <f t="shared" si="42"/>
        <v>-1.4739540533412863</v>
      </c>
      <c r="AJ105" s="265" t="b">
        <f t="shared" si="43"/>
        <v>1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8">
        <v>16.454999999999998</v>
      </c>
      <c r="C106" s="390"/>
      <c r="D106" s="393">
        <f t="shared" si="24"/>
        <v>16.568559005123195</v>
      </c>
      <c r="E106" s="385">
        <f t="shared" si="46"/>
        <v>17.169044442025672</v>
      </c>
      <c r="F106" s="385">
        <f t="shared" si="25"/>
        <v>17.169055001953556</v>
      </c>
      <c r="G106" s="110">
        <f t="shared" si="47"/>
        <v>0.31015147138541016</v>
      </c>
      <c r="H106" s="412" t="b">
        <f>Wh_hp&gt;='2018'!Maxi_hp</f>
        <v>1</v>
      </c>
      <c r="I106" s="390">
        <f>IF(H106,Wh_hp,'2018'!Maxi_hp)</f>
        <v>17.169055001953556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6.853885427699602E-3</v>
      </c>
      <c r="M106" s="957"/>
      <c r="N106" s="957"/>
      <c r="O106" s="48">
        <f>IF(t&lt;Tnet,'2018'!Resal+('2018'!Salim-'2018'!Resal)*(1-EXP(('2018'!Tnet-t)/('2018'!Tau_j))),Resal+(Salim-Resal)*(1-EXP((Tnet-t)/(Tau_j))))*Salcycl</f>
        <v>3.4974889775032221E-2</v>
      </c>
      <c r="P106" s="169">
        <f>(INDEX(Models!$BJ106:$BT106,,T106)*(1-R106)+INDEX(Models!$BJ106:$BT106,,T106+1)*R106-ERP_i)*Q106*Ramure*Pc/MaxiM</f>
        <v>4.235747530984224E-5</v>
      </c>
      <c r="Q106" s="305">
        <f t="shared" si="27"/>
        <v>0.7</v>
      </c>
      <c r="R106" s="177">
        <f t="shared" si="28"/>
        <v>0.52710415070815309</v>
      </c>
      <c r="S106" s="919">
        <f t="shared" si="29"/>
        <v>-2</v>
      </c>
      <c r="T106" s="176">
        <f t="shared" si="30"/>
        <v>4</v>
      </c>
      <c r="U106" s="251">
        <f t="shared" si="31"/>
        <v>-1.4728958492918469</v>
      </c>
      <c r="V106" s="383">
        <f t="shared" si="32"/>
        <v>53.052507068775135</v>
      </c>
      <c r="W106" s="58"/>
      <c r="X106" s="157">
        <f t="shared" si="33"/>
        <v>43557</v>
      </c>
      <c r="Y106" s="385">
        <f t="shared" si="34"/>
        <v>16.454999999999998</v>
      </c>
      <c r="Z106" s="385">
        <f t="shared" si="35"/>
        <v>16.568559005123195</v>
      </c>
      <c r="AA106" s="386">
        <f t="shared" si="36"/>
        <v>17.169044442025672</v>
      </c>
      <c r="AB106" s="197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3.4974889775032221E-2</v>
      </c>
      <c r="AD106" s="231">
        <f>(INDEX(Models!$BJ106:$BT106,,AH106)*(1-AF106)+INDEX(Models!$BJ106:$BT106,,AH106+1)*AF106-ERP_i)*AE106*Ramure*Pc/MaxiM</f>
        <v>4.235747530984224E-5</v>
      </c>
      <c r="AE106" s="305">
        <f t="shared" si="38"/>
        <v>0.7</v>
      </c>
      <c r="AF106" s="177">
        <f t="shared" si="39"/>
        <v>0.52710415070815309</v>
      </c>
      <c r="AG106" s="176">
        <f t="shared" si="40"/>
        <v>-2</v>
      </c>
      <c r="AH106" s="176">
        <f t="shared" si="41"/>
        <v>4</v>
      </c>
      <c r="AI106" s="225">
        <f t="shared" si="42"/>
        <v>-1.4728958492918469</v>
      </c>
      <c r="AJ106" s="265" t="b">
        <f t="shared" si="43"/>
        <v>1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8">
        <v>14.746</v>
      </c>
      <c r="C107" s="390"/>
      <c r="D107" s="393">
        <f t="shared" si="24"/>
        <v>14.848090090620024</v>
      </c>
      <c r="E107" s="385">
        <f t="shared" si="46"/>
        <v>15.387840517505655</v>
      </c>
      <c r="F107" s="385">
        <f t="shared" si="25"/>
        <v>15.387840517505655</v>
      </c>
      <c r="G107" s="110">
        <f t="shared" si="47"/>
        <v>0.2769583726503892</v>
      </c>
      <c r="H107" s="412" t="b">
        <f>Wh_hp&gt;='2018'!Maxi_hp</f>
        <v>1</v>
      </c>
      <c r="I107" s="390">
        <f>IF(H107,Wh_hp,'2018'!Maxi_hp)</f>
        <v>15.387840517505655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6.8756378764510684E-3</v>
      </c>
      <c r="M107" s="957"/>
      <c r="N107" s="957"/>
      <c r="O107" s="48">
        <f>IF(t&lt;Tnet,'2018'!Resal+('2018'!Salim-'2018'!Resal)*(1-EXP(('2018'!Tnet-t)/('2018'!Tau_j))),Resal+(Salim-Resal)*(1-EXP((Tnet-t)/(Tau_j))))*Salcycl</f>
        <v>3.5076424549084308E-2</v>
      </c>
      <c r="P107" s="169">
        <f>(INDEX(Models!$BJ107:$BT107,,T107)*(1-R107)+INDEX(Models!$BJ107:$BT107,,T107+1)*R107-ERP_i)*Q107*Ramure*Pc/MaxiM</f>
        <v>4.1149162435774123E-5</v>
      </c>
      <c r="Q107" s="305">
        <f t="shared" si="27"/>
        <v>0.7</v>
      </c>
      <c r="R107" s="177">
        <f t="shared" si="28"/>
        <v>0.52820173551296667</v>
      </c>
      <c r="S107" s="919">
        <f t="shared" si="29"/>
        <v>-2</v>
      </c>
      <c r="T107" s="176">
        <f t="shared" si="30"/>
        <v>4</v>
      </c>
      <c r="U107" s="251">
        <f t="shared" si="31"/>
        <v>-1.4717982644870333</v>
      </c>
      <c r="V107" s="383">
        <f t="shared" si="32"/>
        <v>53.240467415166982</v>
      </c>
      <c r="W107" s="58"/>
      <c r="X107" s="157">
        <f t="shared" si="33"/>
        <v>43558</v>
      </c>
      <c r="Y107" s="385">
        <f t="shared" si="34"/>
        <v>14.746</v>
      </c>
      <c r="Z107" s="385">
        <f t="shared" si="35"/>
        <v>14.848090090620024</v>
      </c>
      <c r="AA107" s="386">
        <f t="shared" si="36"/>
        <v>15.387840517505655</v>
      </c>
      <c r="AB107" s="197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3.5076424549084308E-2</v>
      </c>
      <c r="AD107" s="231">
        <f>(INDEX(Models!$BJ107:$BT107,,AH107)*(1-AF107)+INDEX(Models!$BJ107:$BT107,,AH107+1)*AF107-ERP_i)*AE107*Ramure*Pc/MaxiM</f>
        <v>4.1149162435774123E-5</v>
      </c>
      <c r="AE107" s="305">
        <f t="shared" si="38"/>
        <v>0.7</v>
      </c>
      <c r="AF107" s="177">
        <f t="shared" si="39"/>
        <v>0.52820173551296667</v>
      </c>
      <c r="AG107" s="176">
        <f t="shared" si="40"/>
        <v>-2</v>
      </c>
      <c r="AH107" s="176">
        <f t="shared" si="41"/>
        <v>4</v>
      </c>
      <c r="AI107" s="225">
        <f t="shared" si="42"/>
        <v>-1.4717982644870333</v>
      </c>
      <c r="AJ107" s="265" t="b">
        <f t="shared" si="43"/>
        <v>1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8">
        <v>39.356000000000002</v>
      </c>
      <c r="C108" s="390"/>
      <c r="D108" s="393">
        <f t="shared" si="24"/>
        <v>39.629339000535687</v>
      </c>
      <c r="E108" s="385">
        <f t="shared" si="46"/>
        <v>41.07426001790266</v>
      </c>
      <c r="F108" s="385">
        <f t="shared" si="25"/>
        <v>41.075291032345696</v>
      </c>
      <c r="G108" s="110">
        <f t="shared" si="47"/>
        <v>0.73671397292977414</v>
      </c>
      <c r="H108" s="412" t="b">
        <f>Wh_hp&gt;='2018'!Maxi_hp</f>
        <v>1</v>
      </c>
      <c r="I108" s="390">
        <f>IF(H108,Wh_hp,'2018'!Maxi_hp)</f>
        <v>41.075291032345696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6.8973898487680874E-3</v>
      </c>
      <c r="M108" s="957"/>
      <c r="N108" s="957"/>
      <c r="O108" s="48">
        <f>IF(t&lt;Tnet,'2018'!Resal+('2018'!Salim-'2018'!Resal)*(1-EXP(('2018'!Tnet-t)/('2018'!Tau_j))),Resal+(Salim-Resal)*(1-EXP((Tnet-t)/(Tau_j))))*Salcycl</f>
        <v>3.5178260466218789E-2</v>
      </c>
      <c r="P108" s="169">
        <f>(INDEX(Models!$BJ108:$BT108,,T108)*(1-R108)+INDEX(Models!$BJ108:$BT108,,T108+1)*R108-ERP_i)*Q108*Ramure*Pc/MaxiM</f>
        <v>4.0232217092269661E-5</v>
      </c>
      <c r="Q108" s="305">
        <f t="shared" si="27"/>
        <v>0.7</v>
      </c>
      <c r="R108" s="177">
        <f t="shared" si="28"/>
        <v>0.52933996154781915</v>
      </c>
      <c r="S108" s="919">
        <f t="shared" si="29"/>
        <v>-2</v>
      </c>
      <c r="T108" s="176">
        <f t="shared" si="30"/>
        <v>4</v>
      </c>
      <c r="U108" s="251">
        <f t="shared" si="31"/>
        <v>-1.4706600384521809</v>
      </c>
      <c r="V108" s="383">
        <f t="shared" si="32"/>
        <v>53.420195504930589</v>
      </c>
      <c r="W108" s="58"/>
      <c r="X108" s="157">
        <f t="shared" si="33"/>
        <v>43559</v>
      </c>
      <c r="Y108" s="385">
        <f t="shared" si="34"/>
        <v>39.356000000000002</v>
      </c>
      <c r="Z108" s="385">
        <f t="shared" si="35"/>
        <v>39.629339000535687</v>
      </c>
      <c r="AA108" s="386">
        <f t="shared" si="36"/>
        <v>41.07426001790266</v>
      </c>
      <c r="AB108" s="197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3.5178260466218789E-2</v>
      </c>
      <c r="AD108" s="231">
        <f>(INDEX(Models!$BJ108:$BT108,,AH108)*(1-AF108)+INDEX(Models!$BJ108:$BT108,,AH108+1)*AF108-ERP_i)*AE108*Ramure*Pc/MaxiM</f>
        <v>4.0232217092269661E-5</v>
      </c>
      <c r="AE108" s="305">
        <f t="shared" si="38"/>
        <v>0.7</v>
      </c>
      <c r="AF108" s="177">
        <f t="shared" si="39"/>
        <v>0.52933996154781915</v>
      </c>
      <c r="AG108" s="176">
        <f t="shared" si="40"/>
        <v>-2</v>
      </c>
      <c r="AH108" s="176">
        <f t="shared" si="41"/>
        <v>4</v>
      </c>
      <c r="AI108" s="225">
        <f t="shared" si="42"/>
        <v>-1.4706600384521809</v>
      </c>
      <c r="AJ108" s="265" t="b">
        <f t="shared" si="43"/>
        <v>1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8">
        <v>49.722999999999999</v>
      </c>
      <c r="C109" s="390"/>
      <c r="D109" s="393">
        <f t="shared" si="24"/>
        <v>50.069437515215448</v>
      </c>
      <c r="E109" s="385">
        <f t="shared" si="46"/>
        <v>51.900508854814987</v>
      </c>
      <c r="F109" s="385">
        <f t="shared" si="25"/>
        <v>51.9023513388249</v>
      </c>
      <c r="G109" s="110">
        <f t="shared" si="47"/>
        <v>0.92779895727148676</v>
      </c>
      <c r="H109" s="412" t="b">
        <f>Wh_hp&gt;='2018'!Maxi_hp</f>
        <v>1</v>
      </c>
      <c r="I109" s="390">
        <f>IF(H109,Wh_hp,'2018'!Maxi_hp)</f>
        <v>51.9023513388249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6.919141344660984E-3</v>
      </c>
      <c r="M109" s="957"/>
      <c r="N109" s="957"/>
      <c r="O109" s="48">
        <f>IF(t&lt;Tnet,'2018'!Resal+('2018'!Salim-'2018'!Resal)*(1-EXP(('2018'!Tnet-t)/('2018'!Tau_j))),Resal+(Salim-Resal)*(1-EXP((Tnet-t)/(Tau_j))))*Salcycl</f>
        <v>3.5280412080770276E-2</v>
      </c>
      <c r="P109" s="169">
        <f>(INDEX(Models!$BJ109:$BT109,,T109)*(1-R109)+INDEX(Models!$BJ109:$BT109,,T109+1)*R109-ERP_i)*Q109*Ramure*Pc/MaxiM</f>
        <v>3.9581433977630564E-5</v>
      </c>
      <c r="Q109" s="305">
        <f t="shared" si="27"/>
        <v>0.7</v>
      </c>
      <c r="R109" s="177">
        <f t="shared" si="28"/>
        <v>0.53052011317583792</v>
      </c>
      <c r="S109" s="919">
        <f t="shared" si="29"/>
        <v>-2</v>
      </c>
      <c r="T109" s="176">
        <f t="shared" si="30"/>
        <v>4</v>
      </c>
      <c r="U109" s="251">
        <f t="shared" si="31"/>
        <v>-1.4694798868241621</v>
      </c>
      <c r="V109" s="383">
        <f t="shared" si="32"/>
        <v>53.592210483285655</v>
      </c>
      <c r="W109" s="58"/>
      <c r="X109" s="157">
        <f t="shared" si="33"/>
        <v>43560</v>
      </c>
      <c r="Y109" s="385">
        <f t="shared" si="34"/>
        <v>49.722999999999999</v>
      </c>
      <c r="Z109" s="385">
        <f t="shared" si="35"/>
        <v>50.069437515215448</v>
      </c>
      <c r="AA109" s="386">
        <f t="shared" si="36"/>
        <v>51.900508854814987</v>
      </c>
      <c r="AB109" s="197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3.5280412080770276E-2</v>
      </c>
      <c r="AD109" s="231">
        <f>(INDEX(Models!$BJ109:$BT109,,AH109)*(1-AF109)+INDEX(Models!$BJ109:$BT109,,AH109+1)*AF109-ERP_i)*AE109*Ramure*Pc/MaxiM</f>
        <v>3.9581433977630564E-5</v>
      </c>
      <c r="AE109" s="305">
        <f t="shared" si="38"/>
        <v>0.7</v>
      </c>
      <c r="AF109" s="177">
        <f t="shared" si="39"/>
        <v>0.53052011317583792</v>
      </c>
      <c r="AG109" s="176">
        <f t="shared" si="40"/>
        <v>-2</v>
      </c>
      <c r="AH109" s="176">
        <f t="shared" si="41"/>
        <v>4</v>
      </c>
      <c r="AI109" s="225">
        <f t="shared" si="42"/>
        <v>-1.4694798868241621</v>
      </c>
      <c r="AJ109" s="265" t="b">
        <f t="shared" si="43"/>
        <v>1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8">
        <v>18.399000000000001</v>
      </c>
      <c r="C110" s="390"/>
      <c r="D110" s="393">
        <f t="shared" si="24"/>
        <v>18.52759806392778</v>
      </c>
      <c r="E110" s="385">
        <f t="shared" si="46"/>
        <v>19.207204540785074</v>
      </c>
      <c r="F110" s="385">
        <f t="shared" si="25"/>
        <v>19.207249994423051</v>
      </c>
      <c r="G110" s="110">
        <f t="shared" si="47"/>
        <v>0.34224960685855155</v>
      </c>
      <c r="H110" s="412" t="b">
        <f>Wh_hp&gt;='2018'!Maxi_hp</f>
        <v>1</v>
      </c>
      <c r="I110" s="390">
        <f>IF(H110,Wh_hp,'2018'!Maxi_hp)</f>
        <v>19.207249994423051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6.9408923641404163E-3</v>
      </c>
      <c r="M110" s="957"/>
      <c r="N110" s="957"/>
      <c r="O110" s="48">
        <f>IF(t&lt;Tnet,'2018'!Resal+('2018'!Salim-'2018'!Resal)*(1-EXP(('2018'!Tnet-t)/('2018'!Tau_j))),Resal+(Salim-Resal)*(1-EXP((Tnet-t)/(Tau_j))))*Salcycl</f>
        <v>3.5382893716480131E-2</v>
      </c>
      <c r="P110" s="169">
        <f>(INDEX(Models!$BJ110:$BT110,,T110)*(1-R110)+INDEX(Models!$BJ110:$BT110,,T110+1)*R110-ERP_i)*Q110*Ramure*Pc/MaxiM</f>
        <v>3.9196678837274128E-5</v>
      </c>
      <c r="Q110" s="305">
        <f t="shared" si="27"/>
        <v>0.7</v>
      </c>
      <c r="R110" s="177">
        <f t="shared" si="28"/>
        <v>0.53174349769887819</v>
      </c>
      <c r="S110" s="919">
        <f t="shared" si="29"/>
        <v>-2</v>
      </c>
      <c r="T110" s="176">
        <f t="shared" si="30"/>
        <v>4</v>
      </c>
      <c r="U110" s="251">
        <f t="shared" si="31"/>
        <v>-1.4682565023011218</v>
      </c>
      <c r="V110" s="383">
        <f t="shared" si="32"/>
        <v>53.757029930597099</v>
      </c>
      <c r="W110" s="58"/>
      <c r="X110" s="157">
        <f t="shared" si="33"/>
        <v>43561</v>
      </c>
      <c r="Y110" s="385">
        <f t="shared" si="34"/>
        <v>18.399000000000001</v>
      </c>
      <c r="Z110" s="385">
        <f t="shared" si="35"/>
        <v>18.52759806392778</v>
      </c>
      <c r="AA110" s="386">
        <f t="shared" si="36"/>
        <v>19.207204540785074</v>
      </c>
      <c r="AB110" s="197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3.5382893716480131E-2</v>
      </c>
      <c r="AD110" s="231">
        <f>(INDEX(Models!$BJ110:$BT110,,AH110)*(1-AF110)+INDEX(Models!$BJ110:$BT110,,AH110+1)*AF110-ERP_i)*AE110*Ramure*Pc/MaxiM</f>
        <v>3.9196678837274128E-5</v>
      </c>
      <c r="AE110" s="305">
        <f t="shared" si="38"/>
        <v>0.7</v>
      </c>
      <c r="AF110" s="177">
        <f t="shared" si="39"/>
        <v>0.53174349769887819</v>
      </c>
      <c r="AG110" s="176">
        <f t="shared" si="40"/>
        <v>-2</v>
      </c>
      <c r="AH110" s="176">
        <f t="shared" si="41"/>
        <v>4</v>
      </c>
      <c r="AI110" s="225">
        <f t="shared" si="42"/>
        <v>-1.4682565023011218</v>
      </c>
      <c r="AJ110" s="265" t="b">
        <f t="shared" si="43"/>
        <v>1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8">
        <v>35.883000000000003</v>
      </c>
      <c r="C111" s="390"/>
      <c r="D111" s="393">
        <f t="shared" si="24"/>
        <v>36.134592262521814</v>
      </c>
      <c r="E111" s="385">
        <f t="shared" si="46"/>
        <v>37.464030331899529</v>
      </c>
      <c r="F111" s="385">
        <f t="shared" si="25"/>
        <v>37.464794877296306</v>
      </c>
      <c r="G111" s="110">
        <f t="shared" si="47"/>
        <v>0.66553308144982459</v>
      </c>
      <c r="H111" s="412" t="b">
        <f>Wh_hp&gt;='2018'!Maxi_hp</f>
        <v>1</v>
      </c>
      <c r="I111" s="390">
        <f>IF(H111,Wh_hp,'2018'!Maxi_hp)</f>
        <v>37.464794877296306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6.9626429072165985E-3</v>
      </c>
      <c r="M111" s="957"/>
      <c r="N111" s="957"/>
      <c r="O111" s="48">
        <f>IF(t&lt;Tnet,'2018'!Resal+('2018'!Salim-'2018'!Resal)*(1-EXP(('2018'!Tnet-t)/('2018'!Tau_j))),Resal+(Salim-Resal)*(1-EXP((Tnet-t)/(Tau_j))))*Salcycl</f>
        <v>3.5485719438085532E-2</v>
      </c>
      <c r="P111" s="169">
        <f>(INDEX(Models!$BJ111:$BT111,,T111)*(1-R111)+INDEX(Models!$BJ111:$BT111,,T111+1)*R111-ERP_i)*Q111*Ramure*Pc/MaxiM</f>
        <v>3.9078375966246045E-5</v>
      </c>
      <c r="Q111" s="305">
        <f t="shared" si="27"/>
        <v>0.7</v>
      </c>
      <c r="R111" s="177">
        <f t="shared" si="28"/>
        <v>0.53301144425982727</v>
      </c>
      <c r="S111" s="919">
        <f t="shared" si="29"/>
        <v>-2</v>
      </c>
      <c r="T111" s="176">
        <f t="shared" si="30"/>
        <v>4</v>
      </c>
      <c r="U111" s="251">
        <f t="shared" si="31"/>
        <v>-1.4669885557401727</v>
      </c>
      <c r="V111" s="383">
        <f t="shared" si="32"/>
        <v>53.915171165417753</v>
      </c>
      <c r="W111" s="58"/>
      <c r="X111" s="157">
        <f t="shared" si="33"/>
        <v>43562</v>
      </c>
      <c r="Y111" s="385">
        <f t="shared" si="34"/>
        <v>35.883000000000003</v>
      </c>
      <c r="Z111" s="385">
        <f t="shared" si="35"/>
        <v>36.134592262521814</v>
      </c>
      <c r="AA111" s="386">
        <f t="shared" si="36"/>
        <v>37.464030331899529</v>
      </c>
      <c r="AB111" s="197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3.5485719438085532E-2</v>
      </c>
      <c r="AD111" s="231">
        <f>(INDEX(Models!$BJ111:$BT111,,AH111)*(1-AF111)+INDEX(Models!$BJ111:$BT111,,AH111+1)*AF111-ERP_i)*AE111*Ramure*Pc/MaxiM</f>
        <v>3.9078375966246045E-5</v>
      </c>
      <c r="AE111" s="305">
        <f t="shared" si="38"/>
        <v>0.7</v>
      </c>
      <c r="AF111" s="177">
        <f t="shared" si="39"/>
        <v>0.53301144425982727</v>
      </c>
      <c r="AG111" s="176">
        <f t="shared" si="40"/>
        <v>-2</v>
      </c>
      <c r="AH111" s="176">
        <f t="shared" si="41"/>
        <v>4</v>
      </c>
      <c r="AI111" s="225">
        <f t="shared" si="42"/>
        <v>-1.4669885557401727</v>
      </c>
      <c r="AJ111" s="265" t="b">
        <f t="shared" si="43"/>
        <v>1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8">
        <v>33.503</v>
      </c>
      <c r="C112" s="390"/>
      <c r="D112" s="393">
        <f t="shared" si="24"/>
        <v>33.738643947737501</v>
      </c>
      <c r="E112" s="385">
        <f t="shared" si="46"/>
        <v>34.983674548646164</v>
      </c>
      <c r="F112" s="385">
        <f t="shared" si="25"/>
        <v>34.984301231352468</v>
      </c>
      <c r="G112" s="110">
        <f t="shared" si="47"/>
        <v>0.61964215098762931</v>
      </c>
      <c r="H112" s="412" t="b">
        <f>Wh_hp&gt;='2018'!Maxi_hp</f>
        <v>1</v>
      </c>
      <c r="I112" s="390">
        <f>IF(H112,Wh_hp,'2018'!Maxi_hp)</f>
        <v>34.984301231352468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6.9843929739001887E-3</v>
      </c>
      <c r="M112" s="957"/>
      <c r="N112" s="957"/>
      <c r="O112" s="48">
        <f>IF(t&lt;Tnet,'2018'!Resal+('2018'!Salim-'2018'!Resal)*(1-EXP(('2018'!Tnet-t)/('2018'!Tau_j))),Resal+(Salim-Resal)*(1-EXP((Tnet-t)/(Tau_j))))*Salcycl</f>
        <v>3.5588903023248783E-2</v>
      </c>
      <c r="P112" s="169">
        <f>(INDEX(Models!$BJ112:$BT112,,T112)*(1-R112)+INDEX(Models!$BJ112:$BT112,,T112+1)*R112-ERP_i)*Q112*Ramure*Pc/MaxiM</f>
        <v>3.9227493315784207E-5</v>
      </c>
      <c r="Q112" s="305">
        <f t="shared" si="27"/>
        <v>0.7</v>
      </c>
      <c r="R112" s="177">
        <f t="shared" si="28"/>
        <v>0.53432530258757072</v>
      </c>
      <c r="S112" s="919">
        <f t="shared" si="29"/>
        <v>-2</v>
      </c>
      <c r="T112" s="176">
        <f t="shared" si="30"/>
        <v>4</v>
      </c>
      <c r="U112" s="251">
        <f t="shared" si="31"/>
        <v>-1.4656746974124293</v>
      </c>
      <c r="V112" s="383">
        <f t="shared" si="32"/>
        <v>54.067151246700931</v>
      </c>
      <c r="W112" s="58"/>
      <c r="X112" s="157">
        <f t="shared" si="33"/>
        <v>43563</v>
      </c>
      <c r="Y112" s="385">
        <f t="shared" si="34"/>
        <v>33.503</v>
      </c>
      <c r="Z112" s="385">
        <f t="shared" si="35"/>
        <v>33.738643947737501</v>
      </c>
      <c r="AA112" s="386">
        <f t="shared" si="36"/>
        <v>34.983674548646164</v>
      </c>
      <c r="AB112" s="197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3.5588903023248783E-2</v>
      </c>
      <c r="AD112" s="231">
        <f>(INDEX(Models!$BJ112:$BT112,,AH112)*(1-AF112)+INDEX(Models!$BJ112:$BT112,,AH112+1)*AF112-ERP_i)*AE112*Ramure*Pc/MaxiM</f>
        <v>3.9227493315784207E-5</v>
      </c>
      <c r="AE112" s="305">
        <f t="shared" si="38"/>
        <v>0.7</v>
      </c>
      <c r="AF112" s="177">
        <f t="shared" si="39"/>
        <v>0.53432530258757072</v>
      </c>
      <c r="AG112" s="176">
        <f t="shared" si="40"/>
        <v>-2</v>
      </c>
      <c r="AH112" s="176">
        <f t="shared" si="41"/>
        <v>4</v>
      </c>
      <c r="AI112" s="225">
        <f t="shared" si="42"/>
        <v>-1.4656746974124293</v>
      </c>
      <c r="AJ112" s="265" t="b">
        <f t="shared" si="43"/>
        <v>1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8">
        <v>44.039000000000001</v>
      </c>
      <c r="C113" s="390"/>
      <c r="D113" s="393">
        <f t="shared" si="24"/>
        <v>44.34972046425505</v>
      </c>
      <c r="E113" s="385">
        <f t="shared" si="46"/>
        <v>45.991261635543388</v>
      </c>
      <c r="F113" s="385">
        <f t="shared" si="25"/>
        <v>45.992596170964376</v>
      </c>
      <c r="G113" s="110">
        <f t="shared" si="47"/>
        <v>0.81231690396640321</v>
      </c>
      <c r="H113" s="412" t="b">
        <f>Wh_hp&gt;='2018'!Maxi_hp</f>
        <v>1</v>
      </c>
      <c r="I113" s="390">
        <f>IF(H113,Wh_hp,'2018'!Maxi_hp)</f>
        <v>45.992596170964376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7.0061425642014008E-3</v>
      </c>
      <c r="M113" s="957"/>
      <c r="N113" s="957"/>
      <c r="O113" s="48">
        <f>IF(t&lt;Tnet,'2018'!Resal+('2018'!Salim-'2018'!Resal)*(1-EXP(('2018'!Tnet-t)/('2018'!Tau_j))),Resal+(Salim-Resal)*(1-EXP((Tnet-t)/(Tau_j))))*Salcycl</f>
        <v>3.5692457934654767E-2</v>
      </c>
      <c r="P113" s="169">
        <f>(INDEX(Models!$BJ113:$BT113,,T113)*(1-R113)+INDEX(Models!$BJ113:$BT113,,T113+1)*R113-ERP_i)*Q113*Ramure*Pc/MaxiM</f>
        <v>3.9645528789481289E-5</v>
      </c>
      <c r="Q113" s="305">
        <f t="shared" si="27"/>
        <v>0.7</v>
      </c>
      <c r="R113" s="177">
        <f t="shared" si="28"/>
        <v>0.53568644157513678</v>
      </c>
      <c r="S113" s="919">
        <f t="shared" si="29"/>
        <v>-2</v>
      </c>
      <c r="T113" s="176">
        <f t="shared" si="30"/>
        <v>4</v>
      </c>
      <c r="U113" s="251">
        <f t="shared" si="31"/>
        <v>-1.4643135584248632</v>
      </c>
      <c r="V113" s="383">
        <f t="shared" si="32"/>
        <v>54.213486966984611</v>
      </c>
      <c r="W113" s="58"/>
      <c r="X113" s="157">
        <f t="shared" si="33"/>
        <v>43564</v>
      </c>
      <c r="Y113" s="385">
        <f t="shared" si="34"/>
        <v>44.039000000000001</v>
      </c>
      <c r="Z113" s="385">
        <f t="shared" si="35"/>
        <v>44.34972046425505</v>
      </c>
      <c r="AA113" s="386">
        <f t="shared" si="36"/>
        <v>45.991261635543388</v>
      </c>
      <c r="AB113" s="197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3.5692457934654767E-2</v>
      </c>
      <c r="AD113" s="231">
        <f>(INDEX(Models!$BJ113:$BT113,,AH113)*(1-AF113)+INDEX(Models!$BJ113:$BT113,,AH113+1)*AF113-ERP_i)*AE113*Ramure*Pc/MaxiM</f>
        <v>3.9645528789481289E-5</v>
      </c>
      <c r="AE113" s="305">
        <f t="shared" si="38"/>
        <v>0.7</v>
      </c>
      <c r="AF113" s="177">
        <f t="shared" si="39"/>
        <v>0.53568644157513678</v>
      </c>
      <c r="AG113" s="176">
        <f t="shared" si="40"/>
        <v>-2</v>
      </c>
      <c r="AH113" s="176">
        <f t="shared" si="41"/>
        <v>4</v>
      </c>
      <c r="AI113" s="225">
        <f t="shared" si="42"/>
        <v>-1.4643135584248632</v>
      </c>
      <c r="AJ113" s="265" t="b">
        <f t="shared" si="43"/>
        <v>1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8">
        <v>42.213000000000001</v>
      </c>
      <c r="C114" s="390"/>
      <c r="D114" s="393">
        <f t="shared" si="24"/>
        <v>42.511768101261481</v>
      </c>
      <c r="E114" s="385">
        <f t="shared" si="46"/>
        <v>44.090032418329336</v>
      </c>
      <c r="F114" s="385">
        <f t="shared" si="25"/>
        <v>44.091255753946619</v>
      </c>
      <c r="G114" s="110">
        <f t="shared" si="47"/>
        <v>0.77661126936314651</v>
      </c>
      <c r="H114" s="412" t="b">
        <f>Wh_hp&gt;='2018'!Maxi_hp</f>
        <v>1</v>
      </c>
      <c r="I114" s="390">
        <f>IF(H114,Wh_hp,'2018'!Maxi_hp)</f>
        <v>44.091255753946619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7.0278916781307821E-3</v>
      </c>
      <c r="M114" s="957"/>
      <c r="N114" s="957"/>
      <c r="O114" s="48">
        <f>IF(t&lt;Tnet,'2018'!Resal+('2018'!Salim-'2018'!Resal)*(1-EXP(('2018'!Tnet-t)/('2018'!Tau_j))),Resal+(Salim-Resal)*(1-EXP((Tnet-t)/(Tau_j))))*Salcycl</f>
        <v>3.5796397292094731E-2</v>
      </c>
      <c r="P114" s="169">
        <f>(INDEX(Models!$BJ114:$BT114,,T114)*(1-R114)+INDEX(Models!$BJ114:$BT114,,T114+1)*R114-ERP_i)*Q114*Ramure*Pc/MaxiM</f>
        <v>4.07490682732536E-5</v>
      </c>
      <c r="Q114" s="305">
        <f t="shared" si="27"/>
        <v>0.7</v>
      </c>
      <c r="R114" s="177">
        <f t="shared" si="28"/>
        <v>0.53709624768147934</v>
      </c>
      <c r="S114" s="919">
        <f t="shared" si="29"/>
        <v>-2</v>
      </c>
      <c r="T114" s="176">
        <f t="shared" si="30"/>
        <v>4</v>
      </c>
      <c r="U114" s="251">
        <f t="shared" si="31"/>
        <v>-1.4629037523185207</v>
      </c>
      <c r="V114" s="383">
        <f t="shared" si="32"/>
        <v>54.354672320641399</v>
      </c>
      <c r="W114" s="58"/>
      <c r="X114" s="157">
        <f t="shared" si="33"/>
        <v>43565</v>
      </c>
      <c r="Y114" s="385">
        <f t="shared" si="34"/>
        <v>42.213000000000001</v>
      </c>
      <c r="Z114" s="385">
        <f t="shared" si="35"/>
        <v>42.511768101261481</v>
      </c>
      <c r="AA114" s="386">
        <f t="shared" si="36"/>
        <v>44.090032418329336</v>
      </c>
      <c r="AB114" s="197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3.5796397292094731E-2</v>
      </c>
      <c r="AD114" s="231">
        <f>(INDEX(Models!$BJ114:$BT114,,AH114)*(1-AF114)+INDEX(Models!$BJ114:$BT114,,AH114+1)*AF114-ERP_i)*AE114*Ramure*Pc/MaxiM</f>
        <v>4.07490682732536E-5</v>
      </c>
      <c r="AE114" s="305">
        <f t="shared" si="38"/>
        <v>0.7</v>
      </c>
      <c r="AF114" s="177">
        <f t="shared" si="39"/>
        <v>0.53709624768147934</v>
      </c>
      <c r="AG114" s="176">
        <f t="shared" si="40"/>
        <v>-2</v>
      </c>
      <c r="AH114" s="176">
        <f t="shared" si="41"/>
        <v>4</v>
      </c>
      <c r="AI114" s="225">
        <f t="shared" si="42"/>
        <v>-1.4629037523185207</v>
      </c>
      <c r="AJ114" s="265" t="b">
        <f t="shared" si="43"/>
        <v>1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8">
        <v>8.6210000000000004</v>
      </c>
      <c r="C115" s="390"/>
      <c r="D115" s="393">
        <f t="shared" si="24"/>
        <v>8.6822064324957413</v>
      </c>
      <c r="E115" s="385">
        <f t="shared" si="46"/>
        <v>9.0055108817954768</v>
      </c>
      <c r="F115" s="385">
        <f t="shared" si="25"/>
        <v>9.0055108817954768</v>
      </c>
      <c r="G115" s="110">
        <f t="shared" si="47"/>
        <v>0.15820223366100306</v>
      </c>
      <c r="H115" s="412" t="b">
        <f>Wh_hp&gt;='2018'!Maxi_hp</f>
        <v>1</v>
      </c>
      <c r="I115" s="390">
        <f>IF(H115,Wh_hp,'2018'!Maxi_hp)</f>
        <v>9.0055108817954768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7.0496403156987686E-3</v>
      </c>
      <c r="M115" s="957"/>
      <c r="N115" s="957"/>
      <c r="O115" s="48">
        <f>IF(t&lt;Tnet,'2018'!Resal+('2018'!Salim-'2018'!Resal)*(1-EXP(('2018'!Tnet-t)/('2018'!Tau_j))),Resal+(Salim-Resal)*(1-EXP((Tnet-t)/(Tau_j))))*Salcycl</f>
        <v>3.5900733844349754E-2</v>
      </c>
      <c r="P115" s="169">
        <f>(INDEX(Models!$BJ115:$BT115,,T115)*(1-R115)+INDEX(Models!$BJ115:$BT115,,T115+1)*R115-ERP_i)*Q115*Ramure*Pc/MaxiM</f>
        <v>4.2486482809175878E-5</v>
      </c>
      <c r="Q115" s="305">
        <f t="shared" si="27"/>
        <v>0.7</v>
      </c>
      <c r="R115" s="177">
        <f t="shared" si="28"/>
        <v>0.53855612314737633</v>
      </c>
      <c r="S115" s="919">
        <f t="shared" si="29"/>
        <v>-2</v>
      </c>
      <c r="T115" s="176">
        <f t="shared" si="30"/>
        <v>4</v>
      </c>
      <c r="U115" s="251">
        <f t="shared" si="31"/>
        <v>-1.4614438768526237</v>
      </c>
      <c r="V115" s="383">
        <f t="shared" si="32"/>
        <v>54.491226353377925</v>
      </c>
      <c r="W115" s="58"/>
      <c r="X115" s="157">
        <f t="shared" si="33"/>
        <v>43566</v>
      </c>
      <c r="Y115" s="385">
        <f t="shared" si="34"/>
        <v>8.6210000000000004</v>
      </c>
      <c r="Z115" s="385">
        <f t="shared" si="35"/>
        <v>8.6822064324957413</v>
      </c>
      <c r="AA115" s="386">
        <f t="shared" si="36"/>
        <v>9.0055108817954768</v>
      </c>
      <c r="AB115" s="197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3.5900733844349754E-2</v>
      </c>
      <c r="AD115" s="231">
        <f>(INDEX(Models!$BJ115:$BT115,,AH115)*(1-AF115)+INDEX(Models!$BJ115:$BT115,,AH115+1)*AF115-ERP_i)*AE115*Ramure*Pc/MaxiM</f>
        <v>4.2486482809175878E-5</v>
      </c>
      <c r="AE115" s="305">
        <f t="shared" si="38"/>
        <v>0.7</v>
      </c>
      <c r="AF115" s="177">
        <f t="shared" si="39"/>
        <v>0.53855612314737633</v>
      </c>
      <c r="AG115" s="176">
        <f t="shared" si="40"/>
        <v>-2</v>
      </c>
      <c r="AH115" s="176">
        <f t="shared" si="41"/>
        <v>4</v>
      </c>
      <c r="AI115" s="225">
        <f t="shared" si="42"/>
        <v>-1.4614438768526237</v>
      </c>
      <c r="AJ115" s="265" t="b">
        <f t="shared" si="43"/>
        <v>1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8">
        <v>54.454999999999998</v>
      </c>
      <c r="C116" s="390"/>
      <c r="D116" s="393">
        <f t="shared" si="24"/>
        <v>54.842814848964593</v>
      </c>
      <c r="E116" s="385">
        <f t="shared" si="46"/>
        <v>56.891210175748895</v>
      </c>
      <c r="F116" s="385">
        <f t="shared" si="25"/>
        <v>56.893751444283453</v>
      </c>
      <c r="G116" s="110">
        <f t="shared" si="47"/>
        <v>0.99691204373052911</v>
      </c>
      <c r="H116" s="412" t="b">
        <f>Wh_hp&gt;='2018'!Maxi_hp</f>
        <v>1</v>
      </c>
      <c r="I116" s="390">
        <f>IF(H116,Wh_hp,'2018'!Maxi_hp)</f>
        <v>56.893751444283453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7.0713884769157964E-3</v>
      </c>
      <c r="M116" s="957"/>
      <c r="N116" s="957"/>
      <c r="O116" s="48">
        <f>IF(t&lt;Tnet,'2018'!Resal+('2018'!Salim-'2018'!Resal)*(1-EXP(('2018'!Tnet-t)/('2018'!Tau_j))),Resal+(Salim-Resal)*(1-EXP((Tnet-t)/(Tau_j))))*Salcycl</f>
        <v>3.6005479940686508E-2</v>
      </c>
      <c r="P116" s="169">
        <f>(INDEX(Models!$BJ116:$BT116,,T116)*(1-R116)+INDEX(Models!$BJ116:$BT116,,T116+1)*R116-ERP_i)*Q116*Ramure*Pc/MaxiM</f>
        <v>4.4864820574827803E-5</v>
      </c>
      <c r="Q116" s="305">
        <f t="shared" si="27"/>
        <v>0.7</v>
      </c>
      <c r="R116" s="177">
        <f t="shared" si="28"/>
        <v>0.54006748401600468</v>
      </c>
      <c r="S116" s="919">
        <f t="shared" si="29"/>
        <v>-2</v>
      </c>
      <c r="T116" s="176">
        <f t="shared" si="30"/>
        <v>4</v>
      </c>
      <c r="U116" s="251">
        <f t="shared" si="31"/>
        <v>-1.4599325159839953</v>
      </c>
      <c r="V116" s="383">
        <f t="shared" si="32"/>
        <v>54.623664710642508</v>
      </c>
      <c r="W116" s="58"/>
      <c r="X116" s="157">
        <f t="shared" si="33"/>
        <v>43567</v>
      </c>
      <c r="Y116" s="385">
        <f t="shared" si="34"/>
        <v>54.454999999999998</v>
      </c>
      <c r="Z116" s="385">
        <f t="shared" si="35"/>
        <v>54.842814848964593</v>
      </c>
      <c r="AA116" s="386">
        <f t="shared" si="36"/>
        <v>56.891210175748895</v>
      </c>
      <c r="AB116" s="197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3.6005479940686508E-2</v>
      </c>
      <c r="AD116" s="231">
        <f>(INDEX(Models!$BJ116:$BT116,,AH116)*(1-AF116)+INDEX(Models!$BJ116:$BT116,,AH116+1)*AF116-ERP_i)*AE116*Ramure*Pc/MaxiM</f>
        <v>4.4864820574827803E-5</v>
      </c>
      <c r="AE116" s="305">
        <f t="shared" si="38"/>
        <v>0.7</v>
      </c>
      <c r="AF116" s="177">
        <f t="shared" si="39"/>
        <v>0.54006748401600468</v>
      </c>
      <c r="AG116" s="176">
        <f t="shared" si="40"/>
        <v>-2</v>
      </c>
      <c r="AH116" s="176">
        <f t="shared" si="41"/>
        <v>4</v>
      </c>
      <c r="AI116" s="225">
        <f t="shared" si="42"/>
        <v>-1.4599325159839953</v>
      </c>
      <c r="AJ116" s="265" t="b">
        <f t="shared" si="43"/>
        <v>1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8">
        <v>55.828000000000003</v>
      </c>
      <c r="C117" s="390"/>
      <c r="D117" s="393">
        <f t="shared" si="24"/>
        <v>56.226824522281753</v>
      </c>
      <c r="E117" s="385">
        <f t="shared" si="46"/>
        <v>58.333276922867164</v>
      </c>
      <c r="F117" s="385">
        <f t="shared" si="25"/>
        <v>58.336070770675065</v>
      </c>
      <c r="G117" s="110">
        <f t="shared" si="47"/>
        <v>1.0196428877171881</v>
      </c>
      <c r="H117" s="412" t="b">
        <f>Wh_hp&gt;='2018'!Maxi_hp</f>
        <v>1</v>
      </c>
      <c r="I117" s="390">
        <f>IF(H117,Wh_hp,'2018'!Maxi_hp)</f>
        <v>58.336070770675065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7.0931361617923017E-3</v>
      </c>
      <c r="M117" s="957"/>
      <c r="N117" s="957"/>
      <c r="O117" s="48">
        <f>IF(t&lt;Tnet,'2018'!Resal+('2018'!Salim-'2018'!Resal)*(1-EXP(('2018'!Tnet-t)/('2018'!Tau_j))),Resal+(Salim-Resal)*(1-EXP((Tnet-t)/(Tau_j))))*Salcycl</f>
        <v>3.6110647501780634E-2</v>
      </c>
      <c r="P117" s="169">
        <f>(INDEX(Models!$BJ117:$BT117,,T117)*(1-R117)+INDEX(Models!$BJ117:$BT117,,T117+1)*R117-ERP_i)*Q117*Ramure*Pc/MaxiM</f>
        <v>4.7892286384624357E-5</v>
      </c>
      <c r="Q117" s="305">
        <f t="shared" si="27"/>
        <v>0.7</v>
      </c>
      <c r="R117" s="177">
        <f t="shared" si="28"/>
        <v>0.54163175794892626</v>
      </c>
      <c r="S117" s="919">
        <f t="shared" si="29"/>
        <v>-2</v>
      </c>
      <c r="T117" s="176">
        <f t="shared" si="30"/>
        <v>4</v>
      </c>
      <c r="U117" s="251">
        <f t="shared" si="31"/>
        <v>-1.4583682420510737</v>
      </c>
      <c r="V117" s="383">
        <f t="shared" si="32"/>
        <v>54.752502736511666</v>
      </c>
      <c r="W117" s="58"/>
      <c r="X117" s="157">
        <f t="shared" si="33"/>
        <v>43568</v>
      </c>
      <c r="Y117" s="385">
        <f t="shared" si="34"/>
        <v>55.828000000000003</v>
      </c>
      <c r="Z117" s="385">
        <f t="shared" si="35"/>
        <v>56.226824522281753</v>
      </c>
      <c r="AA117" s="386">
        <f t="shared" si="36"/>
        <v>58.333276922867164</v>
      </c>
      <c r="AB117" s="197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3.6110647501780634E-2</v>
      </c>
      <c r="AD117" s="231">
        <f>(INDEX(Models!$BJ117:$BT117,,AH117)*(1-AF117)+INDEX(Models!$BJ117:$BT117,,AH117+1)*AF117-ERP_i)*AE117*Ramure*Pc/MaxiM</f>
        <v>4.7892286384624357E-5</v>
      </c>
      <c r="AE117" s="305">
        <f t="shared" si="38"/>
        <v>0.7</v>
      </c>
      <c r="AF117" s="177">
        <f t="shared" si="39"/>
        <v>0.54163175794892626</v>
      </c>
      <c r="AG117" s="176">
        <f t="shared" si="40"/>
        <v>-2</v>
      </c>
      <c r="AH117" s="176">
        <f t="shared" si="41"/>
        <v>4</v>
      </c>
      <c r="AI117" s="225">
        <f t="shared" si="42"/>
        <v>-1.4583682420510737</v>
      </c>
      <c r="AJ117" s="265" t="b">
        <f t="shared" si="43"/>
        <v>1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8">
        <v>26.609000000000002</v>
      </c>
      <c r="C118" s="390"/>
      <c r="D118" s="393">
        <f t="shared" si="24"/>
        <v>26.799676573180982</v>
      </c>
      <c r="E118" s="385">
        <f t="shared" si="46"/>
        <v>27.806732077902772</v>
      </c>
      <c r="F118" s="385">
        <f t="shared" si="25"/>
        <v>27.807110867726973</v>
      </c>
      <c r="G118" s="110">
        <f t="shared" si="47"/>
        <v>0.48485488066259497</v>
      </c>
      <c r="H118" s="412" t="b">
        <f>Wh_hp&gt;='2018'!Maxi_hp</f>
        <v>1</v>
      </c>
      <c r="I118" s="390">
        <f>IF(H118,Wh_hp,'2018'!Maxi_hp)</f>
        <v>27.807110867726973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7.1148833703386094E-3</v>
      </c>
      <c r="M118" s="957"/>
      <c r="N118" s="957"/>
      <c r="O118" s="48">
        <f>IF(t&lt;Tnet,'2018'!Resal+('2018'!Salim-'2018'!Resal)*(1-EXP(('2018'!Tnet-t)/('2018'!Tau_j))),Resal+(Salim-Resal)*(1-EXP((Tnet-t)/(Tau_j))))*Salcycl</f>
        <v>3.6216247989891245E-2</v>
      </c>
      <c r="P118" s="169">
        <f>(INDEX(Models!$BJ118:$BT118,,T118)*(1-R118)+INDEX(Models!$BJ118:$BT118,,T118+1)*R118-ERP_i)*Q118*Ramure*Pc/MaxiM</f>
        <v>5.1578216088894425E-5</v>
      </c>
      <c r="Q118" s="305">
        <f t="shared" si="27"/>
        <v>0.7</v>
      </c>
      <c r="R118" s="177">
        <f t="shared" si="28"/>
        <v>0.54325038182848995</v>
      </c>
      <c r="S118" s="919">
        <f t="shared" si="29"/>
        <v>-2</v>
      </c>
      <c r="T118" s="176">
        <f t="shared" si="30"/>
        <v>4</v>
      </c>
      <c r="U118" s="251">
        <f t="shared" si="31"/>
        <v>-1.4567496181715101</v>
      </c>
      <c r="V118" s="383">
        <f t="shared" si="32"/>
        <v>54.878255477654015</v>
      </c>
      <c r="W118" s="58"/>
      <c r="X118" s="157">
        <f t="shared" si="33"/>
        <v>43569</v>
      </c>
      <c r="Y118" s="385">
        <f t="shared" si="34"/>
        <v>26.609000000000002</v>
      </c>
      <c r="Z118" s="385">
        <f t="shared" si="35"/>
        <v>26.799676573180982</v>
      </c>
      <c r="AA118" s="386">
        <f t="shared" si="36"/>
        <v>27.806732077902772</v>
      </c>
      <c r="AB118" s="197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3.6216247989891245E-2</v>
      </c>
      <c r="AD118" s="231">
        <f>(INDEX(Models!$BJ118:$BT118,,AH118)*(1-AF118)+INDEX(Models!$BJ118:$BT118,,AH118+1)*AF118-ERP_i)*AE118*Ramure*Pc/MaxiM</f>
        <v>5.1578216088894425E-5</v>
      </c>
      <c r="AE118" s="305">
        <f t="shared" si="38"/>
        <v>0.7</v>
      </c>
      <c r="AF118" s="177">
        <f t="shared" si="39"/>
        <v>0.54325038182848995</v>
      </c>
      <c r="AG118" s="176">
        <f t="shared" si="40"/>
        <v>-2</v>
      </c>
      <c r="AH118" s="176">
        <f t="shared" si="41"/>
        <v>4</v>
      </c>
      <c r="AI118" s="225">
        <f t="shared" si="42"/>
        <v>-1.4567496181715101</v>
      </c>
      <c r="AJ118" s="265" t="b">
        <f t="shared" si="43"/>
        <v>1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8">
        <v>38.674999999999997</v>
      </c>
      <c r="C119" s="390"/>
      <c r="D119" s="393">
        <f t="shared" si="24"/>
        <v>38.952993103165063</v>
      </c>
      <c r="E119" s="385">
        <f t="shared" si="46"/>
        <v>40.421183135274077</v>
      </c>
      <c r="F119" s="385">
        <f t="shared" si="25"/>
        <v>40.422485326053859</v>
      </c>
      <c r="G119" s="110">
        <f t="shared" si="47"/>
        <v>0.7031467591967222</v>
      </c>
      <c r="H119" s="412" t="b">
        <f>Wh_hp&gt;='2018'!Maxi_hp</f>
        <v>1</v>
      </c>
      <c r="I119" s="390">
        <f>IF(H119,Wh_hp,'2018'!Maxi_hp)</f>
        <v>40.422485326053859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7.1366301025652668E-3</v>
      </c>
      <c r="M119" s="957"/>
      <c r="N119" s="957"/>
      <c r="O119" s="48">
        <f>IF(t&lt;Tnet,'2018'!Resal+('2018'!Salim-'2018'!Resal)*(1-EXP(('2018'!Tnet-t)/('2018'!Tau_j))),Resal+(Salim-Resal)*(1-EXP((Tnet-t)/(Tau_j))))*Salcycl</f>
        <v>3.6322292378121394E-2</v>
      </c>
      <c r="P119" s="169">
        <f>(INDEX(Models!$BJ119:$BT119,,T119)*(1-R119)+INDEX(Models!$BJ119:$BT119,,T119+1)*R119-ERP_i)*Q119*Ramure*Pc/MaxiM</f>
        <v>5.593305030619242E-5</v>
      </c>
      <c r="Q119" s="305">
        <f t="shared" si="27"/>
        <v>0.7</v>
      </c>
      <c r="R119" s="177">
        <f t="shared" si="28"/>
        <v>0.54492479913802128</v>
      </c>
      <c r="S119" s="919">
        <f t="shared" si="29"/>
        <v>-2</v>
      </c>
      <c r="T119" s="176">
        <f t="shared" si="30"/>
        <v>4</v>
      </c>
      <c r="U119" s="251">
        <f t="shared" si="31"/>
        <v>-1.4550752008619787</v>
      </c>
      <c r="V119" s="383">
        <f t="shared" si="32"/>
        <v>55.001437680372348</v>
      </c>
      <c r="W119" s="58"/>
      <c r="X119" s="157">
        <f t="shared" si="33"/>
        <v>43570</v>
      </c>
      <c r="Y119" s="385">
        <f t="shared" si="34"/>
        <v>38.674999999999997</v>
      </c>
      <c r="Z119" s="385">
        <f t="shared" si="35"/>
        <v>38.952993103165063</v>
      </c>
      <c r="AA119" s="386">
        <f t="shared" si="36"/>
        <v>40.421183135274077</v>
      </c>
      <c r="AB119" s="197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3.6322292378121394E-2</v>
      </c>
      <c r="AD119" s="231">
        <f>(INDEX(Models!$BJ119:$BT119,,AH119)*(1-AF119)+INDEX(Models!$BJ119:$BT119,,AH119+1)*AF119-ERP_i)*AE119*Ramure*Pc/MaxiM</f>
        <v>5.593305030619242E-5</v>
      </c>
      <c r="AE119" s="305">
        <f t="shared" si="38"/>
        <v>0.7</v>
      </c>
      <c r="AF119" s="177">
        <f t="shared" si="39"/>
        <v>0.54492479913802128</v>
      </c>
      <c r="AG119" s="176">
        <f t="shared" si="40"/>
        <v>-2</v>
      </c>
      <c r="AH119" s="176">
        <f t="shared" si="41"/>
        <v>4</v>
      </c>
      <c r="AI119" s="225">
        <f t="shared" si="42"/>
        <v>-1.4550752008619787</v>
      </c>
      <c r="AJ119" s="265" t="b">
        <f t="shared" si="43"/>
        <v>1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8">
        <v>34.286999999999999</v>
      </c>
      <c r="C120" s="390"/>
      <c r="D120" s="393">
        <f t="shared" si="24"/>
        <v>34.534208864293056</v>
      </c>
      <c r="E120" s="385">
        <f t="shared" si="46"/>
        <v>35.839809809577055</v>
      </c>
      <c r="F120" s="385">
        <f t="shared" si="25"/>
        <v>35.840815023671531</v>
      </c>
      <c r="G120" s="110">
        <f t="shared" si="47"/>
        <v>0.62199340576300666</v>
      </c>
      <c r="H120" s="412" t="b">
        <f>Wh_hp&gt;='2018'!Maxi_hp</f>
        <v>1</v>
      </c>
      <c r="I120" s="390">
        <f>IF(H120,Wh_hp,'2018'!Maxi_hp)</f>
        <v>35.840815023671531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7.1583763584827098E-3</v>
      </c>
      <c r="M120" s="957"/>
      <c r="N120" s="957"/>
      <c r="O120" s="48">
        <f>IF(t&lt;Tnet,'2018'!Resal+('2018'!Salim-'2018'!Resal)*(1-EXP(('2018'!Tnet-t)/('2018'!Tau_j))),Resal+(Salim-Resal)*(1-EXP((Tnet-t)/(Tau_j))))*Salcycl</f>
        <v>3.6428791118615772E-2</v>
      </c>
      <c r="P120" s="169">
        <f>(INDEX(Models!$BJ120:$BT120,,T120)*(1-R120)+INDEX(Models!$BJ120:$BT120,,T120+1)*R120-ERP_i)*Q120*Ramure*Pc/MaxiM</f>
        <v>6.0968306943262727E-5</v>
      </c>
      <c r="Q120" s="305">
        <f t="shared" si="27"/>
        <v>0.7</v>
      </c>
      <c r="R120" s="177">
        <f t="shared" si="28"/>
        <v>0.54665645711166366</v>
      </c>
      <c r="S120" s="919">
        <f t="shared" si="29"/>
        <v>-2</v>
      </c>
      <c r="T120" s="176">
        <f t="shared" si="30"/>
        <v>4</v>
      </c>
      <c r="U120" s="251">
        <f t="shared" si="31"/>
        <v>-1.4533435428883363</v>
      </c>
      <c r="V120" s="383">
        <f t="shared" si="32"/>
        <v>55.122563784675719</v>
      </c>
      <c r="W120" s="58"/>
      <c r="X120" s="157">
        <f t="shared" si="33"/>
        <v>43571</v>
      </c>
      <c r="Y120" s="385">
        <f t="shared" si="34"/>
        <v>34.286999999999999</v>
      </c>
      <c r="Z120" s="385">
        <f t="shared" si="35"/>
        <v>34.534208864293056</v>
      </c>
      <c r="AA120" s="386">
        <f t="shared" si="36"/>
        <v>35.839809809577055</v>
      </c>
      <c r="AB120" s="197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3.6428791118615772E-2</v>
      </c>
      <c r="AD120" s="231">
        <f>(INDEX(Models!$BJ120:$BT120,,AH120)*(1-AF120)+INDEX(Models!$BJ120:$BT120,,AH120+1)*AF120-ERP_i)*AE120*Ramure*Pc/MaxiM</f>
        <v>6.0968306943262727E-5</v>
      </c>
      <c r="AE120" s="305">
        <f t="shared" si="38"/>
        <v>0.7</v>
      </c>
      <c r="AF120" s="177">
        <f t="shared" si="39"/>
        <v>0.54665645711166366</v>
      </c>
      <c r="AG120" s="176">
        <f t="shared" si="40"/>
        <v>-2</v>
      </c>
      <c r="AH120" s="176">
        <f t="shared" si="41"/>
        <v>4</v>
      </c>
      <c r="AI120" s="225">
        <f t="shared" si="42"/>
        <v>-1.4533435428883363</v>
      </c>
      <c r="AJ120" s="265" t="b">
        <f t="shared" si="43"/>
        <v>1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8">
        <v>34.411999999999999</v>
      </c>
      <c r="C121" s="390"/>
      <c r="D121" s="393">
        <f t="shared" si="24"/>
        <v>34.660869274805869</v>
      </c>
      <c r="E121" s="385">
        <f t="shared" si="46"/>
        <v>35.975252244853458</v>
      </c>
      <c r="F121" s="385">
        <f t="shared" si="25"/>
        <v>35.976359265372231</v>
      </c>
      <c r="G121" s="110">
        <f t="shared" si="47"/>
        <v>0.62291978117221447</v>
      </c>
      <c r="H121" s="412" t="b">
        <f>Wh_hp&gt;='2018'!Maxi_hp</f>
        <v>1</v>
      </c>
      <c r="I121" s="390">
        <f>IF(H121,Wh_hp,'2018'!Maxi_hp)</f>
        <v>35.976359265372231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7.1801221381013747E-3</v>
      </c>
      <c r="M121" s="957"/>
      <c r="N121" s="957"/>
      <c r="O121" s="48">
        <f>IF(t&lt;Tnet,'2018'!Resal+('2018'!Salim-'2018'!Resal)*(1-EXP(('2018'!Tnet-t)/('2018'!Tau_j))),Resal+(Salim-Resal)*(1-EXP((Tnet-t)/(Tau_j))))*Salcycl</f>
        <v>3.6535754109566346E-2</v>
      </c>
      <c r="P121" s="169">
        <f>(INDEX(Models!$BJ121:$BT121,,T121)*(1-R121)+INDEX(Models!$BJ121:$BT121,,T121+1)*R121-ERP_i)*Q121*Ramure*Pc/MaxiM</f>
        <v>6.6697837036441775E-5</v>
      </c>
      <c r="Q121" s="305">
        <f t="shared" si="27"/>
        <v>0.7</v>
      </c>
      <c r="R121" s="177">
        <f t="shared" si="28"/>
        <v>0.54844680364634057</v>
      </c>
      <c r="S121" s="919">
        <f t="shared" si="29"/>
        <v>-2</v>
      </c>
      <c r="T121" s="176">
        <f t="shared" si="30"/>
        <v>4</v>
      </c>
      <c r="U121" s="251">
        <f t="shared" si="31"/>
        <v>-1.4515531963536594</v>
      </c>
      <c r="V121" s="383">
        <f t="shared" si="32"/>
        <v>55.241083491044108</v>
      </c>
      <c r="W121" s="58"/>
      <c r="X121" s="157">
        <f t="shared" si="33"/>
        <v>43572</v>
      </c>
      <c r="Y121" s="385">
        <f t="shared" si="34"/>
        <v>34.411999999999999</v>
      </c>
      <c r="Z121" s="385">
        <f t="shared" si="35"/>
        <v>34.660869274805869</v>
      </c>
      <c r="AA121" s="386">
        <f t="shared" si="36"/>
        <v>35.975252244853458</v>
      </c>
      <c r="AB121" s="197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3.6535754109566346E-2</v>
      </c>
      <c r="AD121" s="231">
        <f>(INDEX(Models!$BJ121:$BT121,,AH121)*(1-AF121)+INDEX(Models!$BJ121:$BT121,,AH121+1)*AF121-ERP_i)*AE121*Ramure*Pc/MaxiM</f>
        <v>6.6697837036441775E-5</v>
      </c>
      <c r="AE121" s="305">
        <f t="shared" si="38"/>
        <v>0.7</v>
      </c>
      <c r="AF121" s="177">
        <f t="shared" si="39"/>
        <v>0.54844680364634057</v>
      </c>
      <c r="AG121" s="176">
        <f t="shared" si="40"/>
        <v>-2</v>
      </c>
      <c r="AH121" s="176">
        <f t="shared" si="41"/>
        <v>4</v>
      </c>
      <c r="AI121" s="225">
        <f t="shared" si="42"/>
        <v>-1.4515531963536594</v>
      </c>
      <c r="AJ121" s="265" t="b">
        <f t="shared" si="43"/>
        <v>1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8">
        <v>26.748999999999999</v>
      </c>
      <c r="C122" s="390"/>
      <c r="D122" s="393">
        <f t="shared" si="24"/>
        <v>26.943040204018502</v>
      </c>
      <c r="E122" s="385">
        <f t="shared" si="46"/>
        <v>27.967872280368329</v>
      </c>
      <c r="F122" s="385">
        <f t="shared" si="25"/>
        <v>27.968410782042561</v>
      </c>
      <c r="G122" s="110">
        <f t="shared" si="47"/>
        <v>0.48319137649806287</v>
      </c>
      <c r="H122" s="412" t="b">
        <f>Wh_hp&gt;='2018'!Maxi_hp</f>
        <v>1</v>
      </c>
      <c r="I122" s="390">
        <f>IF(H122,Wh_hp,'2018'!Maxi_hp)</f>
        <v>27.968410782042561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7.2018674414315864E-3</v>
      </c>
      <c r="M122" s="957"/>
      <c r="N122" s="957"/>
      <c r="O122" s="48">
        <f>IF(t&lt;Tnet,'2018'!Resal+('2018'!Salim-'2018'!Resal)*(1-EXP(('2018'!Tnet-t)/('2018'!Tau_j))),Resal+(Salim-Resal)*(1-EXP((Tnet-t)/(Tau_j))))*Salcycl</f>
        <v>3.6643190660921185E-2</v>
      </c>
      <c r="P122" s="169">
        <f>(INDEX(Models!$BJ122:$BT122,,T122)*(1-R122)+INDEX(Models!$BJ122:$BT122,,T122+1)*R122-ERP_i)*Q122*Ramure*Pc/MaxiM</f>
        <v>7.3561414643894723E-5</v>
      </c>
      <c r="Q122" s="305">
        <f t="shared" si="27"/>
        <v>0.7</v>
      </c>
      <c r="R122" s="177">
        <f t="shared" si="28"/>
        <v>0.55029728396906341</v>
      </c>
      <c r="S122" s="919">
        <f t="shared" si="29"/>
        <v>-2</v>
      </c>
      <c r="T122" s="176">
        <f t="shared" si="30"/>
        <v>4</v>
      </c>
      <c r="U122" s="251">
        <f t="shared" si="31"/>
        <v>-1.4497027160309366</v>
      </c>
      <c r="V122" s="383">
        <f t="shared" si="32"/>
        <v>55.356011307225096</v>
      </c>
      <c r="W122" s="58"/>
      <c r="X122" s="157">
        <f t="shared" si="33"/>
        <v>43573</v>
      </c>
      <c r="Y122" s="385">
        <f t="shared" si="34"/>
        <v>26.748999999999999</v>
      </c>
      <c r="Z122" s="385">
        <f t="shared" si="35"/>
        <v>26.943040204018502</v>
      </c>
      <c r="AA122" s="386">
        <f t="shared" si="36"/>
        <v>27.967872280368329</v>
      </c>
      <c r="AB122" s="197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3.6643190660921185E-2</v>
      </c>
      <c r="AD122" s="231">
        <f>(INDEX(Models!$BJ122:$BT122,,AH122)*(1-AF122)+INDEX(Models!$BJ122:$BT122,,AH122+1)*AF122-ERP_i)*AE122*Ramure*Pc/MaxiM</f>
        <v>7.3561414643894723E-5</v>
      </c>
      <c r="AE122" s="305">
        <f t="shared" si="38"/>
        <v>0.7</v>
      </c>
      <c r="AF122" s="177">
        <f t="shared" si="39"/>
        <v>0.55029728396906341</v>
      </c>
      <c r="AG122" s="176">
        <f t="shared" si="40"/>
        <v>-2</v>
      </c>
      <c r="AH122" s="176">
        <f t="shared" si="41"/>
        <v>4</v>
      </c>
      <c r="AI122" s="225">
        <f t="shared" si="42"/>
        <v>-1.4497027160309366</v>
      </c>
      <c r="AJ122" s="265" t="b">
        <f t="shared" si="43"/>
        <v>1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8">
        <v>50.262</v>
      </c>
      <c r="C123" s="390"/>
      <c r="D123" s="393">
        <f t="shared" si="24"/>
        <v>50.627714983077055</v>
      </c>
      <c r="E123" s="385">
        <f t="shared" si="46"/>
        <v>52.559328622353931</v>
      </c>
      <c r="F123" s="385">
        <f t="shared" si="25"/>
        <v>52.563032573540127</v>
      </c>
      <c r="G123" s="110">
        <f t="shared" si="47"/>
        <v>0.9061463709121429</v>
      </c>
      <c r="H123" s="412" t="b">
        <f>Wh_hp&gt;='2018'!Maxi_hp</f>
        <v>1</v>
      </c>
      <c r="I123" s="390">
        <f>IF(H123,Wh_hp,'2018'!Maxi_hp)</f>
        <v>52.563032573540127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7.2236122684837811E-3</v>
      </c>
      <c r="M123" s="957"/>
      <c r="N123" s="957"/>
      <c r="O123" s="48">
        <f>IF(t&lt;Tnet,'2018'!Resal+('2018'!Salim-'2018'!Resal)*(1-EXP(('2018'!Tnet-t)/('2018'!Tau_j))),Resal+(Salim-Resal)*(1-EXP((Tnet-t)/(Tau_j))))*Salcycl</f>
        <v>3.6751109458718331E-2</v>
      </c>
      <c r="P123" s="169">
        <f>(INDEX(Models!$BJ123:$BT123,,T123)*(1-R123)+INDEX(Models!$BJ123:$BT123,,T123+1)*R123-ERP_i)*Q123*Ramure*Pc/MaxiM</f>
        <v>8.1376365355381679E-5</v>
      </c>
      <c r="Q123" s="305">
        <f t="shared" si="27"/>
        <v>0.7</v>
      </c>
      <c r="R123" s="177">
        <f t="shared" si="28"/>
        <v>0.55220933705370023</v>
      </c>
      <c r="S123" s="919">
        <f t="shared" si="29"/>
        <v>-2</v>
      </c>
      <c r="T123" s="176">
        <f t="shared" si="30"/>
        <v>4</v>
      </c>
      <c r="U123" s="251">
        <f t="shared" si="31"/>
        <v>-1.4477906629462998</v>
      </c>
      <c r="V123" s="383">
        <f t="shared" si="32"/>
        <v>55.467254784195305</v>
      </c>
      <c r="W123" s="58"/>
      <c r="X123" s="157">
        <f t="shared" si="33"/>
        <v>43574</v>
      </c>
      <c r="Y123" s="385">
        <f t="shared" si="34"/>
        <v>50.262</v>
      </c>
      <c r="Z123" s="385">
        <f t="shared" si="35"/>
        <v>50.627714983077055</v>
      </c>
      <c r="AA123" s="386">
        <f t="shared" si="36"/>
        <v>52.559328622353931</v>
      </c>
      <c r="AB123" s="197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3.6751109458718331E-2</v>
      </c>
      <c r="AD123" s="231">
        <f>(INDEX(Models!$BJ123:$BT123,,AH123)*(1-AF123)+INDEX(Models!$BJ123:$BT123,,AH123+1)*AF123-ERP_i)*AE123*Ramure*Pc/MaxiM</f>
        <v>8.1376365355381679E-5</v>
      </c>
      <c r="AE123" s="305">
        <f t="shared" si="38"/>
        <v>0.7</v>
      </c>
      <c r="AF123" s="177">
        <f t="shared" si="39"/>
        <v>0.55220933705370023</v>
      </c>
      <c r="AG123" s="176">
        <f t="shared" si="40"/>
        <v>-2</v>
      </c>
      <c r="AH123" s="176">
        <f t="shared" si="41"/>
        <v>4</v>
      </c>
      <c r="AI123" s="225">
        <f t="shared" si="42"/>
        <v>-1.4477906629462998</v>
      </c>
      <c r="AJ123" s="265" t="b">
        <f t="shared" si="43"/>
        <v>1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8">
        <v>52.238999999999997</v>
      </c>
      <c r="C124" s="390"/>
      <c r="D124" s="393">
        <f t="shared" si="24"/>
        <v>52.620252494720205</v>
      </c>
      <c r="E124" s="385">
        <f t="shared" si="46"/>
        <v>54.634036785888981</v>
      </c>
      <c r="F124" s="385">
        <f t="shared" si="25"/>
        <v>54.638540839726012</v>
      </c>
      <c r="G124" s="110">
        <f t="shared" si="47"/>
        <v>0.93997064170475042</v>
      </c>
      <c r="H124" s="412" t="b">
        <f>Wh_hp&gt;='2018'!Maxi_hp</f>
        <v>1</v>
      </c>
      <c r="I124" s="390">
        <f>IF(H124,Wh_hp,'2018'!Maxi_hp)</f>
        <v>54.638540839726012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7.245356619268617E-3</v>
      </c>
      <c r="M124" s="957"/>
      <c r="N124" s="957"/>
      <c r="O124" s="48">
        <f>IF(t&lt;Tnet,'2018'!Resal+('2018'!Salim-'2018'!Resal)*(1-EXP(('2018'!Tnet-t)/('2018'!Tau_j))),Resal+(Salim-Resal)*(1-EXP((Tnet-t)/(Tau_j))))*Salcycl</f>
        <v>3.6859518527997466E-2</v>
      </c>
      <c r="P124" s="169">
        <f>(INDEX(Models!$BJ124:$BT124,,T124)*(1-R124)+INDEX(Models!$BJ124:$BT124,,T124+1)*R124-ERP_i)*Q124*Ramure*Pc/MaxiM</f>
        <v>9.0164906542293557E-5</v>
      </c>
      <c r="Q124" s="305">
        <f t="shared" si="27"/>
        <v>0.7</v>
      </c>
      <c r="R124" s="177">
        <f t="shared" si="28"/>
        <v>0.55418439178236945</v>
      </c>
      <c r="S124" s="919">
        <f t="shared" si="29"/>
        <v>-2</v>
      </c>
      <c r="T124" s="176">
        <f t="shared" si="30"/>
        <v>4</v>
      </c>
      <c r="U124" s="251">
        <f t="shared" si="31"/>
        <v>-1.4458156082176306</v>
      </c>
      <c r="V124" s="383">
        <f t="shared" si="32"/>
        <v>55.574710289207026</v>
      </c>
      <c r="W124" s="58"/>
      <c r="X124" s="157">
        <f t="shared" si="33"/>
        <v>43575</v>
      </c>
      <c r="Y124" s="385">
        <f t="shared" si="34"/>
        <v>52.238999999999997</v>
      </c>
      <c r="Z124" s="385">
        <f t="shared" si="35"/>
        <v>52.620252494720205</v>
      </c>
      <c r="AA124" s="386">
        <f t="shared" si="36"/>
        <v>54.634036785888981</v>
      </c>
      <c r="AB124" s="197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3.6859518527997466E-2</v>
      </c>
      <c r="AD124" s="231">
        <f>(INDEX(Models!$BJ124:$BT124,,AH124)*(1-AF124)+INDEX(Models!$BJ124:$BT124,,AH124+1)*AF124-ERP_i)*AE124*Ramure*Pc/MaxiM</f>
        <v>9.0164906542293557E-5</v>
      </c>
      <c r="AE124" s="305">
        <f t="shared" si="38"/>
        <v>0.7</v>
      </c>
      <c r="AF124" s="177">
        <f t="shared" si="39"/>
        <v>0.55418439178236945</v>
      </c>
      <c r="AG124" s="176">
        <f t="shared" si="40"/>
        <v>-2</v>
      </c>
      <c r="AH124" s="176">
        <f t="shared" si="41"/>
        <v>4</v>
      </c>
      <c r="AI124" s="225">
        <f t="shared" si="42"/>
        <v>-1.4458156082176306</v>
      </c>
      <c r="AJ124" s="265" t="b">
        <f t="shared" si="43"/>
        <v>1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8">
        <v>18.547000000000001</v>
      </c>
      <c r="C125" s="390"/>
      <c r="D125" s="393">
        <f t="shared" si="24"/>
        <v>18.682769563923468</v>
      </c>
      <c r="E125" s="385">
        <f t="shared" si="46"/>
        <v>19.399955362514891</v>
      </c>
      <c r="F125" s="385">
        <f t="shared" si="25"/>
        <v>19.40004708078034</v>
      </c>
      <c r="G125" s="110">
        <f t="shared" si="47"/>
        <v>0.3330784610024588</v>
      </c>
      <c r="H125" s="412" t="b">
        <f>Wh_hp&gt;='2018'!Maxi_hp</f>
        <v>1</v>
      </c>
      <c r="I125" s="390">
        <f>IF(H125,Wh_hp,'2018'!Maxi_hp)</f>
        <v>19.40004708078034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7.2671004937961969E-3</v>
      </c>
      <c r="M125" s="957"/>
      <c r="N125" s="957"/>
      <c r="O125" s="48">
        <f>IF(t&lt;Tnet,'2018'!Resal+('2018'!Salim-'2018'!Resal)*(1-EXP(('2018'!Tnet-t)/('2018'!Tau_j))),Resal+(Salim-Resal)*(1-EXP((Tnet-t)/(Tau_j))))*Salcycl</f>
        <v>3.6968425194275865E-2</v>
      </c>
      <c r="P125" s="169">
        <f>(INDEX(Models!$BJ125:$BT125,,T125)*(1-R125)+INDEX(Models!$BJ125:$BT125,,T125+1)*R125-ERP_i)*Q125*Ramure*Pc/MaxiM</f>
        <v>9.9951549652991801E-5</v>
      </c>
      <c r="Q125" s="305">
        <f t="shared" si="27"/>
        <v>0.7</v>
      </c>
      <c r="R125" s="177">
        <f t="shared" si="28"/>
        <v>0.55622386284784264</v>
      </c>
      <c r="S125" s="919">
        <f t="shared" si="29"/>
        <v>-2</v>
      </c>
      <c r="T125" s="176">
        <f t="shared" si="30"/>
        <v>4</v>
      </c>
      <c r="U125" s="251">
        <f t="shared" si="31"/>
        <v>-1.4437761371521574</v>
      </c>
      <c r="V125" s="383">
        <f t="shared" si="32"/>
        <v>55.678274181192194</v>
      </c>
      <c r="W125" s="58"/>
      <c r="X125" s="157">
        <f t="shared" si="33"/>
        <v>43576</v>
      </c>
      <c r="Y125" s="385">
        <f t="shared" si="34"/>
        <v>18.547000000000001</v>
      </c>
      <c r="Z125" s="385">
        <f t="shared" si="35"/>
        <v>18.682769563923468</v>
      </c>
      <c r="AA125" s="386">
        <f t="shared" si="36"/>
        <v>19.399955362514891</v>
      </c>
      <c r="AB125" s="197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3.6968425194275865E-2</v>
      </c>
      <c r="AD125" s="231">
        <f>(INDEX(Models!$BJ125:$BT125,,AH125)*(1-AF125)+INDEX(Models!$BJ125:$BT125,,AH125+1)*AF125-ERP_i)*AE125*Ramure*Pc/MaxiM</f>
        <v>9.9951549652991801E-5</v>
      </c>
      <c r="AE125" s="305">
        <f t="shared" si="38"/>
        <v>0.7</v>
      </c>
      <c r="AF125" s="177">
        <f t="shared" si="39"/>
        <v>0.55622386284784264</v>
      </c>
      <c r="AG125" s="176">
        <f t="shared" si="40"/>
        <v>-2</v>
      </c>
      <c r="AH125" s="176">
        <f t="shared" si="41"/>
        <v>4</v>
      </c>
      <c r="AI125" s="225">
        <f t="shared" si="42"/>
        <v>-1.4437761371521574</v>
      </c>
      <c r="AJ125" s="265" t="b">
        <f t="shared" si="43"/>
        <v>1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8">
        <v>32.277999999999999</v>
      </c>
      <c r="C126" s="390"/>
      <c r="D126" s="393">
        <f t="shared" si="24"/>
        <v>32.51499673535541</v>
      </c>
      <c r="E126" s="385">
        <f t="shared" si="46"/>
        <v>33.767004180026333</v>
      </c>
      <c r="F126" s="385">
        <f t="shared" si="25"/>
        <v>33.768493292618629</v>
      </c>
      <c r="G126" s="110">
        <f t="shared" si="47"/>
        <v>0.57864998805286139</v>
      </c>
      <c r="H126" s="412" t="b">
        <f>Wh_hp&gt;='2018'!Maxi_hp</f>
        <v>1</v>
      </c>
      <c r="I126" s="390">
        <f>IF(H126,Wh_hp,'2018'!Maxi_hp)</f>
        <v>33.768493292618629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7.2888438920772902E-3</v>
      </c>
      <c r="M126" s="957"/>
      <c r="N126" s="957"/>
      <c r="O126" s="48">
        <f>IF(t&lt;Tnet,'2018'!Resal+('2018'!Salim-'2018'!Resal)*(1-EXP(('2018'!Tnet-t)/('2018'!Tau_j))),Resal+(Salim-Resal)*(1-EXP((Tnet-t)/(Tau_j))))*Salcycl</f>
        <v>3.707783604361032E-2</v>
      </c>
      <c r="P126" s="169">
        <f>(INDEX(Models!$BJ126:$BT126,,T126)*(1-R126)+INDEX(Models!$BJ126:$BT126,,T126+1)*R126-ERP_i)*Q126*Ramure*Pc/MaxiM</f>
        <v>1.1076300723786953E-4</v>
      </c>
      <c r="Q126" s="305">
        <f t="shared" si="27"/>
        <v>0.7</v>
      </c>
      <c r="R126" s="177">
        <f t="shared" si="28"/>
        <v>0.55832914639472508</v>
      </c>
      <c r="S126" s="919">
        <f t="shared" si="29"/>
        <v>-2</v>
      </c>
      <c r="T126" s="176">
        <f t="shared" si="30"/>
        <v>4</v>
      </c>
      <c r="U126" s="251">
        <f t="shared" si="31"/>
        <v>-1.4416708536052749</v>
      </c>
      <c r="V126" s="383">
        <f t="shared" si="32"/>
        <v>55.777842821088051</v>
      </c>
      <c r="W126" s="58"/>
      <c r="X126" s="157">
        <f t="shared" si="33"/>
        <v>43577</v>
      </c>
      <c r="Y126" s="385">
        <f t="shared" si="34"/>
        <v>32.277999999999999</v>
      </c>
      <c r="Z126" s="385">
        <f t="shared" si="35"/>
        <v>32.51499673535541</v>
      </c>
      <c r="AA126" s="386">
        <f t="shared" si="36"/>
        <v>33.767004180026333</v>
      </c>
      <c r="AB126" s="197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3.707783604361032E-2</v>
      </c>
      <c r="AD126" s="231">
        <f>(INDEX(Models!$BJ126:$BT126,,AH126)*(1-AF126)+INDEX(Models!$BJ126:$BT126,,AH126+1)*AF126-ERP_i)*AE126*Ramure*Pc/MaxiM</f>
        <v>1.1076300723786953E-4</v>
      </c>
      <c r="AE126" s="305">
        <f t="shared" si="38"/>
        <v>0.7</v>
      </c>
      <c r="AF126" s="177">
        <f t="shared" si="39"/>
        <v>0.55832914639472508</v>
      </c>
      <c r="AG126" s="176">
        <f t="shared" si="40"/>
        <v>-2</v>
      </c>
      <c r="AH126" s="176">
        <f t="shared" si="41"/>
        <v>4</v>
      </c>
      <c r="AI126" s="225">
        <f t="shared" si="42"/>
        <v>-1.4416708536052749</v>
      </c>
      <c r="AJ126" s="265" t="b">
        <f t="shared" si="43"/>
        <v>1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8">
        <v>36.985999999999997</v>
      </c>
      <c r="C127" s="390"/>
      <c r="D127" s="393">
        <f t="shared" si="24"/>
        <v>37.258380626120854</v>
      </c>
      <c r="E127" s="385">
        <f t="shared" si="46"/>
        <v>38.697452065457036</v>
      </c>
      <c r="F127" s="385">
        <f t="shared" si="25"/>
        <v>38.699906006079381</v>
      </c>
      <c r="G127" s="110">
        <f t="shared" si="47"/>
        <v>0.66192262273816638</v>
      </c>
      <c r="H127" s="412" t="b">
        <f>Wh_hp&gt;='2018'!Maxi_hp</f>
        <v>1</v>
      </c>
      <c r="I127" s="390">
        <f>IF(H127,Wh_hp,'2018'!Maxi_hp)</f>
        <v>38.699906006079381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7.3105868141219998E-3</v>
      </c>
      <c r="M127" s="957"/>
      <c r="N127" s="957"/>
      <c r="O127" s="48">
        <f>IF(t&lt;Tnet,'2018'!Resal+('2018'!Salim-'2018'!Resal)*(1-EXP(('2018'!Tnet-t)/('2018'!Tau_j))),Resal+(Salim-Resal)*(1-EXP((Tnet-t)/(Tau_j))))*Salcycl</f>
        <v>3.7187756881305309E-2</v>
      </c>
      <c r="P127" s="169">
        <f>(INDEX(Models!$BJ127:$BT127,,T127)*(1-R127)+INDEX(Models!$BJ127:$BT127,,T127+1)*R127-ERP_i)*Q127*Ramure*Pc/MaxiM</f>
        <v>1.2262793353593954E-4</v>
      </c>
      <c r="Q127" s="305">
        <f t="shared" si="27"/>
        <v>0.7</v>
      </c>
      <c r="R127" s="177">
        <f t="shared" si="28"/>
        <v>0.56050161539875853</v>
      </c>
      <c r="S127" s="919">
        <f t="shared" si="29"/>
        <v>-2</v>
      </c>
      <c r="T127" s="176">
        <f t="shared" si="30"/>
        <v>4</v>
      </c>
      <c r="U127" s="251">
        <f t="shared" si="31"/>
        <v>-1.4394983846012415</v>
      </c>
      <c r="V127" s="383">
        <f t="shared" si="32"/>
        <v>55.873312584656624</v>
      </c>
      <c r="W127" s="58"/>
      <c r="X127" s="157">
        <f t="shared" si="33"/>
        <v>43578</v>
      </c>
      <c r="Y127" s="385">
        <f t="shared" si="34"/>
        <v>36.985999999999997</v>
      </c>
      <c r="Z127" s="385">
        <f t="shared" si="35"/>
        <v>37.258380626120854</v>
      </c>
      <c r="AA127" s="386">
        <f t="shared" si="36"/>
        <v>38.697452065457036</v>
      </c>
      <c r="AB127" s="197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3.7187756881305309E-2</v>
      </c>
      <c r="AD127" s="231">
        <f>(INDEX(Models!$BJ127:$BT127,,AH127)*(1-AF127)+INDEX(Models!$BJ127:$BT127,,AH127+1)*AF127-ERP_i)*AE127*Ramure*Pc/MaxiM</f>
        <v>1.2262793353593954E-4</v>
      </c>
      <c r="AE127" s="305">
        <f t="shared" si="38"/>
        <v>0.7</v>
      </c>
      <c r="AF127" s="177">
        <f t="shared" si="39"/>
        <v>0.56050161539875853</v>
      </c>
      <c r="AG127" s="176">
        <f t="shared" si="40"/>
        <v>-2</v>
      </c>
      <c r="AH127" s="176">
        <f t="shared" si="41"/>
        <v>4</v>
      </c>
      <c r="AI127" s="225">
        <f t="shared" si="42"/>
        <v>-1.4394983846012415</v>
      </c>
      <c r="AJ127" s="265" t="b">
        <f t="shared" si="43"/>
        <v>1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8">
        <v>50.750999999999998</v>
      </c>
      <c r="C128" s="390"/>
      <c r="D128" s="393">
        <f t="shared" si="24"/>
        <v>51.125871725190599</v>
      </c>
      <c r="E128" s="385">
        <f t="shared" si="46"/>
        <v>53.106653936813373</v>
      </c>
      <c r="F128" s="385">
        <f t="shared" si="25"/>
        <v>53.112907470199339</v>
      </c>
      <c r="G128" s="110">
        <f t="shared" si="47"/>
        <v>0.90682525954081739</v>
      </c>
      <c r="H128" s="412" t="b">
        <f>Wh_hp&gt;='2018'!Maxi_hp</f>
        <v>1</v>
      </c>
      <c r="I128" s="390">
        <f>IF(H128,Wh_hp,'2018'!Maxi_hp)</f>
        <v>53.112907470199339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7.3323292599409839E-3</v>
      </c>
      <c r="M128" s="957"/>
      <c r="N128" s="957"/>
      <c r="O128" s="48">
        <f>IF(t&lt;Tnet,'2018'!Resal+('2018'!Salim-'2018'!Resal)*(1-EXP(('2018'!Tnet-t)/('2018'!Tau_j))),Resal+(Salim-Resal)*(1-EXP((Tnet-t)/(Tau_j))))*Salcycl</f>
        <v>3.7298192689366606E-2</v>
      </c>
      <c r="P128" s="169">
        <f>(INDEX(Models!$BJ128:$BT128,,T128)*(1-R128)+INDEX(Models!$BJ128:$BT128,,T128+1)*R128-ERP_i)*Q128*Ramure*Pc/MaxiM</f>
        <v>1.3581509902903702E-4</v>
      </c>
      <c r="Q128" s="305">
        <f t="shared" si="27"/>
        <v>0.7</v>
      </c>
      <c r="R128" s="177">
        <f t="shared" si="28"/>
        <v>0.56274261478534005</v>
      </c>
      <c r="S128" s="919">
        <f t="shared" si="29"/>
        <v>-2</v>
      </c>
      <c r="T128" s="176">
        <f t="shared" si="30"/>
        <v>4</v>
      </c>
      <c r="U128" s="251">
        <f t="shared" si="31"/>
        <v>-1.43725738521466</v>
      </c>
      <c r="V128" s="383">
        <f t="shared" si="32"/>
        <v>55.964566544072731</v>
      </c>
      <c r="W128" s="58"/>
      <c r="X128" s="157">
        <f t="shared" si="33"/>
        <v>43579</v>
      </c>
      <c r="Y128" s="385">
        <f t="shared" si="34"/>
        <v>50.750999999999998</v>
      </c>
      <c r="Z128" s="385">
        <f t="shared" si="35"/>
        <v>51.125871725190599</v>
      </c>
      <c r="AA128" s="386">
        <f t="shared" si="36"/>
        <v>53.106653936813373</v>
      </c>
      <c r="AB128" s="197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3.7298192689366606E-2</v>
      </c>
      <c r="AD128" s="231">
        <f>(INDEX(Models!$BJ128:$BT128,,AH128)*(1-AF128)+INDEX(Models!$BJ128:$BT128,,AH128+1)*AF128-ERP_i)*AE128*Ramure*Pc/MaxiM</f>
        <v>1.3581509902903702E-4</v>
      </c>
      <c r="AE128" s="305">
        <f t="shared" si="38"/>
        <v>0.7</v>
      </c>
      <c r="AF128" s="177">
        <f t="shared" si="39"/>
        <v>0.56274261478534005</v>
      </c>
      <c r="AG128" s="176">
        <f t="shared" si="40"/>
        <v>-2</v>
      </c>
      <c r="AH128" s="176">
        <f t="shared" si="41"/>
        <v>4</v>
      </c>
      <c r="AI128" s="225">
        <f t="shared" si="42"/>
        <v>-1.43725738521466</v>
      </c>
      <c r="AJ128" s="265" t="b">
        <f t="shared" si="43"/>
        <v>1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8">
        <v>37.003</v>
      </c>
      <c r="C129" s="390"/>
      <c r="D129" s="393">
        <f t="shared" si="24"/>
        <v>37.277138733479632</v>
      </c>
      <c r="E129" s="385">
        <f t="shared" si="46"/>
        <v>38.725839373886735</v>
      </c>
      <c r="F129" s="385">
        <f t="shared" si="25"/>
        <v>38.728826660278862</v>
      </c>
      <c r="G129" s="110">
        <f t="shared" si="47"/>
        <v>0.66011238935177574</v>
      </c>
      <c r="H129" s="412" t="b">
        <f>Wh_hp&gt;='2018'!Maxi_hp</f>
        <v>1</v>
      </c>
      <c r="I129" s="390">
        <f>IF(H129,Wh_hp,'2018'!Maxi_hp)</f>
        <v>38.728826660278862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7.3540712295446786E-3</v>
      </c>
      <c r="M129" s="957"/>
      <c r="N129" s="957"/>
      <c r="O129" s="48">
        <f>IF(t&lt;Tnet,'2018'!Resal+('2018'!Salim-'2018'!Resal)*(1-EXP(('2018'!Tnet-t)/('2018'!Tau_j))),Resal+(Salim-Resal)*(1-EXP((Tnet-t)/(Tau_j))))*Salcycl</f>
        <v>3.7409147582840384E-2</v>
      </c>
      <c r="P129" s="169">
        <f>(INDEX(Models!$BJ129:$BT129,,T129)*(1-R129)+INDEX(Models!$BJ129:$BT129,,T129+1)*R129-ERP_i)*Q129*Ramure*Pc/MaxiM</f>
        <v>1.4991481463781265E-4</v>
      </c>
      <c r="Q129" s="305">
        <f t="shared" si="27"/>
        <v>0.7</v>
      </c>
      <c r="R129" s="177">
        <f t="shared" si="28"/>
        <v>0.56505345629030579</v>
      </c>
      <c r="S129" s="919">
        <f t="shared" si="29"/>
        <v>-2</v>
      </c>
      <c r="T129" s="176">
        <f t="shared" si="30"/>
        <v>4</v>
      </c>
      <c r="U129" s="251">
        <f t="shared" si="31"/>
        <v>-1.4349465437096942</v>
      </c>
      <c r="V129" s="383">
        <f t="shared" si="32"/>
        <v>56.05152585940948</v>
      </c>
      <c r="W129" s="58"/>
      <c r="X129" s="157">
        <f t="shared" si="33"/>
        <v>43580</v>
      </c>
      <c r="Y129" s="385">
        <f t="shared" si="34"/>
        <v>37.003</v>
      </c>
      <c r="Z129" s="385">
        <f t="shared" si="35"/>
        <v>37.277138733479632</v>
      </c>
      <c r="AA129" s="386">
        <f t="shared" si="36"/>
        <v>38.725839373886735</v>
      </c>
      <c r="AB129" s="197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3.7409147582840384E-2</v>
      </c>
      <c r="AD129" s="231">
        <f>(INDEX(Models!$BJ129:$BT129,,AH129)*(1-AF129)+INDEX(Models!$BJ129:$BT129,,AH129+1)*AF129-ERP_i)*AE129*Ramure*Pc/MaxiM</f>
        <v>1.4991481463781265E-4</v>
      </c>
      <c r="AE129" s="305">
        <f t="shared" si="38"/>
        <v>0.7</v>
      </c>
      <c r="AF129" s="177">
        <f t="shared" si="39"/>
        <v>0.56505345629030579</v>
      </c>
      <c r="AG129" s="176">
        <f t="shared" si="40"/>
        <v>-2</v>
      </c>
      <c r="AH129" s="176">
        <f t="shared" si="41"/>
        <v>4</v>
      </c>
      <c r="AI129" s="225">
        <f t="shared" si="42"/>
        <v>-1.4349465437096942</v>
      </c>
      <c r="AJ129" s="265" t="b">
        <f t="shared" si="43"/>
        <v>1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8">
        <v>28.614000000000001</v>
      </c>
      <c r="C130" s="390"/>
      <c r="D130" s="393">
        <f t="shared" si="24"/>
        <v>28.826619748701926</v>
      </c>
      <c r="E130" s="385">
        <f t="shared" si="46"/>
        <v>29.950376590324463</v>
      </c>
      <c r="F130" s="385">
        <f t="shared" si="25"/>
        <v>29.951857021482031</v>
      </c>
      <c r="G130" s="110">
        <f t="shared" si="47"/>
        <v>0.50968485343853964</v>
      </c>
      <c r="H130" s="412" t="b">
        <f>Wh_hp&gt;='2018'!Maxi_hp</f>
        <v>1</v>
      </c>
      <c r="I130" s="390">
        <f>IF(H130,Wh_hp,'2018'!Maxi_hp)</f>
        <v>29.951857021482031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7.3758127229432979E-3</v>
      </c>
      <c r="M130" s="957"/>
      <c r="N130" s="957"/>
      <c r="O130" s="48">
        <f>IF(t&lt;Tnet,'2018'!Resal+('2018'!Salim-'2018'!Resal)*(1-EXP(('2018'!Tnet-t)/('2018'!Tau_j))),Resal+(Salim-Resal)*(1-EXP((Tnet-t)/(Tau_j))))*Salcycl</f>
        <v>3.7520624765218155E-2</v>
      </c>
      <c r="P130" s="169">
        <f>(INDEX(Models!$BJ130:$BT130,,T130)*(1-R130)+INDEX(Models!$BJ130:$BT130,,T130+1)*R130-ERP_i)*Q130*Ramure*Pc/MaxiM</f>
        <v>1.649580368550783E-4</v>
      </c>
      <c r="Q130" s="305">
        <f t="shared" si="27"/>
        <v>0.7</v>
      </c>
      <c r="R130" s="177">
        <f t="shared" si="28"/>
        <v>0.5674354130681647</v>
      </c>
      <c r="S130" s="919">
        <f t="shared" si="29"/>
        <v>-2</v>
      </c>
      <c r="T130" s="176">
        <f t="shared" si="30"/>
        <v>4</v>
      </c>
      <c r="U130" s="251">
        <f t="shared" si="31"/>
        <v>-1.4325645869318353</v>
      </c>
      <c r="V130" s="383">
        <f t="shared" si="32"/>
        <v>56.134087248574048</v>
      </c>
      <c r="W130" s="58"/>
      <c r="X130" s="157">
        <f t="shared" si="33"/>
        <v>43581</v>
      </c>
      <c r="Y130" s="385">
        <f t="shared" si="34"/>
        <v>28.614000000000001</v>
      </c>
      <c r="Z130" s="385">
        <f t="shared" si="35"/>
        <v>28.826619748701926</v>
      </c>
      <c r="AA130" s="386">
        <f t="shared" si="36"/>
        <v>29.950376590324463</v>
      </c>
      <c r="AB130" s="197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3.7520624765218155E-2</v>
      </c>
      <c r="AD130" s="231">
        <f>(INDEX(Models!$BJ130:$BT130,,AH130)*(1-AF130)+INDEX(Models!$BJ130:$BT130,,AH130+1)*AF130-ERP_i)*AE130*Ramure*Pc/MaxiM</f>
        <v>1.649580368550783E-4</v>
      </c>
      <c r="AE130" s="305">
        <f t="shared" si="38"/>
        <v>0.7</v>
      </c>
      <c r="AF130" s="177">
        <f t="shared" si="39"/>
        <v>0.5674354130681647</v>
      </c>
      <c r="AG130" s="176">
        <f t="shared" si="40"/>
        <v>-2</v>
      </c>
      <c r="AH130" s="176">
        <f t="shared" si="41"/>
        <v>4</v>
      </c>
      <c r="AI130" s="225">
        <f t="shared" si="42"/>
        <v>-1.4325645869318353</v>
      </c>
      <c r="AJ130" s="265" t="b">
        <f t="shared" si="43"/>
        <v>1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8">
        <v>27.581</v>
      </c>
      <c r="C131" s="390"/>
      <c r="D131" s="393">
        <f t="shared" si="24"/>
        <v>27.786552515486743</v>
      </c>
      <c r="E131" s="385">
        <f t="shared" si="46"/>
        <v>28.873124006629308</v>
      </c>
      <c r="F131" s="385">
        <f t="shared" si="25"/>
        <v>28.874547316848894</v>
      </c>
      <c r="G131" s="110">
        <f t="shared" si="47"/>
        <v>0.49059445452595613</v>
      </c>
      <c r="H131" s="412" t="b">
        <f>Wh_hp&gt;='2018'!Maxi_hp</f>
        <v>1</v>
      </c>
      <c r="I131" s="390">
        <f>IF(H131,Wh_hp,'2018'!Maxi_hp)</f>
        <v>28.874547316848894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7.3975537401475E-3</v>
      </c>
      <c r="M131" s="957"/>
      <c r="N131" s="957"/>
      <c r="O131" s="48">
        <f>IF(t&lt;Tnet,'2018'!Resal+('2018'!Salim-'2018'!Resal)*(1-EXP(('2018'!Tnet-t)/('2018'!Tau_j))),Resal+(Salim-Resal)*(1-EXP((Tnet-t)/(Tau_j))))*Salcycl</f>
        <v>3.7632626483129546E-2</v>
      </c>
      <c r="P131" s="169">
        <f>(INDEX(Models!$BJ131:$BT131,,T131)*(1-R131)+INDEX(Models!$BJ131:$BT131,,T131+1)*R131-ERP_i)*Q131*Ramure*Pc/MaxiM</f>
        <v>1.8097765353429927E-4</v>
      </c>
      <c r="Q131" s="305">
        <f t="shared" si="27"/>
        <v>0.7</v>
      </c>
      <c r="R131" s="177">
        <f t="shared" si="28"/>
        <v>0.56988971405529965</v>
      </c>
      <c r="S131" s="919">
        <f t="shared" si="29"/>
        <v>-2</v>
      </c>
      <c r="T131" s="176">
        <f t="shared" si="30"/>
        <v>4</v>
      </c>
      <c r="U131" s="251">
        <f t="shared" si="31"/>
        <v>-1.4301102859447004</v>
      </c>
      <c r="V131" s="383">
        <f t="shared" si="32"/>
        <v>56.21214746600301</v>
      </c>
      <c r="W131" s="58"/>
      <c r="X131" s="157">
        <f t="shared" si="33"/>
        <v>43582</v>
      </c>
      <c r="Y131" s="385">
        <f t="shared" si="34"/>
        <v>27.581</v>
      </c>
      <c r="Z131" s="385">
        <f t="shared" si="35"/>
        <v>27.786552515486743</v>
      </c>
      <c r="AA131" s="386">
        <f t="shared" si="36"/>
        <v>28.873124006629308</v>
      </c>
      <c r="AB131" s="197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3.7632626483129546E-2</v>
      </c>
      <c r="AD131" s="231">
        <f>(INDEX(Models!$BJ131:$BT131,,AH131)*(1-AF131)+INDEX(Models!$BJ131:$BT131,,AH131+1)*AF131-ERP_i)*AE131*Ramure*Pc/MaxiM</f>
        <v>1.8097765353429927E-4</v>
      </c>
      <c r="AE131" s="305">
        <f t="shared" si="38"/>
        <v>0.7</v>
      </c>
      <c r="AF131" s="177">
        <f t="shared" si="39"/>
        <v>0.56988971405529965</v>
      </c>
      <c r="AG131" s="176">
        <f t="shared" si="40"/>
        <v>-2</v>
      </c>
      <c r="AH131" s="176">
        <f t="shared" si="41"/>
        <v>4</v>
      </c>
      <c r="AI131" s="225">
        <f t="shared" si="42"/>
        <v>-1.4301102859447004</v>
      </c>
      <c r="AJ131" s="265" t="b">
        <f t="shared" si="43"/>
        <v>1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8">
        <v>42.905000000000001</v>
      </c>
      <c r="C132" s="390"/>
      <c r="D132" s="393">
        <f t="shared" si="24"/>
        <v>43.225704220119781</v>
      </c>
      <c r="E132" s="385">
        <f t="shared" si="46"/>
        <v>44.921264256483248</v>
      </c>
      <c r="F132" s="385">
        <f t="shared" si="25"/>
        <v>44.927139058198264</v>
      </c>
      <c r="G132" s="110">
        <f t="shared" si="47"/>
        <v>0.76222181036667103</v>
      </c>
      <c r="H132" s="412" t="b">
        <f>Wh_hp&gt;='2018'!Maxi_hp</f>
        <v>1</v>
      </c>
      <c r="I132" s="390">
        <f>IF(H132,Wh_hp,'2018'!Maxi_hp)</f>
        <v>44.927139058198264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7.4192942811676099E-3</v>
      </c>
      <c r="M132" s="957"/>
      <c r="N132" s="957"/>
      <c r="O132" s="48">
        <f>IF(t&lt;Tnet,'2018'!Resal+('2018'!Salim-'2018'!Resal)*(1-EXP(('2018'!Tnet-t)/('2018'!Tau_j))),Resal+(Salim-Resal)*(1-EXP((Tnet-t)/(Tau_j))))*Salcycl</f>
        <v>3.7745153980584131E-2</v>
      </c>
      <c r="P132" s="169">
        <f>(INDEX(Models!$BJ132:$BT132,,T132)*(1-R132)+INDEX(Models!$BJ132:$BT132,,T132+1)*R132-ERP_i)*Q132*Ramure*Pc/MaxiM</f>
        <v>1.9800852511960454E-4</v>
      </c>
      <c r="Q132" s="305">
        <f t="shared" si="27"/>
        <v>0.7</v>
      </c>
      <c r="R132" s="177">
        <f t="shared" si="28"/>
        <v>0.57241753809817708</v>
      </c>
      <c r="S132" s="919">
        <f t="shared" si="29"/>
        <v>-2</v>
      </c>
      <c r="T132" s="176">
        <f t="shared" si="30"/>
        <v>4</v>
      </c>
      <c r="U132" s="251">
        <f t="shared" si="31"/>
        <v>-1.4275824619018229</v>
      </c>
      <c r="V132" s="383">
        <f t="shared" si="32"/>
        <v>56.285603303942985</v>
      </c>
      <c r="W132" s="58"/>
      <c r="X132" s="157">
        <f t="shared" si="33"/>
        <v>43583</v>
      </c>
      <c r="Y132" s="385">
        <f t="shared" si="34"/>
        <v>42.905000000000001</v>
      </c>
      <c r="Z132" s="385">
        <f t="shared" si="35"/>
        <v>43.225704220119781</v>
      </c>
      <c r="AA132" s="386">
        <f t="shared" si="36"/>
        <v>44.921264256483248</v>
      </c>
      <c r="AB132" s="197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3.7745153980584131E-2</v>
      </c>
      <c r="AD132" s="231">
        <f>(INDEX(Models!$BJ132:$BT132,,AH132)*(1-AF132)+INDEX(Models!$BJ132:$BT132,,AH132+1)*AF132-ERP_i)*AE132*Ramure*Pc/MaxiM</f>
        <v>1.9800852511960454E-4</v>
      </c>
      <c r="AE132" s="305">
        <f t="shared" si="38"/>
        <v>0.7</v>
      </c>
      <c r="AF132" s="177">
        <f t="shared" si="39"/>
        <v>0.57241753809817708</v>
      </c>
      <c r="AG132" s="176">
        <f t="shared" si="40"/>
        <v>-2</v>
      </c>
      <c r="AH132" s="176">
        <f t="shared" si="41"/>
        <v>4</v>
      </c>
      <c r="AI132" s="225">
        <f t="shared" si="42"/>
        <v>-1.4275824619018229</v>
      </c>
      <c r="AJ132" s="265" t="b">
        <f t="shared" si="43"/>
        <v>1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8">
        <v>50.616999999999997</v>
      </c>
      <c r="C133" s="390"/>
      <c r="D133" s="393">
        <f t="shared" si="24"/>
        <v>50.996466458442626</v>
      </c>
      <c r="E133" s="385">
        <f t="shared" si="46"/>
        <v>53.003067586792127</v>
      </c>
      <c r="F133" s="385">
        <f t="shared" si="25"/>
        <v>53.012856919854819</v>
      </c>
      <c r="G133" s="110">
        <f t="shared" si="47"/>
        <v>0.89816327369709736</v>
      </c>
      <c r="H133" s="412" t="b">
        <f>Wh_hp&gt;='2018'!Maxi_hp</f>
        <v>1</v>
      </c>
      <c r="I133" s="390">
        <f>IF(H133,Wh_hp,'2018'!Maxi_hp)</f>
        <v>53.012856919854819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7.4410343460141748E-3</v>
      </c>
      <c r="M133" s="957"/>
      <c r="N133" s="957"/>
      <c r="O133" s="48">
        <f>IF(t&lt;Tnet,'2018'!Resal+('2018'!Salim-'2018'!Resal)*(1-EXP(('2018'!Tnet-t)/('2018'!Tau_j))),Resal+(Salim-Resal)*(1-EXP((Tnet-t)/(Tau_j))))*Salcycl</f>
        <v>3.785820745306312E-2</v>
      </c>
      <c r="P133" s="169">
        <f>(INDEX(Models!$BJ133:$BT133,,T133)*(1-R133)+INDEX(Models!$BJ133:$BT133,,T133+1)*R133-ERP_i)*Q133*Ramure*Pc/MaxiM</f>
        <v>2.1608752361581082E-4</v>
      </c>
      <c r="Q133" s="305">
        <f t="shared" si="27"/>
        <v>0.7</v>
      </c>
      <c r="R133" s="177">
        <f t="shared" si="28"/>
        <v>0.57502000785930907</v>
      </c>
      <c r="S133" s="919">
        <f t="shared" si="29"/>
        <v>-2</v>
      </c>
      <c r="T133" s="176">
        <f t="shared" si="30"/>
        <v>4</v>
      </c>
      <c r="U133" s="251">
        <f t="shared" si="31"/>
        <v>-1.4249799921406909</v>
      </c>
      <c r="V133" s="383">
        <f t="shared" si="32"/>
        <v>56.35435159883405</v>
      </c>
      <c r="W133" s="58"/>
      <c r="X133" s="157">
        <f t="shared" si="33"/>
        <v>43584</v>
      </c>
      <c r="Y133" s="385">
        <f t="shared" si="34"/>
        <v>50.616999999999997</v>
      </c>
      <c r="Z133" s="385">
        <f t="shared" si="35"/>
        <v>50.996466458442626</v>
      </c>
      <c r="AA133" s="386">
        <f t="shared" si="36"/>
        <v>53.003067586792127</v>
      </c>
      <c r="AB133" s="197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3.785820745306312E-2</v>
      </c>
      <c r="AD133" s="231">
        <f>(INDEX(Models!$BJ133:$BT133,,AH133)*(1-AF133)+INDEX(Models!$BJ133:$BT133,,AH133+1)*AF133-ERP_i)*AE133*Ramure*Pc/MaxiM</f>
        <v>2.1608752361581082E-4</v>
      </c>
      <c r="AE133" s="305">
        <f t="shared" si="38"/>
        <v>0.7</v>
      </c>
      <c r="AF133" s="177">
        <f t="shared" si="39"/>
        <v>0.57502000785930907</v>
      </c>
      <c r="AG133" s="176">
        <f t="shared" si="40"/>
        <v>-2</v>
      </c>
      <c r="AH133" s="176">
        <f t="shared" si="41"/>
        <v>4</v>
      </c>
      <c r="AI133" s="225">
        <f t="shared" si="42"/>
        <v>-1.4249799921406909</v>
      </c>
      <c r="AJ133" s="265" t="b">
        <f t="shared" si="43"/>
        <v>1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8">
        <v>56.923999999999999</v>
      </c>
      <c r="C134" s="390"/>
      <c r="D134" s="393">
        <f t="shared" si="24"/>
        <v>57.35200504837767</v>
      </c>
      <c r="E134" s="385">
        <f t="shared" si="46"/>
        <v>59.615720426765868</v>
      </c>
      <c r="F134" s="385">
        <f t="shared" si="25"/>
        <v>59.629748537925202</v>
      </c>
      <c r="G134" s="110">
        <f t="shared" si="47"/>
        <v>1.0089635962423893</v>
      </c>
      <c r="H134" s="412" t="b">
        <f>Wh_hp&gt;='2018'!Maxi_hp</f>
        <v>1</v>
      </c>
      <c r="I134" s="390">
        <f>IF(H134,Wh_hp,'2018'!Maxi_hp)</f>
        <v>59.629748537925202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7.4627739346974087E-3</v>
      </c>
      <c r="M134" s="957"/>
      <c r="N134" s="957"/>
      <c r="O134" s="48">
        <f>IF(t&lt;Tnet,'2018'!Resal+('2018'!Salim-'2018'!Resal)*(1-EXP(('2018'!Tnet-t)/('2018'!Tau_j))),Resal+(Salim-Resal)*(1-EXP((Tnet-t)/(Tau_j))))*Salcycl</f>
        <v>3.7971786001798388E-2</v>
      </c>
      <c r="P134" s="169">
        <f>(INDEX(Models!$BJ134:$BT134,,T134)*(1-R134)+INDEX(Models!$BJ134:$BT134,,T134+1)*R134-ERP_i)*Q134*Ramure*Pc/MaxiM</f>
        <v>2.3525356895325448E-4</v>
      </c>
      <c r="Q134" s="305">
        <f t="shared" si="27"/>
        <v>0.7</v>
      </c>
      <c r="R134" s="177">
        <f t="shared" si="28"/>
        <v>0.57769818351658819</v>
      </c>
      <c r="S134" s="919">
        <f t="shared" si="29"/>
        <v>-2</v>
      </c>
      <c r="T134" s="176">
        <f t="shared" si="30"/>
        <v>4</v>
      </c>
      <c r="U134" s="251">
        <f t="shared" si="31"/>
        <v>-1.4223018164834118</v>
      </c>
      <c r="V134" s="383">
        <f t="shared" si="32"/>
        <v>56.418289234614583</v>
      </c>
      <c r="W134" s="58"/>
      <c r="X134" s="157">
        <f t="shared" si="33"/>
        <v>43585</v>
      </c>
      <c r="Y134" s="385">
        <f t="shared" si="34"/>
        <v>56.923999999999999</v>
      </c>
      <c r="Z134" s="385">
        <f t="shared" si="35"/>
        <v>57.35200504837767</v>
      </c>
      <c r="AA134" s="386">
        <f t="shared" si="36"/>
        <v>59.615720426765868</v>
      </c>
      <c r="AB134" s="197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3.7971786001798388E-2</v>
      </c>
      <c r="AD134" s="231">
        <f>(INDEX(Models!$BJ134:$BT134,,AH134)*(1-AF134)+INDEX(Models!$BJ134:$BT134,,AH134+1)*AF134-ERP_i)*AE134*Ramure*Pc/MaxiM</f>
        <v>2.3525356895325448E-4</v>
      </c>
      <c r="AE134" s="305">
        <f t="shared" si="38"/>
        <v>0.7</v>
      </c>
      <c r="AF134" s="177">
        <f t="shared" si="39"/>
        <v>0.57769818351658819</v>
      </c>
      <c r="AG134" s="176">
        <f t="shared" si="40"/>
        <v>-2</v>
      </c>
      <c r="AH134" s="176">
        <f t="shared" si="41"/>
        <v>4</v>
      </c>
      <c r="AI134" s="225">
        <f t="shared" si="42"/>
        <v>-1.4223018164834118</v>
      </c>
      <c r="AJ134" s="265" t="b">
        <f t="shared" si="43"/>
        <v>1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8">
        <v>54.87</v>
      </c>
      <c r="C135" s="390"/>
      <c r="D135" s="393">
        <f t="shared" si="24"/>
        <v>55.28377211368484</v>
      </c>
      <c r="E135" s="385">
        <f t="shared" si="46"/>
        <v>57.472669753327466</v>
      </c>
      <c r="F135" s="385">
        <f t="shared" si="25"/>
        <v>57.486763345827086</v>
      </c>
      <c r="G135" s="110">
        <f t="shared" si="47"/>
        <v>0.97153753265828768</v>
      </c>
      <c r="H135" s="412" t="b">
        <f>Wh_hp&gt;='2018'!Maxi_hp</f>
        <v>1</v>
      </c>
      <c r="I135" s="390">
        <f>IF(H135,Wh_hp,'2018'!Maxi_hp)</f>
        <v>57.486763345827086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7.4845130472278587E-3</v>
      </c>
      <c r="M135" s="957"/>
      <c r="N135" s="957"/>
      <c r="O135" s="48">
        <f>IF(t&lt;Tnet,'2018'!Resal+('2018'!Salim-'2018'!Resal)*(1-EXP(('2018'!Tnet-t)/('2018'!Tau_j))),Resal+(Salim-Resal)*(1-EXP((Tnet-t)/(Tau_j))))*Salcycl</f>
        <v>3.8085887588611485E-2</v>
      </c>
      <c r="P135" s="169">
        <f>(INDEX(Models!$BJ135:$BT135,,T135)*(1-R135)+INDEX(Models!$BJ135:$BT135,,T135+1)*R135-ERP_i)*Q135*Ramure*Pc/MaxiM</f>
        <v>2.5554952271376706E-4</v>
      </c>
      <c r="Q135" s="305">
        <f t="shared" si="27"/>
        <v>0.7</v>
      </c>
      <c r="R135" s="177">
        <f t="shared" si="28"/>
        <v>0.58045305627464816</v>
      </c>
      <c r="S135" s="919">
        <f t="shared" si="29"/>
        <v>-2</v>
      </c>
      <c r="T135" s="176">
        <f t="shared" si="30"/>
        <v>4</v>
      </c>
      <c r="U135" s="251">
        <f t="shared" si="31"/>
        <v>-1.4195469437253518</v>
      </c>
      <c r="V135" s="383">
        <f t="shared" si="32"/>
        <v>56.476901894184849</v>
      </c>
      <c r="W135" s="58"/>
      <c r="X135" s="157">
        <f t="shared" si="33"/>
        <v>43586</v>
      </c>
      <c r="Y135" s="385">
        <f t="shared" si="34"/>
        <v>54.87</v>
      </c>
      <c r="Z135" s="385">
        <f t="shared" si="35"/>
        <v>55.28377211368484</v>
      </c>
      <c r="AA135" s="386">
        <f t="shared" si="36"/>
        <v>57.472669753327466</v>
      </c>
      <c r="AB135" s="197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3.8085887588611485E-2</v>
      </c>
      <c r="AD135" s="231">
        <f>(INDEX(Models!$BJ135:$BT135,,AH135)*(1-AF135)+INDEX(Models!$BJ135:$BT135,,AH135+1)*AF135-ERP_i)*AE135*Ramure*Pc/MaxiM</f>
        <v>2.5554952271376706E-4</v>
      </c>
      <c r="AE135" s="305">
        <f t="shared" si="38"/>
        <v>0.7</v>
      </c>
      <c r="AF135" s="177">
        <f t="shared" si="39"/>
        <v>0.58045305627464816</v>
      </c>
      <c r="AG135" s="176">
        <f t="shared" si="40"/>
        <v>-2</v>
      </c>
      <c r="AH135" s="176">
        <f t="shared" si="41"/>
        <v>4</v>
      </c>
      <c r="AI135" s="225">
        <f t="shared" si="42"/>
        <v>-1.4195469437253518</v>
      </c>
      <c r="AJ135" s="265" t="b">
        <f t="shared" si="43"/>
        <v>1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8">
        <v>37.533000000000001</v>
      </c>
      <c r="C136" s="390"/>
      <c r="D136" s="393">
        <f t="shared" si="24"/>
        <v>37.816862890742712</v>
      </c>
      <c r="E136" s="385">
        <f t="shared" si="46"/>
        <v>39.318863488998254</v>
      </c>
      <c r="F136" s="385">
        <f t="shared" si="25"/>
        <v>39.324532227972377</v>
      </c>
      <c r="G136" s="110">
        <f t="shared" si="47"/>
        <v>0.66386070757462712</v>
      </c>
      <c r="H136" s="412" t="b">
        <f>Wh_hp&gt;='2018'!Maxi_hp</f>
        <v>1</v>
      </c>
      <c r="I136" s="390">
        <f>IF(H136,Wh_hp,'2018'!Maxi_hp)</f>
        <v>39.324532227972377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7.506251683615961E-3</v>
      </c>
      <c r="M136" s="957"/>
      <c r="N136" s="957"/>
      <c r="O136" s="48">
        <f>IF(t&lt;Tnet,'2018'!Resal+('2018'!Salim-'2018'!Resal)*(1-EXP(('2018'!Tnet-t)/('2018'!Tau_j))),Resal+(Salim-Resal)*(1-EXP((Tnet-t)/(Tau_j))))*Salcycl</f>
        <v>3.8200508991716356E-2</v>
      </c>
      <c r="P136" s="169">
        <f>(INDEX(Models!$BJ136:$BT136,,T136)*(1-R136)+INDEX(Models!$BJ136:$BT136,,T136+1)*R136-ERP_i)*Q136*Ramure*Pc/MaxiM</f>
        <v>2.7725557779147597E-4</v>
      </c>
      <c r="Q136" s="305">
        <f t="shared" si="27"/>
        <v>0.7</v>
      </c>
      <c r="R136" s="177">
        <f t="shared" si="28"/>
        <v>0.58328554171008329</v>
      </c>
      <c r="S136" s="919">
        <f t="shared" si="29"/>
        <v>-2</v>
      </c>
      <c r="T136" s="176">
        <f t="shared" si="30"/>
        <v>4</v>
      </c>
      <c r="U136" s="251">
        <f t="shared" si="31"/>
        <v>-1.4167144582899167</v>
      </c>
      <c r="V136" s="383">
        <f t="shared" si="32"/>
        <v>56.529936329488827</v>
      </c>
      <c r="W136" s="58"/>
      <c r="X136" s="157">
        <f t="shared" si="33"/>
        <v>43587</v>
      </c>
      <c r="Y136" s="385">
        <f t="shared" si="34"/>
        <v>37.533000000000001</v>
      </c>
      <c r="Z136" s="385">
        <f t="shared" si="35"/>
        <v>37.816862890742712</v>
      </c>
      <c r="AA136" s="386">
        <f t="shared" si="36"/>
        <v>39.318863488998254</v>
      </c>
      <c r="AB136" s="197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3.8200508991716356E-2</v>
      </c>
      <c r="AD136" s="231">
        <f>(INDEX(Models!$BJ136:$BT136,,AH136)*(1-AF136)+INDEX(Models!$BJ136:$BT136,,AH136+1)*AF136-ERP_i)*AE136*Ramure*Pc/MaxiM</f>
        <v>2.7725557779147597E-4</v>
      </c>
      <c r="AE136" s="305">
        <f t="shared" si="38"/>
        <v>0.7</v>
      </c>
      <c r="AF136" s="177">
        <f t="shared" si="39"/>
        <v>0.58328554171008329</v>
      </c>
      <c r="AG136" s="176">
        <f t="shared" si="40"/>
        <v>-2</v>
      </c>
      <c r="AH136" s="176">
        <f t="shared" si="41"/>
        <v>4</v>
      </c>
      <c r="AI136" s="225">
        <f t="shared" si="42"/>
        <v>-1.4167144582899167</v>
      </c>
      <c r="AJ136" s="265" t="b">
        <f t="shared" si="43"/>
        <v>1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8">
        <v>23.899000000000001</v>
      </c>
      <c r="C137" s="390"/>
      <c r="D137" s="393">
        <f t="shared" si="24"/>
        <v>24.080276073720608</v>
      </c>
      <c r="E137" s="385">
        <f t="shared" si="46"/>
        <v>25.039687884725819</v>
      </c>
      <c r="F137" s="385">
        <f t="shared" si="25"/>
        <v>25.041001338286357</v>
      </c>
      <c r="G137" s="110">
        <f t="shared" si="47"/>
        <v>0.42230548825529485</v>
      </c>
      <c r="H137" s="412" t="b">
        <f>Wh_hp&gt;='2018'!Maxi_hp</f>
        <v>1</v>
      </c>
      <c r="I137" s="390">
        <f>IF(H137,Wh_hp,'2018'!Maxi_hp)</f>
        <v>25.041001338286357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7.5279898438721515E-3</v>
      </c>
      <c r="M137" s="957"/>
      <c r="N137" s="957"/>
      <c r="O137" s="48">
        <f>IF(t&lt;Tnet,'2018'!Resal+('2018'!Salim-'2018'!Resal)*(1-EXP(('2018'!Tnet-t)/('2018'!Tau_j))),Resal+(Salim-Resal)*(1-EXP((Tnet-t)/(Tau_j))))*Salcycl</f>
        <v>3.8315645762918973E-2</v>
      </c>
      <c r="P137" s="169">
        <f>(INDEX(Models!$BJ137:$BT137,,T137)*(1-R137)+INDEX(Models!$BJ137:$BT137,,T137+1)*R137-ERP_i)*Q137*Ramure*Pc/MaxiM</f>
        <v>2.9994666550066178E-4</v>
      </c>
      <c r="Q137" s="305">
        <f t="shared" si="27"/>
        <v>0.7</v>
      </c>
      <c r="R137" s="177">
        <f t="shared" si="28"/>
        <v>0.58619647297564703</v>
      </c>
      <c r="S137" s="919">
        <f t="shared" si="29"/>
        <v>-2</v>
      </c>
      <c r="T137" s="176">
        <f t="shared" si="30"/>
        <v>4</v>
      </c>
      <c r="U137" s="251">
        <f t="shared" si="31"/>
        <v>-1.413803527024353</v>
      </c>
      <c r="V137" s="383">
        <f t="shared" si="32"/>
        <v>56.577727455686713</v>
      </c>
      <c r="W137" s="58"/>
      <c r="X137" s="157">
        <f t="shared" si="33"/>
        <v>43588</v>
      </c>
      <c r="Y137" s="385">
        <f t="shared" si="34"/>
        <v>23.899000000000001</v>
      </c>
      <c r="Z137" s="385">
        <f t="shared" si="35"/>
        <v>24.080276073720608</v>
      </c>
      <c r="AA137" s="386">
        <f t="shared" si="36"/>
        <v>25.039687884725819</v>
      </c>
      <c r="AB137" s="197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3.8315645762918973E-2</v>
      </c>
      <c r="AD137" s="231">
        <f>(INDEX(Models!$BJ137:$BT137,,AH137)*(1-AF137)+INDEX(Models!$BJ137:$BT137,,AH137+1)*AF137-ERP_i)*AE137*Ramure*Pc/MaxiM</f>
        <v>2.9994666550066178E-4</v>
      </c>
      <c r="AE137" s="305">
        <f t="shared" si="38"/>
        <v>0.7</v>
      </c>
      <c r="AF137" s="177">
        <f t="shared" si="39"/>
        <v>0.58619647297564703</v>
      </c>
      <c r="AG137" s="176">
        <f t="shared" si="40"/>
        <v>-2</v>
      </c>
      <c r="AH137" s="176">
        <f t="shared" si="41"/>
        <v>4</v>
      </c>
      <c r="AI137" s="225">
        <f t="shared" si="42"/>
        <v>-1.413803527024353</v>
      </c>
      <c r="AJ137" s="265" t="b">
        <f t="shared" si="43"/>
        <v>1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8">
        <v>27.419</v>
      </c>
      <c r="C138" s="390"/>
      <c r="D138" s="393">
        <f t="shared" si="24"/>
        <v>27.627580706592795</v>
      </c>
      <c r="E138" s="385">
        <f t="shared" si="46"/>
        <v>28.73178014436402</v>
      </c>
      <c r="F138" s="385">
        <f t="shared" si="25"/>
        <v>28.734228189754425</v>
      </c>
      <c r="G138" s="110">
        <f t="shared" si="47"/>
        <v>0.48414302822060984</v>
      </c>
      <c r="H138" s="412" t="b">
        <f>Wh_hp&gt;='2018'!Maxi_hp</f>
        <v>1</v>
      </c>
      <c r="I138" s="390">
        <f>IF(H138,Wh_hp,'2018'!Maxi_hp)</f>
        <v>28.734228189754425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7.5497275280068665E-3</v>
      </c>
      <c r="M138" s="957"/>
      <c r="N138" s="957"/>
      <c r="O138" s="48">
        <f>IF(t&lt;Tnet,'2018'!Resal+('2018'!Salim-'2018'!Resal)*(1-EXP(('2018'!Tnet-t)/('2018'!Tau_j))),Resal+(Salim-Resal)*(1-EXP((Tnet-t)/(Tau_j))))*Salcycl</f>
        <v>3.8431292186670331E-2</v>
      </c>
      <c r="P138" s="169">
        <f>(INDEX(Models!$BJ138:$BT138,,T138)*(1-R138)+INDEX(Models!$BJ138:$BT138,,T138+1)*R138-ERP_i)*Q138*Ramure*Pc/MaxiM</f>
        <v>3.2366102036630439E-4</v>
      </c>
      <c r="Q138" s="305">
        <f t="shared" si="27"/>
        <v>0.7</v>
      </c>
      <c r="R138" s="177">
        <f t="shared" si="28"/>
        <v>0.58918659389193739</v>
      </c>
      <c r="S138" s="919">
        <f t="shared" si="29"/>
        <v>-2</v>
      </c>
      <c r="T138" s="176">
        <f t="shared" si="30"/>
        <v>4</v>
      </c>
      <c r="U138" s="251">
        <f t="shared" si="31"/>
        <v>-1.4108134061080626</v>
      </c>
      <c r="V138" s="383">
        <f t="shared" si="32"/>
        <v>56.620583952546987</v>
      </c>
      <c r="W138" s="58"/>
      <c r="X138" s="157">
        <f t="shared" si="33"/>
        <v>43589</v>
      </c>
      <c r="Y138" s="385">
        <f t="shared" si="34"/>
        <v>27.419</v>
      </c>
      <c r="Z138" s="385">
        <f t="shared" si="35"/>
        <v>27.627580706592795</v>
      </c>
      <c r="AA138" s="386">
        <f t="shared" si="36"/>
        <v>28.73178014436402</v>
      </c>
      <c r="AB138" s="197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3.8431292186670331E-2</v>
      </c>
      <c r="AD138" s="231">
        <f>(INDEX(Models!$BJ138:$BT138,,AH138)*(1-AF138)+INDEX(Models!$BJ138:$BT138,,AH138+1)*AF138-ERP_i)*AE138*Ramure*Pc/MaxiM</f>
        <v>3.2366102036630439E-4</v>
      </c>
      <c r="AE138" s="305">
        <f t="shared" si="38"/>
        <v>0.7</v>
      </c>
      <c r="AF138" s="177">
        <f t="shared" si="39"/>
        <v>0.58918659389193739</v>
      </c>
      <c r="AG138" s="176">
        <f t="shared" si="40"/>
        <v>-2</v>
      </c>
      <c r="AH138" s="176">
        <f t="shared" si="41"/>
        <v>4</v>
      </c>
      <c r="AI138" s="225">
        <f t="shared" si="42"/>
        <v>-1.4108134061080626</v>
      </c>
      <c r="AJ138" s="265" t="b">
        <f t="shared" si="43"/>
        <v>1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8">
        <v>45.368000000000002</v>
      </c>
      <c r="C139" s="390"/>
      <c r="D139" s="393">
        <f t="shared" si="24"/>
        <v>45.714122869243035</v>
      </c>
      <c r="E139" s="385">
        <f t="shared" si="46"/>
        <v>47.546935574512588</v>
      </c>
      <c r="F139" s="385">
        <f t="shared" si="25"/>
        <v>47.558789311550441</v>
      </c>
      <c r="G139" s="110">
        <f t="shared" si="47"/>
        <v>0.80064327430171178</v>
      </c>
      <c r="H139" s="412" t="b">
        <f>Wh_hp&gt;='2018'!Maxi_hp</f>
        <v>1</v>
      </c>
      <c r="I139" s="390">
        <f>IF(H139,Wh_hp,'2018'!Maxi_hp)</f>
        <v>47.558789311550441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7.571464736030431E-3</v>
      </c>
      <c r="M139" s="957"/>
      <c r="N139" s="957"/>
      <c r="O139" s="48">
        <f>IF(t&lt;Tnet,'2018'!Resal+('2018'!Salim-'2018'!Resal)*(1-EXP(('2018'!Tnet-t)/('2018'!Tau_j))),Resal+(Salim-Resal)*(1-EXP((Tnet-t)/(Tau_j))))*Salcycl</f>
        <v>3.8547441241450417E-2</v>
      </c>
      <c r="P139" s="169">
        <f>(INDEX(Models!$BJ139:$BT139,,T139)*(1-R139)+INDEX(Models!$BJ139:$BT139,,T139+1)*R139-ERP_i)*Q139*Ramure*Pc/MaxiM</f>
        <v>3.4843778138465403E-4</v>
      </c>
      <c r="Q139" s="305">
        <f t="shared" si="27"/>
        <v>0.7</v>
      </c>
      <c r="R139" s="177">
        <f t="shared" si="28"/>
        <v>0.5922565519585139</v>
      </c>
      <c r="S139" s="919">
        <f t="shared" si="29"/>
        <v>-2</v>
      </c>
      <c r="T139" s="176">
        <f t="shared" si="30"/>
        <v>4</v>
      </c>
      <c r="U139" s="251">
        <f t="shared" si="31"/>
        <v>-1.4077434480414861</v>
      </c>
      <c r="V139" s="383">
        <f t="shared" si="32"/>
        <v>56.658814362214059</v>
      </c>
      <c r="W139" s="58"/>
      <c r="X139" s="157">
        <f t="shared" si="33"/>
        <v>43590</v>
      </c>
      <c r="Y139" s="385">
        <f t="shared" si="34"/>
        <v>45.368000000000002</v>
      </c>
      <c r="Z139" s="385">
        <f t="shared" si="35"/>
        <v>45.714122869243035</v>
      </c>
      <c r="AA139" s="386">
        <f t="shared" si="36"/>
        <v>47.546935574512588</v>
      </c>
      <c r="AB139" s="197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3.8547441241450417E-2</v>
      </c>
      <c r="AD139" s="231">
        <f>(INDEX(Models!$BJ139:$BT139,,AH139)*(1-AF139)+INDEX(Models!$BJ139:$BT139,,AH139+1)*AF139-ERP_i)*AE139*Ramure*Pc/MaxiM</f>
        <v>3.4843778138465403E-4</v>
      </c>
      <c r="AE139" s="305">
        <f t="shared" si="38"/>
        <v>0.7</v>
      </c>
      <c r="AF139" s="177">
        <f t="shared" si="39"/>
        <v>0.5922565519585139</v>
      </c>
      <c r="AG139" s="176">
        <f t="shared" si="40"/>
        <v>-2</v>
      </c>
      <c r="AH139" s="176">
        <f t="shared" si="41"/>
        <v>4</v>
      </c>
      <c r="AI139" s="225">
        <f t="shared" si="42"/>
        <v>-1.4077434480414861</v>
      </c>
      <c r="AJ139" s="265" t="b">
        <f t="shared" si="43"/>
        <v>1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8">
        <v>58.924999999999997</v>
      </c>
      <c r="C140" s="390"/>
      <c r="D140" s="393">
        <f t="shared" si="24"/>
        <v>59.375852812738671</v>
      </c>
      <c r="E140" s="385">
        <f t="shared" si="46"/>
        <v>61.76389736339776</v>
      </c>
      <c r="F140" s="385">
        <f t="shared" si="25"/>
        <v>61.787025291973102</v>
      </c>
      <c r="G140" s="110">
        <f t="shared" si="47"/>
        <v>1.0393749432009896</v>
      </c>
      <c r="H140" s="412" t="b">
        <f>Wh_hp&gt;='2018'!Maxi_hp</f>
        <v>1</v>
      </c>
      <c r="I140" s="390">
        <f>IF(H140,Wh_hp,'2018'!Maxi_hp)</f>
        <v>61.787025291973102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7.5932014679533921E-3</v>
      </c>
      <c r="M140" s="957"/>
      <c r="N140" s="957"/>
      <c r="O140" s="48">
        <f>IF(t&lt;Tnet,'2018'!Resal+('2018'!Salim-'2018'!Resal)*(1-EXP(('2018'!Tnet-t)/('2018'!Tau_j))),Resal+(Salim-Resal)*(1-EXP((Tnet-t)/(Tau_j))))*Salcycl</f>
        <v>3.8664084563975104E-2</v>
      </c>
      <c r="P140" s="169">
        <f>(INDEX(Models!$BJ140:$BT140,,T140)*(1-R140)+INDEX(Models!$BJ140:$BT140,,T140+1)*R140-ERP_i)*Q140*Ramure*Pc/MaxiM</f>
        <v>3.7431691307448605E-4</v>
      </c>
      <c r="Q140" s="305">
        <f t="shared" si="27"/>
        <v>0.7</v>
      </c>
      <c r="R140" s="177">
        <f t="shared" si="28"/>
        <v>0.59540689131985536</v>
      </c>
      <c r="S140" s="919">
        <f t="shared" si="29"/>
        <v>-2</v>
      </c>
      <c r="T140" s="176">
        <f t="shared" si="30"/>
        <v>4</v>
      </c>
      <c r="U140" s="251">
        <f t="shared" si="31"/>
        <v>-1.4045931086801446</v>
      </c>
      <c r="V140" s="383">
        <f t="shared" si="32"/>
        <v>56.692727090887125</v>
      </c>
      <c r="W140" s="58"/>
      <c r="X140" s="157">
        <f t="shared" si="33"/>
        <v>43591</v>
      </c>
      <c r="Y140" s="385">
        <f t="shared" si="34"/>
        <v>58.924999999999997</v>
      </c>
      <c r="Z140" s="385">
        <f t="shared" si="35"/>
        <v>59.375852812738671</v>
      </c>
      <c r="AA140" s="386">
        <f t="shared" si="36"/>
        <v>61.76389736339776</v>
      </c>
      <c r="AB140" s="197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3.8664084563975104E-2</v>
      </c>
      <c r="AD140" s="231">
        <f>(INDEX(Models!$BJ140:$BT140,,AH140)*(1-AF140)+INDEX(Models!$BJ140:$BT140,,AH140+1)*AF140-ERP_i)*AE140*Ramure*Pc/MaxiM</f>
        <v>3.7431691307448605E-4</v>
      </c>
      <c r="AE140" s="305">
        <f t="shared" si="38"/>
        <v>0.7</v>
      </c>
      <c r="AF140" s="177">
        <f t="shared" si="39"/>
        <v>0.59540689131985536</v>
      </c>
      <c r="AG140" s="176">
        <f t="shared" si="40"/>
        <v>-2</v>
      </c>
      <c r="AH140" s="176">
        <f t="shared" si="41"/>
        <v>4</v>
      </c>
      <c r="AI140" s="225">
        <f t="shared" si="42"/>
        <v>-1.4045931086801446</v>
      </c>
      <c r="AJ140" s="265" t="b">
        <f t="shared" si="43"/>
        <v>1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8">
        <v>46.83</v>
      </c>
      <c r="C141" s="390"/>
      <c r="D141" s="393">
        <f t="shared" si="24"/>
        <v>47.189343915140121</v>
      </c>
      <c r="E141" s="385">
        <f t="shared" si="46"/>
        <v>49.093239254910095</v>
      </c>
      <c r="F141" s="385">
        <f t="shared" si="25"/>
        <v>49.108037779545555</v>
      </c>
      <c r="G141" s="110">
        <f t="shared" si="47"/>
        <v>0.82551383078240015</v>
      </c>
      <c r="H141" s="412" t="b">
        <f>Wh_hp&gt;='2018'!Maxi_hp</f>
        <v>1</v>
      </c>
      <c r="I141" s="390">
        <f>IF(H141,Wh_hp,'2018'!Maxi_hp)</f>
        <v>49.108037779545555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7.6149377237861859E-3</v>
      </c>
      <c r="M141" s="957"/>
      <c r="N141" s="957"/>
      <c r="O141" s="48">
        <f>IF(t&lt;Tnet,'2018'!Resal+('2018'!Salim-'2018'!Resal)*(1-EXP(('2018'!Tnet-t)/('2018'!Tau_j))),Resal+(Salim-Resal)*(1-EXP((Tnet-t)/(Tau_j))))*Salcycl</f>
        <v>3.8781212416729195E-2</v>
      </c>
      <c r="P141" s="169">
        <f>(INDEX(Models!$BJ141:$BT141,,T141)*(1-R141)+INDEX(Models!$BJ141:$BT141,,T141+1)*R141-ERP_i)*Q141*Ramure*Pc/MaxiM</f>
        <v>4.0133911518369306E-4</v>
      </c>
      <c r="Q141" s="305">
        <f t="shared" si="27"/>
        <v>0.7</v>
      </c>
      <c r="R141" s="177">
        <f t="shared" si="28"/>
        <v>0.59863804572500756</v>
      </c>
      <c r="S141" s="919">
        <f t="shared" si="29"/>
        <v>-2</v>
      </c>
      <c r="T141" s="176">
        <f t="shared" si="30"/>
        <v>4</v>
      </c>
      <c r="U141" s="251">
        <f t="shared" si="31"/>
        <v>-1.4013619542749924</v>
      </c>
      <c r="V141" s="383">
        <f t="shared" si="32"/>
        <v>56.722630412801259</v>
      </c>
      <c r="W141" s="58"/>
      <c r="X141" s="157">
        <f t="shared" si="33"/>
        <v>43592</v>
      </c>
      <c r="Y141" s="385">
        <f t="shared" si="34"/>
        <v>46.83</v>
      </c>
      <c r="Z141" s="385">
        <f t="shared" si="35"/>
        <v>47.189343915140121</v>
      </c>
      <c r="AA141" s="386">
        <f t="shared" si="36"/>
        <v>49.093239254910095</v>
      </c>
      <c r="AB141" s="197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3.8781212416729195E-2</v>
      </c>
      <c r="AD141" s="231">
        <f>(INDEX(Models!$BJ141:$BT141,,AH141)*(1-AF141)+INDEX(Models!$BJ141:$BT141,,AH141+1)*AF141-ERP_i)*AE141*Ramure*Pc/MaxiM</f>
        <v>4.0133911518369306E-4</v>
      </c>
      <c r="AE141" s="305">
        <f t="shared" si="38"/>
        <v>0.7</v>
      </c>
      <c r="AF141" s="177">
        <f t="shared" si="39"/>
        <v>0.59863804572500756</v>
      </c>
      <c r="AG141" s="176">
        <f t="shared" si="40"/>
        <v>-2</v>
      </c>
      <c r="AH141" s="176">
        <f t="shared" si="41"/>
        <v>4</v>
      </c>
      <c r="AI141" s="225">
        <f t="shared" si="42"/>
        <v>-1.4013619542749924</v>
      </c>
      <c r="AJ141" s="265" t="b">
        <f t="shared" si="43"/>
        <v>1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8">
        <v>30.768999999999998</v>
      </c>
      <c r="C142" s="390"/>
      <c r="D142" s="393">
        <f t="shared" si="24"/>
        <v>31.005781026421005</v>
      </c>
      <c r="E142" s="385">
        <f t="shared" si="46"/>
        <v>32.260683336032038</v>
      </c>
      <c r="F142" s="385">
        <f t="shared" si="25"/>
        <v>32.265479035511532</v>
      </c>
      <c r="G142" s="110">
        <f t="shared" si="47"/>
        <v>0.54204384400076433</v>
      </c>
      <c r="H142" s="412" t="b">
        <f>Wh_hp&gt;='2018'!Maxi_hp</f>
        <v>1</v>
      </c>
      <c r="I142" s="390">
        <f>IF(H142,Wh_hp,'2018'!Maxi_hp)</f>
        <v>32.265479035511532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7.6366735035391375E-3</v>
      </c>
      <c r="M142" s="957"/>
      <c r="N142" s="957"/>
      <c r="O142" s="48">
        <f>IF(t&lt;Tnet,'2018'!Resal+('2018'!Salim-'2018'!Resal)*(1-EXP(('2018'!Tnet-t)/('2018'!Tau_j))),Resal+(Salim-Resal)*(1-EXP((Tnet-t)/(Tau_j))))*Salcycl</f>
        <v>3.889881365933226E-2</v>
      </c>
      <c r="P142" s="169">
        <f>(INDEX(Models!$BJ142:$BT142,,T142)*(1-R142)+INDEX(Models!$BJ142:$BT142,,T142+1)*R142-ERP_i)*Q142*Ramure*Pc/MaxiM</f>
        <v>4.2958050690445417E-4</v>
      </c>
      <c r="Q142" s="305">
        <f t="shared" si="27"/>
        <v>0.7</v>
      </c>
      <c r="R142" s="177">
        <f t="shared" si="28"/>
        <v>0.60195033152314048</v>
      </c>
      <c r="S142" s="919">
        <f t="shared" si="29"/>
        <v>-2</v>
      </c>
      <c r="T142" s="176">
        <f t="shared" si="30"/>
        <v>4</v>
      </c>
      <c r="U142" s="251">
        <f t="shared" si="31"/>
        <v>-1.3980496684768595</v>
      </c>
      <c r="V142" s="383">
        <f t="shared" si="32"/>
        <v>56.748830499262858</v>
      </c>
      <c r="W142" s="58"/>
      <c r="X142" s="157">
        <f t="shared" si="33"/>
        <v>43593</v>
      </c>
      <c r="Y142" s="385">
        <f t="shared" si="34"/>
        <v>30.768999999999998</v>
      </c>
      <c r="Z142" s="385">
        <f t="shared" si="35"/>
        <v>31.005781026421005</v>
      </c>
      <c r="AA142" s="386">
        <f t="shared" si="36"/>
        <v>32.260683336032038</v>
      </c>
      <c r="AB142" s="197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3.889881365933226E-2</v>
      </c>
      <c r="AD142" s="231">
        <f>(INDEX(Models!$BJ142:$BT142,,AH142)*(1-AF142)+INDEX(Models!$BJ142:$BT142,,AH142+1)*AF142-ERP_i)*AE142*Ramure*Pc/MaxiM</f>
        <v>4.2958050690445417E-4</v>
      </c>
      <c r="AE142" s="305">
        <f t="shared" si="38"/>
        <v>0.7</v>
      </c>
      <c r="AF142" s="177">
        <f t="shared" si="39"/>
        <v>0.60195033152314048</v>
      </c>
      <c r="AG142" s="176">
        <f t="shared" si="40"/>
        <v>-2</v>
      </c>
      <c r="AH142" s="176">
        <f t="shared" si="41"/>
        <v>4</v>
      </c>
      <c r="AI142" s="225">
        <f t="shared" si="42"/>
        <v>-1.3980496684768595</v>
      </c>
      <c r="AJ142" s="265" t="b">
        <f t="shared" si="43"/>
        <v>1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8">
        <v>49.502000000000002</v>
      </c>
      <c r="C143" s="390"/>
      <c r="D143" s="393">
        <f t="shared" ref="D143:D206" si="48">Wh/(1-Ppv)</f>
        <v>49.884032312401082</v>
      </c>
      <c r="E143" s="385">
        <f t="shared" si="46"/>
        <v>51.909373902893584</v>
      </c>
      <c r="F143" s="385">
        <f t="shared" ref="F143:F206" si="49">Wh_sa/(1-Pvg*MEDIAN((-Sdif+Wh/Env_an)/Csdif,0,1))</f>
        <v>51.928840969153235</v>
      </c>
      <c r="G143" s="110">
        <f t="shared" si="47"/>
        <v>0.8718760677389007</v>
      </c>
      <c r="H143" s="412" t="b">
        <f>Wh_hp&gt;='2018'!Maxi_hp</f>
        <v>1</v>
      </c>
      <c r="I143" s="390">
        <f>IF(H143,Wh_hp,'2018'!Maxi_hp)</f>
        <v>51.928840969153235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7.658408807222794E-3</v>
      </c>
      <c r="M143" s="957"/>
      <c r="N143" s="957"/>
      <c r="O143" s="48">
        <f>IF(t&lt;Tnet,'2018'!Resal+('2018'!Salim-'2018'!Resal)*(1-EXP(('2018'!Tnet-t)/('2018'!Tau_j))),Resal+(Salim-Resal)*(1-EXP((Tnet-t)/(Tau_j))))*Salcycl</f>
        <v>3.9016875724243803E-2</v>
      </c>
      <c r="P143" s="169">
        <f>(INDEX(Models!$BJ143:$BT143,,T143)*(1-R143)+INDEX(Models!$BJ143:$BT143,,T143+1)*R143-ERP_i)*Q143*Ramure*Pc/MaxiM</f>
        <v>4.5880950004542419E-4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0.60534394074048592</v>
      </c>
      <c r="S143" s="919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-1.3946560592595141</v>
      </c>
      <c r="V143" s="383">
        <f t="shared" ref="V143:V206" si="56">MaxiM*(1-Ppv)*(1-Pvg)*(1-Psa)</f>
        <v>56.771650901419996</v>
      </c>
      <c r="W143" s="58"/>
      <c r="X143" s="157">
        <f t="shared" ref="X143:X206" si="57">t</f>
        <v>43594</v>
      </c>
      <c r="Y143" s="385">
        <f t="shared" ref="Y143:Y206" si="58">Wh_pvt_s*(1-Ppv)</f>
        <v>49.502000000000002</v>
      </c>
      <c r="Z143" s="385">
        <f t="shared" ref="Z143:Z206" si="59">Wh_sa_s*(1-Psa_s)</f>
        <v>49.884032312401082</v>
      </c>
      <c r="AA143" s="386">
        <f t="shared" ref="AA143:AA206" si="60">Wh_hp*(1-Pvg_s*MEDIAN((-Sdif+Wh/Env_an)/Csdif,0,1))</f>
        <v>51.909373902893584</v>
      </c>
      <c r="AB143" s="197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3.9016875724243803E-2</v>
      </c>
      <c r="AD143" s="231">
        <f>(INDEX(Models!$BJ143:$BT143,,AH143)*(1-AF143)+INDEX(Models!$BJ143:$BT143,,AH143+1)*AF143-ERP_i)*AE143*Ramure*Pc/MaxiM</f>
        <v>4.5880950004542419E-4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0.60534394074048592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-1.3946560592595141</v>
      </c>
      <c r="AJ143" s="265" t="b">
        <f t="shared" ref="AJ143:AJ206" si="67">t&lt;Tnet</f>
        <v>1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8">
        <v>41.241</v>
      </c>
      <c r="C144" s="390"/>
      <c r="D144" s="393">
        <f t="shared" si="48"/>
        <v>41.560188214982361</v>
      </c>
      <c r="E144" s="385">
        <f t="shared" ref="E144:E169" si="70">Wh_pvt/(1-Psa)</f>
        <v>43.252907380260567</v>
      </c>
      <c r="F144" s="385">
        <f t="shared" si="49"/>
        <v>43.265790043539411</v>
      </c>
      <c r="G144" s="110">
        <f t="shared" ref="G144:G169" si="71">+Wh_hp/MaxiM</f>
        <v>0.72604493085470589</v>
      </c>
      <c r="H144" s="412" t="b">
        <f>Wh_hp&gt;='2018'!Maxi_hp</f>
        <v>1</v>
      </c>
      <c r="I144" s="390">
        <f>IF(H144,Wh_hp,'2018'!Maxi_hp)</f>
        <v>43.265790043539411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7.6801436348474805E-3</v>
      </c>
      <c r="M144" s="957"/>
      <c r="N144" s="957"/>
      <c r="O144" s="48">
        <f>IF(t&lt;Tnet,'2018'!Resal+('2018'!Salim-'2018'!Resal)*(1-EXP(('2018'!Tnet-t)/('2018'!Tau_j))),Resal+(Salim-Resal)*(1-EXP((Tnet-t)/(Tau_j))))*Salcycl</f>
        <v>3.913538459730722E-2</v>
      </c>
      <c r="P144" s="169">
        <f>(INDEX(Models!$BJ144:$BT144,,T144)*(1-R144)+INDEX(Models!$BJ144:$BT144,,T144+1)*R144-ERP_i)*Q144*Ramure*Pc/MaxiM</f>
        <v>4.8905986560390921E-4</v>
      </c>
      <c r="Q144" s="305">
        <f t="shared" si="51"/>
        <v>0.7</v>
      </c>
      <c r="R144" s="177">
        <f t="shared" si="52"/>
        <v>0.60881893428720413</v>
      </c>
      <c r="S144" s="919">
        <f t="shared" si="53"/>
        <v>-2</v>
      </c>
      <c r="T144" s="176">
        <f t="shared" si="54"/>
        <v>4</v>
      </c>
      <c r="U144" s="251">
        <f t="shared" si="55"/>
        <v>-1.3911810657127959</v>
      </c>
      <c r="V144" s="383">
        <f t="shared" si="56"/>
        <v>56.791400021051878</v>
      </c>
      <c r="W144" s="58"/>
      <c r="X144" s="157">
        <f t="shared" si="57"/>
        <v>43595</v>
      </c>
      <c r="Y144" s="385">
        <f t="shared" si="58"/>
        <v>41.241</v>
      </c>
      <c r="Z144" s="385">
        <f t="shared" si="59"/>
        <v>41.560188214982361</v>
      </c>
      <c r="AA144" s="386">
        <f t="shared" si="60"/>
        <v>43.252907380260567</v>
      </c>
      <c r="AB144" s="197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3.913538459730722E-2</v>
      </c>
      <c r="AD144" s="231">
        <f>(INDEX(Models!$BJ144:$BT144,,AH144)*(1-AF144)+INDEX(Models!$BJ144:$BT144,,AH144+1)*AF144-ERP_i)*AE144*Ramure*Pc/MaxiM</f>
        <v>4.8905986560390921E-4</v>
      </c>
      <c r="AE144" s="305">
        <f t="shared" si="62"/>
        <v>0.7</v>
      </c>
      <c r="AF144" s="177">
        <f t="shared" si="63"/>
        <v>0.60881893428720413</v>
      </c>
      <c r="AG144" s="176">
        <f t="shared" si="64"/>
        <v>-2</v>
      </c>
      <c r="AH144" s="176">
        <f t="shared" si="65"/>
        <v>4</v>
      </c>
      <c r="AI144" s="225">
        <f t="shared" si="66"/>
        <v>-1.3911810657127959</v>
      </c>
      <c r="AJ144" s="265" t="b">
        <f t="shared" si="67"/>
        <v>1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8">
        <v>36.255000000000003</v>
      </c>
      <c r="C145" s="390"/>
      <c r="D145" s="393">
        <f t="shared" si="48"/>
        <v>36.536398886285475</v>
      </c>
      <c r="E145" s="385">
        <f t="shared" si="70"/>
        <v>38.029209841425775</v>
      </c>
      <c r="F145" s="385">
        <f t="shared" si="49"/>
        <v>38.038773139907207</v>
      </c>
      <c r="G145" s="110">
        <f t="shared" si="71"/>
        <v>0.63802633726068325</v>
      </c>
      <c r="H145" s="412" t="b">
        <f>Wh_hp&gt;='2018'!Maxi_hp</f>
        <v>1</v>
      </c>
      <c r="I145" s="390">
        <f>IF(H145,Wh_hp,'2018'!Maxi_hp)</f>
        <v>38.038773139907207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7.7018779864236331E-3</v>
      </c>
      <c r="M145" s="957"/>
      <c r="N145" s="957"/>
      <c r="O145" s="48">
        <f>IF(t&lt;Tnet,'2018'!Resal+('2018'!Salim-'2018'!Resal)*(1-EXP(('2018'!Tnet-t)/('2018'!Tau_j))),Resal+(Salim-Resal)*(1-EXP((Tnet-t)/(Tau_j))))*Salcycl</f>
        <v>3.9254324803618644E-2</v>
      </c>
      <c r="P145" s="169">
        <f>(INDEX(Models!$BJ145:$BT145,,T145)*(1-R145)+INDEX(Models!$BJ145:$BT145,,T145+1)*R145-ERP_i)*Q145*Ramure*Pc/MaxiM</f>
        <v>5.203651212677664E-4</v>
      </c>
      <c r="Q145" s="305">
        <f t="shared" si="51"/>
        <v>0.7</v>
      </c>
      <c r="R145" s="177">
        <f t="shared" si="52"/>
        <v>0.61237523534556848</v>
      </c>
      <c r="S145" s="919">
        <f t="shared" si="53"/>
        <v>-2</v>
      </c>
      <c r="T145" s="176">
        <f t="shared" si="54"/>
        <v>4</v>
      </c>
      <c r="U145" s="251">
        <f t="shared" si="55"/>
        <v>-1.3876247646544315</v>
      </c>
      <c r="V145" s="383">
        <f t="shared" si="56"/>
        <v>56.808386167091811</v>
      </c>
      <c r="W145" s="58"/>
      <c r="X145" s="157">
        <f t="shared" si="57"/>
        <v>43596</v>
      </c>
      <c r="Y145" s="385">
        <f t="shared" si="58"/>
        <v>36.255000000000003</v>
      </c>
      <c r="Z145" s="385">
        <f t="shared" si="59"/>
        <v>36.536398886285475</v>
      </c>
      <c r="AA145" s="386">
        <f t="shared" si="60"/>
        <v>38.029209841425775</v>
      </c>
      <c r="AB145" s="197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3.9254324803618644E-2</v>
      </c>
      <c r="AD145" s="231">
        <f>(INDEX(Models!$BJ145:$BT145,,AH145)*(1-AF145)+INDEX(Models!$BJ145:$BT145,,AH145+1)*AF145-ERP_i)*AE145*Ramure*Pc/MaxiM</f>
        <v>5.203651212677664E-4</v>
      </c>
      <c r="AE145" s="305">
        <f t="shared" si="62"/>
        <v>0.7</v>
      </c>
      <c r="AF145" s="177">
        <f t="shared" si="63"/>
        <v>0.61237523534556848</v>
      </c>
      <c r="AG145" s="176">
        <f t="shared" si="64"/>
        <v>-2</v>
      </c>
      <c r="AH145" s="176">
        <f t="shared" si="65"/>
        <v>4</v>
      </c>
      <c r="AI145" s="225">
        <f t="shared" si="66"/>
        <v>-1.3876247646544315</v>
      </c>
      <c r="AJ145" s="265" t="b">
        <f t="shared" si="67"/>
        <v>1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8">
        <v>51.774999999999999</v>
      </c>
      <c r="C146" s="390"/>
      <c r="D146" s="393">
        <f t="shared" si="48"/>
        <v>52.178002640124731</v>
      </c>
      <c r="E146" s="385">
        <f t="shared" si="70"/>
        <v>54.316648962408863</v>
      </c>
      <c r="F146" s="385">
        <f t="shared" si="49"/>
        <v>54.342875304504368</v>
      </c>
      <c r="G146" s="110">
        <f t="shared" si="71"/>
        <v>0.91110010644555528</v>
      </c>
      <c r="H146" s="412" t="b">
        <f>Wh_hp&gt;='2018'!Maxi_hp</f>
        <v>1</v>
      </c>
      <c r="I146" s="390">
        <f>IF(H146,Wh_hp,'2018'!Maxi_hp)</f>
        <v>54.342875304504368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7.7236118619616878E-3</v>
      </c>
      <c r="M146" s="957"/>
      <c r="N146" s="957"/>
      <c r="O146" s="48">
        <f>IF(t&lt;Tnet,'2018'!Resal+('2018'!Salim-'2018'!Resal)*(1-EXP(('2018'!Tnet-t)/('2018'!Tau_j))),Resal+(Salim-Resal)*(1-EXP((Tnet-t)/(Tau_j))))*Salcycl</f>
        <v>3.937367939918817E-2</v>
      </c>
      <c r="P146" s="169">
        <f>(INDEX(Models!$BJ146:$BT146,,T146)*(1-R146)+INDEX(Models!$BJ146:$BT146,,T146+1)*R146-ERP_i)*Q146*Ramure*Pc/MaxiM</f>
        <v>5.5275839173409621E-4</v>
      </c>
      <c r="Q146" s="305">
        <f t="shared" si="51"/>
        <v>0.7</v>
      </c>
      <c r="R146" s="177">
        <f t="shared" si="52"/>
        <v>0.6160126229933971</v>
      </c>
      <c r="S146" s="919">
        <f t="shared" si="53"/>
        <v>-2</v>
      </c>
      <c r="T146" s="176">
        <f t="shared" si="54"/>
        <v>4</v>
      </c>
      <c r="U146" s="251">
        <f t="shared" si="55"/>
        <v>-1.3839873770066029</v>
      </c>
      <c r="V146" s="383">
        <f t="shared" si="56"/>
        <v>56.822917566985979</v>
      </c>
      <c r="W146" s="58"/>
      <c r="X146" s="157">
        <f t="shared" si="57"/>
        <v>43597</v>
      </c>
      <c r="Y146" s="385">
        <f t="shared" si="58"/>
        <v>51.774999999999999</v>
      </c>
      <c r="Z146" s="385">
        <f t="shared" si="59"/>
        <v>52.178002640124731</v>
      </c>
      <c r="AA146" s="386">
        <f t="shared" si="60"/>
        <v>54.316648962408863</v>
      </c>
      <c r="AB146" s="197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3.937367939918817E-2</v>
      </c>
      <c r="AD146" s="231">
        <f>(INDEX(Models!$BJ146:$BT146,,AH146)*(1-AF146)+INDEX(Models!$BJ146:$BT146,,AH146+1)*AF146-ERP_i)*AE146*Ramure*Pc/MaxiM</f>
        <v>5.5275839173409621E-4</v>
      </c>
      <c r="AE146" s="305">
        <f t="shared" si="62"/>
        <v>0.7</v>
      </c>
      <c r="AF146" s="177">
        <f t="shared" si="63"/>
        <v>0.6160126229933971</v>
      </c>
      <c r="AG146" s="176">
        <f t="shared" si="64"/>
        <v>-2</v>
      </c>
      <c r="AH146" s="176">
        <f t="shared" si="65"/>
        <v>4</v>
      </c>
      <c r="AI146" s="225">
        <f t="shared" si="66"/>
        <v>-1.3839873770066029</v>
      </c>
      <c r="AJ146" s="265" t="b">
        <f t="shared" si="67"/>
        <v>1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8">
        <v>59.043999999999997</v>
      </c>
      <c r="C147" s="390"/>
      <c r="D147" s="393">
        <f t="shared" si="48"/>
        <v>59.504885885931039</v>
      </c>
      <c r="E147" s="385">
        <f t="shared" si="70"/>
        <v>61.951565707666489</v>
      </c>
      <c r="F147" s="385">
        <f t="shared" si="49"/>
        <v>61.987907498178245</v>
      </c>
      <c r="G147" s="110">
        <f t="shared" si="71"/>
        <v>1.0388613685779369</v>
      </c>
      <c r="H147" s="412" t="b">
        <f>Wh_hp&gt;='2018'!Maxi_hp</f>
        <v>1</v>
      </c>
      <c r="I147" s="390">
        <f>IF(H147,Wh_hp,'2018'!Maxi_hp)</f>
        <v>61.987907498178245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7.7453452614721918E-3</v>
      </c>
      <c r="M147" s="957"/>
      <c r="N147" s="957"/>
      <c r="O147" s="48">
        <f>IF(t&lt;Tnet,'2018'!Resal+('2018'!Salim-'2018'!Resal)*(1-EXP(('2018'!Tnet-t)/('2018'!Tau_j))),Resal+(Salim-Resal)*(1-EXP((Tnet-t)/(Tau_j))))*Salcycl</f>
        <v>3.949342996883571E-2</v>
      </c>
      <c r="P147" s="169">
        <f>(INDEX(Models!$BJ147:$BT147,,T147)*(1-R147)+INDEX(Models!$BJ147:$BT147,,T147+1)*R147-ERP_i)*Q147*Ramure*Pc/MaxiM</f>
        <v>5.8627225822752008E-4</v>
      </c>
      <c r="Q147" s="305">
        <f t="shared" si="51"/>
        <v>0.7</v>
      </c>
      <c r="R147" s="177">
        <f t="shared" si="52"/>
        <v>0.61973072611884916</v>
      </c>
      <c r="S147" s="919">
        <f t="shared" si="53"/>
        <v>-2</v>
      </c>
      <c r="T147" s="176">
        <f t="shared" si="54"/>
        <v>4</v>
      </c>
      <c r="U147" s="251">
        <f t="shared" si="55"/>
        <v>-1.3802692738811508</v>
      </c>
      <c r="V147" s="383">
        <f t="shared" si="56"/>
        <v>56.835302366497075</v>
      </c>
      <c r="W147" s="58"/>
      <c r="X147" s="157">
        <f t="shared" si="57"/>
        <v>43598</v>
      </c>
      <c r="Y147" s="385">
        <f t="shared" si="58"/>
        <v>59.043999999999997</v>
      </c>
      <c r="Z147" s="385">
        <f t="shared" si="59"/>
        <v>59.504885885931039</v>
      </c>
      <c r="AA147" s="386">
        <f t="shared" si="60"/>
        <v>61.951565707666489</v>
      </c>
      <c r="AB147" s="197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3.949342996883571E-2</v>
      </c>
      <c r="AD147" s="231">
        <f>(INDEX(Models!$BJ147:$BT147,,AH147)*(1-AF147)+INDEX(Models!$BJ147:$BT147,,AH147+1)*AF147-ERP_i)*AE147*Ramure*Pc/MaxiM</f>
        <v>5.8627225822752008E-4</v>
      </c>
      <c r="AE147" s="305">
        <f t="shared" si="62"/>
        <v>0.7</v>
      </c>
      <c r="AF147" s="177">
        <f t="shared" si="63"/>
        <v>0.61973072611884916</v>
      </c>
      <c r="AG147" s="176">
        <f t="shared" si="64"/>
        <v>-2</v>
      </c>
      <c r="AH147" s="176">
        <f t="shared" si="65"/>
        <v>4</v>
      </c>
      <c r="AI147" s="225">
        <f t="shared" si="66"/>
        <v>-1.3802692738811508</v>
      </c>
      <c r="AJ147" s="265" t="b">
        <f t="shared" si="67"/>
        <v>1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8">
        <v>58.021000000000001</v>
      </c>
      <c r="C148" s="390"/>
      <c r="D148" s="393">
        <f t="shared" si="48"/>
        <v>58.475181305076553</v>
      </c>
      <c r="E148" s="385">
        <f t="shared" si="70"/>
        <v>60.887137369340103</v>
      </c>
      <c r="F148" s="385">
        <f t="shared" si="49"/>
        <v>60.924968033525275</v>
      </c>
      <c r="G148" s="110">
        <f t="shared" si="71"/>
        <v>1.0206725977639817</v>
      </c>
      <c r="H148" s="412" t="b">
        <f>Wh_hp&gt;='2018'!Maxi_hp</f>
        <v>1</v>
      </c>
      <c r="I148" s="390">
        <f>IF(H148,Wh_hp,'2018'!Maxi_hp)</f>
        <v>60.924968033525275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7.7670781849653592E-3</v>
      </c>
      <c r="M148" s="957"/>
      <c r="N148" s="957"/>
      <c r="O148" s="48">
        <f>IF(t&lt;Tnet,'2018'!Resal+('2018'!Salim-'2018'!Resal)*(1-EXP(('2018'!Tnet-t)/('2018'!Tau_j))),Resal+(Salim-Resal)*(1-EXP((Tnet-t)/(Tau_j))))*Salcycl</f>
        <v>3.9613556630732634E-2</v>
      </c>
      <c r="P148" s="169">
        <f>(INDEX(Models!$BJ148:$BT148,,T148)*(1-R148)+INDEX(Models!$BJ148:$BT148,,T148+1)*R148-ERP_i)*Q148*Ramure*Pc/MaxiM</f>
        <v>6.209385971997221E-4</v>
      </c>
      <c r="Q148" s="305">
        <f t="shared" si="51"/>
        <v>0.7</v>
      </c>
      <c r="R148" s="177">
        <f t="shared" si="52"/>
        <v>0.62352901768445168</v>
      </c>
      <c r="S148" s="919">
        <f t="shared" si="53"/>
        <v>-2</v>
      </c>
      <c r="T148" s="176">
        <f t="shared" si="54"/>
        <v>4</v>
      </c>
      <c r="U148" s="251">
        <f t="shared" si="55"/>
        <v>-1.3764709823155483</v>
      </c>
      <c r="V148" s="383">
        <f t="shared" si="56"/>
        <v>56.84584863658371</v>
      </c>
      <c r="W148" s="58"/>
      <c r="X148" s="157">
        <f t="shared" si="57"/>
        <v>43599</v>
      </c>
      <c r="Y148" s="385">
        <f t="shared" si="58"/>
        <v>58.021000000000001</v>
      </c>
      <c r="Z148" s="385">
        <f t="shared" si="59"/>
        <v>58.475181305076553</v>
      </c>
      <c r="AA148" s="386">
        <f t="shared" si="60"/>
        <v>60.887137369340103</v>
      </c>
      <c r="AB148" s="197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3.9613556630732634E-2</v>
      </c>
      <c r="AD148" s="231">
        <f>(INDEX(Models!$BJ148:$BT148,,AH148)*(1-AF148)+INDEX(Models!$BJ148:$BT148,,AH148+1)*AF148-ERP_i)*AE148*Ramure*Pc/MaxiM</f>
        <v>6.209385971997221E-4</v>
      </c>
      <c r="AE148" s="305">
        <f t="shared" si="62"/>
        <v>0.7</v>
      </c>
      <c r="AF148" s="177">
        <f t="shared" si="63"/>
        <v>0.62352901768445168</v>
      </c>
      <c r="AG148" s="176">
        <f t="shared" si="64"/>
        <v>-2</v>
      </c>
      <c r="AH148" s="176">
        <f t="shared" si="65"/>
        <v>4</v>
      </c>
      <c r="AI148" s="225">
        <f t="shared" si="66"/>
        <v>-1.3764709823155483</v>
      </c>
      <c r="AJ148" s="265" t="b">
        <f t="shared" si="67"/>
        <v>1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8">
        <v>58.192</v>
      </c>
      <c r="C149" s="390"/>
      <c r="D149" s="393">
        <f t="shared" si="48"/>
        <v>58.648804431536945</v>
      </c>
      <c r="E149" s="385">
        <f t="shared" si="70"/>
        <v>61.075584010408072</v>
      </c>
      <c r="F149" s="385">
        <f t="shared" si="49"/>
        <v>61.115724809852011</v>
      </c>
      <c r="G149" s="110">
        <f t="shared" si="71"/>
        <v>1.0235362590768111</v>
      </c>
      <c r="H149" s="412" t="b">
        <f>Wh_hp&gt;='2018'!Maxi_hp</f>
        <v>1</v>
      </c>
      <c r="I149" s="390">
        <f>IF(H149,Wh_hp,'2018'!Maxi_hp)</f>
        <v>61.115724809852011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7.788810632451848E-3</v>
      </c>
      <c r="M149" s="957"/>
      <c r="N149" s="957"/>
      <c r="O149" s="48">
        <f>IF(t&lt;Tnet,'2018'!Resal+('2018'!Salim-'2018'!Resal)*(1-EXP(('2018'!Tnet-t)/('2018'!Tau_j))),Resal+(Salim-Resal)*(1-EXP((Tnet-t)/(Tau_j))))*Salcycl</f>
        <v>3.9734038047963216E-2</v>
      </c>
      <c r="P149" s="169">
        <f>(INDEX(Models!$BJ149:$BT149,,T149)*(1-R149)+INDEX(Models!$BJ149:$BT149,,T149+1)*R149-ERP_i)*Q149*Ramure*Pc/MaxiM</f>
        <v>6.5679985910055438E-4</v>
      </c>
      <c r="Q149" s="305">
        <f t="shared" si="51"/>
        <v>0.7</v>
      </c>
      <c r="R149" s="177">
        <f t="shared" si="52"/>
        <v>0.62740680939949134</v>
      </c>
      <c r="S149" s="919">
        <f t="shared" si="53"/>
        <v>-2</v>
      </c>
      <c r="T149" s="176">
        <f t="shared" si="54"/>
        <v>4</v>
      </c>
      <c r="U149" s="251">
        <f t="shared" si="55"/>
        <v>-1.3725931906005087</v>
      </c>
      <c r="V149" s="383">
        <f t="shared" si="56"/>
        <v>56.853872526691788</v>
      </c>
      <c r="W149" s="58"/>
      <c r="X149" s="157">
        <f t="shared" si="57"/>
        <v>43600</v>
      </c>
      <c r="Y149" s="385">
        <f t="shared" si="58"/>
        <v>58.192</v>
      </c>
      <c r="Z149" s="385">
        <f t="shared" si="59"/>
        <v>58.648804431536945</v>
      </c>
      <c r="AA149" s="386">
        <f t="shared" si="60"/>
        <v>61.075584010408072</v>
      </c>
      <c r="AB149" s="197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3.9734038047963216E-2</v>
      </c>
      <c r="AD149" s="231">
        <f>(INDEX(Models!$BJ149:$BT149,,AH149)*(1-AF149)+INDEX(Models!$BJ149:$BT149,,AH149+1)*AF149-ERP_i)*AE149*Ramure*Pc/MaxiM</f>
        <v>6.5679985910055438E-4</v>
      </c>
      <c r="AE149" s="305">
        <f t="shared" si="62"/>
        <v>0.7</v>
      </c>
      <c r="AF149" s="177">
        <f t="shared" si="63"/>
        <v>0.62740680939949134</v>
      </c>
      <c r="AG149" s="176">
        <f t="shared" si="64"/>
        <v>-2</v>
      </c>
      <c r="AH149" s="176">
        <f t="shared" si="65"/>
        <v>4</v>
      </c>
      <c r="AI149" s="225">
        <f t="shared" si="66"/>
        <v>-1.3725931906005087</v>
      </c>
      <c r="AJ149" s="265" t="b">
        <f t="shared" si="67"/>
        <v>1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8">
        <v>50.517000000000003</v>
      </c>
      <c r="C150" s="390"/>
      <c r="D150" s="393">
        <f t="shared" si="48"/>
        <v>50.914671208640783</v>
      </c>
      <c r="E150" s="385">
        <f t="shared" si="70"/>
        <v>53.028098184316896</v>
      </c>
      <c r="F150" s="385">
        <f t="shared" si="49"/>
        <v>53.059049152756259</v>
      </c>
      <c r="G150" s="110">
        <f t="shared" si="71"/>
        <v>0.8883696038161436</v>
      </c>
      <c r="H150" s="412" t="b">
        <f>Wh_hp&gt;='2018'!Maxi_hp</f>
        <v>1</v>
      </c>
      <c r="I150" s="390">
        <f>IF(H150,Wh_hp,'2018'!Maxi_hp)</f>
        <v>53.059049152756259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7.8105426039418724E-3</v>
      </c>
      <c r="M150" s="957"/>
      <c r="N150" s="957"/>
      <c r="O150" s="48">
        <f>IF(t&lt;Tnet,'2018'!Resal+('2018'!Salim-'2018'!Resal)*(1-EXP(('2018'!Tnet-t)/('2018'!Tau_j))),Resal+(Salim-Resal)*(1-EXP((Tnet-t)/(Tau_j))))*Salcycl</f>
        <v>3.9854851447438076E-2</v>
      </c>
      <c r="P150" s="169">
        <f>(INDEX(Models!$BJ150:$BT150,,T150)*(1-R150)+INDEX(Models!$BJ150:$BT150,,T150+1)*R150-ERP_i)*Q150*Ramure*Pc/MaxiM</f>
        <v>6.9388907546046941E-4</v>
      </c>
      <c r="Q150" s="305">
        <f t="shared" si="51"/>
        <v>0.7</v>
      </c>
      <c r="R150" s="177">
        <f t="shared" si="52"/>
        <v>0.6313632468606174</v>
      </c>
      <c r="S150" s="919">
        <f t="shared" si="53"/>
        <v>-2</v>
      </c>
      <c r="T150" s="176">
        <f t="shared" si="54"/>
        <v>4</v>
      </c>
      <c r="U150" s="251">
        <f t="shared" si="55"/>
        <v>-1.3686367531393826</v>
      </c>
      <c r="V150" s="383">
        <f t="shared" si="56"/>
        <v>56.858554639933587</v>
      </c>
      <c r="W150" s="58"/>
      <c r="X150" s="157">
        <f t="shared" si="57"/>
        <v>43601</v>
      </c>
      <c r="Y150" s="385">
        <f t="shared" si="58"/>
        <v>50.517000000000003</v>
      </c>
      <c r="Z150" s="385">
        <f t="shared" si="59"/>
        <v>50.914671208640783</v>
      </c>
      <c r="AA150" s="386">
        <f t="shared" si="60"/>
        <v>53.028098184316896</v>
      </c>
      <c r="AB150" s="197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3.9854851447438076E-2</v>
      </c>
      <c r="AD150" s="231">
        <f>(INDEX(Models!$BJ150:$BT150,,AH150)*(1-AF150)+INDEX(Models!$BJ150:$BT150,,AH150+1)*AF150-ERP_i)*AE150*Ramure*Pc/MaxiM</f>
        <v>6.9388907546046941E-4</v>
      </c>
      <c r="AE150" s="305">
        <f t="shared" si="62"/>
        <v>0.7</v>
      </c>
      <c r="AF150" s="177">
        <f t="shared" si="63"/>
        <v>0.6313632468606174</v>
      </c>
      <c r="AG150" s="176">
        <f t="shared" si="64"/>
        <v>-2</v>
      </c>
      <c r="AH150" s="176">
        <f t="shared" si="65"/>
        <v>4</v>
      </c>
      <c r="AI150" s="225">
        <f t="shared" si="66"/>
        <v>-1.3686367531393826</v>
      </c>
      <c r="AJ150" s="265" t="b">
        <f t="shared" si="67"/>
        <v>1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8">
        <v>8.0540000000000003</v>
      </c>
      <c r="C151" s="390"/>
      <c r="D151" s="393">
        <f t="shared" si="48"/>
        <v>8.1175791045709342</v>
      </c>
      <c r="E151" s="385">
        <f t="shared" si="70"/>
        <v>8.4555999363351315</v>
      </c>
      <c r="F151" s="385">
        <f t="shared" si="49"/>
        <v>8.4555999363351315</v>
      </c>
      <c r="G151" s="110">
        <f t="shared" si="71"/>
        <v>0.1415424325726839</v>
      </c>
      <c r="H151" s="412" t="b">
        <f>Wh_hp&gt;='2018'!Maxi_hp</f>
        <v>1</v>
      </c>
      <c r="I151" s="390">
        <f>IF(H151,Wh_hp,'2018'!Maxi_hp)</f>
        <v>8.4555999363351315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7.8322740994459794E-3</v>
      </c>
      <c r="M151" s="957"/>
      <c r="N151" s="957"/>
      <c r="O151" s="48">
        <f>IF(t&lt;Tnet,'2018'!Resal+('2018'!Salim-'2018'!Resal)*(1-EXP(('2018'!Tnet-t)/('2018'!Tau_j))),Resal+(Salim-Resal)*(1-EXP((Tnet-t)/(Tau_j))))*Salcycl</f>
        <v>3.9975972646442919E-2</v>
      </c>
      <c r="P151" s="169">
        <f>(INDEX(Models!$BJ151:$BT151,,T151)*(1-R151)+INDEX(Models!$BJ151:$BT151,,T151+1)*R151-ERP_i)*Q151*Ramure*Pc/MaxiM</f>
        <v>7.3196042561639242E-4</v>
      </c>
      <c r="Q151" s="305">
        <f t="shared" si="51"/>
        <v>0.7</v>
      </c>
      <c r="R151" s="177">
        <f t="shared" si="52"/>
        <v>0.63539730522059124</v>
      </c>
      <c r="S151" s="919">
        <f t="shared" si="53"/>
        <v>-2</v>
      </c>
      <c r="T151" s="176">
        <f t="shared" si="54"/>
        <v>4</v>
      </c>
      <c r="U151" s="251">
        <f t="shared" si="55"/>
        <v>-1.3646026947794088</v>
      </c>
      <c r="V151" s="383">
        <f t="shared" si="56"/>
        <v>56.860014657436921</v>
      </c>
      <c r="W151" s="58"/>
      <c r="X151" s="157">
        <f t="shared" si="57"/>
        <v>43602</v>
      </c>
      <c r="Y151" s="385">
        <f t="shared" si="58"/>
        <v>8.0540000000000003</v>
      </c>
      <c r="Z151" s="385">
        <f t="shared" si="59"/>
        <v>8.1175791045709342</v>
      </c>
      <c r="AA151" s="386">
        <f t="shared" si="60"/>
        <v>8.4555999363351315</v>
      </c>
      <c r="AB151" s="197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3.9975972646442919E-2</v>
      </c>
      <c r="AD151" s="231">
        <f>(INDEX(Models!$BJ151:$BT151,,AH151)*(1-AF151)+INDEX(Models!$BJ151:$BT151,,AH151+1)*AF151-ERP_i)*AE151*Ramure*Pc/MaxiM</f>
        <v>7.3196042561639242E-4</v>
      </c>
      <c r="AE151" s="305">
        <f t="shared" si="62"/>
        <v>0.7</v>
      </c>
      <c r="AF151" s="177">
        <f t="shared" si="63"/>
        <v>0.63539730522059124</v>
      </c>
      <c r="AG151" s="176">
        <f t="shared" si="64"/>
        <v>-2</v>
      </c>
      <c r="AH151" s="176">
        <f t="shared" si="65"/>
        <v>4</v>
      </c>
      <c r="AI151" s="225">
        <f t="shared" si="66"/>
        <v>-1.3646026947794088</v>
      </c>
      <c r="AJ151" s="265" t="b">
        <f t="shared" si="67"/>
        <v>1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8">
        <v>40.918999999999997</v>
      </c>
      <c r="C152" s="390"/>
      <c r="D152" s="393">
        <f t="shared" si="48"/>
        <v>41.242922121463437</v>
      </c>
      <c r="E152" s="385">
        <f t="shared" si="70"/>
        <v>42.965735371511791</v>
      </c>
      <c r="F152" s="385">
        <f t="shared" si="49"/>
        <v>42.985605639861056</v>
      </c>
      <c r="G152" s="110">
        <f t="shared" si="71"/>
        <v>0.71944321336193728</v>
      </c>
      <c r="H152" s="412" t="b">
        <f>Wh_hp&gt;='2018'!Maxi_hp</f>
        <v>1</v>
      </c>
      <c r="I152" s="390">
        <f>IF(H152,Wh_hp,'2018'!Maxi_hp)</f>
        <v>42.985605639861056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7.8540051189744942E-3</v>
      </c>
      <c r="M152" s="957"/>
      <c r="N152" s="957"/>
      <c r="O152" s="48">
        <f>IF(t&lt;Tnet,'2018'!Resal+('2018'!Salim-'2018'!Resal)*(1-EXP(('2018'!Tnet-t)/('2018'!Tau_j))),Resal+(Salim-Resal)*(1-EXP((Tnet-t)/(Tau_j))))*Salcycl</f>
        <v>4.0097376087054215E-2</v>
      </c>
      <c r="P152" s="169">
        <f>(INDEX(Models!$BJ152:$BT152,,T152)*(1-R152)+INDEX(Models!$BJ152:$BT152,,T152+1)*R152-ERP_i)*Q152*Ramure*Pc/MaxiM</f>
        <v>7.7103734958125991E-4</v>
      </c>
      <c r="Q152" s="305">
        <f t="shared" si="51"/>
        <v>0.7</v>
      </c>
      <c r="R152" s="177">
        <f t="shared" si="52"/>
        <v>0.63950778544454834</v>
      </c>
      <c r="S152" s="919">
        <f t="shared" si="53"/>
        <v>-2</v>
      </c>
      <c r="T152" s="176">
        <f t="shared" si="54"/>
        <v>4</v>
      </c>
      <c r="U152" s="251">
        <f t="shared" si="55"/>
        <v>-1.3604922145554517</v>
      </c>
      <c r="V152" s="383">
        <f t="shared" si="56"/>
        <v>56.858356978343224</v>
      </c>
      <c r="W152" s="58"/>
      <c r="X152" s="157">
        <f t="shared" si="57"/>
        <v>43603</v>
      </c>
      <c r="Y152" s="385">
        <f t="shared" si="58"/>
        <v>40.918999999999997</v>
      </c>
      <c r="Z152" s="385">
        <f t="shared" si="59"/>
        <v>41.242922121463437</v>
      </c>
      <c r="AA152" s="386">
        <f t="shared" si="60"/>
        <v>42.965735371511791</v>
      </c>
      <c r="AB152" s="197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4.0097376087054215E-2</v>
      </c>
      <c r="AD152" s="231">
        <f>(INDEX(Models!$BJ152:$BT152,,AH152)*(1-AF152)+INDEX(Models!$BJ152:$BT152,,AH152+1)*AF152-ERP_i)*AE152*Ramure*Pc/MaxiM</f>
        <v>7.7103734958125991E-4</v>
      </c>
      <c r="AE152" s="305">
        <f t="shared" si="62"/>
        <v>0.7</v>
      </c>
      <c r="AF152" s="177">
        <f t="shared" si="63"/>
        <v>0.63950778544454834</v>
      </c>
      <c r="AG152" s="176">
        <f t="shared" si="64"/>
        <v>-2</v>
      </c>
      <c r="AH152" s="176">
        <f t="shared" si="65"/>
        <v>4</v>
      </c>
      <c r="AI152" s="225">
        <f t="shared" si="66"/>
        <v>-1.3604922145554517</v>
      </c>
      <c r="AJ152" s="265" t="b">
        <f t="shared" si="67"/>
        <v>1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8">
        <v>27.721</v>
      </c>
      <c r="C153" s="390"/>
      <c r="D153" s="393">
        <f t="shared" si="48"/>
        <v>27.941056374134757</v>
      </c>
      <c r="E153" s="385">
        <f t="shared" si="70"/>
        <v>29.111909268382323</v>
      </c>
      <c r="F153" s="385">
        <f t="shared" si="49"/>
        <v>29.118238658812654</v>
      </c>
      <c r="G153" s="110">
        <f t="shared" si="71"/>
        <v>0.48729534228956728</v>
      </c>
      <c r="H153" s="412" t="b">
        <f>Wh_hp&gt;='2018'!Maxi_hp</f>
        <v>1</v>
      </c>
      <c r="I153" s="390">
        <f>IF(H153,Wh_hp,'2018'!Maxi_hp)</f>
        <v>29.118238658812654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7.8757356625379638E-3</v>
      </c>
      <c r="M153" s="957"/>
      <c r="N153" s="957"/>
      <c r="O153" s="48">
        <f>IF(t&lt;Tnet,'2018'!Resal+('2018'!Salim-'2018'!Resal)*(1-EXP(('2018'!Tnet-t)/('2018'!Tau_j))),Resal+(Salim-Resal)*(1-EXP((Tnet-t)/(Tau_j))))*Salcycl</f>
        <v>4.0219034878595149E-2</v>
      </c>
      <c r="P153" s="169">
        <f>(INDEX(Models!$BJ153:$BT153,,T153)*(1-R153)+INDEX(Models!$BJ153:$BT153,,T153+1)*R153-ERP_i)*Q153*Ramure*Pc/MaxiM</f>
        <v>8.1114202369858329E-4</v>
      </c>
      <c r="Q153" s="305">
        <f t="shared" si="51"/>
        <v>0.7</v>
      </c>
      <c r="R153" s="177">
        <f t="shared" si="52"/>
        <v>0.64369331121184481</v>
      </c>
      <c r="S153" s="919">
        <f t="shared" si="53"/>
        <v>-2</v>
      </c>
      <c r="T153" s="176">
        <f t="shared" si="54"/>
        <v>4</v>
      </c>
      <c r="U153" s="251">
        <f t="shared" si="55"/>
        <v>-1.3563066887881552</v>
      </c>
      <c r="V153" s="383">
        <f t="shared" si="56"/>
        <v>56.853686098789453</v>
      </c>
      <c r="W153" s="58"/>
      <c r="X153" s="157">
        <f t="shared" si="57"/>
        <v>43604</v>
      </c>
      <c r="Y153" s="385">
        <f t="shared" si="58"/>
        <v>27.721</v>
      </c>
      <c r="Z153" s="385">
        <f t="shared" si="59"/>
        <v>27.941056374134757</v>
      </c>
      <c r="AA153" s="386">
        <f t="shared" si="60"/>
        <v>29.111909268382323</v>
      </c>
      <c r="AB153" s="197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4.0219034878595149E-2</v>
      </c>
      <c r="AD153" s="231">
        <f>(INDEX(Models!$BJ153:$BT153,,AH153)*(1-AF153)+INDEX(Models!$BJ153:$BT153,,AH153+1)*AF153-ERP_i)*AE153*Ramure*Pc/MaxiM</f>
        <v>8.1114202369858329E-4</v>
      </c>
      <c r="AE153" s="305">
        <f t="shared" si="62"/>
        <v>0.7</v>
      </c>
      <c r="AF153" s="177">
        <f t="shared" si="63"/>
        <v>0.64369331121184481</v>
      </c>
      <c r="AG153" s="176">
        <f t="shared" si="64"/>
        <v>-2</v>
      </c>
      <c r="AH153" s="176">
        <f t="shared" si="65"/>
        <v>4</v>
      </c>
      <c r="AI153" s="225">
        <f t="shared" si="66"/>
        <v>-1.3563066887881552</v>
      </c>
      <c r="AJ153" s="265" t="b">
        <f t="shared" si="67"/>
        <v>1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8">
        <v>45.854999999999997</v>
      </c>
      <c r="C154" s="390"/>
      <c r="D154" s="393">
        <f t="shared" si="48"/>
        <v>46.220021032148047</v>
      </c>
      <c r="E154" s="385">
        <f t="shared" si="70"/>
        <v>48.162959155247108</v>
      </c>
      <c r="F154" s="385">
        <f t="shared" si="49"/>
        <v>48.192688308848368</v>
      </c>
      <c r="G154" s="110">
        <f t="shared" si="71"/>
        <v>0.80646153530992903</v>
      </c>
      <c r="H154" s="412" t="b">
        <f>Wh_hp&gt;='2018'!Maxi_hp</f>
        <v>1</v>
      </c>
      <c r="I154" s="390">
        <f>IF(H154,Wh_hp,'2018'!Maxi_hp)</f>
        <v>48.192688308848368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7.8974657301467133E-3</v>
      </c>
      <c r="M154" s="957"/>
      <c r="N154" s="957"/>
      <c r="O154" s="48">
        <f>IF(t&lt;Tnet,'2018'!Resal+('2018'!Salim-'2018'!Resal)*(1-EXP(('2018'!Tnet-t)/('2018'!Tau_j))),Resal+(Salim-Resal)*(1-EXP((Tnet-t)/(Tau_j))))*Salcycl</f>
        <v>4.0340920848244588E-2</v>
      </c>
      <c r="P154" s="169">
        <f>(INDEX(Models!$BJ154:$BT154,,T154)*(1-R154)+INDEX(Models!$BJ154:$BT154,,T154+1)*R154-ERP_i)*Q154*Ramure*Pc/MaxiM</f>
        <v>8.5229522722338256E-4</v>
      </c>
      <c r="Q154" s="305">
        <f t="shared" si="51"/>
        <v>0.7</v>
      </c>
      <c r="R154" s="177">
        <f t="shared" si="52"/>
        <v>0.64795232651950552</v>
      </c>
      <c r="S154" s="919">
        <f t="shared" si="53"/>
        <v>-2</v>
      </c>
      <c r="T154" s="176">
        <f t="shared" si="54"/>
        <v>4</v>
      </c>
      <c r="U154" s="251">
        <f t="shared" si="55"/>
        <v>-1.3520476734804945</v>
      </c>
      <c r="V154" s="383">
        <f t="shared" si="56"/>
        <v>56.846106615058055</v>
      </c>
      <c r="W154" s="58"/>
      <c r="X154" s="157">
        <f t="shared" si="57"/>
        <v>43605</v>
      </c>
      <c r="Y154" s="385">
        <f t="shared" si="58"/>
        <v>45.854999999999997</v>
      </c>
      <c r="Z154" s="385">
        <f t="shared" si="59"/>
        <v>46.220021032148047</v>
      </c>
      <c r="AA154" s="386">
        <f t="shared" si="60"/>
        <v>48.162959155247108</v>
      </c>
      <c r="AB154" s="197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4.0340920848244588E-2</v>
      </c>
      <c r="AD154" s="231">
        <f>(INDEX(Models!$BJ154:$BT154,,AH154)*(1-AF154)+INDEX(Models!$BJ154:$BT154,,AH154+1)*AF154-ERP_i)*AE154*Ramure*Pc/MaxiM</f>
        <v>8.5229522722338256E-4</v>
      </c>
      <c r="AE154" s="305">
        <f t="shared" si="62"/>
        <v>0.7</v>
      </c>
      <c r="AF154" s="177">
        <f t="shared" si="63"/>
        <v>0.64795232651950552</v>
      </c>
      <c r="AG154" s="176">
        <f t="shared" si="64"/>
        <v>-2</v>
      </c>
      <c r="AH154" s="176">
        <f t="shared" si="65"/>
        <v>4</v>
      </c>
      <c r="AI154" s="225">
        <f t="shared" si="66"/>
        <v>-1.3520476734804945</v>
      </c>
      <c r="AJ154" s="265" t="b">
        <f t="shared" si="67"/>
        <v>1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8">
        <v>47.521999999999998</v>
      </c>
      <c r="C155" s="390"/>
      <c r="D155" s="393">
        <f t="shared" si="48"/>
        <v>47.901340068176395</v>
      </c>
      <c r="E155" s="385">
        <f t="shared" si="70"/>
        <v>49.921306106806455</v>
      </c>
      <c r="F155" s="385">
        <f t="shared" si="49"/>
        <v>49.955531079029591</v>
      </c>
      <c r="G155" s="110">
        <f t="shared" si="71"/>
        <v>0.83595385114681897</v>
      </c>
      <c r="H155" s="412" t="b">
        <f>Wh_hp&gt;='2018'!Maxi_hp</f>
        <v>1</v>
      </c>
      <c r="I155" s="390">
        <f>IF(H155,Wh_hp,'2018'!Maxi_hp)</f>
        <v>49.955531079029591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7.9191953218112898E-3</v>
      </c>
      <c r="M155" s="957"/>
      <c r="N155" s="957"/>
      <c r="O155" s="48">
        <f>IF(t&lt;Tnet,'2018'!Resal+('2018'!Salim-'2018'!Resal)*(1-EXP(('2018'!Tnet-t)/('2018'!Tau_j))),Resal+(Salim-Resal)*(1-EXP((Tnet-t)/(Tau_j))))*Salcycl</f>
        <v>4.0463004599846635E-2</v>
      </c>
      <c r="P155" s="169">
        <f>(INDEX(Models!$BJ155:$BT155,,T155)*(1-R155)+INDEX(Models!$BJ155:$BT155,,T155+1)*R155-ERP_i)*Q155*Ramure*Pc/MaxiM</f>
        <v>8.9451620707630384E-4</v>
      </c>
      <c r="Q155" s="305">
        <f t="shared" si="51"/>
        <v>0.7</v>
      </c>
      <c r="R155" s="177">
        <f t="shared" si="52"/>
        <v>0.65228309404044826</v>
      </c>
      <c r="S155" s="919">
        <f t="shared" si="53"/>
        <v>-2</v>
      </c>
      <c r="T155" s="176">
        <f t="shared" si="54"/>
        <v>4</v>
      </c>
      <c r="U155" s="251">
        <f t="shared" si="55"/>
        <v>-1.3477169059595517</v>
      </c>
      <c r="V155" s="383">
        <f t="shared" si="56"/>
        <v>56.835723230259759</v>
      </c>
      <c r="W155" s="58"/>
      <c r="X155" s="157">
        <f t="shared" si="57"/>
        <v>43606</v>
      </c>
      <c r="Y155" s="385">
        <f t="shared" si="58"/>
        <v>47.521999999999998</v>
      </c>
      <c r="Z155" s="385">
        <f t="shared" si="59"/>
        <v>47.901340068176395</v>
      </c>
      <c r="AA155" s="386">
        <f t="shared" si="60"/>
        <v>49.921306106806455</v>
      </c>
      <c r="AB155" s="197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4.0463004599846635E-2</v>
      </c>
      <c r="AD155" s="231">
        <f>(INDEX(Models!$BJ155:$BT155,,AH155)*(1-AF155)+INDEX(Models!$BJ155:$BT155,,AH155+1)*AF155-ERP_i)*AE155*Ramure*Pc/MaxiM</f>
        <v>8.9451620707630384E-4</v>
      </c>
      <c r="AE155" s="305">
        <f t="shared" si="62"/>
        <v>0.7</v>
      </c>
      <c r="AF155" s="177">
        <f t="shared" si="63"/>
        <v>0.65228309404044826</v>
      </c>
      <c r="AG155" s="176">
        <f t="shared" si="64"/>
        <v>-2</v>
      </c>
      <c r="AH155" s="176">
        <f t="shared" si="65"/>
        <v>4</v>
      </c>
      <c r="AI155" s="225">
        <f t="shared" si="66"/>
        <v>-1.3477169059595517</v>
      </c>
      <c r="AJ155" s="265" t="b">
        <f t="shared" si="67"/>
        <v>1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8">
        <v>55.798000000000002</v>
      </c>
      <c r="C156" s="390"/>
      <c r="D156" s="393">
        <f t="shared" si="48"/>
        <v>56.244634391721839</v>
      </c>
      <c r="E156" s="385">
        <f t="shared" si="70"/>
        <v>58.623900371446233</v>
      </c>
      <c r="F156" s="385">
        <f t="shared" si="49"/>
        <v>58.677512490213942</v>
      </c>
      <c r="G156" s="110">
        <f t="shared" si="71"/>
        <v>0.98194400314357677</v>
      </c>
      <c r="H156" s="412" t="b">
        <f>Wh_hp&gt;='2018'!Maxi_hp</f>
        <v>1</v>
      </c>
      <c r="I156" s="390">
        <f>IF(H156,Wh_hp,'2018'!Maxi_hp)</f>
        <v>58.677512490213942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7.9409244375420185E-3</v>
      </c>
      <c r="M156" s="957"/>
      <c r="N156" s="957"/>
      <c r="O156" s="48">
        <f>IF(t&lt;Tnet,'2018'!Resal+('2018'!Salim-'2018'!Resal)*(1-EXP(('2018'!Tnet-t)/('2018'!Tau_j))),Resal+(Salim-Resal)*(1-EXP((Tnet-t)/(Tau_j))))*Salcycl</f>
        <v>4.0585255580900523E-2</v>
      </c>
      <c r="P156" s="169">
        <f>(INDEX(Models!$BJ156:$BT156,,T156)*(1-R156)+INDEX(Models!$BJ156:$BT156,,T156+1)*R156-ERP_i)*Q156*Ramure*Pc/MaxiM</f>
        <v>9.3783293466959128E-4</v>
      </c>
      <c r="Q156" s="305">
        <f t="shared" si="51"/>
        <v>0.7</v>
      </c>
      <c r="R156" s="177">
        <f t="shared" si="52"/>
        <v>0.65668369428600393</v>
      </c>
      <c r="S156" s="919">
        <f t="shared" si="53"/>
        <v>-2</v>
      </c>
      <c r="T156" s="176">
        <f t="shared" si="54"/>
        <v>4</v>
      </c>
      <c r="U156" s="251">
        <f t="shared" si="55"/>
        <v>-1.3433163057139961</v>
      </c>
      <c r="V156" s="383">
        <f t="shared" si="56"/>
        <v>56.822640160254984</v>
      </c>
      <c r="W156" s="58"/>
      <c r="X156" s="157">
        <f t="shared" si="57"/>
        <v>43607</v>
      </c>
      <c r="Y156" s="385">
        <f t="shared" si="58"/>
        <v>55.798000000000002</v>
      </c>
      <c r="Z156" s="385">
        <f t="shared" si="59"/>
        <v>56.244634391721839</v>
      </c>
      <c r="AA156" s="386">
        <f t="shared" si="60"/>
        <v>58.623900371446233</v>
      </c>
      <c r="AB156" s="197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4.0585255580900523E-2</v>
      </c>
      <c r="AD156" s="231">
        <f>(INDEX(Models!$BJ156:$BT156,,AH156)*(1-AF156)+INDEX(Models!$BJ156:$BT156,,AH156+1)*AF156-ERP_i)*AE156*Ramure*Pc/MaxiM</f>
        <v>9.3783293466959128E-4</v>
      </c>
      <c r="AE156" s="305">
        <f t="shared" si="62"/>
        <v>0.7</v>
      </c>
      <c r="AF156" s="177">
        <f t="shared" si="63"/>
        <v>0.65668369428600393</v>
      </c>
      <c r="AG156" s="176">
        <f t="shared" si="64"/>
        <v>-2</v>
      </c>
      <c r="AH156" s="176">
        <f t="shared" si="65"/>
        <v>4</v>
      </c>
      <c r="AI156" s="225">
        <f t="shared" si="66"/>
        <v>-1.3433163057139961</v>
      </c>
      <c r="AJ156" s="265" t="b">
        <f t="shared" si="67"/>
        <v>1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8">
        <v>50.908999999999999</v>
      </c>
      <c r="C157" s="390"/>
      <c r="D157" s="393">
        <f t="shared" si="48"/>
        <v>51.317624440170782</v>
      </c>
      <c r="E157" s="385">
        <f t="shared" si="70"/>
        <v>53.495291628919475</v>
      </c>
      <c r="F157" s="385">
        <f t="shared" si="49"/>
        <v>53.540079573296268</v>
      </c>
      <c r="G157" s="110">
        <f t="shared" si="71"/>
        <v>0.89604465259310029</v>
      </c>
      <c r="H157" s="412" t="b">
        <f>Wh_hp&gt;='2018'!Maxi_hp</f>
        <v>1</v>
      </c>
      <c r="I157" s="390">
        <f>IF(H157,Wh_hp,'2018'!Maxi_hp)</f>
        <v>53.540079573296268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7.9626530773493354E-3</v>
      </c>
      <c r="M157" s="957"/>
      <c r="N157" s="957"/>
      <c r="O157" s="48">
        <f>IF(t&lt;Tnet,'2018'!Resal+('2018'!Salim-'2018'!Resal)*(1-EXP(('2018'!Tnet-t)/('2018'!Tau_j))),Resal+(Salim-Resal)*(1-EXP((Tnet-t)/(Tau_j))))*Salcycl</f>
        <v>4.0707642157640805E-2</v>
      </c>
      <c r="P157" s="169">
        <f>(INDEX(Models!$BJ157:$BT157,,T157)*(1-R157)+INDEX(Models!$BJ157:$BT157,,T157+1)*R157-ERP_i)*Q157*Ramure*Pc/MaxiM</f>
        <v>9.8221410129879327E-4</v>
      </c>
      <c r="Q157" s="305">
        <f t="shared" si="51"/>
        <v>0.7</v>
      </c>
      <c r="R157" s="177">
        <f t="shared" si="52"/>
        <v>0.66115202561777631</v>
      </c>
      <c r="S157" s="919">
        <f t="shared" si="53"/>
        <v>-2</v>
      </c>
      <c r="T157" s="176">
        <f t="shared" si="54"/>
        <v>4</v>
      </c>
      <c r="U157" s="251">
        <f t="shared" si="55"/>
        <v>-1.3388479743822237</v>
      </c>
      <c r="V157" s="383">
        <f t="shared" si="56"/>
        <v>56.806964998870846</v>
      </c>
      <c r="W157" s="58"/>
      <c r="X157" s="157">
        <f t="shared" si="57"/>
        <v>43608</v>
      </c>
      <c r="Y157" s="385">
        <f t="shared" si="58"/>
        <v>50.908999999999999</v>
      </c>
      <c r="Z157" s="385">
        <f t="shared" si="59"/>
        <v>51.317624440170782</v>
      </c>
      <c r="AA157" s="386">
        <f t="shared" si="60"/>
        <v>53.495291628919475</v>
      </c>
      <c r="AB157" s="197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4.0707642157640805E-2</v>
      </c>
      <c r="AD157" s="231">
        <f>(INDEX(Models!$BJ157:$BT157,,AH157)*(1-AF157)+INDEX(Models!$BJ157:$BT157,,AH157+1)*AF157-ERP_i)*AE157*Ramure*Pc/MaxiM</f>
        <v>9.8221410129879327E-4</v>
      </c>
      <c r="AE157" s="305">
        <f t="shared" si="62"/>
        <v>0.7</v>
      </c>
      <c r="AF157" s="177">
        <f t="shared" si="63"/>
        <v>0.66115202561777631</v>
      </c>
      <c r="AG157" s="176">
        <f t="shared" si="64"/>
        <v>-2</v>
      </c>
      <c r="AH157" s="176">
        <f t="shared" si="65"/>
        <v>4</v>
      </c>
      <c r="AI157" s="225">
        <f t="shared" si="66"/>
        <v>-1.3388479743822237</v>
      </c>
      <c r="AJ157" s="265" t="b">
        <f t="shared" si="67"/>
        <v>1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8">
        <v>12.917999999999999</v>
      </c>
      <c r="C158" s="390"/>
      <c r="D158" s="393">
        <f t="shared" si="48"/>
        <v>13.021972392091406</v>
      </c>
      <c r="E158" s="385">
        <f t="shared" si="70"/>
        <v>13.576294275324324</v>
      </c>
      <c r="F158" s="385">
        <f t="shared" si="49"/>
        <v>13.576294275324324</v>
      </c>
      <c r="G158" s="110">
        <f t="shared" si="71"/>
        <v>0.22724065104696278</v>
      </c>
      <c r="H158" s="412" t="b">
        <f>Wh_hp&gt;='2018'!Maxi_hp</f>
        <v>1</v>
      </c>
      <c r="I158" s="390">
        <f>IF(H158,Wh_hp,'2018'!Maxi_hp)</f>
        <v>13.576294275324324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7.9843812412436765E-3</v>
      </c>
      <c r="M158" s="957"/>
      <c r="N158" s="957"/>
      <c r="O158" s="48">
        <f>IF(t&lt;Tnet,'2018'!Resal+('2018'!Salim-'2018'!Resal)*(1-EXP(('2018'!Tnet-t)/('2018'!Tau_j))),Resal+(Salim-Resal)*(1-EXP((Tnet-t)/(Tau_j))))*Salcycl</f>
        <v>4.0830131698045884E-2</v>
      </c>
      <c r="P158" s="169">
        <f>(INDEX(Models!$BJ158:$BT158,,T158)*(1-R158)+INDEX(Models!$BJ158:$BT158,,T158+1)*R158-ERP_i)*Q158*Ramure*Pc/MaxiM</f>
        <v>1.0276669072116639E-3</v>
      </c>
      <c r="Q158" s="305">
        <f t="shared" si="51"/>
        <v>0.7</v>
      </c>
      <c r="R158" s="177">
        <f t="shared" si="52"/>
        <v>0.66568580514860565</v>
      </c>
      <c r="S158" s="919">
        <f t="shared" si="53"/>
        <v>-2</v>
      </c>
      <c r="T158" s="176">
        <f t="shared" si="54"/>
        <v>4</v>
      </c>
      <c r="U158" s="251">
        <f t="shared" si="55"/>
        <v>-1.3343141948513944</v>
      </c>
      <c r="V158" s="383">
        <f t="shared" si="56"/>
        <v>56.788803145198166</v>
      </c>
      <c r="W158" s="58"/>
      <c r="X158" s="157">
        <f t="shared" si="57"/>
        <v>43609</v>
      </c>
      <c r="Y158" s="385">
        <f t="shared" si="58"/>
        <v>12.917999999999999</v>
      </c>
      <c r="Z158" s="385">
        <f t="shared" si="59"/>
        <v>13.021972392091406</v>
      </c>
      <c r="AA158" s="386">
        <f t="shared" si="60"/>
        <v>13.576294275324324</v>
      </c>
      <c r="AB158" s="197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4.0830131698045884E-2</v>
      </c>
      <c r="AD158" s="231">
        <f>(INDEX(Models!$BJ158:$BT158,,AH158)*(1-AF158)+INDEX(Models!$BJ158:$BT158,,AH158+1)*AF158-ERP_i)*AE158*Ramure*Pc/MaxiM</f>
        <v>1.0276669072116639E-3</v>
      </c>
      <c r="AE158" s="305">
        <f t="shared" si="62"/>
        <v>0.7</v>
      </c>
      <c r="AF158" s="177">
        <f t="shared" si="63"/>
        <v>0.66568580514860565</v>
      </c>
      <c r="AG158" s="176">
        <f t="shared" si="64"/>
        <v>-2</v>
      </c>
      <c r="AH158" s="176">
        <f t="shared" si="65"/>
        <v>4</v>
      </c>
      <c r="AI158" s="225">
        <f t="shared" si="66"/>
        <v>-1.3343141948513944</v>
      </c>
      <c r="AJ158" s="265" t="b">
        <f t="shared" si="67"/>
        <v>1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8">
        <v>25.373000000000001</v>
      </c>
      <c r="C159" s="390"/>
      <c r="D159" s="393">
        <f t="shared" si="48"/>
        <v>25.577778480684213</v>
      </c>
      <c r="E159" s="385">
        <f t="shared" si="70"/>
        <v>26.669986174461165</v>
      </c>
      <c r="F159" s="385">
        <f t="shared" si="49"/>
        <v>26.676002072384083</v>
      </c>
      <c r="G159" s="110">
        <f t="shared" si="71"/>
        <v>0.44657809761739492</v>
      </c>
      <c r="H159" s="412" t="b">
        <f>Wh_hp&gt;='2018'!Maxi_hp</f>
        <v>1</v>
      </c>
      <c r="I159" s="390">
        <f>IF(H159,Wh_hp,'2018'!Maxi_hp)</f>
        <v>26.676002072384083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8.0061089292354781E-3</v>
      </c>
      <c r="M159" s="957"/>
      <c r="N159" s="957"/>
      <c r="O159" s="48">
        <f>IF(t&lt;Tnet,'2018'!Resal+('2018'!Salim-'2018'!Resal)*(1-EXP(('2018'!Tnet-t)/('2018'!Tau_j))),Resal+(Salim-Resal)*(1-EXP((Tnet-t)/(Tau_j))))*Salcycl</f>
        <v>4.0952690662540932E-2</v>
      </c>
      <c r="P159" s="169">
        <f>(INDEX(Models!$BJ159:$BT159,,T159)*(1-R159)+INDEX(Models!$BJ159:$BT159,,T159+1)*R159-ERP_i)*Q159*Ramure*Pc/MaxiM</f>
        <v>1.0742020418808777E-3</v>
      </c>
      <c r="Q159" s="305">
        <f t="shared" si="51"/>
        <v>0.7</v>
      </c>
      <c r="R159" s="177">
        <f t="shared" si="52"/>
        <v>0.6702825705663229</v>
      </c>
      <c r="S159" s="919">
        <f t="shared" si="53"/>
        <v>-2</v>
      </c>
      <c r="T159" s="176">
        <f t="shared" si="54"/>
        <v>4</v>
      </c>
      <c r="U159" s="251">
        <f t="shared" si="55"/>
        <v>-1.3297174294336771</v>
      </c>
      <c r="V159" s="383">
        <f t="shared" si="56"/>
        <v>56.76825979162404</v>
      </c>
      <c r="W159" s="58"/>
      <c r="X159" s="157">
        <f t="shared" si="57"/>
        <v>43610</v>
      </c>
      <c r="Y159" s="385">
        <f t="shared" si="58"/>
        <v>25.373000000000001</v>
      </c>
      <c r="Z159" s="385">
        <f t="shared" si="59"/>
        <v>25.577778480684213</v>
      </c>
      <c r="AA159" s="386">
        <f t="shared" si="60"/>
        <v>26.669986174461165</v>
      </c>
      <c r="AB159" s="197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4.0952690662540932E-2</v>
      </c>
      <c r="AD159" s="231">
        <f>(INDEX(Models!$BJ159:$BT159,,AH159)*(1-AF159)+INDEX(Models!$BJ159:$BT159,,AH159+1)*AF159-ERP_i)*AE159*Ramure*Pc/MaxiM</f>
        <v>1.0742020418808777E-3</v>
      </c>
      <c r="AE159" s="305">
        <f t="shared" si="62"/>
        <v>0.7</v>
      </c>
      <c r="AF159" s="177">
        <f t="shared" si="63"/>
        <v>0.6702825705663229</v>
      </c>
      <c r="AG159" s="176">
        <f t="shared" si="64"/>
        <v>-2</v>
      </c>
      <c r="AH159" s="176">
        <f t="shared" si="65"/>
        <v>4</v>
      </c>
      <c r="AI159" s="225">
        <f t="shared" si="66"/>
        <v>-1.3297174294336771</v>
      </c>
      <c r="AJ159" s="265" t="b">
        <f t="shared" si="67"/>
        <v>1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8">
        <v>20.041</v>
      </c>
      <c r="C160" s="390"/>
      <c r="D160" s="393">
        <f t="shared" si="48"/>
        <v>20.203187881848084</v>
      </c>
      <c r="E160" s="385">
        <f t="shared" si="70"/>
        <v>21.068586052213181</v>
      </c>
      <c r="F160" s="385">
        <f t="shared" si="49"/>
        <v>21.070381604313347</v>
      </c>
      <c r="G160" s="110">
        <f t="shared" si="71"/>
        <v>0.35280761631006208</v>
      </c>
      <c r="H160" s="412" t="b">
        <f>Wh_hp&gt;='2018'!Maxi_hp</f>
        <v>1</v>
      </c>
      <c r="I160" s="390">
        <f>IF(H160,Wh_hp,'2018'!Maxi_hp)</f>
        <v>21.070381604313347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8.0278361413351762E-3</v>
      </c>
      <c r="M160" s="957"/>
      <c r="N160" s="957"/>
      <c r="O160" s="48">
        <f>IF(t&lt;Tnet,'2018'!Resal+('2018'!Salim-'2018'!Resal)*(1-EXP(('2018'!Tnet-t)/('2018'!Tau_j))),Resal+(Salim-Resal)*(1-EXP((Tnet-t)/(Tau_j))))*Salcycl</f>
        <v>4.1075284702087954E-2</v>
      </c>
      <c r="P160" s="169">
        <f>(INDEX(Models!$BJ160:$BT160,,T160)*(1-R160)+INDEX(Models!$BJ160:$BT160,,T160+1)*R160-ERP_i)*Q160*Ramure*Pc/MaxiM</f>
        <v>1.1218281902881985E-3</v>
      </c>
      <c r="Q160" s="305">
        <f t="shared" si="51"/>
        <v>0.7</v>
      </c>
      <c r="R160" s="177">
        <f t="shared" si="52"/>
        <v>0.67493968290715523</v>
      </c>
      <c r="S160" s="919">
        <f t="shared" si="53"/>
        <v>-2</v>
      </c>
      <c r="T160" s="176">
        <f t="shared" si="54"/>
        <v>4</v>
      </c>
      <c r="U160" s="251">
        <f t="shared" si="55"/>
        <v>-1.3250603170928448</v>
      </c>
      <c r="V160" s="383">
        <f t="shared" si="56"/>
        <v>56.745440224711679</v>
      </c>
      <c r="W160" s="58"/>
      <c r="X160" s="157">
        <f t="shared" si="57"/>
        <v>43611</v>
      </c>
      <c r="Y160" s="385">
        <f t="shared" si="58"/>
        <v>20.041</v>
      </c>
      <c r="Z160" s="385">
        <f t="shared" si="59"/>
        <v>20.203187881848084</v>
      </c>
      <c r="AA160" s="386">
        <f t="shared" si="60"/>
        <v>21.068586052213181</v>
      </c>
      <c r="AB160" s="197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4.1075284702087954E-2</v>
      </c>
      <c r="AD160" s="231">
        <f>(INDEX(Models!$BJ160:$BT160,,AH160)*(1-AF160)+INDEX(Models!$BJ160:$BT160,,AH160+1)*AF160-ERP_i)*AE160*Ramure*Pc/MaxiM</f>
        <v>1.1218281902881985E-3</v>
      </c>
      <c r="AE160" s="305">
        <f t="shared" si="62"/>
        <v>0.7</v>
      </c>
      <c r="AF160" s="177">
        <f t="shared" si="63"/>
        <v>0.67493968290715523</v>
      </c>
      <c r="AG160" s="176">
        <f t="shared" si="64"/>
        <v>-2</v>
      </c>
      <c r="AH160" s="176">
        <f t="shared" si="65"/>
        <v>4</v>
      </c>
      <c r="AI160" s="225">
        <f t="shared" si="66"/>
        <v>-1.3250603170928448</v>
      </c>
      <c r="AJ160" s="265" t="b">
        <f t="shared" si="67"/>
        <v>1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8">
        <v>24.469000000000001</v>
      </c>
      <c r="C161" s="390"/>
      <c r="D161" s="393">
        <f t="shared" si="48"/>
        <v>24.667563100211158</v>
      </c>
      <c r="E161" s="385">
        <f t="shared" si="70"/>
        <v>25.727480732305402</v>
      </c>
      <c r="F161" s="385">
        <f t="shared" si="49"/>
        <v>25.733134903239144</v>
      </c>
      <c r="G161" s="110">
        <f t="shared" si="71"/>
        <v>0.43098616349045171</v>
      </c>
      <c r="H161" s="412" t="b">
        <f>Wh_hp&gt;='2018'!Maxi_hp</f>
        <v>1</v>
      </c>
      <c r="I161" s="390">
        <f>IF(H161,Wh_hp,'2018'!Maxi_hp)</f>
        <v>25.733134903239144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8.0495628775530959E-3</v>
      </c>
      <c r="M161" s="957"/>
      <c r="N161" s="957"/>
      <c r="O161" s="48">
        <f>IF(t&lt;Tnet,'2018'!Resal+('2018'!Salim-'2018'!Resal)*(1-EXP(('2018'!Tnet-t)/('2018'!Tau_j))),Resal+(Salim-Resal)*(1-EXP((Tnet-t)/(Tau_j))))*Salcycl</f>
        <v>4.1197878763284027E-2</v>
      </c>
      <c r="P161" s="169">
        <f>(INDEX(Models!$BJ161:$BT161,,T161)*(1-R161)+INDEX(Models!$BJ161:$BT161,,T161+1)*R161-ERP_i)*Q161*Ramure*Pc/MaxiM</f>
        <v>1.1705519311509341E-3</v>
      </c>
      <c r="Q161" s="305">
        <f t="shared" si="51"/>
        <v>0.7</v>
      </c>
      <c r="R161" s="177">
        <f t="shared" si="52"/>
        <v>0.67965433029813105</v>
      </c>
      <c r="S161" s="919">
        <f t="shared" si="53"/>
        <v>-2</v>
      </c>
      <c r="T161" s="176">
        <f t="shared" si="54"/>
        <v>4</v>
      </c>
      <c r="U161" s="251">
        <f t="shared" si="55"/>
        <v>-1.320345669701869</v>
      </c>
      <c r="V161" s="383">
        <f t="shared" si="56"/>
        <v>56.720449827460705</v>
      </c>
      <c r="W161" s="58"/>
      <c r="X161" s="157">
        <f t="shared" si="57"/>
        <v>43612</v>
      </c>
      <c r="Y161" s="385">
        <f t="shared" si="58"/>
        <v>24.469000000000001</v>
      </c>
      <c r="Z161" s="385">
        <f t="shared" si="59"/>
        <v>24.667563100211158</v>
      </c>
      <c r="AA161" s="386">
        <f t="shared" si="60"/>
        <v>25.727480732305402</v>
      </c>
      <c r="AB161" s="197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4.1197878763284027E-2</v>
      </c>
      <c r="AD161" s="231">
        <f>(INDEX(Models!$BJ161:$BT161,,AH161)*(1-AF161)+INDEX(Models!$BJ161:$BT161,,AH161+1)*AF161-ERP_i)*AE161*Ramure*Pc/MaxiM</f>
        <v>1.1705519311509341E-3</v>
      </c>
      <c r="AE161" s="305">
        <f t="shared" si="62"/>
        <v>0.7</v>
      </c>
      <c r="AF161" s="177">
        <f t="shared" si="63"/>
        <v>0.67965433029813105</v>
      </c>
      <c r="AG161" s="176">
        <f t="shared" si="64"/>
        <v>-2</v>
      </c>
      <c r="AH161" s="176">
        <f t="shared" si="65"/>
        <v>4</v>
      </c>
      <c r="AI161" s="225">
        <f t="shared" si="66"/>
        <v>-1.320345669701869</v>
      </c>
      <c r="AJ161" s="265" t="b">
        <f t="shared" si="67"/>
        <v>1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8">
        <v>26.635000000000002</v>
      </c>
      <c r="C162" s="390"/>
      <c r="D162" s="393">
        <f t="shared" si="48"/>
        <v>26.851728061032855</v>
      </c>
      <c r="E162" s="385">
        <f t="shared" si="70"/>
        <v>28.009075297910758</v>
      </c>
      <c r="F162" s="385">
        <f t="shared" si="49"/>
        <v>28.017369626844335</v>
      </c>
      <c r="G162" s="110">
        <f t="shared" si="71"/>
        <v>0.46937343362755668</v>
      </c>
      <c r="H162" s="412" t="b">
        <f>Wh_hp&gt;='2018'!Maxi_hp</f>
        <v>1</v>
      </c>
      <c r="I162" s="390">
        <f>IF(H162,Wh_hp,'2018'!Maxi_hp)</f>
        <v>28.017369626844335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8.0712891378997842E-3</v>
      </c>
      <c r="M162" s="957"/>
      <c r="N162" s="957"/>
      <c r="O162" s="48">
        <f>IF(t&lt;Tnet,'2018'!Resal+('2018'!Salim-'2018'!Resal)*(1-EXP(('2018'!Tnet-t)/('2018'!Tau_j))),Resal+(Salim-Resal)*(1-EXP((Tnet-t)/(Tau_j))))*Salcycl</f>
        <v>4.1320437200018253E-2</v>
      </c>
      <c r="P162" s="169">
        <f>(INDEX(Models!$BJ162:$BT162,,T162)*(1-R162)+INDEX(Models!$BJ162:$BT162,,T162+1)*R162-ERP_i)*Q162*Ramure*Pc/MaxiM</f>
        <v>1.2203776425632061E-3</v>
      </c>
      <c r="Q162" s="305">
        <f t="shared" si="51"/>
        <v>0.7</v>
      </c>
      <c r="R162" s="177">
        <f t="shared" si="52"/>
        <v>0.68442353267967349</v>
      </c>
      <c r="S162" s="919">
        <f t="shared" si="53"/>
        <v>-2</v>
      </c>
      <c r="T162" s="176">
        <f t="shared" si="54"/>
        <v>4</v>
      </c>
      <c r="U162" s="251">
        <f t="shared" si="55"/>
        <v>-1.3155764673203265</v>
      </c>
      <c r="V162" s="383">
        <f t="shared" si="56"/>
        <v>56.69339407247594</v>
      </c>
      <c r="W162" s="58"/>
      <c r="X162" s="157">
        <f t="shared" si="57"/>
        <v>43613</v>
      </c>
      <c r="Y162" s="385">
        <f t="shared" si="58"/>
        <v>26.635000000000002</v>
      </c>
      <c r="Z162" s="385">
        <f t="shared" si="59"/>
        <v>26.851728061032855</v>
      </c>
      <c r="AA162" s="386">
        <f t="shared" si="60"/>
        <v>28.009075297910758</v>
      </c>
      <c r="AB162" s="197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4.1320437200018253E-2</v>
      </c>
      <c r="AD162" s="231">
        <f>(INDEX(Models!$BJ162:$BT162,,AH162)*(1-AF162)+INDEX(Models!$BJ162:$BT162,,AH162+1)*AF162-ERP_i)*AE162*Ramure*Pc/MaxiM</f>
        <v>1.2203776425632061E-3</v>
      </c>
      <c r="AE162" s="305">
        <f t="shared" si="62"/>
        <v>0.7</v>
      </c>
      <c r="AF162" s="177">
        <f t="shared" si="63"/>
        <v>0.68442353267967349</v>
      </c>
      <c r="AG162" s="176">
        <f t="shared" si="64"/>
        <v>-2</v>
      </c>
      <c r="AH162" s="176">
        <f t="shared" si="65"/>
        <v>4</v>
      </c>
      <c r="AI162" s="225">
        <f t="shared" si="66"/>
        <v>-1.3155764673203265</v>
      </c>
      <c r="AJ162" s="265" t="b">
        <f t="shared" si="67"/>
        <v>1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8">
        <v>31.343</v>
      </c>
      <c r="C163" s="390"/>
      <c r="D163" s="393">
        <f t="shared" si="48"/>
        <v>31.598728985205685</v>
      </c>
      <c r="E163" s="385">
        <f t="shared" si="70"/>
        <v>32.964890430393183</v>
      </c>
      <c r="F163" s="385">
        <f t="shared" si="49"/>
        <v>32.980052391122442</v>
      </c>
      <c r="G163" s="110">
        <f t="shared" si="71"/>
        <v>0.55268531530207454</v>
      </c>
      <c r="H163" s="412" t="b">
        <f>Wh_hp&gt;='2018'!Maxi_hp</f>
        <v>1</v>
      </c>
      <c r="I163" s="390">
        <f>IF(H163,Wh_hp,'2018'!Maxi_hp)</f>
        <v>32.980052391122442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8.0930149223855663E-3</v>
      </c>
      <c r="M163" s="957"/>
      <c r="N163" s="957"/>
      <c r="O163" s="48">
        <f>IF(t&lt;Tnet,'2018'!Resal+('2018'!Salim-'2018'!Resal)*(1-EXP(('2018'!Tnet-t)/('2018'!Tau_j))),Resal+(Salim-Resal)*(1-EXP((Tnet-t)/(Tau_j))))*Salcycl</f>
        <v>4.1442923891168569E-2</v>
      </c>
      <c r="P163" s="169">
        <f>(INDEX(Models!$BJ163:$BT163,,T163)*(1-R163)+INDEX(Models!$BJ163:$BT163,,T163+1)*R163-ERP_i)*Q163*Ramure*Pc/MaxiM</f>
        <v>1.2713081807093028E-3</v>
      </c>
      <c r="Q163" s="305">
        <f t="shared" si="51"/>
        <v>0.7</v>
      </c>
      <c r="R163" s="177">
        <f t="shared" si="52"/>
        <v>0.68924414751089547</v>
      </c>
      <c r="S163" s="919">
        <f t="shared" si="53"/>
        <v>-2</v>
      </c>
      <c r="T163" s="176">
        <f t="shared" si="54"/>
        <v>4</v>
      </c>
      <c r="U163" s="251">
        <f t="shared" si="55"/>
        <v>-1.3107558524891045</v>
      </c>
      <c r="V163" s="383">
        <f t="shared" si="56"/>
        <v>56.664344388237161</v>
      </c>
      <c r="W163" s="58"/>
      <c r="X163" s="157">
        <f t="shared" si="57"/>
        <v>43614</v>
      </c>
      <c r="Y163" s="385">
        <f t="shared" si="58"/>
        <v>31.343000000000004</v>
      </c>
      <c r="Z163" s="385">
        <f t="shared" si="59"/>
        <v>31.598728985205689</v>
      </c>
      <c r="AA163" s="386">
        <f t="shared" si="60"/>
        <v>32.964890430393183</v>
      </c>
      <c r="AB163" s="197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4.1442923891168569E-2</v>
      </c>
      <c r="AD163" s="231">
        <f>(INDEX(Models!$BJ163:$BT163,,AH163)*(1-AF163)+INDEX(Models!$BJ163:$BT163,,AH163+1)*AF163-ERP_i)*AE163*Ramure*Pc/MaxiM</f>
        <v>1.2713081807093028E-3</v>
      </c>
      <c r="AE163" s="305">
        <f t="shared" si="62"/>
        <v>0.7</v>
      </c>
      <c r="AF163" s="177">
        <f t="shared" si="63"/>
        <v>0.68924414751089547</v>
      </c>
      <c r="AG163" s="176">
        <f t="shared" si="64"/>
        <v>-2</v>
      </c>
      <c r="AH163" s="176">
        <f t="shared" si="65"/>
        <v>4</v>
      </c>
      <c r="AI163" s="225">
        <f t="shared" si="66"/>
        <v>-1.3107558524891045</v>
      </c>
      <c r="AJ163" s="265" t="b">
        <f t="shared" si="67"/>
        <v>1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8">
        <v>55.564999999999998</v>
      </c>
      <c r="C164" s="390"/>
      <c r="D164" s="393">
        <f t="shared" si="48"/>
        <v>56.01958437505332</v>
      </c>
      <c r="E164" s="385">
        <f t="shared" si="70"/>
        <v>58.449036239205967</v>
      </c>
      <c r="F164" s="385">
        <f t="shared" si="49"/>
        <v>58.524365554999449</v>
      </c>
      <c r="G164" s="110">
        <f t="shared" si="71"/>
        <v>0.98110208621301342</v>
      </c>
      <c r="H164" s="412" t="b">
        <f>Wh_hp&gt;='2018'!Maxi_hp</f>
        <v>1</v>
      </c>
      <c r="I164" s="390">
        <f>IF(H164,Wh_hp,'2018'!Maxi_hp)</f>
        <v>58.524365554999449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8.1147402310209893E-3</v>
      </c>
      <c r="M164" s="957"/>
      <c r="N164" s="957"/>
      <c r="O164" s="48">
        <f>IF(t&lt;Tnet,'2018'!Resal+('2018'!Salim-'2018'!Resal)*(1-EXP(('2018'!Tnet-t)/('2018'!Tau_j))),Resal+(Salim-Resal)*(1-EXP((Tnet-t)/(Tau_j))))*Salcycl</f>
        <v>4.1565302363754615E-2</v>
      </c>
      <c r="P164" s="169">
        <f>(INDEX(Models!$BJ164:$BT164,,T164)*(1-R164)+INDEX(Models!$BJ164:$BT164,,T164+1)*R164-ERP_i)*Q164*Ramure*Pc/MaxiM</f>
        <v>1.3227897161490248E-3</v>
      </c>
      <c r="Q164" s="305">
        <f t="shared" si="51"/>
        <v>0.7</v>
      </c>
      <c r="R164" s="177">
        <f t="shared" si="52"/>
        <v>0.69411287645098296</v>
      </c>
      <c r="S164" s="919">
        <f t="shared" si="53"/>
        <v>-2</v>
      </c>
      <c r="T164" s="176">
        <f t="shared" si="54"/>
        <v>4</v>
      </c>
      <c r="U164" s="251">
        <f t="shared" si="55"/>
        <v>-1.305887123549017</v>
      </c>
      <c r="V164" s="383">
        <f t="shared" si="56"/>
        <v>56.633267426758934</v>
      </c>
      <c r="W164" s="58"/>
      <c r="X164" s="157">
        <f t="shared" si="57"/>
        <v>43615</v>
      </c>
      <c r="Y164" s="385">
        <f t="shared" si="58"/>
        <v>55.564999999999998</v>
      </c>
      <c r="Z164" s="385">
        <f t="shared" si="59"/>
        <v>56.01958437505332</v>
      </c>
      <c r="AA164" s="386">
        <f t="shared" si="60"/>
        <v>58.449036239205967</v>
      </c>
      <c r="AB164" s="197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4.1565302363754615E-2</v>
      </c>
      <c r="AD164" s="231">
        <f>(INDEX(Models!$BJ164:$BT164,,AH164)*(1-AF164)+INDEX(Models!$BJ164:$BT164,,AH164+1)*AF164-ERP_i)*AE164*Ramure*Pc/MaxiM</f>
        <v>1.3227897161490248E-3</v>
      </c>
      <c r="AE164" s="305">
        <f t="shared" si="62"/>
        <v>0.7</v>
      </c>
      <c r="AF164" s="177">
        <f t="shared" si="63"/>
        <v>0.69411287645098296</v>
      </c>
      <c r="AG164" s="176">
        <f t="shared" si="64"/>
        <v>-2</v>
      </c>
      <c r="AH164" s="176">
        <f t="shared" si="65"/>
        <v>4</v>
      </c>
      <c r="AI164" s="225">
        <f t="shared" si="66"/>
        <v>-1.305887123549017</v>
      </c>
      <c r="AJ164" s="265" t="b">
        <f t="shared" si="67"/>
        <v>1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8">
        <v>56.301000000000002</v>
      </c>
      <c r="C165" s="390"/>
      <c r="D165" s="393">
        <f t="shared" si="48"/>
        <v>56.76284893730103</v>
      </c>
      <c r="E165" s="385">
        <f t="shared" si="70"/>
        <v>59.232088765377661</v>
      </c>
      <c r="F165" s="385">
        <f t="shared" si="49"/>
        <v>59.313017833892296</v>
      </c>
      <c r="G165" s="110">
        <f t="shared" si="71"/>
        <v>0.9947058416605733</v>
      </c>
      <c r="H165" s="412" t="b">
        <f>Wh_hp&gt;='2018'!Maxi_hp</f>
        <v>1</v>
      </c>
      <c r="I165" s="390">
        <f>IF(H165,Wh_hp,'2018'!Maxi_hp)</f>
        <v>59.313017833892296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8.1364650638162672E-3</v>
      </c>
      <c r="M165" s="957"/>
      <c r="N165" s="957"/>
      <c r="O165" s="48">
        <f>IF(t&lt;Tnet,'2018'!Resal+('2018'!Salim-'2018'!Resal)*(1-EXP(('2018'!Tnet-t)/('2018'!Tau_j))),Resal+(Salim-Resal)*(1-EXP((Tnet-t)/(Tau_j))))*Salcycl</f>
        <v>4.1687535920900194E-2</v>
      </c>
      <c r="P165" s="169">
        <f>(INDEX(Models!$BJ165:$BT165,,T165)*(1-R165)+INDEX(Models!$BJ165:$BT165,,T165+1)*R165-ERP_i)*Q165*Ramure*Pc/MaxiM</f>
        <v>1.3748178036450422E-3</v>
      </c>
      <c r="Q165" s="305">
        <f t="shared" si="51"/>
        <v>0.7</v>
      </c>
      <c r="R165" s="177">
        <f t="shared" si="52"/>
        <v>0.6990262730006096</v>
      </c>
      <c r="S165" s="919">
        <f t="shared" si="53"/>
        <v>-2</v>
      </c>
      <c r="T165" s="176">
        <f t="shared" si="54"/>
        <v>4</v>
      </c>
      <c r="U165" s="251">
        <f t="shared" si="55"/>
        <v>-1.3009737269993904</v>
      </c>
      <c r="V165" s="383">
        <f t="shared" si="56"/>
        <v>56.600064638937667</v>
      </c>
      <c r="W165" s="58"/>
      <c r="X165" s="157">
        <f t="shared" si="57"/>
        <v>43616</v>
      </c>
      <c r="Y165" s="385">
        <f t="shared" si="58"/>
        <v>56.301000000000002</v>
      </c>
      <c r="Z165" s="385">
        <f t="shared" si="59"/>
        <v>56.76284893730103</v>
      </c>
      <c r="AA165" s="386">
        <f t="shared" si="60"/>
        <v>59.232088765377661</v>
      </c>
      <c r="AB165" s="197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4.1687535920900194E-2</v>
      </c>
      <c r="AD165" s="231">
        <f>(INDEX(Models!$BJ165:$BT165,,AH165)*(1-AF165)+INDEX(Models!$BJ165:$BT165,,AH165+1)*AF165-ERP_i)*AE165*Ramure*Pc/MaxiM</f>
        <v>1.3748178036450422E-3</v>
      </c>
      <c r="AE165" s="305">
        <f t="shared" si="62"/>
        <v>0.7</v>
      </c>
      <c r="AF165" s="177">
        <f t="shared" si="63"/>
        <v>0.6990262730006096</v>
      </c>
      <c r="AG165" s="176">
        <f t="shared" si="64"/>
        <v>-2</v>
      </c>
      <c r="AH165" s="176">
        <f t="shared" si="65"/>
        <v>4</v>
      </c>
      <c r="AI165" s="225">
        <f t="shared" si="66"/>
        <v>-1.3009737269993904</v>
      </c>
      <c r="AJ165" s="265" t="b">
        <f t="shared" si="67"/>
        <v>1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8">
        <v>57.256</v>
      </c>
      <c r="C166" s="390"/>
      <c r="D166" s="393">
        <f t="shared" si="48"/>
        <v>57.726947371338902</v>
      </c>
      <c r="E166" s="385">
        <f t="shared" si="70"/>
        <v>60.24579940977052</v>
      </c>
      <c r="F166" s="385">
        <f t="shared" si="49"/>
        <v>60.331915443766647</v>
      </c>
      <c r="G166" s="110">
        <f t="shared" si="71"/>
        <v>1.0122225033127856</v>
      </c>
      <c r="H166" s="412" t="b">
        <f>Wh_hp&gt;='2018'!Maxi_hp</f>
        <v>1</v>
      </c>
      <c r="I166" s="390">
        <f>IF(H166,Wh_hp,'2018'!Maxi_hp)</f>
        <v>60.331915443766647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8.1581894207820582E-3</v>
      </c>
      <c r="M166" s="957"/>
      <c r="N166" s="957"/>
      <c r="O166" s="48">
        <f>IF(t&lt;Tnet,'2018'!Resal+('2018'!Salim-'2018'!Resal)*(1-EXP(('2018'!Tnet-t)/('2018'!Tau_j))),Resal+(Salim-Resal)*(1-EXP((Tnet-t)/(Tau_j))))*Salcycl</f>
        <v>4.1809587773900807E-2</v>
      </c>
      <c r="P166" s="169">
        <f>(INDEX(Models!$BJ166:$BT166,,T166)*(1-R166)+INDEX(Models!$BJ166:$BT166,,T166+1)*R166-ERP_i)*Q166*Ramure*Pc/MaxiM</f>
        <v>1.4273711245981237E-3</v>
      </c>
      <c r="Q166" s="305">
        <f t="shared" si="51"/>
        <v>0.7</v>
      </c>
      <c r="R166" s="177">
        <f t="shared" si="52"/>
        <v>0.70398075107769187</v>
      </c>
      <c r="S166" s="919">
        <f t="shared" si="53"/>
        <v>-2</v>
      </c>
      <c r="T166" s="176">
        <f t="shared" si="54"/>
        <v>4</v>
      </c>
      <c r="U166" s="251">
        <f t="shared" si="55"/>
        <v>-1.2960192489223081</v>
      </c>
      <c r="V166" s="383">
        <f t="shared" si="56"/>
        <v>56.564638518323264</v>
      </c>
      <c r="W166" s="58"/>
      <c r="X166" s="157">
        <f t="shared" si="57"/>
        <v>43617</v>
      </c>
      <c r="Y166" s="385">
        <f t="shared" si="58"/>
        <v>57.256</v>
      </c>
      <c r="Z166" s="385">
        <f t="shared" si="59"/>
        <v>57.726947371338902</v>
      </c>
      <c r="AA166" s="386">
        <f t="shared" si="60"/>
        <v>60.24579940977052</v>
      </c>
      <c r="AB166" s="197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4.1809587773900807E-2</v>
      </c>
      <c r="AD166" s="231">
        <f>(INDEX(Models!$BJ166:$BT166,,AH166)*(1-AF166)+INDEX(Models!$BJ166:$BT166,,AH166+1)*AF166-ERP_i)*AE166*Ramure*Pc/MaxiM</f>
        <v>1.4273711245981237E-3</v>
      </c>
      <c r="AE166" s="305">
        <f t="shared" si="62"/>
        <v>0.7</v>
      </c>
      <c r="AF166" s="177">
        <f t="shared" si="63"/>
        <v>0.70398075107769187</v>
      </c>
      <c r="AG166" s="176">
        <f t="shared" si="64"/>
        <v>-2</v>
      </c>
      <c r="AH166" s="176">
        <f t="shared" si="65"/>
        <v>4</v>
      </c>
      <c r="AI166" s="225">
        <f t="shared" si="66"/>
        <v>-1.2960192489223081</v>
      </c>
      <c r="AJ166" s="265" t="b">
        <f t="shared" si="67"/>
        <v>1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8">
        <v>56.265999999999998</v>
      </c>
      <c r="C167" s="390"/>
      <c r="D167" s="393">
        <f t="shared" si="48"/>
        <v>56.7300468649698</v>
      </c>
      <c r="E167" s="385">
        <f t="shared" si="70"/>
        <v>59.212929135721438</v>
      </c>
      <c r="F167" s="385">
        <f t="shared" si="49"/>
        <v>59.300139796564821</v>
      </c>
      <c r="G167" s="110">
        <f t="shared" si="71"/>
        <v>0.99537491336461104</v>
      </c>
      <c r="H167" s="412" t="b">
        <f>Wh_hp&gt;='2018'!Maxi_hp</f>
        <v>1</v>
      </c>
      <c r="I167" s="390">
        <f>IF(H167,Wh_hp,'2018'!Maxi_hp)</f>
        <v>59.300139796564821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8.1799133019286874E-3</v>
      </c>
      <c r="M167" s="957"/>
      <c r="N167" s="957"/>
      <c r="O167" s="48">
        <f>IF(t&lt;Tnet,'2018'!Resal+('2018'!Salim-'2018'!Resal)*(1-EXP(('2018'!Tnet-t)/('2018'!Tau_j))),Resal+(Salim-Resal)*(1-EXP((Tnet-t)/(Tau_j))))*Salcycl</f>
        <v>4.1931421177639205E-2</v>
      </c>
      <c r="P167" s="169">
        <f>(INDEX(Models!$BJ167:$BT167,,T167)*(1-R167)+INDEX(Models!$BJ167:$BT167,,T167+1)*R167-ERP_i)*Q167*Ramure*Pc/MaxiM</f>
        <v>1.4804263430080742E-3</v>
      </c>
      <c r="Q167" s="305">
        <f t="shared" si="51"/>
        <v>0.7</v>
      </c>
      <c r="R167" s="177">
        <f t="shared" si="52"/>
        <v>0.70897259449210459</v>
      </c>
      <c r="S167" s="919">
        <f t="shared" si="53"/>
        <v>-2</v>
      </c>
      <c r="T167" s="176">
        <f t="shared" si="54"/>
        <v>4</v>
      </c>
      <c r="U167" s="251">
        <f t="shared" si="55"/>
        <v>-1.2910274055078954</v>
      </c>
      <c r="V167" s="383">
        <f t="shared" si="56"/>
        <v>56.526891750641347</v>
      </c>
      <c r="W167" s="58"/>
      <c r="X167" s="157">
        <f t="shared" si="57"/>
        <v>43618</v>
      </c>
      <c r="Y167" s="385">
        <f t="shared" si="58"/>
        <v>56.265999999999998</v>
      </c>
      <c r="Z167" s="385">
        <f t="shared" si="59"/>
        <v>56.7300468649698</v>
      </c>
      <c r="AA167" s="386">
        <f t="shared" si="60"/>
        <v>59.212929135721438</v>
      </c>
      <c r="AB167" s="197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4.1931421177639205E-2</v>
      </c>
      <c r="AD167" s="231">
        <f>(INDEX(Models!$BJ167:$BT167,,AH167)*(1-AF167)+INDEX(Models!$BJ167:$BT167,,AH167+1)*AF167-ERP_i)*AE167*Ramure*Pc/MaxiM</f>
        <v>1.4804263430080742E-3</v>
      </c>
      <c r="AE167" s="305">
        <f t="shared" si="62"/>
        <v>0.7</v>
      </c>
      <c r="AF167" s="177">
        <f t="shared" si="63"/>
        <v>0.70897259449210459</v>
      </c>
      <c r="AG167" s="176">
        <f t="shared" si="64"/>
        <v>-2</v>
      </c>
      <c r="AH167" s="176">
        <f t="shared" si="65"/>
        <v>4</v>
      </c>
      <c r="AI167" s="225">
        <f t="shared" si="66"/>
        <v>-1.2910274055078954</v>
      </c>
      <c r="AJ167" s="265" t="b">
        <f t="shared" si="67"/>
        <v>1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8">
        <v>41.716999999999999</v>
      </c>
      <c r="C168" s="390"/>
      <c r="D168" s="393">
        <f t="shared" si="48"/>
        <v>42.061977054994443</v>
      </c>
      <c r="E168" s="385">
        <f t="shared" si="70"/>
        <v>43.908459482674807</v>
      </c>
      <c r="F168" s="385">
        <f t="shared" si="49"/>
        <v>43.950695020941573</v>
      </c>
      <c r="G168" s="110">
        <f t="shared" si="71"/>
        <v>0.73810390429924244</v>
      </c>
      <c r="H168" s="412" t="b">
        <f>Wh_hp&gt;='2018'!Maxi_hp</f>
        <v>1</v>
      </c>
      <c r="I168" s="390">
        <f>IF(H168,Wh_hp,'2018'!Maxi_hp)</f>
        <v>43.950695020941573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8.2016367072664798E-3</v>
      </c>
      <c r="M168" s="957"/>
      <c r="N168" s="957"/>
      <c r="O168" s="48">
        <f>IF(t&lt;Tnet,'2018'!Resal+('2018'!Salim-'2018'!Resal)*(1-EXP(('2018'!Tnet-t)/('2018'!Tau_j))),Resal+(Salim-Resal)*(1-EXP((Tnet-t)/(Tau_j))))*Salcycl</f>
        <v>4.205299956854424E-2</v>
      </c>
      <c r="P168" s="169">
        <f>(INDEX(Models!$BJ168:$BT168,,T168)*(1-R168)+INDEX(Models!$BJ168:$BT168,,T168+1)*R168-ERP_i)*Q168*Ramure*Pc/MaxiM</f>
        <v>1.5339581739087598E-3</v>
      </c>
      <c r="Q168" s="305">
        <f t="shared" si="51"/>
        <v>0.7</v>
      </c>
      <c r="R168" s="177">
        <f t="shared" si="52"/>
        <v>0.71399796727437637</v>
      </c>
      <c r="S168" s="919">
        <f t="shared" si="53"/>
        <v>-2</v>
      </c>
      <c r="T168" s="176">
        <f t="shared" si="54"/>
        <v>4</v>
      </c>
      <c r="U168" s="251">
        <f t="shared" si="55"/>
        <v>-1.2860020327256236</v>
      </c>
      <c r="V168" s="383">
        <f t="shared" si="56"/>
        <v>56.486727199008264</v>
      </c>
      <c r="W168" s="58"/>
      <c r="X168" s="157">
        <f t="shared" si="57"/>
        <v>43619</v>
      </c>
      <c r="Y168" s="385">
        <f t="shared" si="58"/>
        <v>41.716999999999999</v>
      </c>
      <c r="Z168" s="385">
        <f t="shared" si="59"/>
        <v>42.061977054994443</v>
      </c>
      <c r="AA168" s="386">
        <f t="shared" si="60"/>
        <v>43.908459482674807</v>
      </c>
      <c r="AB168" s="197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4.205299956854424E-2</v>
      </c>
      <c r="AD168" s="231">
        <f>(INDEX(Models!$BJ168:$BT168,,AH168)*(1-AF168)+INDEX(Models!$BJ168:$BT168,,AH168+1)*AF168-ERP_i)*AE168*Ramure*Pc/MaxiM</f>
        <v>1.5339581739087598E-3</v>
      </c>
      <c r="AE168" s="305">
        <f t="shared" si="62"/>
        <v>0.7</v>
      </c>
      <c r="AF168" s="177">
        <f t="shared" si="63"/>
        <v>0.71399796727437637</v>
      </c>
      <c r="AG168" s="176">
        <f t="shared" si="64"/>
        <v>-2</v>
      </c>
      <c r="AH168" s="176">
        <f t="shared" si="65"/>
        <v>4</v>
      </c>
      <c r="AI168" s="225">
        <f t="shared" si="66"/>
        <v>-1.2860020327256236</v>
      </c>
      <c r="AJ168" s="265" t="b">
        <f t="shared" si="67"/>
        <v>1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8">
        <v>54.171999999999997</v>
      </c>
      <c r="C169" s="390"/>
      <c r="D169" s="393">
        <f t="shared" si="48"/>
        <v>54.62116952075209</v>
      </c>
      <c r="E169" s="385">
        <f t="shared" si="70"/>
        <v>57.026209217966993</v>
      </c>
      <c r="F169" s="385">
        <f t="shared" si="49"/>
        <v>57.111684044434135</v>
      </c>
      <c r="G169" s="110">
        <f t="shared" si="71"/>
        <v>0.95965913099894362</v>
      </c>
      <c r="H169" s="412" t="b">
        <f>Wh_hp&gt;='2018'!Maxi_hp</f>
        <v>1</v>
      </c>
      <c r="I169" s="390">
        <f>IF(H169,Wh_hp,'2018'!Maxi_hp)</f>
        <v>57.111684044434135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8.2233596368059825E-3</v>
      </c>
      <c r="M169" s="957"/>
      <c r="N169" s="957"/>
      <c r="O169" s="48">
        <f>IF(t&lt;Tnet,'2018'!Resal+('2018'!Salim-'2018'!Resal)*(1-EXP(('2018'!Tnet-t)/('2018'!Tau_j))),Resal+(Salim-Resal)*(1-EXP((Tnet-t)/(Tau_j))))*Salcycl</f>
        <v>4.2174286704246861E-2</v>
      </c>
      <c r="P169" s="169">
        <f>(INDEX(Models!$BJ169:$BT169,,T169)*(1-R169)+INDEX(Models!$BJ169:$BT169,,T169+1)*R169-ERP_i)*Q169*Ramure*Pc/MaxiM</f>
        <v>1.5879394674523783E-3</v>
      </c>
      <c r="Q169" s="305">
        <f t="shared" si="51"/>
        <v>0.7</v>
      </c>
      <c r="R169" s="177">
        <f t="shared" si="52"/>
        <v>0.71905292480403626</v>
      </c>
      <c r="S169" s="919">
        <f t="shared" si="53"/>
        <v>-2</v>
      </c>
      <c r="T169" s="176">
        <f t="shared" si="54"/>
        <v>4</v>
      </c>
      <c r="U169" s="251">
        <f t="shared" si="55"/>
        <v>-1.2809470751959637</v>
      </c>
      <c r="V169" s="383">
        <f t="shared" si="56"/>
        <v>56.444047889756881</v>
      </c>
      <c r="W169" s="58"/>
      <c r="X169" s="157">
        <f t="shared" si="57"/>
        <v>43620</v>
      </c>
      <c r="Y169" s="385">
        <f t="shared" si="58"/>
        <v>54.171999999999997</v>
      </c>
      <c r="Z169" s="385">
        <f t="shared" si="59"/>
        <v>54.62116952075209</v>
      </c>
      <c r="AA169" s="386">
        <f t="shared" si="60"/>
        <v>57.026209217966993</v>
      </c>
      <c r="AB169" s="197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4.2174286704246861E-2</v>
      </c>
      <c r="AD169" s="231">
        <f>(INDEX(Models!$BJ169:$BT169,,AH169)*(1-AF169)+INDEX(Models!$BJ169:$BT169,,AH169+1)*AF169-ERP_i)*AE169*Ramure*Pc/MaxiM</f>
        <v>1.5879394674523783E-3</v>
      </c>
      <c r="AE169" s="305">
        <f t="shared" si="62"/>
        <v>0.7</v>
      </c>
      <c r="AF169" s="177">
        <f t="shared" si="63"/>
        <v>0.71905292480403626</v>
      </c>
      <c r="AG169" s="176">
        <f t="shared" si="64"/>
        <v>-2</v>
      </c>
      <c r="AH169" s="176">
        <f t="shared" si="65"/>
        <v>4</v>
      </c>
      <c r="AI169" s="225">
        <f t="shared" si="66"/>
        <v>-1.2809470751959637</v>
      </c>
      <c r="AJ169" s="265" t="b">
        <f t="shared" si="67"/>
        <v>1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8">
        <v>11.7</v>
      </c>
      <c r="C170" s="390"/>
      <c r="D170" s="393">
        <f t="shared" si="48"/>
        <v>11.797269455101741</v>
      </c>
      <c r="E170" s="385">
        <f t="shared" ref="E170:E232" si="73">Wh_pvt/(1-Psa)</f>
        <v>12.318273889456218</v>
      </c>
      <c r="F170" s="385">
        <f t="shared" si="49"/>
        <v>12.318273889456218</v>
      </c>
      <c r="G170" s="110">
        <f t="shared" ref="G170:G232" si="74">+Wh_hp/MaxiM</f>
        <v>0.20711067456790777</v>
      </c>
      <c r="H170" s="412" t="b">
        <f>Wh_hp&gt;='2018'!Maxi_hp</f>
        <v>1</v>
      </c>
      <c r="I170" s="390">
        <f>IF(H170,Wh_hp,'2018'!Maxi_hp)</f>
        <v>12.318273889456218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8.2450820905576316E-3</v>
      </c>
      <c r="M170" s="957"/>
      <c r="N170" s="957"/>
      <c r="O170" s="48">
        <f>IF(t&lt;Tnet,'2018'!Resal+('2018'!Salim-'2018'!Resal)*(1-EXP(('2018'!Tnet-t)/('2018'!Tau_j))),Resal+(Salim-Resal)*(1-EXP((Tnet-t)/(Tau_j))))*Salcycl</f>
        <v>4.2295246804053374E-2</v>
      </c>
      <c r="P170" s="169">
        <f>(INDEX(Models!$BJ170:$BT170,,T170)*(1-R170)+INDEX(Models!$BJ170:$BT170,,T170+1)*R170-ERP_i)*Q170*Ramure*Pc/MaxiM</f>
        <v>1.6412964892203829E-3</v>
      </c>
      <c r="Q170" s="305">
        <f t="shared" si="51"/>
        <v>0.7</v>
      </c>
      <c r="R170" s="177">
        <f t="shared" si="52"/>
        <v>0.72413342567430816</v>
      </c>
      <c r="S170" s="919">
        <f t="shared" si="53"/>
        <v>-2</v>
      </c>
      <c r="T170" s="176">
        <f t="shared" si="54"/>
        <v>4</v>
      </c>
      <c r="U170" s="251">
        <f t="shared" si="55"/>
        <v>-1.2758665743256918</v>
      </c>
      <c r="V170" s="383">
        <f t="shared" si="56"/>
        <v>56.39881602165417</v>
      </c>
      <c r="W170" s="58"/>
      <c r="X170" s="157">
        <f t="shared" si="57"/>
        <v>43621</v>
      </c>
      <c r="Y170" s="385">
        <f t="shared" si="58"/>
        <v>11.7</v>
      </c>
      <c r="Z170" s="385">
        <f t="shared" si="59"/>
        <v>11.797269455101741</v>
      </c>
      <c r="AA170" s="386">
        <f t="shared" si="60"/>
        <v>12.318273889456218</v>
      </c>
      <c r="AB170" s="197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4.2295246804053374E-2</v>
      </c>
      <c r="AD170" s="231">
        <f>(INDEX(Models!$BJ170:$BT170,,AH170)*(1-AF170)+INDEX(Models!$BJ170:$BT170,,AH170+1)*AF170-ERP_i)*AE170*Ramure*Pc/MaxiM</f>
        <v>1.6412964892203829E-3</v>
      </c>
      <c r="AE170" s="305">
        <f t="shared" si="62"/>
        <v>0.7</v>
      </c>
      <c r="AF170" s="177">
        <f t="shared" si="63"/>
        <v>0.72413342567430816</v>
      </c>
      <c r="AG170" s="176">
        <f t="shared" si="64"/>
        <v>-2</v>
      </c>
      <c r="AH170" s="176">
        <f t="shared" si="65"/>
        <v>4</v>
      </c>
      <c r="AI170" s="225">
        <f t="shared" si="66"/>
        <v>-1.2758665743256918</v>
      </c>
      <c r="AJ170" s="265" t="b">
        <f t="shared" si="67"/>
        <v>1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8">
        <v>53.098999999999997</v>
      </c>
      <c r="C171" s="390"/>
      <c r="D171" s="393">
        <f t="shared" si="48"/>
        <v>53.541618066064309</v>
      </c>
      <c r="E171" s="385">
        <f t="shared" si="73"/>
        <v>55.91322472195003</v>
      </c>
      <c r="F171" s="385">
        <f t="shared" si="49"/>
        <v>56.000265625104696</v>
      </c>
      <c r="G171" s="110">
        <f t="shared" si="74"/>
        <v>0.94215953162068111</v>
      </c>
      <c r="H171" s="412" t="b">
        <f>Wh_hp&gt;='2018'!Maxi_hp</f>
        <v>1</v>
      </c>
      <c r="I171" s="390">
        <f>IF(H171,Wh_hp,'2018'!Maxi_hp)</f>
        <v>56.000265625104696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8.2668040685317523E-3</v>
      </c>
      <c r="M171" s="957"/>
      <c r="N171" s="957"/>
      <c r="O171" s="48">
        <f>IF(t&lt;Tnet,'2018'!Resal+('2018'!Salim-'2018'!Resal)*(1-EXP(('2018'!Tnet-t)/('2018'!Tau_j))),Resal+(Salim-Resal)*(1-EXP((Tnet-t)/(Tau_j))))*Salcycl</f>
        <v>4.2415844689327853E-2</v>
      </c>
      <c r="P171" s="169">
        <f>(INDEX(Models!$BJ171:$BT171,,T171)*(1-R171)+INDEX(Models!$BJ171:$BT171,,T171+1)*R171-ERP_i)*Q171*Ramure*Pc/MaxiM</f>
        <v>1.6939449148232273E-3</v>
      </c>
      <c r="Q171" s="305">
        <f t="shared" si="51"/>
        <v>0.7</v>
      </c>
      <c r="R171" s="177">
        <f t="shared" si="52"/>
        <v>0.72923534422144809</v>
      </c>
      <c r="S171" s="919">
        <f t="shared" si="53"/>
        <v>-2</v>
      </c>
      <c r="T171" s="176">
        <f t="shared" si="54"/>
        <v>4</v>
      </c>
      <c r="U171" s="251">
        <f t="shared" si="55"/>
        <v>-1.2707646557785519</v>
      </c>
      <c r="V171" s="383">
        <f t="shared" si="56"/>
        <v>56.350937793071566</v>
      </c>
      <c r="W171" s="58"/>
      <c r="X171" s="157">
        <f t="shared" si="57"/>
        <v>43622</v>
      </c>
      <c r="Y171" s="385">
        <f t="shared" si="58"/>
        <v>53.098999999999997</v>
      </c>
      <c r="Z171" s="385">
        <f t="shared" si="59"/>
        <v>53.541618066064309</v>
      </c>
      <c r="AA171" s="386">
        <f t="shared" si="60"/>
        <v>55.91322472195003</v>
      </c>
      <c r="AB171" s="197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4.2415844689327853E-2</v>
      </c>
      <c r="AD171" s="231">
        <f>(INDEX(Models!$BJ171:$BT171,,AH171)*(1-AF171)+INDEX(Models!$BJ171:$BT171,,AH171+1)*AF171-ERP_i)*AE171*Ramure*Pc/MaxiM</f>
        <v>1.6939449148232273E-3</v>
      </c>
      <c r="AE171" s="305">
        <f t="shared" si="62"/>
        <v>0.7</v>
      </c>
      <c r="AF171" s="177">
        <f t="shared" si="63"/>
        <v>0.72923534422144809</v>
      </c>
      <c r="AG171" s="176">
        <f t="shared" si="64"/>
        <v>-2</v>
      </c>
      <c r="AH171" s="176">
        <f t="shared" si="65"/>
        <v>4</v>
      </c>
      <c r="AI171" s="225">
        <f t="shared" si="66"/>
        <v>-1.2707646557785519</v>
      </c>
      <c r="AJ171" s="265" t="b">
        <f t="shared" si="67"/>
        <v>1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8">
        <v>17.350999999999999</v>
      </c>
      <c r="C172" s="390"/>
      <c r="D172" s="393">
        <f t="shared" si="48"/>
        <v>17.496016177473045</v>
      </c>
      <c r="E172" s="385">
        <f t="shared" si="73"/>
        <v>18.273289665861803</v>
      </c>
      <c r="F172" s="385">
        <f t="shared" si="49"/>
        <v>18.273662765374066</v>
      </c>
      <c r="G172" s="110">
        <f t="shared" si="74"/>
        <v>0.30765477798625418</v>
      </c>
      <c r="H172" s="412" t="b">
        <f>Wh_hp&gt;='2018'!Maxi_hp</f>
        <v>1</v>
      </c>
      <c r="I172" s="390">
        <f>IF(H172,Wh_hp,'2018'!Maxi_hp)</f>
        <v>18.273662765374066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8.2885255707387806E-3</v>
      </c>
      <c r="M172" s="957"/>
      <c r="N172" s="957"/>
      <c r="O172" s="48">
        <f>IF(t&lt;Tnet,'2018'!Resal+('2018'!Salim-'2018'!Resal)*(1-EXP(('2018'!Tnet-t)/('2018'!Tau_j))),Resal+(Salim-Resal)*(1-EXP((Tnet-t)/(Tau_j))))*Salcycl</f>
        <v>4.2536045922856487E-2</v>
      </c>
      <c r="P172" s="169">
        <f>(INDEX(Models!$BJ172:$BT172,,T172)*(1-R172)+INDEX(Models!$BJ172:$BT172,,T172+1)*R172-ERP_i)*Q172*Ramure*Pc/MaxiM</f>
        <v>1.7458107347670625E-3</v>
      </c>
      <c r="Q172" s="305">
        <f t="shared" si="51"/>
        <v>0.7</v>
      </c>
      <c r="R172" s="177">
        <f t="shared" si="52"/>
        <v>0.73435448363927414</v>
      </c>
      <c r="S172" s="919">
        <f t="shared" si="53"/>
        <v>-2</v>
      </c>
      <c r="T172" s="176">
        <f t="shared" si="54"/>
        <v>4</v>
      </c>
      <c r="U172" s="251">
        <f t="shared" si="55"/>
        <v>-1.2656455163607259</v>
      </c>
      <c r="V172" s="383">
        <f t="shared" si="56"/>
        <v>56.300318822479426</v>
      </c>
      <c r="W172" s="58"/>
      <c r="X172" s="157">
        <f t="shared" si="57"/>
        <v>43623</v>
      </c>
      <c r="Y172" s="385">
        <f t="shared" si="58"/>
        <v>17.350999999999999</v>
      </c>
      <c r="Z172" s="385">
        <f t="shared" si="59"/>
        <v>17.496016177473045</v>
      </c>
      <c r="AA172" s="386">
        <f t="shared" si="60"/>
        <v>18.273289665861803</v>
      </c>
      <c r="AB172" s="197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4.2536045922856487E-2</v>
      </c>
      <c r="AD172" s="231">
        <f>(INDEX(Models!$BJ172:$BT172,,AH172)*(1-AF172)+INDEX(Models!$BJ172:$BT172,,AH172+1)*AF172-ERP_i)*AE172*Ramure*Pc/MaxiM</f>
        <v>1.7458107347670625E-3</v>
      </c>
      <c r="AE172" s="305">
        <f t="shared" si="62"/>
        <v>0.7</v>
      </c>
      <c r="AF172" s="177">
        <f t="shared" si="63"/>
        <v>0.73435448363927414</v>
      </c>
      <c r="AG172" s="176">
        <f t="shared" si="64"/>
        <v>-2</v>
      </c>
      <c r="AH172" s="176">
        <f t="shared" si="65"/>
        <v>4</v>
      </c>
      <c r="AI172" s="225">
        <f t="shared" si="66"/>
        <v>-1.2656455163607259</v>
      </c>
      <c r="AJ172" s="265" t="b">
        <f t="shared" si="67"/>
        <v>1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8">
        <v>58.271000000000001</v>
      </c>
      <c r="C173" s="390"/>
      <c r="D173" s="393">
        <f t="shared" si="48"/>
        <v>58.759304308684449</v>
      </c>
      <c r="E173" s="385">
        <f t="shared" si="73"/>
        <v>61.37740777956521</v>
      </c>
      <c r="F173" s="385">
        <f t="shared" si="49"/>
        <v>61.487890344452325</v>
      </c>
      <c r="G173" s="110">
        <f t="shared" si="74"/>
        <v>1.0359866313836752</v>
      </c>
      <c r="H173" s="412" t="b">
        <f>Wh_hp&gt;='2018'!Maxi_hp</f>
        <v>1</v>
      </c>
      <c r="I173" s="390">
        <f>IF(H173,Wh_hp,'2018'!Maxi_hp)</f>
        <v>61.487890344452325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8.3102465971891526E-3</v>
      </c>
      <c r="M173" s="957"/>
      <c r="N173" s="957"/>
      <c r="O173" s="48">
        <f>IF(t&lt;Tnet,'2018'!Resal+('2018'!Salim-'2018'!Resal)*(1-EXP(('2018'!Tnet-t)/('2018'!Tau_j))),Resal+(Salim-Resal)*(1-EXP((Tnet-t)/(Tau_j))))*Salcycl</f>
        <v>4.2655816946254692E-2</v>
      </c>
      <c r="P173" s="169">
        <f>(INDEX(Models!$BJ173:$BT173,,T173)*(1-R173)+INDEX(Models!$BJ173:$BT173,,T173+1)*R173-ERP_i)*Q173*Ramure*Pc/MaxiM</f>
        <v>1.7968182721540642E-3</v>
      </c>
      <c r="Q173" s="305">
        <f t="shared" si="51"/>
        <v>0.7</v>
      </c>
      <c r="R173" s="177">
        <f t="shared" si="52"/>
        <v>0.73948658959254066</v>
      </c>
      <c r="S173" s="919">
        <f t="shared" si="53"/>
        <v>-2</v>
      </c>
      <c r="T173" s="176">
        <f t="shared" si="54"/>
        <v>4</v>
      </c>
      <c r="U173" s="251">
        <f t="shared" si="55"/>
        <v>-1.2605134104074593</v>
      </c>
      <c r="V173" s="383">
        <f t="shared" si="56"/>
        <v>56.246864809609185</v>
      </c>
      <c r="W173" s="58"/>
      <c r="X173" s="157">
        <f t="shared" si="57"/>
        <v>43624</v>
      </c>
      <c r="Y173" s="385">
        <f t="shared" si="58"/>
        <v>58.271000000000001</v>
      </c>
      <c r="Z173" s="385">
        <f t="shared" si="59"/>
        <v>58.759304308684449</v>
      </c>
      <c r="AA173" s="386">
        <f t="shared" si="60"/>
        <v>61.37740777956521</v>
      </c>
      <c r="AB173" s="197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4.2655816946254692E-2</v>
      </c>
      <c r="AD173" s="231">
        <f>(INDEX(Models!$BJ173:$BT173,,AH173)*(1-AF173)+INDEX(Models!$BJ173:$BT173,,AH173+1)*AF173-ERP_i)*AE173*Ramure*Pc/MaxiM</f>
        <v>1.7968182721540642E-3</v>
      </c>
      <c r="AE173" s="305">
        <f t="shared" si="62"/>
        <v>0.7</v>
      </c>
      <c r="AF173" s="177">
        <f t="shared" si="63"/>
        <v>0.73948658959254066</v>
      </c>
      <c r="AG173" s="176">
        <f t="shared" si="64"/>
        <v>-2</v>
      </c>
      <c r="AH173" s="176">
        <f t="shared" si="65"/>
        <v>4</v>
      </c>
      <c r="AI173" s="225">
        <f t="shared" si="66"/>
        <v>-1.2605134104074593</v>
      </c>
      <c r="AJ173" s="265" t="b">
        <f t="shared" si="67"/>
        <v>1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8">
        <v>43.997999999999998</v>
      </c>
      <c r="C174" s="390"/>
      <c r="D174" s="393">
        <f t="shared" si="48"/>
        <v>44.367669968607011</v>
      </c>
      <c r="E174" s="385">
        <f t="shared" si="73"/>
        <v>46.350310295214534</v>
      </c>
      <c r="F174" s="385">
        <f t="shared" si="49"/>
        <v>46.409454246232372</v>
      </c>
      <c r="G174" s="110">
        <f t="shared" si="74"/>
        <v>0.7825663350140919</v>
      </c>
      <c r="H174" s="412" t="b">
        <f>Wh_hp&gt;='2018'!Maxi_hp</f>
        <v>1</v>
      </c>
      <c r="I174" s="390">
        <f>IF(H174,Wh_hp,'2018'!Maxi_hp)</f>
        <v>46.409454246232372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8.3319671478934154E-3</v>
      </c>
      <c r="M174" s="957"/>
      <c r="N174" s="957"/>
      <c r="O174" s="48">
        <f>IF(t&lt;Tnet,'2018'!Resal+('2018'!Salim-'2018'!Resal)*(1-EXP(('2018'!Tnet-t)/('2018'!Tau_j))),Resal+(Salim-Resal)*(1-EXP((Tnet-t)/(Tau_j))))*Salcycl</f>
        <v>4.2775125214473977E-2</v>
      </c>
      <c r="P174" s="169">
        <f>(INDEX(Models!$BJ174:$BT174,,T174)*(1-R174)+INDEX(Models!$BJ174:$BT174,,T174+1)*R174-ERP_i)*Q174*Ramure*Pc/MaxiM</f>
        <v>1.8468904359706126E-3</v>
      </c>
      <c r="Q174" s="305">
        <f t="shared" si="51"/>
        <v>0.7</v>
      </c>
      <c r="R174" s="177">
        <f t="shared" si="52"/>
        <v>0.74462736423684639</v>
      </c>
      <c r="S174" s="919">
        <f t="shared" si="53"/>
        <v>-2</v>
      </c>
      <c r="T174" s="176">
        <f t="shared" si="54"/>
        <v>4</v>
      </c>
      <c r="U174" s="251">
        <f t="shared" si="55"/>
        <v>-1.2553726357631536</v>
      </c>
      <c r="V174" s="383">
        <f t="shared" si="56"/>
        <v>56.190481513159725</v>
      </c>
      <c r="W174" s="58"/>
      <c r="X174" s="157">
        <f t="shared" si="57"/>
        <v>43625</v>
      </c>
      <c r="Y174" s="385">
        <f t="shared" si="58"/>
        <v>43.997999999999998</v>
      </c>
      <c r="Z174" s="385">
        <f t="shared" si="59"/>
        <v>44.367669968607011</v>
      </c>
      <c r="AA174" s="386">
        <f t="shared" si="60"/>
        <v>46.350310295214534</v>
      </c>
      <c r="AB174" s="197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4.2775125214473977E-2</v>
      </c>
      <c r="AD174" s="231">
        <f>(INDEX(Models!$BJ174:$BT174,,AH174)*(1-AF174)+INDEX(Models!$BJ174:$BT174,,AH174+1)*AF174-ERP_i)*AE174*Ramure*Pc/MaxiM</f>
        <v>1.8468904359706126E-3</v>
      </c>
      <c r="AE174" s="305">
        <f t="shared" si="62"/>
        <v>0.7</v>
      </c>
      <c r="AF174" s="177">
        <f t="shared" si="63"/>
        <v>0.74462736423684639</v>
      </c>
      <c r="AG174" s="176">
        <f t="shared" si="64"/>
        <v>-2</v>
      </c>
      <c r="AH174" s="176">
        <f t="shared" si="65"/>
        <v>4</v>
      </c>
      <c r="AI174" s="225">
        <f t="shared" si="66"/>
        <v>-1.2553726357631536</v>
      </c>
      <c r="AJ174" s="265" t="b">
        <f t="shared" si="67"/>
        <v>1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8">
        <v>21.4</v>
      </c>
      <c r="C175" s="390"/>
      <c r="D175" s="393">
        <f t="shared" si="48"/>
        <v>21.580274866417437</v>
      </c>
      <c r="E175" s="385">
        <f t="shared" si="73"/>
        <v>22.547422645334716</v>
      </c>
      <c r="F175" s="385">
        <f t="shared" si="49"/>
        <v>22.552385677737956</v>
      </c>
      <c r="G175" s="110">
        <f t="shared" si="74"/>
        <v>0.38061142307631779</v>
      </c>
      <c r="H175" s="412" t="b">
        <f>Wh_hp&gt;='2018'!Maxi_hp</f>
        <v>1</v>
      </c>
      <c r="I175" s="390">
        <f>IF(H175,Wh_hp,'2018'!Maxi_hp)</f>
        <v>22.552385677737956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8.3536872228617831E-3</v>
      </c>
      <c r="M175" s="957"/>
      <c r="N175" s="957"/>
      <c r="O175" s="48">
        <f>IF(t&lt;Tnet,'2018'!Resal+('2018'!Salim-'2018'!Resal)*(1-EXP(('2018'!Tnet-t)/('2018'!Tau_j))),Resal+(Salim-Resal)*(1-EXP((Tnet-t)/(Tau_j))))*Salcycl</f>
        <v>4.2893939326470676E-2</v>
      </c>
      <c r="P175" s="169">
        <f>(INDEX(Models!$BJ175:$BT175,,T175)*(1-R175)+INDEX(Models!$BJ175:$BT175,,T175+1)*R175-ERP_i)*Q175*Ramure*Pc/MaxiM</f>
        <v>1.8959489844457605E-3</v>
      </c>
      <c r="Q175" s="305">
        <f t="shared" si="51"/>
        <v>0.7</v>
      </c>
      <c r="R175" s="177">
        <f t="shared" si="52"/>
        <v>0.74977248054785806</v>
      </c>
      <c r="S175" s="919">
        <f t="shared" si="53"/>
        <v>-2</v>
      </c>
      <c r="T175" s="176">
        <f t="shared" si="54"/>
        <v>4</v>
      </c>
      <c r="U175" s="251">
        <f t="shared" si="55"/>
        <v>-1.2502275194521419</v>
      </c>
      <c r="V175" s="383">
        <f t="shared" si="56"/>
        <v>56.131074720219843</v>
      </c>
      <c r="W175" s="58"/>
      <c r="X175" s="157">
        <f t="shared" si="57"/>
        <v>43626</v>
      </c>
      <c r="Y175" s="385">
        <f t="shared" si="58"/>
        <v>21.4</v>
      </c>
      <c r="Z175" s="385">
        <f t="shared" si="59"/>
        <v>21.580274866417437</v>
      </c>
      <c r="AA175" s="386">
        <f t="shared" si="60"/>
        <v>22.547422645334716</v>
      </c>
      <c r="AB175" s="197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4.2893939326470676E-2</v>
      </c>
      <c r="AD175" s="231">
        <f>(INDEX(Models!$BJ175:$BT175,,AH175)*(1-AF175)+INDEX(Models!$BJ175:$BT175,,AH175+1)*AF175-ERP_i)*AE175*Ramure*Pc/MaxiM</f>
        <v>1.8959489844457605E-3</v>
      </c>
      <c r="AE175" s="305">
        <f t="shared" si="62"/>
        <v>0.7</v>
      </c>
      <c r="AF175" s="177">
        <f t="shared" si="63"/>
        <v>0.74977248054785806</v>
      </c>
      <c r="AG175" s="176">
        <f t="shared" si="64"/>
        <v>-2</v>
      </c>
      <c r="AH175" s="176">
        <f t="shared" si="65"/>
        <v>4</v>
      </c>
      <c r="AI175" s="225">
        <f t="shared" si="66"/>
        <v>-1.2502275194521419</v>
      </c>
      <c r="AJ175" s="265" t="b">
        <f t="shared" si="67"/>
        <v>1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8">
        <v>31.946000000000002</v>
      </c>
      <c r="C176" s="390"/>
      <c r="D176" s="393">
        <f t="shared" si="48"/>
        <v>32.21582060366363</v>
      </c>
      <c r="E176" s="385">
        <f t="shared" si="73"/>
        <v>33.663774590438948</v>
      </c>
      <c r="F176" s="385">
        <f t="shared" si="49"/>
        <v>33.689012653046831</v>
      </c>
      <c r="G176" s="110">
        <f t="shared" si="74"/>
        <v>0.56908557907137425</v>
      </c>
      <c r="H176" s="412" t="b">
        <f>Wh_hp&gt;='2018'!Maxi_hp</f>
        <v>1</v>
      </c>
      <c r="I176" s="390">
        <f>IF(H176,Wh_hp,'2018'!Maxi_hp)</f>
        <v>33.689012653046831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8.3754068221046918E-3</v>
      </c>
      <c r="M176" s="957"/>
      <c r="N176" s="957"/>
      <c r="O176" s="48">
        <f>IF(t&lt;Tnet,'2018'!Resal+('2018'!Salim-'2018'!Resal)*(1-EXP(('2018'!Tnet-t)/('2018'!Tau_j))),Resal+(Salim-Resal)*(1-EXP((Tnet-t)/(Tau_j))))*Salcycl</f>
        <v>4.3012229151111303E-2</v>
      </c>
      <c r="P176" s="169">
        <f>(INDEX(Models!$BJ176:$BT176,,T176)*(1-R176)+INDEX(Models!$BJ176:$BT176,,T176+1)*R176-ERP_i)*Q176*Ramure*Pc/MaxiM</f>
        <v>1.9439147955494494E-3</v>
      </c>
      <c r="Q176" s="305">
        <f t="shared" si="51"/>
        <v>0.7</v>
      </c>
      <c r="R176" s="177">
        <f t="shared" si="52"/>
        <v>0.7549175968588695</v>
      </c>
      <c r="S176" s="919">
        <f t="shared" si="53"/>
        <v>-2</v>
      </c>
      <c r="T176" s="176">
        <f t="shared" si="54"/>
        <v>4</v>
      </c>
      <c r="U176" s="251">
        <f t="shared" si="55"/>
        <v>-1.2450824031411305</v>
      </c>
      <c r="V176" s="383">
        <f t="shared" si="56"/>
        <v>56.068550222128458</v>
      </c>
      <c r="W176" s="58"/>
      <c r="X176" s="157">
        <f t="shared" si="57"/>
        <v>43627</v>
      </c>
      <c r="Y176" s="385">
        <f t="shared" si="58"/>
        <v>31.946000000000005</v>
      </c>
      <c r="Z176" s="385">
        <f t="shared" si="59"/>
        <v>32.21582060366363</v>
      </c>
      <c r="AA176" s="386">
        <f t="shared" si="60"/>
        <v>33.663774590438948</v>
      </c>
      <c r="AB176" s="197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4.3012229151111303E-2</v>
      </c>
      <c r="AD176" s="231">
        <f>(INDEX(Models!$BJ176:$BT176,,AH176)*(1-AF176)+INDEX(Models!$BJ176:$BT176,,AH176+1)*AF176-ERP_i)*AE176*Ramure*Pc/MaxiM</f>
        <v>1.9439147955494494E-3</v>
      </c>
      <c r="AE176" s="305">
        <f t="shared" si="62"/>
        <v>0.7</v>
      </c>
      <c r="AF176" s="177">
        <f t="shared" si="63"/>
        <v>0.7549175968588695</v>
      </c>
      <c r="AG176" s="176">
        <f t="shared" si="64"/>
        <v>-2</v>
      </c>
      <c r="AH176" s="176">
        <f t="shared" si="65"/>
        <v>4</v>
      </c>
      <c r="AI176" s="225">
        <f t="shared" si="66"/>
        <v>-1.2450824031411305</v>
      </c>
      <c r="AJ176" s="265" t="b">
        <f t="shared" si="67"/>
        <v>1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8">
        <v>50.261000000000003</v>
      </c>
      <c r="C177" s="390"/>
      <c r="D177" s="393">
        <f t="shared" si="48"/>
        <v>50.6866219482582</v>
      </c>
      <c r="E177" s="385">
        <f t="shared" si="73"/>
        <v>52.97127106550451</v>
      </c>
      <c r="F177" s="385">
        <f t="shared" si="49"/>
        <v>53.061432092137871</v>
      </c>
      <c r="G177" s="110">
        <f t="shared" si="74"/>
        <v>0.89722075533626278</v>
      </c>
      <c r="H177" s="412" t="b">
        <f>Wh_hp&gt;='2018'!Maxi_hp</f>
        <v>1</v>
      </c>
      <c r="I177" s="390">
        <f>IF(H177,Wh_hp,'2018'!Maxi_hp)</f>
        <v>53.061432092137871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8.3971259456327996E-3</v>
      </c>
      <c r="M177" s="957"/>
      <c r="N177" s="957"/>
      <c r="O177" s="48">
        <f>IF(t&lt;Tnet,'2018'!Resal+('2018'!Salim-'2018'!Resal)*(1-EXP(('2018'!Tnet-t)/('2018'!Tau_j))),Resal+(Salim-Resal)*(1-EXP((Tnet-t)/(Tau_j))))*Salcycl</f>
        <v>4.3129965947411433E-2</v>
      </c>
      <c r="P177" s="169">
        <f>(INDEX(Models!$BJ177:$BT177,,T177)*(1-R177)+INDEX(Models!$BJ177:$BT177,,T177+1)*R177-ERP_i)*Q177*Ramure*Pc/MaxiM</f>
        <v>1.9907304964073883E-3</v>
      </c>
      <c r="Q177" s="305">
        <f t="shared" si="51"/>
        <v>0.7</v>
      </c>
      <c r="R177" s="177">
        <f t="shared" si="52"/>
        <v>0.76005837150317546</v>
      </c>
      <c r="S177" s="919">
        <f t="shared" si="53"/>
        <v>-2</v>
      </c>
      <c r="T177" s="176">
        <f t="shared" si="54"/>
        <v>4</v>
      </c>
      <c r="U177" s="251">
        <f t="shared" si="55"/>
        <v>-1.2399416284968245</v>
      </c>
      <c r="V177" s="383">
        <f t="shared" si="56"/>
        <v>56.002183673662401</v>
      </c>
      <c r="W177" s="58"/>
      <c r="X177" s="157">
        <f t="shared" si="57"/>
        <v>43628</v>
      </c>
      <c r="Y177" s="385">
        <f t="shared" si="58"/>
        <v>50.261000000000003</v>
      </c>
      <c r="Z177" s="385">
        <f t="shared" si="59"/>
        <v>50.6866219482582</v>
      </c>
      <c r="AA177" s="386">
        <f t="shared" si="60"/>
        <v>52.97127106550451</v>
      </c>
      <c r="AB177" s="197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4.3129965947411433E-2</v>
      </c>
      <c r="AD177" s="231">
        <f>(INDEX(Models!$BJ177:$BT177,,AH177)*(1-AF177)+INDEX(Models!$BJ177:$BT177,,AH177+1)*AF177-ERP_i)*AE177*Ramure*Pc/MaxiM</f>
        <v>1.9907304964073883E-3</v>
      </c>
      <c r="AE177" s="305">
        <f t="shared" si="62"/>
        <v>0.7</v>
      </c>
      <c r="AF177" s="177">
        <f t="shared" si="63"/>
        <v>0.76005837150317546</v>
      </c>
      <c r="AG177" s="176">
        <f t="shared" si="64"/>
        <v>-2</v>
      </c>
      <c r="AH177" s="176">
        <f t="shared" si="65"/>
        <v>4</v>
      </c>
      <c r="AI177" s="225">
        <f t="shared" si="66"/>
        <v>-1.2399416284968245</v>
      </c>
      <c r="AJ177" s="265" t="b">
        <f t="shared" si="67"/>
        <v>1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8">
        <v>58.628</v>
      </c>
      <c r="C178" s="390"/>
      <c r="D178" s="393">
        <f t="shared" si="48"/>
        <v>59.125770674779297</v>
      </c>
      <c r="E178" s="385">
        <f t="shared" si="73"/>
        <v>61.798372457400028</v>
      </c>
      <c r="F178" s="385">
        <f t="shared" si="49"/>
        <v>61.924411785677407</v>
      </c>
      <c r="G178" s="110">
        <f t="shared" si="74"/>
        <v>1.0482080388886308</v>
      </c>
      <c r="H178" s="412" t="b">
        <f>Wh_hp&gt;='2018'!Maxi_hp</f>
        <v>1</v>
      </c>
      <c r="I178" s="390">
        <f>IF(H178,Wh_hp,'2018'!Maxi_hp)</f>
        <v>61.924411785677407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8.4188445934562095E-3</v>
      </c>
      <c r="M178" s="957"/>
      <c r="N178" s="957"/>
      <c r="O178" s="48">
        <f>IF(t&lt;Tnet,'2018'!Resal+('2018'!Salim-'2018'!Resal)*(1-EXP(('2018'!Tnet-t)/('2018'!Tau_j))),Resal+(Salim-Resal)*(1-EXP((Tnet-t)/(Tau_j))))*Salcycl</f>
        <v>4.3247122478234472E-2</v>
      </c>
      <c r="P178" s="169">
        <f>(INDEX(Models!$BJ178:$BT178,,T178)*(1-R178)+INDEX(Models!$BJ178:$BT178,,T178+1)*R178-ERP_i)*Q178*Ramure*Pc/MaxiM</f>
        <v>2.0353738476128346E-3</v>
      </c>
      <c r="Q178" s="305">
        <f t="shared" si="51"/>
        <v>0.7</v>
      </c>
      <c r="R178" s="177">
        <f t="shared" si="52"/>
        <v>0.76519047745644198</v>
      </c>
      <c r="S178" s="919">
        <f t="shared" si="53"/>
        <v>-2</v>
      </c>
      <c r="T178" s="176">
        <f t="shared" si="54"/>
        <v>4</v>
      </c>
      <c r="U178" s="251">
        <f t="shared" si="55"/>
        <v>-1.234809522543558</v>
      </c>
      <c r="V178" s="383">
        <f t="shared" si="56"/>
        <v>55.931645078929854</v>
      </c>
      <c r="W178" s="58"/>
      <c r="X178" s="157">
        <f t="shared" si="57"/>
        <v>43629</v>
      </c>
      <c r="Y178" s="385">
        <f t="shared" si="58"/>
        <v>58.628</v>
      </c>
      <c r="Z178" s="385">
        <f t="shared" si="59"/>
        <v>59.125770674779297</v>
      </c>
      <c r="AA178" s="386">
        <f t="shared" si="60"/>
        <v>61.798372457400028</v>
      </c>
      <c r="AB178" s="197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4.3247122478234472E-2</v>
      </c>
      <c r="AD178" s="231">
        <f>(INDEX(Models!$BJ178:$BT178,,AH178)*(1-AF178)+INDEX(Models!$BJ178:$BT178,,AH178+1)*AF178-ERP_i)*AE178*Ramure*Pc/MaxiM</f>
        <v>2.0353738476128346E-3</v>
      </c>
      <c r="AE178" s="305">
        <f t="shared" si="62"/>
        <v>0.7</v>
      </c>
      <c r="AF178" s="177">
        <f t="shared" si="63"/>
        <v>0.76519047745644198</v>
      </c>
      <c r="AG178" s="176">
        <f t="shared" si="64"/>
        <v>-2</v>
      </c>
      <c r="AH178" s="176">
        <f t="shared" si="65"/>
        <v>4</v>
      </c>
      <c r="AI178" s="225">
        <f t="shared" si="66"/>
        <v>-1.234809522543558</v>
      </c>
      <c r="AJ178" s="265" t="b">
        <f t="shared" si="67"/>
        <v>1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8">
        <v>22.181000000000001</v>
      </c>
      <c r="C179" s="390"/>
      <c r="D179" s="393">
        <f t="shared" si="48"/>
        <v>22.369813817581765</v>
      </c>
      <c r="E179" s="385">
        <f t="shared" si="73"/>
        <v>23.38382224147826</v>
      </c>
      <c r="F179" s="385">
        <f t="shared" si="49"/>
        <v>23.390565870608395</v>
      </c>
      <c r="G179" s="110">
        <f t="shared" si="74"/>
        <v>0.39639002797360051</v>
      </c>
      <c r="H179" s="412" t="b">
        <f>Wh_hp&gt;='2018'!Maxi_hp</f>
        <v>1</v>
      </c>
      <c r="I179" s="390">
        <f>IF(H179,Wh_hp,'2018'!Maxi_hp)</f>
        <v>23.390565870608395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8.4405627655855797E-3</v>
      </c>
      <c r="M179" s="957"/>
      <c r="N179" s="957"/>
      <c r="O179" s="48">
        <f>IF(t&lt;Tnet,'2018'!Resal+('2018'!Salim-'2018'!Resal)*(1-EXP(('2018'!Tnet-t)/('2018'!Tau_j))),Resal+(Salim-Resal)*(1-EXP((Tnet-t)/(Tau_j))))*Salcycl</f>
        <v>4.3363673116615084E-2</v>
      </c>
      <c r="P179" s="169">
        <f>(INDEX(Models!$BJ179:$BT179,,T179)*(1-R179)+INDEX(Models!$BJ179:$BT179,,T179+1)*R179-ERP_i)*Q179*Ramure*Pc/MaxiM</f>
        <v>2.0783895083882676E-3</v>
      </c>
      <c r="Q179" s="305">
        <f t="shared" si="51"/>
        <v>0.7</v>
      </c>
      <c r="R179" s="177">
        <f t="shared" si="52"/>
        <v>0.7703096168742678</v>
      </c>
      <c r="S179" s="919">
        <f t="shared" si="53"/>
        <v>-2</v>
      </c>
      <c r="T179" s="176">
        <f t="shared" si="54"/>
        <v>4</v>
      </c>
      <c r="U179" s="251">
        <f t="shared" si="55"/>
        <v>-1.2296903831257322</v>
      </c>
      <c r="V179" s="383">
        <f t="shared" si="56"/>
        <v>55.857315103019459</v>
      </c>
      <c r="W179" s="58"/>
      <c r="X179" s="157">
        <f t="shared" si="57"/>
        <v>43630</v>
      </c>
      <c r="Y179" s="385">
        <f t="shared" si="58"/>
        <v>22.181000000000001</v>
      </c>
      <c r="Z179" s="385">
        <f t="shared" si="59"/>
        <v>22.369813817581765</v>
      </c>
      <c r="AA179" s="386">
        <f t="shared" si="60"/>
        <v>23.38382224147826</v>
      </c>
      <c r="AB179" s="197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4.3363673116615084E-2</v>
      </c>
      <c r="AD179" s="231">
        <f>(INDEX(Models!$BJ179:$BT179,,AH179)*(1-AF179)+INDEX(Models!$BJ179:$BT179,,AH179+1)*AF179-ERP_i)*AE179*Ramure*Pc/MaxiM</f>
        <v>2.0783895083882676E-3</v>
      </c>
      <c r="AE179" s="305">
        <f t="shared" si="62"/>
        <v>0.7</v>
      </c>
      <c r="AF179" s="177">
        <f t="shared" si="63"/>
        <v>0.7703096168742678</v>
      </c>
      <c r="AG179" s="176">
        <f t="shared" si="64"/>
        <v>-2</v>
      </c>
      <c r="AH179" s="176">
        <f t="shared" si="65"/>
        <v>4</v>
      </c>
      <c r="AI179" s="225">
        <f t="shared" si="66"/>
        <v>-1.2296903831257322</v>
      </c>
      <c r="AJ179" s="265" t="b">
        <f t="shared" si="67"/>
        <v>1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8">
        <v>22.878</v>
      </c>
      <c r="C180" s="390"/>
      <c r="D180" s="393">
        <f t="shared" si="48"/>
        <v>23.073252332408053</v>
      </c>
      <c r="E180" s="385">
        <f t="shared" si="73"/>
        <v>24.122070147508435</v>
      </c>
      <c r="F180" s="385">
        <f t="shared" si="49"/>
        <v>24.130118618752434</v>
      </c>
      <c r="G180" s="110">
        <f t="shared" si="74"/>
        <v>0.40941704618429958</v>
      </c>
      <c r="H180" s="412" t="b">
        <f>Wh_hp&gt;='2018'!Maxi_hp</f>
        <v>1</v>
      </c>
      <c r="I180" s="390">
        <f>IF(H180,Wh_hp,'2018'!Maxi_hp)</f>
        <v>24.130118618752434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8.4622804620312353E-3</v>
      </c>
      <c r="M180" s="957"/>
      <c r="N180" s="957"/>
      <c r="O180" s="48">
        <f>IF(t&lt;Tnet,'2018'!Resal+('2018'!Salim-'2018'!Resal)*(1-EXP(('2018'!Tnet-t)/('2018'!Tau_j))),Resal+(Salim-Resal)*(1-EXP((Tnet-t)/(Tau_j))))*Salcycl</f>
        <v>4.3479593943918468E-2</v>
      </c>
      <c r="P180" s="169">
        <f>(INDEX(Models!$BJ180:$BT180,,T180)*(1-R180)+INDEX(Models!$BJ180:$BT180,,T180+1)*R180-ERP_i)*Q180*Ramure*Pc/MaxiM</f>
        <v>2.119668735781146E-3</v>
      </c>
      <c r="Q180" s="305">
        <f t="shared" si="51"/>
        <v>0.7</v>
      </c>
      <c r="R180" s="177">
        <f t="shared" si="52"/>
        <v>0.77541153542140795</v>
      </c>
      <c r="S180" s="919">
        <f t="shared" si="53"/>
        <v>-2</v>
      </c>
      <c r="T180" s="176">
        <f t="shared" si="54"/>
        <v>4</v>
      </c>
      <c r="U180" s="251">
        <f t="shared" si="55"/>
        <v>-1.2245884645785921</v>
      </c>
      <c r="V180" s="383">
        <f t="shared" si="56"/>
        <v>55.77961062235282</v>
      </c>
      <c r="W180" s="58"/>
      <c r="X180" s="157">
        <f t="shared" si="57"/>
        <v>43631</v>
      </c>
      <c r="Y180" s="385">
        <f t="shared" si="58"/>
        <v>22.878</v>
      </c>
      <c r="Z180" s="385">
        <f t="shared" si="59"/>
        <v>23.073252332408053</v>
      </c>
      <c r="AA180" s="386">
        <f t="shared" si="60"/>
        <v>24.122070147508435</v>
      </c>
      <c r="AB180" s="197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4.3479593943918468E-2</v>
      </c>
      <c r="AD180" s="231">
        <f>(INDEX(Models!$BJ180:$BT180,,AH180)*(1-AF180)+INDEX(Models!$BJ180:$BT180,,AH180+1)*AF180-ERP_i)*AE180*Ramure*Pc/MaxiM</f>
        <v>2.119668735781146E-3</v>
      </c>
      <c r="AE180" s="305">
        <f t="shared" si="62"/>
        <v>0.7</v>
      </c>
      <c r="AF180" s="177">
        <f t="shared" si="63"/>
        <v>0.77541153542140795</v>
      </c>
      <c r="AG180" s="176">
        <f t="shared" si="64"/>
        <v>-2</v>
      </c>
      <c r="AH180" s="176">
        <f t="shared" si="65"/>
        <v>4</v>
      </c>
      <c r="AI180" s="225">
        <f t="shared" si="66"/>
        <v>-1.2245884645785921</v>
      </c>
      <c r="AJ180" s="265" t="b">
        <f t="shared" si="67"/>
        <v>1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8">
        <v>56.430999999999997</v>
      </c>
      <c r="C181" s="390"/>
      <c r="D181" s="393">
        <f t="shared" si="48"/>
        <v>56.913857031171872</v>
      </c>
      <c r="E181" s="385">
        <f t="shared" si="73"/>
        <v>59.508104693081535</v>
      </c>
      <c r="F181" s="385">
        <f t="shared" si="49"/>
        <v>59.636866753529013</v>
      </c>
      <c r="G181" s="110">
        <f t="shared" si="74"/>
        <v>1.0131430117042237</v>
      </c>
      <c r="H181" s="412" t="b">
        <f>Wh_hp&gt;='2018'!Maxi_hp</f>
        <v>1</v>
      </c>
      <c r="I181" s="390">
        <f>IF(H181,Wh_hp,'2018'!Maxi_hp)</f>
        <v>59.636866753529013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8.4839976828036123E-3</v>
      </c>
      <c r="M181" s="957"/>
      <c r="N181" s="957"/>
      <c r="O181" s="48">
        <f>IF(t&lt;Tnet,'2018'!Resal+('2018'!Salim-'2018'!Resal)*(1-EXP(('2018'!Tnet-t)/('2018'!Tau_j))),Resal+(Salim-Resal)*(1-EXP((Tnet-t)/(Tau_j))))*Salcycl</f>
        <v>4.3594862839099503E-2</v>
      </c>
      <c r="P181" s="169">
        <f>(INDEX(Models!$BJ181:$BT181,,T181)*(1-R181)+INDEX(Models!$BJ181:$BT181,,T181+1)*R181-ERP_i)*Q181*Ramure*Pc/MaxiM</f>
        <v>2.1591017009601034E-3</v>
      </c>
      <c r="Q181" s="305">
        <f t="shared" si="51"/>
        <v>0.7</v>
      </c>
      <c r="R181" s="177">
        <f t="shared" si="52"/>
        <v>0.78049203629167985</v>
      </c>
      <c r="S181" s="919">
        <f t="shared" si="53"/>
        <v>-2</v>
      </c>
      <c r="T181" s="176">
        <f t="shared" si="54"/>
        <v>4</v>
      </c>
      <c r="U181" s="251">
        <f t="shared" si="55"/>
        <v>-1.2195079637083202</v>
      </c>
      <c r="V181" s="383">
        <f t="shared" si="56"/>
        <v>55.698948073556302</v>
      </c>
      <c r="W181" s="58"/>
      <c r="X181" s="157">
        <f t="shared" si="57"/>
        <v>43632</v>
      </c>
      <c r="Y181" s="385">
        <f t="shared" si="58"/>
        <v>56.430999999999997</v>
      </c>
      <c r="Z181" s="385">
        <f t="shared" si="59"/>
        <v>56.913857031171872</v>
      </c>
      <c r="AA181" s="386">
        <f t="shared" si="60"/>
        <v>59.508104693081535</v>
      </c>
      <c r="AB181" s="197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4.3594862839099503E-2</v>
      </c>
      <c r="AD181" s="231">
        <f>(INDEX(Models!$BJ181:$BT181,,AH181)*(1-AF181)+INDEX(Models!$BJ181:$BT181,,AH181+1)*AF181-ERP_i)*AE181*Ramure*Pc/MaxiM</f>
        <v>2.1591017009601034E-3</v>
      </c>
      <c r="AE181" s="305">
        <f t="shared" si="62"/>
        <v>0.7</v>
      </c>
      <c r="AF181" s="177">
        <f t="shared" si="63"/>
        <v>0.78049203629167985</v>
      </c>
      <c r="AG181" s="176">
        <f t="shared" si="64"/>
        <v>-2</v>
      </c>
      <c r="AH181" s="176">
        <f t="shared" si="65"/>
        <v>4</v>
      </c>
      <c r="AI181" s="225">
        <f t="shared" si="66"/>
        <v>-1.2195079637083202</v>
      </c>
      <c r="AJ181" s="265" t="b">
        <f t="shared" si="67"/>
        <v>1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8">
        <v>55.484999999999999</v>
      </c>
      <c r="C182" s="390"/>
      <c r="D182" s="393">
        <f t="shared" si="48"/>
        <v>55.960988184602037</v>
      </c>
      <c r="E182" s="385">
        <f t="shared" si="73"/>
        <v>58.518813914816533</v>
      </c>
      <c r="F182" s="385">
        <f t="shared" si="49"/>
        <v>58.647204437041879</v>
      </c>
      <c r="G182" s="110">
        <f t="shared" si="74"/>
        <v>0.99764178929897718</v>
      </c>
      <c r="H182" s="412" t="b">
        <f>Wh_hp&gt;='2018'!Maxi_hp</f>
        <v>1</v>
      </c>
      <c r="I182" s="390">
        <f>IF(H182,Wh_hp,'2018'!Maxi_hp)</f>
        <v>58.647204437041879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8.5057144279130359E-3</v>
      </c>
      <c r="M182" s="957"/>
      <c r="N182" s="957"/>
      <c r="O182" s="48">
        <f>IF(t&lt;Tnet,'2018'!Resal+('2018'!Salim-'2018'!Resal)*(1-EXP(('2018'!Tnet-t)/('2018'!Tau_j))),Resal+(Salim-Resal)*(1-EXP((Tnet-t)/(Tau_j))))*Salcycl</f>
        <v>4.3709459558387731E-2</v>
      </c>
      <c r="P182" s="169">
        <f>(INDEX(Models!$BJ182:$BT182,,T182)*(1-R182)+INDEX(Models!$BJ182:$BT182,,T182+1)*R182-ERP_i)*Q182*Ramure*Pc/MaxiM</f>
        <v>2.1965779079967723E-3</v>
      </c>
      <c r="Q182" s="305">
        <f t="shared" si="51"/>
        <v>0.7</v>
      </c>
      <c r="R182" s="177">
        <f t="shared" si="52"/>
        <v>0.78554699382133952</v>
      </c>
      <c r="S182" s="919">
        <f t="shared" si="53"/>
        <v>-2</v>
      </c>
      <c r="T182" s="176">
        <f t="shared" si="54"/>
        <v>4</v>
      </c>
      <c r="U182" s="251">
        <f t="shared" si="55"/>
        <v>-1.2144530061786605</v>
      </c>
      <c r="V182" s="383">
        <f t="shared" si="56"/>
        <v>55.615743438996745</v>
      </c>
      <c r="W182" s="58"/>
      <c r="X182" s="157">
        <f t="shared" si="57"/>
        <v>43633</v>
      </c>
      <c r="Y182" s="385">
        <f t="shared" si="58"/>
        <v>55.484999999999999</v>
      </c>
      <c r="Z182" s="385">
        <f t="shared" si="59"/>
        <v>55.960988184602037</v>
      </c>
      <c r="AA182" s="386">
        <f t="shared" si="60"/>
        <v>58.518813914816533</v>
      </c>
      <c r="AB182" s="197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4.3709459558387731E-2</v>
      </c>
      <c r="AD182" s="231">
        <f>(INDEX(Models!$BJ182:$BT182,,AH182)*(1-AF182)+INDEX(Models!$BJ182:$BT182,,AH182+1)*AF182-ERP_i)*AE182*Ramure*Pc/MaxiM</f>
        <v>2.1965779079967723E-3</v>
      </c>
      <c r="AE182" s="305">
        <f t="shared" si="62"/>
        <v>0.7</v>
      </c>
      <c r="AF182" s="177">
        <f t="shared" si="63"/>
        <v>0.78554699382133952</v>
      </c>
      <c r="AG182" s="176">
        <f t="shared" si="64"/>
        <v>-2</v>
      </c>
      <c r="AH182" s="176">
        <f t="shared" si="65"/>
        <v>4</v>
      </c>
      <c r="AI182" s="225">
        <f t="shared" si="66"/>
        <v>-1.2144530061786605</v>
      </c>
      <c r="AJ182" s="265" t="b">
        <f t="shared" si="67"/>
        <v>1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8">
        <v>53.618000000000002</v>
      </c>
      <c r="C183" s="390"/>
      <c r="D183" s="393">
        <f t="shared" si="48"/>
        <v>54.079156257155148</v>
      </c>
      <c r="E183" s="385">
        <f t="shared" si="73"/>
        <v>56.557705264019837</v>
      </c>
      <c r="F183" s="385">
        <f t="shared" si="49"/>
        <v>56.677985927992459</v>
      </c>
      <c r="G183" s="110">
        <f t="shared" si="74"/>
        <v>0.96545473934728887</v>
      </c>
      <c r="H183" s="412" t="b">
        <f>Wh_hp&gt;='2018'!Maxi_hp</f>
        <v>1</v>
      </c>
      <c r="I183" s="390">
        <f>IF(H183,Wh_hp,'2018'!Maxi_hp)</f>
        <v>56.677985927992459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8.5274306973701641E-3</v>
      </c>
      <c r="M183" s="957"/>
      <c r="N183" s="957"/>
      <c r="O183" s="48">
        <f>IF(t&lt;Tnet,'2018'!Resal+('2018'!Salim-'2018'!Resal)*(1-EXP(('2018'!Tnet-t)/('2018'!Tau_j))),Resal+(Salim-Resal)*(1-EXP((Tnet-t)/(Tau_j))))*Salcycl</f>
        <v>4.3823365804790994E-2</v>
      </c>
      <c r="P183" s="169">
        <f>(INDEX(Models!$BJ183:$BT183,,T183)*(1-R183)+INDEX(Models!$BJ183:$BT183,,T183+1)*R183-ERP_i)*Q183*Ramure*Pc/MaxiM</f>
        <v>2.231986617545899E-3</v>
      </c>
      <c r="Q183" s="305">
        <f t="shared" si="51"/>
        <v>0.7</v>
      </c>
      <c r="R183" s="177">
        <f t="shared" si="52"/>
        <v>0.79057236660361152</v>
      </c>
      <c r="S183" s="919">
        <f t="shared" si="53"/>
        <v>-2</v>
      </c>
      <c r="T183" s="176">
        <f t="shared" si="54"/>
        <v>4</v>
      </c>
      <c r="U183" s="251">
        <f t="shared" si="55"/>
        <v>-1.2094276333963885</v>
      </c>
      <c r="V183" s="383">
        <f t="shared" si="56"/>
        <v>55.530412219381375</v>
      </c>
      <c r="W183" s="58"/>
      <c r="X183" s="157">
        <f t="shared" si="57"/>
        <v>43634</v>
      </c>
      <c r="Y183" s="385">
        <f t="shared" si="58"/>
        <v>53.618000000000002</v>
      </c>
      <c r="Z183" s="385">
        <f t="shared" si="59"/>
        <v>54.079156257155148</v>
      </c>
      <c r="AA183" s="386">
        <f t="shared" si="60"/>
        <v>56.557705264019837</v>
      </c>
      <c r="AB183" s="197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4.3823365804790994E-2</v>
      </c>
      <c r="AD183" s="231">
        <f>(INDEX(Models!$BJ183:$BT183,,AH183)*(1-AF183)+INDEX(Models!$BJ183:$BT183,,AH183+1)*AF183-ERP_i)*AE183*Ramure*Pc/MaxiM</f>
        <v>2.231986617545899E-3</v>
      </c>
      <c r="AE183" s="305">
        <f t="shared" si="62"/>
        <v>0.7</v>
      </c>
      <c r="AF183" s="177">
        <f t="shared" si="63"/>
        <v>0.79057236660361152</v>
      </c>
      <c r="AG183" s="176">
        <f t="shared" si="64"/>
        <v>-2</v>
      </c>
      <c r="AH183" s="176">
        <f t="shared" si="65"/>
        <v>4</v>
      </c>
      <c r="AI183" s="225">
        <f t="shared" si="66"/>
        <v>-1.2094276333963885</v>
      </c>
      <c r="AJ183" s="265" t="b">
        <f t="shared" si="67"/>
        <v>1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8">
        <v>46.914999999999999</v>
      </c>
      <c r="C184" s="390"/>
      <c r="D184" s="393">
        <f t="shared" si="48"/>
        <v>47.319541693836349</v>
      </c>
      <c r="E184" s="385">
        <f t="shared" si="73"/>
        <v>49.494144400612356</v>
      </c>
      <c r="F184" s="385">
        <f t="shared" si="49"/>
        <v>49.581737815799464</v>
      </c>
      <c r="G184" s="110">
        <f t="shared" si="74"/>
        <v>0.84575610496909281</v>
      </c>
      <c r="H184" s="412" t="b">
        <f>Wh_hp&gt;='2018'!Maxi_hp</f>
        <v>1</v>
      </c>
      <c r="I184" s="390">
        <f>IF(H184,Wh_hp,'2018'!Maxi_hp)</f>
        <v>49.581737815799464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8.5491464911851001E-3</v>
      </c>
      <c r="M184" s="957"/>
      <c r="N184" s="957"/>
      <c r="O184" s="48">
        <f>IF(t&lt;Tnet,'2018'!Resal+('2018'!Salim-'2018'!Resal)*(1-EXP(('2018'!Tnet-t)/('2018'!Tau_j))),Resal+(Salim-Resal)*(1-EXP((Tnet-t)/(Tau_j))))*Salcycl</f>
        <v>4.3936565286884707E-2</v>
      </c>
      <c r="P184" s="169">
        <f>(INDEX(Models!$BJ184:$BT184,,T184)*(1-R184)+INDEX(Models!$BJ184:$BT184,,T184+1)*R184-ERP_i)*Q184*Ramure*Pc/MaxiM</f>
        <v>2.2641941319862962E-3</v>
      </c>
      <c r="Q184" s="305">
        <f t="shared" si="51"/>
        <v>0.7</v>
      </c>
      <c r="R184" s="177">
        <f t="shared" si="52"/>
        <v>0.79556421001802402</v>
      </c>
      <c r="S184" s="919">
        <f t="shared" si="53"/>
        <v>-2</v>
      </c>
      <c r="T184" s="176">
        <f t="shared" si="54"/>
        <v>4</v>
      </c>
      <c r="U184" s="251">
        <f t="shared" si="55"/>
        <v>-1.204435789981976</v>
      </c>
      <c r="V184" s="383">
        <f t="shared" si="56"/>
        <v>55.4434262756225</v>
      </c>
      <c r="W184" s="58"/>
      <c r="X184" s="157">
        <f t="shared" si="57"/>
        <v>43635</v>
      </c>
      <c r="Y184" s="385">
        <f t="shared" si="58"/>
        <v>46.914999999999999</v>
      </c>
      <c r="Z184" s="385">
        <f t="shared" si="59"/>
        <v>47.319541693836349</v>
      </c>
      <c r="AA184" s="386">
        <f t="shared" si="60"/>
        <v>49.494144400612356</v>
      </c>
      <c r="AB184" s="197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4.3936565286884707E-2</v>
      </c>
      <c r="AD184" s="231">
        <f>(INDEX(Models!$BJ184:$BT184,,AH184)*(1-AF184)+INDEX(Models!$BJ184:$BT184,,AH184+1)*AF184-ERP_i)*AE184*Ramure*Pc/MaxiM</f>
        <v>2.2641941319862962E-3</v>
      </c>
      <c r="AE184" s="305">
        <f t="shared" si="62"/>
        <v>0.7</v>
      </c>
      <c r="AF184" s="177">
        <f t="shared" si="63"/>
        <v>0.79556421001802402</v>
      </c>
      <c r="AG184" s="176">
        <f t="shared" si="64"/>
        <v>-2</v>
      </c>
      <c r="AH184" s="176">
        <f t="shared" si="65"/>
        <v>4</v>
      </c>
      <c r="AI184" s="225">
        <f t="shared" si="66"/>
        <v>-1.204435789981976</v>
      </c>
      <c r="AJ184" s="265" t="b">
        <f t="shared" si="67"/>
        <v>1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8">
        <v>21.844999999999999</v>
      </c>
      <c r="C185" s="390"/>
      <c r="D185" s="393">
        <f t="shared" si="48"/>
        <v>22.033849075555064</v>
      </c>
      <c r="E185" s="385">
        <f t="shared" si="73"/>
        <v>23.049141728324752</v>
      </c>
      <c r="F185" s="385">
        <f t="shared" si="49"/>
        <v>23.056293097016635</v>
      </c>
      <c r="G185" s="110">
        <f t="shared" si="74"/>
        <v>0.3938504372852753</v>
      </c>
      <c r="H185" s="412" t="b">
        <f>Wh_hp&gt;='2018'!Maxi_hp</f>
        <v>1</v>
      </c>
      <c r="I185" s="390">
        <f>IF(H185,Wh_hp,'2018'!Maxi_hp)</f>
        <v>23.056293097016635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8.5708618093685018E-3</v>
      </c>
      <c r="M185" s="957"/>
      <c r="N185" s="957"/>
      <c r="O185" s="48">
        <f>IF(t&lt;Tnet,'2018'!Resal+('2018'!Salim-'2018'!Resal)*(1-EXP(('2018'!Tnet-t)/('2018'!Tau_j))),Resal+(Salim-Resal)*(1-EXP((Tnet-t)/(Tau_j))))*Salcycl</f>
        <v>4.404904376643265E-2</v>
      </c>
      <c r="P185" s="169">
        <f>(INDEX(Models!$BJ185:$BT185,,T185)*(1-R185)+INDEX(Models!$BJ185:$BT185,,T185+1)*R185-ERP_i)*Q185*Ramure*Pc/MaxiM</f>
        <v>2.2943092549006549E-3</v>
      </c>
      <c r="Q185" s="305">
        <f t="shared" si="51"/>
        <v>0.7</v>
      </c>
      <c r="R185" s="177">
        <f t="shared" si="52"/>
        <v>0.80051868809510629</v>
      </c>
      <c r="S185" s="919">
        <f t="shared" si="53"/>
        <v>-2</v>
      </c>
      <c r="T185" s="176">
        <f t="shared" si="54"/>
        <v>4</v>
      </c>
      <c r="U185" s="251">
        <f t="shared" si="55"/>
        <v>-1.1994813119048937</v>
      </c>
      <c r="V185" s="383">
        <f t="shared" si="56"/>
        <v>55.355132213576525</v>
      </c>
      <c r="W185" s="58"/>
      <c r="X185" s="157">
        <f t="shared" si="57"/>
        <v>43636</v>
      </c>
      <c r="Y185" s="385">
        <f t="shared" si="58"/>
        <v>21.844999999999999</v>
      </c>
      <c r="Z185" s="385">
        <f t="shared" si="59"/>
        <v>22.033849075555064</v>
      </c>
      <c r="AA185" s="386">
        <f t="shared" si="60"/>
        <v>23.049141728324752</v>
      </c>
      <c r="AB185" s="197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4.404904376643265E-2</v>
      </c>
      <c r="AD185" s="231">
        <f>(INDEX(Models!$BJ185:$BT185,,AH185)*(1-AF185)+INDEX(Models!$BJ185:$BT185,,AH185+1)*AF185-ERP_i)*AE185*Ramure*Pc/MaxiM</f>
        <v>2.2943092549006549E-3</v>
      </c>
      <c r="AE185" s="305">
        <f t="shared" si="62"/>
        <v>0.7</v>
      </c>
      <c r="AF185" s="177">
        <f t="shared" si="63"/>
        <v>0.80051868809510629</v>
      </c>
      <c r="AG185" s="176">
        <f t="shared" si="64"/>
        <v>-2</v>
      </c>
      <c r="AH185" s="176">
        <f t="shared" si="65"/>
        <v>4</v>
      </c>
      <c r="AI185" s="225">
        <f t="shared" si="66"/>
        <v>-1.1994813119048937</v>
      </c>
      <c r="AJ185" s="265" t="b">
        <f t="shared" si="67"/>
        <v>1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8">
        <v>10.186</v>
      </c>
      <c r="C186" s="390"/>
      <c r="D186" s="393">
        <f t="shared" si="48"/>
        <v>10.274282560444211</v>
      </c>
      <c r="E186" s="385">
        <f t="shared" si="73"/>
        <v>10.748965352353242</v>
      </c>
      <c r="F186" s="385">
        <f t="shared" si="49"/>
        <v>10.748965352353242</v>
      </c>
      <c r="G186" s="110">
        <f t="shared" si="74"/>
        <v>0.18388079695951573</v>
      </c>
      <c r="H186" s="412" t="b">
        <f>Wh_hp&gt;='2018'!Maxi_hp</f>
        <v>1</v>
      </c>
      <c r="I186" s="390">
        <f>IF(H186,Wh_hp,'2018'!Maxi_hp)</f>
        <v>10.748965352353242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8.5925766519306945E-3</v>
      </c>
      <c r="M186" s="957"/>
      <c r="N186" s="957"/>
      <c r="O186" s="48">
        <f>IF(t&lt;Tnet,'2018'!Resal+('2018'!Salim-'2018'!Resal)*(1-EXP(('2018'!Tnet-t)/('2018'!Tau_j))),Resal+(Salim-Resal)*(1-EXP((Tnet-t)/(Tau_j))))*Salcycl</f>
        <v>4.416078909446941E-2</v>
      </c>
      <c r="P186" s="169">
        <f>(INDEX(Models!$BJ186:$BT186,,T186)*(1-R186)+INDEX(Models!$BJ186:$BT186,,T186+1)*R186-ERP_i)*Q186*Ramure*Pc/MaxiM</f>
        <v>2.3222304196615813E-3</v>
      </c>
      <c r="Q186" s="305">
        <f t="shared" si="51"/>
        <v>0.7</v>
      </c>
      <c r="R186" s="177">
        <f t="shared" si="52"/>
        <v>0.80543208464473315</v>
      </c>
      <c r="S186" s="919">
        <f t="shared" si="53"/>
        <v>-2</v>
      </c>
      <c r="T186" s="176">
        <f t="shared" si="54"/>
        <v>4</v>
      </c>
      <c r="U186" s="251">
        <f t="shared" si="55"/>
        <v>-1.1945679153552669</v>
      </c>
      <c r="V186" s="383">
        <f t="shared" si="56"/>
        <v>55.265943638381813</v>
      </c>
      <c r="W186" s="58"/>
      <c r="X186" s="157">
        <f t="shared" si="57"/>
        <v>43637</v>
      </c>
      <c r="Y186" s="385">
        <f t="shared" si="58"/>
        <v>10.186</v>
      </c>
      <c r="Z186" s="385">
        <f t="shared" si="59"/>
        <v>10.274282560444211</v>
      </c>
      <c r="AA186" s="386">
        <f t="shared" si="60"/>
        <v>10.748965352353242</v>
      </c>
      <c r="AB186" s="197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4.416078909446941E-2</v>
      </c>
      <c r="AD186" s="231">
        <f>(INDEX(Models!$BJ186:$BT186,,AH186)*(1-AF186)+INDEX(Models!$BJ186:$BT186,,AH186+1)*AF186-ERP_i)*AE186*Ramure*Pc/MaxiM</f>
        <v>2.3222304196615813E-3</v>
      </c>
      <c r="AE186" s="305">
        <f t="shared" si="62"/>
        <v>0.7</v>
      </c>
      <c r="AF186" s="177">
        <f t="shared" si="63"/>
        <v>0.80543208464473315</v>
      </c>
      <c r="AG186" s="176">
        <f t="shared" si="64"/>
        <v>-2</v>
      </c>
      <c r="AH186" s="176">
        <f t="shared" si="65"/>
        <v>4</v>
      </c>
      <c r="AI186" s="225">
        <f t="shared" si="66"/>
        <v>-1.1945679153552669</v>
      </c>
      <c r="AJ186" s="265" t="b">
        <f t="shared" si="67"/>
        <v>1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8">
        <v>50.101999999999997</v>
      </c>
      <c r="C187" s="390"/>
      <c r="D187" s="393">
        <f t="shared" si="48"/>
        <v>50.537343383224268</v>
      </c>
      <c r="E187" s="385">
        <f t="shared" si="73"/>
        <v>52.878363241531595</v>
      </c>
      <c r="F187" s="385">
        <f t="shared" si="49"/>
        <v>52.986423754924019</v>
      </c>
      <c r="G187" s="110">
        <f t="shared" si="74"/>
        <v>0.9077545617660906</v>
      </c>
      <c r="H187" s="412" t="b">
        <f>Wh_hp&gt;='2018'!Maxi_hp</f>
        <v>1</v>
      </c>
      <c r="I187" s="390">
        <f>IF(H187,Wh_hp,'2018'!Maxi_hp)</f>
        <v>52.986423754924019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8.6142910188821142E-3</v>
      </c>
      <c r="M187" s="957"/>
      <c r="N187" s="957"/>
      <c r="O187" s="48">
        <f>IF(t&lt;Tnet,'2018'!Resal+('2018'!Salim-'2018'!Resal)*(1-EXP(('2018'!Tnet-t)/('2018'!Tau_j))),Resal+(Salim-Resal)*(1-EXP((Tnet-t)/(Tau_j))))*Salcycl</f>
        <v>4.4271791235562498E-2</v>
      </c>
      <c r="P187" s="169">
        <f>(INDEX(Models!$BJ187:$BT187,,T187)*(1-R187)+INDEX(Models!$BJ187:$BT187,,T187+1)*R187-ERP_i)*Q187*Ramure*Pc/MaxiM</f>
        <v>2.3478574155878502E-3</v>
      </c>
      <c r="Q187" s="305">
        <f t="shared" si="51"/>
        <v>0.7</v>
      </c>
      <c r="R187" s="177">
        <f t="shared" si="52"/>
        <v>0.81030081358482065</v>
      </c>
      <c r="S187" s="919">
        <f t="shared" si="53"/>
        <v>-2</v>
      </c>
      <c r="T187" s="176">
        <f t="shared" si="54"/>
        <v>4</v>
      </c>
      <c r="U187" s="251">
        <f t="shared" si="55"/>
        <v>-1.1896991864151794</v>
      </c>
      <c r="V187" s="383">
        <f t="shared" si="56"/>
        <v>55.176273626085802</v>
      </c>
      <c r="W187" s="58"/>
      <c r="X187" s="157">
        <f t="shared" si="57"/>
        <v>43638</v>
      </c>
      <c r="Y187" s="385">
        <f t="shared" si="58"/>
        <v>50.101999999999997</v>
      </c>
      <c r="Z187" s="385">
        <f t="shared" si="59"/>
        <v>50.537343383224268</v>
      </c>
      <c r="AA187" s="386">
        <f t="shared" si="60"/>
        <v>52.878363241531595</v>
      </c>
      <c r="AB187" s="197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4.4271791235562498E-2</v>
      </c>
      <c r="AD187" s="231">
        <f>(INDEX(Models!$BJ187:$BT187,,AH187)*(1-AF187)+INDEX(Models!$BJ187:$BT187,,AH187+1)*AF187-ERP_i)*AE187*Ramure*Pc/MaxiM</f>
        <v>2.3478574155878502E-3</v>
      </c>
      <c r="AE187" s="305">
        <f t="shared" si="62"/>
        <v>0.7</v>
      </c>
      <c r="AF187" s="177">
        <f t="shared" si="63"/>
        <v>0.81030081358482065</v>
      </c>
      <c r="AG187" s="176">
        <f t="shared" si="64"/>
        <v>-2</v>
      </c>
      <c r="AH187" s="176">
        <f t="shared" si="65"/>
        <v>4</v>
      </c>
      <c r="AI187" s="225">
        <f t="shared" si="66"/>
        <v>-1.1896991864151794</v>
      </c>
      <c r="AJ187" s="265" t="b">
        <f t="shared" si="67"/>
        <v>1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8">
        <v>49.84</v>
      </c>
      <c r="C188" s="390"/>
      <c r="D188" s="393">
        <f t="shared" si="48"/>
        <v>50.274167961372299</v>
      </c>
      <c r="E188" s="385">
        <f t="shared" si="73"/>
        <v>52.609065741422761</v>
      </c>
      <c r="F188" s="385">
        <f t="shared" si="49"/>
        <v>52.717054573900171</v>
      </c>
      <c r="G188" s="110">
        <f t="shared" si="74"/>
        <v>0.90446580702998303</v>
      </c>
      <c r="H188" s="412" t="b">
        <f>Wh_hp&gt;='2018'!Maxi_hp</f>
        <v>1</v>
      </c>
      <c r="I188" s="390">
        <f>IF(H188,Wh_hp,'2018'!Maxi_hp)</f>
        <v>52.717054573900171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8.636004910233086E-3</v>
      </c>
      <c r="M188" s="957"/>
      <c r="N188" s="957"/>
      <c r="O188" s="48">
        <f>IF(t&lt;Tnet,'2018'!Resal+('2018'!Salim-'2018'!Resal)*(1-EXP(('2018'!Tnet-t)/('2018'!Tau_j))),Resal+(Salim-Resal)*(1-EXP((Tnet-t)/(Tau_j))))*Salcycl</f>
        <v>4.438204228006333E-2</v>
      </c>
      <c r="P188" s="169">
        <f>(INDEX(Models!$BJ188:$BT188,,T188)*(1-R188)+INDEX(Models!$BJ188:$BT188,,T188+1)*R188-ERP_i)*Q188*Ramure*Pc/MaxiM</f>
        <v>2.3710675144753271E-3</v>
      </c>
      <c r="Q188" s="305">
        <f t="shared" si="51"/>
        <v>0.7</v>
      </c>
      <c r="R188" s="177">
        <f t="shared" si="52"/>
        <v>0.81512142841604263</v>
      </c>
      <c r="S188" s="919">
        <f t="shared" si="53"/>
        <v>-2</v>
      </c>
      <c r="T188" s="176">
        <f t="shared" si="54"/>
        <v>4</v>
      </c>
      <c r="U188" s="251">
        <f t="shared" si="55"/>
        <v>-1.1848785715839574</v>
      </c>
      <c r="V188" s="383">
        <f t="shared" si="56"/>
        <v>55.086536054630059</v>
      </c>
      <c r="W188" s="58"/>
      <c r="X188" s="157">
        <f t="shared" si="57"/>
        <v>43639</v>
      </c>
      <c r="Y188" s="385">
        <f t="shared" si="58"/>
        <v>49.84</v>
      </c>
      <c r="Z188" s="385">
        <f t="shared" si="59"/>
        <v>50.274167961372299</v>
      </c>
      <c r="AA188" s="386">
        <f t="shared" si="60"/>
        <v>52.609065741422761</v>
      </c>
      <c r="AB188" s="197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4.438204228006333E-2</v>
      </c>
      <c r="AD188" s="231">
        <f>(INDEX(Models!$BJ188:$BT188,,AH188)*(1-AF188)+INDEX(Models!$BJ188:$BT188,,AH188+1)*AF188-ERP_i)*AE188*Ramure*Pc/MaxiM</f>
        <v>2.3710675144753271E-3</v>
      </c>
      <c r="AE188" s="305">
        <f t="shared" si="62"/>
        <v>0.7</v>
      </c>
      <c r="AF188" s="177">
        <f t="shared" si="63"/>
        <v>0.81512142841604263</v>
      </c>
      <c r="AG188" s="176">
        <f t="shared" si="64"/>
        <v>-2</v>
      </c>
      <c r="AH188" s="176">
        <f t="shared" si="65"/>
        <v>4</v>
      </c>
      <c r="AI188" s="225">
        <f t="shared" si="66"/>
        <v>-1.1848785715839574</v>
      </c>
      <c r="AJ188" s="265" t="b">
        <f t="shared" si="67"/>
        <v>1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8">
        <v>37.372999999999998</v>
      </c>
      <c r="C189" s="390"/>
      <c r="D189" s="393">
        <f t="shared" si="48"/>
        <v>37.699390705792354</v>
      </c>
      <c r="E189" s="385">
        <f t="shared" si="73"/>
        <v>39.454795162672845</v>
      </c>
      <c r="F189" s="385">
        <f t="shared" si="49"/>
        <v>39.50602718126823</v>
      </c>
      <c r="G189" s="110">
        <f t="shared" si="74"/>
        <v>0.67879935856442153</v>
      </c>
      <c r="H189" s="412" t="b">
        <f>Wh_hp&gt;='2018'!Maxi_hp</f>
        <v>1</v>
      </c>
      <c r="I189" s="390">
        <f>IF(H189,Wh_hp,'2018'!Maxi_hp)</f>
        <v>39.50602718126823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8.657718325994268E-3</v>
      </c>
      <c r="M189" s="957"/>
      <c r="N189" s="957"/>
      <c r="O189" s="48">
        <f>IF(t&lt;Tnet,'2018'!Resal+('2018'!Salim-'2018'!Resal)*(1-EXP(('2018'!Tnet-t)/('2018'!Tau_j))),Resal+(Salim-Resal)*(1-EXP((Tnet-t)/(Tau_j))))*Salcycl</f>
        <v>4.4491536444250412E-2</v>
      </c>
      <c r="P189" s="169">
        <f>(INDEX(Models!$BJ189:$BT189,,T189)*(1-R189)+INDEX(Models!$BJ189:$BT189,,T189+1)*R189-ERP_i)*Q189*Ramure*Pc/MaxiM</f>
        <v>2.3917379372935003E-3</v>
      </c>
      <c r="Q189" s="305">
        <f t="shared" si="51"/>
        <v>0.7</v>
      </c>
      <c r="R189" s="177">
        <f t="shared" si="52"/>
        <v>0.81989063079758484</v>
      </c>
      <c r="S189" s="919">
        <f t="shared" si="53"/>
        <v>-2</v>
      </c>
      <c r="T189" s="176">
        <f t="shared" si="54"/>
        <v>4</v>
      </c>
      <c r="U189" s="251">
        <f t="shared" si="55"/>
        <v>-1.1801093692024152</v>
      </c>
      <c r="V189" s="383">
        <f t="shared" si="56"/>
        <v>54.997144366992003</v>
      </c>
      <c r="W189" s="58"/>
      <c r="X189" s="157">
        <f t="shared" si="57"/>
        <v>43640</v>
      </c>
      <c r="Y189" s="385">
        <f t="shared" si="58"/>
        <v>37.372999999999998</v>
      </c>
      <c r="Z189" s="385">
        <f t="shared" si="59"/>
        <v>37.699390705792354</v>
      </c>
      <c r="AA189" s="386">
        <f t="shared" si="60"/>
        <v>39.454795162672845</v>
      </c>
      <c r="AB189" s="197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4.4491536444250412E-2</v>
      </c>
      <c r="AD189" s="231">
        <f>(INDEX(Models!$BJ189:$BT189,,AH189)*(1-AF189)+INDEX(Models!$BJ189:$BT189,,AH189+1)*AF189-ERP_i)*AE189*Ramure*Pc/MaxiM</f>
        <v>2.3917379372935003E-3</v>
      </c>
      <c r="AE189" s="305">
        <f t="shared" si="62"/>
        <v>0.7</v>
      </c>
      <c r="AF189" s="177">
        <f t="shared" si="63"/>
        <v>0.81989063079758484</v>
      </c>
      <c r="AG189" s="176">
        <f t="shared" si="64"/>
        <v>-2</v>
      </c>
      <c r="AH189" s="176">
        <f t="shared" si="65"/>
        <v>4</v>
      </c>
      <c r="AI189" s="225">
        <f t="shared" si="66"/>
        <v>-1.1801093692024152</v>
      </c>
      <c r="AJ189" s="265" t="b">
        <f t="shared" si="67"/>
        <v>1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8">
        <v>49.98</v>
      </c>
      <c r="C190" s="390"/>
      <c r="D190" s="393">
        <f t="shared" si="48"/>
        <v>50.417596059605152</v>
      </c>
      <c r="E190" s="385">
        <f t="shared" si="73"/>
        <v>52.771206103109314</v>
      </c>
      <c r="F190" s="385">
        <f t="shared" si="49"/>
        <v>52.882299916994292</v>
      </c>
      <c r="G190" s="110">
        <f t="shared" si="74"/>
        <v>0.90995956150959112</v>
      </c>
      <c r="H190" s="412" t="b">
        <f>Wh_hp&gt;='2018'!Maxi_hp</f>
        <v>1</v>
      </c>
      <c r="I190" s="390">
        <f>IF(H190,Wh_hp,'2018'!Maxi_hp)</f>
        <v>52.882299916994292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8.6794312661757633E-3</v>
      </c>
      <c r="M190" s="957"/>
      <c r="N190" s="957"/>
      <c r="O190" s="48">
        <f>IF(t&lt;Tnet,'2018'!Resal+('2018'!Salim-'2018'!Resal)*(1-EXP(('2018'!Tnet-t)/('2018'!Tau_j))),Resal+(Salim-Resal)*(1-EXP((Tnet-t)/(Tau_j))))*Salcycl</f>
        <v>4.460027005836209E-2</v>
      </c>
      <c r="P190" s="169">
        <f>(INDEX(Models!$BJ190:$BT190,,T190)*(1-R190)+INDEX(Models!$BJ190:$BT190,,T190+1)*R190-ERP_i)*Q190*Ramure*Pc/MaxiM</f>
        <v>2.4097717181647735E-3</v>
      </c>
      <c r="Q190" s="305">
        <f t="shared" si="51"/>
        <v>0.7</v>
      </c>
      <c r="R190" s="177">
        <f t="shared" si="52"/>
        <v>0.82460527818856089</v>
      </c>
      <c r="S190" s="919">
        <f t="shared" si="53"/>
        <v>-2</v>
      </c>
      <c r="T190" s="176">
        <f t="shared" si="54"/>
        <v>4</v>
      </c>
      <c r="U190" s="251">
        <f t="shared" si="55"/>
        <v>-1.1753947218114391</v>
      </c>
      <c r="V190" s="383">
        <f t="shared" si="56"/>
        <v>54.908510164399154</v>
      </c>
      <c r="W190" s="58"/>
      <c r="X190" s="157">
        <f t="shared" si="57"/>
        <v>43641</v>
      </c>
      <c r="Y190" s="385">
        <f t="shared" si="58"/>
        <v>49.98</v>
      </c>
      <c r="Z190" s="385">
        <f t="shared" si="59"/>
        <v>50.417596059605152</v>
      </c>
      <c r="AA190" s="386">
        <f t="shared" si="60"/>
        <v>52.771206103109314</v>
      </c>
      <c r="AB190" s="197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4.460027005836209E-2</v>
      </c>
      <c r="AD190" s="231">
        <f>(INDEX(Models!$BJ190:$BT190,,AH190)*(1-AF190)+INDEX(Models!$BJ190:$BT190,,AH190+1)*AF190-ERP_i)*AE190*Ramure*Pc/MaxiM</f>
        <v>2.4097717181647735E-3</v>
      </c>
      <c r="AE190" s="305">
        <f t="shared" si="62"/>
        <v>0.7</v>
      </c>
      <c r="AF190" s="177">
        <f t="shared" si="63"/>
        <v>0.82460527818856089</v>
      </c>
      <c r="AG190" s="176">
        <f t="shared" si="64"/>
        <v>-2</v>
      </c>
      <c r="AH190" s="176">
        <f t="shared" si="65"/>
        <v>4</v>
      </c>
      <c r="AI190" s="225">
        <f t="shared" si="66"/>
        <v>-1.1753947218114391</v>
      </c>
      <c r="AJ190" s="265" t="b">
        <f t="shared" si="67"/>
        <v>1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8">
        <v>54.594000000000001</v>
      </c>
      <c r="C191" s="390"/>
      <c r="D191" s="393">
        <f t="shared" si="48"/>
        <v>55.073199827412743</v>
      </c>
      <c r="E191" s="385">
        <f t="shared" si="73"/>
        <v>57.650659434501378</v>
      </c>
      <c r="F191" s="385">
        <f t="shared" si="49"/>
        <v>57.789981596859789</v>
      </c>
      <c r="G191" s="110">
        <f t="shared" si="74"/>
        <v>0.99586270902049856</v>
      </c>
      <c r="H191" s="412" t="b">
        <f>Wh_hp&gt;='2018'!Maxi_hp</f>
        <v>1</v>
      </c>
      <c r="I191" s="390">
        <f>IF(H191,Wh_hp,'2018'!Maxi_hp)</f>
        <v>57.789981596859789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8.70114373078823E-3</v>
      </c>
      <c r="M191" s="957"/>
      <c r="N191" s="957"/>
      <c r="O191" s="48">
        <f>IF(t&lt;Tnet,'2018'!Resal+('2018'!Salim-'2018'!Resal)*(1-EXP(('2018'!Tnet-t)/('2018'!Tau_j))),Resal+(Salim-Resal)*(1-EXP((Tnet-t)/(Tau_j))))*Salcycl</f>
        <v>4.4708241542613478E-2</v>
      </c>
      <c r="P191" s="169">
        <f>(INDEX(Models!$BJ191:$BT191,,T191)*(1-R191)+INDEX(Models!$BJ191:$BT191,,T191+1)*R191-ERP_i)*Q191*Ramure*Pc/MaxiM</f>
        <v>2.4251199666057112E-3</v>
      </c>
      <c r="Q191" s="305">
        <f t="shared" si="51"/>
        <v>0.7</v>
      </c>
      <c r="R191" s="177">
        <f t="shared" si="52"/>
        <v>0.82926239052939321</v>
      </c>
      <c r="S191" s="919">
        <f t="shared" si="53"/>
        <v>-2</v>
      </c>
      <c r="T191" s="176">
        <f t="shared" si="54"/>
        <v>4</v>
      </c>
      <c r="U191" s="251">
        <f t="shared" si="55"/>
        <v>-1.1707376094706068</v>
      </c>
      <c r="V191" s="383">
        <f t="shared" si="56"/>
        <v>54.820024684781188</v>
      </c>
      <c r="W191" s="58"/>
      <c r="X191" s="157">
        <f t="shared" si="57"/>
        <v>43642</v>
      </c>
      <c r="Y191" s="385">
        <f t="shared" si="58"/>
        <v>54.594000000000001</v>
      </c>
      <c r="Z191" s="385">
        <f t="shared" si="59"/>
        <v>55.073199827412743</v>
      </c>
      <c r="AA191" s="386">
        <f t="shared" si="60"/>
        <v>57.650659434501378</v>
      </c>
      <c r="AB191" s="197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4.4708241542613478E-2</v>
      </c>
      <c r="AD191" s="231">
        <f>(INDEX(Models!$BJ191:$BT191,,AH191)*(1-AF191)+INDEX(Models!$BJ191:$BT191,,AH191+1)*AF191-ERP_i)*AE191*Ramure*Pc/MaxiM</f>
        <v>2.4251199666057112E-3</v>
      </c>
      <c r="AE191" s="305">
        <f t="shared" si="62"/>
        <v>0.7</v>
      </c>
      <c r="AF191" s="177">
        <f t="shared" si="63"/>
        <v>0.82926239052939321</v>
      </c>
      <c r="AG191" s="176">
        <f t="shared" si="64"/>
        <v>-2</v>
      </c>
      <c r="AH191" s="176">
        <f t="shared" si="65"/>
        <v>4</v>
      </c>
      <c r="AI191" s="225">
        <f t="shared" si="66"/>
        <v>-1.1707376094706068</v>
      </c>
      <c r="AJ191" s="265" t="b">
        <f t="shared" si="67"/>
        <v>1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8">
        <v>54.03</v>
      </c>
      <c r="C192" s="390"/>
      <c r="D192" s="393">
        <f t="shared" si="48"/>
        <v>54.505443116249097</v>
      </c>
      <c r="E192" s="385">
        <f t="shared" si="73"/>
        <v>57.062735357794622</v>
      </c>
      <c r="F192" s="385">
        <f t="shared" si="49"/>
        <v>57.199547222334189</v>
      </c>
      <c r="G192" s="110">
        <f t="shared" si="74"/>
        <v>0.98714994260247135</v>
      </c>
      <c r="H192" s="412" t="b">
        <f>Wh_hp&gt;='2018'!Maxi_hp</f>
        <v>1</v>
      </c>
      <c r="I192" s="390">
        <f>IF(H192,Wh_hp,'2018'!Maxi_hp)</f>
        <v>57.199547222334189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8.7228557198419931E-3</v>
      </c>
      <c r="M192" s="957"/>
      <c r="N192" s="957"/>
      <c r="O192" s="48">
        <f>IF(t&lt;Tnet,'2018'!Resal+('2018'!Salim-'2018'!Resal)*(1-EXP(('2018'!Tnet-t)/('2018'!Tau_j))),Resal+(Salim-Resal)*(1-EXP((Tnet-t)/(Tau_j))))*Salcycl</f>
        <v>4.4815451371386164E-2</v>
      </c>
      <c r="P192" s="169">
        <f>(INDEX(Models!$BJ192:$BT192,,T192)*(1-R192)+INDEX(Models!$BJ192:$BT192,,T192+1)*R192-ERP_i)*Q192*Ramure*Pc/MaxiM</f>
        <v>2.4364068984197057E-3</v>
      </c>
      <c r="Q192" s="305">
        <f t="shared" si="51"/>
        <v>0.7</v>
      </c>
      <c r="R192" s="177">
        <f t="shared" si="52"/>
        <v>0.83385915594711024</v>
      </c>
      <c r="S192" s="919">
        <f t="shared" si="53"/>
        <v>-2</v>
      </c>
      <c r="T192" s="176">
        <f t="shared" si="54"/>
        <v>4</v>
      </c>
      <c r="U192" s="251">
        <f t="shared" si="55"/>
        <v>-1.1661408440528898</v>
      </c>
      <c r="V192" s="383">
        <f t="shared" si="56"/>
        <v>54.730880954415476</v>
      </c>
      <c r="W192" s="58"/>
      <c r="X192" s="157">
        <f t="shared" si="57"/>
        <v>43643</v>
      </c>
      <c r="Y192" s="385">
        <f t="shared" si="58"/>
        <v>54.03</v>
      </c>
      <c r="Z192" s="385">
        <f t="shared" si="59"/>
        <v>54.505443116249097</v>
      </c>
      <c r="AA192" s="386">
        <f t="shared" si="60"/>
        <v>57.062735357794622</v>
      </c>
      <c r="AB192" s="197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4.4815451371386164E-2</v>
      </c>
      <c r="AD192" s="231">
        <f>(INDEX(Models!$BJ192:$BT192,,AH192)*(1-AF192)+INDEX(Models!$BJ192:$BT192,,AH192+1)*AF192-ERP_i)*AE192*Ramure*Pc/MaxiM</f>
        <v>2.4364068984197057E-3</v>
      </c>
      <c r="AE192" s="305">
        <f t="shared" si="62"/>
        <v>0.7</v>
      </c>
      <c r="AF192" s="177">
        <f t="shared" si="63"/>
        <v>0.83385915594711024</v>
      </c>
      <c r="AG192" s="176">
        <f t="shared" si="64"/>
        <v>-2</v>
      </c>
      <c r="AH192" s="176">
        <f t="shared" si="65"/>
        <v>4</v>
      </c>
      <c r="AI192" s="225">
        <f t="shared" si="66"/>
        <v>-1.1661408440528898</v>
      </c>
      <c r="AJ192" s="265" t="b">
        <f t="shared" si="67"/>
        <v>1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8">
        <v>49.857999999999997</v>
      </c>
      <c r="C193" s="390"/>
      <c r="D193" s="393">
        <f t="shared" si="48"/>
        <v>50.297832780440217</v>
      </c>
      <c r="E193" s="385">
        <f t="shared" si="73"/>
        <v>52.663581006757475</v>
      </c>
      <c r="F193" s="385">
        <f t="shared" si="49"/>
        <v>52.776466913247475</v>
      </c>
      <c r="G193" s="110">
        <f t="shared" si="74"/>
        <v>0.91218508370510498</v>
      </c>
      <c r="H193" s="412" t="b">
        <f>Wh_hp&gt;='2018'!Maxi_hp</f>
        <v>1</v>
      </c>
      <c r="I193" s="390">
        <f>IF(H193,Wh_hp,'2018'!Maxi_hp)</f>
        <v>52.776466913247475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8.7445672333473778E-3</v>
      </c>
      <c r="M193" s="957"/>
      <c r="N193" s="957"/>
      <c r="O193" s="48">
        <f>IF(t&lt;Tnet,'2018'!Resal+('2018'!Salim-'2018'!Resal)*(1-EXP(('2018'!Tnet-t)/('2018'!Tau_j))),Resal+(Salim-Resal)*(1-EXP((Tnet-t)/(Tau_j))))*Salcycl</f>
        <v>4.49219020258744E-2</v>
      </c>
      <c r="P193" s="169">
        <f>(INDEX(Models!$BJ193:$BT193,,T193)*(1-R193)+INDEX(Models!$BJ193:$BT193,,T193+1)*R193-ERP_i)*Q193*Ramure*Pc/MaxiM</f>
        <v>2.4446485980528054E-3</v>
      </c>
      <c r="Q193" s="305">
        <f t="shared" si="51"/>
        <v>0.7</v>
      </c>
      <c r="R193" s="177">
        <f t="shared" si="52"/>
        <v>0.8383929354779398</v>
      </c>
      <c r="S193" s="919">
        <f t="shared" si="53"/>
        <v>-2</v>
      </c>
      <c r="T193" s="176">
        <f t="shared" si="54"/>
        <v>4</v>
      </c>
      <c r="U193" s="251">
        <f t="shared" si="55"/>
        <v>-1.1616070645220602</v>
      </c>
      <c r="V193" s="383">
        <f t="shared" si="56"/>
        <v>54.641022308437186</v>
      </c>
      <c r="W193" s="58"/>
      <c r="X193" s="157">
        <f t="shared" si="57"/>
        <v>43644</v>
      </c>
      <c r="Y193" s="385">
        <f t="shared" si="58"/>
        <v>49.857999999999997</v>
      </c>
      <c r="Z193" s="385">
        <f t="shared" si="59"/>
        <v>50.297832780440217</v>
      </c>
      <c r="AA193" s="386">
        <f t="shared" si="60"/>
        <v>52.663581006757475</v>
      </c>
      <c r="AB193" s="197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4.49219020258744E-2</v>
      </c>
      <c r="AD193" s="231">
        <f>(INDEX(Models!$BJ193:$BT193,,AH193)*(1-AF193)+INDEX(Models!$BJ193:$BT193,,AH193+1)*AF193-ERP_i)*AE193*Ramure*Pc/MaxiM</f>
        <v>2.4446485980528054E-3</v>
      </c>
      <c r="AE193" s="305">
        <f t="shared" si="62"/>
        <v>0.7</v>
      </c>
      <c r="AF193" s="177">
        <f t="shared" si="63"/>
        <v>0.8383929354779398</v>
      </c>
      <c r="AG193" s="176">
        <f t="shared" si="64"/>
        <v>-2</v>
      </c>
      <c r="AH193" s="176">
        <f t="shared" si="65"/>
        <v>4</v>
      </c>
      <c r="AI193" s="225">
        <f t="shared" si="66"/>
        <v>-1.1616070645220602</v>
      </c>
      <c r="AJ193" s="265" t="b">
        <f t="shared" si="67"/>
        <v>1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8">
        <v>51.674999999999997</v>
      </c>
      <c r="C194" s="390"/>
      <c r="D194" s="393">
        <f t="shared" si="48"/>
        <v>52.13200365084451</v>
      </c>
      <c r="E194" s="385">
        <f t="shared" si="73"/>
        <v>54.590063061662072</v>
      </c>
      <c r="F194" s="385">
        <f t="shared" si="49"/>
        <v>54.714006796227508</v>
      </c>
      <c r="G194" s="110">
        <f t="shared" si="74"/>
        <v>0.94711306843034349</v>
      </c>
      <c r="H194" s="412" t="b">
        <f>Wh_hp&gt;='2018'!Maxi_hp</f>
        <v>1</v>
      </c>
      <c r="I194" s="390">
        <f>IF(H194,Wh_hp,'2018'!Maxi_hp)</f>
        <v>54.714006796227508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8.7662782713150422E-3</v>
      </c>
      <c r="M194" s="957"/>
      <c r="N194" s="957"/>
      <c r="O194" s="48">
        <f>IF(t&lt;Tnet,'2018'!Resal+('2018'!Salim-'2018'!Resal)*(1-EXP(('2018'!Tnet-t)/('2018'!Tau_j))),Resal+(Salim-Resal)*(1-EXP((Tnet-t)/(Tau_j))))*Salcycl</f>
        <v>4.5027597935563192E-2</v>
      </c>
      <c r="P194" s="169">
        <f>(INDEX(Models!$BJ194:$BT194,,T194)*(1-R194)+INDEX(Models!$BJ194:$BT194,,T194+1)*R194-ERP_i)*Q194*Ramure*Pc/MaxiM</f>
        <v>2.4497761225978723E-3</v>
      </c>
      <c r="Q194" s="305">
        <f t="shared" si="51"/>
        <v>0.7</v>
      </c>
      <c r="R194" s="177">
        <f t="shared" si="52"/>
        <v>0.84286126680971218</v>
      </c>
      <c r="S194" s="919">
        <f t="shared" si="53"/>
        <v>-2</v>
      </c>
      <c r="T194" s="176">
        <f t="shared" si="54"/>
        <v>4</v>
      </c>
      <c r="U194" s="251">
        <f t="shared" si="55"/>
        <v>-1.1571387331902878</v>
      </c>
      <c r="V194" s="383">
        <f t="shared" si="56"/>
        <v>54.550451645844888</v>
      </c>
      <c r="W194" s="58"/>
      <c r="X194" s="157">
        <f t="shared" si="57"/>
        <v>43645</v>
      </c>
      <c r="Y194" s="385">
        <f t="shared" si="58"/>
        <v>51.674999999999997</v>
      </c>
      <c r="Z194" s="385">
        <f t="shared" si="59"/>
        <v>52.13200365084451</v>
      </c>
      <c r="AA194" s="386">
        <f t="shared" si="60"/>
        <v>54.590063061662072</v>
      </c>
      <c r="AB194" s="197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4.5027597935563192E-2</v>
      </c>
      <c r="AD194" s="231">
        <f>(INDEX(Models!$BJ194:$BT194,,AH194)*(1-AF194)+INDEX(Models!$BJ194:$BT194,,AH194+1)*AF194-ERP_i)*AE194*Ramure*Pc/MaxiM</f>
        <v>2.4497761225978723E-3</v>
      </c>
      <c r="AE194" s="305">
        <f t="shared" si="62"/>
        <v>0.7</v>
      </c>
      <c r="AF194" s="177">
        <f t="shared" si="63"/>
        <v>0.84286126680971218</v>
      </c>
      <c r="AG194" s="176">
        <f t="shared" si="64"/>
        <v>-2</v>
      </c>
      <c r="AH194" s="176">
        <f t="shared" si="65"/>
        <v>4</v>
      </c>
      <c r="AI194" s="225">
        <f t="shared" si="66"/>
        <v>-1.1571387331902878</v>
      </c>
      <c r="AJ194" s="265" t="b">
        <f t="shared" si="67"/>
        <v>1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8">
        <v>47.822000000000003</v>
      </c>
      <c r="C195" s="390"/>
      <c r="D195" s="393">
        <f t="shared" si="48"/>
        <v>48.24598517902681</v>
      </c>
      <c r="E195" s="385">
        <f t="shared" si="73"/>
        <v>50.526368813870853</v>
      </c>
      <c r="F195" s="385">
        <f t="shared" si="49"/>
        <v>50.628885436696059</v>
      </c>
      <c r="G195" s="110">
        <f t="shared" si="74"/>
        <v>0.87775013754331876</v>
      </c>
      <c r="H195" s="412" t="b">
        <f>Wh_hp&gt;='2018'!Maxi_hp</f>
        <v>1</v>
      </c>
      <c r="I195" s="390">
        <f>IF(H195,Wh_hp,'2018'!Maxi_hp)</f>
        <v>50.628885436696059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8.7879888337552003E-3</v>
      </c>
      <c r="M195" s="957"/>
      <c r="N195" s="957"/>
      <c r="O195" s="48">
        <f>IF(t&lt;Tnet,'2018'!Resal+('2018'!Salim-'2018'!Resal)*(1-EXP(('2018'!Tnet-t)/('2018'!Tau_j))),Resal+(Salim-Resal)*(1-EXP((Tnet-t)/(Tau_j))))*Salcycl</f>
        <v>4.513254540900271E-2</v>
      </c>
      <c r="P195" s="169">
        <f>(INDEX(Models!$BJ195:$BT195,,T195)*(1-R195)+INDEX(Models!$BJ195:$BT195,,T195+1)*R195-ERP_i)*Q195*Ramure*Pc/MaxiM</f>
        <v>2.4517244716840193E-3</v>
      </c>
      <c r="Q195" s="305">
        <f t="shared" si="51"/>
        <v>0.7</v>
      </c>
      <c r="R195" s="177">
        <f t="shared" si="52"/>
        <v>0.84726186705526763</v>
      </c>
      <c r="S195" s="919">
        <f t="shared" si="53"/>
        <v>-2</v>
      </c>
      <c r="T195" s="176">
        <f t="shared" si="54"/>
        <v>4</v>
      </c>
      <c r="U195" s="251">
        <f t="shared" si="55"/>
        <v>-1.1527381329447324</v>
      </c>
      <c r="V195" s="383">
        <f t="shared" si="56"/>
        <v>54.459171500403329</v>
      </c>
      <c r="W195" s="58"/>
      <c r="X195" s="157">
        <f t="shared" si="57"/>
        <v>43646</v>
      </c>
      <c r="Y195" s="385">
        <f t="shared" si="58"/>
        <v>47.822000000000003</v>
      </c>
      <c r="Z195" s="385">
        <f t="shared" si="59"/>
        <v>48.24598517902681</v>
      </c>
      <c r="AA195" s="386">
        <f t="shared" si="60"/>
        <v>50.526368813870853</v>
      </c>
      <c r="AB195" s="197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4.513254540900271E-2</v>
      </c>
      <c r="AD195" s="231">
        <f>(INDEX(Models!$BJ195:$BT195,,AH195)*(1-AF195)+INDEX(Models!$BJ195:$BT195,,AH195+1)*AF195-ERP_i)*AE195*Ramure*Pc/MaxiM</f>
        <v>2.4517244716840193E-3</v>
      </c>
      <c r="AE195" s="305">
        <f t="shared" si="62"/>
        <v>0.7</v>
      </c>
      <c r="AF195" s="177">
        <f t="shared" si="63"/>
        <v>0.84726186705526763</v>
      </c>
      <c r="AG195" s="176">
        <f t="shared" si="64"/>
        <v>-2</v>
      </c>
      <c r="AH195" s="176">
        <f t="shared" si="65"/>
        <v>4</v>
      </c>
      <c r="AI195" s="225">
        <f t="shared" si="66"/>
        <v>-1.1527381329447324</v>
      </c>
      <c r="AJ195" s="265" t="b">
        <f t="shared" si="67"/>
        <v>1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8">
        <v>19.227</v>
      </c>
      <c r="C196" s="390"/>
      <c r="D196" s="393">
        <f t="shared" si="48"/>
        <v>19.397889566779899</v>
      </c>
      <c r="E196" s="385">
        <f t="shared" si="73"/>
        <v>20.316962994415768</v>
      </c>
      <c r="F196" s="385">
        <f t="shared" si="49"/>
        <v>20.320779461884474</v>
      </c>
      <c r="G196" s="110">
        <f t="shared" si="74"/>
        <v>0.35285050607579554</v>
      </c>
      <c r="H196" s="412" t="b">
        <f>Wh_hp&gt;='2018'!Maxi_hp</f>
        <v>1</v>
      </c>
      <c r="I196" s="390">
        <f>IF(H196,Wh_hp,'2018'!Maxi_hp)</f>
        <v>20.320779461884474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8.8096989206782883E-3</v>
      </c>
      <c r="M196" s="957"/>
      <c r="N196" s="957"/>
      <c r="O196" s="48">
        <f>IF(t&lt;Tnet,'2018'!Resal+('2018'!Salim-'2018'!Resal)*(1-EXP(('2018'!Tnet-t)/('2018'!Tau_j))),Resal+(Salim-Resal)*(1-EXP((Tnet-t)/(Tau_j))))*Salcycl</f>
        <v>4.5236752554428585E-2</v>
      </c>
      <c r="P196" s="169">
        <f>(INDEX(Models!$BJ196:$BT196,,T196)*(1-R196)+INDEX(Models!$BJ196:$BT196,,T196+1)*R196-ERP_i)*Q196*Ramure*Pc/MaxiM</f>
        <v>2.4504326012701988E-3</v>
      </c>
      <c r="Q196" s="305">
        <f t="shared" si="51"/>
        <v>0.7</v>
      </c>
      <c r="R196" s="177">
        <f t="shared" si="52"/>
        <v>0.85159263457621059</v>
      </c>
      <c r="S196" s="919">
        <f t="shared" si="53"/>
        <v>-2</v>
      </c>
      <c r="T196" s="176">
        <f t="shared" si="54"/>
        <v>4</v>
      </c>
      <c r="U196" s="251">
        <f t="shared" si="55"/>
        <v>-1.1484073654237894</v>
      </c>
      <c r="V196" s="383">
        <f t="shared" si="56"/>
        <v>54.367184044410216</v>
      </c>
      <c r="W196" s="58"/>
      <c r="X196" s="157">
        <f t="shared" si="57"/>
        <v>43647</v>
      </c>
      <c r="Y196" s="385">
        <f t="shared" si="58"/>
        <v>19.227</v>
      </c>
      <c r="Z196" s="385">
        <f t="shared" si="59"/>
        <v>19.397889566779899</v>
      </c>
      <c r="AA196" s="386">
        <f t="shared" si="60"/>
        <v>20.316962994415768</v>
      </c>
      <c r="AB196" s="197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4.5236752554428585E-2</v>
      </c>
      <c r="AD196" s="231">
        <f>(INDEX(Models!$BJ196:$BT196,,AH196)*(1-AF196)+INDEX(Models!$BJ196:$BT196,,AH196+1)*AF196-ERP_i)*AE196*Ramure*Pc/MaxiM</f>
        <v>2.4504326012701988E-3</v>
      </c>
      <c r="AE196" s="305">
        <f t="shared" si="62"/>
        <v>0.7</v>
      </c>
      <c r="AF196" s="177">
        <f t="shared" si="63"/>
        <v>0.85159263457621059</v>
      </c>
      <c r="AG196" s="176">
        <f t="shared" si="64"/>
        <v>-2</v>
      </c>
      <c r="AH196" s="176">
        <f t="shared" si="65"/>
        <v>4</v>
      </c>
      <c r="AI196" s="225">
        <f t="shared" si="66"/>
        <v>-1.1484073654237894</v>
      </c>
      <c r="AJ196" s="265" t="b">
        <f t="shared" si="67"/>
        <v>1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8">
        <v>29.036999999999999</v>
      </c>
      <c r="C197" s="390"/>
      <c r="D197" s="393">
        <f t="shared" si="48"/>
        <v>29.295722493583714</v>
      </c>
      <c r="E197" s="385">
        <f t="shared" si="73"/>
        <v>30.687081816334953</v>
      </c>
      <c r="F197" s="385">
        <f t="shared" si="49"/>
        <v>30.712300117530923</v>
      </c>
      <c r="G197" s="110">
        <f t="shared" si="74"/>
        <v>0.53413276435719115</v>
      </c>
      <c r="H197" s="412" t="b">
        <f>Wh_hp&gt;='2018'!Maxi_hp</f>
        <v>1</v>
      </c>
      <c r="I197" s="390">
        <f>IF(H197,Wh_hp,'2018'!Maxi_hp)</f>
        <v>30.712300117530923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8.8314085320947422E-3</v>
      </c>
      <c r="M197" s="957"/>
      <c r="N197" s="957"/>
      <c r="O197" s="48">
        <f>IF(t&lt;Tnet,'2018'!Resal+('2018'!Salim-'2018'!Resal)*(1-EXP(('2018'!Tnet-t)/('2018'!Tau_j))),Resal+(Salim-Resal)*(1-EXP((Tnet-t)/(Tau_j))))*Salcycl</f>
        <v>4.5340229190858047E-2</v>
      </c>
      <c r="P197" s="169">
        <f>(INDEX(Models!$BJ197:$BT197,,T197)*(1-R197)+INDEX(Models!$BJ197:$BT197,,T197+1)*R197-ERP_i)*Q197*Ramure*Pc/MaxiM</f>
        <v>2.4458434047087379E-3</v>
      </c>
      <c r="Q197" s="305">
        <f t="shared" si="51"/>
        <v>0.7</v>
      </c>
      <c r="R197" s="177">
        <f t="shared" si="52"/>
        <v>0.85585164988387108</v>
      </c>
      <c r="S197" s="919">
        <f t="shared" si="53"/>
        <v>-2</v>
      </c>
      <c r="T197" s="176">
        <f t="shared" si="54"/>
        <v>4</v>
      </c>
      <c r="U197" s="251">
        <f t="shared" si="55"/>
        <v>-1.1441483501161289</v>
      </c>
      <c r="V197" s="383">
        <f t="shared" si="56"/>
        <v>54.274491097589042</v>
      </c>
      <c r="W197" s="58"/>
      <c r="X197" s="157">
        <f t="shared" si="57"/>
        <v>43648</v>
      </c>
      <c r="Y197" s="385">
        <f t="shared" si="58"/>
        <v>29.036999999999999</v>
      </c>
      <c r="Z197" s="385">
        <f t="shared" si="59"/>
        <v>29.295722493583714</v>
      </c>
      <c r="AA197" s="386">
        <f t="shared" si="60"/>
        <v>30.687081816334953</v>
      </c>
      <c r="AB197" s="197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4.5340229190858047E-2</v>
      </c>
      <c r="AD197" s="231">
        <f>(INDEX(Models!$BJ197:$BT197,,AH197)*(1-AF197)+INDEX(Models!$BJ197:$BT197,,AH197+1)*AF197-ERP_i)*AE197*Ramure*Pc/MaxiM</f>
        <v>2.4458434047087379E-3</v>
      </c>
      <c r="AE197" s="305">
        <f t="shared" si="62"/>
        <v>0.7</v>
      </c>
      <c r="AF197" s="177">
        <f t="shared" si="63"/>
        <v>0.85585164988387108</v>
      </c>
      <c r="AG197" s="176">
        <f t="shared" si="64"/>
        <v>-2</v>
      </c>
      <c r="AH197" s="176">
        <f t="shared" si="65"/>
        <v>4</v>
      </c>
      <c r="AI197" s="225">
        <f t="shared" si="66"/>
        <v>-1.1441483501161289</v>
      </c>
      <c r="AJ197" s="265" t="b">
        <f t="shared" si="67"/>
        <v>1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8">
        <v>46.685000000000002</v>
      </c>
      <c r="C198" s="390"/>
      <c r="D198" s="393">
        <f t="shared" si="48"/>
        <v>47.101999544365057</v>
      </c>
      <c r="E198" s="385">
        <f t="shared" si="73"/>
        <v>49.344354386977869</v>
      </c>
      <c r="F198" s="385">
        <f t="shared" si="49"/>
        <v>49.441031489628365</v>
      </c>
      <c r="G198" s="110">
        <f t="shared" si="74"/>
        <v>0.86123085977012825</v>
      </c>
      <c r="H198" s="412" t="b">
        <f>Wh_hp&gt;='2018'!Maxi_hp</f>
        <v>1</v>
      </c>
      <c r="I198" s="390">
        <f>IF(H198,Wh_hp,'2018'!Maxi_hp)</f>
        <v>49.441031489628365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8.8531176680149981E-3</v>
      </c>
      <c r="M198" s="957"/>
      <c r="N198" s="957"/>
      <c r="O198" s="48">
        <f>IF(t&lt;Tnet,'2018'!Resal+('2018'!Salim-'2018'!Resal)*(1-EXP(('2018'!Tnet-t)/('2018'!Tau_j))),Resal+(Salim-Resal)*(1-EXP((Tnet-t)/(Tau_j))))*Salcycl</f>
        <v>4.5442986750366322E-2</v>
      </c>
      <c r="P198" s="169">
        <f>(INDEX(Models!$BJ198:$BT198,,T198)*(1-R198)+INDEX(Models!$BJ198:$BT198,,T198+1)*R198-ERP_i)*Q198*Ramure*Pc/MaxiM</f>
        <v>2.4370863702758839E-3</v>
      </c>
      <c r="Q198" s="305">
        <f t="shared" si="51"/>
        <v>0.7</v>
      </c>
      <c r="R198" s="177">
        <f t="shared" si="52"/>
        <v>0.86003717565116755</v>
      </c>
      <c r="S198" s="919">
        <f t="shared" si="53"/>
        <v>-2</v>
      </c>
      <c r="T198" s="176">
        <f t="shared" si="54"/>
        <v>4</v>
      </c>
      <c r="U198" s="251">
        <f t="shared" si="55"/>
        <v>-1.1399628243488324</v>
      </c>
      <c r="V198" s="383">
        <f t="shared" si="56"/>
        <v>54.181138527373463</v>
      </c>
      <c r="W198" s="58"/>
      <c r="X198" s="157">
        <f t="shared" si="57"/>
        <v>43649</v>
      </c>
      <c r="Y198" s="385">
        <f t="shared" si="58"/>
        <v>46.685000000000002</v>
      </c>
      <c r="Z198" s="385">
        <f t="shared" si="59"/>
        <v>47.101999544365057</v>
      </c>
      <c r="AA198" s="386">
        <f t="shared" si="60"/>
        <v>49.344354386977869</v>
      </c>
      <c r="AB198" s="197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4.5442986750366322E-2</v>
      </c>
      <c r="AD198" s="231">
        <f>(INDEX(Models!$BJ198:$BT198,,AH198)*(1-AF198)+INDEX(Models!$BJ198:$BT198,,AH198+1)*AF198-ERP_i)*AE198*Ramure*Pc/MaxiM</f>
        <v>2.4370863702758839E-3</v>
      </c>
      <c r="AE198" s="305">
        <f t="shared" si="62"/>
        <v>0.7</v>
      </c>
      <c r="AF198" s="177">
        <f t="shared" si="63"/>
        <v>0.86003717565116755</v>
      </c>
      <c r="AG198" s="176">
        <f t="shared" si="64"/>
        <v>-2</v>
      </c>
      <c r="AH198" s="176">
        <f t="shared" si="65"/>
        <v>4</v>
      </c>
      <c r="AI198" s="225">
        <f t="shared" si="66"/>
        <v>-1.1399628243488324</v>
      </c>
      <c r="AJ198" s="265" t="b">
        <f t="shared" si="67"/>
        <v>1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8">
        <v>52.610999999999997</v>
      </c>
      <c r="C199" s="390"/>
      <c r="D199" s="393">
        <f t="shared" si="48"/>
        <v>53.08209436867233</v>
      </c>
      <c r="E199" s="385">
        <f t="shared" si="73"/>
        <v>55.615085563624262</v>
      </c>
      <c r="F199" s="385">
        <f t="shared" si="49"/>
        <v>55.745011407918014</v>
      </c>
      <c r="G199" s="110">
        <f t="shared" si="74"/>
        <v>0.9726172859732598</v>
      </c>
      <c r="H199" s="412" t="b">
        <f>Wh_hp&gt;='2018'!Maxi_hp</f>
        <v>1</v>
      </c>
      <c r="I199" s="390">
        <f>IF(H199,Wh_hp,'2018'!Maxi_hp)</f>
        <v>55.745011407918014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8.8748263284494922E-3</v>
      </c>
      <c r="M199" s="957"/>
      <c r="N199" s="957"/>
      <c r="O199" s="48">
        <f>IF(t&lt;Tnet,'2018'!Resal+('2018'!Salim-'2018'!Resal)*(1-EXP(('2018'!Tnet-t)/('2018'!Tau_j))),Resal+(Salim-Resal)*(1-EXP((Tnet-t)/(Tau_j))))*Salcycl</f>
        <v>4.5545038172316754E-2</v>
      </c>
      <c r="P199" s="169">
        <f>(INDEX(Models!$BJ199:$BT199,,T199)*(1-R199)+INDEX(Models!$BJ199:$BT199,,T199+1)*R199-ERP_i)*Q199*Ramure*Pc/MaxiM</f>
        <v>2.4252696696192219E-3</v>
      </c>
      <c r="Q199" s="305">
        <f t="shared" si="51"/>
        <v>0.7</v>
      </c>
      <c r="R199" s="177">
        <f t="shared" si="52"/>
        <v>0.86414765587512488</v>
      </c>
      <c r="S199" s="919">
        <f t="shared" si="53"/>
        <v>-2</v>
      </c>
      <c r="T199" s="176">
        <f t="shared" si="54"/>
        <v>4</v>
      </c>
      <c r="U199" s="251">
        <f t="shared" si="55"/>
        <v>-1.1358523441248751</v>
      </c>
      <c r="V199" s="383">
        <f t="shared" si="56"/>
        <v>54.087064486227945</v>
      </c>
      <c r="W199" s="58"/>
      <c r="X199" s="157">
        <f t="shared" si="57"/>
        <v>43650</v>
      </c>
      <c r="Y199" s="385">
        <f t="shared" si="58"/>
        <v>52.610999999999997</v>
      </c>
      <c r="Z199" s="385">
        <f t="shared" si="59"/>
        <v>53.08209436867233</v>
      </c>
      <c r="AA199" s="386">
        <f t="shared" si="60"/>
        <v>55.615085563624262</v>
      </c>
      <c r="AB199" s="197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4.5545038172316754E-2</v>
      </c>
      <c r="AD199" s="231">
        <f>(INDEX(Models!$BJ199:$BT199,,AH199)*(1-AF199)+INDEX(Models!$BJ199:$BT199,,AH199+1)*AF199-ERP_i)*AE199*Ramure*Pc/MaxiM</f>
        <v>2.4252696696192219E-3</v>
      </c>
      <c r="AE199" s="305">
        <f t="shared" si="62"/>
        <v>0.7</v>
      </c>
      <c r="AF199" s="177">
        <f t="shared" si="63"/>
        <v>0.86414765587512488</v>
      </c>
      <c r="AG199" s="176">
        <f t="shared" si="64"/>
        <v>-2</v>
      </c>
      <c r="AH199" s="176">
        <f t="shared" si="65"/>
        <v>4</v>
      </c>
      <c r="AI199" s="225">
        <f t="shared" si="66"/>
        <v>-1.1358523441248751</v>
      </c>
      <c r="AJ199" s="265" t="b">
        <f t="shared" si="67"/>
        <v>1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8">
        <v>51.161000000000001</v>
      </c>
      <c r="C200" s="390"/>
      <c r="D200" s="393">
        <f t="shared" si="48"/>
        <v>51.620241257941764</v>
      </c>
      <c r="E200" s="385">
        <f t="shared" si="73"/>
        <v>54.089219277241774</v>
      </c>
      <c r="F200" s="385">
        <f t="shared" si="49"/>
        <v>54.210096477431442</v>
      </c>
      <c r="G200" s="110">
        <f t="shared" si="74"/>
        <v>0.9473900987632875</v>
      </c>
      <c r="H200" s="412" t="b">
        <f>Wh_hp&gt;='2018'!Maxi_hp</f>
        <v>1</v>
      </c>
      <c r="I200" s="390">
        <f>IF(H200,Wh_hp,'2018'!Maxi_hp)</f>
        <v>54.210096477431442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8.8965345134086604E-3</v>
      </c>
      <c r="M200" s="957"/>
      <c r="N200" s="957"/>
      <c r="O200" s="48">
        <f>IF(t&lt;Tnet,'2018'!Resal+('2018'!Salim-'2018'!Resal)*(1-EXP(('2018'!Tnet-t)/('2018'!Tau_j))),Resal+(Salim-Resal)*(1-EXP((Tnet-t)/(Tau_j))))*Salcycl</f>
        <v>4.5646397790378983E-2</v>
      </c>
      <c r="P200" s="169">
        <f>(INDEX(Models!$BJ200:$BT200,,T200)*(1-R200)+INDEX(Models!$BJ200:$BT200,,T200+1)*R200-ERP_i)*Q200*Ramure*Pc/MaxiM</f>
        <v>2.4103559382172607E-3</v>
      </c>
      <c r="Q200" s="305">
        <f t="shared" si="51"/>
        <v>0.7</v>
      </c>
      <c r="R200" s="177">
        <f t="shared" si="52"/>
        <v>0.86818171423509849</v>
      </c>
      <c r="S200" s="919">
        <f t="shared" si="53"/>
        <v>-2</v>
      </c>
      <c r="T200" s="176">
        <f t="shared" si="54"/>
        <v>4</v>
      </c>
      <c r="U200" s="251">
        <f t="shared" si="55"/>
        <v>-1.1318182857649015</v>
      </c>
      <c r="V200" s="383">
        <f t="shared" si="56"/>
        <v>53.992269450072065</v>
      </c>
      <c r="W200" s="58"/>
      <c r="X200" s="157">
        <f t="shared" si="57"/>
        <v>43651</v>
      </c>
      <c r="Y200" s="385">
        <f t="shared" si="58"/>
        <v>51.161000000000001</v>
      </c>
      <c r="Z200" s="385">
        <f t="shared" si="59"/>
        <v>51.620241257941764</v>
      </c>
      <c r="AA200" s="386">
        <f t="shared" si="60"/>
        <v>54.089219277241774</v>
      </c>
      <c r="AB200" s="197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4.5646397790378983E-2</v>
      </c>
      <c r="AD200" s="231">
        <f>(INDEX(Models!$BJ200:$BT200,,AH200)*(1-AF200)+INDEX(Models!$BJ200:$BT200,,AH200+1)*AF200-ERP_i)*AE200*Ramure*Pc/MaxiM</f>
        <v>2.4103559382172607E-3</v>
      </c>
      <c r="AE200" s="305">
        <f t="shared" si="62"/>
        <v>0.7</v>
      </c>
      <c r="AF200" s="177">
        <f t="shared" si="63"/>
        <v>0.86818171423509849</v>
      </c>
      <c r="AG200" s="176">
        <f t="shared" si="64"/>
        <v>-2</v>
      </c>
      <c r="AH200" s="176">
        <f t="shared" si="65"/>
        <v>4</v>
      </c>
      <c r="AI200" s="225">
        <f t="shared" si="66"/>
        <v>-1.1318182857649015</v>
      </c>
      <c r="AJ200" s="265" t="b">
        <f t="shared" si="67"/>
        <v>1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8">
        <v>51.539000000000001</v>
      </c>
      <c r="C201" s="390"/>
      <c r="D201" s="393">
        <f t="shared" si="48"/>
        <v>52.002773328809035</v>
      </c>
      <c r="E201" s="385">
        <f t="shared" si="73"/>
        <v>54.495796978986057</v>
      </c>
      <c r="F201" s="385">
        <f t="shared" si="49"/>
        <v>54.618295227831183</v>
      </c>
      <c r="G201" s="110">
        <f t="shared" si="74"/>
        <v>0.95611096934378415</v>
      </c>
      <c r="H201" s="412" t="b">
        <f>Wh_hp&gt;='2018'!Maxi_hp</f>
        <v>1</v>
      </c>
      <c r="I201" s="390">
        <f>IF(H201,Wh_hp,'2018'!Maxi_hp)</f>
        <v>54.618295227831183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8.918242222902828E-3</v>
      </c>
      <c r="M201" s="957"/>
      <c r="N201" s="957"/>
      <c r="O201" s="48">
        <f>IF(t&lt;Tnet,'2018'!Resal+('2018'!Salim-'2018'!Resal)*(1-EXP(('2018'!Tnet-t)/('2018'!Tau_j))),Resal+(Salim-Resal)*(1-EXP((Tnet-t)/(Tau_j))))*Salcycl</f>
        <v>4.5747081213223718E-2</v>
      </c>
      <c r="P201" s="169">
        <f>(INDEX(Models!$BJ201:$BT201,,T201)*(1-R201)+INDEX(Models!$BJ201:$BT201,,T201+1)*R201-ERP_i)*Q201*Ramure*Pc/MaxiM</f>
        <v>2.3923110551696829E-3</v>
      </c>
      <c r="Q201" s="305">
        <f t="shared" si="51"/>
        <v>0.7</v>
      </c>
      <c r="R201" s="177">
        <f t="shared" si="52"/>
        <v>0.87213815169622477</v>
      </c>
      <c r="S201" s="919">
        <f t="shared" si="53"/>
        <v>-2</v>
      </c>
      <c r="T201" s="176">
        <f t="shared" si="54"/>
        <v>4</v>
      </c>
      <c r="U201" s="251">
        <f t="shared" si="55"/>
        <v>-1.1278618483037752</v>
      </c>
      <c r="V201" s="383">
        <f t="shared" si="56"/>
        <v>53.896753618493328</v>
      </c>
      <c r="W201" s="58"/>
      <c r="X201" s="157">
        <f t="shared" si="57"/>
        <v>43652</v>
      </c>
      <c r="Y201" s="385">
        <f t="shared" si="58"/>
        <v>51.539000000000001</v>
      </c>
      <c r="Z201" s="385">
        <f t="shared" si="59"/>
        <v>52.002773328809035</v>
      </c>
      <c r="AA201" s="386">
        <f t="shared" si="60"/>
        <v>54.495796978986057</v>
      </c>
      <c r="AB201" s="197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4.5747081213223718E-2</v>
      </c>
      <c r="AD201" s="231">
        <f>(INDEX(Models!$BJ201:$BT201,,AH201)*(1-AF201)+INDEX(Models!$BJ201:$BT201,,AH201+1)*AF201-ERP_i)*AE201*Ramure*Pc/MaxiM</f>
        <v>2.3923110551696829E-3</v>
      </c>
      <c r="AE201" s="305">
        <f t="shared" si="62"/>
        <v>0.7</v>
      </c>
      <c r="AF201" s="177">
        <f t="shared" si="63"/>
        <v>0.87213815169622477</v>
      </c>
      <c r="AG201" s="176">
        <f t="shared" si="64"/>
        <v>-2</v>
      </c>
      <c r="AH201" s="176">
        <f t="shared" si="65"/>
        <v>4</v>
      </c>
      <c r="AI201" s="225">
        <f t="shared" si="66"/>
        <v>-1.1278618483037752</v>
      </c>
      <c r="AJ201" s="265" t="b">
        <f t="shared" si="67"/>
        <v>1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8">
        <v>45.000999999999998</v>
      </c>
      <c r="C202" s="390"/>
      <c r="D202" s="393">
        <f t="shared" si="48"/>
        <v>45.406935710244213</v>
      </c>
      <c r="E202" s="385">
        <f t="shared" si="73"/>
        <v>47.588741760044435</v>
      </c>
      <c r="F202" s="385">
        <f t="shared" si="49"/>
        <v>47.675371945351394</v>
      </c>
      <c r="G202" s="110">
        <f t="shared" si="74"/>
        <v>0.8359775287464668</v>
      </c>
      <c r="H202" s="412" t="b">
        <f>Wh_hp&gt;='2018'!Maxi_hp</f>
        <v>0</v>
      </c>
      <c r="I202" s="390">
        <f>IF(H202,Wh_hp,'2018'!Maxi_hp)</f>
        <v>56.989181729783134</v>
      </c>
      <c r="J202" s="85">
        <f>IF(H202,An,'2018'!An_max)</f>
        <v>2018</v>
      </c>
      <c r="K202" s="197">
        <f t="shared" si="50"/>
        <v>43653</v>
      </c>
      <c r="L202" s="147">
        <f>IF(t&lt;Tvie,1-EXP((T0-t)*PertePVj)+'2018'!Pspv,1-EXP((T0-t)*PertePVj)+Pspv)</f>
        <v>8.9399494569424309E-3</v>
      </c>
      <c r="M202" s="957"/>
      <c r="N202" s="957"/>
      <c r="O202" s="48">
        <f>IF(t&lt;Tnet,'2018'!Resal+('2018'!Salim-'2018'!Resal)*(1-EXP(('2018'!Tnet-t)/('2018'!Tau_j))),Resal+(Salim-Resal)*(1-EXP((Tnet-t)/(Tau_j))))*Salcycl</f>
        <v>4.5847105199828431E-2</v>
      </c>
      <c r="P202" s="169">
        <f>(INDEX(Models!$BJ202:$BT202,,T202)*(1-R202)+INDEX(Models!$BJ202:$BT202,,T202+1)*R202-ERP_i)*Q202*Ramure*Pc/MaxiM</f>
        <v>2.3711039869155738E-3</v>
      </c>
      <c r="Q202" s="305">
        <f t="shared" si="51"/>
        <v>0.7</v>
      </c>
      <c r="R202" s="177">
        <f t="shared" si="52"/>
        <v>0.87601594341126443</v>
      </c>
      <c r="S202" s="919">
        <f t="shared" si="53"/>
        <v>-2</v>
      </c>
      <c r="T202" s="176">
        <f t="shared" si="54"/>
        <v>4</v>
      </c>
      <c r="U202" s="251">
        <f t="shared" si="55"/>
        <v>-1.1239840565887356</v>
      </c>
      <c r="V202" s="383">
        <f t="shared" si="56"/>
        <v>53.800516931494144</v>
      </c>
      <c r="W202" s="58"/>
      <c r="X202" s="157">
        <f t="shared" si="57"/>
        <v>43653</v>
      </c>
      <c r="Y202" s="385">
        <f t="shared" si="58"/>
        <v>45.000999999999998</v>
      </c>
      <c r="Z202" s="385">
        <f t="shared" si="59"/>
        <v>45.406935710244213</v>
      </c>
      <c r="AA202" s="386">
        <f t="shared" si="60"/>
        <v>47.588741760044435</v>
      </c>
      <c r="AB202" s="197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4.5847105199828431E-2</v>
      </c>
      <c r="AD202" s="231">
        <f>(INDEX(Models!$BJ202:$BT202,,AH202)*(1-AF202)+INDEX(Models!$BJ202:$BT202,,AH202+1)*AF202-ERP_i)*AE202*Ramure*Pc/MaxiM</f>
        <v>2.3711039869155738E-3</v>
      </c>
      <c r="AE202" s="305">
        <f t="shared" si="62"/>
        <v>0.7</v>
      </c>
      <c r="AF202" s="177">
        <f t="shared" si="63"/>
        <v>0.87601594341126443</v>
      </c>
      <c r="AG202" s="176">
        <f t="shared" si="64"/>
        <v>-2</v>
      </c>
      <c r="AH202" s="176">
        <f t="shared" si="65"/>
        <v>4</v>
      </c>
      <c r="AI202" s="225">
        <f t="shared" si="66"/>
        <v>-1.1239840565887356</v>
      </c>
      <c r="AJ202" s="265" t="b">
        <f t="shared" si="67"/>
        <v>1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8">
        <v>32.787999999999997</v>
      </c>
      <c r="C203" s="390"/>
      <c r="D203" s="393">
        <f t="shared" si="48"/>
        <v>33.084491841953351</v>
      </c>
      <c r="E203" s="385">
        <f t="shared" si="73"/>
        <v>34.677815667081205</v>
      </c>
      <c r="F203" s="385">
        <f t="shared" si="49"/>
        <v>34.713954818221779</v>
      </c>
      <c r="G203" s="110">
        <f t="shared" si="74"/>
        <v>0.60973883763498116</v>
      </c>
      <c r="H203" s="412" t="b">
        <f>Wh_hp&gt;='2018'!Maxi_hp</f>
        <v>0</v>
      </c>
      <c r="I203" s="390">
        <f>IF(H203,Wh_hp,'2018'!Maxi_hp)</f>
        <v>57.026884503007572</v>
      </c>
      <c r="J203" s="85">
        <f>IF(H203,An,'2018'!An_max)</f>
        <v>2018</v>
      </c>
      <c r="K203" s="197">
        <f t="shared" si="50"/>
        <v>43654</v>
      </c>
      <c r="L203" s="147">
        <f>IF(t&lt;Tvie,1-EXP((T0-t)*PertePVj)+'2018'!Pspv,1-EXP((T0-t)*PertePVj)+Pspv)</f>
        <v>8.9616562155379054E-3</v>
      </c>
      <c r="M203" s="957"/>
      <c r="N203" s="957"/>
      <c r="O203" s="48">
        <f>IF(t&lt;Tnet,'2018'!Resal+('2018'!Salim-'2018'!Resal)*(1-EXP(('2018'!Tnet-t)/('2018'!Tau_j))),Resal+(Salim-Resal)*(1-EXP((Tnet-t)/(Tau_j))))*Salcycl</f>
        <v>4.5946487530365197E-2</v>
      </c>
      <c r="P203" s="169">
        <f>(INDEX(Models!$BJ203:$BT203,,T203)*(1-R203)+INDEX(Models!$BJ203:$BT203,,T203+1)*R203-ERP_i)*Q203*Ramure*Pc/MaxiM</f>
        <v>2.3467066122310311E-3</v>
      </c>
      <c r="Q203" s="305">
        <f t="shared" si="51"/>
        <v>0.7</v>
      </c>
      <c r="R203" s="177">
        <f t="shared" si="52"/>
        <v>0.87981423497686673</v>
      </c>
      <c r="S203" s="919">
        <f t="shared" si="53"/>
        <v>-2</v>
      </c>
      <c r="T203" s="176">
        <f t="shared" si="54"/>
        <v>4</v>
      </c>
      <c r="U203" s="251">
        <f t="shared" si="55"/>
        <v>-1.1201857650231333</v>
      </c>
      <c r="V203" s="383">
        <f t="shared" si="56"/>
        <v>53.703559088218405</v>
      </c>
      <c r="W203" s="58"/>
      <c r="X203" s="157">
        <f t="shared" si="57"/>
        <v>43654</v>
      </c>
      <c r="Y203" s="385">
        <f t="shared" si="58"/>
        <v>32.787999999999997</v>
      </c>
      <c r="Z203" s="385">
        <f t="shared" si="59"/>
        <v>33.084491841953351</v>
      </c>
      <c r="AA203" s="386">
        <f t="shared" si="60"/>
        <v>34.677815667081205</v>
      </c>
      <c r="AB203" s="197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4.5946487530365197E-2</v>
      </c>
      <c r="AD203" s="231">
        <f>(INDEX(Models!$BJ203:$BT203,,AH203)*(1-AF203)+INDEX(Models!$BJ203:$BT203,,AH203+1)*AF203-ERP_i)*AE203*Ramure*Pc/MaxiM</f>
        <v>2.3467066122310311E-3</v>
      </c>
      <c r="AE203" s="305">
        <f t="shared" si="62"/>
        <v>0.7</v>
      </c>
      <c r="AF203" s="177">
        <f t="shared" si="63"/>
        <v>0.87981423497686673</v>
      </c>
      <c r="AG203" s="176">
        <f t="shared" si="64"/>
        <v>-2</v>
      </c>
      <c r="AH203" s="176">
        <f t="shared" si="65"/>
        <v>4</v>
      </c>
      <c r="AI203" s="225">
        <f t="shared" si="66"/>
        <v>-1.1201857650231333</v>
      </c>
      <c r="AJ203" s="265" t="b">
        <f t="shared" si="67"/>
        <v>1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8">
        <v>20.248000000000001</v>
      </c>
      <c r="C204" s="390"/>
      <c r="D204" s="393">
        <f t="shared" si="48"/>
        <v>20.431543965853379</v>
      </c>
      <c r="E204" s="385">
        <f t="shared" si="73"/>
        <v>21.417728565106984</v>
      </c>
      <c r="F204" s="385">
        <f t="shared" si="49"/>
        <v>21.423244726036575</v>
      </c>
      <c r="G204" s="110">
        <f t="shared" si="74"/>
        <v>0.37694084976574616</v>
      </c>
      <c r="H204" s="412" t="b">
        <f>Wh_hp&gt;='2018'!Maxi_hp</f>
        <v>0</v>
      </c>
      <c r="I204" s="390">
        <f>IF(H204,Wh_hp,'2018'!Maxi_hp)</f>
        <v>55.744094439873535</v>
      </c>
      <c r="J204" s="85">
        <f>IF(H204,An,'2018'!An_max)</f>
        <v>2018</v>
      </c>
      <c r="K204" s="197">
        <f t="shared" si="50"/>
        <v>43655</v>
      </c>
      <c r="L204" s="147">
        <f>IF(t&lt;Tvie,1-EXP((T0-t)*PertePVj)+'2018'!Pspv,1-EXP((T0-t)*PertePVj)+Pspv)</f>
        <v>8.9833624986995764E-3</v>
      </c>
      <c r="M204" s="957"/>
      <c r="N204" s="957"/>
      <c r="O204" s="48">
        <f>IF(t&lt;Tnet,'2018'!Resal+('2018'!Salim-'2018'!Resal)*(1-EXP(('2018'!Tnet-t)/('2018'!Tau_j))),Resal+(Salim-Resal)*(1-EXP((Tnet-t)/(Tau_j))))*Salcycl</f>
        <v>4.6045246873669905E-2</v>
      </c>
      <c r="P204" s="169">
        <f>(INDEX(Models!$BJ204:$BT204,,T204)*(1-R204)+INDEX(Models!$BJ204:$BT204,,T204+1)*R204-ERP_i)*Q204*Ramure*Pc/MaxiM</f>
        <v>2.3190935309421235E-3</v>
      </c>
      <c r="Q204" s="305">
        <f t="shared" si="51"/>
        <v>0.7</v>
      </c>
      <c r="R204" s="177">
        <f t="shared" si="52"/>
        <v>0.88353233810231879</v>
      </c>
      <c r="S204" s="919">
        <f t="shared" si="53"/>
        <v>-2</v>
      </c>
      <c r="T204" s="176">
        <f t="shared" si="54"/>
        <v>4</v>
      </c>
      <c r="U204" s="251">
        <f t="shared" si="55"/>
        <v>-1.1164676618976812</v>
      </c>
      <c r="V204" s="383">
        <f t="shared" si="56"/>
        <v>53.60587956674641</v>
      </c>
      <c r="W204" s="58"/>
      <c r="X204" s="157">
        <f t="shared" si="57"/>
        <v>43655</v>
      </c>
      <c r="Y204" s="385">
        <f t="shared" si="58"/>
        <v>20.248000000000001</v>
      </c>
      <c r="Z204" s="385">
        <f t="shared" si="59"/>
        <v>20.431543965853379</v>
      </c>
      <c r="AA204" s="386">
        <f t="shared" si="60"/>
        <v>21.417728565106984</v>
      </c>
      <c r="AB204" s="197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4.6045246873669905E-2</v>
      </c>
      <c r="AD204" s="231">
        <f>(INDEX(Models!$BJ204:$BT204,,AH204)*(1-AF204)+INDEX(Models!$BJ204:$BT204,,AH204+1)*AF204-ERP_i)*AE204*Ramure*Pc/MaxiM</f>
        <v>2.3190935309421235E-3</v>
      </c>
      <c r="AE204" s="305">
        <f t="shared" si="62"/>
        <v>0.7</v>
      </c>
      <c r="AF204" s="177">
        <f t="shared" si="63"/>
        <v>0.88353233810231879</v>
      </c>
      <c r="AG204" s="176">
        <f t="shared" si="64"/>
        <v>-2</v>
      </c>
      <c r="AH204" s="176">
        <f t="shared" si="65"/>
        <v>4</v>
      </c>
      <c r="AI204" s="225">
        <f t="shared" si="66"/>
        <v>-1.1164676618976812</v>
      </c>
      <c r="AJ204" s="265" t="b">
        <f t="shared" si="67"/>
        <v>1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8">
        <v>51.978999999999999</v>
      </c>
      <c r="C205" s="390"/>
      <c r="D205" s="393">
        <f t="shared" si="48"/>
        <v>52.451327789507886</v>
      </c>
      <c r="E205" s="385">
        <f t="shared" si="73"/>
        <v>54.988693201216016</v>
      </c>
      <c r="F205" s="385">
        <f t="shared" si="49"/>
        <v>55.109653779652717</v>
      </c>
      <c r="G205" s="110">
        <f t="shared" si="74"/>
        <v>0.97135143856676509</v>
      </c>
      <c r="H205" s="412" t="b">
        <f>Wh_hp&gt;='2018'!Maxi_hp</f>
        <v>0</v>
      </c>
      <c r="I205" s="390">
        <f>IF(H205,Wh_hp,'2018'!Maxi_hp)</f>
        <v>57.125082544615957</v>
      </c>
      <c r="J205" s="85">
        <f>IF(H205,An,'2018'!An_max)</f>
        <v>2018</v>
      </c>
      <c r="K205" s="197">
        <f t="shared" si="50"/>
        <v>43656</v>
      </c>
      <c r="L205" s="147">
        <f>IF(t&lt;Tvie,1-EXP((T0-t)*PertePVj)+'2018'!Pspv,1-EXP((T0-t)*PertePVj)+Pspv)</f>
        <v>9.0050683064379911E-3</v>
      </c>
      <c r="M205" s="957"/>
      <c r="N205" s="957"/>
      <c r="O205" s="48">
        <f>IF(t&lt;Tnet,'2018'!Resal+('2018'!Salim-'2018'!Resal)*(1-EXP(('2018'!Tnet-t)/('2018'!Tau_j))),Resal+(Salim-Resal)*(1-EXP((Tnet-t)/(Tau_j))))*Salcycl</f>
        <v>4.6143402652311413E-2</v>
      </c>
      <c r="P205" s="169">
        <f>(INDEX(Models!$BJ205:$BT205,,T205)*(1-R205)+INDEX(Models!$BJ205:$BT205,,T205+1)*R205-ERP_i)*Q205*Ramure*Pc/MaxiM</f>
        <v>2.2882606802884071E-3</v>
      </c>
      <c r="Q205" s="305">
        <f t="shared" si="51"/>
        <v>0.7</v>
      </c>
      <c r="R205" s="177">
        <f t="shared" si="52"/>
        <v>0.88716972575014763</v>
      </c>
      <c r="S205" s="919">
        <f t="shared" si="53"/>
        <v>-2</v>
      </c>
      <c r="T205" s="176">
        <f t="shared" si="54"/>
        <v>4</v>
      </c>
      <c r="U205" s="251">
        <f t="shared" si="55"/>
        <v>-1.1128302742498524</v>
      </c>
      <c r="V205" s="383">
        <f t="shared" si="56"/>
        <v>53.50703653100102</v>
      </c>
      <c r="W205" s="58"/>
      <c r="X205" s="157">
        <f t="shared" si="57"/>
        <v>43656</v>
      </c>
      <c r="Y205" s="385">
        <f t="shared" si="58"/>
        <v>51.978999999999999</v>
      </c>
      <c r="Z205" s="385">
        <f t="shared" si="59"/>
        <v>52.451327789507886</v>
      </c>
      <c r="AA205" s="386">
        <f t="shared" si="60"/>
        <v>54.988693201216016</v>
      </c>
      <c r="AB205" s="197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4.6143402652311413E-2</v>
      </c>
      <c r="AD205" s="231">
        <f>(INDEX(Models!$BJ205:$BT205,,AH205)*(1-AF205)+INDEX(Models!$BJ205:$BT205,,AH205+1)*AF205-ERP_i)*AE205*Ramure*Pc/MaxiM</f>
        <v>2.2882606802884071E-3</v>
      </c>
      <c r="AE205" s="305">
        <f t="shared" si="62"/>
        <v>0.7</v>
      </c>
      <c r="AF205" s="177">
        <f t="shared" si="63"/>
        <v>0.88716972575014763</v>
      </c>
      <c r="AG205" s="176">
        <f t="shared" si="64"/>
        <v>-2</v>
      </c>
      <c r="AH205" s="176">
        <f t="shared" si="65"/>
        <v>4</v>
      </c>
      <c r="AI205" s="225">
        <f t="shared" si="66"/>
        <v>-1.1128302742498524</v>
      </c>
      <c r="AJ205" s="265" t="b">
        <f t="shared" si="67"/>
        <v>1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8">
        <v>53.040999999999997</v>
      </c>
      <c r="C206" s="390"/>
      <c r="D206" s="393">
        <f t="shared" si="48"/>
        <v>53.524150389775642</v>
      </c>
      <c r="E206" s="385">
        <f t="shared" si="73"/>
        <v>56.11915481954847</v>
      </c>
      <c r="F206" s="385">
        <f t="shared" si="49"/>
        <v>56.244702289420005</v>
      </c>
      <c r="G206" s="110">
        <f t="shared" si="74"/>
        <v>0.99313016779608443</v>
      </c>
      <c r="H206" s="412" t="b">
        <f>Wh_hp&gt;='2018'!Maxi_hp</f>
        <v>1</v>
      </c>
      <c r="I206" s="390">
        <f>IF(H206,Wh_hp,'2018'!Maxi_hp)</f>
        <v>56.244702289420005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9.0267736387635855E-3</v>
      </c>
      <c r="M206" s="957"/>
      <c r="N206" s="957"/>
      <c r="O206" s="48">
        <f>IF(t&lt;Tnet,'2018'!Resal+('2018'!Salim-'2018'!Resal)*(1-EXP(('2018'!Tnet-t)/('2018'!Tau_j))),Resal+(Salim-Resal)*(1-EXP((Tnet-t)/(Tau_j))))*Salcycl</f>
        <v>4.6240974906287931E-2</v>
      </c>
      <c r="P206" s="169">
        <f>(INDEX(Models!$BJ206:$BT206,,T206)*(1-R206)+INDEX(Models!$BJ206:$BT206,,T206+1)*R206-ERP_i)*Q206*Ramure*Pc/MaxiM</f>
        <v>2.2542175566996974E-3</v>
      </c>
      <c r="Q206" s="305">
        <f t="shared" si="51"/>
        <v>0.7</v>
      </c>
      <c r="R206" s="177">
        <f t="shared" si="52"/>
        <v>0.89072602680851176</v>
      </c>
      <c r="S206" s="919">
        <f t="shared" si="53"/>
        <v>-2</v>
      </c>
      <c r="T206" s="176">
        <f t="shared" si="54"/>
        <v>4</v>
      </c>
      <c r="U206" s="251">
        <f t="shared" si="55"/>
        <v>-1.1092739731914882</v>
      </c>
      <c r="V206" s="383">
        <f t="shared" si="56"/>
        <v>53.406722931879962</v>
      </c>
      <c r="W206" s="58"/>
      <c r="X206" s="157">
        <f t="shared" si="57"/>
        <v>43657</v>
      </c>
      <c r="Y206" s="385">
        <f t="shared" si="58"/>
        <v>53.040999999999997</v>
      </c>
      <c r="Z206" s="385">
        <f t="shared" si="59"/>
        <v>53.524150389775642</v>
      </c>
      <c r="AA206" s="386">
        <f t="shared" si="60"/>
        <v>56.11915481954847</v>
      </c>
      <c r="AB206" s="197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4.6240974906287931E-2</v>
      </c>
      <c r="AD206" s="231">
        <f>(INDEX(Models!$BJ206:$BT206,,AH206)*(1-AF206)+INDEX(Models!$BJ206:$BT206,,AH206+1)*AF206-ERP_i)*AE206*Ramure*Pc/MaxiM</f>
        <v>2.2542175566996974E-3</v>
      </c>
      <c r="AE206" s="305">
        <f t="shared" si="62"/>
        <v>0.7</v>
      </c>
      <c r="AF206" s="177">
        <f t="shared" si="63"/>
        <v>0.89072602680851176</v>
      </c>
      <c r="AG206" s="176">
        <f t="shared" si="64"/>
        <v>-2</v>
      </c>
      <c r="AH206" s="176">
        <f t="shared" si="65"/>
        <v>4</v>
      </c>
      <c r="AI206" s="225">
        <f t="shared" si="66"/>
        <v>-1.1092739731914882</v>
      </c>
      <c r="AJ206" s="265" t="b">
        <f t="shared" si="67"/>
        <v>1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8">
        <v>54.343000000000004</v>
      </c>
      <c r="C207" s="390"/>
      <c r="D207" s="393">
        <f t="shared" ref="D207:D270" si="75">Wh/(1-Ppv)</f>
        <v>54.83921142530226</v>
      </c>
      <c r="E207" s="385">
        <f t="shared" si="73"/>
        <v>57.503822648101128</v>
      </c>
      <c r="F207" s="385">
        <f t="shared" ref="F207:F270" si="76">Wh_sa/(1-Pvg*MEDIAN((-Sdif+Wh/Env_an)/Csdif,0,1))</f>
        <v>57.631675116560842</v>
      </c>
      <c r="G207" s="110">
        <f t="shared" si="74"/>
        <v>1.019471676122599</v>
      </c>
      <c r="H207" s="412" t="b">
        <f>Wh_hp&gt;='2018'!Maxi_hp</f>
        <v>1</v>
      </c>
      <c r="I207" s="390">
        <f>IF(H207,Wh_hp,'2018'!Maxi_hp)</f>
        <v>57.631675116560842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9.0484784956865738E-3</v>
      </c>
      <c r="M207" s="957"/>
      <c r="N207" s="957"/>
      <c r="O207" s="48">
        <f>IF(t&lt;Tnet,'2018'!Resal+('2018'!Salim-'2018'!Resal)*(1-EXP(('2018'!Tnet-t)/('2018'!Tau_j))),Resal+(Salim-Resal)*(1-EXP((Tnet-t)/(Tau_j))))*Salcycl</f>
        <v>4.633798415637784E-2</v>
      </c>
      <c r="P207" s="169">
        <f>(INDEX(Models!$BJ207:$BT207,,T207)*(1-R207)+INDEX(Models!$BJ207:$BT207,,T207+1)*R207-ERP_i)*Q207*Ramure*Pc/MaxiM</f>
        <v>2.2184409563166785E-3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0.89420102035522997</v>
      </c>
      <c r="S207" s="919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-1.10579897964477</v>
      </c>
      <c r="V207" s="383">
        <f t="shared" ref="V207:V270" si="83">MaxiM*(1-Ppv)*(1-Pvg)*(1-Psa)</f>
        <v>53.305061114287248</v>
      </c>
      <c r="W207" s="58"/>
      <c r="X207" s="157">
        <f t="shared" ref="X207:X270" si="84">t</f>
        <v>43658</v>
      </c>
      <c r="Y207" s="385">
        <f t="shared" ref="Y207:Y270" si="85">Wh_pvt_s*(1-Ppv)</f>
        <v>54.343000000000004</v>
      </c>
      <c r="Z207" s="385">
        <f t="shared" ref="Z207:Z270" si="86">Wh_sa_s*(1-Psa_s)</f>
        <v>54.83921142530226</v>
      </c>
      <c r="AA207" s="386">
        <f t="shared" ref="AA207:AA270" si="87">Wh_hp*(1-Pvg_s*MEDIAN((-Sdif+Wh/Env_an)/Csdif,0,1))</f>
        <v>57.503822648101128</v>
      </c>
      <c r="AB207" s="197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4.633798415637784E-2</v>
      </c>
      <c r="AD207" s="231">
        <f>(INDEX(Models!$BJ207:$BT207,,AH207)*(1-AF207)+INDEX(Models!$BJ207:$BT207,,AH207+1)*AF207-ERP_i)*AE207*Ramure*Pc/MaxiM</f>
        <v>2.2184409563166785E-3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0.89420102035522997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-1.10579897964477</v>
      </c>
      <c r="AJ207" s="265" t="b">
        <f t="shared" ref="AJ207:AJ270" si="94">t&lt;Tnet</f>
        <v>1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8">
        <v>51.462000000000003</v>
      </c>
      <c r="C208" s="390"/>
      <c r="D208" s="393">
        <f t="shared" si="75"/>
        <v>51.933042190033866</v>
      </c>
      <c r="E208" s="385">
        <f t="shared" si="73"/>
        <v>54.461953097089641</v>
      </c>
      <c r="F208" s="385">
        <f t="shared" si="76"/>
        <v>54.575416488787674</v>
      </c>
      <c r="G208" s="110">
        <f t="shared" si="74"/>
        <v>0.9671910861666051</v>
      </c>
      <c r="H208" s="412" t="b">
        <f>Wh_hp&gt;='2018'!Maxi_hp</f>
        <v>1</v>
      </c>
      <c r="I208" s="390">
        <f>IF(H208,Wh_hp,'2018'!Maxi_hp)</f>
        <v>54.575416488787674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9.0701828772176141E-3</v>
      </c>
      <c r="M208" s="957"/>
      <c r="N208" s="957"/>
      <c r="O208" s="48">
        <f>IF(t&lt;Tnet,'2018'!Resal+('2018'!Salim-'2018'!Resal)*(1-EXP(('2018'!Tnet-t)/('2018'!Tau_j))),Resal+(Salim-Resal)*(1-EXP((Tnet-t)/(Tau_j))))*Salcycl</f>
        <v>4.6434451268162688E-2</v>
      </c>
      <c r="P208" s="169">
        <f>(INDEX(Models!$BJ208:$BT208,,T208)*(1-R208)+INDEX(Models!$BJ208:$BT208,,T208+1)*R208-ERP_i)*Q208*Ramure*Pc/MaxiM</f>
        <v>2.1809324317872908E-3</v>
      </c>
      <c r="Q208" s="305">
        <f t="shared" si="78"/>
        <v>0.7</v>
      </c>
      <c r="R208" s="177">
        <f t="shared" si="79"/>
        <v>0.89759462957257541</v>
      </c>
      <c r="S208" s="919">
        <f t="shared" si="80"/>
        <v>-2</v>
      </c>
      <c r="T208" s="176">
        <f t="shared" si="81"/>
        <v>4</v>
      </c>
      <c r="U208" s="251">
        <f t="shared" si="82"/>
        <v>-1.1024053704274246</v>
      </c>
      <c r="V208" s="383">
        <f t="shared" si="83"/>
        <v>53.20225258567617</v>
      </c>
      <c r="W208" s="58"/>
      <c r="X208" s="157">
        <f t="shared" si="84"/>
        <v>43659</v>
      </c>
      <c r="Y208" s="385">
        <f t="shared" si="85"/>
        <v>51.462000000000003</v>
      </c>
      <c r="Z208" s="385">
        <f t="shared" si="86"/>
        <v>51.933042190033866</v>
      </c>
      <c r="AA208" s="386">
        <f t="shared" si="87"/>
        <v>54.461953097089641</v>
      </c>
      <c r="AB208" s="197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4.6434451268162688E-2</v>
      </c>
      <c r="AD208" s="231">
        <f>(INDEX(Models!$BJ208:$BT208,,AH208)*(1-AF208)+INDEX(Models!$BJ208:$BT208,,AH208+1)*AF208-ERP_i)*AE208*Ramure*Pc/MaxiM</f>
        <v>2.1809324317872908E-3</v>
      </c>
      <c r="AE208" s="305">
        <f t="shared" si="89"/>
        <v>0.7</v>
      </c>
      <c r="AF208" s="177">
        <f t="shared" si="90"/>
        <v>0.89759462957257541</v>
      </c>
      <c r="AG208" s="176">
        <f t="shared" si="91"/>
        <v>-2</v>
      </c>
      <c r="AH208" s="176">
        <f t="shared" si="92"/>
        <v>4</v>
      </c>
      <c r="AI208" s="225">
        <f t="shared" si="93"/>
        <v>-1.1024053704274246</v>
      </c>
      <c r="AJ208" s="265" t="b">
        <f t="shared" si="94"/>
        <v>1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8">
        <v>53.142000000000003</v>
      </c>
      <c r="C209" s="390"/>
      <c r="D209" s="393">
        <f t="shared" si="75"/>
        <v>53.629594198692423</v>
      </c>
      <c r="E209" s="385">
        <f t="shared" si="73"/>
        <v>56.246779181866749</v>
      </c>
      <c r="F209" s="385">
        <f t="shared" si="76"/>
        <v>56.367501147703905</v>
      </c>
      <c r="G209" s="110">
        <f t="shared" si="74"/>
        <v>1.0008192564296639</v>
      </c>
      <c r="H209" s="412" t="b">
        <f>Wh_hp&gt;='2018'!Maxi_hp</f>
        <v>1</v>
      </c>
      <c r="I209" s="390">
        <f>IF(H209,Wh_hp,'2018'!Maxi_hp)</f>
        <v>56.367501147703905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9.0918867833669204E-3</v>
      </c>
      <c r="M209" s="957"/>
      <c r="N209" s="957"/>
      <c r="O209" s="48">
        <f>IF(t&lt;Tnet,'2018'!Resal+('2018'!Salim-'2018'!Resal)*(1-EXP(('2018'!Tnet-t)/('2018'!Tau_j))),Resal+(Salim-Resal)*(1-EXP((Tnet-t)/(Tau_j))))*Salcycl</f>
        <v>4.6530397317720067E-2</v>
      </c>
      <c r="P209" s="169">
        <f>(INDEX(Models!$BJ209:$BT209,,T209)*(1-R209)+INDEX(Models!$BJ209:$BT209,,T209+1)*R209-ERP_i)*Q209*Ramure*Pc/MaxiM</f>
        <v>2.1416944760567621E-3</v>
      </c>
      <c r="Q209" s="305">
        <f t="shared" si="78"/>
        <v>0.7</v>
      </c>
      <c r="R209" s="177">
        <f t="shared" si="79"/>
        <v>0.90090691537070833</v>
      </c>
      <c r="S209" s="919">
        <f t="shared" si="80"/>
        <v>-2</v>
      </c>
      <c r="T209" s="176">
        <f t="shared" si="81"/>
        <v>4</v>
      </c>
      <c r="U209" s="251">
        <f t="shared" si="82"/>
        <v>-1.0990930846292917</v>
      </c>
      <c r="V209" s="383">
        <f t="shared" si="83"/>
        <v>53.098498713523448</v>
      </c>
      <c r="W209" s="58"/>
      <c r="X209" s="157">
        <f t="shared" si="84"/>
        <v>43660</v>
      </c>
      <c r="Y209" s="385">
        <f t="shared" si="85"/>
        <v>53.142000000000003</v>
      </c>
      <c r="Z209" s="385">
        <f t="shared" si="86"/>
        <v>53.629594198692423</v>
      </c>
      <c r="AA209" s="386">
        <f t="shared" si="87"/>
        <v>56.246779181866749</v>
      </c>
      <c r="AB209" s="197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4.6530397317720067E-2</v>
      </c>
      <c r="AD209" s="231">
        <f>(INDEX(Models!$BJ209:$BT209,,AH209)*(1-AF209)+INDEX(Models!$BJ209:$BT209,,AH209+1)*AF209-ERP_i)*AE209*Ramure*Pc/MaxiM</f>
        <v>2.1416944760567621E-3</v>
      </c>
      <c r="AE209" s="305">
        <f t="shared" si="89"/>
        <v>0.7</v>
      </c>
      <c r="AF209" s="177">
        <f t="shared" si="90"/>
        <v>0.90090691537070833</v>
      </c>
      <c r="AG209" s="176">
        <f t="shared" si="91"/>
        <v>-2</v>
      </c>
      <c r="AH209" s="176">
        <f t="shared" si="92"/>
        <v>4</v>
      </c>
      <c r="AI209" s="225">
        <f t="shared" si="93"/>
        <v>-1.0990930846292917</v>
      </c>
      <c r="AJ209" s="265" t="b">
        <f t="shared" si="94"/>
        <v>1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8">
        <v>54.517000000000003</v>
      </c>
      <c r="C210" s="390"/>
      <c r="D210" s="393">
        <f t="shared" si="75"/>
        <v>55.018415291195609</v>
      </c>
      <c r="E210" s="385">
        <f t="shared" si="73"/>
        <v>57.709153236192961</v>
      </c>
      <c r="F210" s="385">
        <f t="shared" si="76"/>
        <v>57.830639820469678</v>
      </c>
      <c r="G210" s="110">
        <f t="shared" si="74"/>
        <v>1.0287390881207668</v>
      </c>
      <c r="H210" s="412" t="b">
        <f>Wh_hp&gt;='2018'!Maxi_hp</f>
        <v>1</v>
      </c>
      <c r="I210" s="390">
        <f>IF(H210,Wh_hp,'2018'!Maxi_hp)</f>
        <v>57.830639820469678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9.1135902141450398E-3</v>
      </c>
      <c r="M210" s="957"/>
      <c r="N210" s="957"/>
      <c r="O210" s="48">
        <f>IF(t&lt;Tnet,'2018'!Resal+('2018'!Salim-'2018'!Resal)*(1-EXP(('2018'!Tnet-t)/('2018'!Tau_j))),Resal+(Salim-Resal)*(1-EXP((Tnet-t)/(Tau_j))))*Salcycl</f>
        <v>4.662584345995615E-2</v>
      </c>
      <c r="P210" s="169">
        <f>(INDEX(Models!$BJ210:$BT210,,T210)*(1-R210)+INDEX(Models!$BJ210:$BT210,,T210+1)*R210-ERP_i)*Q210*Ramure*Pc/MaxiM</f>
        <v>2.1007304199618633E-3</v>
      </c>
      <c r="Q210" s="305">
        <f t="shared" si="78"/>
        <v>0.7</v>
      </c>
      <c r="R210" s="177">
        <f t="shared" si="79"/>
        <v>0.90413806977586075</v>
      </c>
      <c r="S210" s="919">
        <f t="shared" si="80"/>
        <v>-2</v>
      </c>
      <c r="T210" s="176">
        <f t="shared" si="81"/>
        <v>4</v>
      </c>
      <c r="U210" s="251">
        <f t="shared" si="82"/>
        <v>-1.0958619302241392</v>
      </c>
      <c r="V210" s="383">
        <f t="shared" si="83"/>
        <v>52.994000742781239</v>
      </c>
      <c r="W210" s="58"/>
      <c r="X210" s="157">
        <f t="shared" si="84"/>
        <v>43661</v>
      </c>
      <c r="Y210" s="385">
        <f t="shared" si="85"/>
        <v>54.517000000000003</v>
      </c>
      <c r="Z210" s="385">
        <f t="shared" si="86"/>
        <v>55.018415291195609</v>
      </c>
      <c r="AA210" s="386">
        <f t="shared" si="87"/>
        <v>57.709153236192961</v>
      </c>
      <c r="AB210" s="197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4.662584345995615E-2</v>
      </c>
      <c r="AD210" s="231">
        <f>(INDEX(Models!$BJ210:$BT210,,AH210)*(1-AF210)+INDEX(Models!$BJ210:$BT210,,AH210+1)*AF210-ERP_i)*AE210*Ramure*Pc/MaxiM</f>
        <v>2.1007304199618633E-3</v>
      </c>
      <c r="AE210" s="305">
        <f t="shared" si="89"/>
        <v>0.7</v>
      </c>
      <c r="AF210" s="177">
        <f t="shared" si="90"/>
        <v>0.90413806977586075</v>
      </c>
      <c r="AG210" s="176">
        <f t="shared" si="91"/>
        <v>-2</v>
      </c>
      <c r="AH210" s="176">
        <f t="shared" si="92"/>
        <v>4</v>
      </c>
      <c r="AI210" s="225">
        <f t="shared" si="93"/>
        <v>-1.0958619302241392</v>
      </c>
      <c r="AJ210" s="265" t="b">
        <f t="shared" si="94"/>
        <v>1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8">
        <v>53.921999999999997</v>
      </c>
      <c r="C211" s="390"/>
      <c r="D211" s="393">
        <f t="shared" si="75"/>
        <v>54.41913474997493</v>
      </c>
      <c r="E211" s="385">
        <f t="shared" si="73"/>
        <v>57.086250666683505</v>
      </c>
      <c r="F211" s="385">
        <f t="shared" si="76"/>
        <v>57.203978991704709</v>
      </c>
      <c r="G211" s="110">
        <f t="shared" si="74"/>
        <v>1.0195322462193368</v>
      </c>
      <c r="H211" s="412" t="b">
        <f>Wh_hp&gt;='2018'!Maxi_hp</f>
        <v>1</v>
      </c>
      <c r="I211" s="390">
        <f>IF(H211,Wh_hp,'2018'!Maxi_hp)</f>
        <v>57.203978991704709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9.1352931695622974E-3</v>
      </c>
      <c r="M211" s="957"/>
      <c r="N211" s="957"/>
      <c r="O211" s="48">
        <f>IF(t&lt;Tnet,'2018'!Resal+('2018'!Salim-'2018'!Resal)*(1-EXP(('2018'!Tnet-t)/('2018'!Tau_j))),Resal+(Salim-Resal)*(1-EXP((Tnet-t)/(Tau_j))))*Salcycl</f>
        <v>4.6720810800509396E-2</v>
      </c>
      <c r="P211" s="169">
        <f>(INDEX(Models!$BJ211:$BT211,,T211)*(1-R211)+INDEX(Models!$BJ211:$BT211,,T211+1)*R211-ERP_i)*Q211*Ramure*Pc/MaxiM</f>
        <v>2.0580443370604887E-3</v>
      </c>
      <c r="Q211" s="305">
        <f t="shared" si="78"/>
        <v>0.7</v>
      </c>
      <c r="R211" s="177">
        <f t="shared" si="79"/>
        <v>0.90728840913720221</v>
      </c>
      <c r="S211" s="919">
        <f t="shared" si="80"/>
        <v>-2</v>
      </c>
      <c r="T211" s="176">
        <f t="shared" si="81"/>
        <v>4</v>
      </c>
      <c r="U211" s="251">
        <f t="shared" si="82"/>
        <v>-1.0927115908627978</v>
      </c>
      <c r="V211" s="383">
        <f t="shared" si="83"/>
        <v>52.8889598146163</v>
      </c>
      <c r="W211" s="58"/>
      <c r="X211" s="157">
        <f t="shared" si="84"/>
        <v>43662</v>
      </c>
      <c r="Y211" s="385">
        <f t="shared" si="85"/>
        <v>53.921999999999997</v>
      </c>
      <c r="Z211" s="385">
        <f t="shared" si="86"/>
        <v>54.41913474997493</v>
      </c>
      <c r="AA211" s="386">
        <f t="shared" si="87"/>
        <v>57.086250666683505</v>
      </c>
      <c r="AB211" s="197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4.6720810800509396E-2</v>
      </c>
      <c r="AD211" s="231">
        <f>(INDEX(Models!$BJ211:$BT211,,AH211)*(1-AF211)+INDEX(Models!$BJ211:$BT211,,AH211+1)*AF211-ERP_i)*AE211*Ramure*Pc/MaxiM</f>
        <v>2.0580443370604887E-3</v>
      </c>
      <c r="AE211" s="305">
        <f t="shared" si="89"/>
        <v>0.7</v>
      </c>
      <c r="AF211" s="177">
        <f t="shared" si="90"/>
        <v>0.90728840913720221</v>
      </c>
      <c r="AG211" s="176">
        <f t="shared" si="91"/>
        <v>-2</v>
      </c>
      <c r="AH211" s="176">
        <f t="shared" si="92"/>
        <v>4</v>
      </c>
      <c r="AI211" s="225">
        <f t="shared" si="93"/>
        <v>-1.0927115908627978</v>
      </c>
      <c r="AJ211" s="265" t="b">
        <f t="shared" si="94"/>
        <v>1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8">
        <v>47.164000000000001</v>
      </c>
      <c r="C212" s="390"/>
      <c r="D212" s="393">
        <f t="shared" si="75"/>
        <v>47.599871819171049</v>
      </c>
      <c r="E212" s="385">
        <f t="shared" si="73"/>
        <v>49.937722281436237</v>
      </c>
      <c r="F212" s="385">
        <f t="shared" si="76"/>
        <v>50.0231298336127</v>
      </c>
      <c r="G212" s="110">
        <f t="shared" si="74"/>
        <v>0.89326136296898451</v>
      </c>
      <c r="H212" s="412" t="b">
        <f>Wh_hp&gt;='2018'!Maxi_hp</f>
        <v>1</v>
      </c>
      <c r="I212" s="390">
        <f>IF(H212,Wh_hp,'2018'!Maxi_hp)</f>
        <v>50.0231298336127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9.1569956496290184E-3</v>
      </c>
      <c r="M212" s="957"/>
      <c r="N212" s="957"/>
      <c r="O212" s="48">
        <f>IF(t&lt;Tnet,'2018'!Resal+('2018'!Salim-'2018'!Resal)*(1-EXP(('2018'!Tnet-t)/('2018'!Tau_j))),Resal+(Salim-Resal)*(1-EXP((Tnet-t)/(Tau_j))))*Salcycl</f>
        <v>4.6815320272111362E-2</v>
      </c>
      <c r="P212" s="169">
        <f>(INDEX(Models!$BJ212:$BT212,,T212)*(1-R212)+INDEX(Models!$BJ212:$BT212,,T212+1)*R212-ERP_i)*Q212*Ramure*Pc/MaxiM</f>
        <v>2.0136165318714698E-3</v>
      </c>
      <c r="Q212" s="305">
        <f t="shared" si="78"/>
        <v>0.7</v>
      </c>
      <c r="R212" s="177">
        <f t="shared" si="79"/>
        <v>0.9103583672037785</v>
      </c>
      <c r="S212" s="919">
        <f t="shared" si="80"/>
        <v>-2</v>
      </c>
      <c r="T212" s="176">
        <f t="shared" si="81"/>
        <v>4</v>
      </c>
      <c r="U212" s="251">
        <f t="shared" si="82"/>
        <v>-1.0896416327962215</v>
      </c>
      <c r="V212" s="383">
        <f t="shared" si="83"/>
        <v>52.783578273500197</v>
      </c>
      <c r="W212" s="58"/>
      <c r="X212" s="157">
        <f t="shared" si="84"/>
        <v>43663</v>
      </c>
      <c r="Y212" s="385">
        <f t="shared" si="85"/>
        <v>47.164000000000001</v>
      </c>
      <c r="Z212" s="385">
        <f t="shared" si="86"/>
        <v>47.599871819171049</v>
      </c>
      <c r="AA212" s="386">
        <f t="shared" si="87"/>
        <v>49.937722281436237</v>
      </c>
      <c r="AB212" s="197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4.6815320272111362E-2</v>
      </c>
      <c r="AD212" s="231">
        <f>(INDEX(Models!$BJ212:$BT212,,AH212)*(1-AF212)+INDEX(Models!$BJ212:$BT212,,AH212+1)*AF212-ERP_i)*AE212*Ramure*Pc/MaxiM</f>
        <v>2.0136165318714698E-3</v>
      </c>
      <c r="AE212" s="305">
        <f t="shared" si="89"/>
        <v>0.7</v>
      </c>
      <c r="AF212" s="177">
        <f t="shared" si="90"/>
        <v>0.9103583672037785</v>
      </c>
      <c r="AG212" s="176">
        <f t="shared" si="91"/>
        <v>-2</v>
      </c>
      <c r="AH212" s="176">
        <f t="shared" si="92"/>
        <v>4</v>
      </c>
      <c r="AI212" s="225">
        <f t="shared" si="93"/>
        <v>-1.0896416327962215</v>
      </c>
      <c r="AJ212" s="265" t="b">
        <f t="shared" si="94"/>
        <v>1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8">
        <v>37.347000000000001</v>
      </c>
      <c r="C213" s="390"/>
      <c r="D213" s="393">
        <f t="shared" si="75"/>
        <v>37.692972397329065</v>
      </c>
      <c r="E213" s="385">
        <f t="shared" si="73"/>
        <v>39.548152191785341</v>
      </c>
      <c r="F213" s="385">
        <f t="shared" si="76"/>
        <v>39.593684487759283</v>
      </c>
      <c r="G213" s="110">
        <f t="shared" si="74"/>
        <v>0.70838670032168882</v>
      </c>
      <c r="H213" s="412" t="b">
        <f>Wh_hp&gt;='2018'!Maxi_hp</f>
        <v>0</v>
      </c>
      <c r="I213" s="390">
        <f>IF(H213,Wh_hp,'2018'!Maxi_hp)</f>
        <v>43.68377735688307</v>
      </c>
      <c r="J213" s="85">
        <f>IF(H213,An,'2018'!An_max)</f>
        <v>2018</v>
      </c>
      <c r="K213" s="197">
        <f t="shared" si="77"/>
        <v>43664</v>
      </c>
      <c r="L213" s="147">
        <f>IF(t&lt;Tvie,1-EXP((T0-t)*PertePVj)+'2018'!Pspv,1-EXP((T0-t)*PertePVj)+Pspv)</f>
        <v>9.1786976543558607E-3</v>
      </c>
      <c r="M213" s="957"/>
      <c r="N213" s="957"/>
      <c r="O213" s="48">
        <f>IF(t&lt;Tnet,'2018'!Resal+('2018'!Salim-'2018'!Resal)*(1-EXP(('2018'!Tnet-t)/('2018'!Tau_j))),Resal+(Salim-Resal)*(1-EXP((Tnet-t)/(Tau_j))))*Salcycl</f>
        <v>4.6909392516235382E-2</v>
      </c>
      <c r="P213" s="169">
        <f>(INDEX(Models!$BJ213:$BT213,,T213)*(1-R213)+INDEX(Models!$BJ213:$BT213,,T213+1)*R213-ERP_i)*Q213*Ramure*Pc/MaxiM</f>
        <v>1.9683522020642729E-3</v>
      </c>
      <c r="Q213" s="305">
        <f t="shared" si="78"/>
        <v>0.7</v>
      </c>
      <c r="R213" s="177">
        <f t="shared" si="79"/>
        <v>0.91334848812006886</v>
      </c>
      <c r="S213" s="919">
        <f t="shared" si="80"/>
        <v>-2</v>
      </c>
      <c r="T213" s="176">
        <f t="shared" si="81"/>
        <v>4</v>
      </c>
      <c r="U213" s="251">
        <f t="shared" si="82"/>
        <v>-1.0866515118799311</v>
      </c>
      <c r="V213" s="383">
        <f t="shared" si="83"/>
        <v>52.678009594417254</v>
      </c>
      <c r="W213" s="58"/>
      <c r="X213" s="157">
        <f t="shared" si="84"/>
        <v>43664</v>
      </c>
      <c r="Y213" s="385">
        <f t="shared" si="85"/>
        <v>37.347000000000001</v>
      </c>
      <c r="Z213" s="385">
        <f t="shared" si="86"/>
        <v>37.692972397329065</v>
      </c>
      <c r="AA213" s="386">
        <f t="shared" si="87"/>
        <v>39.548152191785341</v>
      </c>
      <c r="AB213" s="197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4.6909392516235382E-2</v>
      </c>
      <c r="AD213" s="231">
        <f>(INDEX(Models!$BJ213:$BT213,,AH213)*(1-AF213)+INDEX(Models!$BJ213:$BT213,,AH213+1)*AF213-ERP_i)*AE213*Ramure*Pc/MaxiM</f>
        <v>1.9683522020642729E-3</v>
      </c>
      <c r="AE213" s="305">
        <f t="shared" si="89"/>
        <v>0.7</v>
      </c>
      <c r="AF213" s="177">
        <f t="shared" si="90"/>
        <v>0.91334848812006886</v>
      </c>
      <c r="AG213" s="176">
        <f t="shared" si="91"/>
        <v>-2</v>
      </c>
      <c r="AH213" s="176">
        <f t="shared" si="92"/>
        <v>4</v>
      </c>
      <c r="AI213" s="225">
        <f t="shared" si="93"/>
        <v>-1.0866515118799311</v>
      </c>
      <c r="AJ213" s="265" t="b">
        <f t="shared" si="94"/>
        <v>1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8">
        <v>52.235999999999997</v>
      </c>
      <c r="C214" s="390"/>
      <c r="D214" s="393">
        <f t="shared" si="75"/>
        <v>52.721054749080032</v>
      </c>
      <c r="E214" s="385">
        <f t="shared" si="73"/>
        <v>55.321325661910961</v>
      </c>
      <c r="F214" s="385">
        <f t="shared" si="76"/>
        <v>55.426897069494828</v>
      </c>
      <c r="G214" s="110">
        <f t="shared" si="74"/>
        <v>0.99358268427693741</v>
      </c>
      <c r="H214" s="412" t="b">
        <f>Wh_hp&gt;='2018'!Maxi_hp</f>
        <v>1</v>
      </c>
      <c r="I214" s="390">
        <f>IF(H214,Wh_hp,'2018'!Maxi_hp)</f>
        <v>55.426897069494828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9.2003991837530386E-3</v>
      </c>
      <c r="M214" s="957"/>
      <c r="N214" s="957"/>
      <c r="O214" s="48">
        <f>IF(t&lt;Tnet,'2018'!Resal+('2018'!Salim-'2018'!Resal)*(1-EXP(('2018'!Tnet-t)/('2018'!Tau_j))),Resal+(Salim-Resal)*(1-EXP((Tnet-t)/(Tau_j))))*Salcycl</f>
        <v>4.7003047770802601E-2</v>
      </c>
      <c r="P214" s="169">
        <f>(INDEX(Models!$BJ214:$BT214,,T214)*(1-R214)+INDEX(Models!$BJ214:$BT214,,T214+1)*R214-ERP_i)*Q214*Ramure*Pc/MaxiM</f>
        <v>1.9222708874391974E-3</v>
      </c>
      <c r="Q214" s="305">
        <f t="shared" si="78"/>
        <v>0.7</v>
      </c>
      <c r="R214" s="177">
        <f t="shared" si="79"/>
        <v>0.9162594193856326</v>
      </c>
      <c r="S214" s="919">
        <f t="shared" si="80"/>
        <v>-2</v>
      </c>
      <c r="T214" s="176">
        <f t="shared" si="81"/>
        <v>4</v>
      </c>
      <c r="U214" s="251">
        <f t="shared" si="82"/>
        <v>-1.0837405806143674</v>
      </c>
      <c r="V214" s="383">
        <f t="shared" si="83"/>
        <v>52.572454260995613</v>
      </c>
      <c r="W214" s="58"/>
      <c r="X214" s="157">
        <f t="shared" si="84"/>
        <v>43665</v>
      </c>
      <c r="Y214" s="385">
        <f t="shared" si="85"/>
        <v>52.235999999999997</v>
      </c>
      <c r="Z214" s="385">
        <f t="shared" si="86"/>
        <v>52.721054749080032</v>
      </c>
      <c r="AA214" s="386">
        <f t="shared" si="87"/>
        <v>55.321325661910961</v>
      </c>
      <c r="AB214" s="197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4.7003047770802601E-2</v>
      </c>
      <c r="AD214" s="231">
        <f>(INDEX(Models!$BJ214:$BT214,,AH214)*(1-AF214)+INDEX(Models!$BJ214:$BT214,,AH214+1)*AF214-ERP_i)*AE214*Ramure*Pc/MaxiM</f>
        <v>1.9222708874391974E-3</v>
      </c>
      <c r="AE214" s="305">
        <f t="shared" si="89"/>
        <v>0.7</v>
      </c>
      <c r="AF214" s="177">
        <f t="shared" si="90"/>
        <v>0.9162594193856326</v>
      </c>
      <c r="AG214" s="176">
        <f t="shared" si="91"/>
        <v>-2</v>
      </c>
      <c r="AH214" s="176">
        <f t="shared" si="92"/>
        <v>4</v>
      </c>
      <c r="AI214" s="225">
        <f t="shared" si="93"/>
        <v>-1.0837405806143674</v>
      </c>
      <c r="AJ214" s="265" t="b">
        <f t="shared" si="94"/>
        <v>1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8">
        <v>26.632999999999999</v>
      </c>
      <c r="C215" s="390"/>
      <c r="D215" s="393">
        <f t="shared" si="75"/>
        <v>26.880898338964879</v>
      </c>
      <c r="E215" s="385">
        <f t="shared" si="73"/>
        <v>28.209459677386512</v>
      </c>
      <c r="F215" s="385">
        <f t="shared" si="76"/>
        <v>28.225159162924221</v>
      </c>
      <c r="G215" s="110">
        <f t="shared" si="74"/>
        <v>0.50694321887887905</v>
      </c>
      <c r="H215" s="412" t="b">
        <f>Wh_hp&gt;='2018'!Maxi_hp</f>
        <v>1</v>
      </c>
      <c r="I215" s="390">
        <f>IF(H215,Wh_hp,'2018'!Maxi_hp)</f>
        <v>28.225159162924221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9.222100237831099E-3</v>
      </c>
      <c r="M215" s="957"/>
      <c r="N215" s="957"/>
      <c r="O215" s="48">
        <f>IF(t&lt;Tnet,'2018'!Resal+('2018'!Salim-'2018'!Resal)*(1-EXP(('2018'!Tnet-t)/('2018'!Tau_j))),Resal+(Salim-Resal)*(1-EXP((Tnet-t)/(Tau_j))))*Salcycl</f>
        <v>4.7096305764645567E-2</v>
      </c>
      <c r="P215" s="169">
        <f>(INDEX(Models!$BJ215:$BT215,,T215)*(1-R215)+INDEX(Models!$BJ215:$BT215,,T215+1)*R215-ERP_i)*Q215*Ramure*Pc/MaxiM</f>
        <v>1.8753920000889328E-3</v>
      </c>
      <c r="Q215" s="305">
        <f t="shared" si="78"/>
        <v>0.7</v>
      </c>
      <c r="R215" s="177">
        <f t="shared" si="79"/>
        <v>0.91909190482106773</v>
      </c>
      <c r="S215" s="919">
        <f t="shared" si="80"/>
        <v>-2</v>
      </c>
      <c r="T215" s="176">
        <f t="shared" si="81"/>
        <v>4</v>
      </c>
      <c r="U215" s="251">
        <f t="shared" si="82"/>
        <v>-1.0809080951789323</v>
      </c>
      <c r="V215" s="383">
        <f t="shared" si="83"/>
        <v>52.467112748084347</v>
      </c>
      <c r="W215" s="58"/>
      <c r="X215" s="157">
        <f t="shared" si="84"/>
        <v>43666</v>
      </c>
      <c r="Y215" s="385">
        <f t="shared" si="85"/>
        <v>26.632999999999999</v>
      </c>
      <c r="Z215" s="385">
        <f t="shared" si="86"/>
        <v>26.880898338964879</v>
      </c>
      <c r="AA215" s="386">
        <f t="shared" si="87"/>
        <v>28.209459677386512</v>
      </c>
      <c r="AB215" s="197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4.7096305764645567E-2</v>
      </c>
      <c r="AD215" s="231">
        <f>(INDEX(Models!$BJ215:$BT215,,AH215)*(1-AF215)+INDEX(Models!$BJ215:$BT215,,AH215+1)*AF215-ERP_i)*AE215*Ramure*Pc/MaxiM</f>
        <v>1.8753920000889328E-3</v>
      </c>
      <c r="AE215" s="305">
        <f t="shared" si="89"/>
        <v>0.7</v>
      </c>
      <c r="AF215" s="177">
        <f t="shared" si="90"/>
        <v>0.91909190482106773</v>
      </c>
      <c r="AG215" s="176">
        <f t="shared" si="91"/>
        <v>-2</v>
      </c>
      <c r="AH215" s="176">
        <f t="shared" si="92"/>
        <v>4</v>
      </c>
      <c r="AI215" s="225">
        <f t="shared" si="93"/>
        <v>-1.0809080951789323</v>
      </c>
      <c r="AJ215" s="265" t="b">
        <f t="shared" si="94"/>
        <v>1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8">
        <v>41.392000000000003</v>
      </c>
      <c r="C216" s="390"/>
      <c r="D216" s="393">
        <f t="shared" si="75"/>
        <v>41.778189259997653</v>
      </c>
      <c r="E216" s="385">
        <f t="shared" si="73"/>
        <v>43.847308016916955</v>
      </c>
      <c r="F216" s="385">
        <f t="shared" si="76"/>
        <v>43.903535473753848</v>
      </c>
      <c r="G216" s="110">
        <f t="shared" si="74"/>
        <v>0.79006114562534213</v>
      </c>
      <c r="H216" s="412" t="b">
        <f>Wh_hp&gt;='2018'!Maxi_hp</f>
        <v>1</v>
      </c>
      <c r="I216" s="390">
        <f>IF(H216,Wh_hp,'2018'!Maxi_hp)</f>
        <v>43.903535473753848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9.2438008166003671E-3</v>
      </c>
      <c r="M216" s="957"/>
      <c r="N216" s="957"/>
      <c r="O216" s="48">
        <f>IF(t&lt;Tnet,'2018'!Resal+('2018'!Salim-'2018'!Resal)*(1-EXP(('2018'!Tnet-t)/('2018'!Tau_j))),Resal+(Salim-Resal)*(1-EXP((Tnet-t)/(Tau_j))))*Salcycl</f>
        <v>4.7189185619354507E-2</v>
      </c>
      <c r="P216" s="169">
        <f>(INDEX(Models!$BJ216:$BT216,,T216)*(1-R216)+INDEX(Models!$BJ216:$BT216,,T216+1)*R216-ERP_i)*Q216*Ramure*Pc/MaxiM</f>
        <v>1.8277347834876529E-3</v>
      </c>
      <c r="Q216" s="305">
        <f t="shared" si="78"/>
        <v>0.7</v>
      </c>
      <c r="R216" s="177">
        <f t="shared" si="79"/>
        <v>0.9218467775791277</v>
      </c>
      <c r="S216" s="919">
        <f t="shared" si="80"/>
        <v>-2</v>
      </c>
      <c r="T216" s="176">
        <f t="shared" si="81"/>
        <v>4</v>
      </c>
      <c r="U216" s="251">
        <f t="shared" si="82"/>
        <v>-1.0781532224208723</v>
      </c>
      <c r="V216" s="383">
        <f t="shared" si="83"/>
        <v>52.362185530978884</v>
      </c>
      <c r="W216" s="58"/>
      <c r="X216" s="157">
        <f t="shared" si="84"/>
        <v>43667</v>
      </c>
      <c r="Y216" s="385">
        <f t="shared" si="85"/>
        <v>41.392000000000003</v>
      </c>
      <c r="Z216" s="385">
        <f t="shared" si="86"/>
        <v>41.778189259997653</v>
      </c>
      <c r="AA216" s="386">
        <f t="shared" si="87"/>
        <v>43.847308016916955</v>
      </c>
      <c r="AB216" s="197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4.7189185619354507E-2</v>
      </c>
      <c r="AD216" s="231">
        <f>(INDEX(Models!$BJ216:$BT216,,AH216)*(1-AF216)+INDEX(Models!$BJ216:$BT216,,AH216+1)*AF216-ERP_i)*AE216*Ramure*Pc/MaxiM</f>
        <v>1.8277347834876529E-3</v>
      </c>
      <c r="AE216" s="305">
        <f t="shared" si="89"/>
        <v>0.7</v>
      </c>
      <c r="AF216" s="177">
        <f t="shared" si="90"/>
        <v>0.9218467775791277</v>
      </c>
      <c r="AG216" s="176">
        <f t="shared" si="91"/>
        <v>-2</v>
      </c>
      <c r="AH216" s="176">
        <f t="shared" si="92"/>
        <v>4</v>
      </c>
      <c r="AI216" s="225">
        <f t="shared" si="93"/>
        <v>-1.0781532224208723</v>
      </c>
      <c r="AJ216" s="265" t="b">
        <f t="shared" si="94"/>
        <v>1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8">
        <v>45.494999999999997</v>
      </c>
      <c r="C217" s="390"/>
      <c r="D217" s="393">
        <f t="shared" si="75"/>
        <v>45.920476214616635</v>
      </c>
      <c r="E217" s="385">
        <f t="shared" si="73"/>
        <v>48.199427356648442</v>
      </c>
      <c r="F217" s="385">
        <f t="shared" si="76"/>
        <v>48.26943562430597</v>
      </c>
      <c r="G217" s="110">
        <f t="shared" si="74"/>
        <v>0.87029972346850182</v>
      </c>
      <c r="H217" s="412" t="b">
        <f>Wh_hp&gt;='2018'!Maxi_hp</f>
        <v>0</v>
      </c>
      <c r="I217" s="390">
        <f>IF(H217,Wh_hp,'2018'!Maxi_hp)</f>
        <v>51.78933561671316</v>
      </c>
      <c r="J217" s="85">
        <f>IF(H217,An,'2018'!An_max)</f>
        <v>2018</v>
      </c>
      <c r="K217" s="197">
        <f t="shared" si="77"/>
        <v>43668</v>
      </c>
      <c r="L217" s="147">
        <f>IF(t&lt;Tvie,1-EXP((T0-t)*PertePVj)+'2018'!Pspv,1-EXP((T0-t)*PertePVj)+Pspv)</f>
        <v>9.265500920071168E-3</v>
      </c>
      <c r="M217" s="957"/>
      <c r="N217" s="957"/>
      <c r="O217" s="48">
        <f>IF(t&lt;Tnet,'2018'!Resal+('2018'!Salim-'2018'!Resal)*(1-EXP(('2018'!Tnet-t)/('2018'!Tau_j))),Resal+(Salim-Resal)*(1-EXP((Tnet-t)/(Tau_j))))*Salcycl</f>
        <v>4.7281705759051045E-2</v>
      </c>
      <c r="P217" s="169">
        <f>(INDEX(Models!$BJ217:$BT217,,T217)*(1-R217)+INDEX(Models!$BJ217:$BT217,,T217+1)*R217-ERP_i)*Q217*Ramure*Pc/MaxiM</f>
        <v>1.779318282658009E-3</v>
      </c>
      <c r="Q217" s="305">
        <f t="shared" si="78"/>
        <v>0.7</v>
      </c>
      <c r="R217" s="177">
        <f t="shared" si="79"/>
        <v>0.92452495323640682</v>
      </c>
      <c r="S217" s="919">
        <f t="shared" si="80"/>
        <v>-2</v>
      </c>
      <c r="T217" s="176">
        <f t="shared" si="81"/>
        <v>4</v>
      </c>
      <c r="U217" s="251">
        <f t="shared" si="82"/>
        <v>-1.0754750467635932</v>
      </c>
      <c r="V217" s="383">
        <f t="shared" si="83"/>
        <v>52.257873093805578</v>
      </c>
      <c r="W217" s="58"/>
      <c r="X217" s="157">
        <f t="shared" si="84"/>
        <v>43668</v>
      </c>
      <c r="Y217" s="385">
        <f t="shared" si="85"/>
        <v>45.494999999999997</v>
      </c>
      <c r="Z217" s="385">
        <f t="shared" si="86"/>
        <v>45.920476214616635</v>
      </c>
      <c r="AA217" s="386">
        <f t="shared" si="87"/>
        <v>48.199427356648442</v>
      </c>
      <c r="AB217" s="197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4.7281705759051045E-2</v>
      </c>
      <c r="AD217" s="231">
        <f>(INDEX(Models!$BJ217:$BT217,,AH217)*(1-AF217)+INDEX(Models!$BJ217:$BT217,,AH217+1)*AF217-ERP_i)*AE217*Ramure*Pc/MaxiM</f>
        <v>1.779318282658009E-3</v>
      </c>
      <c r="AE217" s="305">
        <f t="shared" si="89"/>
        <v>0.7</v>
      </c>
      <c r="AF217" s="177">
        <f t="shared" si="90"/>
        <v>0.92452495323640682</v>
      </c>
      <c r="AG217" s="176">
        <f t="shared" si="91"/>
        <v>-2</v>
      </c>
      <c r="AH217" s="176">
        <f t="shared" si="92"/>
        <v>4</v>
      </c>
      <c r="AI217" s="225">
        <f t="shared" si="93"/>
        <v>-1.0754750467635932</v>
      </c>
      <c r="AJ217" s="265" t="b">
        <f t="shared" si="94"/>
        <v>1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8">
        <v>50.372999999999998</v>
      </c>
      <c r="C218" s="390"/>
      <c r="D218" s="393">
        <f t="shared" si="75"/>
        <v>50.845209659021357</v>
      </c>
      <c r="E218" s="385">
        <f t="shared" si="73"/>
        <v>53.373730570567687</v>
      </c>
      <c r="F218" s="385">
        <f t="shared" si="76"/>
        <v>53.46171464011249</v>
      </c>
      <c r="G218" s="110">
        <f t="shared" si="74"/>
        <v>0.96576249869235176</v>
      </c>
      <c r="H218" s="412" t="b">
        <f>Wh_hp&gt;='2018'!Maxi_hp</f>
        <v>0</v>
      </c>
      <c r="I218" s="390">
        <f>IF(H218,Wh_hp,'2018'!Maxi_hp)</f>
        <v>56.297408043792899</v>
      </c>
      <c r="J218" s="85">
        <f>IF(H218,An,'2018'!An_max)</f>
        <v>2018</v>
      </c>
      <c r="K218" s="197">
        <f t="shared" si="77"/>
        <v>43669</v>
      </c>
      <c r="L218" s="147">
        <f>IF(t&lt;Tvie,1-EXP((T0-t)*PertePVj)+'2018'!Pspv,1-EXP((T0-t)*PertePVj)+Pspv)</f>
        <v>9.2872005482541597E-3</v>
      </c>
      <c r="M218" s="957"/>
      <c r="N218" s="957"/>
      <c r="O218" s="48">
        <f>IF(t&lt;Tnet,'2018'!Resal+('2018'!Salim-'2018'!Resal)*(1-EXP(('2018'!Tnet-t)/('2018'!Tau_j))),Resal+(Salim-Resal)*(1-EXP((Tnet-t)/(Tau_j))))*Salcycl</f>
        <v>4.7373883828548707E-2</v>
      </c>
      <c r="P218" s="169">
        <f>(INDEX(Models!$BJ218:$BT218,,T218)*(1-R218)+INDEX(Models!$BJ218:$BT218,,T218+1)*R218-ERP_i)*Q218*Ramure*Pc/MaxiM</f>
        <v>1.7301613252570856E-3</v>
      </c>
      <c r="Q218" s="305">
        <f t="shared" si="78"/>
        <v>0.7</v>
      </c>
      <c r="R218" s="177">
        <f t="shared" si="79"/>
        <v>0.92712742299753903</v>
      </c>
      <c r="S218" s="919">
        <f t="shared" si="80"/>
        <v>-2</v>
      </c>
      <c r="T218" s="176">
        <f t="shared" si="81"/>
        <v>4</v>
      </c>
      <c r="U218" s="251">
        <f t="shared" si="82"/>
        <v>-1.072872577002461</v>
      </c>
      <c r="V218" s="383">
        <f t="shared" si="83"/>
        <v>52.154375936789201</v>
      </c>
      <c r="W218" s="58"/>
      <c r="X218" s="157">
        <f t="shared" si="84"/>
        <v>43669</v>
      </c>
      <c r="Y218" s="385">
        <f t="shared" si="85"/>
        <v>50.372999999999998</v>
      </c>
      <c r="Z218" s="385">
        <f t="shared" si="86"/>
        <v>50.845209659021357</v>
      </c>
      <c r="AA218" s="386">
        <f t="shared" si="87"/>
        <v>53.373730570567687</v>
      </c>
      <c r="AB218" s="197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4.7373883828548707E-2</v>
      </c>
      <c r="AD218" s="231">
        <f>(INDEX(Models!$BJ218:$BT218,,AH218)*(1-AF218)+INDEX(Models!$BJ218:$BT218,,AH218+1)*AF218-ERP_i)*AE218*Ramure*Pc/MaxiM</f>
        <v>1.7301613252570856E-3</v>
      </c>
      <c r="AE218" s="305">
        <f t="shared" si="89"/>
        <v>0.7</v>
      </c>
      <c r="AF218" s="177">
        <f t="shared" si="90"/>
        <v>0.92712742299753903</v>
      </c>
      <c r="AG218" s="176">
        <f t="shared" si="91"/>
        <v>-2</v>
      </c>
      <c r="AH218" s="176">
        <f t="shared" si="92"/>
        <v>4</v>
      </c>
      <c r="AI218" s="225">
        <f t="shared" si="93"/>
        <v>-1.072872577002461</v>
      </c>
      <c r="AJ218" s="265" t="b">
        <f t="shared" si="94"/>
        <v>1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8">
        <v>50.52</v>
      </c>
      <c r="C219" s="390"/>
      <c r="D219" s="393">
        <f t="shared" si="75"/>
        <v>50.994704590321568</v>
      </c>
      <c r="E219" s="385">
        <f t="shared" si="73"/>
        <v>53.53582180801034</v>
      </c>
      <c r="F219" s="385">
        <f t="shared" si="76"/>
        <v>53.622135078221874</v>
      </c>
      <c r="G219" s="110">
        <f t="shared" si="74"/>
        <v>0.97050656169592753</v>
      </c>
      <c r="H219" s="412" t="b">
        <f>Wh_hp&gt;='2018'!Maxi_hp</f>
        <v>1</v>
      </c>
      <c r="I219" s="390">
        <f>IF(H219,Wh_hp,'2018'!Maxi_hp)</f>
        <v>53.622135078221874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9.3088997011595565E-3</v>
      </c>
      <c r="M219" s="957"/>
      <c r="N219" s="957"/>
      <c r="O219" s="48">
        <f>IF(t&lt;Tnet,'2018'!Resal+('2018'!Salim-'2018'!Resal)*(1-EXP(('2018'!Tnet-t)/('2018'!Tau_j))),Resal+(Salim-Resal)*(1-EXP((Tnet-t)/(Tau_j))))*Salcycl</f>
        <v>4.7465736620270815E-2</v>
      </c>
      <c r="P219" s="169">
        <f>(INDEX(Models!$BJ219:$BT219,,T219)*(1-R219)+INDEX(Models!$BJ219:$BT219,,T219+1)*R219-ERP_i)*Q219*Ramure*Pc/MaxiM</f>
        <v>1.6802890789277621E-3</v>
      </c>
      <c r="Q219" s="305">
        <f t="shared" si="78"/>
        <v>0.7</v>
      </c>
      <c r="R219" s="177">
        <f t="shared" si="79"/>
        <v>0.92965524704041624</v>
      </c>
      <c r="S219" s="919">
        <f t="shared" si="80"/>
        <v>-2</v>
      </c>
      <c r="T219" s="176">
        <f t="shared" si="81"/>
        <v>4</v>
      </c>
      <c r="U219" s="251">
        <f t="shared" si="82"/>
        <v>-1.0703447529595838</v>
      </c>
      <c r="V219" s="383">
        <f t="shared" si="83"/>
        <v>52.051606791566158</v>
      </c>
      <c r="W219" s="58"/>
      <c r="X219" s="157">
        <f t="shared" si="84"/>
        <v>43670</v>
      </c>
      <c r="Y219" s="385">
        <f t="shared" si="85"/>
        <v>50.52</v>
      </c>
      <c r="Z219" s="385">
        <f t="shared" si="86"/>
        <v>50.994704590321568</v>
      </c>
      <c r="AA219" s="386">
        <f t="shared" si="87"/>
        <v>53.53582180801034</v>
      </c>
      <c r="AB219" s="197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4.7465736620270815E-2</v>
      </c>
      <c r="AD219" s="231">
        <f>(INDEX(Models!$BJ219:$BT219,,AH219)*(1-AF219)+INDEX(Models!$BJ219:$BT219,,AH219+1)*AF219-ERP_i)*AE219*Ramure*Pc/MaxiM</f>
        <v>1.6802890789277621E-3</v>
      </c>
      <c r="AE219" s="305">
        <f t="shared" si="89"/>
        <v>0.7</v>
      </c>
      <c r="AF219" s="177">
        <f t="shared" si="90"/>
        <v>0.92965524704041624</v>
      </c>
      <c r="AG219" s="176">
        <f t="shared" si="91"/>
        <v>-2</v>
      </c>
      <c r="AH219" s="176">
        <f t="shared" si="92"/>
        <v>4</v>
      </c>
      <c r="AI219" s="225">
        <f t="shared" si="93"/>
        <v>-1.0703447529595838</v>
      </c>
      <c r="AJ219" s="265" t="b">
        <f t="shared" si="94"/>
        <v>1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8">
        <v>50.99</v>
      </c>
      <c r="C220" s="390"/>
      <c r="D220" s="393">
        <f t="shared" si="75"/>
        <v>51.47024821454697</v>
      </c>
      <c r="E220" s="385">
        <f t="shared" si="73"/>
        <v>54.040255791023803</v>
      </c>
      <c r="F220" s="385">
        <f t="shared" si="76"/>
        <v>54.126143978256643</v>
      </c>
      <c r="G220" s="110">
        <f t="shared" si="74"/>
        <v>0.98149219369647012</v>
      </c>
      <c r="H220" s="412" t="b">
        <f>Wh_hp&gt;='2018'!Maxi_hp</f>
        <v>0</v>
      </c>
      <c r="I220" s="390">
        <f>IF(H220,Wh_hp,'2018'!Maxi_hp)</f>
        <v>54.530894378058939</v>
      </c>
      <c r="J220" s="85">
        <f>IF(H220,An,'2018'!An_max)</f>
        <v>2018</v>
      </c>
      <c r="K220" s="197">
        <f t="shared" si="77"/>
        <v>43671</v>
      </c>
      <c r="L220" s="147">
        <f>IF(t&lt;Tvie,1-EXP((T0-t)*PertePVj)+'2018'!Pspv,1-EXP((T0-t)*PertePVj)+Pspv)</f>
        <v>9.3305983787976832E-3</v>
      </c>
      <c r="M220" s="957"/>
      <c r="N220" s="957"/>
      <c r="O220" s="48">
        <f>IF(t&lt;Tnet,'2018'!Resal+('2018'!Salim-'2018'!Resal)*(1-EXP(('2018'!Tnet-t)/('2018'!Tau_j))),Resal+(Salim-Resal)*(1-EXP((Tnet-t)/(Tau_j))))*Salcycl</f>
        <v>4.7557280010205157E-2</v>
      </c>
      <c r="P220" s="169">
        <f>(INDEX(Models!$BJ220:$BT220,,T220)*(1-R220)+INDEX(Models!$BJ220:$BT220,,T220+1)*R220-ERP_i)*Q220*Ramure*Pc/MaxiM</f>
        <v>1.6298084620256343E-3</v>
      </c>
      <c r="Q220" s="305">
        <f t="shared" si="78"/>
        <v>0.7</v>
      </c>
      <c r="R220" s="177">
        <f t="shared" si="79"/>
        <v>0.93210954802755119</v>
      </c>
      <c r="S220" s="919">
        <f t="shared" si="80"/>
        <v>-2</v>
      </c>
      <c r="T220" s="176">
        <f t="shared" si="81"/>
        <v>4</v>
      </c>
      <c r="U220" s="251">
        <f t="shared" si="82"/>
        <v>-1.0678904519724488</v>
      </c>
      <c r="V220" s="383">
        <f t="shared" si="83"/>
        <v>51.949271340250277</v>
      </c>
      <c r="W220" s="58"/>
      <c r="X220" s="157">
        <f t="shared" si="84"/>
        <v>43671</v>
      </c>
      <c r="Y220" s="385">
        <f t="shared" si="85"/>
        <v>50.99</v>
      </c>
      <c r="Z220" s="385">
        <f t="shared" si="86"/>
        <v>51.47024821454697</v>
      </c>
      <c r="AA220" s="386">
        <f t="shared" si="87"/>
        <v>54.040255791023803</v>
      </c>
      <c r="AB220" s="197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4.7557280010205157E-2</v>
      </c>
      <c r="AD220" s="231">
        <f>(INDEX(Models!$BJ220:$BT220,,AH220)*(1-AF220)+INDEX(Models!$BJ220:$BT220,,AH220+1)*AF220-ERP_i)*AE220*Ramure*Pc/MaxiM</f>
        <v>1.6298084620256343E-3</v>
      </c>
      <c r="AE220" s="305">
        <f t="shared" si="89"/>
        <v>0.7</v>
      </c>
      <c r="AF220" s="177">
        <f t="shared" si="90"/>
        <v>0.93210954802755119</v>
      </c>
      <c r="AG220" s="176">
        <f t="shared" si="91"/>
        <v>-2</v>
      </c>
      <c r="AH220" s="176">
        <f t="shared" si="92"/>
        <v>4</v>
      </c>
      <c r="AI220" s="225">
        <f t="shared" si="93"/>
        <v>-1.0678904519724488</v>
      </c>
      <c r="AJ220" s="265" t="b">
        <f t="shared" si="94"/>
        <v>1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8">
        <v>17.149000000000001</v>
      </c>
      <c r="C221" s="390"/>
      <c r="D221" s="393">
        <f t="shared" si="75"/>
        <v>17.310896639458353</v>
      </c>
      <c r="E221" s="385">
        <f t="shared" si="73"/>
        <v>18.177004146924496</v>
      </c>
      <c r="F221" s="385">
        <f t="shared" si="76"/>
        <v>18.178265239056579</v>
      </c>
      <c r="G221" s="110">
        <f t="shared" si="74"/>
        <v>0.3302606951528041</v>
      </c>
      <c r="H221" s="412" t="b">
        <f>Wh_hp&gt;='2018'!Maxi_hp</f>
        <v>0</v>
      </c>
      <c r="I221" s="390">
        <f>IF(H221,Wh_hp,'2018'!Maxi_hp)</f>
        <v>54.431799382786856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9.352296581179198E-3</v>
      </c>
      <c r="M221" s="957"/>
      <c r="N221" s="957"/>
      <c r="O221" s="48">
        <f>IF(t&lt;Tnet,'2018'!Resal+('2018'!Salim-'2018'!Resal)*(1-EXP(('2018'!Tnet-t)/('2018'!Tau_j))),Resal+(Salim-Resal)*(1-EXP((Tnet-t)/(Tau_j))))*Salcycl</f>
        <v>4.7648528903080356E-2</v>
      </c>
      <c r="P221" s="169">
        <f>(INDEX(Models!$BJ221:$BT221,,T221)*(1-R221)+INDEX(Models!$BJ221:$BT221,,T221+1)*R221-ERP_i)*Q221*Ramure*Pc/MaxiM</f>
        <v>1.5787254578580065E-3</v>
      </c>
      <c r="Q221" s="305">
        <f t="shared" si="78"/>
        <v>0.7</v>
      </c>
      <c r="R221" s="177">
        <f t="shared" si="79"/>
        <v>0.9344915048054101</v>
      </c>
      <c r="S221" s="919">
        <f t="shared" si="80"/>
        <v>-2</v>
      </c>
      <c r="T221" s="176">
        <f t="shared" si="81"/>
        <v>4</v>
      </c>
      <c r="U221" s="251">
        <f t="shared" si="82"/>
        <v>-1.0655084951945899</v>
      </c>
      <c r="V221" s="383">
        <f t="shared" si="83"/>
        <v>51.847266662146012</v>
      </c>
      <c r="W221" s="58"/>
      <c r="X221" s="157">
        <f t="shared" si="84"/>
        <v>43672</v>
      </c>
      <c r="Y221" s="385">
        <f t="shared" si="85"/>
        <v>17.149000000000001</v>
      </c>
      <c r="Z221" s="385">
        <f t="shared" si="86"/>
        <v>17.310896639458353</v>
      </c>
      <c r="AA221" s="386">
        <f t="shared" si="87"/>
        <v>18.177004146924496</v>
      </c>
      <c r="AB221" s="197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4.7648528903080356E-2</v>
      </c>
      <c r="AD221" s="231">
        <f>(INDEX(Models!$BJ221:$BT221,,AH221)*(1-AF221)+INDEX(Models!$BJ221:$BT221,,AH221+1)*AF221-ERP_i)*AE221*Ramure*Pc/MaxiM</f>
        <v>1.5787254578580065E-3</v>
      </c>
      <c r="AE221" s="305">
        <f t="shared" si="89"/>
        <v>0.7</v>
      </c>
      <c r="AF221" s="177">
        <f t="shared" si="90"/>
        <v>0.9344915048054101</v>
      </c>
      <c r="AG221" s="176">
        <f t="shared" si="91"/>
        <v>-2</v>
      </c>
      <c r="AH221" s="176">
        <f t="shared" si="92"/>
        <v>4</v>
      </c>
      <c r="AI221" s="225">
        <f t="shared" si="93"/>
        <v>-1.0655084951945899</v>
      </c>
      <c r="AJ221" s="265" t="b">
        <f t="shared" si="94"/>
        <v>1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8">
        <v>11.242000000000001</v>
      </c>
      <c r="C222" s="390"/>
      <c r="D222" s="393">
        <f t="shared" si="75"/>
        <v>11.348379646212186</v>
      </c>
      <c r="E222" s="385">
        <f t="shared" si="73"/>
        <v>11.917305834576874</v>
      </c>
      <c r="F222" s="385">
        <f t="shared" si="76"/>
        <v>11.917305834576874</v>
      </c>
      <c r="G222" s="110">
        <f t="shared" si="74"/>
        <v>0.21692388966986706</v>
      </c>
      <c r="H222" s="412" t="b">
        <f>Wh_hp&gt;='2018'!Maxi_hp</f>
        <v>0</v>
      </c>
      <c r="I222" s="390">
        <f>IF(H222,Wh_hp,'2018'!Maxi_hp)</f>
        <v>50.176872336007754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9.3739943083144261E-3</v>
      </c>
      <c r="M222" s="957"/>
      <c r="N222" s="957"/>
      <c r="O222" s="48">
        <f>IF(t&lt;Tnet,'2018'!Resal+('2018'!Salim-'2018'!Resal)*(1-EXP(('2018'!Tnet-t)/('2018'!Tau_j))),Resal+(Salim-Resal)*(1-EXP((Tnet-t)/(Tau_j))))*Salcycl</f>
        <v>4.7739497186856238E-2</v>
      </c>
      <c r="P222" s="169">
        <f>(INDEX(Models!$BJ222:$BT222,,T222)*(1-R222)+INDEX(Models!$BJ222:$BT222,,T222+1)*R222-ERP_i)*Q222*Ramure*Pc/MaxiM</f>
        <v>1.5270639749579867E-3</v>
      </c>
      <c r="Q222" s="305">
        <f t="shared" si="78"/>
        <v>0.7</v>
      </c>
      <c r="R222" s="177">
        <f t="shared" si="79"/>
        <v>0.93680234631037607</v>
      </c>
      <c r="S222" s="919">
        <f t="shared" si="80"/>
        <v>-2</v>
      </c>
      <c r="T222" s="176">
        <f t="shared" si="81"/>
        <v>4</v>
      </c>
      <c r="U222" s="251">
        <f t="shared" si="82"/>
        <v>-1.0631976536896239</v>
      </c>
      <c r="V222" s="383">
        <f t="shared" si="83"/>
        <v>51.745489000203783</v>
      </c>
      <c r="W222" s="58"/>
      <c r="X222" s="157">
        <f t="shared" si="84"/>
        <v>43673</v>
      </c>
      <c r="Y222" s="385">
        <f t="shared" si="85"/>
        <v>11.242000000000001</v>
      </c>
      <c r="Z222" s="385">
        <f t="shared" si="86"/>
        <v>11.348379646212186</v>
      </c>
      <c r="AA222" s="386">
        <f t="shared" si="87"/>
        <v>11.917305834576874</v>
      </c>
      <c r="AB222" s="197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4.7739497186856238E-2</v>
      </c>
      <c r="AD222" s="231">
        <f>(INDEX(Models!$BJ222:$BT222,,AH222)*(1-AF222)+INDEX(Models!$BJ222:$BT222,,AH222+1)*AF222-ERP_i)*AE222*Ramure*Pc/MaxiM</f>
        <v>1.5270639749579867E-3</v>
      </c>
      <c r="AE222" s="305">
        <f t="shared" si="89"/>
        <v>0.7</v>
      </c>
      <c r="AF222" s="177">
        <f t="shared" si="90"/>
        <v>0.93680234631037607</v>
      </c>
      <c r="AG222" s="176">
        <f t="shared" si="91"/>
        <v>-2</v>
      </c>
      <c r="AH222" s="176">
        <f t="shared" si="92"/>
        <v>4</v>
      </c>
      <c r="AI222" s="225">
        <f t="shared" si="93"/>
        <v>-1.0631976536896239</v>
      </c>
      <c r="AJ222" s="265" t="b">
        <f t="shared" si="94"/>
        <v>1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8">
        <v>48.118000000000002</v>
      </c>
      <c r="C223" s="390"/>
      <c r="D223" s="393">
        <f t="shared" si="75"/>
        <v>48.574389986034312</v>
      </c>
      <c r="E223" s="385">
        <f t="shared" si="73"/>
        <v>51.014419768957033</v>
      </c>
      <c r="F223" s="385">
        <f t="shared" si="76"/>
        <v>51.082410584191592</v>
      </c>
      <c r="G223" s="110">
        <f t="shared" si="74"/>
        <v>0.93159366459634196</v>
      </c>
      <c r="H223" s="412" t="b">
        <f>Wh_hp&gt;='2018'!Maxi_hp</f>
        <v>1</v>
      </c>
      <c r="I223" s="390">
        <f>IF(H223,Wh_hp,'2018'!Maxi_hp)</f>
        <v>51.082410584191592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9.3956915602136926E-3</v>
      </c>
      <c r="M223" s="957"/>
      <c r="N223" s="957"/>
      <c r="O223" s="48">
        <f>IF(t&lt;Tnet,'2018'!Resal+('2018'!Salim-'2018'!Resal)*(1-EXP(('2018'!Tnet-t)/('2018'!Tau_j))),Resal+(Salim-Resal)*(1-EXP((Tnet-t)/(Tau_j))))*Salcycl</f>
        <v>4.7830197696524884E-2</v>
      </c>
      <c r="P223" s="169">
        <f>(INDEX(Models!$BJ223:$BT223,,T223)*(1-R223)+INDEX(Models!$BJ223:$BT223,,T223+1)*R223-ERP_i)*Q223*Ramure*Pc/MaxiM</f>
        <v>1.4748466638001053E-3</v>
      </c>
      <c r="Q223" s="305">
        <f t="shared" si="78"/>
        <v>0.7</v>
      </c>
      <c r="R223" s="177">
        <f t="shared" si="79"/>
        <v>0.93904334569695758</v>
      </c>
      <c r="S223" s="919">
        <f t="shared" si="80"/>
        <v>-2</v>
      </c>
      <c r="T223" s="176">
        <f t="shared" si="81"/>
        <v>4</v>
      </c>
      <c r="U223" s="251">
        <f t="shared" si="82"/>
        <v>-1.0609566543030424</v>
      </c>
      <c r="V223" s="383">
        <f t="shared" si="83"/>
        <v>51.643834763158154</v>
      </c>
      <c r="W223" s="58"/>
      <c r="X223" s="157">
        <f t="shared" si="84"/>
        <v>43674</v>
      </c>
      <c r="Y223" s="385">
        <f t="shared" si="85"/>
        <v>48.118000000000002</v>
      </c>
      <c r="Z223" s="385">
        <f t="shared" si="86"/>
        <v>48.574389986034312</v>
      </c>
      <c r="AA223" s="386">
        <f t="shared" si="87"/>
        <v>51.014419768957033</v>
      </c>
      <c r="AB223" s="197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4.7830197696524884E-2</v>
      </c>
      <c r="AD223" s="231">
        <f>(INDEX(Models!$BJ223:$BT223,,AH223)*(1-AF223)+INDEX(Models!$BJ223:$BT223,,AH223+1)*AF223-ERP_i)*AE223*Ramure*Pc/MaxiM</f>
        <v>1.4748466638001053E-3</v>
      </c>
      <c r="AE223" s="305">
        <f t="shared" si="89"/>
        <v>0.7</v>
      </c>
      <c r="AF223" s="177">
        <f t="shared" si="90"/>
        <v>0.93904334569695758</v>
      </c>
      <c r="AG223" s="176">
        <f t="shared" si="91"/>
        <v>-2</v>
      </c>
      <c r="AH223" s="176">
        <f t="shared" si="92"/>
        <v>4</v>
      </c>
      <c r="AI223" s="225">
        <f t="shared" si="93"/>
        <v>-1.0609566543030424</v>
      </c>
      <c r="AJ223" s="265" t="b">
        <f t="shared" si="94"/>
        <v>1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8">
        <v>52.476999999999997</v>
      </c>
      <c r="C224" s="390"/>
      <c r="D224" s="393">
        <f t="shared" si="75"/>
        <v>52.975894571675468</v>
      </c>
      <c r="E224" s="385">
        <f t="shared" si="73"/>
        <v>55.642309789566568</v>
      </c>
      <c r="F224" s="385">
        <f t="shared" si="76"/>
        <v>55.721551124095164</v>
      </c>
      <c r="G224" s="110">
        <f t="shared" si="74"/>
        <v>1.0181365845016872</v>
      </c>
      <c r="H224" s="412" t="b">
        <f>Wh_hp&gt;='2018'!Maxi_hp</f>
        <v>1</v>
      </c>
      <c r="I224" s="390">
        <f>IF(H224,Wh_hp,'2018'!Maxi_hp)</f>
        <v>55.721551124095164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9.4173883368874334E-3</v>
      </c>
      <c r="M224" s="957"/>
      <c r="N224" s="957"/>
      <c r="O224" s="48">
        <f>IF(t&lt;Tnet,'2018'!Resal+('2018'!Salim-'2018'!Resal)*(1-EXP(('2018'!Tnet-t)/('2018'!Tau_j))),Resal+(Salim-Resal)*(1-EXP((Tnet-t)/(Tau_j))))*Salcycl</f>
        <v>4.7920642187127105E-2</v>
      </c>
      <c r="P224" s="169">
        <f>(INDEX(Models!$BJ224:$BT224,,T224)*(1-R224)+INDEX(Models!$BJ224:$BT224,,T224+1)*R224-ERP_i)*Q224*Ramure*Pc/MaxiM</f>
        <v>1.4220949153429369E-3</v>
      </c>
      <c r="Q224" s="305">
        <f t="shared" si="78"/>
        <v>0.7</v>
      </c>
      <c r="R224" s="177">
        <f t="shared" si="79"/>
        <v>0.9412158147009908</v>
      </c>
      <c r="S224" s="919">
        <f t="shared" si="80"/>
        <v>-2</v>
      </c>
      <c r="T224" s="176">
        <f t="shared" si="81"/>
        <v>4</v>
      </c>
      <c r="U224" s="251">
        <f t="shared" si="82"/>
        <v>-1.0587841852990092</v>
      </c>
      <c r="V224" s="383">
        <f t="shared" si="83"/>
        <v>51.542200524779425</v>
      </c>
      <c r="W224" s="58"/>
      <c r="X224" s="157">
        <f t="shared" si="84"/>
        <v>43675</v>
      </c>
      <c r="Y224" s="385">
        <f t="shared" si="85"/>
        <v>52.476999999999997</v>
      </c>
      <c r="Z224" s="385">
        <f t="shared" si="86"/>
        <v>52.975894571675468</v>
      </c>
      <c r="AA224" s="386">
        <f t="shared" si="87"/>
        <v>55.642309789566568</v>
      </c>
      <c r="AB224" s="197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4.7920642187127105E-2</v>
      </c>
      <c r="AD224" s="231">
        <f>(INDEX(Models!$BJ224:$BT224,,AH224)*(1-AF224)+INDEX(Models!$BJ224:$BT224,,AH224+1)*AF224-ERP_i)*AE224*Ramure*Pc/MaxiM</f>
        <v>1.4220949153429369E-3</v>
      </c>
      <c r="AE224" s="305">
        <f t="shared" si="89"/>
        <v>0.7</v>
      </c>
      <c r="AF224" s="177">
        <f t="shared" si="90"/>
        <v>0.9412158147009908</v>
      </c>
      <c r="AG224" s="176">
        <f t="shared" si="91"/>
        <v>-2</v>
      </c>
      <c r="AH224" s="176">
        <f t="shared" si="92"/>
        <v>4</v>
      </c>
      <c r="AI224" s="225">
        <f t="shared" si="93"/>
        <v>-1.0587841852990092</v>
      </c>
      <c r="AJ224" s="265" t="b">
        <f t="shared" si="94"/>
        <v>1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8">
        <v>24.233000000000001</v>
      </c>
      <c r="C225" s="390"/>
      <c r="D225" s="393">
        <f t="shared" si="75"/>
        <v>24.463916982987897</v>
      </c>
      <c r="E225" s="385">
        <f t="shared" si="73"/>
        <v>25.697684432458107</v>
      </c>
      <c r="F225" s="385">
        <f t="shared" si="76"/>
        <v>25.706284666311774</v>
      </c>
      <c r="G225" s="110">
        <f t="shared" si="74"/>
        <v>0.47060071552456767</v>
      </c>
      <c r="H225" s="412" t="b">
        <f>Wh_hp&gt;='2018'!Maxi_hp</f>
        <v>0</v>
      </c>
      <c r="I225" s="390">
        <f>IF(H225,Wh_hp,'2018'!Maxi_hp)</f>
        <v>53.533900381500366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9.4390846383460847E-3</v>
      </c>
      <c r="M225" s="957"/>
      <c r="N225" s="957"/>
      <c r="O225" s="48">
        <f>IF(t&lt;Tnet,'2018'!Resal+('2018'!Salim-'2018'!Resal)*(1-EXP(('2018'!Tnet-t)/('2018'!Tau_j))),Resal+(Salim-Resal)*(1-EXP((Tnet-t)/(Tau_j))))*Salcycl</f>
        <v>4.8010841315798435E-2</v>
      </c>
      <c r="P225" s="169">
        <f>(INDEX(Models!$BJ225:$BT225,,T225)*(1-R225)+INDEX(Models!$BJ225:$BT225,,T225+1)*R225-ERP_i)*Q225*Ramure*Pc/MaxiM</f>
        <v>1.3688288676635988E-3</v>
      </c>
      <c r="Q225" s="305">
        <f t="shared" si="78"/>
        <v>0.7</v>
      </c>
      <c r="R225" s="177">
        <f t="shared" si="79"/>
        <v>0.94332109824787347</v>
      </c>
      <c r="S225" s="919">
        <f t="shared" si="80"/>
        <v>-2</v>
      </c>
      <c r="T225" s="176">
        <f t="shared" si="81"/>
        <v>4</v>
      </c>
      <c r="U225" s="251">
        <f t="shared" si="82"/>
        <v>-1.0566789017521265</v>
      </c>
      <c r="V225" s="383">
        <f t="shared" si="83"/>
        <v>51.440483022413503</v>
      </c>
      <c r="W225" s="58"/>
      <c r="X225" s="157">
        <f t="shared" si="84"/>
        <v>43676</v>
      </c>
      <c r="Y225" s="385">
        <f t="shared" si="85"/>
        <v>24.233000000000001</v>
      </c>
      <c r="Z225" s="385">
        <f t="shared" si="86"/>
        <v>24.463916982987897</v>
      </c>
      <c r="AA225" s="386">
        <f t="shared" si="87"/>
        <v>25.697684432458107</v>
      </c>
      <c r="AB225" s="197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4.8010841315798435E-2</v>
      </c>
      <c r="AD225" s="231">
        <f>(INDEX(Models!$BJ225:$BT225,,AH225)*(1-AF225)+INDEX(Models!$BJ225:$BT225,,AH225+1)*AF225-ERP_i)*AE225*Ramure*Pc/MaxiM</f>
        <v>1.3688288676635988E-3</v>
      </c>
      <c r="AE225" s="305">
        <f t="shared" si="89"/>
        <v>0.7</v>
      </c>
      <c r="AF225" s="177">
        <f t="shared" si="90"/>
        <v>0.94332109824787347</v>
      </c>
      <c r="AG225" s="176">
        <f t="shared" si="91"/>
        <v>-2</v>
      </c>
      <c r="AH225" s="176">
        <f t="shared" si="92"/>
        <v>4</v>
      </c>
      <c r="AI225" s="225">
        <f t="shared" si="93"/>
        <v>-1.0566789017521265</v>
      </c>
      <c r="AJ225" s="265" t="b">
        <f t="shared" si="94"/>
        <v>1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8">
        <v>51.3</v>
      </c>
      <c r="C226" s="390"/>
      <c r="D226" s="393">
        <f t="shared" si="75"/>
        <v>51.789973570215246</v>
      </c>
      <c r="E226" s="385">
        <f t="shared" si="73"/>
        <v>54.406993747089487</v>
      </c>
      <c r="F226" s="385">
        <f t="shared" si="76"/>
        <v>54.478591093372515</v>
      </c>
      <c r="G226" s="110">
        <f t="shared" si="74"/>
        <v>0.99924769595275131</v>
      </c>
      <c r="H226" s="412" t="b">
        <f>Wh_hp&gt;='2018'!Maxi_hp</f>
        <v>1</v>
      </c>
      <c r="I226" s="390">
        <f>IF(H226,Wh_hp,'2018'!Maxi_hp)</f>
        <v>54.478591093372515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9.4607804646000826E-3</v>
      </c>
      <c r="M226" s="957"/>
      <c r="N226" s="957"/>
      <c r="O226" s="48">
        <f>IF(t&lt;Tnet,'2018'!Resal+('2018'!Salim-'2018'!Resal)*(1-EXP(('2018'!Tnet-t)/('2018'!Tau_j))),Resal+(Salim-Resal)*(1-EXP((Tnet-t)/(Tau_j))))*Salcycl</f>
        <v>4.8100804632570562E-2</v>
      </c>
      <c r="P226" s="169">
        <f>(INDEX(Models!$BJ226:$BT226,,T226)*(1-R226)+INDEX(Models!$BJ226:$BT226,,T226+1)*R226-ERP_i)*Q226*Ramure*Pc/MaxiM</f>
        <v>1.3156403275727156E-3</v>
      </c>
      <c r="Q226" s="305">
        <f t="shared" si="78"/>
        <v>0.7</v>
      </c>
      <c r="R226" s="177">
        <f t="shared" si="79"/>
        <v>0.94536056931334644</v>
      </c>
      <c r="S226" s="919">
        <f t="shared" si="80"/>
        <v>-2</v>
      </c>
      <c r="T226" s="176">
        <f t="shared" si="81"/>
        <v>4</v>
      </c>
      <c r="U226" s="251">
        <f t="shared" si="82"/>
        <v>-1.0546394306866536</v>
      </c>
      <c r="V226" s="383">
        <f t="shared" si="83"/>
        <v>51.338549704216419</v>
      </c>
      <c r="W226" s="58"/>
      <c r="X226" s="157">
        <f t="shared" si="84"/>
        <v>43677</v>
      </c>
      <c r="Y226" s="385">
        <f t="shared" si="85"/>
        <v>51.3</v>
      </c>
      <c r="Z226" s="385">
        <f t="shared" si="86"/>
        <v>51.789973570215246</v>
      </c>
      <c r="AA226" s="386">
        <f t="shared" si="87"/>
        <v>54.406993747089487</v>
      </c>
      <c r="AB226" s="197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4.8100804632570562E-2</v>
      </c>
      <c r="AD226" s="231">
        <f>(INDEX(Models!$BJ226:$BT226,,AH226)*(1-AF226)+INDEX(Models!$BJ226:$BT226,,AH226+1)*AF226-ERP_i)*AE226*Ramure*Pc/MaxiM</f>
        <v>1.3156403275727156E-3</v>
      </c>
      <c r="AE226" s="305">
        <f t="shared" si="89"/>
        <v>0.7</v>
      </c>
      <c r="AF226" s="177">
        <f t="shared" si="90"/>
        <v>0.94536056931334644</v>
      </c>
      <c r="AG226" s="176">
        <f t="shared" si="91"/>
        <v>-2</v>
      </c>
      <c r="AH226" s="176">
        <f t="shared" si="92"/>
        <v>4</v>
      </c>
      <c r="AI226" s="225">
        <f t="shared" si="93"/>
        <v>-1.0546394306866536</v>
      </c>
      <c r="AJ226" s="265" t="b">
        <f t="shared" si="94"/>
        <v>1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8">
        <v>41.604999999999997</v>
      </c>
      <c r="C227" s="390"/>
      <c r="D227" s="393">
        <f t="shared" si="75"/>
        <v>42.00329523120795</v>
      </c>
      <c r="E227" s="385">
        <f t="shared" si="73"/>
        <v>44.129940940894201</v>
      </c>
      <c r="F227" s="385">
        <f t="shared" si="76"/>
        <v>44.170733783962433</v>
      </c>
      <c r="G227" s="110">
        <f t="shared" si="74"/>
        <v>0.81174643355977993</v>
      </c>
      <c r="H227" s="412" t="b">
        <f>Wh_hp&gt;='2018'!Maxi_hp</f>
        <v>0</v>
      </c>
      <c r="I227" s="390">
        <f>IF(H227,Wh_hp,'2018'!Maxi_hp)</f>
        <v>52.564784252265206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9.4824758156598632E-3</v>
      </c>
      <c r="M227" s="957"/>
      <c r="N227" s="957"/>
      <c r="O227" s="48">
        <f>IF(t&lt;Tnet,'2018'!Resal+('2018'!Salim-'2018'!Resal)*(1-EXP(('2018'!Tnet-t)/('2018'!Tau_j))),Resal+(Salim-Resal)*(1-EXP((Tnet-t)/(Tau_j))))*Salcycl</f>
        <v>4.819054057957136E-2</v>
      </c>
      <c r="P227" s="169">
        <f>(INDEX(Models!$BJ227:$BT227,,T227)*(1-R227)+INDEX(Models!$BJ227:$BT227,,T227+1)*R227-ERP_i)*Q227*Ramure*Pc/MaxiM</f>
        <v>1.2625796155754381E-3</v>
      </c>
      <c r="Q227" s="305">
        <f t="shared" si="78"/>
        <v>0.7</v>
      </c>
      <c r="R227" s="177">
        <f t="shared" si="79"/>
        <v>0.94733562404201566</v>
      </c>
      <c r="S227" s="919">
        <f t="shared" si="80"/>
        <v>-2</v>
      </c>
      <c r="T227" s="176">
        <f t="shared" si="81"/>
        <v>4</v>
      </c>
      <c r="U227" s="251">
        <f t="shared" si="82"/>
        <v>-1.0526643759579843</v>
      </c>
      <c r="V227" s="383">
        <f t="shared" si="83"/>
        <v>51.236296133816261</v>
      </c>
      <c r="W227" s="58"/>
      <c r="X227" s="157">
        <f t="shared" si="84"/>
        <v>43678</v>
      </c>
      <c r="Y227" s="385">
        <f t="shared" si="85"/>
        <v>41.604999999999997</v>
      </c>
      <c r="Z227" s="385">
        <f t="shared" si="86"/>
        <v>42.00329523120795</v>
      </c>
      <c r="AA227" s="386">
        <f t="shared" si="87"/>
        <v>44.129940940894201</v>
      </c>
      <c r="AB227" s="197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4.819054057957136E-2</v>
      </c>
      <c r="AD227" s="231">
        <f>(INDEX(Models!$BJ227:$BT227,,AH227)*(1-AF227)+INDEX(Models!$BJ227:$BT227,,AH227+1)*AF227-ERP_i)*AE227*Ramure*Pc/MaxiM</f>
        <v>1.2625796155754381E-3</v>
      </c>
      <c r="AE227" s="305">
        <f t="shared" si="89"/>
        <v>0.7</v>
      </c>
      <c r="AF227" s="177">
        <f t="shared" si="90"/>
        <v>0.94733562404201566</v>
      </c>
      <c r="AG227" s="176">
        <f t="shared" si="91"/>
        <v>-2</v>
      </c>
      <c r="AH227" s="176">
        <f t="shared" si="92"/>
        <v>4</v>
      </c>
      <c r="AI227" s="225">
        <f t="shared" si="93"/>
        <v>-1.0526643759579843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8">
        <v>47.104999999999997</v>
      </c>
      <c r="C228" s="390"/>
      <c r="D228" s="393">
        <f t="shared" si="75"/>
        <v>47.556989748141952</v>
      </c>
      <c r="E228" s="385">
        <f t="shared" si="73"/>
        <v>49.975059219366372</v>
      </c>
      <c r="F228" s="385">
        <f t="shared" si="76"/>
        <v>50.028774914741426</v>
      </c>
      <c r="G228" s="110">
        <f t="shared" si="74"/>
        <v>0.92119057139042881</v>
      </c>
      <c r="H228" s="412" t="b">
        <f>Wh_hp&gt;='2018'!Maxi_hp</f>
        <v>0</v>
      </c>
      <c r="I228" s="390">
        <f>IF(H228,Wh_hp,'2018'!Maxi_hp)</f>
        <v>52.775979801874328</v>
      </c>
      <c r="J228" s="85">
        <f>IF(H228,An,'2018'!An_max)</f>
        <v>2018</v>
      </c>
      <c r="K228" s="197">
        <f t="shared" si="77"/>
        <v>43679</v>
      </c>
      <c r="L228" s="147">
        <f>IF(t&lt;Tvie,1-EXP((T0-t)*PertePVj)+'2018'!Pspv,1-EXP((T0-t)*PertePVj)+Pspv)</f>
        <v>9.5041706915357516E-3</v>
      </c>
      <c r="M228" s="957"/>
      <c r="N228" s="957"/>
      <c r="O228" s="48">
        <f>IF(t&lt;Tnet,'2018'!Resal+('2018'!Salim-'2018'!Resal)*(1-EXP(('2018'!Tnet-t)/('2018'!Tau_j))),Resal+(Salim-Resal)*(1-EXP((Tnet-t)/(Tau_j))))*Salcycl</f>
        <v>4.8385524879725812E-2</v>
      </c>
      <c r="P228" s="169">
        <f>(INDEX(Models!$BJ228:$BT228,,T228)*(1-R228)+INDEX(Models!$BJ228:$BT228,,T228+1)*R228-ERP_i)*Q228*Ramure*Pc/MaxiM</f>
        <v>1.2096698317664695E-3</v>
      </c>
      <c r="Q228" s="305">
        <f t="shared" si="78"/>
        <v>0.7</v>
      </c>
      <c r="R228" s="177">
        <f t="shared" si="79"/>
        <v>0.94924767712665248</v>
      </c>
      <c r="S228" s="919">
        <f t="shared" si="80"/>
        <v>-2</v>
      </c>
      <c r="T228" s="176">
        <f t="shared" si="81"/>
        <v>4</v>
      </c>
      <c r="U228" s="251">
        <f t="shared" si="82"/>
        <v>-1.0507523228733475</v>
      </c>
      <c r="V228" s="383">
        <f t="shared" si="83"/>
        <v>51.127952815421601</v>
      </c>
      <c r="W228" s="58"/>
      <c r="X228" s="157">
        <f t="shared" si="84"/>
        <v>43679</v>
      </c>
      <c r="Y228" s="385">
        <f t="shared" si="85"/>
        <v>47.104999999999997</v>
      </c>
      <c r="Z228" s="385">
        <f t="shared" si="86"/>
        <v>47.556989748141952</v>
      </c>
      <c r="AA228" s="386">
        <f t="shared" si="87"/>
        <v>49.975059219366372</v>
      </c>
      <c r="AB228" s="197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4.8385524879725812E-2</v>
      </c>
      <c r="AD228" s="231">
        <f>(INDEX(Models!$BJ228:$BT228,,AH228)*(1-AF228)+INDEX(Models!$BJ228:$BT228,,AH228+1)*AF228-ERP_i)*AE228*Ramure*Pc/MaxiM</f>
        <v>1.2096698317664695E-3</v>
      </c>
      <c r="AE228" s="305">
        <f t="shared" si="89"/>
        <v>0.7</v>
      </c>
      <c r="AF228" s="177">
        <f t="shared" si="90"/>
        <v>0.94924767712665248</v>
      </c>
      <c r="AG228" s="176">
        <f t="shared" si="91"/>
        <v>-2</v>
      </c>
      <c r="AH228" s="176">
        <f t="shared" si="92"/>
        <v>4</v>
      </c>
      <c r="AI228" s="225">
        <f t="shared" si="93"/>
        <v>-1.0507523228733475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8">
        <v>50.587000000000003</v>
      </c>
      <c r="C229" s="390"/>
      <c r="D229" s="393">
        <f t="shared" si="75"/>
        <v>51.073519456124842</v>
      </c>
      <c r="E229" s="385">
        <f t="shared" si="73"/>
        <v>53.681320712134863</v>
      </c>
      <c r="F229" s="385">
        <f t="shared" si="76"/>
        <v>53.74274506897126</v>
      </c>
      <c r="G229" s="110">
        <f t="shared" si="74"/>
        <v>0.99151558967515674</v>
      </c>
      <c r="H229" s="412" t="b">
        <f>Wh_hp&gt;='2018'!Maxi_hp</f>
        <v>1</v>
      </c>
      <c r="I229" s="390">
        <f>IF(H229,Wh_hp,'2018'!Maxi_hp)</f>
        <v>53.74274506897126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9.5258650922380728E-3</v>
      </c>
      <c r="M229" s="957"/>
      <c r="N229" s="957"/>
      <c r="O229" s="48">
        <f>IF(t&lt;Tnet,'2018'!Resal+('2018'!Salim-'2018'!Resal)*(1-EXP(('2018'!Tnet-t)/('2018'!Tau_j))),Resal+(Salim-Resal)*(1-EXP((Tnet-t)/(Tau_j))))*Salcycl</f>
        <v>4.8579305080705973E-2</v>
      </c>
      <c r="P229" s="169">
        <f>(INDEX(Models!$BJ229:$BT229,,T229)*(1-R229)+INDEX(Models!$BJ229:$BT229,,T229+1)*R229-ERP_i)*Q229*Ramure*Pc/MaxiM</f>
        <v>1.1569327341811558E-3</v>
      </c>
      <c r="Q229" s="305">
        <f t="shared" si="78"/>
        <v>0.7</v>
      </c>
      <c r="R229" s="177">
        <f t="shared" si="79"/>
        <v>0.95109815744937531</v>
      </c>
      <c r="S229" s="919">
        <f t="shared" si="80"/>
        <v>-2</v>
      </c>
      <c r="T229" s="176">
        <f t="shared" si="81"/>
        <v>4</v>
      </c>
      <c r="U229" s="251">
        <f t="shared" si="82"/>
        <v>-1.0489018425506247</v>
      </c>
      <c r="V229" s="383">
        <f t="shared" si="83"/>
        <v>51.01915845987952</v>
      </c>
      <c r="W229" s="58"/>
      <c r="X229" s="157">
        <f t="shared" si="84"/>
        <v>43680</v>
      </c>
      <c r="Y229" s="385">
        <f t="shared" si="85"/>
        <v>50.587000000000003</v>
      </c>
      <c r="Z229" s="385">
        <f t="shared" si="86"/>
        <v>51.073519456124842</v>
      </c>
      <c r="AA229" s="386">
        <f t="shared" si="87"/>
        <v>53.681320712134863</v>
      </c>
      <c r="AB229" s="197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4.8579305080705973E-2</v>
      </c>
      <c r="AD229" s="231">
        <f>(INDEX(Models!$BJ229:$BT229,,AH229)*(1-AF229)+INDEX(Models!$BJ229:$BT229,,AH229+1)*AF229-ERP_i)*AE229*Ramure*Pc/MaxiM</f>
        <v>1.1569327341811558E-3</v>
      </c>
      <c r="AE229" s="305">
        <f t="shared" si="89"/>
        <v>0.7</v>
      </c>
      <c r="AF229" s="177">
        <f t="shared" si="90"/>
        <v>0.95109815744937531</v>
      </c>
      <c r="AG229" s="176">
        <f t="shared" si="91"/>
        <v>-2</v>
      </c>
      <c r="AH229" s="176">
        <f t="shared" si="92"/>
        <v>4</v>
      </c>
      <c r="AI229" s="225">
        <f t="shared" si="93"/>
        <v>-1.0489018425506247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8">
        <v>49.009</v>
      </c>
      <c r="C230" s="390"/>
      <c r="D230" s="393">
        <f t="shared" si="75"/>
        <v>49.481426843068029</v>
      </c>
      <c r="E230" s="385">
        <f t="shared" si="73"/>
        <v>52.018465807806976</v>
      </c>
      <c r="F230" s="385">
        <f t="shared" si="76"/>
        <v>52.072907124529117</v>
      </c>
      <c r="G230" s="110">
        <f t="shared" si="74"/>
        <v>0.9626064200134351</v>
      </c>
      <c r="H230" s="412" t="b">
        <f>Wh_hp&gt;='2018'!Maxi_hp</f>
        <v>1</v>
      </c>
      <c r="I230" s="390">
        <f>IF(H230,Wh_hp,'2018'!Maxi_hp)</f>
        <v>52.072907124529117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9.5475590177774849E-3</v>
      </c>
      <c r="M230" s="957"/>
      <c r="N230" s="957"/>
      <c r="O230" s="48">
        <f>IF(t&lt;Tnet,'2018'!Resal+('2018'!Salim-'2018'!Resal)*(1-EXP(('2018'!Tnet-t)/('2018'!Tau_j))),Resal+(Salim-Resal)*(1-EXP((Tnet-t)/(Tau_j))))*Salcycl</f>
        <v>4.8771891391656247E-2</v>
      </c>
      <c r="P230" s="169">
        <f>(INDEX(Models!$BJ230:$BT230,,T230)*(1-R230)+INDEX(Models!$BJ230:$BT230,,T230+1)*R230-ERP_i)*Q230*Ramure*Pc/MaxiM</f>
        <v>1.1043887960062314E-3</v>
      </c>
      <c r="Q230" s="305">
        <f t="shared" si="78"/>
        <v>0.7</v>
      </c>
      <c r="R230" s="177">
        <f t="shared" si="79"/>
        <v>0.95288850398405223</v>
      </c>
      <c r="S230" s="919">
        <f t="shared" si="80"/>
        <v>-2</v>
      </c>
      <c r="T230" s="176">
        <f t="shared" si="81"/>
        <v>4</v>
      </c>
      <c r="U230" s="251">
        <f t="shared" si="82"/>
        <v>-1.0471114960159478</v>
      </c>
      <c r="V230" s="383">
        <f t="shared" si="83"/>
        <v>50.909810099379207</v>
      </c>
      <c r="W230" s="58"/>
      <c r="X230" s="157">
        <f t="shared" si="84"/>
        <v>43681</v>
      </c>
      <c r="Y230" s="385">
        <f t="shared" si="85"/>
        <v>49.009</v>
      </c>
      <c r="Z230" s="385">
        <f t="shared" si="86"/>
        <v>49.481426843068029</v>
      </c>
      <c r="AA230" s="386">
        <f t="shared" si="87"/>
        <v>52.018465807806976</v>
      </c>
      <c r="AB230" s="197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4.8771891391656247E-2</v>
      </c>
      <c r="AD230" s="231">
        <f>(INDEX(Models!$BJ230:$BT230,,AH230)*(1-AF230)+INDEX(Models!$BJ230:$BT230,,AH230+1)*AF230-ERP_i)*AE230*Ramure*Pc/MaxiM</f>
        <v>1.1043887960062314E-3</v>
      </c>
      <c r="AE230" s="305">
        <f t="shared" si="89"/>
        <v>0.7</v>
      </c>
      <c r="AF230" s="177">
        <f t="shared" si="90"/>
        <v>0.95288850398405223</v>
      </c>
      <c r="AG230" s="176">
        <f t="shared" si="91"/>
        <v>-2</v>
      </c>
      <c r="AH230" s="176">
        <f t="shared" si="92"/>
        <v>4</v>
      </c>
      <c r="AI230" s="225">
        <f t="shared" si="93"/>
        <v>-1.0471114960159478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8">
        <v>48.353000000000002</v>
      </c>
      <c r="C231" s="390"/>
      <c r="D231" s="393">
        <f t="shared" si="75"/>
        <v>48.820172556734732</v>
      </c>
      <c r="E231" s="385">
        <f t="shared" si="73"/>
        <v>51.33363643887521</v>
      </c>
      <c r="F231" s="385">
        <f t="shared" si="76"/>
        <v>51.383975637118787</v>
      </c>
      <c r="G231" s="110">
        <f t="shared" si="74"/>
        <v>0.9517653922190471</v>
      </c>
      <c r="H231" s="412" t="b">
        <f>Wh_hp&gt;='2018'!Maxi_hp</f>
        <v>0</v>
      </c>
      <c r="I231" s="390">
        <f>IF(H231,Wh_hp,'2018'!Maxi_hp)</f>
        <v>51.736003836165686</v>
      </c>
      <c r="J231" s="85">
        <f>IF(H231,An,'2018'!An_max)</f>
        <v>2018</v>
      </c>
      <c r="K231" s="197">
        <f t="shared" si="77"/>
        <v>43682</v>
      </c>
      <c r="L231" s="147">
        <f>IF(t&lt;Tvie,1-EXP((T0-t)*PertePVj)+'2018'!Pspv,1-EXP((T0-t)*PertePVj)+Pspv)</f>
        <v>9.5692524681640911E-3</v>
      </c>
      <c r="M231" s="957"/>
      <c r="N231" s="957"/>
      <c r="O231" s="48">
        <f>IF(t&lt;Tnet,'2018'!Resal+('2018'!Salim-'2018'!Resal)*(1-EXP(('2018'!Tnet-t)/('2018'!Tau_j))),Resal+(Salim-Resal)*(1-EXP((Tnet-t)/(Tau_j))))*Salcycl</f>
        <v>4.8963293008344511E-2</v>
      </c>
      <c r="P231" s="169">
        <f>(INDEX(Models!$BJ231:$BT231,,T231)*(1-R231)+INDEX(Models!$BJ231:$BT231,,T231+1)*R231-ERP_i)*Q231*Ramure*Pc/MaxiM</f>
        <v>1.0520572643924497E-3</v>
      </c>
      <c r="Q231" s="305">
        <f t="shared" si="78"/>
        <v>0.7</v>
      </c>
      <c r="R231" s="177">
        <f t="shared" si="79"/>
        <v>0.95462016195769461</v>
      </c>
      <c r="S231" s="919">
        <f t="shared" si="80"/>
        <v>-2</v>
      </c>
      <c r="T231" s="176">
        <f t="shared" si="81"/>
        <v>4</v>
      </c>
      <c r="U231" s="251">
        <f t="shared" si="82"/>
        <v>-1.0453798380423054</v>
      </c>
      <c r="V231" s="383">
        <f t="shared" si="83"/>
        <v>50.799804960936022</v>
      </c>
      <c r="W231" s="58"/>
      <c r="X231" s="157">
        <f t="shared" si="84"/>
        <v>43682</v>
      </c>
      <c r="Y231" s="385">
        <f t="shared" si="85"/>
        <v>48.353000000000002</v>
      </c>
      <c r="Z231" s="385">
        <f t="shared" si="86"/>
        <v>48.820172556734732</v>
      </c>
      <c r="AA231" s="386">
        <f t="shared" si="87"/>
        <v>51.33363643887521</v>
      </c>
      <c r="AB231" s="197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4.8963293008344511E-2</v>
      </c>
      <c r="AD231" s="231">
        <f>(INDEX(Models!$BJ231:$BT231,,AH231)*(1-AF231)+INDEX(Models!$BJ231:$BT231,,AH231+1)*AF231-ERP_i)*AE231*Ramure*Pc/MaxiM</f>
        <v>1.0520572643924497E-3</v>
      </c>
      <c r="AE231" s="305">
        <f t="shared" si="89"/>
        <v>0.7</v>
      </c>
      <c r="AF231" s="177">
        <f t="shared" si="90"/>
        <v>0.95462016195769461</v>
      </c>
      <c r="AG231" s="176">
        <f t="shared" si="91"/>
        <v>-2</v>
      </c>
      <c r="AH231" s="176">
        <f t="shared" si="92"/>
        <v>4</v>
      </c>
      <c r="AI231" s="225">
        <f t="shared" si="93"/>
        <v>-1.0453798380423054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8">
        <v>37.316000000000003</v>
      </c>
      <c r="C232" s="390"/>
      <c r="D232" s="393">
        <f t="shared" si="75"/>
        <v>37.677361518778184</v>
      </c>
      <c r="E232" s="385">
        <f t="shared" si="73"/>
        <v>39.625073276662548</v>
      </c>
      <c r="F232" s="385">
        <f t="shared" si="76"/>
        <v>39.649778250198082</v>
      </c>
      <c r="G232" s="110">
        <f t="shared" si="74"/>
        <v>0.73589729396657544</v>
      </c>
      <c r="H232" s="412" t="b">
        <f>Wh_hp&gt;='2018'!Maxi_hp</f>
        <v>0</v>
      </c>
      <c r="I232" s="390">
        <f>IF(H232,Wh_hp,'2018'!Maxi_hp)</f>
        <v>52.214461911625534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9.5909454434085495E-3</v>
      </c>
      <c r="M232" s="957"/>
      <c r="N232" s="957"/>
      <c r="O232" s="48">
        <f>IF(t&lt;Tnet,'2018'!Resal+('2018'!Salim-'2018'!Resal)*(1-EXP(('2018'!Tnet-t)/('2018'!Tau_j))),Resal+(Salim-Resal)*(1-EXP((Tnet-t)/(Tau_j))))*Salcycl</f>
        <v>4.9153518134475806E-2</v>
      </c>
      <c r="P232" s="169">
        <f>(INDEX(Models!$BJ232:$BT232,,T232)*(1-R232)+INDEX(Models!$BJ232:$BT232,,T232+1)*R232-ERP_i)*Q232*Ramure*Pc/MaxiM</f>
        <v>9.9995621999921761E-4</v>
      </c>
      <c r="Q232" s="305">
        <f t="shared" si="78"/>
        <v>0.7</v>
      </c>
      <c r="R232" s="177">
        <f t="shared" si="79"/>
        <v>0.95629457926722616</v>
      </c>
      <c r="S232" s="919">
        <f t="shared" si="80"/>
        <v>-2</v>
      </c>
      <c r="T232" s="176">
        <f t="shared" si="81"/>
        <v>4</v>
      </c>
      <c r="U232" s="251">
        <f t="shared" si="82"/>
        <v>-1.0437054207327738</v>
      </c>
      <c r="V232" s="383">
        <f t="shared" si="83"/>
        <v>50.689040461152828</v>
      </c>
      <c r="W232" s="58"/>
      <c r="X232" s="157">
        <f t="shared" si="84"/>
        <v>43683</v>
      </c>
      <c r="Y232" s="385">
        <f t="shared" si="85"/>
        <v>37.316000000000003</v>
      </c>
      <c r="Z232" s="385">
        <f t="shared" si="86"/>
        <v>37.677361518778184</v>
      </c>
      <c r="AA232" s="386">
        <f t="shared" si="87"/>
        <v>39.625073276662548</v>
      </c>
      <c r="AB232" s="197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4.9153518134475806E-2</v>
      </c>
      <c r="AD232" s="231">
        <f>(INDEX(Models!$BJ232:$BT232,,AH232)*(1-AF232)+INDEX(Models!$BJ232:$BT232,,AH232+1)*AF232-ERP_i)*AE232*Ramure*Pc/MaxiM</f>
        <v>9.9995621999921761E-4</v>
      </c>
      <c r="AE232" s="305">
        <f t="shared" si="89"/>
        <v>0.7</v>
      </c>
      <c r="AF232" s="177">
        <f t="shared" si="90"/>
        <v>0.95629457926722616</v>
      </c>
      <c r="AG232" s="176">
        <f t="shared" si="91"/>
        <v>-2</v>
      </c>
      <c r="AH232" s="176">
        <f t="shared" si="92"/>
        <v>4</v>
      </c>
      <c r="AI232" s="225">
        <f t="shared" si="93"/>
        <v>-1.0437054207327738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8">
        <v>37.881999999999998</v>
      </c>
      <c r="C233" s="390"/>
      <c r="D233" s="393">
        <f t="shared" si="75"/>
        <v>38.24968032845284</v>
      </c>
      <c r="E233" s="385">
        <f t="shared" ref="E233:E296" si="97">Wh_pvt/(1-Psa)</f>
        <v>40.234977693011487</v>
      </c>
      <c r="F233" s="385">
        <f t="shared" si="76"/>
        <v>40.259460472109204</v>
      </c>
      <c r="G233" s="110">
        <f t="shared" ref="G233:G296" si="98">+Wh_hp/MaxiM</f>
        <v>0.74873458494260592</v>
      </c>
      <c r="H233" s="412" t="b">
        <f>Wh_hp&gt;='2018'!Maxi_hp</f>
        <v>1</v>
      </c>
      <c r="I233" s="390">
        <f>IF(H233,Wh_hp,'2018'!Maxi_hp)</f>
        <v>40.259460472109204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9.6126379435211851E-3</v>
      </c>
      <c r="M233" s="957"/>
      <c r="N233" s="957"/>
      <c r="O233" s="48">
        <f>IF(t&lt;Tnet,'2018'!Resal+('2018'!Salim-'2018'!Resal)*(1-EXP(('2018'!Tnet-t)/('2018'!Tau_j))),Resal+(Salim-Resal)*(1-EXP((Tnet-t)/(Tau_j))))*Salcycl</f>
        <v>4.9342574008770373E-2</v>
      </c>
      <c r="P233" s="169">
        <f>(INDEX(Models!$BJ233:$BT233,,T233)*(1-R233)+INDEX(Models!$BJ233:$BT233,,T233+1)*R233-ERP_i)*Q233*Ramure*Pc/MaxiM</f>
        <v>9.481012872230391E-4</v>
      </c>
      <c r="Q233" s="305">
        <f t="shared" si="78"/>
        <v>0.7</v>
      </c>
      <c r="R233" s="177">
        <f t="shared" si="79"/>
        <v>0.95791320314678963</v>
      </c>
      <c r="S233" s="919">
        <f t="shared" si="80"/>
        <v>-2</v>
      </c>
      <c r="T233" s="176">
        <f t="shared" si="81"/>
        <v>4</v>
      </c>
      <c r="U233" s="251">
        <f t="shared" si="82"/>
        <v>-1.0420867968532104</v>
      </c>
      <c r="V233" s="383">
        <f t="shared" si="83"/>
        <v>50.577486252225988</v>
      </c>
      <c r="W233" s="58"/>
      <c r="X233" s="157">
        <f t="shared" si="84"/>
        <v>43684</v>
      </c>
      <c r="Y233" s="385">
        <f t="shared" si="85"/>
        <v>37.881999999999998</v>
      </c>
      <c r="Z233" s="385">
        <f t="shared" si="86"/>
        <v>38.24968032845284</v>
      </c>
      <c r="AA233" s="386">
        <f t="shared" si="87"/>
        <v>40.234977693011487</v>
      </c>
      <c r="AB233" s="197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4.9342574008770373E-2</v>
      </c>
      <c r="AD233" s="231">
        <f>(INDEX(Models!$BJ233:$BT233,,AH233)*(1-AF233)+INDEX(Models!$BJ233:$BT233,,AH233+1)*AF233-ERP_i)*AE233*Ramure*Pc/MaxiM</f>
        <v>9.481012872230391E-4</v>
      </c>
      <c r="AE233" s="305">
        <f t="shared" si="89"/>
        <v>0.7</v>
      </c>
      <c r="AF233" s="177">
        <f t="shared" si="90"/>
        <v>0.95791320314678963</v>
      </c>
      <c r="AG233" s="176">
        <f t="shared" si="91"/>
        <v>-2</v>
      </c>
      <c r="AH233" s="176">
        <f t="shared" si="92"/>
        <v>4</v>
      </c>
      <c r="AI233" s="225">
        <f t="shared" si="93"/>
        <v>-1.0420867968532104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8">
        <v>48.722000000000001</v>
      </c>
      <c r="C234" s="390"/>
      <c r="D234" s="393">
        <f t="shared" si="75"/>
        <v>49.195970210125459</v>
      </c>
      <c r="E234" s="385">
        <f t="shared" si="97"/>
        <v>51.759649834949919</v>
      </c>
      <c r="F234" s="385">
        <f t="shared" si="76"/>
        <v>51.803831793657018</v>
      </c>
      <c r="G234" s="110">
        <f t="shared" si="98"/>
        <v>0.96541454219770528</v>
      </c>
      <c r="H234" s="412" t="b">
        <f>Wh_hp&gt;='2018'!Maxi_hp</f>
        <v>1</v>
      </c>
      <c r="I234" s="390">
        <f>IF(H234,Wh_hp,'2018'!Maxi_hp)</f>
        <v>51.803831793657018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9.634329968512434E-3</v>
      </c>
      <c r="M234" s="957"/>
      <c r="N234" s="957"/>
      <c r="O234" s="48">
        <f>IF(t&lt;Tnet,'2018'!Resal+('2018'!Salim-'2018'!Resal)*(1-EXP(('2018'!Tnet-t)/('2018'!Tau_j))),Resal+(Salim-Resal)*(1-EXP((Tnet-t)/(Tau_j))))*Salcycl</f>
        <v>4.9530466937072921E-2</v>
      </c>
      <c r="P234" s="169">
        <f>(INDEX(Models!$BJ234:$BT234,,T234)*(1-R234)+INDEX(Models!$BJ234:$BT234,,T234+1)*R234-ERP_i)*Q234*Ramure*Pc/MaxiM</f>
        <v>8.9714143230182634E-4</v>
      </c>
      <c r="Q234" s="305">
        <f t="shared" si="78"/>
        <v>0.7</v>
      </c>
      <c r="R234" s="177">
        <f t="shared" si="79"/>
        <v>0.95947747707971121</v>
      </c>
      <c r="S234" s="919">
        <f t="shared" si="80"/>
        <v>-2</v>
      </c>
      <c r="T234" s="176">
        <f t="shared" si="81"/>
        <v>4</v>
      </c>
      <c r="U234" s="251">
        <f t="shared" si="82"/>
        <v>-1.0405225229202888</v>
      </c>
      <c r="V234" s="383">
        <f t="shared" si="83"/>
        <v>50.465203350260865</v>
      </c>
      <c r="W234" s="58"/>
      <c r="X234" s="157">
        <f t="shared" si="84"/>
        <v>43685</v>
      </c>
      <c r="Y234" s="385">
        <f t="shared" si="85"/>
        <v>48.722000000000001</v>
      </c>
      <c r="Z234" s="385">
        <f t="shared" si="86"/>
        <v>49.195970210125459</v>
      </c>
      <c r="AA234" s="386">
        <f t="shared" si="87"/>
        <v>51.759649834949919</v>
      </c>
      <c r="AB234" s="197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4.9530466937072921E-2</v>
      </c>
      <c r="AD234" s="231">
        <f>(INDEX(Models!$BJ234:$BT234,,AH234)*(1-AF234)+INDEX(Models!$BJ234:$BT234,,AH234+1)*AF234-ERP_i)*AE234*Ramure*Pc/MaxiM</f>
        <v>8.9714143230182634E-4</v>
      </c>
      <c r="AE234" s="305">
        <f t="shared" si="89"/>
        <v>0.7</v>
      </c>
      <c r="AF234" s="177">
        <f t="shared" si="90"/>
        <v>0.95947747707971121</v>
      </c>
      <c r="AG234" s="176">
        <f t="shared" si="91"/>
        <v>-2</v>
      </c>
      <c r="AH234" s="176">
        <f t="shared" si="92"/>
        <v>4</v>
      </c>
      <c r="AI234" s="225">
        <f t="shared" si="93"/>
        <v>-1.0405225229202888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8">
        <v>47.567999999999998</v>
      </c>
      <c r="C235" s="390"/>
      <c r="D235" s="393">
        <f t="shared" si="75"/>
        <v>48.031796056286545</v>
      </c>
      <c r="E235" s="385">
        <f t="shared" si="97"/>
        <v>50.544739075558454</v>
      </c>
      <c r="F235" s="385">
        <f t="shared" si="76"/>
        <v>50.584200043559008</v>
      </c>
      <c r="G235" s="110">
        <f t="shared" si="98"/>
        <v>0.94464076117230422</v>
      </c>
      <c r="H235" s="412" t="b">
        <f>Wh_hp&gt;='2018'!Maxi_hp</f>
        <v>1</v>
      </c>
      <c r="I235" s="390">
        <f>IF(H235,Wh_hp,'2018'!Maxi_hp)</f>
        <v>50.584200043559008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9.6560215183926212E-3</v>
      </c>
      <c r="M235" s="957"/>
      <c r="N235" s="957"/>
      <c r="O235" s="48">
        <f>IF(t&lt;Tnet,'2018'!Resal+('2018'!Salim-'2018'!Resal)*(1-EXP(('2018'!Tnet-t)/('2018'!Tau_j))),Resal+(Salim-Resal)*(1-EXP((Tnet-t)/(Tau_j))))*Salcycl</f>
        <v>4.9717202328720213E-2</v>
      </c>
      <c r="P235" s="169">
        <f>(INDEX(Models!$BJ235:$BT235,,T235)*(1-R235)+INDEX(Models!$BJ235:$BT235,,T235+1)*R235-ERP_i)*Q235*Ramure*Pc/MaxiM</f>
        <v>8.4701384666765827E-4</v>
      </c>
      <c r="Q235" s="305">
        <f t="shared" si="78"/>
        <v>0.7</v>
      </c>
      <c r="R235" s="177">
        <f t="shared" si="79"/>
        <v>0.96098883794833956</v>
      </c>
      <c r="S235" s="919">
        <f t="shared" si="80"/>
        <v>-2</v>
      </c>
      <c r="T235" s="176">
        <f t="shared" si="81"/>
        <v>4</v>
      </c>
      <c r="U235" s="251">
        <f t="shared" si="82"/>
        <v>-1.0390111620516604</v>
      </c>
      <c r="V235" s="383">
        <f t="shared" si="83"/>
        <v>50.352278593109972</v>
      </c>
      <c r="W235" s="58"/>
      <c r="X235" s="157">
        <f t="shared" si="84"/>
        <v>43686</v>
      </c>
      <c r="Y235" s="385">
        <f t="shared" si="85"/>
        <v>47.567999999999998</v>
      </c>
      <c r="Z235" s="385">
        <f t="shared" si="86"/>
        <v>48.031796056286545</v>
      </c>
      <c r="AA235" s="386">
        <f t="shared" si="87"/>
        <v>50.544739075558454</v>
      </c>
      <c r="AB235" s="197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4.9717202328720213E-2</v>
      </c>
      <c r="AD235" s="231">
        <f>(INDEX(Models!$BJ235:$BT235,,AH235)*(1-AF235)+INDEX(Models!$BJ235:$BT235,,AH235+1)*AF235-ERP_i)*AE235*Ramure*Pc/MaxiM</f>
        <v>8.4701384666765827E-4</v>
      </c>
      <c r="AE235" s="305">
        <f t="shared" si="89"/>
        <v>0.7</v>
      </c>
      <c r="AF235" s="177">
        <f t="shared" si="90"/>
        <v>0.96098883794833956</v>
      </c>
      <c r="AG235" s="176">
        <f t="shared" si="91"/>
        <v>-2</v>
      </c>
      <c r="AH235" s="176">
        <f t="shared" si="92"/>
        <v>4</v>
      </c>
      <c r="AI235" s="225">
        <f t="shared" si="93"/>
        <v>-1.0390111620516604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8">
        <v>34.655000000000001</v>
      </c>
      <c r="C236" s="390"/>
      <c r="D236" s="393">
        <f t="shared" si="75"/>
        <v>34.993658570226245</v>
      </c>
      <c r="E236" s="385">
        <f t="shared" si="97"/>
        <v>36.831661021673575</v>
      </c>
      <c r="F236" s="385">
        <f t="shared" si="76"/>
        <v>36.848030078300141</v>
      </c>
      <c r="G236" s="110">
        <f t="shared" si="98"/>
        <v>0.6895616034387323</v>
      </c>
      <c r="H236" s="412" t="b">
        <f>Wh_hp&gt;='2018'!Maxi_hp</f>
        <v>0</v>
      </c>
      <c r="I236" s="390">
        <f>IF(H236,Wh_hp,'2018'!Maxi_hp)</f>
        <v>49.139217090165502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9.677712593172183E-3</v>
      </c>
      <c r="M236" s="957"/>
      <c r="N236" s="957"/>
      <c r="O236" s="48">
        <f>IF(t&lt;Tnet,'2018'!Resal+('2018'!Salim-'2018'!Resal)*(1-EXP(('2018'!Tnet-t)/('2018'!Tau_j))),Resal+(Salim-Resal)*(1-EXP((Tnet-t)/(Tau_j))))*Salcycl</f>
        <v>4.9902784736364628E-2</v>
      </c>
      <c r="P236" s="169">
        <f>(INDEX(Models!$BJ236:$BT236,,T236)*(1-R236)+INDEX(Models!$BJ236:$BT236,,T236+1)*R236-ERP_i)*Q236*Ramure*Pc/MaxiM</f>
        <v>7.9773635598192737E-4</v>
      </c>
      <c r="Q236" s="305">
        <f t="shared" si="78"/>
        <v>0.7</v>
      </c>
      <c r="R236" s="177">
        <f t="shared" si="79"/>
        <v>0.96244871341423677</v>
      </c>
      <c r="S236" s="919">
        <f t="shared" si="80"/>
        <v>-2</v>
      </c>
      <c r="T236" s="176">
        <f t="shared" si="81"/>
        <v>4</v>
      </c>
      <c r="U236" s="251">
        <f t="shared" si="82"/>
        <v>-1.0375512865857632</v>
      </c>
      <c r="V236" s="383">
        <f t="shared" si="83"/>
        <v>50.238794725205274</v>
      </c>
      <c r="W236" s="58"/>
      <c r="X236" s="157">
        <f t="shared" si="84"/>
        <v>43687</v>
      </c>
      <c r="Y236" s="385">
        <f t="shared" si="85"/>
        <v>34.655000000000001</v>
      </c>
      <c r="Z236" s="385">
        <f t="shared" si="86"/>
        <v>34.993658570226245</v>
      </c>
      <c r="AA236" s="386">
        <f t="shared" si="87"/>
        <v>36.831661021673575</v>
      </c>
      <c r="AB236" s="197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4.9902784736364628E-2</v>
      </c>
      <c r="AD236" s="231">
        <f>(INDEX(Models!$BJ236:$BT236,,AH236)*(1-AF236)+INDEX(Models!$BJ236:$BT236,,AH236+1)*AF236-ERP_i)*AE236*Ramure*Pc/MaxiM</f>
        <v>7.9773635598192737E-4</v>
      </c>
      <c r="AE236" s="305">
        <f t="shared" si="89"/>
        <v>0.7</v>
      </c>
      <c r="AF236" s="177">
        <f t="shared" si="90"/>
        <v>0.96244871341423677</v>
      </c>
      <c r="AG236" s="176">
        <f t="shared" si="91"/>
        <v>-2</v>
      </c>
      <c r="AH236" s="176">
        <f t="shared" si="92"/>
        <v>4</v>
      </c>
      <c r="AI236" s="225">
        <f t="shared" si="93"/>
        <v>-1.0375512865857632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8">
        <v>22.268999999999998</v>
      </c>
      <c r="C237" s="390"/>
      <c r="D237" s="393">
        <f t="shared" si="75"/>
        <v>22.487111561679587</v>
      </c>
      <c r="E237" s="385">
        <f t="shared" si="97"/>
        <v>23.672817110566243</v>
      </c>
      <c r="F237" s="385">
        <f t="shared" si="76"/>
        <v>23.676473635056166</v>
      </c>
      <c r="G237" s="110">
        <f t="shared" si="98"/>
        <v>0.44400646071754341</v>
      </c>
      <c r="H237" s="412" t="b">
        <f>Wh_hp&gt;='2018'!Maxi_hp</f>
        <v>0</v>
      </c>
      <c r="I237" s="390">
        <f>IF(H237,Wh_hp,'2018'!Maxi_hp)</f>
        <v>52.879735063277003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9.6994031928615554E-3</v>
      </c>
      <c r="M237" s="957"/>
      <c r="N237" s="957"/>
      <c r="O237" s="48">
        <f>IF(t&lt;Tnet,'2018'!Resal+('2018'!Salim-'2018'!Resal)*(1-EXP(('2018'!Tnet-t)/('2018'!Tau_j))),Resal+(Salim-Resal)*(1-EXP((Tnet-t)/(Tau_j))))*Salcycl</f>
        <v>5.0087217898431804E-2</v>
      </c>
      <c r="P237" s="169">
        <f>(INDEX(Models!$BJ237:$BT237,,T237)*(1-R237)+INDEX(Models!$BJ237:$BT237,,T237+1)*R237-ERP_i)*Q237*Ramure*Pc/MaxiM</f>
        <v>7.4932649131492334E-4</v>
      </c>
      <c r="Q237" s="305">
        <f t="shared" si="78"/>
        <v>0.7</v>
      </c>
      <c r="R237" s="177">
        <f t="shared" si="79"/>
        <v>0.9638585195205791</v>
      </c>
      <c r="S237" s="919">
        <f t="shared" si="80"/>
        <v>-2</v>
      </c>
      <c r="T237" s="176">
        <f t="shared" si="81"/>
        <v>4</v>
      </c>
      <c r="U237" s="251">
        <f t="shared" si="82"/>
        <v>-1.0361414804794209</v>
      </c>
      <c r="V237" s="383">
        <f t="shared" si="83"/>
        <v>50.124834500362603</v>
      </c>
      <c r="W237" s="58"/>
      <c r="X237" s="157">
        <f t="shared" si="84"/>
        <v>43688</v>
      </c>
      <c r="Y237" s="385">
        <f t="shared" si="85"/>
        <v>22.268999999999998</v>
      </c>
      <c r="Z237" s="385">
        <f t="shared" si="86"/>
        <v>22.487111561679587</v>
      </c>
      <c r="AA237" s="386">
        <f t="shared" si="87"/>
        <v>23.672817110566243</v>
      </c>
      <c r="AB237" s="197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5.0087217898431804E-2</v>
      </c>
      <c r="AD237" s="231">
        <f>(INDEX(Models!$BJ237:$BT237,,AH237)*(1-AF237)+INDEX(Models!$BJ237:$BT237,,AH237+1)*AF237-ERP_i)*AE237*Ramure*Pc/MaxiM</f>
        <v>7.4932649131492334E-4</v>
      </c>
      <c r="AE237" s="305">
        <f t="shared" si="89"/>
        <v>0.7</v>
      </c>
      <c r="AF237" s="177">
        <f t="shared" si="90"/>
        <v>0.9638585195205791</v>
      </c>
      <c r="AG237" s="176">
        <f t="shared" si="91"/>
        <v>-2</v>
      </c>
      <c r="AH237" s="176">
        <f t="shared" si="92"/>
        <v>4</v>
      </c>
      <c r="AI237" s="225">
        <f t="shared" si="93"/>
        <v>-1.0361414804794209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8">
        <v>24.413</v>
      </c>
      <c r="C238" s="390"/>
      <c r="D238" s="393">
        <f t="shared" si="75"/>
        <v>24.652650718154199</v>
      </c>
      <c r="E238" s="385">
        <f t="shared" si="97"/>
        <v>25.957549852162206</v>
      </c>
      <c r="F238" s="385">
        <f t="shared" si="76"/>
        <v>25.962447458119723</v>
      </c>
      <c r="G238" s="110">
        <f t="shared" si="98"/>
        <v>0.48790712546934223</v>
      </c>
      <c r="H238" s="412" t="b">
        <f>Wh_hp&gt;='2018'!Maxi_hp</f>
        <v>0</v>
      </c>
      <c r="I238" s="390">
        <f>IF(H238,Wh_hp,'2018'!Maxi_hp)</f>
        <v>51.227825043986797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9.7210933174710634E-3</v>
      </c>
      <c r="M238" s="957"/>
      <c r="N238" s="957"/>
      <c r="O238" s="48">
        <f>IF(t&lt;Tnet,'2018'!Resal+('2018'!Salim-'2018'!Resal)*(1-EXP(('2018'!Tnet-t)/('2018'!Tau_j))),Resal+(Salim-Resal)*(1-EXP((Tnet-t)/(Tau_j))))*Salcycl</f>
        <v>5.0270504783382332E-2</v>
      </c>
      <c r="P238" s="169">
        <f>(INDEX(Models!$BJ238:$BT238,,T238)*(1-R238)+INDEX(Models!$BJ238:$BT238,,T238+1)*R238-ERP_i)*Q238*Ramure*Pc/MaxiM</f>
        <v>7.0180152998539774E-4</v>
      </c>
      <c r="Q238" s="305">
        <f t="shared" si="78"/>
        <v>0.7</v>
      </c>
      <c r="R238" s="177">
        <f t="shared" si="79"/>
        <v>0.96521965850814517</v>
      </c>
      <c r="S238" s="919">
        <f t="shared" si="80"/>
        <v>-2</v>
      </c>
      <c r="T238" s="176">
        <f t="shared" si="81"/>
        <v>4</v>
      </c>
      <c r="U238" s="251">
        <f t="shared" si="82"/>
        <v>-1.0347803414918548</v>
      </c>
      <c r="V238" s="383">
        <f t="shared" si="83"/>
        <v>50.01048067761176</v>
      </c>
      <c r="W238" s="58"/>
      <c r="X238" s="157">
        <f t="shared" si="84"/>
        <v>43689</v>
      </c>
      <c r="Y238" s="385">
        <f t="shared" si="85"/>
        <v>24.413</v>
      </c>
      <c r="Z238" s="385">
        <f t="shared" si="86"/>
        <v>24.652650718154199</v>
      </c>
      <c r="AA238" s="386">
        <f t="shared" si="87"/>
        <v>25.957549852162206</v>
      </c>
      <c r="AB238" s="197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5.0270504783382332E-2</v>
      </c>
      <c r="AD238" s="231">
        <f>(INDEX(Models!$BJ238:$BT238,,AH238)*(1-AF238)+INDEX(Models!$BJ238:$BT238,,AH238+1)*AF238-ERP_i)*AE238*Ramure*Pc/MaxiM</f>
        <v>7.0180152998539774E-4</v>
      </c>
      <c r="AE238" s="305">
        <f t="shared" si="89"/>
        <v>0.7</v>
      </c>
      <c r="AF238" s="177">
        <f t="shared" si="90"/>
        <v>0.96521965850814517</v>
      </c>
      <c r="AG238" s="176">
        <f t="shared" si="91"/>
        <v>-2</v>
      </c>
      <c r="AH238" s="176">
        <f t="shared" si="92"/>
        <v>4</v>
      </c>
      <c r="AI238" s="225">
        <f t="shared" si="93"/>
        <v>-1.0347803414918548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8">
        <v>45.612000000000002</v>
      </c>
      <c r="C239" s="390"/>
      <c r="D239" s="393">
        <f t="shared" si="75"/>
        <v>46.060759987857288</v>
      </c>
      <c r="E239" s="385">
        <f t="shared" si="97"/>
        <v>48.508123236964565</v>
      </c>
      <c r="F239" s="385">
        <f t="shared" si="76"/>
        <v>48.536022746732414</v>
      </c>
      <c r="G239" s="110">
        <f t="shared" si="98"/>
        <v>0.91407128392840586</v>
      </c>
      <c r="H239" s="412" t="b">
        <f>Wh_hp&gt;='2018'!Maxi_hp</f>
        <v>1</v>
      </c>
      <c r="I239" s="390">
        <f>IF(H239,Wh_hp,'2018'!Maxi_hp)</f>
        <v>48.536022746732414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9.7427829670112542E-3</v>
      </c>
      <c r="M239" s="957"/>
      <c r="N239" s="957"/>
      <c r="O239" s="48">
        <f>IF(t&lt;Tnet,'2018'!Resal+('2018'!Salim-'2018'!Resal)*(1-EXP(('2018'!Tnet-t)/('2018'!Tau_j))),Resal+(Salim-Resal)*(1-EXP((Tnet-t)/(Tau_j))))*Salcycl</f>
        <v>5.0452647634949409E-2</v>
      </c>
      <c r="P239" s="169">
        <f>(INDEX(Models!$BJ239:$BT239,,T239)*(1-R239)+INDEX(Models!$BJ239:$BT239,,T239+1)*R239-ERP_i)*Q239*Ramure*Pc/MaxiM</f>
        <v>6.5517853171813401E-4</v>
      </c>
      <c r="Q239" s="305">
        <f t="shared" si="78"/>
        <v>0.7</v>
      </c>
      <c r="R239" s="177">
        <f t="shared" si="79"/>
        <v>0.96653351683588884</v>
      </c>
      <c r="S239" s="919">
        <f t="shared" si="80"/>
        <v>-2</v>
      </c>
      <c r="T239" s="176">
        <f t="shared" si="81"/>
        <v>4</v>
      </c>
      <c r="U239" s="251">
        <f t="shared" si="82"/>
        <v>-1.0334664831641112</v>
      </c>
      <c r="V239" s="383">
        <f t="shared" si="83"/>
        <v>49.895816017458273</v>
      </c>
      <c r="W239" s="58"/>
      <c r="X239" s="157">
        <f t="shared" si="84"/>
        <v>43690</v>
      </c>
      <c r="Y239" s="385">
        <f t="shared" si="85"/>
        <v>45.612000000000002</v>
      </c>
      <c r="Z239" s="385">
        <f t="shared" si="86"/>
        <v>46.060759987857288</v>
      </c>
      <c r="AA239" s="386">
        <f t="shared" si="87"/>
        <v>48.508123236964565</v>
      </c>
      <c r="AB239" s="197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5.0452647634949409E-2</v>
      </c>
      <c r="AD239" s="231">
        <f>(INDEX(Models!$BJ239:$BT239,,AH239)*(1-AF239)+INDEX(Models!$BJ239:$BT239,,AH239+1)*AF239-ERP_i)*AE239*Ramure*Pc/MaxiM</f>
        <v>6.5517853171813401E-4</v>
      </c>
      <c r="AE239" s="305">
        <f t="shared" si="89"/>
        <v>0.7</v>
      </c>
      <c r="AF239" s="177">
        <f t="shared" si="90"/>
        <v>0.96653351683588884</v>
      </c>
      <c r="AG239" s="176">
        <f t="shared" si="91"/>
        <v>-2</v>
      </c>
      <c r="AH239" s="176">
        <f t="shared" si="92"/>
        <v>4</v>
      </c>
      <c r="AI239" s="225">
        <f t="shared" si="93"/>
        <v>-1.0334664831641112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8">
        <v>50.301000000000002</v>
      </c>
      <c r="C240" s="390"/>
      <c r="D240" s="393">
        <f t="shared" si="75"/>
        <v>50.797005949464776</v>
      </c>
      <c r="E240" s="385">
        <f t="shared" si="97"/>
        <v>53.506221116211556</v>
      </c>
      <c r="F240" s="385">
        <f t="shared" si="76"/>
        <v>53.538915966622881</v>
      </c>
      <c r="G240" s="110">
        <f t="shared" si="98"/>
        <v>1.0104485231193459</v>
      </c>
      <c r="H240" s="412" t="b">
        <f>Wh_hp&gt;='2018'!Maxi_hp</f>
        <v>1</v>
      </c>
      <c r="I240" s="390">
        <f>IF(H240,Wh_hp,'2018'!Maxi_hp)</f>
        <v>53.538915966622881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9.7644721414924529E-3</v>
      </c>
      <c r="M240" s="957"/>
      <c r="N240" s="957"/>
      <c r="O240" s="48">
        <f>IF(t&lt;Tnet,'2018'!Resal+('2018'!Salim-'2018'!Resal)*(1-EXP(('2018'!Tnet-t)/('2018'!Tau_j))),Resal+(Salim-Resal)*(1-EXP((Tnet-t)/(Tau_j))))*Salcycl</f>
        <v>5.0633648017537385E-2</v>
      </c>
      <c r="P240" s="169">
        <f>(INDEX(Models!$BJ240:$BT240,,T240)*(1-R240)+INDEX(Models!$BJ240:$BT240,,T240+1)*R240-ERP_i)*Q240*Ramure*Pc/MaxiM</f>
        <v>6.1067449388976509E-4</v>
      </c>
      <c r="Q240" s="305">
        <f t="shared" si="78"/>
        <v>0.7</v>
      </c>
      <c r="R240" s="177">
        <f t="shared" si="79"/>
        <v>0.9678014633968377</v>
      </c>
      <c r="S240" s="919">
        <f t="shared" si="80"/>
        <v>-2</v>
      </c>
      <c r="T240" s="176">
        <f t="shared" si="81"/>
        <v>4</v>
      </c>
      <c r="U240" s="251">
        <f t="shared" si="82"/>
        <v>-1.0321985366031623</v>
      </c>
      <c r="V240" s="383">
        <f t="shared" si="83"/>
        <v>49.780863496852142</v>
      </c>
      <c r="W240" s="58"/>
      <c r="X240" s="157">
        <f t="shared" si="84"/>
        <v>43691</v>
      </c>
      <c r="Y240" s="385">
        <f t="shared" si="85"/>
        <v>50.301000000000002</v>
      </c>
      <c r="Z240" s="385">
        <f t="shared" si="86"/>
        <v>50.797005949464776</v>
      </c>
      <c r="AA240" s="386">
        <f t="shared" si="87"/>
        <v>53.506221116211556</v>
      </c>
      <c r="AB240" s="197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5.0633648017537385E-2</v>
      </c>
      <c r="AD240" s="231">
        <f>(INDEX(Models!$BJ240:$BT240,,AH240)*(1-AF240)+INDEX(Models!$BJ240:$BT240,,AH240+1)*AF240-ERP_i)*AE240*Ramure*Pc/MaxiM</f>
        <v>6.1067449388976509E-4</v>
      </c>
      <c r="AE240" s="305">
        <f t="shared" si="89"/>
        <v>0.7</v>
      </c>
      <c r="AF240" s="177">
        <f t="shared" si="90"/>
        <v>0.9678014633968377</v>
      </c>
      <c r="AG240" s="176">
        <f t="shared" si="91"/>
        <v>-2</v>
      </c>
      <c r="AH240" s="176">
        <f t="shared" si="92"/>
        <v>4</v>
      </c>
      <c r="AI240" s="225">
        <f t="shared" si="93"/>
        <v>-1.0321985366031623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8">
        <v>24.646999999999998</v>
      </c>
      <c r="C241" s="390"/>
      <c r="D241" s="393">
        <f t="shared" si="75"/>
        <v>24.890583251119892</v>
      </c>
      <c r="E241" s="385">
        <f t="shared" si="97"/>
        <v>26.22306936627955</v>
      </c>
      <c r="F241" s="385">
        <f t="shared" si="76"/>
        <v>26.227243928729536</v>
      </c>
      <c r="G241" s="110">
        <f t="shared" si="98"/>
        <v>0.49605484813539313</v>
      </c>
      <c r="H241" s="412" t="b">
        <f>Wh_hp&gt;='2018'!Maxi_hp</f>
        <v>0</v>
      </c>
      <c r="I241" s="390">
        <f>IF(H241,Wh_hp,'2018'!Maxi_hp)</f>
        <v>53.803189402990363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9.7861608409249845E-3</v>
      </c>
      <c r="M241" s="957"/>
      <c r="N241" s="957"/>
      <c r="O241" s="48">
        <f>IF(t&lt;Tnet,'2018'!Resal+('2018'!Salim-'2018'!Resal)*(1-EXP(('2018'!Tnet-t)/('2018'!Tau_j))),Resal+(Salim-Resal)*(1-EXP((Tnet-t)/(Tau_j))))*Salcycl</f>
        <v>5.0813506860989871E-2</v>
      </c>
      <c r="P241" s="169">
        <f>(INDEX(Models!$BJ241:$BT241,,T241)*(1-R241)+INDEX(Models!$BJ241:$BT241,,T241+1)*R241-ERP_i)*Q241*Ramure*Pc/MaxiM</f>
        <v>5.6771426879557009E-4</v>
      </c>
      <c r="Q241" s="305">
        <f t="shared" si="78"/>
        <v>0.7</v>
      </c>
      <c r="R241" s="177">
        <f t="shared" si="79"/>
        <v>0.96902484791987797</v>
      </c>
      <c r="S241" s="919">
        <f t="shared" si="80"/>
        <v>-2</v>
      </c>
      <c r="T241" s="176">
        <f t="shared" si="81"/>
        <v>4</v>
      </c>
      <c r="U241" s="251">
        <f t="shared" si="82"/>
        <v>-1.030975152080122</v>
      </c>
      <c r="V241" s="383">
        <f t="shared" si="83"/>
        <v>49.665735699871576</v>
      </c>
      <c r="W241" s="58"/>
      <c r="X241" s="157">
        <f t="shared" si="84"/>
        <v>43692</v>
      </c>
      <c r="Y241" s="385">
        <f t="shared" si="85"/>
        <v>24.646999999999998</v>
      </c>
      <c r="Z241" s="385">
        <f t="shared" si="86"/>
        <v>24.890583251119892</v>
      </c>
      <c r="AA241" s="386">
        <f t="shared" si="87"/>
        <v>26.22306936627955</v>
      </c>
      <c r="AB241" s="197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5.0813506860989871E-2</v>
      </c>
      <c r="AD241" s="231">
        <f>(INDEX(Models!$BJ241:$BT241,,AH241)*(1-AF241)+INDEX(Models!$BJ241:$BT241,,AH241+1)*AF241-ERP_i)*AE241*Ramure*Pc/MaxiM</f>
        <v>5.6771426879557009E-4</v>
      </c>
      <c r="AE241" s="305">
        <f t="shared" si="89"/>
        <v>0.7</v>
      </c>
      <c r="AF241" s="177">
        <f t="shared" si="90"/>
        <v>0.96902484791987797</v>
      </c>
      <c r="AG241" s="176">
        <f t="shared" si="91"/>
        <v>-2</v>
      </c>
      <c r="AH241" s="176">
        <f t="shared" si="92"/>
        <v>4</v>
      </c>
      <c r="AI241" s="225">
        <f t="shared" si="93"/>
        <v>-1.030975152080122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8">
        <v>50.500999999999998</v>
      </c>
      <c r="C242" s="390"/>
      <c r="D242" s="393">
        <f t="shared" si="75"/>
        <v>51.001212191320796</v>
      </c>
      <c r="E242" s="385">
        <f t="shared" si="97"/>
        <v>53.741616779339168</v>
      </c>
      <c r="F242" s="385">
        <f t="shared" si="76"/>
        <v>53.769916943030935</v>
      </c>
      <c r="G242" s="110">
        <f t="shared" si="98"/>
        <v>1.0191821350933172</v>
      </c>
      <c r="H242" s="412" t="b">
        <f>Wh_hp&gt;='2018'!Maxi_hp</f>
        <v>1</v>
      </c>
      <c r="I242" s="390">
        <f>IF(H242,Wh_hp,'2018'!Maxi_hp)</f>
        <v>53.769916943030935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9.8078490653193962E-3</v>
      </c>
      <c r="M242" s="957"/>
      <c r="N242" s="957"/>
      <c r="O242" s="48">
        <f>IF(t&lt;Tnet,'2018'!Resal+('2018'!Salim-'2018'!Resal)*(1-EXP(('2018'!Tnet-t)/('2018'!Tau_j))),Resal+(Salim-Resal)*(1-EXP((Tnet-t)/(Tau_j))))*Salcycl</f>
        <v>5.099222450396982E-2</v>
      </c>
      <c r="P242" s="169">
        <f>(INDEX(Models!$BJ242:$BT242,,T242)*(1-R242)+INDEX(Models!$BJ242:$BT242,,T242+1)*R242-ERP_i)*Q242*Ramure*Pc/MaxiM</f>
        <v>5.2631964675996809E-4</v>
      </c>
      <c r="Q242" s="305">
        <f t="shared" si="78"/>
        <v>0.7</v>
      </c>
      <c r="R242" s="177">
        <f t="shared" si="79"/>
        <v>0.97020499954789674</v>
      </c>
      <c r="S242" s="919">
        <f t="shared" si="80"/>
        <v>-2</v>
      </c>
      <c r="T242" s="176">
        <f t="shared" si="81"/>
        <v>4</v>
      </c>
      <c r="U242" s="251">
        <f t="shared" si="82"/>
        <v>-1.0297950004521033</v>
      </c>
      <c r="V242" s="383">
        <f t="shared" si="83"/>
        <v>49.550515321165904</v>
      </c>
      <c r="W242" s="58"/>
      <c r="X242" s="157">
        <f t="shared" si="84"/>
        <v>43693</v>
      </c>
      <c r="Y242" s="385">
        <f t="shared" si="85"/>
        <v>50.500999999999998</v>
      </c>
      <c r="Z242" s="385">
        <f t="shared" si="86"/>
        <v>51.001212191320796</v>
      </c>
      <c r="AA242" s="386">
        <f t="shared" si="87"/>
        <v>53.741616779339168</v>
      </c>
      <c r="AB242" s="197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5.099222450396982E-2</v>
      </c>
      <c r="AD242" s="231">
        <f>(INDEX(Models!$BJ242:$BT242,,AH242)*(1-AF242)+INDEX(Models!$BJ242:$BT242,,AH242+1)*AF242-ERP_i)*AE242*Ramure*Pc/MaxiM</f>
        <v>5.2631964675996809E-4</v>
      </c>
      <c r="AE242" s="305">
        <f t="shared" si="89"/>
        <v>0.7</v>
      </c>
      <c r="AF242" s="177">
        <f t="shared" si="90"/>
        <v>0.97020499954789674</v>
      </c>
      <c r="AG242" s="176">
        <f t="shared" si="91"/>
        <v>-2</v>
      </c>
      <c r="AH242" s="176">
        <f t="shared" si="92"/>
        <v>4</v>
      </c>
      <c r="AI242" s="225">
        <f t="shared" si="93"/>
        <v>-1.0297950004521033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8">
        <v>48.728000000000002</v>
      </c>
      <c r="C243" s="390"/>
      <c r="D243" s="393">
        <f t="shared" si="75"/>
        <v>49.211728496975354</v>
      </c>
      <c r="E243" s="385">
        <f t="shared" si="97"/>
        <v>51.865685277628131</v>
      </c>
      <c r="F243" s="385">
        <f t="shared" si="76"/>
        <v>51.890414604753857</v>
      </c>
      <c r="G243" s="110">
        <f t="shared" si="98"/>
        <v>0.98568290190951002</v>
      </c>
      <c r="H243" s="412" t="b">
        <f>Wh_hp&gt;='2018'!Maxi_hp</f>
        <v>1</v>
      </c>
      <c r="I243" s="390">
        <f>IF(H243,Wh_hp,'2018'!Maxi_hp)</f>
        <v>51.890414604753857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9.8295368146860129E-3</v>
      </c>
      <c r="M243" s="957"/>
      <c r="N243" s="957"/>
      <c r="O243" s="48">
        <f>IF(t&lt;Tnet,'2018'!Resal+('2018'!Salim-'2018'!Resal)*(1-EXP(('2018'!Tnet-t)/('2018'!Tau_j))),Resal+(Salim-Resal)*(1-EXP((Tnet-t)/(Tau_j))))*Salcycl</f>
        <v>5.1169800735237601E-2</v>
      </c>
      <c r="P243" s="169">
        <f>(INDEX(Models!$BJ243:$BT243,,T243)*(1-R243)+INDEX(Models!$BJ243:$BT243,,T243+1)*R243-ERP_i)*Q243*Ramure*Pc/MaxiM</f>
        <v>4.8651212435575175E-4</v>
      </c>
      <c r="Q243" s="305">
        <f t="shared" si="78"/>
        <v>0.7</v>
      </c>
      <c r="R243" s="177">
        <f t="shared" si="79"/>
        <v>0.97134322558274944</v>
      </c>
      <c r="S243" s="919">
        <f t="shared" si="80"/>
        <v>-2</v>
      </c>
      <c r="T243" s="176">
        <f t="shared" si="81"/>
        <v>4</v>
      </c>
      <c r="U243" s="251">
        <f t="shared" si="82"/>
        <v>-1.0286567744172506</v>
      </c>
      <c r="V243" s="383">
        <f t="shared" si="83"/>
        <v>49.435285051942955</v>
      </c>
      <c r="W243" s="58"/>
      <c r="X243" s="157">
        <f t="shared" si="84"/>
        <v>43694</v>
      </c>
      <c r="Y243" s="385">
        <f t="shared" si="85"/>
        <v>48.728000000000002</v>
      </c>
      <c r="Z243" s="385">
        <f t="shared" si="86"/>
        <v>49.211728496975354</v>
      </c>
      <c r="AA243" s="386">
        <f t="shared" si="87"/>
        <v>51.865685277628131</v>
      </c>
      <c r="AB243" s="197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5.1169800735237601E-2</v>
      </c>
      <c r="AD243" s="231">
        <f>(INDEX(Models!$BJ243:$BT243,,AH243)*(1-AF243)+INDEX(Models!$BJ243:$BT243,,AH243+1)*AF243-ERP_i)*AE243*Ramure*Pc/MaxiM</f>
        <v>4.8651212435575175E-4</v>
      </c>
      <c r="AE243" s="305">
        <f t="shared" si="89"/>
        <v>0.7</v>
      </c>
      <c r="AF243" s="177">
        <f t="shared" si="90"/>
        <v>0.97134322558274944</v>
      </c>
      <c r="AG243" s="176">
        <f t="shared" si="91"/>
        <v>-2</v>
      </c>
      <c r="AH243" s="176">
        <f t="shared" si="92"/>
        <v>4</v>
      </c>
      <c r="AI243" s="225">
        <f t="shared" si="93"/>
        <v>-1.0286567744172506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8">
        <v>31.895</v>
      </c>
      <c r="C244" s="390"/>
      <c r="D244" s="393">
        <f t="shared" si="75"/>
        <v>32.212330890027815</v>
      </c>
      <c r="E244" s="385">
        <f t="shared" si="97"/>
        <v>33.955835176945619</v>
      </c>
      <c r="F244" s="385">
        <f t="shared" si="76"/>
        <v>33.963376362173307</v>
      </c>
      <c r="G244" s="110">
        <f t="shared" si="98"/>
        <v>0.64654701740135612</v>
      </c>
      <c r="H244" s="412" t="b">
        <f>Wh_hp&gt;='2018'!Maxi_hp</f>
        <v>1</v>
      </c>
      <c r="I244" s="390">
        <f>IF(H244,Wh_hp,'2018'!Maxi_hp)</f>
        <v>33.963376362173307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9.8512240890352709E-3</v>
      </c>
      <c r="M244" s="957"/>
      <c r="N244" s="957"/>
      <c r="O244" s="48">
        <f>IF(t&lt;Tnet,'2018'!Resal+('2018'!Salim-'2018'!Resal)*(1-EXP(('2018'!Tnet-t)/('2018'!Tau_j))),Resal+(Salim-Resal)*(1-EXP((Tnet-t)/(Tau_j))))*Salcycl</f>
        <v>5.1346234832166958E-2</v>
      </c>
      <c r="P244" s="169">
        <f>(INDEX(Models!$BJ244:$BT244,,T244)*(1-R244)+INDEX(Models!$BJ244:$BT244,,T244+1)*R244-ERP_i)*Q244*Ramure*Pc/MaxiM</f>
        <v>4.4831290601394998E-4</v>
      </c>
      <c r="Q244" s="305">
        <f t="shared" si="78"/>
        <v>0.7</v>
      </c>
      <c r="R244" s="177">
        <f t="shared" si="79"/>
        <v>0.97244081038756303</v>
      </c>
      <c r="S244" s="919">
        <f t="shared" si="80"/>
        <v>-2</v>
      </c>
      <c r="T244" s="176">
        <f t="shared" si="81"/>
        <v>4</v>
      </c>
      <c r="U244" s="251">
        <f t="shared" si="82"/>
        <v>-1.027559189612437</v>
      </c>
      <c r="V244" s="383">
        <f t="shared" si="83"/>
        <v>49.32012757674736</v>
      </c>
      <c r="W244" s="58"/>
      <c r="X244" s="157">
        <f t="shared" si="84"/>
        <v>43695</v>
      </c>
      <c r="Y244" s="385">
        <f t="shared" si="85"/>
        <v>31.894999999999996</v>
      </c>
      <c r="Z244" s="385">
        <f t="shared" si="86"/>
        <v>32.212330890027815</v>
      </c>
      <c r="AA244" s="386">
        <f t="shared" si="87"/>
        <v>33.955835176945619</v>
      </c>
      <c r="AB244" s="197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5.1346234832166958E-2</v>
      </c>
      <c r="AD244" s="231">
        <f>(INDEX(Models!$BJ244:$BT244,,AH244)*(1-AF244)+INDEX(Models!$BJ244:$BT244,,AH244+1)*AF244-ERP_i)*AE244*Ramure*Pc/MaxiM</f>
        <v>4.4831290601394998E-4</v>
      </c>
      <c r="AE244" s="305">
        <f t="shared" si="89"/>
        <v>0.7</v>
      </c>
      <c r="AF244" s="177">
        <f t="shared" si="90"/>
        <v>0.97244081038756303</v>
      </c>
      <c r="AG244" s="176">
        <f t="shared" si="91"/>
        <v>-2</v>
      </c>
      <c r="AH244" s="176">
        <f t="shared" si="92"/>
        <v>4</v>
      </c>
      <c r="AI244" s="225">
        <f t="shared" si="93"/>
        <v>-1.027559189612437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8">
        <v>30.681000000000001</v>
      </c>
      <c r="C245" s="390"/>
      <c r="D245" s="393">
        <f t="shared" si="75"/>
        <v>30.986931210546008</v>
      </c>
      <c r="E245" s="385">
        <f t="shared" si="97"/>
        <v>32.670147026809587</v>
      </c>
      <c r="F245" s="385">
        <f t="shared" si="76"/>
        <v>32.676365444281792</v>
      </c>
      <c r="G245" s="110">
        <f t="shared" si="98"/>
        <v>0.62339450127828888</v>
      </c>
      <c r="H245" s="412" t="b">
        <f>Wh_hp&gt;='2018'!Maxi_hp</f>
        <v>0</v>
      </c>
      <c r="I245" s="390">
        <f>IF(H245,Wh_hp,'2018'!Maxi_hp)</f>
        <v>49.967163493960541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9.8729108883776062E-3</v>
      </c>
      <c r="M245" s="957"/>
      <c r="N245" s="957"/>
      <c r="O245" s="48">
        <f>IF(t&lt;Tnet,'2018'!Resal+('2018'!Salim-'2018'!Resal)*(1-EXP(('2018'!Tnet-t)/('2018'!Tau_j))),Resal+(Salim-Resal)*(1-EXP((Tnet-t)/(Tau_j))))*Salcycl</f>
        <v>5.1521525595899835E-2</v>
      </c>
      <c r="P245" s="169">
        <f>(INDEX(Models!$BJ245:$BT245,,T245)*(1-R245)+INDEX(Models!$BJ245:$BT245,,T245+1)*R245-ERP_i)*Q245*Ramure*Pc/MaxiM</f>
        <v>4.1174290034672647E-4</v>
      </c>
      <c r="Q245" s="305">
        <f t="shared" si="78"/>
        <v>0.7</v>
      </c>
      <c r="R245" s="177">
        <f t="shared" si="79"/>
        <v>0.97349901443700237</v>
      </c>
      <c r="S245" s="919">
        <f t="shared" si="80"/>
        <v>-2</v>
      </c>
      <c r="T245" s="176">
        <f t="shared" si="81"/>
        <v>4</v>
      </c>
      <c r="U245" s="251">
        <f t="shared" si="82"/>
        <v>-1.0265009855629976</v>
      </c>
      <c r="V245" s="383">
        <f t="shared" si="83"/>
        <v>49.205125571400188</v>
      </c>
      <c r="W245" s="58"/>
      <c r="X245" s="157">
        <f t="shared" si="84"/>
        <v>43696</v>
      </c>
      <c r="Y245" s="385">
        <f t="shared" si="85"/>
        <v>30.681000000000001</v>
      </c>
      <c r="Z245" s="385">
        <f t="shared" si="86"/>
        <v>30.986931210546008</v>
      </c>
      <c r="AA245" s="386">
        <f t="shared" si="87"/>
        <v>32.670147026809587</v>
      </c>
      <c r="AB245" s="197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5.1521525595899835E-2</v>
      </c>
      <c r="AD245" s="231">
        <f>(INDEX(Models!$BJ245:$BT245,,AH245)*(1-AF245)+INDEX(Models!$BJ245:$BT245,,AH245+1)*AF245-ERP_i)*AE245*Ramure*Pc/MaxiM</f>
        <v>4.1174290034672647E-4</v>
      </c>
      <c r="AE245" s="305">
        <f t="shared" si="89"/>
        <v>0.7</v>
      </c>
      <c r="AF245" s="177">
        <f t="shared" si="90"/>
        <v>0.97349901443700237</v>
      </c>
      <c r="AG245" s="176">
        <f t="shared" si="91"/>
        <v>-2</v>
      </c>
      <c r="AH245" s="176">
        <f t="shared" si="92"/>
        <v>4</v>
      </c>
      <c r="AI245" s="225">
        <f t="shared" si="93"/>
        <v>-1.0265009855629976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8">
        <v>28.629000000000001</v>
      </c>
      <c r="C246" s="390"/>
      <c r="D246" s="393">
        <f t="shared" si="75"/>
        <v>28.915103300522965</v>
      </c>
      <c r="E246" s="385">
        <f t="shared" si="97"/>
        <v>30.491375424470224</v>
      </c>
      <c r="F246" s="385">
        <f t="shared" si="76"/>
        <v>30.496024428465393</v>
      </c>
      <c r="G246" s="110">
        <f t="shared" si="98"/>
        <v>0.58305896218143538</v>
      </c>
      <c r="H246" s="412" t="b">
        <f>Wh_hp&gt;='2018'!Maxi_hp</f>
        <v>0</v>
      </c>
      <c r="I246" s="390">
        <f>IF(H246,Wh_hp,'2018'!Maxi_hp)</f>
        <v>51.550510278445401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9.8945972127233439E-3</v>
      </c>
      <c r="M246" s="957"/>
      <c r="N246" s="957"/>
      <c r="O246" s="48">
        <f>IF(t&lt;Tnet,'2018'!Resal+('2018'!Salim-'2018'!Resal)*(1-EXP(('2018'!Tnet-t)/('2018'!Tau_j))),Resal+(Salim-Resal)*(1-EXP((Tnet-t)/(Tau_j))))*Salcycl</f>
        <v>5.1695671382611934E-2</v>
      </c>
      <c r="P246" s="169">
        <f>(INDEX(Models!$BJ246:$BT246,,T246)*(1-R246)+INDEX(Models!$BJ246:$BT246,,T246+1)*R246-ERP_i)*Q246*Ramure*Pc/MaxiM</f>
        <v>3.7682271146672491E-4</v>
      </c>
      <c r="Q246" s="305">
        <f t="shared" si="78"/>
        <v>0.7</v>
      </c>
      <c r="R246" s="177">
        <f t="shared" si="79"/>
        <v>0.97451907350628764</v>
      </c>
      <c r="S246" s="919">
        <f t="shared" si="80"/>
        <v>-2</v>
      </c>
      <c r="T246" s="176">
        <f t="shared" si="81"/>
        <v>4</v>
      </c>
      <c r="U246" s="251">
        <f t="shared" si="82"/>
        <v>-1.0254809264937124</v>
      </c>
      <c r="V246" s="383">
        <f t="shared" si="83"/>
        <v>49.09036170072568</v>
      </c>
      <c r="W246" s="58"/>
      <c r="X246" s="157">
        <f t="shared" si="84"/>
        <v>43697</v>
      </c>
      <c r="Y246" s="385">
        <f t="shared" si="85"/>
        <v>28.629000000000001</v>
      </c>
      <c r="Z246" s="385">
        <f t="shared" si="86"/>
        <v>28.915103300522965</v>
      </c>
      <c r="AA246" s="386">
        <f t="shared" si="87"/>
        <v>30.491375424470224</v>
      </c>
      <c r="AB246" s="197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5.1695671382611934E-2</v>
      </c>
      <c r="AD246" s="231">
        <f>(INDEX(Models!$BJ246:$BT246,,AH246)*(1-AF246)+INDEX(Models!$BJ246:$BT246,,AH246+1)*AF246-ERP_i)*AE246*Ramure*Pc/MaxiM</f>
        <v>3.7682271146672491E-4</v>
      </c>
      <c r="AE246" s="305">
        <f t="shared" si="89"/>
        <v>0.7</v>
      </c>
      <c r="AF246" s="177">
        <f t="shared" si="90"/>
        <v>0.97451907350628764</v>
      </c>
      <c r="AG246" s="176">
        <f t="shared" si="91"/>
        <v>-2</v>
      </c>
      <c r="AH246" s="176">
        <f t="shared" si="92"/>
        <v>4</v>
      </c>
      <c r="AI246" s="225">
        <f t="shared" si="93"/>
        <v>-1.0254809264937124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8">
        <v>45.167999999999999</v>
      </c>
      <c r="C247" s="390"/>
      <c r="D247" s="393">
        <f t="shared" si="75"/>
        <v>45.620384647566368</v>
      </c>
      <c r="E247" s="385">
        <f t="shared" si="97"/>
        <v>48.116102917770384</v>
      </c>
      <c r="F247" s="385">
        <f t="shared" si="76"/>
        <v>48.130801997101351</v>
      </c>
      <c r="G247" s="110">
        <f t="shared" si="98"/>
        <v>0.92219872243346757</v>
      </c>
      <c r="H247" s="412" t="b">
        <f>Wh_hp&gt;='2018'!Maxi_hp</f>
        <v>0</v>
      </c>
      <c r="I247" s="390">
        <f>IF(H247,Wh_hp,'2018'!Maxi_hp)</f>
        <v>51.052233719552078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9.9162830620829201E-3</v>
      </c>
      <c r="M247" s="957"/>
      <c r="N247" s="957"/>
      <c r="O247" s="48">
        <f>IF(t&lt;Tnet,'2018'!Resal+('2018'!Salim-'2018'!Resal)*(1-EXP(('2018'!Tnet-t)/('2018'!Tau_j))),Resal+(Salim-Resal)*(1-EXP((Tnet-t)/(Tau_j))))*Salcycl</f>
        <v>5.1868670130437659E-2</v>
      </c>
      <c r="P247" s="169">
        <f>(INDEX(Models!$BJ247:$BT247,,T247)*(1-R247)+INDEX(Models!$BJ247:$BT247,,T247+1)*R247-ERP_i)*Q247*Ramure*Pc/MaxiM</f>
        <v>3.4356695352971808E-4</v>
      </c>
      <c r="Q247" s="305">
        <f t="shared" si="78"/>
        <v>0.7</v>
      </c>
      <c r="R247" s="177">
        <f t="shared" si="79"/>
        <v>0.97550219798995186</v>
      </c>
      <c r="S247" s="919">
        <f t="shared" si="80"/>
        <v>-2</v>
      </c>
      <c r="T247" s="176">
        <f t="shared" si="81"/>
        <v>4</v>
      </c>
      <c r="U247" s="251">
        <f t="shared" si="82"/>
        <v>-1.0244978020100481</v>
      </c>
      <c r="V247" s="383">
        <f t="shared" si="83"/>
        <v>48.976727451711781</v>
      </c>
      <c r="W247" s="58"/>
      <c r="X247" s="157">
        <f t="shared" si="84"/>
        <v>43698</v>
      </c>
      <c r="Y247" s="385">
        <f t="shared" si="85"/>
        <v>45.167999999999999</v>
      </c>
      <c r="Z247" s="385">
        <f t="shared" si="86"/>
        <v>45.620384647566368</v>
      </c>
      <c r="AA247" s="386">
        <f t="shared" si="87"/>
        <v>48.116102917770384</v>
      </c>
      <c r="AB247" s="197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5.1868670130437659E-2</v>
      </c>
      <c r="AD247" s="231">
        <f>(INDEX(Models!$BJ247:$BT247,,AH247)*(1-AF247)+INDEX(Models!$BJ247:$BT247,,AH247+1)*AF247-ERP_i)*AE247*Ramure*Pc/MaxiM</f>
        <v>3.4356695352971808E-4</v>
      </c>
      <c r="AE247" s="305">
        <f t="shared" si="89"/>
        <v>0.7</v>
      </c>
      <c r="AF247" s="177">
        <f t="shared" si="90"/>
        <v>0.97550219798995186</v>
      </c>
      <c r="AG247" s="176">
        <f t="shared" si="91"/>
        <v>-2</v>
      </c>
      <c r="AH247" s="176">
        <f t="shared" si="92"/>
        <v>4</v>
      </c>
      <c r="AI247" s="225">
        <f t="shared" si="93"/>
        <v>-1.0244978020100481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8">
        <v>50.4</v>
      </c>
      <c r="C248" s="390"/>
      <c r="D248" s="393">
        <f t="shared" si="75"/>
        <v>50.905901239750534</v>
      </c>
      <c r="E248" s="385">
        <f t="shared" si="97"/>
        <v>53.700503323777944</v>
      </c>
      <c r="F248" s="385">
        <f t="shared" si="76"/>
        <v>53.717329476513434</v>
      </c>
      <c r="G248" s="110">
        <f t="shared" si="98"/>
        <v>1.0314197401972047</v>
      </c>
      <c r="H248" s="412" t="b">
        <f>Wh_hp&gt;='2018'!Maxi_hp</f>
        <v>1</v>
      </c>
      <c r="I248" s="390">
        <f>IF(H248,Wh_hp,'2018'!Maxi_hp)</f>
        <v>53.717329476513434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9.9379684364667709E-3</v>
      </c>
      <c r="M248" s="957"/>
      <c r="N248" s="957"/>
      <c r="O248" s="48">
        <f>IF(t&lt;Tnet,'2018'!Resal+('2018'!Salim-'2018'!Resal)*(1-EXP(('2018'!Tnet-t)/('2018'!Tau_j))),Resal+(Salim-Resal)*(1-EXP((Tnet-t)/(Tau_j))))*Salcycl</f>
        <v>5.2040519381686932E-2</v>
      </c>
      <c r="P248" s="169">
        <f>(INDEX(Models!$BJ248:$BT248,,T248)*(1-R248)+INDEX(Models!$BJ248:$BT248,,T248+1)*R248-ERP_i)*Q248*Ramure*Pc/MaxiM</f>
        <v>3.132350937670096E-4</v>
      </c>
      <c r="Q248" s="305">
        <f t="shared" si="78"/>
        <v>0.7</v>
      </c>
      <c r="R248" s="177">
        <f t="shared" si="79"/>
        <v>0.97644957234157026</v>
      </c>
      <c r="S248" s="919">
        <f t="shared" si="80"/>
        <v>-2</v>
      </c>
      <c r="T248" s="176">
        <f t="shared" si="81"/>
        <v>4</v>
      </c>
      <c r="U248" s="251">
        <f t="shared" si="82"/>
        <v>-1.0235504276584297</v>
      </c>
      <c r="V248" s="383">
        <f t="shared" si="83"/>
        <v>48.864684314034605</v>
      </c>
      <c r="W248" s="58"/>
      <c r="X248" s="157">
        <f t="shared" si="84"/>
        <v>43699</v>
      </c>
      <c r="Y248" s="385">
        <f t="shared" si="85"/>
        <v>50.4</v>
      </c>
      <c r="Z248" s="385">
        <f t="shared" si="86"/>
        <v>50.905901239750534</v>
      </c>
      <c r="AA248" s="386">
        <f t="shared" si="87"/>
        <v>53.700503323777944</v>
      </c>
      <c r="AB248" s="197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5.2040519381686932E-2</v>
      </c>
      <c r="AD248" s="231">
        <f>(INDEX(Models!$BJ248:$BT248,,AH248)*(1-AF248)+INDEX(Models!$BJ248:$BT248,,AH248+1)*AF248-ERP_i)*AE248*Ramure*Pc/MaxiM</f>
        <v>3.132350937670096E-4</v>
      </c>
      <c r="AE248" s="305">
        <f t="shared" si="89"/>
        <v>0.7</v>
      </c>
      <c r="AF248" s="177">
        <f t="shared" si="90"/>
        <v>0.97644957234157026</v>
      </c>
      <c r="AG248" s="176">
        <f t="shared" si="91"/>
        <v>-2</v>
      </c>
      <c r="AH248" s="176">
        <f t="shared" si="92"/>
        <v>4</v>
      </c>
      <c r="AI248" s="225">
        <f t="shared" si="93"/>
        <v>-1.0235504276584297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8">
        <v>48.161000000000001</v>
      </c>
      <c r="C249" s="390"/>
      <c r="D249" s="393">
        <f t="shared" si="75"/>
        <v>48.645492239054477</v>
      </c>
      <c r="E249" s="385">
        <f t="shared" si="97"/>
        <v>51.32524574637285</v>
      </c>
      <c r="F249" s="385">
        <f t="shared" si="76"/>
        <v>51.339633290441888</v>
      </c>
      <c r="G249" s="110">
        <f t="shared" si="98"/>
        <v>0.98783618135591655</v>
      </c>
      <c r="H249" s="412" t="b">
        <f>Wh_hp&gt;='2018'!Maxi_hp</f>
        <v>1</v>
      </c>
      <c r="I249" s="390">
        <f>IF(H249,Wh_hp,'2018'!Maxi_hp)</f>
        <v>51.339633290441888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9.9596533358852213E-3</v>
      </c>
      <c r="M249" s="957"/>
      <c r="N249" s="957"/>
      <c r="O249" s="48">
        <f>IF(t&lt;Tnet,'2018'!Resal+('2018'!Salim-'2018'!Resal)*(1-EXP(('2018'!Tnet-t)/('2018'!Tau_j))),Resal+(Salim-Resal)*(1-EXP((Tnet-t)/(Tau_j))))*Salcycl</f>
        <v>5.2211216300074983E-2</v>
      </c>
      <c r="P249" s="169">
        <f>(INDEX(Models!$BJ249:$BT249,,T249)*(1-R249)+INDEX(Models!$BJ249:$BT249,,T249+1)*R249-ERP_i)*Q249*Ramure*Pc/MaxiM</f>
        <v>2.8519626742729638E-4</v>
      </c>
      <c r="Q249" s="305">
        <f t="shared" si="78"/>
        <v>0.7</v>
      </c>
      <c r="R249" s="177">
        <f t="shared" si="79"/>
        <v>0.97736235462595644</v>
      </c>
      <c r="S249" s="919">
        <f t="shared" si="80"/>
        <v>-2</v>
      </c>
      <c r="T249" s="176">
        <f t="shared" si="81"/>
        <v>4</v>
      </c>
      <c r="U249" s="251">
        <f t="shared" si="82"/>
        <v>-1.0226376453740436</v>
      </c>
      <c r="V249" s="383">
        <f t="shared" si="83"/>
        <v>48.753793656050242</v>
      </c>
      <c r="W249" s="58"/>
      <c r="X249" s="157">
        <f t="shared" si="84"/>
        <v>43700</v>
      </c>
      <c r="Y249" s="385">
        <f t="shared" si="85"/>
        <v>48.161000000000001</v>
      </c>
      <c r="Z249" s="385">
        <f t="shared" si="86"/>
        <v>48.645492239054477</v>
      </c>
      <c r="AA249" s="386">
        <f t="shared" si="87"/>
        <v>51.32524574637285</v>
      </c>
      <c r="AB249" s="197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5.2211216300074983E-2</v>
      </c>
      <c r="AD249" s="231">
        <f>(INDEX(Models!$BJ249:$BT249,,AH249)*(1-AF249)+INDEX(Models!$BJ249:$BT249,,AH249+1)*AF249-ERP_i)*AE249*Ramure*Pc/MaxiM</f>
        <v>2.8519626742729638E-4</v>
      </c>
      <c r="AE249" s="305">
        <f t="shared" si="89"/>
        <v>0.7</v>
      </c>
      <c r="AF249" s="177">
        <f t="shared" si="90"/>
        <v>0.97736235462595644</v>
      </c>
      <c r="AG249" s="176">
        <f t="shared" si="91"/>
        <v>-2</v>
      </c>
      <c r="AH249" s="176">
        <f t="shared" si="92"/>
        <v>4</v>
      </c>
      <c r="AI249" s="225">
        <f t="shared" si="93"/>
        <v>-1.0226376453740436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8">
        <v>48.048000000000002</v>
      </c>
      <c r="C250" s="390"/>
      <c r="D250" s="393">
        <f t="shared" si="75"/>
        <v>48.532418460985681</v>
      </c>
      <c r="E250" s="385">
        <f t="shared" si="97"/>
        <v>51.215104436154121</v>
      </c>
      <c r="F250" s="385">
        <f t="shared" si="76"/>
        <v>51.228164501997107</v>
      </c>
      <c r="G250" s="110">
        <f t="shared" si="98"/>
        <v>0.98775166347008991</v>
      </c>
      <c r="H250" s="412" t="b">
        <f>Wh_hp&gt;='2018'!Maxi_hp</f>
        <v>1</v>
      </c>
      <c r="I250" s="390">
        <f>IF(H250,Wh_hp,'2018'!Maxi_hp)</f>
        <v>51.228164501997107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9.9813377603487075E-3</v>
      </c>
      <c r="M250" s="957"/>
      <c r="N250" s="957"/>
      <c r="O250" s="48">
        <f>IF(t&lt;Tnet,'2018'!Resal+('2018'!Salim-'2018'!Resal)*(1-EXP(('2018'!Tnet-t)/('2018'!Tau_j))),Resal+(Salim-Resal)*(1-EXP((Tnet-t)/(Tau_j))))*Salcycl</f>
        <v>5.2380757682779659E-2</v>
      </c>
      <c r="P250" s="169">
        <f>(INDEX(Models!$BJ250:$BT250,,T250)*(1-R250)+INDEX(Models!$BJ250:$BT250,,T250+1)*R250-ERP_i)*Q250*Ramure*Pc/MaxiM</f>
        <v>2.5947775391071503E-4</v>
      </c>
      <c r="Q250" s="305">
        <f t="shared" si="78"/>
        <v>0.7</v>
      </c>
      <c r="R250" s="177">
        <f t="shared" si="79"/>
        <v>0.97824167617562074</v>
      </c>
      <c r="S250" s="919">
        <f t="shared" si="80"/>
        <v>-2</v>
      </c>
      <c r="T250" s="176">
        <f t="shared" si="81"/>
        <v>4</v>
      </c>
      <c r="U250" s="251">
        <f t="shared" si="82"/>
        <v>-1.0217583238243793</v>
      </c>
      <c r="V250" s="383">
        <f t="shared" si="83"/>
        <v>48.643584872144579</v>
      </c>
      <c r="W250" s="58"/>
      <c r="X250" s="157">
        <f t="shared" si="84"/>
        <v>43701</v>
      </c>
      <c r="Y250" s="385">
        <f t="shared" si="85"/>
        <v>48.048000000000002</v>
      </c>
      <c r="Z250" s="385">
        <f t="shared" si="86"/>
        <v>48.532418460985681</v>
      </c>
      <c r="AA250" s="386">
        <f t="shared" si="87"/>
        <v>51.215104436154121</v>
      </c>
      <c r="AB250" s="197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5.2380757682779659E-2</v>
      </c>
      <c r="AD250" s="231">
        <f>(INDEX(Models!$BJ250:$BT250,,AH250)*(1-AF250)+INDEX(Models!$BJ250:$BT250,,AH250+1)*AF250-ERP_i)*AE250*Ramure*Pc/MaxiM</f>
        <v>2.5947775391071503E-4</v>
      </c>
      <c r="AE250" s="305">
        <f t="shared" si="89"/>
        <v>0.7</v>
      </c>
      <c r="AF250" s="177">
        <f t="shared" si="90"/>
        <v>0.97824167617562074</v>
      </c>
      <c r="AG250" s="176">
        <f t="shared" si="91"/>
        <v>-2</v>
      </c>
      <c r="AH250" s="176">
        <f t="shared" si="92"/>
        <v>4</v>
      </c>
      <c r="AI250" s="225">
        <f t="shared" si="93"/>
        <v>-1.0217583238243793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8">
        <v>41.621000000000002</v>
      </c>
      <c r="C251" s="390"/>
      <c r="D251" s="393">
        <f t="shared" si="75"/>
        <v>42.041542461963346</v>
      </c>
      <c r="E251" s="385">
        <f t="shared" si="97"/>
        <v>44.373322391104843</v>
      </c>
      <c r="F251" s="385">
        <f t="shared" si="76"/>
        <v>44.381669016196078</v>
      </c>
      <c r="G251" s="110">
        <f t="shared" si="98"/>
        <v>0.85752984743338989</v>
      </c>
      <c r="H251" s="412" t="b">
        <f>Wh_hp&gt;='2018'!Maxi_hp</f>
        <v>1</v>
      </c>
      <c r="I251" s="390">
        <f>IF(H251,Wh_hp,'2018'!Maxi_hp)</f>
        <v>44.381669016196078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1.0003021709867665E-2</v>
      </c>
      <c r="M251" s="957"/>
      <c r="N251" s="957"/>
      <c r="O251" s="48">
        <f>IF(t&lt;Tnet,'2018'!Resal+('2018'!Salim-'2018'!Resal)*(1-EXP(('2018'!Tnet-t)/('2018'!Tau_j))),Resal+(Salim-Resal)*(1-EXP((Tnet-t)/(Tau_j))))*Salcycl</f>
        <v>5.2549139967236813E-2</v>
      </c>
      <c r="P251" s="169">
        <f>(INDEX(Models!$BJ251:$BT251,,T251)*(1-R251)+INDEX(Models!$BJ251:$BT251,,T251+1)*R251-ERP_i)*Q251*Ramure*Pc/MaxiM</f>
        <v>2.3610495283059237E-4</v>
      </c>
      <c r="Q251" s="305">
        <f t="shared" si="78"/>
        <v>0.7</v>
      </c>
      <c r="R251" s="177">
        <f t="shared" si="79"/>
        <v>0.97908864134358531</v>
      </c>
      <c r="S251" s="919">
        <f t="shared" si="80"/>
        <v>-2</v>
      </c>
      <c r="T251" s="176">
        <f t="shared" si="81"/>
        <v>4</v>
      </c>
      <c r="U251" s="251">
        <f t="shared" si="82"/>
        <v>-1.0209113586564147</v>
      </c>
      <c r="V251" s="383">
        <f t="shared" si="83"/>
        <v>48.533587798645158</v>
      </c>
      <c r="W251" s="58"/>
      <c r="X251" s="157">
        <f t="shared" si="84"/>
        <v>43702</v>
      </c>
      <c r="Y251" s="385">
        <f t="shared" si="85"/>
        <v>41.621000000000002</v>
      </c>
      <c r="Z251" s="385">
        <f t="shared" si="86"/>
        <v>42.041542461963346</v>
      </c>
      <c r="AA251" s="386">
        <f t="shared" si="87"/>
        <v>44.373322391104843</v>
      </c>
      <c r="AB251" s="197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5.2549139967236813E-2</v>
      </c>
      <c r="AD251" s="231">
        <f>(INDEX(Models!$BJ251:$BT251,,AH251)*(1-AF251)+INDEX(Models!$BJ251:$BT251,,AH251+1)*AF251-ERP_i)*AE251*Ramure*Pc/MaxiM</f>
        <v>2.3610495283059237E-4</v>
      </c>
      <c r="AE251" s="305">
        <f t="shared" si="89"/>
        <v>0.7</v>
      </c>
      <c r="AF251" s="177">
        <f t="shared" si="90"/>
        <v>0.97908864134358531</v>
      </c>
      <c r="AG251" s="176">
        <f t="shared" si="91"/>
        <v>-2</v>
      </c>
      <c r="AH251" s="176">
        <f t="shared" si="92"/>
        <v>4</v>
      </c>
      <c r="AI251" s="225">
        <f t="shared" si="93"/>
        <v>-1.0209113586564147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8">
        <v>42.334000000000003</v>
      </c>
      <c r="C252" s="390"/>
      <c r="D252" s="393">
        <f t="shared" si="75"/>
        <v>42.762683292907518</v>
      </c>
      <c r="E252" s="385">
        <f t="shared" si="97"/>
        <v>45.142427729744114</v>
      </c>
      <c r="F252" s="385">
        <f t="shared" si="76"/>
        <v>45.150394937519252</v>
      </c>
      <c r="G252" s="110">
        <f t="shared" si="98"/>
        <v>0.87421417449885064</v>
      </c>
      <c r="H252" s="412" t="b">
        <f>Wh_hp&gt;='2018'!Maxi_hp</f>
        <v>0</v>
      </c>
      <c r="I252" s="390">
        <f>IF(H252,Wh_hp,'2018'!Maxi_hp)</f>
        <v>53.637175533284911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1.0024705184452531E-2</v>
      </c>
      <c r="M252" s="957"/>
      <c r="N252" s="957"/>
      <c r="O252" s="48">
        <f>IF(t&lt;Tnet,'2018'!Resal+('2018'!Salim-'2018'!Resal)*(1-EXP(('2018'!Tnet-t)/('2018'!Tau_j))),Resal+(Salim-Resal)*(1-EXP((Tnet-t)/(Tau_j))))*Salcycl</f>
        <v>5.2716359232682489E-2</v>
      </c>
      <c r="P252" s="169">
        <f>(INDEX(Models!$BJ252:$BT252,,T252)*(1-R252)+INDEX(Models!$BJ252:$BT252,,T252+1)*R252-ERP_i)*Q252*Ramure*Pc/MaxiM</f>
        <v>2.1510136493371119E-4</v>
      </c>
      <c r="Q252" s="305">
        <f t="shared" si="78"/>
        <v>0.7</v>
      </c>
      <c r="R252" s="177">
        <f t="shared" si="79"/>
        <v>0.979904327344989</v>
      </c>
      <c r="S252" s="919">
        <f t="shared" si="80"/>
        <v>-2</v>
      </c>
      <c r="T252" s="176">
        <f t="shared" si="81"/>
        <v>4</v>
      </c>
      <c r="U252" s="251">
        <f t="shared" si="82"/>
        <v>-1.020095672655011</v>
      </c>
      <c r="V252" s="383">
        <f t="shared" si="83"/>
        <v>48.42333271823378</v>
      </c>
      <c r="W252" s="58"/>
      <c r="X252" s="157">
        <f t="shared" si="84"/>
        <v>43703</v>
      </c>
      <c r="Y252" s="385">
        <f t="shared" si="85"/>
        <v>42.334000000000003</v>
      </c>
      <c r="Z252" s="385">
        <f t="shared" si="86"/>
        <v>42.762683292907518</v>
      </c>
      <c r="AA252" s="386">
        <f t="shared" si="87"/>
        <v>45.142427729744114</v>
      </c>
      <c r="AB252" s="197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5.2716359232682489E-2</v>
      </c>
      <c r="AD252" s="231">
        <f>(INDEX(Models!$BJ252:$BT252,,AH252)*(1-AF252)+INDEX(Models!$BJ252:$BT252,,AH252+1)*AF252-ERP_i)*AE252*Ramure*Pc/MaxiM</f>
        <v>2.1510136493371119E-4</v>
      </c>
      <c r="AE252" s="305">
        <f t="shared" si="89"/>
        <v>0.7</v>
      </c>
      <c r="AF252" s="177">
        <f t="shared" si="90"/>
        <v>0.979904327344989</v>
      </c>
      <c r="AG252" s="176">
        <f t="shared" si="91"/>
        <v>-2</v>
      </c>
      <c r="AH252" s="176">
        <f t="shared" si="92"/>
        <v>4</v>
      </c>
      <c r="AI252" s="225">
        <f t="shared" si="93"/>
        <v>-1.020095672655011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8">
        <v>29.751999999999999</v>
      </c>
      <c r="C253" s="390"/>
      <c r="D253" s="393">
        <f t="shared" si="75"/>
        <v>30.053933482221925</v>
      </c>
      <c r="E253" s="385">
        <f t="shared" si="97"/>
        <v>31.731998051256582</v>
      </c>
      <c r="F253" s="385">
        <f t="shared" si="76"/>
        <v>31.734811402749937</v>
      </c>
      <c r="G253" s="110">
        <f t="shared" si="98"/>
        <v>0.61575955492180301</v>
      </c>
      <c r="H253" s="412" t="b">
        <f>Wh_hp&gt;='2018'!Maxi_hp</f>
        <v>0</v>
      </c>
      <c r="I253" s="390">
        <f>IF(H253,Wh_hp,'2018'!Maxi_hp)</f>
        <v>51.403994258295555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1.0046388184113519E-2</v>
      </c>
      <c r="M253" s="957"/>
      <c r="N253" s="957"/>
      <c r="O253" s="48">
        <f>IF(t&lt;Tnet,'2018'!Resal+('2018'!Salim-'2018'!Resal)*(1-EXP(('2018'!Tnet-t)/('2018'!Tau_j))),Resal+(Salim-Resal)*(1-EXP((Tnet-t)/(Tau_j))))*Salcycl</f>
        <v>5.2882411196549441E-2</v>
      </c>
      <c r="P253" s="169">
        <f>(INDEX(Models!$BJ253:$BT253,,T253)*(1-R253)+INDEX(Models!$BJ253:$BT253,,T253+1)*R253-ERP_i)*Q253*Ramure*Pc/MaxiM</f>
        <v>1.9648901490926395E-4</v>
      </c>
      <c r="Q253" s="305">
        <f t="shared" si="78"/>
        <v>0.7</v>
      </c>
      <c r="R253" s="177">
        <f t="shared" si="79"/>
        <v>0.98068978418023622</v>
      </c>
      <c r="S253" s="919">
        <f t="shared" si="80"/>
        <v>-2</v>
      </c>
      <c r="T253" s="176">
        <f t="shared" si="81"/>
        <v>4</v>
      </c>
      <c r="U253" s="251">
        <f t="shared" si="82"/>
        <v>-1.0193102158197638</v>
      </c>
      <c r="V253" s="383">
        <f t="shared" si="83"/>
        <v>48.312350345319061</v>
      </c>
      <c r="W253" s="58"/>
      <c r="X253" s="157">
        <f t="shared" si="84"/>
        <v>43704</v>
      </c>
      <c r="Y253" s="385">
        <f t="shared" si="85"/>
        <v>29.751999999999999</v>
      </c>
      <c r="Z253" s="385">
        <f t="shared" si="86"/>
        <v>30.053933482221925</v>
      </c>
      <c r="AA253" s="386">
        <f t="shared" si="87"/>
        <v>31.731998051256582</v>
      </c>
      <c r="AB253" s="197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5.2882411196549441E-2</v>
      </c>
      <c r="AD253" s="231">
        <f>(INDEX(Models!$BJ253:$BT253,,AH253)*(1-AF253)+INDEX(Models!$BJ253:$BT253,,AH253+1)*AF253-ERP_i)*AE253*Ramure*Pc/MaxiM</f>
        <v>1.9648901490926395E-4</v>
      </c>
      <c r="AE253" s="305">
        <f t="shared" si="89"/>
        <v>0.7</v>
      </c>
      <c r="AF253" s="177">
        <f t="shared" si="90"/>
        <v>0.98068978418023622</v>
      </c>
      <c r="AG253" s="176">
        <f t="shared" si="91"/>
        <v>-2</v>
      </c>
      <c r="AH253" s="176">
        <f t="shared" si="92"/>
        <v>4</v>
      </c>
      <c r="AI253" s="225">
        <f t="shared" si="93"/>
        <v>-1.0193102158197638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8">
        <v>34.357999999999997</v>
      </c>
      <c r="C254" s="390"/>
      <c r="D254" s="393">
        <f t="shared" si="75"/>
        <v>34.707436929125777</v>
      </c>
      <c r="E254" s="385">
        <f t="shared" si="97"/>
        <v>36.651710911017886</v>
      </c>
      <c r="F254" s="385">
        <f t="shared" si="76"/>
        <v>36.655621293137443</v>
      </c>
      <c r="G254" s="110">
        <f t="shared" si="98"/>
        <v>0.71276655975523473</v>
      </c>
      <c r="H254" s="412" t="b">
        <f>Wh_hp&gt;='2018'!Maxi_hp</f>
        <v>0</v>
      </c>
      <c r="I254" s="390">
        <f>IF(H254,Wh_hp,'2018'!Maxi_hp)</f>
        <v>43.257954582794689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1.0068070708861288E-2</v>
      </c>
      <c r="M254" s="957"/>
      <c r="N254" s="957"/>
      <c r="O254" s="48">
        <f>IF(t&lt;Tnet,'2018'!Resal+('2018'!Salim-'2018'!Resal)*(1-EXP(('2018'!Tnet-t)/('2018'!Tau_j))),Resal+(Salim-Resal)*(1-EXP((Tnet-t)/(Tau_j))))*Salcycl</f>
        <v>5.3047291205924031E-2</v>
      </c>
      <c r="P254" s="169">
        <f>(INDEX(Models!$BJ254:$BT254,,T254)*(1-R254)+INDEX(Models!$BJ254:$BT254,,T254+1)*R254-ERP_i)*Q254*Ramure*Pc/MaxiM</f>
        <v>1.8089080301196146E-4</v>
      </c>
      <c r="Q254" s="305">
        <f t="shared" si="78"/>
        <v>0.7</v>
      </c>
      <c r="R254" s="177">
        <f t="shared" si="79"/>
        <v>0.981446034632796</v>
      </c>
      <c r="S254" s="919">
        <f t="shared" si="80"/>
        <v>-2</v>
      </c>
      <c r="T254" s="176">
        <f t="shared" si="81"/>
        <v>4</v>
      </c>
      <c r="U254" s="251">
        <f t="shared" si="82"/>
        <v>-1.018553965367204</v>
      </c>
      <c r="V254" s="383">
        <f t="shared" si="83"/>
        <v>48.20014278996419</v>
      </c>
      <c r="W254" s="58"/>
      <c r="X254" s="157">
        <f t="shared" si="84"/>
        <v>43705</v>
      </c>
      <c r="Y254" s="385">
        <f t="shared" si="85"/>
        <v>34.357999999999997</v>
      </c>
      <c r="Z254" s="385">
        <f t="shared" si="86"/>
        <v>34.707436929125777</v>
      </c>
      <c r="AA254" s="386">
        <f t="shared" si="87"/>
        <v>36.651710911017886</v>
      </c>
      <c r="AB254" s="197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5.3047291205924031E-2</v>
      </c>
      <c r="AD254" s="231">
        <f>(INDEX(Models!$BJ254:$BT254,,AH254)*(1-AF254)+INDEX(Models!$BJ254:$BT254,,AH254+1)*AF254-ERP_i)*AE254*Ramure*Pc/MaxiM</f>
        <v>1.8089080301196146E-4</v>
      </c>
      <c r="AE254" s="305">
        <f t="shared" si="89"/>
        <v>0.7</v>
      </c>
      <c r="AF254" s="177">
        <f t="shared" si="90"/>
        <v>0.981446034632796</v>
      </c>
      <c r="AG254" s="176">
        <f t="shared" si="91"/>
        <v>-2</v>
      </c>
      <c r="AH254" s="176">
        <f t="shared" si="92"/>
        <v>4</v>
      </c>
      <c r="AI254" s="225">
        <f t="shared" si="93"/>
        <v>-1.018553965367204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8">
        <v>46.094999999999999</v>
      </c>
      <c r="C255" s="390"/>
      <c r="D255" s="393">
        <f t="shared" si="75"/>
        <v>46.5648275977127</v>
      </c>
      <c r="E255" s="385">
        <f t="shared" si="97"/>
        <v>49.181842325646357</v>
      </c>
      <c r="F255" s="385">
        <f t="shared" si="76"/>
        <v>49.189574840738644</v>
      </c>
      <c r="G255" s="110">
        <f t="shared" si="98"/>
        <v>0.95857952757993004</v>
      </c>
      <c r="H255" s="412" t="b">
        <f>Wh_hp&gt;='2018'!Maxi_hp</f>
        <v>1</v>
      </c>
      <c r="I255" s="390">
        <f>IF(H255,Wh_hp,'2018'!Maxi_hp)</f>
        <v>49.189574840738644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1.0089752758706161E-2</v>
      </c>
      <c r="M255" s="957"/>
      <c r="N255" s="957"/>
      <c r="O255" s="48">
        <f>IF(t&lt;Tnet,'2018'!Resal+('2018'!Salim-'2018'!Resal)*(1-EXP(('2018'!Tnet-t)/('2018'!Tau_j))),Resal+(Salim-Resal)*(1-EXP((Tnet-t)/(Tau_j))))*Salcycl</f>
        <v>5.3210994224366107E-2</v>
      </c>
      <c r="P255" s="169">
        <f>(INDEX(Models!$BJ255:$BT255,,T255)*(1-R255)+INDEX(Models!$BJ255:$BT255,,T255+1)*R255-ERP_i)*Q255*Ramure*Pc/MaxiM</f>
        <v>1.6708261820568647E-4</v>
      </c>
      <c r="Q255" s="305">
        <f t="shared" si="78"/>
        <v>0.7</v>
      </c>
      <c r="R255" s="177">
        <f t="shared" si="79"/>
        <v>0.98217407433509063</v>
      </c>
      <c r="S255" s="919">
        <f t="shared" si="80"/>
        <v>-2</v>
      </c>
      <c r="T255" s="176">
        <f t="shared" si="81"/>
        <v>4</v>
      </c>
      <c r="U255" s="251">
        <f t="shared" si="82"/>
        <v>-1.0178259256649094</v>
      </c>
      <c r="V255" s="383">
        <f t="shared" si="83"/>
        <v>48.086301639254039</v>
      </c>
      <c r="W255" s="58"/>
      <c r="X255" s="157">
        <f t="shared" si="84"/>
        <v>43706</v>
      </c>
      <c r="Y255" s="385">
        <f t="shared" si="85"/>
        <v>46.094999999999999</v>
      </c>
      <c r="Z255" s="385">
        <f t="shared" si="86"/>
        <v>46.5648275977127</v>
      </c>
      <c r="AA255" s="386">
        <f t="shared" si="87"/>
        <v>49.181842325646357</v>
      </c>
      <c r="AB255" s="197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5.3210994224366107E-2</v>
      </c>
      <c r="AD255" s="231">
        <f>(INDEX(Models!$BJ255:$BT255,,AH255)*(1-AF255)+INDEX(Models!$BJ255:$BT255,,AH255+1)*AF255-ERP_i)*AE255*Ramure*Pc/MaxiM</f>
        <v>1.6708261820568647E-4</v>
      </c>
      <c r="AE255" s="305">
        <f t="shared" si="89"/>
        <v>0.7</v>
      </c>
      <c r="AF255" s="177">
        <f t="shared" si="90"/>
        <v>0.98217407433509063</v>
      </c>
      <c r="AG255" s="176">
        <f t="shared" si="91"/>
        <v>-2</v>
      </c>
      <c r="AH255" s="176">
        <f t="shared" si="92"/>
        <v>4</v>
      </c>
      <c r="AI255" s="225">
        <f t="shared" si="93"/>
        <v>-1.0178259256649094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8">
        <v>45.640999999999998</v>
      </c>
      <c r="C256" s="390"/>
      <c r="D256" s="393">
        <f t="shared" si="75"/>
        <v>46.107210026491053</v>
      </c>
      <c r="E256" s="385">
        <f t="shared" si="97"/>
        <v>48.706866697750741</v>
      </c>
      <c r="F256" s="385">
        <f t="shared" si="76"/>
        <v>48.713897156166894</v>
      </c>
      <c r="G256" s="110">
        <f t="shared" si="98"/>
        <v>0.95143146790816213</v>
      </c>
      <c r="H256" s="412" t="b">
        <f>Wh_hp&gt;='2018'!Maxi_hp</f>
        <v>1</v>
      </c>
      <c r="I256" s="390">
        <f>IF(H256,Wh_hp,'2018'!Maxi_hp)</f>
        <v>48.713897156166894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1.0111434333658353E-2</v>
      </c>
      <c r="M256" s="957"/>
      <c r="N256" s="957"/>
      <c r="O256" s="48">
        <f>IF(t&lt;Tnet,'2018'!Resal+('2018'!Salim-'2018'!Resal)*(1-EXP(('2018'!Tnet-t)/('2018'!Tau_j))),Resal+(Salim-Resal)*(1-EXP((Tnet-t)/(Tau_j))))*Salcycl</f>
        <v>5.3373514814487912E-2</v>
      </c>
      <c r="P256" s="169">
        <f>(INDEX(Models!$BJ256:$BT256,,T256)*(1-R256)+INDEX(Models!$BJ256:$BT256,,T256+1)*R256-ERP_i)*Q256*Ramure*Pc/MaxiM</f>
        <v>1.5507909241017323E-4</v>
      </c>
      <c r="Q256" s="305">
        <f t="shared" si="78"/>
        <v>0.7</v>
      </c>
      <c r="R256" s="177">
        <f t="shared" si="79"/>
        <v>0.98287487189626543</v>
      </c>
      <c r="S256" s="919">
        <f t="shared" si="80"/>
        <v>-2</v>
      </c>
      <c r="T256" s="176">
        <f t="shared" si="81"/>
        <v>4</v>
      </c>
      <c r="U256" s="251">
        <f t="shared" si="82"/>
        <v>-1.0171251281037346</v>
      </c>
      <c r="V256" s="383">
        <f t="shared" si="83"/>
        <v>47.970358851151644</v>
      </c>
      <c r="W256" s="58"/>
      <c r="X256" s="157">
        <f t="shared" si="84"/>
        <v>43707</v>
      </c>
      <c r="Y256" s="385">
        <f t="shared" si="85"/>
        <v>45.640999999999998</v>
      </c>
      <c r="Z256" s="385">
        <f t="shared" si="86"/>
        <v>46.107210026491053</v>
      </c>
      <c r="AA256" s="386">
        <f t="shared" si="87"/>
        <v>48.706866697750741</v>
      </c>
      <c r="AB256" s="197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5.3373514814487912E-2</v>
      </c>
      <c r="AD256" s="231">
        <f>(INDEX(Models!$BJ256:$BT256,,AH256)*(1-AF256)+INDEX(Models!$BJ256:$BT256,,AH256+1)*AF256-ERP_i)*AE256*Ramure*Pc/MaxiM</f>
        <v>1.5507909241017323E-4</v>
      </c>
      <c r="AE256" s="305">
        <f t="shared" si="89"/>
        <v>0.7</v>
      </c>
      <c r="AF256" s="177">
        <f t="shared" si="90"/>
        <v>0.98287487189626543</v>
      </c>
      <c r="AG256" s="176">
        <f t="shared" si="91"/>
        <v>-2</v>
      </c>
      <c r="AH256" s="176">
        <f t="shared" si="92"/>
        <v>4</v>
      </c>
      <c r="AI256" s="225">
        <f t="shared" si="93"/>
        <v>-1.0171251281037346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8">
        <v>44.063000000000002</v>
      </c>
      <c r="C257" s="390"/>
      <c r="D257" s="393">
        <f t="shared" si="75"/>
        <v>44.514066170934711</v>
      </c>
      <c r="E257" s="385">
        <f t="shared" si="97"/>
        <v>47.031912411493721</v>
      </c>
      <c r="F257" s="385">
        <f t="shared" si="76"/>
        <v>47.03795702238282</v>
      </c>
      <c r="G257" s="110">
        <f t="shared" si="98"/>
        <v>0.92080621141362373</v>
      </c>
      <c r="H257" s="412" t="b">
        <f>Wh_hp&gt;='2018'!Maxi_hp</f>
        <v>0</v>
      </c>
      <c r="I257" s="390">
        <f>IF(H257,Wh_hp,'2018'!Maxi_hp)</f>
        <v>47.557915907198883</v>
      </c>
      <c r="J257" s="85">
        <f>IF(H257,An,'2018'!An_max)</f>
        <v>2018</v>
      </c>
      <c r="K257" s="197">
        <f t="shared" si="77"/>
        <v>43708</v>
      </c>
      <c r="L257" s="147">
        <f>IF(t&lt;Tvie,1-EXP((T0-t)*PertePVj)+'2018'!Pspv,1-EXP((T0-t)*PertePVj)+Pspv)</f>
        <v>1.0133115433728523E-2</v>
      </c>
      <c r="M257" s="957"/>
      <c r="N257" s="957"/>
      <c r="O257" s="48">
        <f>IF(t&lt;Tnet,'2018'!Resal+('2018'!Salim-'2018'!Resal)*(1-EXP(('2018'!Tnet-t)/('2018'!Tau_j))),Resal+(Salim-Resal)*(1-EXP((Tnet-t)/(Tau_j))))*Salcycl</f>
        <v>5.3534847116778035E-2</v>
      </c>
      <c r="P257" s="169">
        <f>(INDEX(Models!$BJ257:$BT257,,T257)*(1-R257)+INDEX(Models!$BJ257:$BT257,,T257+1)*R257-ERP_i)*Q257*Ramure*Pc/MaxiM</f>
        <v>1.4489430825476098E-4</v>
      </c>
      <c r="Q257" s="305">
        <f t="shared" si="78"/>
        <v>0.7</v>
      </c>
      <c r="R257" s="177">
        <f t="shared" si="79"/>
        <v>0.98354936908596557</v>
      </c>
      <c r="S257" s="919">
        <f t="shared" si="80"/>
        <v>-2</v>
      </c>
      <c r="T257" s="176">
        <f t="shared" si="81"/>
        <v>4</v>
      </c>
      <c r="U257" s="251">
        <f t="shared" si="82"/>
        <v>-1.0164506309140344</v>
      </c>
      <c r="V257" s="383">
        <f t="shared" si="83"/>
        <v>47.851846780862509</v>
      </c>
      <c r="W257" s="58"/>
      <c r="X257" s="157">
        <f t="shared" si="84"/>
        <v>43708</v>
      </c>
      <c r="Y257" s="385">
        <f t="shared" si="85"/>
        <v>44.063000000000002</v>
      </c>
      <c r="Z257" s="385">
        <f t="shared" si="86"/>
        <v>44.514066170934711</v>
      </c>
      <c r="AA257" s="386">
        <f t="shared" si="87"/>
        <v>47.031912411493721</v>
      </c>
      <c r="AB257" s="197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5.3534847116778035E-2</v>
      </c>
      <c r="AD257" s="231">
        <f>(INDEX(Models!$BJ257:$BT257,,AH257)*(1-AF257)+INDEX(Models!$BJ257:$BT257,,AH257+1)*AF257-ERP_i)*AE257*Ramure*Pc/MaxiM</f>
        <v>1.4489430825476098E-4</v>
      </c>
      <c r="AE257" s="305">
        <f t="shared" si="89"/>
        <v>0.7</v>
      </c>
      <c r="AF257" s="177">
        <f t="shared" si="90"/>
        <v>0.98354936908596557</v>
      </c>
      <c r="AG257" s="176">
        <f t="shared" si="91"/>
        <v>-2</v>
      </c>
      <c r="AH257" s="176">
        <f t="shared" si="92"/>
        <v>4</v>
      </c>
      <c r="AI257" s="225">
        <f t="shared" si="93"/>
        <v>-1.0164506309140344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8">
        <v>14.961</v>
      </c>
      <c r="C258" s="390"/>
      <c r="D258" s="393">
        <f t="shared" si="75"/>
        <v>15.114484507711621</v>
      </c>
      <c r="E258" s="385">
        <f t="shared" si="97"/>
        <v>15.972106525209886</v>
      </c>
      <c r="F258" s="385">
        <f t="shared" si="76"/>
        <v>15.972148424999762</v>
      </c>
      <c r="G258" s="110">
        <f t="shared" si="98"/>
        <v>0.3134067250489766</v>
      </c>
      <c r="H258" s="412" t="b">
        <f>Wh_hp&gt;='2018'!Maxi_hp</f>
        <v>0</v>
      </c>
      <c r="I258" s="390">
        <f>IF(H258,Wh_hp,'2018'!Maxi_hp)</f>
        <v>52.083506608695828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1.0154796058926885E-2</v>
      </c>
      <c r="M258" s="957"/>
      <c r="N258" s="957"/>
      <c r="O258" s="48">
        <f>IF(t&lt;Tnet,'2018'!Resal+('2018'!Salim-'2018'!Resal)*(1-EXP(('2018'!Tnet-t)/('2018'!Tau_j))),Resal+(Salim-Resal)*(1-EXP((Tnet-t)/(Tau_j))))*Salcycl</f>
        <v>5.3694984825240273E-2</v>
      </c>
      <c r="P258" s="169">
        <f>(INDEX(Models!$BJ258:$BT258,,T258)*(1-R258)+INDEX(Models!$BJ258:$BT258,,T258+1)*R258-ERP_i)*Q258*Ramure*Pc/MaxiM</f>
        <v>1.3654197610733898E-4</v>
      </c>
      <c r="Q258" s="305">
        <f t="shared" si="78"/>
        <v>0.7</v>
      </c>
      <c r="R258" s="177">
        <f t="shared" si="79"/>
        <v>0.98419848106858709</v>
      </c>
      <c r="S258" s="919">
        <f t="shared" si="80"/>
        <v>-2</v>
      </c>
      <c r="T258" s="176">
        <f t="shared" si="81"/>
        <v>4</v>
      </c>
      <c r="U258" s="251">
        <f t="shared" si="82"/>
        <v>-1.0158015189314129</v>
      </c>
      <c r="V258" s="383">
        <f t="shared" si="83"/>
        <v>47.730298177688105</v>
      </c>
      <c r="W258" s="58"/>
      <c r="X258" s="157">
        <f t="shared" si="84"/>
        <v>43709</v>
      </c>
      <c r="Y258" s="385">
        <f t="shared" si="85"/>
        <v>14.961</v>
      </c>
      <c r="Z258" s="385">
        <f t="shared" si="86"/>
        <v>15.114484507711621</v>
      </c>
      <c r="AA258" s="386">
        <f t="shared" si="87"/>
        <v>15.972106525209886</v>
      </c>
      <c r="AB258" s="197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5.3694984825240273E-2</v>
      </c>
      <c r="AD258" s="231">
        <f>(INDEX(Models!$BJ258:$BT258,,AH258)*(1-AF258)+INDEX(Models!$BJ258:$BT258,,AH258+1)*AF258-ERP_i)*AE258*Ramure*Pc/MaxiM</f>
        <v>1.3654197610733898E-4</v>
      </c>
      <c r="AE258" s="305">
        <f t="shared" si="89"/>
        <v>0.7</v>
      </c>
      <c r="AF258" s="177">
        <f t="shared" si="90"/>
        <v>0.98419848106858709</v>
      </c>
      <c r="AG258" s="176">
        <f t="shared" si="91"/>
        <v>-2</v>
      </c>
      <c r="AH258" s="176">
        <f t="shared" si="92"/>
        <v>4</v>
      </c>
      <c r="AI258" s="225">
        <f t="shared" si="93"/>
        <v>-1.0158015189314129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8">
        <v>46.185000000000002</v>
      </c>
      <c r="C259" s="390"/>
      <c r="D259" s="393">
        <f t="shared" si="75"/>
        <v>46.659832677167437</v>
      </c>
      <c r="E259" s="385">
        <f t="shared" si="97"/>
        <v>49.315675159165728</v>
      </c>
      <c r="F259" s="385">
        <f t="shared" si="76"/>
        <v>49.321815406073689</v>
      </c>
      <c r="G259" s="110">
        <f t="shared" si="98"/>
        <v>0.97016080611778843</v>
      </c>
      <c r="H259" s="412" t="b">
        <f>Wh_hp&gt;='2018'!Maxi_hp</f>
        <v>0</v>
      </c>
      <c r="I259" s="390">
        <f>IF(H259,Wh_hp,'2018'!Maxi_hp)</f>
        <v>50.502495754224739</v>
      </c>
      <c r="J259" s="85">
        <f>IF(H259,An,'2018'!An_max)</f>
        <v>2018</v>
      </c>
      <c r="K259" s="197">
        <f t="shared" si="77"/>
        <v>43710</v>
      </c>
      <c r="L259" s="147">
        <f>IF(t&lt;Tvie,1-EXP((T0-t)*PertePVj)+'2018'!Pspv,1-EXP((T0-t)*PertePVj)+Pspv)</f>
        <v>1.0176476209263985E-2</v>
      </c>
      <c r="M259" s="957"/>
      <c r="N259" s="957"/>
      <c r="O259" s="48">
        <f>IF(t&lt;Tnet,'2018'!Resal+('2018'!Salim-'2018'!Resal)*(1-EXP(('2018'!Tnet-t)/('2018'!Tau_j))),Resal+(Salim-Resal)*(1-EXP((Tnet-t)/(Tau_j))))*Salcycl</f>
        <v>5.3853921160495075E-2</v>
      </c>
      <c r="P259" s="169">
        <f>(INDEX(Models!$BJ259:$BT259,,T259)*(1-R259)+INDEX(Models!$BJ259:$BT259,,T259+1)*R259-ERP_i)*Q259*Ramure*Pc/MaxiM</f>
        <v>1.3003561380880491E-4</v>
      </c>
      <c r="Q259" s="305">
        <f t="shared" si="78"/>
        <v>0.7</v>
      </c>
      <c r="R259" s="177">
        <f t="shared" si="79"/>
        <v>0.98482309668279377</v>
      </c>
      <c r="S259" s="919">
        <f t="shared" si="80"/>
        <v>-2</v>
      </c>
      <c r="T259" s="176">
        <f t="shared" si="81"/>
        <v>4</v>
      </c>
      <c r="U259" s="251">
        <f t="shared" si="82"/>
        <v>-1.0151769033172062</v>
      </c>
      <c r="V259" s="383">
        <f t="shared" si="83"/>
        <v>47.605246177492347</v>
      </c>
      <c r="W259" s="58"/>
      <c r="X259" s="157">
        <f t="shared" si="84"/>
        <v>43710</v>
      </c>
      <c r="Y259" s="385">
        <f t="shared" si="85"/>
        <v>46.185000000000002</v>
      </c>
      <c r="Z259" s="385">
        <f t="shared" si="86"/>
        <v>46.659832677167437</v>
      </c>
      <c r="AA259" s="386">
        <f t="shared" si="87"/>
        <v>49.315675159165728</v>
      </c>
      <c r="AB259" s="197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5.3853921160495075E-2</v>
      </c>
      <c r="AD259" s="231">
        <f>(INDEX(Models!$BJ259:$BT259,,AH259)*(1-AF259)+INDEX(Models!$BJ259:$BT259,,AH259+1)*AF259-ERP_i)*AE259*Ramure*Pc/MaxiM</f>
        <v>1.3003561380880491E-4</v>
      </c>
      <c r="AE259" s="305">
        <f t="shared" si="89"/>
        <v>0.7</v>
      </c>
      <c r="AF259" s="177">
        <f t="shared" si="90"/>
        <v>0.98482309668279377</v>
      </c>
      <c r="AG259" s="176">
        <f t="shared" si="91"/>
        <v>-2</v>
      </c>
      <c r="AH259" s="176">
        <f t="shared" si="92"/>
        <v>4</v>
      </c>
      <c r="AI259" s="225">
        <f t="shared" si="93"/>
        <v>-1.0151769033172062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8">
        <v>48.637</v>
      </c>
      <c r="C260" s="390"/>
      <c r="D260" s="393">
        <f t="shared" si="75"/>
        <v>49.138118189176495</v>
      </c>
      <c r="E260" s="385">
        <f t="shared" si="97"/>
        <v>51.94368210663162</v>
      </c>
      <c r="F260" s="385">
        <f t="shared" si="76"/>
        <v>51.950196075696489</v>
      </c>
      <c r="G260" s="110">
        <f t="shared" si="98"/>
        <v>1.0244496211876524</v>
      </c>
      <c r="H260" s="412" t="b">
        <f>Wh_hp&gt;='2018'!Maxi_hp</f>
        <v>1</v>
      </c>
      <c r="I260" s="390">
        <f>IF(H260,Wh_hp,'2018'!Maxi_hp)</f>
        <v>51.950196075696489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1.0198155884750038E-2</v>
      </c>
      <c r="M260" s="957"/>
      <c r="N260" s="957"/>
      <c r="O260" s="48">
        <f>IF(t&lt;Tnet,'2018'!Resal+('2018'!Salim-'2018'!Resal)*(1-EXP(('2018'!Tnet-t)/('2018'!Tau_j))),Resal+(Salim-Resal)*(1-EXP((Tnet-t)/(Tau_j))))*Salcycl</f>
        <v>5.4011648841061709E-2</v>
      </c>
      <c r="P260" s="169">
        <f>(INDEX(Models!$BJ260:$BT260,,T260)*(1-R260)+INDEX(Models!$BJ260:$BT260,,T260+1)*R260-ERP_i)*Q260*Ramure*Pc/MaxiM</f>
        <v>1.253887291470315E-4</v>
      </c>
      <c r="Q260" s="305">
        <f t="shared" si="78"/>
        <v>0.7</v>
      </c>
      <c r="R260" s="177">
        <f t="shared" si="79"/>
        <v>0.98542407876141924</v>
      </c>
      <c r="S260" s="919">
        <f t="shared" si="80"/>
        <v>-2</v>
      </c>
      <c r="T260" s="176">
        <f t="shared" si="81"/>
        <v>4</v>
      </c>
      <c r="U260" s="251">
        <f t="shared" si="82"/>
        <v>-1.0145759212385808</v>
      </c>
      <c r="V260" s="383">
        <f t="shared" si="83"/>
        <v>47.476224300434367</v>
      </c>
      <c r="W260" s="58"/>
      <c r="X260" s="157">
        <f t="shared" si="84"/>
        <v>43711</v>
      </c>
      <c r="Y260" s="385">
        <f t="shared" si="85"/>
        <v>48.637</v>
      </c>
      <c r="Z260" s="385">
        <f t="shared" si="86"/>
        <v>49.138118189176495</v>
      </c>
      <c r="AA260" s="386">
        <f t="shared" si="87"/>
        <v>51.94368210663162</v>
      </c>
      <c r="AB260" s="197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5.4011648841061709E-2</v>
      </c>
      <c r="AD260" s="231">
        <f>(INDEX(Models!$BJ260:$BT260,,AH260)*(1-AF260)+INDEX(Models!$BJ260:$BT260,,AH260+1)*AF260-ERP_i)*AE260*Ramure*Pc/MaxiM</f>
        <v>1.253887291470315E-4</v>
      </c>
      <c r="AE260" s="305">
        <f t="shared" si="89"/>
        <v>0.7</v>
      </c>
      <c r="AF260" s="177">
        <f t="shared" si="90"/>
        <v>0.98542407876141924</v>
      </c>
      <c r="AG260" s="176">
        <f t="shared" si="91"/>
        <v>-2</v>
      </c>
      <c r="AH260" s="176">
        <f t="shared" si="92"/>
        <v>4</v>
      </c>
      <c r="AI260" s="225">
        <f t="shared" si="93"/>
        <v>-1.0145759212385808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8">
        <v>48.08</v>
      </c>
      <c r="C261" s="390"/>
      <c r="D261" s="393">
        <f t="shared" si="75"/>
        <v>48.576443238937017</v>
      </c>
      <c r="E261" s="385">
        <f t="shared" si="97"/>
        <v>51.358435175633218</v>
      </c>
      <c r="F261" s="385">
        <f t="shared" si="76"/>
        <v>51.364733019215166</v>
      </c>
      <c r="G261" s="110">
        <f t="shared" si="98"/>
        <v>1.0155329957627435</v>
      </c>
      <c r="H261" s="412" t="b">
        <f>Wh_hp&gt;='2018'!Maxi_hp</f>
        <v>1</v>
      </c>
      <c r="I261" s="390">
        <f>IF(H261,Wh_hp,'2018'!Maxi_hp)</f>
        <v>51.364733019215166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1.0219835085395701E-2</v>
      </c>
      <c r="M261" s="957"/>
      <c r="N261" s="957"/>
      <c r="O261" s="48">
        <f>IF(t&lt;Tnet,'2018'!Resal+('2018'!Salim-'2018'!Resal)*(1-EXP(('2018'!Tnet-t)/('2018'!Tau_j))),Resal+(Salim-Resal)*(1-EXP((Tnet-t)/(Tau_j))))*Salcycl</f>
        <v>5.4168160053601165E-2</v>
      </c>
      <c r="P261" s="169">
        <f>(INDEX(Models!$BJ261:$BT261,,T261)*(1-R261)+INDEX(Models!$BJ261:$BT261,,T261+1)*R261-ERP_i)*Q261*Ramure*Pc/MaxiM</f>
        <v>1.2261026606695844E-4</v>
      </c>
      <c r="Q261" s="305">
        <f t="shared" si="78"/>
        <v>0.7</v>
      </c>
      <c r="R261" s="177">
        <f t="shared" si="79"/>
        <v>0.98600226448718331</v>
      </c>
      <c r="S261" s="919">
        <f t="shared" si="80"/>
        <v>-2</v>
      </c>
      <c r="T261" s="176">
        <f t="shared" si="81"/>
        <v>4</v>
      </c>
      <c r="U261" s="251">
        <f t="shared" si="82"/>
        <v>-1.0139977355128167</v>
      </c>
      <c r="V261" s="383">
        <f t="shared" si="83"/>
        <v>47.344596581904476</v>
      </c>
      <c r="W261" s="58"/>
      <c r="X261" s="157">
        <f t="shared" si="84"/>
        <v>43712</v>
      </c>
      <c r="Y261" s="385">
        <f t="shared" si="85"/>
        <v>48.08</v>
      </c>
      <c r="Z261" s="385">
        <f t="shared" si="86"/>
        <v>48.576443238937017</v>
      </c>
      <c r="AA261" s="386">
        <f t="shared" si="87"/>
        <v>51.358435175633218</v>
      </c>
      <c r="AB261" s="197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5.4168160053601165E-2</v>
      </c>
      <c r="AD261" s="231">
        <f>(INDEX(Models!$BJ261:$BT261,,AH261)*(1-AF261)+INDEX(Models!$BJ261:$BT261,,AH261+1)*AF261-ERP_i)*AE261*Ramure*Pc/MaxiM</f>
        <v>1.2261026606695844E-4</v>
      </c>
      <c r="AE261" s="305">
        <f t="shared" si="89"/>
        <v>0.7</v>
      </c>
      <c r="AF261" s="177">
        <f t="shared" si="90"/>
        <v>0.98600226448718331</v>
      </c>
      <c r="AG261" s="176">
        <f t="shared" si="91"/>
        <v>-2</v>
      </c>
      <c r="AH261" s="176">
        <f t="shared" si="92"/>
        <v>4</v>
      </c>
      <c r="AI261" s="225">
        <f t="shared" si="93"/>
        <v>-1.0139977355128167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8">
        <v>36.912999999999997</v>
      </c>
      <c r="C262" s="390"/>
      <c r="D262" s="393">
        <f t="shared" si="75"/>
        <v>37.294956815312538</v>
      </c>
      <c r="E262" s="385">
        <f t="shared" si="97"/>
        <v>39.437328412387224</v>
      </c>
      <c r="F262" s="385">
        <f t="shared" si="76"/>
        <v>39.440637642162109</v>
      </c>
      <c r="G262" s="110">
        <f t="shared" si="98"/>
        <v>0.78182947203025843</v>
      </c>
      <c r="H262" s="412" t="b">
        <f>Wh_hp&gt;='2018'!Maxi_hp</f>
        <v>0</v>
      </c>
      <c r="I262" s="390">
        <f>IF(H262,Wh_hp,'2018'!Maxi_hp)</f>
        <v>44.053826687887273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1.0241513811211078E-2</v>
      </c>
      <c r="M262" s="957"/>
      <c r="N262" s="957"/>
      <c r="O262" s="48">
        <f>IF(t&lt;Tnet,'2018'!Resal+('2018'!Salim-'2018'!Resal)*(1-EXP(('2018'!Tnet-t)/('2018'!Tau_j))),Resal+(Salim-Resal)*(1-EXP((Tnet-t)/(Tau_j))))*Salcycl</f>
        <v>5.4323446422952087E-2</v>
      </c>
      <c r="P262" s="169">
        <f>(INDEX(Models!$BJ262:$BT262,,T262)*(1-R262)+INDEX(Models!$BJ262:$BT262,,T262+1)*R262-ERP_i)*Q262*Ramure*Pc/MaxiM</f>
        <v>1.2188798711600412E-4</v>
      </c>
      <c r="Q262" s="305">
        <f t="shared" si="78"/>
        <v>0.7</v>
      </c>
      <c r="R262" s="177">
        <f t="shared" si="79"/>
        <v>0.98655846577995532</v>
      </c>
      <c r="S262" s="919">
        <f t="shared" si="80"/>
        <v>-2</v>
      </c>
      <c r="T262" s="176">
        <f t="shared" si="81"/>
        <v>4</v>
      </c>
      <c r="U262" s="251">
        <f t="shared" si="82"/>
        <v>-1.0134415342200447</v>
      </c>
      <c r="V262" s="383">
        <f t="shared" si="83"/>
        <v>47.211827006127812</v>
      </c>
      <c r="W262" s="58"/>
      <c r="X262" s="157">
        <f t="shared" si="84"/>
        <v>43713</v>
      </c>
      <c r="Y262" s="385">
        <f t="shared" si="85"/>
        <v>36.912999999999997</v>
      </c>
      <c r="Z262" s="385">
        <f t="shared" si="86"/>
        <v>37.294956815312538</v>
      </c>
      <c r="AA262" s="386">
        <f t="shared" si="87"/>
        <v>39.437328412387224</v>
      </c>
      <c r="AB262" s="197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5.4323446422952087E-2</v>
      </c>
      <c r="AD262" s="231">
        <f>(INDEX(Models!$BJ262:$BT262,,AH262)*(1-AF262)+INDEX(Models!$BJ262:$BT262,,AH262+1)*AF262-ERP_i)*AE262*Ramure*Pc/MaxiM</f>
        <v>1.2188798711600412E-4</v>
      </c>
      <c r="AE262" s="305">
        <f t="shared" si="89"/>
        <v>0.7</v>
      </c>
      <c r="AF262" s="177">
        <f t="shared" si="90"/>
        <v>0.98655846577995532</v>
      </c>
      <c r="AG262" s="176">
        <f t="shared" si="91"/>
        <v>-2</v>
      </c>
      <c r="AH262" s="176">
        <f t="shared" si="92"/>
        <v>4</v>
      </c>
      <c r="AI262" s="225">
        <f t="shared" si="93"/>
        <v>-1.0134415342200447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8">
        <v>46.872999999999998</v>
      </c>
      <c r="C263" s="390"/>
      <c r="D263" s="393">
        <f t="shared" si="75"/>
        <v>47.359055078151698</v>
      </c>
      <c r="E263" s="385">
        <f t="shared" si="97"/>
        <v>50.087708147827492</v>
      </c>
      <c r="F263" s="385">
        <f t="shared" si="76"/>
        <v>50.093779259666192</v>
      </c>
      <c r="G263" s="110">
        <f t="shared" si="98"/>
        <v>0.99565169335313952</v>
      </c>
      <c r="H263" s="412" t="b">
        <f>Wh_hp&gt;='2018'!Maxi_hp</f>
        <v>1</v>
      </c>
      <c r="I263" s="390">
        <f>IF(H263,Wh_hp,'2018'!Maxi_hp)</f>
        <v>50.093779259666192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1.0263192062206827E-2</v>
      </c>
      <c r="M263" s="957"/>
      <c r="N263" s="957"/>
      <c r="O263" s="48">
        <f>IF(t&lt;Tnet,'2018'!Resal+('2018'!Salim-'2018'!Resal)*(1-EXP(('2018'!Tnet-t)/('2018'!Tau_j))),Resal+(Salim-Resal)*(1-EXP((Tnet-t)/(Tau_j))))*Salcycl</f>
        <v>5.4477498982834681E-2</v>
      </c>
      <c r="P263" s="169">
        <f>(INDEX(Models!$BJ263:$BT263,,T263)*(1-R263)+INDEX(Models!$BJ263:$BT263,,T263+1)*R263-ERP_i)*Q263*Ramure*Pc/MaxiM</f>
        <v>1.2195234567588096E-4</v>
      </c>
      <c r="Q263" s="305">
        <f t="shared" si="78"/>
        <v>0.7</v>
      </c>
      <c r="R263" s="177">
        <f t="shared" si="79"/>
        <v>0.98709346971158696</v>
      </c>
      <c r="S263" s="919">
        <f t="shared" si="80"/>
        <v>-2</v>
      </c>
      <c r="T263" s="176">
        <f t="shared" si="81"/>
        <v>4</v>
      </c>
      <c r="U263" s="251">
        <f t="shared" si="82"/>
        <v>-1.012906530288413</v>
      </c>
      <c r="V263" s="383">
        <f t="shared" si="83"/>
        <v>47.077672650037456</v>
      </c>
      <c r="W263" s="58"/>
      <c r="X263" s="157">
        <f t="shared" si="84"/>
        <v>43714</v>
      </c>
      <c r="Y263" s="385">
        <f t="shared" si="85"/>
        <v>46.872999999999998</v>
      </c>
      <c r="Z263" s="385">
        <f t="shared" si="86"/>
        <v>47.359055078151698</v>
      </c>
      <c r="AA263" s="386">
        <f t="shared" si="87"/>
        <v>50.087708147827492</v>
      </c>
      <c r="AB263" s="197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5.4477498982834681E-2</v>
      </c>
      <c r="AD263" s="231">
        <f>(INDEX(Models!$BJ263:$BT263,,AH263)*(1-AF263)+INDEX(Models!$BJ263:$BT263,,AH263+1)*AF263-ERP_i)*AE263*Ramure*Pc/MaxiM</f>
        <v>1.2195234567588096E-4</v>
      </c>
      <c r="AE263" s="305">
        <f t="shared" si="89"/>
        <v>0.7</v>
      </c>
      <c r="AF263" s="177">
        <f t="shared" si="90"/>
        <v>0.98709346971158696</v>
      </c>
      <c r="AG263" s="176">
        <f t="shared" si="91"/>
        <v>-2</v>
      </c>
      <c r="AH263" s="176">
        <f t="shared" si="92"/>
        <v>4</v>
      </c>
      <c r="AI263" s="225">
        <f t="shared" si="93"/>
        <v>-1.012906530288413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8">
        <v>48.064999999999998</v>
      </c>
      <c r="C264" s="390"/>
      <c r="D264" s="393">
        <f t="shared" si="75"/>
        <v>48.564479348872489</v>
      </c>
      <c r="E264" s="385">
        <f t="shared" si="97"/>
        <v>51.370886720241941</v>
      </c>
      <c r="F264" s="385">
        <f t="shared" si="76"/>
        <v>51.37719632099251</v>
      </c>
      <c r="G264" s="110">
        <f t="shared" si="98"/>
        <v>1.02392684141227</v>
      </c>
      <c r="H264" s="412" t="b">
        <f>Wh_hp&gt;='2018'!Maxi_hp</f>
        <v>1</v>
      </c>
      <c r="I264" s="390">
        <f>IF(H264,Wh_hp,'2018'!Maxi_hp)</f>
        <v>51.37719632099251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1.0284869838393274E-2</v>
      </c>
      <c r="M264" s="957"/>
      <c r="N264" s="957"/>
      <c r="O264" s="48">
        <f>IF(t&lt;Tnet,'2018'!Resal+('2018'!Salim-'2018'!Resal)*(1-EXP(('2018'!Tnet-t)/('2018'!Tau_j))),Resal+(Salim-Resal)*(1-EXP((Tnet-t)/(Tau_j))))*Salcycl</f>
        <v>5.4630308148129185E-2</v>
      </c>
      <c r="P264" s="169">
        <f>(INDEX(Models!$BJ264:$BT264,,T264)*(1-R264)+INDEX(Models!$BJ264:$BT264,,T264+1)*R264-ERP_i)*Q264*Ramure*Pc/MaxiM</f>
        <v>1.2280936295451937E-4</v>
      </c>
      <c r="Q264" s="305">
        <f t="shared" si="78"/>
        <v>0.7</v>
      </c>
      <c r="R264" s="177">
        <f t="shared" si="79"/>
        <v>0.98760803894462446</v>
      </c>
      <c r="S264" s="919">
        <f t="shared" si="80"/>
        <v>-2</v>
      </c>
      <c r="T264" s="176">
        <f t="shared" si="81"/>
        <v>4</v>
      </c>
      <c r="U264" s="251">
        <f t="shared" si="82"/>
        <v>-1.0123919610553755</v>
      </c>
      <c r="V264" s="383">
        <f t="shared" si="83"/>
        <v>46.941830271492307</v>
      </c>
      <c r="W264" s="58"/>
      <c r="X264" s="157">
        <f t="shared" si="84"/>
        <v>43715</v>
      </c>
      <c r="Y264" s="385">
        <f t="shared" si="85"/>
        <v>48.064999999999998</v>
      </c>
      <c r="Z264" s="385">
        <f t="shared" si="86"/>
        <v>48.564479348872489</v>
      </c>
      <c r="AA264" s="386">
        <f t="shared" si="87"/>
        <v>51.370886720241941</v>
      </c>
      <c r="AB264" s="197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5.4630308148129185E-2</v>
      </c>
      <c r="AD264" s="231">
        <f>(INDEX(Models!$BJ264:$BT264,,AH264)*(1-AF264)+INDEX(Models!$BJ264:$BT264,,AH264+1)*AF264-ERP_i)*AE264*Ramure*Pc/MaxiM</f>
        <v>1.2280936295451937E-4</v>
      </c>
      <c r="AE264" s="305">
        <f t="shared" si="89"/>
        <v>0.7</v>
      </c>
      <c r="AF264" s="177">
        <f t="shared" si="90"/>
        <v>0.98760803894462446</v>
      </c>
      <c r="AG264" s="176">
        <f t="shared" si="91"/>
        <v>-2</v>
      </c>
      <c r="AH264" s="176">
        <f t="shared" si="92"/>
        <v>4</v>
      </c>
      <c r="AI264" s="225">
        <f t="shared" si="93"/>
        <v>-1.0123919610553755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8">
        <v>41.645000000000003</v>
      </c>
      <c r="C265" s="390"/>
      <c r="D265" s="393">
        <f t="shared" si="75"/>
        <v>42.078685960431216</v>
      </c>
      <c r="E265" s="385">
        <f t="shared" si="97"/>
        <v>44.517433959408798</v>
      </c>
      <c r="F265" s="385">
        <f t="shared" si="76"/>
        <v>44.522102818967994</v>
      </c>
      <c r="G265" s="110">
        <f t="shared" si="98"/>
        <v>0.88975699712556389</v>
      </c>
      <c r="H265" s="412" t="b">
        <f>Wh_hp&gt;='2018'!Maxi_hp</f>
        <v>0</v>
      </c>
      <c r="I265" s="390">
        <f>IF(H265,Wh_hp,'2018'!Maxi_hp)</f>
        <v>49.21838095853591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1.0306547139780742E-2</v>
      </c>
      <c r="M265" s="957"/>
      <c r="N265" s="957"/>
      <c r="O265" s="48">
        <f>IF(t&lt;Tnet,'2018'!Resal+('2018'!Salim-'2018'!Resal)*(1-EXP(('2018'!Tnet-t)/('2018'!Tau_j))),Resal+(Salim-Resal)*(1-EXP((Tnet-t)/(Tau_j))))*Salcycl</f>
        <v>5.4781863689655652E-2</v>
      </c>
      <c r="P265" s="169">
        <f>(INDEX(Models!$BJ265:$BT265,,T265)*(1-R265)+INDEX(Models!$BJ265:$BT265,,T265+1)*R265-ERP_i)*Q265*Ramure*Pc/MaxiM</f>
        <v>1.2446499816747258E-4</v>
      </c>
      <c r="Q265" s="305">
        <f t="shared" si="78"/>
        <v>0.7</v>
      </c>
      <c r="R265" s="177">
        <f t="shared" si="79"/>
        <v>0.98810291219147039</v>
      </c>
      <c r="S265" s="919">
        <f t="shared" si="80"/>
        <v>-2</v>
      </c>
      <c r="T265" s="176">
        <f t="shared" si="81"/>
        <v>4</v>
      </c>
      <c r="U265" s="251">
        <f t="shared" si="82"/>
        <v>-1.0118970878085296</v>
      </c>
      <c r="V265" s="383">
        <f t="shared" si="83"/>
        <v>46.803996881256126</v>
      </c>
      <c r="W265" s="58"/>
      <c r="X265" s="157">
        <f t="shared" si="84"/>
        <v>43716</v>
      </c>
      <c r="Y265" s="385">
        <f t="shared" si="85"/>
        <v>41.645000000000003</v>
      </c>
      <c r="Z265" s="385">
        <f t="shared" si="86"/>
        <v>42.078685960431216</v>
      </c>
      <c r="AA265" s="386">
        <f t="shared" si="87"/>
        <v>44.517433959408798</v>
      </c>
      <c r="AB265" s="197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5.4781863689655652E-2</v>
      </c>
      <c r="AD265" s="231">
        <f>(INDEX(Models!$BJ265:$BT265,,AH265)*(1-AF265)+INDEX(Models!$BJ265:$BT265,,AH265+1)*AF265-ERP_i)*AE265*Ramure*Pc/MaxiM</f>
        <v>1.2446499816747258E-4</v>
      </c>
      <c r="AE265" s="305">
        <f t="shared" si="89"/>
        <v>0.7</v>
      </c>
      <c r="AF265" s="177">
        <f t="shared" si="90"/>
        <v>0.98810291219147039</v>
      </c>
      <c r="AG265" s="176">
        <f t="shared" si="91"/>
        <v>-2</v>
      </c>
      <c r="AH265" s="176">
        <f t="shared" si="92"/>
        <v>4</v>
      </c>
      <c r="AI265" s="225">
        <f t="shared" si="93"/>
        <v>-1.0118970878085296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8">
        <v>39.493000000000002</v>
      </c>
      <c r="C266" s="390"/>
      <c r="D266" s="393">
        <f t="shared" si="75"/>
        <v>39.905149319584496</v>
      </c>
      <c r="E266" s="385">
        <f t="shared" si="97"/>
        <v>42.22463976376244</v>
      </c>
      <c r="F266" s="385">
        <f t="shared" si="76"/>
        <v>42.228823008341969</v>
      </c>
      <c r="G266" s="110">
        <f t="shared" si="98"/>
        <v>0.84630571120803</v>
      </c>
      <c r="H266" s="412" t="b">
        <f>Wh_hp&gt;='2018'!Maxi_hp</f>
        <v>1</v>
      </c>
      <c r="I266" s="390">
        <f>IF(H266,Wh_hp,'2018'!Maxi_hp)</f>
        <v>42.228823008341969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1.0328223966379668E-2</v>
      </c>
      <c r="M266" s="957"/>
      <c r="N266" s="957"/>
      <c r="O266" s="48">
        <f>IF(t&lt;Tnet,'2018'!Resal+('2018'!Salim-'2018'!Resal)*(1-EXP(('2018'!Tnet-t)/('2018'!Tau_j))),Resal+(Salim-Resal)*(1-EXP((Tnet-t)/(Tau_j))))*Salcycl</f>
        <v>5.4932154712390227E-2</v>
      </c>
      <c r="P266" s="169">
        <f>(INDEX(Models!$BJ266:$BT266,,T266)*(1-R266)+INDEX(Models!$BJ266:$BT266,,T266+1)*R266-ERP_i)*Q266*Ramure*Pc/MaxiM</f>
        <v>1.2692519253902287E-4</v>
      </c>
      <c r="Q266" s="305">
        <f t="shared" si="78"/>
        <v>0.7</v>
      </c>
      <c r="R266" s="177">
        <f t="shared" si="79"/>
        <v>0.98857880469082549</v>
      </c>
      <c r="S266" s="919">
        <f t="shared" si="80"/>
        <v>-2</v>
      </c>
      <c r="T266" s="176">
        <f t="shared" si="81"/>
        <v>4</v>
      </c>
      <c r="U266" s="251">
        <f t="shared" si="82"/>
        <v>-1.0114211953091745</v>
      </c>
      <c r="V266" s="383">
        <f t="shared" si="83"/>
        <v>46.663869735930994</v>
      </c>
      <c r="W266" s="58"/>
      <c r="X266" s="157">
        <f t="shared" si="84"/>
        <v>43717</v>
      </c>
      <c r="Y266" s="385">
        <f t="shared" si="85"/>
        <v>39.493000000000002</v>
      </c>
      <c r="Z266" s="385">
        <f t="shared" si="86"/>
        <v>39.905149319584496</v>
      </c>
      <c r="AA266" s="386">
        <f t="shared" si="87"/>
        <v>42.22463976376244</v>
      </c>
      <c r="AB266" s="197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5.4932154712390227E-2</v>
      </c>
      <c r="AD266" s="231">
        <f>(INDEX(Models!$BJ266:$BT266,,AH266)*(1-AF266)+INDEX(Models!$BJ266:$BT266,,AH266+1)*AF266-ERP_i)*AE266*Ramure*Pc/MaxiM</f>
        <v>1.2692519253902287E-4</v>
      </c>
      <c r="AE266" s="305">
        <f t="shared" si="89"/>
        <v>0.7</v>
      </c>
      <c r="AF266" s="177">
        <f t="shared" si="90"/>
        <v>0.98857880469082549</v>
      </c>
      <c r="AG266" s="176">
        <f t="shared" si="91"/>
        <v>-2</v>
      </c>
      <c r="AH266" s="176">
        <f t="shared" si="92"/>
        <v>4</v>
      </c>
      <c r="AI266" s="225">
        <f t="shared" si="93"/>
        <v>-1.0114211953091745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8">
        <v>13.717000000000001</v>
      </c>
      <c r="C267" s="390"/>
      <c r="D267" s="393">
        <f t="shared" si="75"/>
        <v>13.860454320583006</v>
      </c>
      <c r="E267" s="385">
        <f t="shared" si="97"/>
        <v>14.668407354390187</v>
      </c>
      <c r="F267" s="385">
        <f t="shared" si="76"/>
        <v>14.668407354390187</v>
      </c>
      <c r="G267" s="110">
        <f t="shared" si="98"/>
        <v>0.29481677004666162</v>
      </c>
      <c r="H267" s="412" t="b">
        <f>Wh_hp&gt;='2018'!Maxi_hp</f>
        <v>0</v>
      </c>
      <c r="I267" s="390">
        <f>IF(H267,Wh_hp,'2018'!Maxi_hp)</f>
        <v>38.182108050968154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1.0349900318200489E-2</v>
      </c>
      <c r="M267" s="957"/>
      <c r="N267" s="957"/>
      <c r="O267" s="48">
        <f>IF(t&lt;Tnet,'2018'!Resal+('2018'!Salim-'2018'!Resal)*(1-EXP(('2018'!Tnet-t)/('2018'!Tau_j))),Resal+(Salim-Resal)*(1-EXP((Tnet-t)/(Tau_j))))*Salcycl</f>
        <v>5.5081169638049612E-2</v>
      </c>
      <c r="P267" s="169">
        <f>(INDEX(Models!$BJ267:$BT267,,T267)*(1-R267)+INDEX(Models!$BJ267:$BT267,,T267+1)*R267-ERP_i)*Q267*Ramure*Pc/MaxiM</f>
        <v>1.3019591350208666E-4</v>
      </c>
      <c r="Q267" s="305">
        <f t="shared" si="78"/>
        <v>0.7</v>
      </c>
      <c r="R267" s="177">
        <f t="shared" si="79"/>
        <v>0.98903640869849041</v>
      </c>
      <c r="S267" s="919">
        <f t="shared" si="80"/>
        <v>-2</v>
      </c>
      <c r="T267" s="176">
        <f t="shared" si="81"/>
        <v>4</v>
      </c>
      <c r="U267" s="251">
        <f t="shared" si="82"/>
        <v>-1.0109635913015096</v>
      </c>
      <c r="V267" s="383">
        <f t="shared" si="83"/>
        <v>46.521146339415296</v>
      </c>
      <c r="W267" s="58"/>
      <c r="X267" s="157">
        <f t="shared" si="84"/>
        <v>43718</v>
      </c>
      <c r="Y267" s="385">
        <f t="shared" si="85"/>
        <v>13.717000000000001</v>
      </c>
      <c r="Z267" s="385">
        <f t="shared" si="86"/>
        <v>13.860454320583006</v>
      </c>
      <c r="AA267" s="386">
        <f t="shared" si="87"/>
        <v>14.668407354390187</v>
      </c>
      <c r="AB267" s="197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5.5081169638049612E-2</v>
      </c>
      <c r="AD267" s="231">
        <f>(INDEX(Models!$BJ267:$BT267,,AH267)*(1-AF267)+INDEX(Models!$BJ267:$BT267,,AH267+1)*AF267-ERP_i)*AE267*Ramure*Pc/MaxiM</f>
        <v>1.3019591350208666E-4</v>
      </c>
      <c r="AE267" s="305">
        <f t="shared" si="89"/>
        <v>0.7</v>
      </c>
      <c r="AF267" s="177">
        <f t="shared" si="90"/>
        <v>0.98903640869849041</v>
      </c>
      <c r="AG267" s="176">
        <f t="shared" si="91"/>
        <v>-2</v>
      </c>
      <c r="AH267" s="176">
        <f t="shared" si="92"/>
        <v>4</v>
      </c>
      <c r="AI267" s="225">
        <f t="shared" si="93"/>
        <v>-1.0109635913015096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8">
        <v>41.984000000000002</v>
      </c>
      <c r="C268" s="390"/>
      <c r="D268" s="393">
        <f t="shared" si="75"/>
        <v>42.42400378779282</v>
      </c>
      <c r="E268" s="385">
        <f t="shared" si="97"/>
        <v>44.904002267683111</v>
      </c>
      <c r="F268" s="385">
        <f t="shared" si="76"/>
        <v>44.909220035954625</v>
      </c>
      <c r="G268" s="110">
        <f t="shared" si="98"/>
        <v>0.90528873966167234</v>
      </c>
      <c r="H268" s="412" t="b">
        <f>Wh_hp&gt;='2018'!Maxi_hp</f>
        <v>0</v>
      </c>
      <c r="I268" s="390">
        <f>IF(H268,Wh_hp,'2018'!Maxi_hp)</f>
        <v>48.02648130757494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1.0371576195253529E-2</v>
      </c>
      <c r="M268" s="957"/>
      <c r="N268" s="957"/>
      <c r="O268" s="48">
        <f>IF(t&lt;Tnet,'2018'!Resal+('2018'!Salim-'2018'!Resal)*(1-EXP(('2018'!Tnet-t)/('2018'!Tau_j))),Resal+(Salim-Resal)*(1-EXP((Tnet-t)/(Tau_j))))*Salcycl</f>
        <v>5.5228896192959558E-2</v>
      </c>
      <c r="P268" s="169">
        <f>(INDEX(Models!$BJ268:$BT268,,T268)*(1-R268)+INDEX(Models!$BJ268:$BT268,,T268+1)*R268-ERP_i)*Q268*Ramure*Pc/MaxiM</f>
        <v>1.3436090263610316E-4</v>
      </c>
      <c r="Q268" s="305">
        <f t="shared" si="78"/>
        <v>0.7</v>
      </c>
      <c r="R268" s="177">
        <f t="shared" si="79"/>
        <v>0.98947639398982723</v>
      </c>
      <c r="S268" s="919">
        <f t="shared" si="80"/>
        <v>-2</v>
      </c>
      <c r="T268" s="176">
        <f t="shared" si="81"/>
        <v>4</v>
      </c>
      <c r="U268" s="251">
        <f t="shared" si="82"/>
        <v>-1.0105236060101728</v>
      </c>
      <c r="V268" s="383">
        <f t="shared" si="83"/>
        <v>46.375520832259511</v>
      </c>
      <c r="W268" s="58"/>
      <c r="X268" s="157">
        <f t="shared" si="84"/>
        <v>43719</v>
      </c>
      <c r="Y268" s="385">
        <f t="shared" si="85"/>
        <v>41.984000000000002</v>
      </c>
      <c r="Z268" s="385">
        <f t="shared" si="86"/>
        <v>42.42400378779282</v>
      </c>
      <c r="AA268" s="386">
        <f t="shared" si="87"/>
        <v>44.904002267683111</v>
      </c>
      <c r="AB268" s="197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5.5228896192959558E-2</v>
      </c>
      <c r="AD268" s="231">
        <f>(INDEX(Models!$BJ268:$BT268,,AH268)*(1-AF268)+INDEX(Models!$BJ268:$BT268,,AH268+1)*AF268-ERP_i)*AE268*Ramure*Pc/MaxiM</f>
        <v>1.3436090263610316E-4</v>
      </c>
      <c r="AE268" s="305">
        <f t="shared" si="89"/>
        <v>0.7</v>
      </c>
      <c r="AF268" s="177">
        <f t="shared" si="90"/>
        <v>0.98947639398982723</v>
      </c>
      <c r="AG268" s="176">
        <f t="shared" si="91"/>
        <v>-2</v>
      </c>
      <c r="AH268" s="176">
        <f t="shared" si="92"/>
        <v>4</v>
      </c>
      <c r="AI268" s="225">
        <f t="shared" si="93"/>
        <v>-1.0105236060101728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8">
        <v>46.311</v>
      </c>
      <c r="C269" s="390"/>
      <c r="D269" s="393">
        <f t="shared" si="75"/>
        <v>46.797376912355453</v>
      </c>
      <c r="E269" s="385">
        <f t="shared" si="97"/>
        <v>49.540709630639995</v>
      </c>
      <c r="F269" s="385">
        <f t="shared" si="76"/>
        <v>49.547587041399964</v>
      </c>
      <c r="G269" s="110">
        <f t="shared" si="98"/>
        <v>1.0018231881284128</v>
      </c>
      <c r="H269" s="412" t="b">
        <f>Wh_hp&gt;='2018'!Maxi_hp</f>
        <v>1</v>
      </c>
      <c r="I269" s="390">
        <f>IF(H269,Wh_hp,'2018'!Maxi_hp)</f>
        <v>49.547587041399964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1.0393251597549225E-2</v>
      </c>
      <c r="M269" s="957"/>
      <c r="N269" s="957"/>
      <c r="O269" s="48">
        <f>IF(t&lt;Tnet,'2018'!Resal+('2018'!Salim-'2018'!Resal)*(1-EXP(('2018'!Tnet-t)/('2018'!Tau_j))),Resal+(Salim-Resal)*(1-EXP((Tnet-t)/(Tau_j))))*Salcycl</f>
        <v>5.5375321402094745E-2</v>
      </c>
      <c r="P269" s="169">
        <f>(INDEX(Models!$BJ269:$BT269,,T269)*(1-R269)+INDEX(Models!$BJ269:$BT269,,T269+1)*R269-ERP_i)*Q269*Ramure*Pc/MaxiM</f>
        <v>1.3880415113294727E-4</v>
      </c>
      <c r="Q269" s="305">
        <f t="shared" si="78"/>
        <v>0.7</v>
      </c>
      <c r="R269" s="177">
        <f t="shared" si="79"/>
        <v>0.9898994083714141</v>
      </c>
      <c r="S269" s="919">
        <f t="shared" si="80"/>
        <v>-2</v>
      </c>
      <c r="T269" s="176">
        <f t="shared" si="81"/>
        <v>4</v>
      </c>
      <c r="U269" s="251">
        <f t="shared" si="82"/>
        <v>-1.0101005916285859</v>
      </c>
      <c r="V269" s="383">
        <f t="shared" si="83"/>
        <v>46.2267199928935</v>
      </c>
      <c r="W269" s="58"/>
      <c r="X269" s="157">
        <f t="shared" si="84"/>
        <v>43720</v>
      </c>
      <c r="Y269" s="385">
        <f t="shared" si="85"/>
        <v>46.311</v>
      </c>
      <c r="Z269" s="385">
        <f t="shared" si="86"/>
        <v>46.797376912355453</v>
      </c>
      <c r="AA269" s="386">
        <f t="shared" si="87"/>
        <v>49.540709630639995</v>
      </c>
      <c r="AB269" s="197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5.5375321402094745E-2</v>
      </c>
      <c r="AD269" s="231">
        <f>(INDEX(Models!$BJ269:$BT269,,AH269)*(1-AF269)+INDEX(Models!$BJ269:$BT269,,AH269+1)*AF269-ERP_i)*AE269*Ramure*Pc/MaxiM</f>
        <v>1.3880415113294727E-4</v>
      </c>
      <c r="AE269" s="305">
        <f t="shared" si="89"/>
        <v>0.7</v>
      </c>
      <c r="AF269" s="177">
        <f t="shared" si="90"/>
        <v>0.9898994083714141</v>
      </c>
      <c r="AG269" s="176">
        <f t="shared" si="91"/>
        <v>-2</v>
      </c>
      <c r="AH269" s="176">
        <f t="shared" si="92"/>
        <v>4</v>
      </c>
      <c r="AI269" s="225">
        <f t="shared" si="93"/>
        <v>-1.0101005916285859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8">
        <v>36.96</v>
      </c>
      <c r="C270" s="390"/>
      <c r="D270" s="393">
        <f t="shared" si="75"/>
        <v>37.34898695492236</v>
      </c>
      <c r="E270" s="385">
        <f t="shared" si="97"/>
        <v>39.544515523828181</v>
      </c>
      <c r="F270" s="385">
        <f t="shared" si="76"/>
        <v>39.548587733059861</v>
      </c>
      <c r="G270" s="110">
        <f t="shared" si="98"/>
        <v>0.80214754947395117</v>
      </c>
      <c r="H270" s="412" t="b">
        <f>Wh_hp&gt;='2018'!Maxi_hp</f>
        <v>1</v>
      </c>
      <c r="I270" s="390">
        <f>IF(H270,Wh_hp,'2018'!Maxi_hp)</f>
        <v>39.548587733059861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1.0414926525098012E-2</v>
      </c>
      <c r="M270" s="957"/>
      <c r="N270" s="957"/>
      <c r="O270" s="48">
        <f>IF(t&lt;Tnet,'2018'!Resal+('2018'!Salim-'2018'!Resal)*(1-EXP(('2018'!Tnet-t)/('2018'!Tau_j))),Resal+(Salim-Resal)*(1-EXP((Tnet-t)/(Tau_j))))*Salcycl</f>
        <v>5.552043159013717E-2</v>
      </c>
      <c r="P270" s="169">
        <f>(INDEX(Models!$BJ270:$BT270,,T270)*(1-R270)+INDEX(Models!$BJ270:$BT270,,T270+1)*R270-ERP_i)*Q270*Ramure*Pc/MaxiM</f>
        <v>1.4352833744275898E-4</v>
      </c>
      <c r="Q270" s="305">
        <f t="shared" si="78"/>
        <v>0.7</v>
      </c>
      <c r="R270" s="177">
        <f t="shared" si="79"/>
        <v>0.99030607819962424</v>
      </c>
      <c r="S270" s="919">
        <f t="shared" si="80"/>
        <v>-2</v>
      </c>
      <c r="T270" s="176">
        <f t="shared" si="81"/>
        <v>4</v>
      </c>
      <c r="U270" s="251">
        <f t="shared" si="82"/>
        <v>-1.0096939218003758</v>
      </c>
      <c r="V270" s="383">
        <f t="shared" si="83"/>
        <v>46.074441955204811</v>
      </c>
      <c r="W270" s="58"/>
      <c r="X270" s="157">
        <f t="shared" si="84"/>
        <v>43721</v>
      </c>
      <c r="Y270" s="385">
        <f t="shared" si="85"/>
        <v>36.96</v>
      </c>
      <c r="Z270" s="385">
        <f t="shared" si="86"/>
        <v>37.34898695492236</v>
      </c>
      <c r="AA270" s="386">
        <f t="shared" si="87"/>
        <v>39.544515523828181</v>
      </c>
      <c r="AB270" s="197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5.552043159013717E-2</v>
      </c>
      <c r="AD270" s="231">
        <f>(INDEX(Models!$BJ270:$BT270,,AH270)*(1-AF270)+INDEX(Models!$BJ270:$BT270,,AH270+1)*AF270-ERP_i)*AE270*Ramure*Pc/MaxiM</f>
        <v>1.4352833744275898E-4</v>
      </c>
      <c r="AE270" s="305">
        <f t="shared" si="89"/>
        <v>0.7</v>
      </c>
      <c r="AF270" s="177">
        <f t="shared" si="90"/>
        <v>0.99030607819962424</v>
      </c>
      <c r="AG270" s="176">
        <f t="shared" si="91"/>
        <v>-2</v>
      </c>
      <c r="AH270" s="176">
        <f t="shared" si="92"/>
        <v>4</v>
      </c>
      <c r="AI270" s="225">
        <f t="shared" si="93"/>
        <v>-1.0096939218003758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8">
        <v>39.335999999999999</v>
      </c>
      <c r="C271" s="390"/>
      <c r="D271" s="393">
        <f t="shared" ref="D271:D334" si="99">Wh/(1-Ppv)</f>
        <v>39.750863905104794</v>
      </c>
      <c r="E271" s="385">
        <f t="shared" si="97"/>
        <v>42.093992864258681</v>
      </c>
      <c r="F271" s="385">
        <f t="shared" ref="F271:F334" si="100">Wh_sa/(1-Pvg*MEDIAN((-Sdif+Wh/Env_an)/Csdif,0,1))</f>
        <v>42.098965519695213</v>
      </c>
      <c r="G271" s="110">
        <f t="shared" si="98"/>
        <v>0.85662427532663454</v>
      </c>
      <c r="H271" s="412" t="b">
        <f>Wh_hp&gt;='2018'!Maxi_hp</f>
        <v>1</v>
      </c>
      <c r="I271" s="390">
        <f>IF(H271,Wh_hp,'2018'!Maxi_hp)</f>
        <v>42.098965519695213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1.0436600977910215E-2</v>
      </c>
      <c r="M271" s="957"/>
      <c r="N271" s="957"/>
      <c r="O271" s="48">
        <f>IF(t&lt;Tnet,'2018'!Resal+('2018'!Salim-'2018'!Resal)*(1-EXP(('2018'!Tnet-t)/('2018'!Tau_j))),Resal+(Salim-Resal)*(1-EXP((Tnet-t)/(Tau_j))))*Salcycl</f>
        <v>5.5664212390347911E-2</v>
      </c>
      <c r="P271" s="169">
        <f>(INDEX(Models!$BJ271:$BT271,,T271)*(1-R271)+INDEX(Models!$BJ271:$BT271,,T271+1)*R271-ERP_i)*Q271*Ramure*Pc/MaxiM</f>
        <v>1.4853626783631622E-4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0.99069700890405965</v>
      </c>
      <c r="S271" s="919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-1.0093029910959403</v>
      </c>
      <c r="V271" s="383">
        <f t="shared" ref="V271:V334" si="107">MaxiM*(1-Ppv)*(1-Pvg)*(1-Psa)</f>
        <v>45.918385070108137</v>
      </c>
      <c r="W271" s="58"/>
      <c r="X271" s="157">
        <f t="shared" ref="X271:X334" si="108">t</f>
        <v>43722</v>
      </c>
      <c r="Y271" s="385">
        <f t="shared" ref="Y271:Y334" si="109">Wh_pvt_s*(1-Ppv)</f>
        <v>39.335999999999999</v>
      </c>
      <c r="Z271" s="385">
        <f t="shared" ref="Z271:Z334" si="110">Wh_sa_s*(1-Psa_s)</f>
        <v>39.750863905104794</v>
      </c>
      <c r="AA271" s="386">
        <f t="shared" ref="AA271:AA334" si="111">Wh_hp*(1-Pvg_s*MEDIAN((-Sdif+Wh/Env_an)/Csdif,0,1))</f>
        <v>42.093992864258681</v>
      </c>
      <c r="AB271" s="197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5.5664212390347911E-2</v>
      </c>
      <c r="AD271" s="231">
        <f>(INDEX(Models!$BJ271:$BT271,,AH271)*(1-AF271)+INDEX(Models!$BJ271:$BT271,,AH271+1)*AF271-ERP_i)*AE271*Ramure*Pc/MaxiM</f>
        <v>1.4853626783631622E-4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0.99069700890405965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-1.0093029910959403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8">
        <v>38.759</v>
      </c>
      <c r="C272" s="390"/>
      <c r="D272" s="393">
        <f t="shared" si="99"/>
        <v>39.168636368796314</v>
      </c>
      <c r="E272" s="385">
        <f t="shared" si="97"/>
        <v>41.483702800320273</v>
      </c>
      <c r="F272" s="385">
        <f t="shared" si="100"/>
        <v>41.488690418285209</v>
      </c>
      <c r="G272" s="110">
        <f t="shared" si="98"/>
        <v>0.84701007487407687</v>
      </c>
      <c r="H272" s="412" t="b">
        <f>Wh_hp&gt;='2018'!Maxi_hp</f>
        <v>1</v>
      </c>
      <c r="I272" s="390">
        <f>IF(H272,Wh_hp,'2018'!Maxi_hp)</f>
        <v>41.488690418285209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1.0458274955996383E-2</v>
      </c>
      <c r="M272" s="957"/>
      <c r="N272" s="957"/>
      <c r="O272" s="48">
        <f>IF(t&lt;Tnet,'2018'!Resal+('2018'!Salim-'2018'!Resal)*(1-EXP(('2018'!Tnet-t)/('2018'!Tau_j))),Resal+(Salim-Resal)*(1-EXP((Tnet-t)/(Tau_j))))*Salcycl</f>
        <v>5.5806648761982977E-2</v>
      </c>
      <c r="P272" s="169">
        <f>(INDEX(Models!$BJ272:$BT272,,T272)*(1-R272)+INDEX(Models!$BJ272:$BT272,,T272+1)*R272-ERP_i)*Q272*Ramure*Pc/MaxiM</f>
        <v>1.5383089285204483E-4</v>
      </c>
      <c r="Q272" s="305">
        <f t="shared" si="102"/>
        <v>0.7</v>
      </c>
      <c r="R272" s="177">
        <f t="shared" si="103"/>
        <v>0.99107278551395783</v>
      </c>
      <c r="S272" s="919">
        <f t="shared" si="104"/>
        <v>-2</v>
      </c>
      <c r="T272" s="176">
        <f t="shared" si="105"/>
        <v>4</v>
      </c>
      <c r="U272" s="251">
        <f t="shared" si="106"/>
        <v>-1.0089272144860422</v>
      </c>
      <c r="V272" s="383">
        <f t="shared" si="107"/>
        <v>45.758247895871683</v>
      </c>
      <c r="W272" s="58"/>
      <c r="X272" s="157">
        <f t="shared" si="108"/>
        <v>43723</v>
      </c>
      <c r="Y272" s="385">
        <f t="shared" si="109"/>
        <v>38.759</v>
      </c>
      <c r="Z272" s="385">
        <f t="shared" si="110"/>
        <v>39.168636368796314</v>
      </c>
      <c r="AA272" s="386">
        <f t="shared" si="111"/>
        <v>41.483702800320273</v>
      </c>
      <c r="AB272" s="197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5.5806648761982977E-2</v>
      </c>
      <c r="AD272" s="231">
        <f>(INDEX(Models!$BJ272:$BT272,,AH272)*(1-AF272)+INDEX(Models!$BJ272:$BT272,,AH272+1)*AF272-ERP_i)*AE272*Ramure*Pc/MaxiM</f>
        <v>1.5383089285204483E-4</v>
      </c>
      <c r="AE272" s="305">
        <f t="shared" si="113"/>
        <v>0.7</v>
      </c>
      <c r="AF272" s="177">
        <f t="shared" si="114"/>
        <v>0.99107278551395783</v>
      </c>
      <c r="AG272" s="176">
        <f t="shared" si="115"/>
        <v>-2</v>
      </c>
      <c r="AH272" s="176">
        <f t="shared" si="116"/>
        <v>4</v>
      </c>
      <c r="AI272" s="225">
        <f t="shared" si="117"/>
        <v>-1.0089272144860422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8">
        <v>40.831000000000003</v>
      </c>
      <c r="C273" s="390"/>
      <c r="D273" s="393">
        <f t="shared" si="99"/>
        <v>41.263438710946964</v>
      </c>
      <c r="E273" s="385">
        <f t="shared" si="97"/>
        <v>43.708849397864149</v>
      </c>
      <c r="F273" s="385">
        <f t="shared" si="100"/>
        <v>43.714778256725523</v>
      </c>
      <c r="G273" s="110">
        <f t="shared" si="98"/>
        <v>0.8955185119140513</v>
      </c>
      <c r="H273" s="412" t="b">
        <f>Wh_hp&gt;='2018'!Maxi_hp</f>
        <v>0</v>
      </c>
      <c r="I273" s="390">
        <f>IF(H273,Wh_hp,'2018'!Maxi_hp)</f>
        <v>47.259197332077989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1.0479948459366728E-2</v>
      </c>
      <c r="M273" s="957"/>
      <c r="N273" s="957"/>
      <c r="O273" s="48">
        <f>IF(t&lt;Tnet,'2018'!Resal+('2018'!Salim-'2018'!Resal)*(1-EXP(('2018'!Tnet-t)/('2018'!Tau_j))),Resal+(Salim-Resal)*(1-EXP((Tnet-t)/(Tau_j))))*Salcycl</f>
        <v>5.5947725016908881E-2</v>
      </c>
      <c r="P273" s="169">
        <f>(INDEX(Models!$BJ273:$BT273,,T273)*(1-R273)+INDEX(Models!$BJ273:$BT273,,T273+1)*R273-ERP_i)*Q273*Ramure*Pc/MaxiM</f>
        <v>1.5941532448082111E-4</v>
      </c>
      <c r="Q273" s="305">
        <f t="shared" si="102"/>
        <v>0.7</v>
      </c>
      <c r="R273" s="177">
        <f t="shared" si="103"/>
        <v>0.99143397318585347</v>
      </c>
      <c r="S273" s="919">
        <f t="shared" si="104"/>
        <v>-2</v>
      </c>
      <c r="T273" s="176">
        <f t="shared" si="105"/>
        <v>4</v>
      </c>
      <c r="U273" s="251">
        <f t="shared" si="106"/>
        <v>-1.0085660268141465</v>
      </c>
      <c r="V273" s="383">
        <f t="shared" si="107"/>
        <v>45.593729198875849</v>
      </c>
      <c r="W273" s="58"/>
      <c r="X273" s="157">
        <f t="shared" si="108"/>
        <v>43724</v>
      </c>
      <c r="Y273" s="385">
        <f t="shared" si="109"/>
        <v>40.831000000000003</v>
      </c>
      <c r="Z273" s="385">
        <f t="shared" si="110"/>
        <v>41.263438710946964</v>
      </c>
      <c r="AA273" s="386">
        <f t="shared" si="111"/>
        <v>43.708849397864149</v>
      </c>
      <c r="AB273" s="197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5.5947725016908881E-2</v>
      </c>
      <c r="AD273" s="231">
        <f>(INDEX(Models!$BJ273:$BT273,,AH273)*(1-AF273)+INDEX(Models!$BJ273:$BT273,,AH273+1)*AF273-ERP_i)*AE273*Ramure*Pc/MaxiM</f>
        <v>1.5941532448082111E-4</v>
      </c>
      <c r="AE273" s="305">
        <f t="shared" si="113"/>
        <v>0.7</v>
      </c>
      <c r="AF273" s="177">
        <f t="shared" si="114"/>
        <v>0.99143397318585347</v>
      </c>
      <c r="AG273" s="176">
        <f t="shared" si="115"/>
        <v>-2</v>
      </c>
      <c r="AH273" s="176">
        <f t="shared" si="116"/>
        <v>4</v>
      </c>
      <c r="AI273" s="225">
        <f t="shared" si="117"/>
        <v>-1.0085660268141465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8">
        <v>39.969000000000001</v>
      </c>
      <c r="C274" s="390"/>
      <c r="D274" s="393">
        <f t="shared" si="99"/>
        <v>40.393194034442331</v>
      </c>
      <c r="E274" s="385">
        <f t="shared" si="97"/>
        <v>42.793363599674045</v>
      </c>
      <c r="F274" s="385">
        <f t="shared" si="100"/>
        <v>42.799224230303949</v>
      </c>
      <c r="G274" s="110">
        <f t="shared" si="98"/>
        <v>0.87987411532770698</v>
      </c>
      <c r="H274" s="412" t="b">
        <f>Wh_hp&gt;='2018'!Maxi_hp</f>
        <v>0</v>
      </c>
      <c r="I274" s="390">
        <f>IF(H274,Wh_hp,'2018'!Maxi_hp)</f>
        <v>45.090850708314242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1.0501621488031687E-2</v>
      </c>
      <c r="M274" s="957"/>
      <c r="N274" s="957"/>
      <c r="O274" s="48">
        <f>IF(t&lt;Tnet,'2018'!Resal+('2018'!Salim-'2018'!Resal)*(1-EXP(('2018'!Tnet-t)/('2018'!Tau_j))),Resal+(Salim-Resal)*(1-EXP((Tnet-t)/(Tau_j))))*Salcycl</f>
        <v>5.6087424855988527E-2</v>
      </c>
      <c r="P274" s="169">
        <f>(INDEX(Models!$BJ274:$BT274,,T274)*(1-R274)+INDEX(Models!$BJ274:$BT274,,T274+1)*R274-ERP_i)*Q274*Ramure*Pc/MaxiM</f>
        <v>1.6529285434370401E-4</v>
      </c>
      <c r="Q274" s="305">
        <f t="shared" si="102"/>
        <v>0.7</v>
      </c>
      <c r="R274" s="177">
        <f t="shared" si="103"/>
        <v>0.99178111773095168</v>
      </c>
      <c r="S274" s="919">
        <f t="shared" si="104"/>
        <v>-2</v>
      </c>
      <c r="T274" s="176">
        <f t="shared" si="105"/>
        <v>4</v>
      </c>
      <c r="U274" s="251">
        <f t="shared" si="106"/>
        <v>-1.0082188822690483</v>
      </c>
      <c r="V274" s="383">
        <f t="shared" si="107"/>
        <v>45.424527938320971</v>
      </c>
      <c r="W274" s="58"/>
      <c r="X274" s="157">
        <f t="shared" si="108"/>
        <v>43725</v>
      </c>
      <c r="Y274" s="385">
        <f t="shared" si="109"/>
        <v>39.969000000000001</v>
      </c>
      <c r="Z274" s="385">
        <f t="shared" si="110"/>
        <v>40.393194034442331</v>
      </c>
      <c r="AA274" s="386">
        <f t="shared" si="111"/>
        <v>42.793363599674045</v>
      </c>
      <c r="AB274" s="197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5.6087424855988527E-2</v>
      </c>
      <c r="AD274" s="231">
        <f>(INDEX(Models!$BJ274:$BT274,,AH274)*(1-AF274)+INDEX(Models!$BJ274:$BT274,,AH274+1)*AF274-ERP_i)*AE274*Ramure*Pc/MaxiM</f>
        <v>1.6529285434370401E-4</v>
      </c>
      <c r="AE274" s="305">
        <f t="shared" si="113"/>
        <v>0.7</v>
      </c>
      <c r="AF274" s="177">
        <f t="shared" si="114"/>
        <v>0.99178111773095168</v>
      </c>
      <c r="AG274" s="176">
        <f t="shared" si="115"/>
        <v>-2</v>
      </c>
      <c r="AH274" s="176">
        <f t="shared" si="116"/>
        <v>4</v>
      </c>
      <c r="AI274" s="225">
        <f t="shared" si="117"/>
        <v>-1.0082188822690483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8">
        <v>25.01</v>
      </c>
      <c r="C275" s="390"/>
      <c r="D275" s="393">
        <f t="shared" si="99"/>
        <v>25.275986639610331</v>
      </c>
      <c r="E275" s="385">
        <f t="shared" si="97"/>
        <v>26.781813703742614</v>
      </c>
      <c r="F275" s="385">
        <f t="shared" si="100"/>
        <v>26.783471537363241</v>
      </c>
      <c r="G275" s="110">
        <f t="shared" si="98"/>
        <v>0.55263494324036322</v>
      </c>
      <c r="H275" s="412" t="b">
        <f>Wh_hp&gt;='2018'!Maxi_hp</f>
        <v>0</v>
      </c>
      <c r="I275" s="390">
        <f>IF(H275,Wh_hp,'2018'!Maxi_hp)</f>
        <v>41.625984598825738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1.0523294042001807E-2</v>
      </c>
      <c r="M275" s="957"/>
      <c r="N275" s="957"/>
      <c r="O275" s="48">
        <f>IF(t&lt;Tnet,'2018'!Resal+('2018'!Salim-'2018'!Resal)*(1-EXP(('2018'!Tnet-t)/('2018'!Tau_j))),Resal+(Salim-Resal)*(1-EXP((Tnet-t)/(Tau_j))))*Salcycl</f>
        <v>5.6225731415712576E-2</v>
      </c>
      <c r="P275" s="169">
        <f>(INDEX(Models!$BJ275:$BT275,,T275)*(1-R275)+INDEX(Models!$BJ275:$BT275,,T275+1)*R275-ERP_i)*Q275*Ramure*Pc/MaxiM</f>
        <v>1.7146465114094056E-4</v>
      </c>
      <c r="Q275" s="305">
        <f t="shared" si="102"/>
        <v>0.7</v>
      </c>
      <c r="R275" s="177">
        <f t="shared" si="103"/>
        <v>0.99211474614080952</v>
      </c>
      <c r="S275" s="919">
        <f t="shared" si="104"/>
        <v>-2</v>
      </c>
      <c r="T275" s="176">
        <f t="shared" si="105"/>
        <v>4</v>
      </c>
      <c r="U275" s="251">
        <f t="shared" si="106"/>
        <v>-1.0078852538591905</v>
      </c>
      <c r="V275" s="383">
        <f t="shared" si="107"/>
        <v>45.250956106286672</v>
      </c>
      <c r="W275" s="58"/>
      <c r="X275" s="157">
        <f t="shared" si="108"/>
        <v>43726</v>
      </c>
      <c r="Y275" s="385">
        <f t="shared" si="109"/>
        <v>25.01</v>
      </c>
      <c r="Z275" s="385">
        <f t="shared" si="110"/>
        <v>25.275986639610331</v>
      </c>
      <c r="AA275" s="386">
        <f t="shared" si="111"/>
        <v>26.781813703742614</v>
      </c>
      <c r="AB275" s="197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5.6225731415712576E-2</v>
      </c>
      <c r="AD275" s="231">
        <f>(INDEX(Models!$BJ275:$BT275,,AH275)*(1-AF275)+INDEX(Models!$BJ275:$BT275,,AH275+1)*AF275-ERP_i)*AE275*Ramure*Pc/MaxiM</f>
        <v>1.7146465114094056E-4</v>
      </c>
      <c r="AE275" s="305">
        <f t="shared" si="113"/>
        <v>0.7</v>
      </c>
      <c r="AF275" s="177">
        <f t="shared" si="114"/>
        <v>0.99211474614080952</v>
      </c>
      <c r="AG275" s="176">
        <f t="shared" si="115"/>
        <v>-2</v>
      </c>
      <c r="AH275" s="176">
        <f t="shared" si="116"/>
        <v>4</v>
      </c>
      <c r="AI275" s="225">
        <f t="shared" si="117"/>
        <v>-1.0078852538591905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8">
        <v>39.323</v>
      </c>
      <c r="C276" s="390"/>
      <c r="D276" s="393">
        <f t="shared" si="99"/>
        <v>39.742078875329881</v>
      </c>
      <c r="E276" s="385">
        <f t="shared" si="97"/>
        <v>42.115838166401652</v>
      </c>
      <c r="F276" s="385">
        <f t="shared" si="100"/>
        <v>42.121990012430572</v>
      </c>
      <c r="G276" s="110">
        <f t="shared" si="98"/>
        <v>0.8723902671819469</v>
      </c>
      <c r="H276" s="412" t="b">
        <f>Wh_hp&gt;='2018'!Maxi_hp</f>
        <v>1</v>
      </c>
      <c r="I276" s="390">
        <f>IF(H276,Wh_hp,'2018'!Maxi_hp)</f>
        <v>42.121990012430572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1.0544966121287302E-2</v>
      </c>
      <c r="M276" s="957"/>
      <c r="N276" s="957"/>
      <c r="O276" s="48">
        <f>IF(t&lt;Tnet,'2018'!Resal+('2018'!Salim-'2018'!Resal)*(1-EXP(('2018'!Tnet-t)/('2018'!Tau_j))),Resal+(Salim-Resal)*(1-EXP((Tnet-t)/(Tau_j))))*Salcycl</f>
        <v>5.6362627325447938E-2</v>
      </c>
      <c r="P276" s="169">
        <f>(INDEX(Models!$BJ276:$BT276,,T276)*(1-R276)+INDEX(Models!$BJ276:$BT276,,T276+1)*R276-ERP_i)*Q276*Ramure*Pc/MaxiM</f>
        <v>1.7859974163968916E-4</v>
      </c>
      <c r="Q276" s="305">
        <f t="shared" si="102"/>
        <v>0.7</v>
      </c>
      <c r="R276" s="177">
        <f t="shared" si="103"/>
        <v>0.99243536711007119</v>
      </c>
      <c r="S276" s="919">
        <f t="shared" si="104"/>
        <v>-2</v>
      </c>
      <c r="T276" s="176">
        <f t="shared" si="105"/>
        <v>4</v>
      </c>
      <c r="U276" s="251">
        <f t="shared" si="106"/>
        <v>-1.0075646328899288</v>
      </c>
      <c r="V276" s="383">
        <f t="shared" si="107"/>
        <v>45.073542510551967</v>
      </c>
      <c r="W276" s="58"/>
      <c r="X276" s="157">
        <f t="shared" si="108"/>
        <v>43727</v>
      </c>
      <c r="Y276" s="385">
        <f t="shared" si="109"/>
        <v>39.323</v>
      </c>
      <c r="Z276" s="385">
        <f t="shared" si="110"/>
        <v>39.742078875329881</v>
      </c>
      <c r="AA276" s="386">
        <f t="shared" si="111"/>
        <v>42.115838166401652</v>
      </c>
      <c r="AB276" s="197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5.6362627325447938E-2</v>
      </c>
      <c r="AD276" s="231">
        <f>(INDEX(Models!$BJ276:$BT276,,AH276)*(1-AF276)+INDEX(Models!$BJ276:$BT276,,AH276+1)*AF276-ERP_i)*AE276*Ramure*Pc/MaxiM</f>
        <v>1.7859974163968916E-4</v>
      </c>
      <c r="AE276" s="305">
        <f t="shared" si="113"/>
        <v>0.7</v>
      </c>
      <c r="AF276" s="177">
        <f t="shared" si="114"/>
        <v>0.99243536711007119</v>
      </c>
      <c r="AG276" s="176">
        <f t="shared" si="115"/>
        <v>-2</v>
      </c>
      <c r="AH276" s="176">
        <f t="shared" si="116"/>
        <v>4</v>
      </c>
      <c r="AI276" s="225">
        <f t="shared" si="117"/>
        <v>-1.0075646328899288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8">
        <v>43.860999999999997</v>
      </c>
      <c r="C277" s="390"/>
      <c r="D277" s="393">
        <f t="shared" si="99"/>
        <v>44.329412846147029</v>
      </c>
      <c r="E277" s="385">
        <f t="shared" si="97"/>
        <v>46.983914500524648</v>
      </c>
      <c r="F277" s="385">
        <f t="shared" si="100"/>
        <v>46.992391841113573</v>
      </c>
      <c r="G277" s="110">
        <f t="shared" si="98"/>
        <v>0.97701984149973153</v>
      </c>
      <c r="H277" s="412" t="b">
        <f>Wh_hp&gt;='2018'!Maxi_hp</f>
        <v>1</v>
      </c>
      <c r="I277" s="390">
        <f>IF(H277,Wh_hp,'2018'!Maxi_hp)</f>
        <v>46.992391841113573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1.0566637725898609E-2</v>
      </c>
      <c r="M277" s="957"/>
      <c r="N277" s="957"/>
      <c r="O277" s="48">
        <f>IF(t&lt;Tnet,'2018'!Resal+('2018'!Salim-'2018'!Resal)*(1-EXP(('2018'!Tnet-t)/('2018'!Tau_j))),Resal+(Salim-Resal)*(1-EXP((Tnet-t)/(Tau_j))))*Salcycl</f>
        <v>5.649809477556357E-2</v>
      </c>
      <c r="P277" s="169">
        <f>(INDEX(Models!$BJ277:$BT277,,T277)*(1-R277)+INDEX(Models!$BJ277:$BT277,,T277+1)*R277-ERP_i)*Q277*Ramure*Pc/MaxiM</f>
        <v>1.865197768702587E-4</v>
      </c>
      <c r="Q277" s="305">
        <f t="shared" si="102"/>
        <v>0.7</v>
      </c>
      <c r="R277" s="177">
        <f t="shared" si="103"/>
        <v>0.99274347155512999</v>
      </c>
      <c r="S277" s="919">
        <f t="shared" si="104"/>
        <v>-2</v>
      </c>
      <c r="T277" s="176">
        <f t="shared" si="105"/>
        <v>4</v>
      </c>
      <c r="U277" s="251">
        <f t="shared" si="106"/>
        <v>-1.00725652844487</v>
      </c>
      <c r="V277" s="383">
        <f t="shared" si="107"/>
        <v>44.892365116747129</v>
      </c>
      <c r="W277" s="58"/>
      <c r="X277" s="157">
        <f t="shared" si="108"/>
        <v>43728</v>
      </c>
      <c r="Y277" s="385">
        <f t="shared" si="109"/>
        <v>43.860999999999997</v>
      </c>
      <c r="Z277" s="385">
        <f t="shared" si="110"/>
        <v>44.329412846147029</v>
      </c>
      <c r="AA277" s="386">
        <f t="shared" si="111"/>
        <v>46.983914500524648</v>
      </c>
      <c r="AB277" s="197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5.649809477556357E-2</v>
      </c>
      <c r="AD277" s="231">
        <f>(INDEX(Models!$BJ277:$BT277,,AH277)*(1-AF277)+INDEX(Models!$BJ277:$BT277,,AH277+1)*AF277-ERP_i)*AE277*Ramure*Pc/MaxiM</f>
        <v>1.865197768702587E-4</v>
      </c>
      <c r="AE277" s="305">
        <f t="shared" si="113"/>
        <v>0.7</v>
      </c>
      <c r="AF277" s="177">
        <f t="shared" si="114"/>
        <v>0.99274347155512999</v>
      </c>
      <c r="AG277" s="176">
        <f t="shared" si="115"/>
        <v>-2</v>
      </c>
      <c r="AH277" s="176">
        <f t="shared" si="116"/>
        <v>4</v>
      </c>
      <c r="AI277" s="225">
        <f t="shared" si="117"/>
        <v>-1.00725652844487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8">
        <v>32.264000000000003</v>
      </c>
      <c r="C278" s="390"/>
      <c r="D278" s="393">
        <f t="shared" si="99"/>
        <v>32.609277097473928</v>
      </c>
      <c r="E278" s="385">
        <f t="shared" si="97"/>
        <v>34.566872199699347</v>
      </c>
      <c r="F278" s="385">
        <f t="shared" si="100"/>
        <v>34.570937857482065</v>
      </c>
      <c r="G278" s="110">
        <f t="shared" si="98"/>
        <v>0.721612701476126</v>
      </c>
      <c r="H278" s="412" t="b">
        <f>Wh_hp&gt;='2018'!Maxi_hp</f>
        <v>1</v>
      </c>
      <c r="I278" s="390">
        <f>IF(H278,Wh_hp,'2018'!Maxi_hp)</f>
        <v>34.570937857482065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1.0588308855846162E-2</v>
      </c>
      <c r="M278" s="957"/>
      <c r="N278" s="957"/>
      <c r="O278" s="48">
        <f>IF(t&lt;Tnet,'2018'!Resal+('2018'!Salim-'2018'!Resal)*(1-EXP(('2018'!Tnet-t)/('2018'!Tau_j))),Resal+(Salim-Resal)*(1-EXP((Tnet-t)/(Tau_j))))*Salcycl</f>
        <v>5.6632115596575335E-2</v>
      </c>
      <c r="P278" s="169">
        <f>(INDEX(Models!$BJ278:$BT278,,T278)*(1-R278)+INDEX(Models!$BJ278:$BT278,,T278+1)*R278-ERP_i)*Q278*Ramure*Pc/MaxiM</f>
        <v>1.9522988752639244E-4</v>
      </c>
      <c r="Q278" s="305">
        <f t="shared" si="102"/>
        <v>0.7</v>
      </c>
      <c r="R278" s="177">
        <f t="shared" si="103"/>
        <v>0.99303953312771753</v>
      </c>
      <c r="S278" s="919">
        <f t="shared" si="104"/>
        <v>-2</v>
      </c>
      <c r="T278" s="176">
        <f t="shared" si="105"/>
        <v>4</v>
      </c>
      <c r="U278" s="251">
        <f t="shared" si="106"/>
        <v>-1.0069604668722825</v>
      </c>
      <c r="V278" s="383">
        <f t="shared" si="107"/>
        <v>44.7074935024309</v>
      </c>
      <c r="W278" s="58"/>
      <c r="X278" s="157">
        <f t="shared" si="108"/>
        <v>43729</v>
      </c>
      <c r="Y278" s="385">
        <f t="shared" si="109"/>
        <v>32.264000000000003</v>
      </c>
      <c r="Z278" s="385">
        <f t="shared" si="110"/>
        <v>32.609277097473928</v>
      </c>
      <c r="AA278" s="386">
        <f t="shared" si="111"/>
        <v>34.566872199699347</v>
      </c>
      <c r="AB278" s="197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5.6632115596575335E-2</v>
      </c>
      <c r="AD278" s="231">
        <f>(INDEX(Models!$BJ278:$BT278,,AH278)*(1-AF278)+INDEX(Models!$BJ278:$BT278,,AH278+1)*AF278-ERP_i)*AE278*Ramure*Pc/MaxiM</f>
        <v>1.9522988752639244E-4</v>
      </c>
      <c r="AE278" s="305">
        <f t="shared" si="113"/>
        <v>0.7</v>
      </c>
      <c r="AF278" s="177">
        <f t="shared" si="114"/>
        <v>0.99303953312771753</v>
      </c>
      <c r="AG278" s="176">
        <f t="shared" si="115"/>
        <v>-2</v>
      </c>
      <c r="AH278" s="176">
        <f t="shared" si="116"/>
        <v>4</v>
      </c>
      <c r="AI278" s="225">
        <f t="shared" si="117"/>
        <v>-1.0069604668722825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8">
        <v>9.4290000000000003</v>
      </c>
      <c r="C279" s="390"/>
      <c r="D279" s="393">
        <f t="shared" si="99"/>
        <v>9.5301143176490832</v>
      </c>
      <c r="E279" s="385">
        <f t="shared" si="97"/>
        <v>10.103644369727141</v>
      </c>
      <c r="F279" s="385">
        <f t="shared" si="100"/>
        <v>10.103644369727141</v>
      </c>
      <c r="G279" s="110">
        <f t="shared" si="98"/>
        <v>0.21175386123484879</v>
      </c>
      <c r="H279" s="412" t="b">
        <f>Wh_hp&gt;='2018'!Maxi_hp</f>
        <v>0</v>
      </c>
      <c r="I279" s="390">
        <f>IF(H279,Wh_hp,'2018'!Maxi_hp)</f>
        <v>45.830234564690414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1.0609979511140399E-2</v>
      </c>
      <c r="M279" s="957"/>
      <c r="N279" s="957"/>
      <c r="O279" s="48">
        <f>IF(t&lt;Tnet,'2018'!Resal+('2018'!Salim-'2018'!Resal)*(1-EXP(('2018'!Tnet-t)/('2018'!Tau_j))),Resal+(Salim-Resal)*(1-EXP((Tnet-t)/(Tau_j))))*Salcycl</f>
        <v>5.6764671349328867E-2</v>
      </c>
      <c r="P279" s="169">
        <f>(INDEX(Models!$BJ279:$BT279,,T279)*(1-R279)+INDEX(Models!$BJ279:$BT279,,T279+1)*R279-ERP_i)*Q279*Ramure*Pc/MaxiM</f>
        <v>2.0473515578313934E-4</v>
      </c>
      <c r="Q279" s="305">
        <f t="shared" si="102"/>
        <v>0.7</v>
      </c>
      <c r="R279" s="177">
        <f t="shared" si="103"/>
        <v>0.99332400872252791</v>
      </c>
      <c r="S279" s="919">
        <f t="shared" si="104"/>
        <v>-2</v>
      </c>
      <c r="T279" s="176">
        <f t="shared" si="105"/>
        <v>4</v>
      </c>
      <c r="U279" s="251">
        <f t="shared" si="106"/>
        <v>-1.0066759912774721</v>
      </c>
      <c r="V279" s="383">
        <f t="shared" si="107"/>
        <v>44.518997184948084</v>
      </c>
      <c r="W279" s="58"/>
      <c r="X279" s="157">
        <f t="shared" si="108"/>
        <v>43730</v>
      </c>
      <c r="Y279" s="385">
        <f t="shared" si="109"/>
        <v>9.4290000000000003</v>
      </c>
      <c r="Z279" s="385">
        <f t="shared" si="110"/>
        <v>9.5301143176490832</v>
      </c>
      <c r="AA279" s="386">
        <f t="shared" si="111"/>
        <v>10.103644369727141</v>
      </c>
      <c r="AB279" s="197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5.6764671349328867E-2</v>
      </c>
      <c r="AD279" s="231">
        <f>(INDEX(Models!$BJ279:$BT279,,AH279)*(1-AF279)+INDEX(Models!$BJ279:$BT279,,AH279+1)*AF279-ERP_i)*AE279*Ramure*Pc/MaxiM</f>
        <v>2.0473515578313934E-4</v>
      </c>
      <c r="AE279" s="305">
        <f t="shared" si="113"/>
        <v>0.7</v>
      </c>
      <c r="AF279" s="177">
        <f t="shared" si="114"/>
        <v>0.99332400872252791</v>
      </c>
      <c r="AG279" s="176">
        <f t="shared" si="115"/>
        <v>-2</v>
      </c>
      <c r="AH279" s="176">
        <f t="shared" si="116"/>
        <v>4</v>
      </c>
      <c r="AI279" s="225">
        <f t="shared" si="117"/>
        <v>-1.0066759912774721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8">
        <v>37.883000000000003</v>
      </c>
      <c r="C280" s="390"/>
      <c r="D280" s="393">
        <f t="shared" si="99"/>
        <v>38.290086789413344</v>
      </c>
      <c r="E280" s="385">
        <f t="shared" si="97"/>
        <v>40.600057228575814</v>
      </c>
      <c r="F280" s="385">
        <f t="shared" si="100"/>
        <v>40.606975957088402</v>
      </c>
      <c r="G280" s="110">
        <f t="shared" si="98"/>
        <v>0.8545887250691232</v>
      </c>
      <c r="H280" s="412" t="b">
        <f>Wh_hp&gt;='2018'!Maxi_hp</f>
        <v>0</v>
      </c>
      <c r="I280" s="390">
        <f>IF(H280,Wh_hp,'2018'!Maxi_hp)</f>
        <v>46.242324699542912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1.0631649691791645E-2</v>
      </c>
      <c r="M280" s="957"/>
      <c r="N280" s="957"/>
      <c r="O280" s="48">
        <f>IF(t&lt;Tnet,'2018'!Resal+('2018'!Salim-'2018'!Resal)*(1-EXP(('2018'!Tnet-t)/('2018'!Tau_j))),Resal+(Salim-Resal)*(1-EXP((Tnet-t)/(Tau_j))))*Salcycl</f>
        <v>5.6895743426110958E-2</v>
      </c>
      <c r="P280" s="169">
        <f>(INDEX(Models!$BJ280:$BT280,,T280)*(1-R280)+INDEX(Models!$BJ280:$BT280,,T280+1)*R280-ERP_i)*Q280*Ramure*Pc/MaxiM</f>
        <v>2.1504173378840587E-4</v>
      </c>
      <c r="Q280" s="305">
        <f t="shared" si="102"/>
        <v>0.7</v>
      </c>
      <c r="R280" s="177">
        <f t="shared" si="103"/>
        <v>0.99359733897809299</v>
      </c>
      <c r="S280" s="919">
        <f t="shared" si="104"/>
        <v>-2</v>
      </c>
      <c r="T280" s="176">
        <f t="shared" si="105"/>
        <v>4</v>
      </c>
      <c r="U280" s="251">
        <f t="shared" si="106"/>
        <v>-1.006402661021907</v>
      </c>
      <c r="V280" s="383">
        <f t="shared" si="107"/>
        <v>44.326945563912965</v>
      </c>
      <c r="W280" s="58"/>
      <c r="X280" s="157">
        <f t="shared" si="108"/>
        <v>43731</v>
      </c>
      <c r="Y280" s="385">
        <f t="shared" si="109"/>
        <v>37.883000000000003</v>
      </c>
      <c r="Z280" s="385">
        <f t="shared" si="110"/>
        <v>38.290086789413344</v>
      </c>
      <c r="AA280" s="386">
        <f t="shared" si="111"/>
        <v>40.600057228575814</v>
      </c>
      <c r="AB280" s="197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5.6895743426110958E-2</v>
      </c>
      <c r="AD280" s="231">
        <f>(INDEX(Models!$BJ280:$BT280,,AH280)*(1-AF280)+INDEX(Models!$BJ280:$BT280,,AH280+1)*AF280-ERP_i)*AE280*Ramure*Pc/MaxiM</f>
        <v>2.1504173378840587E-4</v>
      </c>
      <c r="AE280" s="305">
        <f t="shared" si="113"/>
        <v>0.7</v>
      </c>
      <c r="AF280" s="177">
        <f t="shared" si="114"/>
        <v>0.99359733897809299</v>
      </c>
      <c r="AG280" s="176">
        <f t="shared" si="115"/>
        <v>-2</v>
      </c>
      <c r="AH280" s="176">
        <f t="shared" si="116"/>
        <v>4</v>
      </c>
      <c r="AI280" s="225">
        <f t="shared" si="117"/>
        <v>-1.006402661021907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8">
        <v>26.064</v>
      </c>
      <c r="C281" s="390"/>
      <c r="D281" s="393">
        <f t="shared" si="99"/>
        <v>26.344658056704166</v>
      </c>
      <c r="E281" s="385">
        <f t="shared" si="97"/>
        <v>27.937821051226873</v>
      </c>
      <c r="F281" s="385">
        <f t="shared" si="100"/>
        <v>27.940444287089317</v>
      </c>
      <c r="G281" s="110">
        <f t="shared" si="98"/>
        <v>0.59052165819640645</v>
      </c>
      <c r="H281" s="412" t="b">
        <f>Wh_hp&gt;='2018'!Maxi_hp</f>
        <v>0</v>
      </c>
      <c r="I281" s="390">
        <f>IF(H281,Wh_hp,'2018'!Maxi_hp)</f>
        <v>34.2577380271441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1.0653319397810335E-2</v>
      </c>
      <c r="M281" s="957"/>
      <c r="N281" s="957"/>
      <c r="O281" s="48">
        <f>IF(t&lt;Tnet,'2018'!Resal+('2018'!Salim-'2018'!Resal)*(1-EXP(('2018'!Tnet-t)/('2018'!Tau_j))),Resal+(Salim-Resal)*(1-EXP((Tnet-t)/(Tau_j))))*Salcycl</f>
        <v>5.7025313162450304E-2</v>
      </c>
      <c r="P281" s="169">
        <f>(INDEX(Models!$BJ281:$BT281,,T281)*(1-R281)+INDEX(Models!$BJ281:$BT281,,T281+1)*R281-ERP_i)*Q281*Ramure*Pc/MaxiM</f>
        <v>2.2615530894198744E-4</v>
      </c>
      <c r="Q281" s="305">
        <f t="shared" si="102"/>
        <v>0.7</v>
      </c>
      <c r="R281" s="177">
        <f t="shared" si="103"/>
        <v>0.9938599487702291</v>
      </c>
      <c r="S281" s="919">
        <f t="shared" si="104"/>
        <v>-2</v>
      </c>
      <c r="T281" s="176">
        <f t="shared" si="105"/>
        <v>4</v>
      </c>
      <c r="U281" s="251">
        <f t="shared" si="106"/>
        <v>-1.0061400512297709</v>
      </c>
      <c r="V281" s="383">
        <f t="shared" si="107"/>
        <v>44.13140799380691</v>
      </c>
      <c r="W281" s="58"/>
      <c r="X281" s="157">
        <f t="shared" si="108"/>
        <v>43732</v>
      </c>
      <c r="Y281" s="385">
        <f t="shared" si="109"/>
        <v>26.064</v>
      </c>
      <c r="Z281" s="385">
        <f t="shared" si="110"/>
        <v>26.344658056704166</v>
      </c>
      <c r="AA281" s="386">
        <f t="shared" si="111"/>
        <v>27.937821051226873</v>
      </c>
      <c r="AB281" s="197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5.7025313162450304E-2</v>
      </c>
      <c r="AD281" s="231">
        <f>(INDEX(Models!$BJ281:$BT281,,AH281)*(1-AF281)+INDEX(Models!$BJ281:$BT281,,AH281+1)*AF281-ERP_i)*AE281*Ramure*Pc/MaxiM</f>
        <v>2.2615530894198744E-4</v>
      </c>
      <c r="AE281" s="305">
        <f t="shared" si="113"/>
        <v>0.7</v>
      </c>
      <c r="AF281" s="177">
        <f t="shared" si="114"/>
        <v>0.9938599487702291</v>
      </c>
      <c r="AG281" s="176">
        <f t="shared" si="115"/>
        <v>-2</v>
      </c>
      <c r="AH281" s="176">
        <f t="shared" si="116"/>
        <v>4</v>
      </c>
      <c r="AI281" s="225">
        <f t="shared" si="117"/>
        <v>-1.0061400512297709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8">
        <v>25.943999999999999</v>
      </c>
      <c r="C282" s="390"/>
      <c r="D282" s="393">
        <f t="shared" si="99"/>
        <v>26.223940264132615</v>
      </c>
      <c r="E282" s="385">
        <f t="shared" si="97"/>
        <v>27.813579861329284</v>
      </c>
      <c r="F282" s="385">
        <f t="shared" si="100"/>
        <v>27.816328989529456</v>
      </c>
      <c r="G282" s="110">
        <f t="shared" si="98"/>
        <v>0.59046068962862408</v>
      </c>
      <c r="H282" s="412" t="b">
        <f>Wh_hp&gt;='2018'!Maxi_hp</f>
        <v>0</v>
      </c>
      <c r="I282" s="390">
        <f>IF(H282,Wh_hp,'2018'!Maxi_hp)</f>
        <v>48.914209724554347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1.0674988629206905E-2</v>
      </c>
      <c r="M282" s="957"/>
      <c r="N282" s="957"/>
      <c r="O282" s="48">
        <f>IF(t&lt;Tnet,'2018'!Resal+('2018'!Salim-'2018'!Resal)*(1-EXP(('2018'!Tnet-t)/('2018'!Tau_j))),Resal+(Salim-Resal)*(1-EXP((Tnet-t)/(Tau_j))))*Salcycl</f>
        <v>5.7153361959235961E-2</v>
      </c>
      <c r="P282" s="169">
        <f>(INDEX(Models!$BJ282:$BT282,,T282)*(1-R282)+INDEX(Models!$BJ282:$BT282,,T282+1)*R282-ERP_i)*Q282*Ramure*Pc/MaxiM</f>
        <v>2.3811287440116688E-4</v>
      </c>
      <c r="Q282" s="305">
        <f t="shared" si="102"/>
        <v>0.7</v>
      </c>
      <c r="R282" s="177">
        <f t="shared" si="103"/>
        <v>0.99411224769744733</v>
      </c>
      <c r="S282" s="919">
        <f t="shared" si="104"/>
        <v>-2</v>
      </c>
      <c r="T282" s="176">
        <f t="shared" si="105"/>
        <v>4</v>
      </c>
      <c r="U282" s="251">
        <f t="shared" si="106"/>
        <v>-1.0058877523025527</v>
      </c>
      <c r="V282" s="383">
        <f t="shared" si="107"/>
        <v>43.932452373660844</v>
      </c>
      <c r="W282" s="58"/>
      <c r="X282" s="157">
        <f t="shared" si="108"/>
        <v>43733</v>
      </c>
      <c r="Y282" s="385">
        <f t="shared" si="109"/>
        <v>25.943999999999999</v>
      </c>
      <c r="Z282" s="385">
        <f t="shared" si="110"/>
        <v>26.223940264132615</v>
      </c>
      <c r="AA282" s="386">
        <f t="shared" si="111"/>
        <v>27.813579861329284</v>
      </c>
      <c r="AB282" s="197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5.7153361959235961E-2</v>
      </c>
      <c r="AD282" s="231">
        <f>(INDEX(Models!$BJ282:$BT282,,AH282)*(1-AF282)+INDEX(Models!$BJ282:$BT282,,AH282+1)*AF282-ERP_i)*AE282*Ramure*Pc/MaxiM</f>
        <v>2.3811287440116688E-4</v>
      </c>
      <c r="AE282" s="305">
        <f t="shared" si="113"/>
        <v>0.7</v>
      </c>
      <c r="AF282" s="177">
        <f t="shared" si="114"/>
        <v>0.99411224769744733</v>
      </c>
      <c r="AG282" s="176">
        <f t="shared" si="115"/>
        <v>-2</v>
      </c>
      <c r="AH282" s="176">
        <f t="shared" si="116"/>
        <v>4</v>
      </c>
      <c r="AI282" s="225">
        <f t="shared" si="117"/>
        <v>-1.0058877523025527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8">
        <v>33.423000000000002</v>
      </c>
      <c r="C283" s="390"/>
      <c r="D283" s="393">
        <f t="shared" si="99"/>
        <v>33.784379937186252</v>
      </c>
      <c r="E283" s="385">
        <f t="shared" si="97"/>
        <v>35.837125900645887</v>
      </c>
      <c r="F283" s="385">
        <f t="shared" si="100"/>
        <v>35.843089406515965</v>
      </c>
      <c r="G283" s="110">
        <f t="shared" si="98"/>
        <v>0.76423647020490537</v>
      </c>
      <c r="H283" s="412" t="b">
        <f>Wh_hp&gt;='2018'!Maxi_hp</f>
        <v>0</v>
      </c>
      <c r="I283" s="390">
        <f>IF(H283,Wh_hp,'2018'!Maxi_hp)</f>
        <v>47.979649608380406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1.069665738599157E-2</v>
      </c>
      <c r="M283" s="957"/>
      <c r="N283" s="957"/>
      <c r="O283" s="48">
        <f>IF(t&lt;Tnet,'2018'!Resal+('2018'!Salim-'2018'!Resal)*(1-EXP(('2018'!Tnet-t)/('2018'!Tau_j))),Resal+(Salim-Resal)*(1-EXP((Tnet-t)/(Tau_j))))*Salcycl</f>
        <v>5.7279871414650525E-2</v>
      </c>
      <c r="P283" s="169">
        <f>(INDEX(Models!$BJ283:$BT283,,T283)*(1-R283)+INDEX(Models!$BJ283:$BT283,,T283+1)*R283-ERP_i)*Q283*Ramure*Pc/MaxiM</f>
        <v>2.508387364545115E-4</v>
      </c>
      <c r="Q283" s="305">
        <f t="shared" si="102"/>
        <v>0.7</v>
      </c>
      <c r="R283" s="177">
        <f t="shared" si="103"/>
        <v>0.99435463055782525</v>
      </c>
      <c r="S283" s="919">
        <f t="shared" si="104"/>
        <v>-2</v>
      </c>
      <c r="T283" s="176">
        <f t="shared" si="105"/>
        <v>4</v>
      </c>
      <c r="U283" s="251">
        <f t="shared" si="106"/>
        <v>-1.0056453694421748</v>
      </c>
      <c r="V283" s="383">
        <f t="shared" si="107"/>
        <v>43.730151472804202</v>
      </c>
      <c r="W283" s="58"/>
      <c r="X283" s="157">
        <f t="shared" si="108"/>
        <v>43734</v>
      </c>
      <c r="Y283" s="385">
        <f t="shared" si="109"/>
        <v>33.423000000000002</v>
      </c>
      <c r="Z283" s="385">
        <f t="shared" si="110"/>
        <v>33.784379937186252</v>
      </c>
      <c r="AA283" s="386">
        <f t="shared" si="111"/>
        <v>35.837125900645887</v>
      </c>
      <c r="AB283" s="197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5.7279871414650525E-2</v>
      </c>
      <c r="AD283" s="231">
        <f>(INDEX(Models!$BJ283:$BT283,,AH283)*(1-AF283)+INDEX(Models!$BJ283:$BT283,,AH283+1)*AF283-ERP_i)*AE283*Ramure*Pc/MaxiM</f>
        <v>2.508387364545115E-4</v>
      </c>
      <c r="AE283" s="305">
        <f t="shared" si="113"/>
        <v>0.7</v>
      </c>
      <c r="AF283" s="177">
        <f t="shared" si="114"/>
        <v>0.99435463055782525</v>
      </c>
      <c r="AG283" s="176">
        <f t="shared" si="115"/>
        <v>-2</v>
      </c>
      <c r="AH283" s="176">
        <f t="shared" si="116"/>
        <v>4</v>
      </c>
      <c r="AI283" s="225">
        <f t="shared" si="117"/>
        <v>-1.0056453694421748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8">
        <v>34.786000000000001</v>
      </c>
      <c r="C284" s="390"/>
      <c r="D284" s="393">
        <f t="shared" si="99"/>
        <v>35.162887277271118</v>
      </c>
      <c r="E284" s="385">
        <f t="shared" si="97"/>
        <v>37.304336105921173</v>
      </c>
      <c r="F284" s="385">
        <f t="shared" si="100"/>
        <v>37.311370046352593</v>
      </c>
      <c r="G284" s="110">
        <f t="shared" si="98"/>
        <v>0.79916604783009992</v>
      </c>
      <c r="H284" s="412" t="b">
        <f>Wh_hp&gt;='2018'!Maxi_hp</f>
        <v>0</v>
      </c>
      <c r="I284" s="390">
        <f>IF(H284,Wh_hp,'2018'!Maxi_hp)</f>
        <v>46.988763169188566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1.0718325668174988E-2</v>
      </c>
      <c r="M284" s="957"/>
      <c r="N284" s="957"/>
      <c r="O284" s="48">
        <f>IF(t&lt;Tnet,'2018'!Resal+('2018'!Salim-'2018'!Resal)*(1-EXP(('2018'!Tnet-t)/('2018'!Tau_j))),Resal+(Salim-Resal)*(1-EXP((Tnet-t)/(Tau_j))))*Salcycl</f>
        <v>5.7404823465284777E-2</v>
      </c>
      <c r="P284" s="169">
        <f>(INDEX(Models!$BJ284:$BT284,,T284)*(1-R284)+INDEX(Models!$BJ284:$BT284,,T284+1)*R284-ERP_i)*Q284*Ramure*Pc/MaxiM</f>
        <v>2.6433688334151056E-4</v>
      </c>
      <c r="Q284" s="305">
        <f t="shared" si="102"/>
        <v>0.7</v>
      </c>
      <c r="R284" s="177">
        <f t="shared" si="103"/>
        <v>0.99458747781689461</v>
      </c>
      <c r="S284" s="919">
        <f t="shared" si="104"/>
        <v>-2</v>
      </c>
      <c r="T284" s="176">
        <f t="shared" si="105"/>
        <v>4</v>
      </c>
      <c r="U284" s="251">
        <f t="shared" si="106"/>
        <v>-1.0054125221831054</v>
      </c>
      <c r="V284" s="383">
        <f t="shared" si="107"/>
        <v>43.524574438486368</v>
      </c>
      <c r="W284" s="58"/>
      <c r="X284" s="157">
        <f t="shared" si="108"/>
        <v>43735</v>
      </c>
      <c r="Y284" s="385">
        <f t="shared" si="109"/>
        <v>34.786000000000001</v>
      </c>
      <c r="Z284" s="385">
        <f t="shared" si="110"/>
        <v>35.162887277271118</v>
      </c>
      <c r="AA284" s="386">
        <f t="shared" si="111"/>
        <v>37.304336105921173</v>
      </c>
      <c r="AB284" s="197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5.7404823465284777E-2</v>
      </c>
      <c r="AD284" s="231">
        <f>(INDEX(Models!$BJ284:$BT284,,AH284)*(1-AF284)+INDEX(Models!$BJ284:$BT284,,AH284+1)*AF284-ERP_i)*AE284*Ramure*Pc/MaxiM</f>
        <v>2.6433688334151056E-4</v>
      </c>
      <c r="AE284" s="305">
        <f t="shared" si="113"/>
        <v>0.7</v>
      </c>
      <c r="AF284" s="177">
        <f t="shared" si="114"/>
        <v>0.99458747781689461</v>
      </c>
      <c r="AG284" s="176">
        <f t="shared" si="115"/>
        <v>-2</v>
      </c>
      <c r="AH284" s="176">
        <f t="shared" si="116"/>
        <v>4</v>
      </c>
      <c r="AI284" s="225">
        <f t="shared" si="117"/>
        <v>-1.0054125221831054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8">
        <v>32.801000000000002</v>
      </c>
      <c r="C285" s="390"/>
      <c r="D285" s="393">
        <f t="shared" si="99"/>
        <v>33.157107114080546</v>
      </c>
      <c r="E285" s="385">
        <f t="shared" si="97"/>
        <v>35.181007148358219</v>
      </c>
      <c r="F285" s="385">
        <f t="shared" si="100"/>
        <v>35.187411039033712</v>
      </c>
      <c r="G285" s="110">
        <f t="shared" si="98"/>
        <v>0.75717954194744719</v>
      </c>
      <c r="H285" s="412" t="b">
        <f>Wh_hp&gt;='2018'!Maxi_hp</f>
        <v>0</v>
      </c>
      <c r="I285" s="390">
        <f>IF(H285,Wh_hp,'2018'!Maxi_hp)</f>
        <v>44.138858996476266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1.0739993475767262E-2</v>
      </c>
      <c r="M285" s="957"/>
      <c r="N285" s="957"/>
      <c r="O285" s="48">
        <f>IF(t&lt;Tnet,'2018'!Resal+('2018'!Salim-'2018'!Resal)*(1-EXP(('2018'!Tnet-t)/('2018'!Tau_j))),Resal+(Salim-Resal)*(1-EXP((Tnet-t)/(Tau_j))))*Salcycl</f>
        <v>5.7528200535672265E-2</v>
      </c>
      <c r="P285" s="169">
        <f>(INDEX(Models!$BJ285:$BT285,,T285)*(1-R285)+INDEX(Models!$BJ285:$BT285,,T285+1)*R285-ERP_i)*Q285*Ramure*Pc/MaxiM</f>
        <v>2.7861105092807182E-4</v>
      </c>
      <c r="Q285" s="305">
        <f t="shared" si="102"/>
        <v>0.7</v>
      </c>
      <c r="R285" s="177">
        <f t="shared" si="103"/>
        <v>0.9948111560661812</v>
      </c>
      <c r="S285" s="919">
        <f t="shared" si="104"/>
        <v>-2</v>
      </c>
      <c r="T285" s="176">
        <f t="shared" si="105"/>
        <v>4</v>
      </c>
      <c r="U285" s="251">
        <f t="shared" si="106"/>
        <v>-1.0051888439338188</v>
      </c>
      <c r="V285" s="383">
        <f t="shared" si="107"/>
        <v>43.315790329403583</v>
      </c>
      <c r="W285" s="58"/>
      <c r="X285" s="157">
        <f t="shared" si="108"/>
        <v>43736</v>
      </c>
      <c r="Y285" s="385">
        <f t="shared" si="109"/>
        <v>32.801000000000002</v>
      </c>
      <c r="Z285" s="385">
        <f t="shared" si="110"/>
        <v>33.157107114080546</v>
      </c>
      <c r="AA285" s="386">
        <f t="shared" si="111"/>
        <v>35.181007148358219</v>
      </c>
      <c r="AB285" s="197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5.7528200535672265E-2</v>
      </c>
      <c r="AD285" s="231">
        <f>(INDEX(Models!$BJ285:$BT285,,AH285)*(1-AF285)+INDEX(Models!$BJ285:$BT285,,AH285+1)*AF285-ERP_i)*AE285*Ramure*Pc/MaxiM</f>
        <v>2.7861105092807182E-4</v>
      </c>
      <c r="AE285" s="305">
        <f t="shared" si="113"/>
        <v>0.7</v>
      </c>
      <c r="AF285" s="177">
        <f t="shared" si="114"/>
        <v>0.9948111560661812</v>
      </c>
      <c r="AG285" s="176">
        <f t="shared" si="115"/>
        <v>-2</v>
      </c>
      <c r="AH285" s="176">
        <f t="shared" si="116"/>
        <v>4</v>
      </c>
      <c r="AI285" s="225">
        <f t="shared" si="117"/>
        <v>-1.0051888439338188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8">
        <v>41.271999999999998</v>
      </c>
      <c r="C286" s="390"/>
      <c r="D286" s="393">
        <f t="shared" si="99"/>
        <v>41.720987111905771</v>
      </c>
      <c r="E286" s="385">
        <f t="shared" si="97"/>
        <v>44.273344806697658</v>
      </c>
      <c r="F286" s="385">
        <f t="shared" si="100"/>
        <v>44.285560336458531</v>
      </c>
      <c r="G286" s="110">
        <f t="shared" si="98"/>
        <v>0.95748399762176828</v>
      </c>
      <c r="H286" s="412" t="b">
        <f>Wh_hp&gt;='2018'!Maxi_hp</f>
        <v>0</v>
      </c>
      <c r="I286" s="390">
        <f>IF(H286,Wh_hp,'2018'!Maxi_hp)</f>
        <v>45.467806820564945</v>
      </c>
      <c r="J286" s="85">
        <f>IF(H286,An,'2018'!An_max)</f>
        <v>2018</v>
      </c>
      <c r="K286" s="197">
        <f t="shared" si="101"/>
        <v>43737</v>
      </c>
      <c r="L286" s="147">
        <f>IF(t&lt;Tvie,1-EXP((T0-t)*PertePVj)+'2018'!Pspv,1-EXP((T0-t)*PertePVj)+Pspv)</f>
        <v>1.076166080877905E-2</v>
      </c>
      <c r="M286" s="957"/>
      <c r="N286" s="957"/>
      <c r="O286" s="48">
        <f>IF(t&lt;Tnet,'2018'!Resal+('2018'!Salim-'2018'!Resal)*(1-EXP(('2018'!Tnet-t)/('2018'!Tau_j))),Resal+(Salim-Resal)*(1-EXP((Tnet-t)/(Tau_j))))*Salcycl</f>
        <v>5.7649985695360659E-2</v>
      </c>
      <c r="P286" s="169">
        <f>(INDEX(Models!$BJ286:$BT286,,T286)*(1-R286)+INDEX(Models!$BJ286:$BT286,,T286+1)*R286-ERP_i)*Q286*Ramure*Pc/MaxiM</f>
        <v>2.9366469348938144E-4</v>
      </c>
      <c r="Q286" s="305">
        <f t="shared" si="102"/>
        <v>0.7</v>
      </c>
      <c r="R286" s="177">
        <f t="shared" si="103"/>
        <v>0.99502601847209138</v>
      </c>
      <c r="S286" s="919">
        <f t="shared" si="104"/>
        <v>-2</v>
      </c>
      <c r="T286" s="176">
        <f t="shared" si="105"/>
        <v>4</v>
      </c>
      <c r="U286" s="251">
        <f t="shared" si="106"/>
        <v>-1.0049739815279086</v>
      </c>
      <c r="V286" s="383">
        <f t="shared" si="107"/>
        <v>43.103868109635037</v>
      </c>
      <c r="W286" s="58"/>
      <c r="X286" s="157">
        <f t="shared" si="108"/>
        <v>43737</v>
      </c>
      <c r="Y286" s="385">
        <f t="shared" si="109"/>
        <v>41.271999999999998</v>
      </c>
      <c r="Z286" s="385">
        <f t="shared" si="110"/>
        <v>41.720987111905771</v>
      </c>
      <c r="AA286" s="386">
        <f t="shared" si="111"/>
        <v>44.273344806697658</v>
      </c>
      <c r="AB286" s="197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5.7649985695360659E-2</v>
      </c>
      <c r="AD286" s="231">
        <f>(INDEX(Models!$BJ286:$BT286,,AH286)*(1-AF286)+INDEX(Models!$BJ286:$BT286,,AH286+1)*AF286-ERP_i)*AE286*Ramure*Pc/MaxiM</f>
        <v>2.9366469348938144E-4</v>
      </c>
      <c r="AE286" s="305">
        <f t="shared" si="113"/>
        <v>0.7</v>
      </c>
      <c r="AF286" s="177">
        <f t="shared" si="114"/>
        <v>0.99502601847209138</v>
      </c>
      <c r="AG286" s="176">
        <f t="shared" si="115"/>
        <v>-2</v>
      </c>
      <c r="AH286" s="176">
        <f t="shared" si="116"/>
        <v>4</v>
      </c>
      <c r="AI286" s="225">
        <f t="shared" si="117"/>
        <v>-1.0049739815279086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8">
        <v>24.632000000000001</v>
      </c>
      <c r="C287" s="390"/>
      <c r="D287" s="393">
        <f t="shared" si="99"/>
        <v>24.900510362317899</v>
      </c>
      <c r="E287" s="385">
        <f t="shared" si="97"/>
        <v>26.427214868199449</v>
      </c>
      <c r="F287" s="385">
        <f t="shared" si="100"/>
        <v>26.430420604022185</v>
      </c>
      <c r="G287" s="110">
        <f t="shared" si="98"/>
        <v>0.57421330053195485</v>
      </c>
      <c r="H287" s="412" t="b">
        <f>Wh_hp&gt;='2018'!Maxi_hp</f>
        <v>0</v>
      </c>
      <c r="I287" s="390">
        <f>IF(H287,Wh_hp,'2018'!Maxi_hp)</f>
        <v>41.385817820684117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1.0783327667220677E-2</v>
      </c>
      <c r="M287" s="957"/>
      <c r="N287" s="957"/>
      <c r="O287" s="48">
        <f>IF(t&lt;Tnet,'2018'!Resal+('2018'!Salim-'2018'!Resal)*(1-EXP(('2018'!Tnet-t)/('2018'!Tau_j))),Resal+(Salim-Resal)*(1-EXP((Tnet-t)/(Tau_j))))*Salcycl</f>
        <v>5.7770162822517963E-2</v>
      </c>
      <c r="P287" s="169">
        <f>(INDEX(Models!$BJ287:$BT287,,T287)*(1-R287)+INDEX(Models!$BJ287:$BT287,,T287+1)*R287-ERP_i)*Q287*Ramure*Pc/MaxiM</f>
        <v>3.0950095655099557E-4</v>
      </c>
      <c r="Q287" s="305">
        <f t="shared" si="102"/>
        <v>0.7</v>
      </c>
      <c r="R287" s="177">
        <f t="shared" si="103"/>
        <v>0.99523240521490042</v>
      </c>
      <c r="S287" s="919">
        <f t="shared" si="104"/>
        <v>-2</v>
      </c>
      <c r="T287" s="176">
        <f t="shared" si="105"/>
        <v>4</v>
      </c>
      <c r="U287" s="251">
        <f t="shared" si="106"/>
        <v>-1.0047675947850996</v>
      </c>
      <c r="V287" s="383">
        <f t="shared" si="107"/>
        <v>42.888876647953907</v>
      </c>
      <c r="W287" s="58"/>
      <c r="X287" s="157">
        <f t="shared" si="108"/>
        <v>43738</v>
      </c>
      <c r="Y287" s="385">
        <f t="shared" si="109"/>
        <v>24.632000000000001</v>
      </c>
      <c r="Z287" s="385">
        <f t="shared" si="110"/>
        <v>24.900510362317899</v>
      </c>
      <c r="AA287" s="386">
        <f t="shared" si="111"/>
        <v>26.427214868199449</v>
      </c>
      <c r="AB287" s="197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5.7770162822517963E-2</v>
      </c>
      <c r="AD287" s="231">
        <f>(INDEX(Models!$BJ287:$BT287,,AH287)*(1-AF287)+INDEX(Models!$BJ287:$BT287,,AH287+1)*AF287-ERP_i)*AE287*Ramure*Pc/MaxiM</f>
        <v>3.0950095655099557E-4</v>
      </c>
      <c r="AE287" s="305">
        <f t="shared" si="113"/>
        <v>0.7</v>
      </c>
      <c r="AF287" s="177">
        <f t="shared" si="114"/>
        <v>0.99523240521490042</v>
      </c>
      <c r="AG287" s="176">
        <f t="shared" si="115"/>
        <v>-2</v>
      </c>
      <c r="AH287" s="176">
        <f t="shared" si="116"/>
        <v>4</v>
      </c>
      <c r="AI287" s="225">
        <f t="shared" si="117"/>
        <v>-1.0047675947850996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8">
        <v>29.626999999999999</v>
      </c>
      <c r="C288" s="390"/>
      <c r="D288" s="393">
        <f t="shared" si="99"/>
        <v>29.950616230194097</v>
      </c>
      <c r="E288" s="385">
        <f t="shared" si="97"/>
        <v>31.790953747633189</v>
      </c>
      <c r="F288" s="385">
        <f t="shared" si="100"/>
        <v>31.79679503617761</v>
      </c>
      <c r="G288" s="110">
        <f t="shared" si="98"/>
        <v>0.69421527286166906</v>
      </c>
      <c r="H288" s="412" t="b">
        <f>Wh_hp&gt;='2018'!Maxi_hp</f>
        <v>1</v>
      </c>
      <c r="I288" s="390">
        <f>IF(H288,Wh_hp,'2018'!Maxi_hp)</f>
        <v>31.79679503617761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1.0804994051102357E-2</v>
      </c>
      <c r="M288" s="957"/>
      <c r="N288" s="957"/>
      <c r="O288" s="48">
        <f>IF(t&lt;Tnet,'2018'!Resal+('2018'!Salim-'2018'!Resal)*(1-EXP(('2018'!Tnet-t)/('2018'!Tau_j))),Resal+(Salim-Resal)*(1-EXP((Tnet-t)/(Tau_j))))*Salcycl</f>
        <v>5.7888716772962548E-2</v>
      </c>
      <c r="P288" s="169">
        <f>(INDEX(Models!$BJ288:$BT288,,T288)*(1-R288)+INDEX(Models!$BJ288:$BT288,,T288+1)*R288-ERP_i)*Q288*Ramure*Pc/MaxiM</f>
        <v>3.2612265231709669E-4</v>
      </c>
      <c r="Q288" s="305">
        <f t="shared" si="102"/>
        <v>0.7</v>
      </c>
      <c r="R288" s="177">
        <f t="shared" si="103"/>
        <v>0.99543064391764879</v>
      </c>
      <c r="S288" s="919">
        <f t="shared" si="104"/>
        <v>-2</v>
      </c>
      <c r="T288" s="176">
        <f t="shared" si="105"/>
        <v>4</v>
      </c>
      <c r="U288" s="251">
        <f t="shared" si="106"/>
        <v>-1.0045693560823512</v>
      </c>
      <c r="V288" s="383">
        <f t="shared" si="107"/>
        <v>42.670884708674684</v>
      </c>
      <c r="W288" s="58"/>
      <c r="X288" s="157">
        <f t="shared" si="108"/>
        <v>43739</v>
      </c>
      <c r="Y288" s="385">
        <f t="shared" si="109"/>
        <v>29.626999999999999</v>
      </c>
      <c r="Z288" s="385">
        <f t="shared" si="110"/>
        <v>29.950616230194097</v>
      </c>
      <c r="AA288" s="386">
        <f t="shared" si="111"/>
        <v>31.790953747633189</v>
      </c>
      <c r="AB288" s="197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5.7888716772962548E-2</v>
      </c>
      <c r="AD288" s="231">
        <f>(INDEX(Models!$BJ288:$BT288,,AH288)*(1-AF288)+INDEX(Models!$BJ288:$BT288,,AH288+1)*AF288-ERP_i)*AE288*Ramure*Pc/MaxiM</f>
        <v>3.2612265231709669E-4</v>
      </c>
      <c r="AE288" s="305">
        <f t="shared" si="113"/>
        <v>0.7</v>
      </c>
      <c r="AF288" s="177">
        <f t="shared" si="114"/>
        <v>0.99543064391764879</v>
      </c>
      <c r="AG288" s="176">
        <f t="shared" si="115"/>
        <v>-2</v>
      </c>
      <c r="AH288" s="176">
        <f t="shared" si="116"/>
        <v>4</v>
      </c>
      <c r="AI288" s="225">
        <f t="shared" si="117"/>
        <v>-1.0045693560823512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8">
        <v>21.754000000000001</v>
      </c>
      <c r="C289" s="390"/>
      <c r="D289" s="393">
        <f t="shared" si="99"/>
        <v>21.992100999335342</v>
      </c>
      <c r="E289" s="385">
        <f t="shared" si="97"/>
        <v>23.346319025552393</v>
      </c>
      <c r="F289" s="385">
        <f t="shared" si="100"/>
        <v>23.348753678912551</v>
      </c>
      <c r="G289" s="110">
        <f t="shared" si="98"/>
        <v>0.51234728185793343</v>
      </c>
      <c r="H289" s="412" t="b">
        <f>Wh_hp&gt;='2018'!Maxi_hp</f>
        <v>0</v>
      </c>
      <c r="I289" s="390">
        <f>IF(H289,Wh_hp,'2018'!Maxi_hp)</f>
        <v>47.647904130278036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1.0826659960434748E-2</v>
      </c>
      <c r="M289" s="957"/>
      <c r="N289" s="957"/>
      <c r="O289" s="48">
        <f>IF(t&lt;Tnet,'2018'!Resal+('2018'!Salim-'2018'!Resal)*(1-EXP(('2018'!Tnet-t)/('2018'!Tau_j))),Resal+(Salim-Resal)*(1-EXP((Tnet-t)/(Tau_j))))*Salcycl</f>
        <v>5.8005633553403865E-2</v>
      </c>
      <c r="P289" s="169">
        <f>(INDEX(Models!$BJ289:$BT289,,T289)*(1-R289)+INDEX(Models!$BJ289:$BT289,,T289+1)*R289-ERP_i)*Q289*Ramure*Pc/MaxiM</f>
        <v>3.435374108720864E-4</v>
      </c>
      <c r="Q289" s="305">
        <f t="shared" si="102"/>
        <v>0.7</v>
      </c>
      <c r="R289" s="177">
        <f t="shared" si="103"/>
        <v>0.99562105006480506</v>
      </c>
      <c r="S289" s="919">
        <f t="shared" si="104"/>
        <v>-2</v>
      </c>
      <c r="T289" s="176">
        <f t="shared" si="105"/>
        <v>4</v>
      </c>
      <c r="U289" s="251">
        <f t="shared" si="106"/>
        <v>-1.0043789499351949</v>
      </c>
      <c r="V289" s="383">
        <f t="shared" si="107"/>
        <v>42.449321539313203</v>
      </c>
      <c r="W289" s="58"/>
      <c r="X289" s="157">
        <f t="shared" si="108"/>
        <v>43740</v>
      </c>
      <c r="Y289" s="385">
        <f t="shared" si="109"/>
        <v>21.754000000000001</v>
      </c>
      <c r="Z289" s="385">
        <f t="shared" si="110"/>
        <v>21.992100999335342</v>
      </c>
      <c r="AA289" s="386">
        <f t="shared" si="111"/>
        <v>23.346319025552393</v>
      </c>
      <c r="AB289" s="197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5.8005633553403865E-2</v>
      </c>
      <c r="AD289" s="231">
        <f>(INDEX(Models!$BJ289:$BT289,,AH289)*(1-AF289)+INDEX(Models!$BJ289:$BT289,,AH289+1)*AF289-ERP_i)*AE289*Ramure*Pc/MaxiM</f>
        <v>3.435374108720864E-4</v>
      </c>
      <c r="AE289" s="305">
        <f t="shared" si="113"/>
        <v>0.7</v>
      </c>
      <c r="AF289" s="177">
        <f t="shared" si="114"/>
        <v>0.99562105006480506</v>
      </c>
      <c r="AG289" s="176">
        <f t="shared" si="115"/>
        <v>-2</v>
      </c>
      <c r="AH289" s="176">
        <f t="shared" si="116"/>
        <v>4</v>
      </c>
      <c r="AI289" s="225">
        <f t="shared" si="117"/>
        <v>-1.0043789499351949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8">
        <v>32.448999999999998</v>
      </c>
      <c r="C290" s="390"/>
      <c r="D290" s="393">
        <f t="shared" si="99"/>
        <v>32.804877990997092</v>
      </c>
      <c r="E290" s="385">
        <f t="shared" si="97"/>
        <v>34.829181376174191</v>
      </c>
      <c r="F290" s="385">
        <f t="shared" si="100"/>
        <v>34.837590136236912</v>
      </c>
      <c r="G290" s="110">
        <f t="shared" si="98"/>
        <v>0.7684092063385336</v>
      </c>
      <c r="H290" s="412" t="b">
        <f>Wh_hp&gt;='2018'!Maxi_hp</f>
        <v>0</v>
      </c>
      <c r="I290" s="390">
        <f>IF(H290,Wh_hp,'2018'!Maxi_hp)</f>
        <v>43.351504842538631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1.0848325395228064E-2</v>
      </c>
      <c r="M290" s="957"/>
      <c r="N290" s="957"/>
      <c r="O290" s="48">
        <f>IF(t&lt;Tnet,'2018'!Resal+('2018'!Salim-'2018'!Resal)*(1-EXP(('2018'!Tnet-t)/('2018'!Tau_j))),Resal+(Salim-Resal)*(1-EXP((Tnet-t)/(Tau_j))))*Salcycl</f>
        <v>5.8120900497588932E-2</v>
      </c>
      <c r="P290" s="169">
        <f>(INDEX(Models!$BJ290:$BT290,,T290)*(1-R290)+INDEX(Models!$BJ290:$BT290,,T290+1)*R290-ERP_i)*Q290*Ramure*Pc/MaxiM</f>
        <v>3.6063799402822732E-4</v>
      </c>
      <c r="Q290" s="305">
        <f t="shared" si="102"/>
        <v>0.7</v>
      </c>
      <c r="R290" s="177">
        <f t="shared" si="103"/>
        <v>0.9958039274105932</v>
      </c>
      <c r="S290" s="919">
        <f t="shared" si="104"/>
        <v>-2</v>
      </c>
      <c r="T290" s="176">
        <f t="shared" si="105"/>
        <v>4</v>
      </c>
      <c r="U290" s="251">
        <f t="shared" si="106"/>
        <v>-1.0041960725894068</v>
      </c>
      <c r="V290" s="383">
        <f t="shared" si="107"/>
        <v>42.223763954218924</v>
      </c>
      <c r="W290" s="58"/>
      <c r="X290" s="157">
        <f t="shared" si="108"/>
        <v>43741</v>
      </c>
      <c r="Y290" s="385">
        <f t="shared" si="109"/>
        <v>32.448999999999998</v>
      </c>
      <c r="Z290" s="385">
        <f t="shared" si="110"/>
        <v>32.804877990997092</v>
      </c>
      <c r="AA290" s="386">
        <f t="shared" si="111"/>
        <v>34.829181376174191</v>
      </c>
      <c r="AB290" s="197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5.8120900497588932E-2</v>
      </c>
      <c r="AD290" s="231">
        <f>(INDEX(Models!$BJ290:$BT290,,AH290)*(1-AF290)+INDEX(Models!$BJ290:$BT290,,AH290+1)*AF290-ERP_i)*AE290*Ramure*Pc/MaxiM</f>
        <v>3.6063799402822732E-4</v>
      </c>
      <c r="AE290" s="305">
        <f t="shared" si="113"/>
        <v>0.7</v>
      </c>
      <c r="AF290" s="177">
        <f t="shared" si="114"/>
        <v>0.9958039274105932</v>
      </c>
      <c r="AG290" s="176">
        <f t="shared" si="115"/>
        <v>-2</v>
      </c>
      <c r="AH290" s="176">
        <f t="shared" si="116"/>
        <v>4</v>
      </c>
      <c r="AI290" s="225">
        <f t="shared" si="117"/>
        <v>-1.0041960725894068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8">
        <v>10.349</v>
      </c>
      <c r="C291" s="390"/>
      <c r="D291" s="393">
        <f t="shared" si="99"/>
        <v>10.462729771710622</v>
      </c>
      <c r="E291" s="385">
        <f t="shared" si="97"/>
        <v>11.109697523747855</v>
      </c>
      <c r="F291" s="385">
        <f t="shared" si="100"/>
        <v>11.109697523747855</v>
      </c>
      <c r="G291" s="110">
        <f t="shared" si="98"/>
        <v>0.24634442977576079</v>
      </c>
      <c r="H291" s="412" t="b">
        <f>Wh_hp&gt;='2018'!Maxi_hp</f>
        <v>0</v>
      </c>
      <c r="I291" s="390">
        <f>IF(H291,Wh_hp,'2018'!Maxi_hp)</f>
        <v>44.844605022343991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1.0869990355492742E-2</v>
      </c>
      <c r="M291" s="957"/>
      <c r="N291" s="957"/>
      <c r="O291" s="48">
        <f>IF(t&lt;Tnet,'2018'!Resal+('2018'!Salim-'2018'!Resal)*(1-EXP(('2018'!Tnet-t)/('2018'!Tau_j))),Resal+(Salim-Resal)*(1-EXP((Tnet-t)/(Tau_j))))*Salcycl</f>
        <v>5.8234506443968236E-2</v>
      </c>
      <c r="P291" s="169">
        <f>(INDEX(Models!$BJ291:$BT291,,T291)*(1-R291)+INDEX(Models!$BJ291:$BT291,,T291+1)*R291-ERP_i)*Q291*Ramure*Pc/MaxiM</f>
        <v>3.7672566566089171E-4</v>
      </c>
      <c r="Q291" s="305">
        <f t="shared" si="102"/>
        <v>0.7</v>
      </c>
      <c r="R291" s="177">
        <f t="shared" si="103"/>
        <v>0.99597956837692347</v>
      </c>
      <c r="S291" s="919">
        <f t="shared" si="104"/>
        <v>-2</v>
      </c>
      <c r="T291" s="176">
        <f t="shared" si="105"/>
        <v>4</v>
      </c>
      <c r="U291" s="251">
        <f t="shared" si="106"/>
        <v>-1.0040204316230765</v>
      </c>
      <c r="V291" s="383">
        <f t="shared" si="107"/>
        <v>41.994459852422395</v>
      </c>
      <c r="W291" s="58"/>
      <c r="X291" s="157">
        <f t="shared" si="108"/>
        <v>43742</v>
      </c>
      <c r="Y291" s="385">
        <f t="shared" si="109"/>
        <v>10.349</v>
      </c>
      <c r="Z291" s="385">
        <f t="shared" si="110"/>
        <v>10.462729771710622</v>
      </c>
      <c r="AA291" s="386">
        <f t="shared" si="111"/>
        <v>11.109697523747855</v>
      </c>
      <c r="AB291" s="197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5.8234506443968236E-2</v>
      </c>
      <c r="AD291" s="231">
        <f>(INDEX(Models!$BJ291:$BT291,,AH291)*(1-AF291)+INDEX(Models!$BJ291:$BT291,,AH291+1)*AF291-ERP_i)*AE291*Ramure*Pc/MaxiM</f>
        <v>3.7672566566089171E-4</v>
      </c>
      <c r="AE291" s="305">
        <f t="shared" si="113"/>
        <v>0.7</v>
      </c>
      <c r="AF291" s="177">
        <f t="shared" si="114"/>
        <v>0.99597956837692347</v>
      </c>
      <c r="AG291" s="176">
        <f t="shared" si="115"/>
        <v>-2</v>
      </c>
      <c r="AH291" s="176">
        <f t="shared" si="116"/>
        <v>4</v>
      </c>
      <c r="AI291" s="225">
        <f t="shared" si="117"/>
        <v>-1.0040204316230765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8">
        <v>32.648000000000003</v>
      </c>
      <c r="C292" s="390"/>
      <c r="D292" s="393">
        <f t="shared" si="99"/>
        <v>33.007506366514079</v>
      </c>
      <c r="E292" s="385">
        <f t="shared" si="97"/>
        <v>35.052707105556792</v>
      </c>
      <c r="F292" s="385">
        <f t="shared" si="100"/>
        <v>35.062161500976572</v>
      </c>
      <c r="G292" s="110">
        <f t="shared" si="98"/>
        <v>0.78167478563190007</v>
      </c>
      <c r="H292" s="412" t="b">
        <f>Wh_hp&gt;='2018'!Maxi_hp</f>
        <v>0</v>
      </c>
      <c r="I292" s="390">
        <f>IF(H292,Wh_hp,'2018'!Maxi_hp)</f>
        <v>44.683643039833356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1.0891654841239218E-2</v>
      </c>
      <c r="M292" s="957"/>
      <c r="N292" s="957"/>
      <c r="O292" s="48">
        <f>IF(t&lt;Tnet,'2018'!Resal+('2018'!Salim-'2018'!Resal)*(1-EXP(('2018'!Tnet-t)/('2018'!Tau_j))),Resal+(Salim-Resal)*(1-EXP((Tnet-t)/(Tau_j))))*Salcycl</f>
        <v>5.8346441913426333E-2</v>
      </c>
      <c r="P292" s="169">
        <f>(INDEX(Models!$BJ292:$BT292,,T292)*(1-R292)+INDEX(Models!$BJ292:$BT292,,T292+1)*R292-ERP_i)*Q292*Ramure*Pc/MaxiM</f>
        <v>3.9178977170536218E-4</v>
      </c>
      <c r="Q292" s="305">
        <f t="shared" si="102"/>
        <v>0.7</v>
      </c>
      <c r="R292" s="177">
        <f t="shared" si="103"/>
        <v>0.99614825444090527</v>
      </c>
      <c r="S292" s="919">
        <f t="shared" si="104"/>
        <v>-2</v>
      </c>
      <c r="T292" s="176">
        <f t="shared" si="105"/>
        <v>4</v>
      </c>
      <c r="U292" s="251">
        <f t="shared" si="106"/>
        <v>-1.0038517455590947</v>
      </c>
      <c r="V292" s="383">
        <f t="shared" si="107"/>
        <v>41.761627465524874</v>
      </c>
      <c r="W292" s="58"/>
      <c r="X292" s="157">
        <f t="shared" si="108"/>
        <v>43743</v>
      </c>
      <c r="Y292" s="385">
        <f t="shared" si="109"/>
        <v>32.648000000000003</v>
      </c>
      <c r="Z292" s="385">
        <f t="shared" si="110"/>
        <v>33.007506366514079</v>
      </c>
      <c r="AA292" s="386">
        <f t="shared" si="111"/>
        <v>35.052707105556792</v>
      </c>
      <c r="AB292" s="197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5.8346441913426333E-2</v>
      </c>
      <c r="AD292" s="231">
        <f>(INDEX(Models!$BJ292:$BT292,,AH292)*(1-AF292)+INDEX(Models!$BJ292:$BT292,,AH292+1)*AF292-ERP_i)*AE292*Ramure*Pc/MaxiM</f>
        <v>3.9178977170536218E-4</v>
      </c>
      <c r="AE292" s="305">
        <f t="shared" si="113"/>
        <v>0.7</v>
      </c>
      <c r="AF292" s="177">
        <f t="shared" si="114"/>
        <v>0.99614825444090527</v>
      </c>
      <c r="AG292" s="176">
        <f t="shared" si="115"/>
        <v>-2</v>
      </c>
      <c r="AH292" s="176">
        <f t="shared" si="116"/>
        <v>4</v>
      </c>
      <c r="AI292" s="225">
        <f t="shared" si="117"/>
        <v>-1.0038517455590947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8">
        <v>17.731999999999999</v>
      </c>
      <c r="C293" s="390"/>
      <c r="D293" s="393">
        <f t="shared" si="99"/>
        <v>17.927650162499027</v>
      </c>
      <c r="E293" s="385">
        <f t="shared" si="97"/>
        <v>19.040707048625041</v>
      </c>
      <c r="F293" s="385">
        <f t="shared" si="100"/>
        <v>19.04210923066665</v>
      </c>
      <c r="G293" s="110">
        <f t="shared" si="98"/>
        <v>0.4268730251165182</v>
      </c>
      <c r="H293" s="412" t="b">
        <f>Wh_hp&gt;='2018'!Maxi_hp</f>
        <v>0</v>
      </c>
      <c r="I293" s="390">
        <f>IF(H293,Wh_hp,'2018'!Maxi_hp)</f>
        <v>42.282942542755286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1.0913318852477816E-2</v>
      </c>
      <c r="M293" s="957"/>
      <c r="N293" s="957"/>
      <c r="O293" s="48">
        <f>IF(t&lt;Tnet,'2018'!Resal+('2018'!Salim-'2018'!Resal)*(1-EXP(('2018'!Tnet-t)/('2018'!Tau_j))),Resal+(Salim-Resal)*(1-EXP((Tnet-t)/(Tau_j))))*Salcycl</f>
        <v>5.8456699285565128E-2</v>
      </c>
      <c r="P293" s="169">
        <f>(INDEX(Models!$BJ293:$BT293,,T293)*(1-R293)+INDEX(Models!$BJ293:$BT293,,T293+1)*R293-ERP_i)*Q293*Ramure*Pc/MaxiM</f>
        <v>4.0581937391038076E-4</v>
      </c>
      <c r="Q293" s="305">
        <f t="shared" si="102"/>
        <v>0.7</v>
      </c>
      <c r="R293" s="177">
        <f t="shared" si="103"/>
        <v>0.99631025651194438</v>
      </c>
      <c r="S293" s="919">
        <f t="shared" si="104"/>
        <v>-2</v>
      </c>
      <c r="T293" s="176">
        <f t="shared" si="105"/>
        <v>4</v>
      </c>
      <c r="U293" s="251">
        <f t="shared" si="106"/>
        <v>-1.0036897434880556</v>
      </c>
      <c r="V293" s="383">
        <f t="shared" si="107"/>
        <v>41.525484734671934</v>
      </c>
      <c r="W293" s="58"/>
      <c r="X293" s="157">
        <f t="shared" si="108"/>
        <v>43744</v>
      </c>
      <c r="Y293" s="385">
        <f t="shared" si="109"/>
        <v>17.731999999999999</v>
      </c>
      <c r="Z293" s="385">
        <f t="shared" si="110"/>
        <v>17.927650162499027</v>
      </c>
      <c r="AA293" s="386">
        <f t="shared" si="111"/>
        <v>19.040707048625041</v>
      </c>
      <c r="AB293" s="197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5.8456699285565128E-2</v>
      </c>
      <c r="AD293" s="231">
        <f>(INDEX(Models!$BJ293:$BT293,,AH293)*(1-AF293)+INDEX(Models!$BJ293:$BT293,,AH293+1)*AF293-ERP_i)*AE293*Ramure*Pc/MaxiM</f>
        <v>4.0581937391038076E-4</v>
      </c>
      <c r="AE293" s="305">
        <f t="shared" si="113"/>
        <v>0.7</v>
      </c>
      <c r="AF293" s="177">
        <f t="shared" si="114"/>
        <v>0.99631025651194438</v>
      </c>
      <c r="AG293" s="176">
        <f t="shared" si="115"/>
        <v>-2</v>
      </c>
      <c r="AH293" s="176">
        <f t="shared" si="116"/>
        <v>4</v>
      </c>
      <c r="AI293" s="225">
        <f t="shared" si="117"/>
        <v>-1.0036897434880556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8">
        <v>30.891999999999999</v>
      </c>
      <c r="C294" s="390"/>
      <c r="D294" s="393">
        <f t="shared" si="99"/>
        <v>31.233538190061317</v>
      </c>
      <c r="E294" s="385">
        <f t="shared" si="97"/>
        <v>33.176530770923989</v>
      </c>
      <c r="F294" s="385">
        <f t="shared" si="100"/>
        <v>33.185430353119671</v>
      </c>
      <c r="G294" s="110">
        <f t="shared" si="98"/>
        <v>0.74812670391564862</v>
      </c>
      <c r="H294" s="412" t="b">
        <f>Wh_hp&gt;='2018'!Maxi_hp</f>
        <v>1</v>
      </c>
      <c r="I294" s="390">
        <f>IF(H294,Wh_hp,'2018'!Maxi_hp)</f>
        <v>33.185430353119671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1.0934982389218972E-2</v>
      </c>
      <c r="M294" s="957"/>
      <c r="N294" s="957"/>
      <c r="O294" s="48">
        <f>IF(t&lt;Tnet,'2018'!Resal+('2018'!Salim-'2018'!Resal)*(1-EXP(('2018'!Tnet-t)/('2018'!Tau_j))),Resal+(Salim-Resal)*(1-EXP((Tnet-t)/(Tau_j))))*Salcycl</f>
        <v>5.8565272971986548E-2</v>
      </c>
      <c r="P294" s="169">
        <f>(INDEX(Models!$BJ294:$BT294,,T294)*(1-R294)+INDEX(Models!$BJ294:$BT294,,T294+1)*R294-ERP_i)*Q294*Ramure*Pc/MaxiM</f>
        <v>4.1880334251186412E-4</v>
      </c>
      <c r="Q294" s="305">
        <f t="shared" si="102"/>
        <v>0.7</v>
      </c>
      <c r="R294" s="177">
        <f t="shared" si="103"/>
        <v>0.99646583529846722</v>
      </c>
      <c r="S294" s="919">
        <f t="shared" si="104"/>
        <v>-2</v>
      </c>
      <c r="T294" s="176">
        <f t="shared" si="105"/>
        <v>4</v>
      </c>
      <c r="U294" s="251">
        <f t="shared" si="106"/>
        <v>-1.0035341647015328</v>
      </c>
      <c r="V294" s="383">
        <f t="shared" si="107"/>
        <v>41.286249312185383</v>
      </c>
      <c r="W294" s="58"/>
      <c r="X294" s="157">
        <f t="shared" si="108"/>
        <v>43745</v>
      </c>
      <c r="Y294" s="385">
        <f t="shared" si="109"/>
        <v>30.891999999999996</v>
      </c>
      <c r="Z294" s="385">
        <f t="shared" si="110"/>
        <v>31.233538190061314</v>
      </c>
      <c r="AA294" s="386">
        <f t="shared" si="111"/>
        <v>33.176530770923989</v>
      </c>
      <c r="AB294" s="197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5.8565272971986548E-2</v>
      </c>
      <c r="AD294" s="231">
        <f>(INDEX(Models!$BJ294:$BT294,,AH294)*(1-AF294)+INDEX(Models!$BJ294:$BT294,,AH294+1)*AF294-ERP_i)*AE294*Ramure*Pc/MaxiM</f>
        <v>4.1880334251186412E-4</v>
      </c>
      <c r="AE294" s="305">
        <f t="shared" si="113"/>
        <v>0.7</v>
      </c>
      <c r="AF294" s="177">
        <f t="shared" si="114"/>
        <v>0.99646583529846722</v>
      </c>
      <c r="AG294" s="176">
        <f t="shared" si="115"/>
        <v>-2</v>
      </c>
      <c r="AH294" s="176">
        <f t="shared" si="116"/>
        <v>4</v>
      </c>
      <c r="AI294" s="225">
        <f t="shared" si="117"/>
        <v>-1.0035341647015328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8">
        <v>38.061999999999998</v>
      </c>
      <c r="C295" s="390"/>
      <c r="D295" s="393">
        <f t="shared" si="99"/>
        <v>38.483651727657914</v>
      </c>
      <c r="E295" s="385">
        <f t="shared" si="97"/>
        <v>40.882304841521979</v>
      </c>
      <c r="F295" s="385">
        <f t="shared" si="100"/>
        <v>40.898092427700632</v>
      </c>
      <c r="G295" s="110">
        <f t="shared" si="98"/>
        <v>0.92730165649528118</v>
      </c>
      <c r="H295" s="412" t="b">
        <f>Wh_hp&gt;='2018'!Maxi_hp</f>
        <v>1</v>
      </c>
      <c r="I295" s="390">
        <f>IF(H295,Wh_hp,'2018'!Maxi_hp)</f>
        <v>40.898092427700632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1.0956645451473124E-2</v>
      </c>
      <c r="M295" s="957"/>
      <c r="N295" s="957"/>
      <c r="O295" s="48">
        <f>IF(t&lt;Tnet,'2018'!Resal+('2018'!Salim-'2018'!Resal)*(1-EXP(('2018'!Tnet-t)/('2018'!Tau_j))),Resal+(Salim-Resal)*(1-EXP((Tnet-t)/(Tau_j))))*Salcycl</f>
        <v>5.8672159584991966E-2</v>
      </c>
      <c r="P295" s="169">
        <f>(INDEX(Models!$BJ295:$BT295,,T295)*(1-R295)+INDEX(Models!$BJ295:$BT295,,T295+1)*R295-ERP_i)*Q295*Ramure*Pc/MaxiM</f>
        <v>4.3073044951140888E-4</v>
      </c>
      <c r="Q295" s="305">
        <f t="shared" si="102"/>
        <v>0.7</v>
      </c>
      <c r="R295" s="177">
        <f t="shared" si="103"/>
        <v>0.99661524166432836</v>
      </c>
      <c r="S295" s="919">
        <f t="shared" si="104"/>
        <v>-2</v>
      </c>
      <c r="T295" s="176">
        <f t="shared" si="105"/>
        <v>4</v>
      </c>
      <c r="U295" s="251">
        <f t="shared" si="106"/>
        <v>-1.0033847583356716</v>
      </c>
      <c r="V295" s="383">
        <f t="shared" si="107"/>
        <v>41.044138554515094</v>
      </c>
      <c r="W295" s="58"/>
      <c r="X295" s="157">
        <f t="shared" si="108"/>
        <v>43746</v>
      </c>
      <c r="Y295" s="385">
        <f t="shared" si="109"/>
        <v>38.061999999999998</v>
      </c>
      <c r="Z295" s="385">
        <f t="shared" si="110"/>
        <v>38.483651727657914</v>
      </c>
      <c r="AA295" s="386">
        <f t="shared" si="111"/>
        <v>40.882304841521979</v>
      </c>
      <c r="AB295" s="197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5.8672159584991966E-2</v>
      </c>
      <c r="AD295" s="231">
        <f>(INDEX(Models!$BJ295:$BT295,,AH295)*(1-AF295)+INDEX(Models!$BJ295:$BT295,,AH295+1)*AF295-ERP_i)*AE295*Ramure*Pc/MaxiM</f>
        <v>4.3073044951140888E-4</v>
      </c>
      <c r="AE295" s="305">
        <f t="shared" si="113"/>
        <v>0.7</v>
      </c>
      <c r="AF295" s="177">
        <f t="shared" si="114"/>
        <v>0.99661524166432836</v>
      </c>
      <c r="AG295" s="176">
        <f t="shared" si="115"/>
        <v>-2</v>
      </c>
      <c r="AH295" s="176">
        <f t="shared" si="116"/>
        <v>4</v>
      </c>
      <c r="AI295" s="225">
        <f t="shared" si="117"/>
        <v>-1.0033847583356716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8">
        <v>8.9359999999999999</v>
      </c>
      <c r="C296" s="390"/>
      <c r="D296" s="393">
        <f t="shared" si="99"/>
        <v>9.0351911112123879</v>
      </c>
      <c r="E296" s="385">
        <f t="shared" si="97"/>
        <v>9.5994196367551119</v>
      </c>
      <c r="F296" s="385">
        <f t="shared" si="100"/>
        <v>9.5994196367551119</v>
      </c>
      <c r="G296" s="110">
        <f t="shared" si="98"/>
        <v>0.2189262741435736</v>
      </c>
      <c r="H296" s="412" t="b">
        <f>Wh_hp&gt;='2018'!Maxi_hp</f>
        <v>0</v>
      </c>
      <c r="I296" s="390">
        <f>IF(H296,Wh_hp,'2018'!Maxi_hp)</f>
        <v>36.705511878602785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1.0978308039250595E-2</v>
      </c>
      <c r="M296" s="957"/>
      <c r="N296" s="957"/>
      <c r="O296" s="48">
        <f>IF(t&lt;Tnet,'2018'!Resal+('2018'!Salim-'2018'!Resal)*(1-EXP(('2018'!Tnet-t)/('2018'!Tau_j))),Resal+(Salim-Resal)*(1-EXP((Tnet-t)/(Tau_j))))*Salcycl</f>
        <v>5.8777358100103899E-2</v>
      </c>
      <c r="P296" s="169">
        <f>(INDEX(Models!$BJ296:$BT296,,T296)*(1-R296)+INDEX(Models!$BJ296:$BT296,,T296+1)*R296-ERP_i)*Q296*Ramure*Pc/MaxiM</f>
        <v>4.4113681053672938E-4</v>
      </c>
      <c r="Q296" s="305">
        <f t="shared" si="102"/>
        <v>0.7</v>
      </c>
      <c r="R296" s="177">
        <f t="shared" si="103"/>
        <v>0.99675871697499097</v>
      </c>
      <c r="S296" s="919">
        <f t="shared" si="104"/>
        <v>-2</v>
      </c>
      <c r="T296" s="176">
        <f t="shared" si="105"/>
        <v>4</v>
      </c>
      <c r="U296" s="251">
        <f t="shared" si="106"/>
        <v>-1.003241283025009</v>
      </c>
      <c r="V296" s="383">
        <f t="shared" si="107"/>
        <v>40.799387996725002</v>
      </c>
      <c r="W296" s="58"/>
      <c r="X296" s="157">
        <f t="shared" si="108"/>
        <v>43747</v>
      </c>
      <c r="Y296" s="385">
        <f t="shared" si="109"/>
        <v>8.9359999999999999</v>
      </c>
      <c r="Z296" s="385">
        <f t="shared" si="110"/>
        <v>9.0351911112123879</v>
      </c>
      <c r="AA296" s="386">
        <f t="shared" si="111"/>
        <v>9.5994196367551119</v>
      </c>
      <c r="AB296" s="197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5.8777358100103899E-2</v>
      </c>
      <c r="AD296" s="231">
        <f>(INDEX(Models!$BJ296:$BT296,,AH296)*(1-AF296)+INDEX(Models!$BJ296:$BT296,,AH296+1)*AF296-ERP_i)*AE296*Ramure*Pc/MaxiM</f>
        <v>4.4113681053672938E-4</v>
      </c>
      <c r="AE296" s="305">
        <f t="shared" si="113"/>
        <v>0.7</v>
      </c>
      <c r="AF296" s="177">
        <f t="shared" si="114"/>
        <v>0.99675871697499097</v>
      </c>
      <c r="AG296" s="176">
        <f t="shared" si="115"/>
        <v>-2</v>
      </c>
      <c r="AH296" s="176">
        <f t="shared" si="116"/>
        <v>4</v>
      </c>
      <c r="AI296" s="225">
        <f t="shared" si="117"/>
        <v>-1.003241283025009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8">
        <v>29.606000000000002</v>
      </c>
      <c r="C297" s="390"/>
      <c r="D297" s="393">
        <f t="shared" si="99"/>
        <v>29.935287266439197</v>
      </c>
      <c r="E297" s="385">
        <f t="shared" ref="E297:E360" si="121">Wh_pvt/(1-Psa)</f>
        <v>31.808180614481032</v>
      </c>
      <c r="F297" s="385">
        <f t="shared" si="100"/>
        <v>31.816976703345219</v>
      </c>
      <c r="G297" s="110">
        <f t="shared" ref="G297:G360" si="122">+Wh_hp/MaxiM</f>
        <v>0.7299443710477006</v>
      </c>
      <c r="H297" s="412" t="b">
        <f>Wh_hp&gt;='2018'!Maxi_hp</f>
        <v>1</v>
      </c>
      <c r="I297" s="390">
        <f>IF(H297,Wh_hp,'2018'!Maxi_hp)</f>
        <v>31.816976703345219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1.0999970152561822E-2</v>
      </c>
      <c r="M297" s="957"/>
      <c r="N297" s="957"/>
      <c r="O297" s="48">
        <f>IF(t&lt;Tnet,'2018'!Resal+('2018'!Salim-'2018'!Resal)*(1-EXP(('2018'!Tnet-t)/('2018'!Tau_j))),Resal+(Salim-Resal)*(1-EXP((Tnet-t)/(Tau_j))))*Salcycl</f>
        <v>5.8880870010816613E-2</v>
      </c>
      <c r="P297" s="169">
        <f>(INDEX(Models!$BJ297:$BT297,,T297)*(1-R297)+INDEX(Models!$BJ297:$BT297,,T297+1)*R297-ERP_i)*Q297*Ramure*Pc/MaxiM</f>
        <v>4.499751117937788E-4</v>
      </c>
      <c r="Q297" s="305">
        <f t="shared" si="102"/>
        <v>0.7</v>
      </c>
      <c r="R297" s="177">
        <f t="shared" si="103"/>
        <v>0.996896493433582</v>
      </c>
      <c r="S297" s="919">
        <f t="shared" si="104"/>
        <v>-2</v>
      </c>
      <c r="T297" s="176">
        <f t="shared" si="105"/>
        <v>4</v>
      </c>
      <c r="U297" s="251">
        <f t="shared" si="106"/>
        <v>-1.003103506566418</v>
      </c>
      <c r="V297" s="383">
        <f t="shared" si="107"/>
        <v>40.552215531524169</v>
      </c>
      <c r="W297" s="58"/>
      <c r="X297" s="157">
        <f t="shared" si="108"/>
        <v>43748</v>
      </c>
      <c r="Y297" s="385">
        <f t="shared" si="109"/>
        <v>29.606000000000002</v>
      </c>
      <c r="Z297" s="385">
        <f t="shared" si="110"/>
        <v>29.935287266439197</v>
      </c>
      <c r="AA297" s="386">
        <f t="shared" si="111"/>
        <v>31.808180614481032</v>
      </c>
      <c r="AB297" s="197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5.8880870010816613E-2</v>
      </c>
      <c r="AD297" s="231">
        <f>(INDEX(Models!$BJ297:$BT297,,AH297)*(1-AF297)+INDEX(Models!$BJ297:$BT297,,AH297+1)*AF297-ERP_i)*AE297*Ramure*Pc/MaxiM</f>
        <v>4.499751117937788E-4</v>
      </c>
      <c r="AE297" s="305">
        <f t="shared" si="113"/>
        <v>0.7</v>
      </c>
      <c r="AF297" s="177">
        <f t="shared" si="114"/>
        <v>0.996896493433582</v>
      </c>
      <c r="AG297" s="176">
        <f t="shared" si="115"/>
        <v>-2</v>
      </c>
      <c r="AH297" s="176">
        <f t="shared" si="116"/>
        <v>4</v>
      </c>
      <c r="AI297" s="225">
        <f t="shared" si="117"/>
        <v>-1.003103506566418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8">
        <v>39.968000000000004</v>
      </c>
      <c r="C298" s="390"/>
      <c r="D298" s="393">
        <f t="shared" si="99"/>
        <v>40.41342185511833</v>
      </c>
      <c r="E298" s="385">
        <f t="shared" si="121"/>
        <v>42.946523759476591</v>
      </c>
      <c r="F298" s="385">
        <f t="shared" si="100"/>
        <v>42.965935977053093</v>
      </c>
      <c r="G298" s="110">
        <f t="shared" si="122"/>
        <v>0.99168658134839716</v>
      </c>
      <c r="H298" s="412" t="b">
        <f>Wh_hp&gt;='2018'!Maxi_hp</f>
        <v>1</v>
      </c>
      <c r="I298" s="390">
        <f>IF(H298,Wh_hp,'2018'!Maxi_hp)</f>
        <v>42.965935977053093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1.102163179141713E-2</v>
      </c>
      <c r="M298" s="957"/>
      <c r="N298" s="957"/>
      <c r="O298" s="48">
        <f>IF(t&lt;Tnet,'2018'!Resal+('2018'!Salim-'2018'!Resal)*(1-EXP(('2018'!Tnet-t)/('2018'!Tau_j))),Resal+(Salim-Resal)*(1-EXP((Tnet-t)/(Tau_j))))*Salcycl</f>
        <v>5.8982699474001282E-2</v>
      </c>
      <c r="P298" s="169">
        <f>(INDEX(Models!$BJ298:$BT298,,T298)*(1-R298)+INDEX(Models!$BJ298:$BT298,,T298+1)*R298-ERP_i)*Q298*Ramure*Pc/MaxiM</f>
        <v>4.5723154192293735E-4</v>
      </c>
      <c r="Q298" s="305">
        <f t="shared" si="102"/>
        <v>0.7</v>
      </c>
      <c r="R298" s="177">
        <f t="shared" si="103"/>
        <v>0.99702879440694847</v>
      </c>
      <c r="S298" s="919">
        <f t="shared" si="104"/>
        <v>-2</v>
      </c>
      <c r="T298" s="176">
        <f t="shared" si="105"/>
        <v>4</v>
      </c>
      <c r="U298" s="251">
        <f t="shared" si="106"/>
        <v>-1.0029712055930515</v>
      </c>
      <c r="V298" s="383">
        <f t="shared" si="107"/>
        <v>40.302837367184665</v>
      </c>
      <c r="W298" s="58"/>
      <c r="X298" s="157">
        <f t="shared" si="108"/>
        <v>43749</v>
      </c>
      <c r="Y298" s="385">
        <f t="shared" si="109"/>
        <v>39.968000000000004</v>
      </c>
      <c r="Z298" s="385">
        <f t="shared" si="110"/>
        <v>40.41342185511833</v>
      </c>
      <c r="AA298" s="386">
        <f t="shared" si="111"/>
        <v>42.946523759476591</v>
      </c>
      <c r="AB298" s="197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5.8982699474001282E-2</v>
      </c>
      <c r="AD298" s="231">
        <f>(INDEX(Models!$BJ298:$BT298,,AH298)*(1-AF298)+INDEX(Models!$BJ298:$BT298,,AH298+1)*AF298-ERP_i)*AE298*Ramure*Pc/MaxiM</f>
        <v>4.5723154192293735E-4</v>
      </c>
      <c r="AE298" s="305">
        <f t="shared" si="113"/>
        <v>0.7</v>
      </c>
      <c r="AF298" s="177">
        <f t="shared" si="114"/>
        <v>0.99702879440694847</v>
      </c>
      <c r="AG298" s="176">
        <f t="shared" si="115"/>
        <v>-2</v>
      </c>
      <c r="AH298" s="176">
        <f t="shared" si="116"/>
        <v>4</v>
      </c>
      <c r="AI298" s="225">
        <f t="shared" si="117"/>
        <v>-1.0029712055930515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8">
        <v>19.896000000000001</v>
      </c>
      <c r="C299" s="390"/>
      <c r="D299" s="393">
        <f t="shared" si="99"/>
        <v>20.11817085448142</v>
      </c>
      <c r="E299" s="385">
        <f t="shared" si="121"/>
        <v>21.381447801358707</v>
      </c>
      <c r="F299" s="385">
        <f t="shared" si="100"/>
        <v>21.384230169165413</v>
      </c>
      <c r="G299" s="110">
        <f t="shared" si="122"/>
        <v>0.49659546713674912</v>
      </c>
      <c r="H299" s="412" t="b">
        <f>Wh_hp&gt;='2018'!Maxi_hp</f>
        <v>0</v>
      </c>
      <c r="I299" s="390">
        <f>IF(H299,Wh_hp,'2018'!Maxi_hp)</f>
        <v>40.471947544594585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1.1043292955826955E-2</v>
      </c>
      <c r="M299" s="957"/>
      <c r="N299" s="957"/>
      <c r="O299" s="48">
        <f>IF(t&lt;Tnet,'2018'!Resal+('2018'!Salim-'2018'!Resal)*(1-EXP(('2018'!Tnet-t)/('2018'!Tau_j))),Resal+(Salim-Resal)*(1-EXP((Tnet-t)/(Tau_j))))*Salcycl</f>
        <v>5.9082853444424398E-2</v>
      </c>
      <c r="P299" s="169">
        <f>(INDEX(Models!$BJ299:$BT299,,T299)*(1-R299)+INDEX(Models!$BJ299:$BT299,,T299+1)*R299-ERP_i)*Q299*Ramure*Pc/MaxiM</f>
        <v>4.6289274976132145E-4</v>
      </c>
      <c r="Q299" s="305">
        <f t="shared" si="102"/>
        <v>0.7</v>
      </c>
      <c r="R299" s="177">
        <f t="shared" si="103"/>
        <v>0.99715583474184988</v>
      </c>
      <c r="S299" s="919">
        <f t="shared" si="104"/>
        <v>-2</v>
      </c>
      <c r="T299" s="176">
        <f t="shared" si="105"/>
        <v>4</v>
      </c>
      <c r="U299" s="251">
        <f t="shared" si="106"/>
        <v>-1.0028441652581501</v>
      </c>
      <c r="V299" s="383">
        <f t="shared" si="107"/>
        <v>40.051469395304927</v>
      </c>
      <c r="W299" s="58"/>
      <c r="X299" s="157">
        <f t="shared" si="108"/>
        <v>43750</v>
      </c>
      <c r="Y299" s="385">
        <f t="shared" si="109"/>
        <v>19.896000000000001</v>
      </c>
      <c r="Z299" s="385">
        <f t="shared" si="110"/>
        <v>20.11817085448142</v>
      </c>
      <c r="AA299" s="386">
        <f t="shared" si="111"/>
        <v>21.381447801358707</v>
      </c>
      <c r="AB299" s="197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5.9082853444424398E-2</v>
      </c>
      <c r="AD299" s="231">
        <f>(INDEX(Models!$BJ299:$BT299,,AH299)*(1-AF299)+INDEX(Models!$BJ299:$BT299,,AH299+1)*AF299-ERP_i)*AE299*Ramure*Pc/MaxiM</f>
        <v>4.6289274976132145E-4</v>
      </c>
      <c r="AE299" s="305">
        <f t="shared" si="113"/>
        <v>0.7</v>
      </c>
      <c r="AF299" s="177">
        <f t="shared" si="114"/>
        <v>0.99715583474184988</v>
      </c>
      <c r="AG299" s="176">
        <f t="shared" si="115"/>
        <v>-2</v>
      </c>
      <c r="AH299" s="176">
        <f t="shared" si="116"/>
        <v>4</v>
      </c>
      <c r="AI299" s="225">
        <f t="shared" si="117"/>
        <v>-1.0028441652581501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8">
        <v>38.165999999999997</v>
      </c>
      <c r="C300" s="390"/>
      <c r="D300" s="393">
        <f t="shared" si="99"/>
        <v>38.593030088985657</v>
      </c>
      <c r="E300" s="385">
        <f t="shared" si="121"/>
        <v>41.020689537232634</v>
      </c>
      <c r="F300" s="385">
        <f t="shared" si="100"/>
        <v>41.038729599738197</v>
      </c>
      <c r="G300" s="110">
        <f t="shared" si="122"/>
        <v>0.95895878098159149</v>
      </c>
      <c r="H300" s="412" t="b">
        <f>Wh_hp&gt;='2018'!Maxi_hp</f>
        <v>1</v>
      </c>
      <c r="I300" s="390">
        <f>IF(H300,Wh_hp,'2018'!Maxi_hp)</f>
        <v>41.038729599738197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1.1064953645801734E-2</v>
      </c>
      <c r="M300" s="957"/>
      <c r="N300" s="957"/>
      <c r="O300" s="48">
        <f>IF(t&lt;Tnet,'2018'!Resal+('2018'!Salim-'2018'!Resal)*(1-EXP(('2018'!Tnet-t)/('2018'!Tau_j))),Resal+(Salim-Resal)*(1-EXP((Tnet-t)/(Tau_j))))*Salcycl</f>
        <v>5.9181341796887728E-2</v>
      </c>
      <c r="P300" s="169">
        <f>(INDEX(Models!$BJ300:$BT300,,T300)*(1-R300)+INDEX(Models!$BJ300:$BT300,,T300+1)*R300-ERP_i)*Q300*Ramure*Pc/MaxiM</f>
        <v>4.6694595840057496E-4</v>
      </c>
      <c r="Q300" s="305">
        <f t="shared" si="102"/>
        <v>0.7</v>
      </c>
      <c r="R300" s="177">
        <f t="shared" si="103"/>
        <v>0.99727782107144414</v>
      </c>
      <c r="S300" s="919">
        <f t="shared" si="104"/>
        <v>-2</v>
      </c>
      <c r="T300" s="176">
        <f t="shared" si="105"/>
        <v>4</v>
      </c>
      <c r="U300" s="251">
        <f t="shared" si="106"/>
        <v>-1.0027221789285559</v>
      </c>
      <c r="V300" s="383">
        <f t="shared" si="107"/>
        <v>39.79832719426124</v>
      </c>
      <c r="W300" s="58"/>
      <c r="X300" s="157">
        <f t="shared" si="108"/>
        <v>43751</v>
      </c>
      <c r="Y300" s="385">
        <f t="shared" si="109"/>
        <v>38.165999999999997</v>
      </c>
      <c r="Z300" s="385">
        <f t="shared" si="110"/>
        <v>38.593030088985657</v>
      </c>
      <c r="AA300" s="386">
        <f t="shared" si="111"/>
        <v>41.020689537232634</v>
      </c>
      <c r="AB300" s="197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5.9181341796887728E-2</v>
      </c>
      <c r="AD300" s="231">
        <f>(INDEX(Models!$BJ300:$BT300,,AH300)*(1-AF300)+INDEX(Models!$BJ300:$BT300,,AH300+1)*AF300-ERP_i)*AE300*Ramure*Pc/MaxiM</f>
        <v>4.6694595840057496E-4</v>
      </c>
      <c r="AE300" s="305">
        <f t="shared" si="113"/>
        <v>0.7</v>
      </c>
      <c r="AF300" s="177">
        <f t="shared" si="114"/>
        <v>0.99727782107144414</v>
      </c>
      <c r="AG300" s="176">
        <f t="shared" si="115"/>
        <v>-2</v>
      </c>
      <c r="AH300" s="176">
        <f t="shared" si="116"/>
        <v>4</v>
      </c>
      <c r="AI300" s="225">
        <f t="shared" si="117"/>
        <v>-1.0027221789285559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8">
        <v>11.289</v>
      </c>
      <c r="C301" s="390"/>
      <c r="D301" s="393">
        <f t="shared" si="99"/>
        <v>11.415559904674254</v>
      </c>
      <c r="E301" s="385">
        <f t="shared" si="121"/>
        <v>12.134894323534398</v>
      </c>
      <c r="F301" s="385">
        <f t="shared" si="100"/>
        <v>12.134894323534398</v>
      </c>
      <c r="G301" s="110">
        <f t="shared" si="122"/>
        <v>0.28534816635905613</v>
      </c>
      <c r="H301" s="412" t="b">
        <f>Wh_hp&gt;='2018'!Maxi_hp</f>
        <v>0</v>
      </c>
      <c r="I301" s="390">
        <f>IF(H301,Wh_hp,'2018'!Maxi_hp)</f>
        <v>35.424353260670031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1.1086613861351791E-2</v>
      </c>
      <c r="M301" s="957"/>
      <c r="N301" s="957"/>
      <c r="O301" s="48">
        <f>IF(t&lt;Tnet,'2018'!Resal+('2018'!Salim-'2018'!Resal)*(1-EXP(('2018'!Tnet-t)/('2018'!Tau_j))),Resal+(Salim-Resal)*(1-EXP((Tnet-t)/(Tau_j))))*Salcycl</f>
        <v>5.9278177434563144E-2</v>
      </c>
      <c r="P301" s="169">
        <f>(INDEX(Models!$BJ301:$BT301,,T301)*(1-R301)+INDEX(Models!$BJ301:$BT301,,T301+1)*R301-ERP_i)*Q301*Ramure*Pc/MaxiM</f>
        <v>4.6937907380036352E-4</v>
      </c>
      <c r="Q301" s="305">
        <f t="shared" si="102"/>
        <v>0.7</v>
      </c>
      <c r="R301" s="177">
        <f t="shared" si="103"/>
        <v>0.99739495211222495</v>
      </c>
      <c r="S301" s="919">
        <f t="shared" si="104"/>
        <v>-2</v>
      </c>
      <c r="T301" s="176">
        <f t="shared" si="105"/>
        <v>4</v>
      </c>
      <c r="U301" s="251">
        <f t="shared" si="106"/>
        <v>-1.002605047887775</v>
      </c>
      <c r="V301" s="383">
        <f t="shared" si="107"/>
        <v>39.543626032758475</v>
      </c>
      <c r="W301" s="58"/>
      <c r="X301" s="157">
        <f t="shared" si="108"/>
        <v>43752</v>
      </c>
      <c r="Y301" s="385">
        <f t="shared" si="109"/>
        <v>11.289</v>
      </c>
      <c r="Z301" s="385">
        <f t="shared" si="110"/>
        <v>11.415559904674254</v>
      </c>
      <c r="AA301" s="386">
        <f t="shared" si="111"/>
        <v>12.134894323534398</v>
      </c>
      <c r="AB301" s="197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5.9278177434563144E-2</v>
      </c>
      <c r="AD301" s="231">
        <f>(INDEX(Models!$BJ301:$BT301,,AH301)*(1-AF301)+INDEX(Models!$BJ301:$BT301,,AH301+1)*AF301-ERP_i)*AE301*Ramure*Pc/MaxiM</f>
        <v>4.6937907380036352E-4</v>
      </c>
      <c r="AE301" s="305">
        <f t="shared" si="113"/>
        <v>0.7</v>
      </c>
      <c r="AF301" s="177">
        <f t="shared" si="114"/>
        <v>0.99739495211222495</v>
      </c>
      <c r="AG301" s="176">
        <f t="shared" si="115"/>
        <v>-2</v>
      </c>
      <c r="AH301" s="176">
        <f t="shared" si="116"/>
        <v>4</v>
      </c>
      <c r="AI301" s="225">
        <f t="shared" si="117"/>
        <v>-1.002605047887775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8">
        <v>29.2</v>
      </c>
      <c r="C302" s="390"/>
      <c r="D302" s="393">
        <f t="shared" si="99"/>
        <v>29.528005160255784</v>
      </c>
      <c r="E302" s="385">
        <f t="shared" si="121"/>
        <v>31.391844988062957</v>
      </c>
      <c r="F302" s="385">
        <f t="shared" si="100"/>
        <v>31.401193648979611</v>
      </c>
      <c r="G302" s="110">
        <f t="shared" si="122"/>
        <v>0.74310919382532747</v>
      </c>
      <c r="H302" s="412" t="b">
        <f>Wh_hp&gt;='2018'!Maxi_hp</f>
        <v>1</v>
      </c>
      <c r="I302" s="390">
        <f>IF(H302,Wh_hp,'2018'!Maxi_hp)</f>
        <v>31.401193648979611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1.1108273602487562E-2</v>
      </c>
      <c r="M302" s="957"/>
      <c r="N302" s="957"/>
      <c r="O302" s="48">
        <f>IF(t&lt;Tnet,'2018'!Resal+('2018'!Salim-'2018'!Resal)*(1-EXP(('2018'!Tnet-t)/('2018'!Tau_j))),Resal+(Salim-Resal)*(1-EXP((Tnet-t)/(Tau_j))))*Salcycl</f>
        <v>5.9373376382175505E-2</v>
      </c>
      <c r="P302" s="169">
        <f>(INDEX(Models!$BJ302:$BT302,,T302)*(1-R302)+INDEX(Models!$BJ302:$BT302,,T302+1)*R302-ERP_i)*Q302*Ramure*Pc/MaxiM</f>
        <v>4.7018078701684758E-4</v>
      </c>
      <c r="Q302" s="305">
        <f t="shared" si="102"/>
        <v>0.7</v>
      </c>
      <c r="R302" s="177">
        <f t="shared" si="103"/>
        <v>0.9975074189515909</v>
      </c>
      <c r="S302" s="919">
        <f t="shared" si="104"/>
        <v>-2</v>
      </c>
      <c r="T302" s="176">
        <f t="shared" si="105"/>
        <v>4</v>
      </c>
      <c r="U302" s="251">
        <f t="shared" si="106"/>
        <v>-1.0024925810484091</v>
      </c>
      <c r="V302" s="383">
        <f t="shared" si="107"/>
        <v>39.287580873173766</v>
      </c>
      <c r="W302" s="58"/>
      <c r="X302" s="157">
        <f t="shared" si="108"/>
        <v>43753</v>
      </c>
      <c r="Y302" s="385">
        <f t="shared" si="109"/>
        <v>29.2</v>
      </c>
      <c r="Z302" s="385">
        <f t="shared" si="110"/>
        <v>29.528005160255784</v>
      </c>
      <c r="AA302" s="386">
        <f t="shared" si="111"/>
        <v>31.391844988062957</v>
      </c>
      <c r="AB302" s="197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5.9373376382175505E-2</v>
      </c>
      <c r="AD302" s="231">
        <f>(INDEX(Models!$BJ302:$BT302,,AH302)*(1-AF302)+INDEX(Models!$BJ302:$BT302,,AH302+1)*AF302-ERP_i)*AE302*Ramure*Pc/MaxiM</f>
        <v>4.7018078701684758E-4</v>
      </c>
      <c r="AE302" s="305">
        <f t="shared" si="113"/>
        <v>0.7</v>
      </c>
      <c r="AF302" s="177">
        <f t="shared" si="114"/>
        <v>0.9975074189515909</v>
      </c>
      <c r="AG302" s="176">
        <f t="shared" si="115"/>
        <v>-2</v>
      </c>
      <c r="AH302" s="176">
        <f t="shared" si="116"/>
        <v>4</v>
      </c>
      <c r="AI302" s="225">
        <f t="shared" si="117"/>
        <v>-1.0024925810484091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8">
        <v>33.329000000000001</v>
      </c>
      <c r="C303" s="390"/>
      <c r="D303" s="393">
        <f t="shared" si="99"/>
        <v>33.704124644711442</v>
      </c>
      <c r="E303" s="385">
        <f t="shared" si="121"/>
        <v>35.835130861669597</v>
      </c>
      <c r="F303" s="385">
        <f t="shared" si="100"/>
        <v>35.848445208152498</v>
      </c>
      <c r="G303" s="110">
        <f t="shared" si="122"/>
        <v>0.85384744748904307</v>
      </c>
      <c r="H303" s="412" t="b">
        <f>Wh_hp&gt;='2018'!Maxi_hp</f>
        <v>1</v>
      </c>
      <c r="I303" s="390">
        <f>IF(H303,Wh_hp,'2018'!Maxi_hp)</f>
        <v>35.848445208152498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1.1129932869219372E-2</v>
      </c>
      <c r="M303" s="957"/>
      <c r="N303" s="957"/>
      <c r="O303" s="48">
        <f>IF(t&lt;Tnet,'2018'!Resal+('2018'!Salim-'2018'!Resal)*(1-EXP(('2018'!Tnet-t)/('2018'!Tau_j))),Resal+(Salim-Resal)*(1-EXP((Tnet-t)/(Tau_j))))*Salcycl</f>
        <v>5.9466957862781208E-2</v>
      </c>
      <c r="P303" s="169">
        <f>(INDEX(Models!$BJ303:$BT303,,T303)*(1-R303)+INDEX(Models!$BJ303:$BT303,,T303+1)*R303-ERP_i)*Q303*Ramure*Pc/MaxiM</f>
        <v>4.6934458598710743E-4</v>
      </c>
      <c r="Q303" s="305">
        <f t="shared" si="102"/>
        <v>0.7</v>
      </c>
      <c r="R303" s="177">
        <f t="shared" si="103"/>
        <v>0.99761540532622384</v>
      </c>
      <c r="S303" s="919">
        <f t="shared" si="104"/>
        <v>-2</v>
      </c>
      <c r="T303" s="176">
        <f t="shared" si="105"/>
        <v>4</v>
      </c>
      <c r="U303" s="251">
        <f t="shared" si="106"/>
        <v>-1.0023845946737762</v>
      </c>
      <c r="V303" s="383">
        <f t="shared" si="107"/>
        <v>39.030080499275236</v>
      </c>
      <c r="W303" s="58"/>
      <c r="X303" s="157">
        <f t="shared" si="108"/>
        <v>43754</v>
      </c>
      <c r="Y303" s="385">
        <f t="shared" si="109"/>
        <v>33.329000000000001</v>
      </c>
      <c r="Z303" s="385">
        <f t="shared" si="110"/>
        <v>33.704124644711442</v>
      </c>
      <c r="AA303" s="386">
        <f t="shared" si="111"/>
        <v>35.835130861669597</v>
      </c>
      <c r="AB303" s="197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5.9466957862781208E-2</v>
      </c>
      <c r="AD303" s="231">
        <f>(INDEX(Models!$BJ303:$BT303,,AH303)*(1-AF303)+INDEX(Models!$BJ303:$BT303,,AH303+1)*AF303-ERP_i)*AE303*Ramure*Pc/MaxiM</f>
        <v>4.6934458598710743E-4</v>
      </c>
      <c r="AE303" s="305">
        <f t="shared" si="113"/>
        <v>0.7</v>
      </c>
      <c r="AF303" s="177">
        <f t="shared" si="114"/>
        <v>0.99761540532622384</v>
      </c>
      <c r="AG303" s="176">
        <f t="shared" si="115"/>
        <v>-2</v>
      </c>
      <c r="AH303" s="176">
        <f t="shared" si="116"/>
        <v>4</v>
      </c>
      <c r="AI303" s="225">
        <f t="shared" si="117"/>
        <v>-1.0023845946737762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8">
        <v>19.173999999999999</v>
      </c>
      <c r="C304" s="390"/>
      <c r="D304" s="393">
        <f t="shared" si="99"/>
        <v>19.390231948917215</v>
      </c>
      <c r="E304" s="385">
        <f t="shared" si="121"/>
        <v>20.618232086496548</v>
      </c>
      <c r="F304" s="385">
        <f t="shared" si="100"/>
        <v>20.620908536456241</v>
      </c>
      <c r="G304" s="110">
        <f t="shared" si="122"/>
        <v>0.49438069591895578</v>
      </c>
      <c r="H304" s="412" t="b">
        <f>Wh_hp&gt;='2018'!Maxi_hp</f>
        <v>0</v>
      </c>
      <c r="I304" s="390">
        <f>IF(H304,Wh_hp,'2018'!Maxi_hp)</f>
        <v>23.477802408188175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1.1151591661557658E-2</v>
      </c>
      <c r="M304" s="957"/>
      <c r="N304" s="957"/>
      <c r="O304" s="48">
        <f>IF(t&lt;Tnet,'2018'!Resal+('2018'!Salim-'2018'!Resal)*(1-EXP(('2018'!Tnet-t)/('2018'!Tau_j))),Resal+(Salim-Resal)*(1-EXP((Tnet-t)/(Tau_j))))*Salcycl</f>
        <v>5.9558944356998739E-2</v>
      </c>
      <c r="P304" s="169">
        <f>(INDEX(Models!$BJ304:$BT304,,T304)*(1-R304)+INDEX(Models!$BJ304:$BT304,,T304+1)*R304-ERP_i)*Q304*Ramure*Pc/MaxiM</f>
        <v>4.6700738550191188E-4</v>
      </c>
      <c r="Q304" s="305">
        <f t="shared" si="102"/>
        <v>0.7</v>
      </c>
      <c r="R304" s="177">
        <f t="shared" si="103"/>
        <v>0.99771908789146879</v>
      </c>
      <c r="S304" s="919">
        <f t="shared" si="104"/>
        <v>-2</v>
      </c>
      <c r="T304" s="176">
        <f t="shared" si="105"/>
        <v>4</v>
      </c>
      <c r="U304" s="251">
        <f t="shared" si="106"/>
        <v>-1.0022809121085312</v>
      </c>
      <c r="V304" s="383">
        <f t="shared" si="107"/>
        <v>38.770796616112435</v>
      </c>
      <c r="W304" s="58"/>
      <c r="X304" s="157">
        <f t="shared" si="108"/>
        <v>43755</v>
      </c>
      <c r="Y304" s="385">
        <f t="shared" si="109"/>
        <v>19.173999999999999</v>
      </c>
      <c r="Z304" s="385">
        <f t="shared" si="110"/>
        <v>19.390231948917215</v>
      </c>
      <c r="AA304" s="386">
        <f t="shared" si="111"/>
        <v>20.618232086496548</v>
      </c>
      <c r="AB304" s="197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5.9558944356998739E-2</v>
      </c>
      <c r="AD304" s="231">
        <f>(INDEX(Models!$BJ304:$BT304,,AH304)*(1-AF304)+INDEX(Models!$BJ304:$BT304,,AH304+1)*AF304-ERP_i)*AE304*Ramure*Pc/MaxiM</f>
        <v>4.6700738550191188E-4</v>
      </c>
      <c r="AE304" s="305">
        <f t="shared" si="113"/>
        <v>0.7</v>
      </c>
      <c r="AF304" s="177">
        <f t="shared" si="114"/>
        <v>0.99771908789146879</v>
      </c>
      <c r="AG304" s="176">
        <f t="shared" si="115"/>
        <v>-2</v>
      </c>
      <c r="AH304" s="176">
        <f t="shared" si="116"/>
        <v>4</v>
      </c>
      <c r="AI304" s="225">
        <f t="shared" si="117"/>
        <v>-1.0022809121085312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8">
        <v>14.994999999999999</v>
      </c>
      <c r="C305" s="390"/>
      <c r="D305" s="393">
        <f t="shared" si="99"/>
        <v>15.164436034613061</v>
      </c>
      <c r="E305" s="385">
        <f t="shared" si="121"/>
        <v>16.12636331179554</v>
      </c>
      <c r="F305" s="385">
        <f t="shared" si="100"/>
        <v>16.127319476973426</v>
      </c>
      <c r="G305" s="110">
        <f t="shared" si="122"/>
        <v>0.38922588688156606</v>
      </c>
      <c r="H305" s="412" t="b">
        <f>Wh_hp&gt;='2018'!Maxi_hp</f>
        <v>1</v>
      </c>
      <c r="I305" s="390">
        <f>IF(H305,Wh_hp,'2018'!Maxi_hp)</f>
        <v>16.127319476973426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1.1173249979512745E-2</v>
      </c>
      <c r="M305" s="957"/>
      <c r="N305" s="957"/>
      <c r="O305" s="48">
        <f>IF(t&lt;Tnet,'2018'!Resal+('2018'!Salim-'2018'!Resal)*(1-EXP(('2018'!Tnet-t)/('2018'!Tau_j))),Resal+(Salim-Resal)*(1-EXP((Tnet-t)/(Tau_j))))*Salcycl</f>
        <v>5.9649361643668464E-2</v>
      </c>
      <c r="P305" s="169">
        <f>(INDEX(Models!$BJ305:$BT305,,T305)*(1-R305)+INDEX(Models!$BJ305:$BT305,,T305+1)*R305-ERP_i)*Q305*Ramure*Pc/MaxiM</f>
        <v>4.6431306261601561E-4</v>
      </c>
      <c r="Q305" s="305">
        <f t="shared" si="102"/>
        <v>0.7</v>
      </c>
      <c r="R305" s="177">
        <f t="shared" si="103"/>
        <v>0.99781863648190905</v>
      </c>
      <c r="S305" s="919">
        <f t="shared" si="104"/>
        <v>-2</v>
      </c>
      <c r="T305" s="176">
        <f t="shared" si="105"/>
        <v>4</v>
      </c>
      <c r="U305" s="251">
        <f t="shared" si="106"/>
        <v>-1.002181363518091</v>
      </c>
      <c r="V305" s="383">
        <f t="shared" si="107"/>
        <v>38.5095822305843</v>
      </c>
      <c r="W305" s="58"/>
      <c r="X305" s="157">
        <f t="shared" si="108"/>
        <v>43756</v>
      </c>
      <c r="Y305" s="385">
        <f t="shared" si="109"/>
        <v>14.994999999999999</v>
      </c>
      <c r="Z305" s="385">
        <f t="shared" si="110"/>
        <v>15.164436034613061</v>
      </c>
      <c r="AA305" s="386">
        <f t="shared" si="111"/>
        <v>16.12636331179554</v>
      </c>
      <c r="AB305" s="197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5.9649361643668464E-2</v>
      </c>
      <c r="AD305" s="231">
        <f>(INDEX(Models!$BJ305:$BT305,,AH305)*(1-AF305)+INDEX(Models!$BJ305:$BT305,,AH305+1)*AF305-ERP_i)*AE305*Ramure*Pc/MaxiM</f>
        <v>4.6431306261601561E-4</v>
      </c>
      <c r="AE305" s="305">
        <f t="shared" si="113"/>
        <v>0.7</v>
      </c>
      <c r="AF305" s="177">
        <f t="shared" si="114"/>
        <v>0.99781863648190905</v>
      </c>
      <c r="AG305" s="176">
        <f t="shared" si="115"/>
        <v>-2</v>
      </c>
      <c r="AH305" s="176">
        <f t="shared" si="116"/>
        <v>4</v>
      </c>
      <c r="AI305" s="225">
        <f t="shared" si="117"/>
        <v>-1.002181363518091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8">
        <v>30.895</v>
      </c>
      <c r="C306" s="390"/>
      <c r="D306" s="393">
        <f t="shared" si="99"/>
        <v>31.244782459587746</v>
      </c>
      <c r="E306" s="385">
        <f t="shared" si="121"/>
        <v>33.229876774326627</v>
      </c>
      <c r="F306" s="385">
        <f t="shared" si="100"/>
        <v>33.240999439568832</v>
      </c>
      <c r="G306" s="110">
        <f t="shared" si="122"/>
        <v>0.80768746882684073</v>
      </c>
      <c r="H306" s="412" t="b">
        <f>Wh_hp&gt;='2018'!Maxi_hp</f>
        <v>1</v>
      </c>
      <c r="I306" s="390">
        <f>IF(H306,Wh_hp,'2018'!Maxi_hp)</f>
        <v>33.240999439568832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1.1194907823095179E-2</v>
      </c>
      <c r="M306" s="957"/>
      <c r="N306" s="957"/>
      <c r="O306" s="48">
        <f>IF(t&lt;Tnet,'2018'!Resal+('2018'!Salim-'2018'!Resal)*(1-EXP(('2018'!Tnet-t)/('2018'!Tau_j))),Resal+(Salim-Resal)*(1-EXP((Tnet-t)/(Tau_j))))*Salcycl</f>
        <v>5.973823882105285E-2</v>
      </c>
      <c r="P306" s="169">
        <f>(INDEX(Models!$BJ306:$BT306,,T306)*(1-R306)+INDEX(Models!$BJ306:$BT306,,T306+1)*R306-ERP_i)*Q306*Ramure*Pc/MaxiM</f>
        <v>4.6126324280556114E-4</v>
      </c>
      <c r="Q306" s="305">
        <f t="shared" si="102"/>
        <v>0.7</v>
      </c>
      <c r="R306" s="177">
        <f t="shared" si="103"/>
        <v>0.99791421436333927</v>
      </c>
      <c r="S306" s="919">
        <f t="shared" si="104"/>
        <v>-2</v>
      </c>
      <c r="T306" s="176">
        <f t="shared" si="105"/>
        <v>4</v>
      </c>
      <c r="U306" s="251">
        <f t="shared" si="106"/>
        <v>-1.0020857856366607</v>
      </c>
      <c r="V306" s="383">
        <f t="shared" si="107"/>
        <v>38.246335163565391</v>
      </c>
      <c r="W306" s="58"/>
      <c r="X306" s="157">
        <f t="shared" si="108"/>
        <v>43757</v>
      </c>
      <c r="Y306" s="385">
        <f t="shared" si="109"/>
        <v>30.894999999999996</v>
      </c>
      <c r="Z306" s="385">
        <f t="shared" si="110"/>
        <v>31.244782459587743</v>
      </c>
      <c r="AA306" s="386">
        <f t="shared" si="111"/>
        <v>33.229876774326627</v>
      </c>
      <c r="AB306" s="197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5.973823882105285E-2</v>
      </c>
      <c r="AD306" s="231">
        <f>(INDEX(Models!$BJ306:$BT306,,AH306)*(1-AF306)+INDEX(Models!$BJ306:$BT306,,AH306+1)*AF306-ERP_i)*AE306*Ramure*Pc/MaxiM</f>
        <v>4.6126324280556114E-4</v>
      </c>
      <c r="AE306" s="305">
        <f t="shared" si="113"/>
        <v>0.7</v>
      </c>
      <c r="AF306" s="177">
        <f t="shared" si="114"/>
        <v>0.99791421436333927</v>
      </c>
      <c r="AG306" s="176">
        <f t="shared" si="115"/>
        <v>-2</v>
      </c>
      <c r="AH306" s="176">
        <f t="shared" si="116"/>
        <v>4</v>
      </c>
      <c r="AI306" s="225">
        <f t="shared" si="117"/>
        <v>-1.0020857856366607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8">
        <v>12.718999999999999</v>
      </c>
      <c r="C307" s="390"/>
      <c r="D307" s="393">
        <f t="shared" si="99"/>
        <v>12.863281839338059</v>
      </c>
      <c r="E307" s="385">
        <f t="shared" si="121"/>
        <v>13.681804091883581</v>
      </c>
      <c r="F307" s="385">
        <f t="shared" si="100"/>
        <v>13.682116228068518</v>
      </c>
      <c r="G307" s="110">
        <f t="shared" si="122"/>
        <v>0.33473268746396462</v>
      </c>
      <c r="H307" s="412" t="b">
        <f>Wh_hp&gt;='2018'!Maxi_hp</f>
        <v>1</v>
      </c>
      <c r="I307" s="390">
        <f>IF(H307,Wh_hp,'2018'!Maxi_hp)</f>
        <v>13.682116228068518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1.1216565192315286E-2</v>
      </c>
      <c r="M307" s="957"/>
      <c r="N307" s="957"/>
      <c r="O307" s="48">
        <f>IF(t&lt;Tnet,'2018'!Resal+('2018'!Salim-'2018'!Resal)*(1-EXP(('2018'!Tnet-t)/('2018'!Tau_j))),Resal+(Salim-Resal)*(1-EXP((Tnet-t)/(Tau_j))))*Salcycl</f>
        <v>5.9825608307832158E-2</v>
      </c>
      <c r="P307" s="169">
        <f>(INDEX(Models!$BJ307:$BT307,,T307)*(1-R307)+INDEX(Models!$BJ307:$BT307,,T307+1)*R307-ERP_i)*Q307*Ramure*Pc/MaxiM</f>
        <v>4.5785988730188379E-4</v>
      </c>
      <c r="Q307" s="305">
        <f t="shared" si="102"/>
        <v>0.7</v>
      </c>
      <c r="R307" s="177">
        <f t="shared" si="103"/>
        <v>0.99800597847633266</v>
      </c>
      <c r="S307" s="919">
        <f t="shared" si="104"/>
        <v>-2</v>
      </c>
      <c r="T307" s="176">
        <f t="shared" si="105"/>
        <v>4</v>
      </c>
      <c r="U307" s="251">
        <f t="shared" si="106"/>
        <v>-1.0019940215236673</v>
      </c>
      <c r="V307" s="383">
        <f t="shared" si="107"/>
        <v>37.980953143130399</v>
      </c>
      <c r="W307" s="58"/>
      <c r="X307" s="157">
        <f t="shared" si="108"/>
        <v>43758</v>
      </c>
      <c r="Y307" s="385">
        <f t="shared" si="109"/>
        <v>12.718999999999999</v>
      </c>
      <c r="Z307" s="385">
        <f t="shared" si="110"/>
        <v>12.863281839338059</v>
      </c>
      <c r="AA307" s="386">
        <f t="shared" si="111"/>
        <v>13.681804091883581</v>
      </c>
      <c r="AB307" s="197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5.9825608307832158E-2</v>
      </c>
      <c r="AD307" s="231">
        <f>(INDEX(Models!$BJ307:$BT307,,AH307)*(1-AF307)+INDEX(Models!$BJ307:$BT307,,AH307+1)*AF307-ERP_i)*AE307*Ramure*Pc/MaxiM</f>
        <v>4.5785988730188379E-4</v>
      </c>
      <c r="AE307" s="305">
        <f t="shared" si="113"/>
        <v>0.7</v>
      </c>
      <c r="AF307" s="177">
        <f t="shared" si="114"/>
        <v>0.99800597847633266</v>
      </c>
      <c r="AG307" s="176">
        <f t="shared" si="115"/>
        <v>-2</v>
      </c>
      <c r="AH307" s="176">
        <f t="shared" si="116"/>
        <v>4</v>
      </c>
      <c r="AI307" s="225">
        <f t="shared" si="117"/>
        <v>-1.0019940215236673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8">
        <v>23.513000000000002</v>
      </c>
      <c r="C308" s="390"/>
      <c r="D308" s="393">
        <f t="shared" si="99"/>
        <v>23.780247704996988</v>
      </c>
      <c r="E308" s="385">
        <f t="shared" si="121"/>
        <v>25.295754444716518</v>
      </c>
      <c r="F308" s="385">
        <f t="shared" si="100"/>
        <v>25.301063614108177</v>
      </c>
      <c r="G308" s="110">
        <f t="shared" si="122"/>
        <v>0.62331417047503879</v>
      </c>
      <c r="H308" s="412" t="b">
        <f>Wh_hp&gt;='2018'!Maxi_hp</f>
        <v>1</v>
      </c>
      <c r="I308" s="390">
        <f>IF(H308,Wh_hp,'2018'!Maxi_hp)</f>
        <v>25.301063614108177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1.1238222087183281E-2</v>
      </c>
      <c r="M308" s="957"/>
      <c r="N308" s="957"/>
      <c r="O308" s="48">
        <f>IF(t&lt;Tnet,'2018'!Resal+('2018'!Salim-'2018'!Resal)*(1-EXP(('2018'!Tnet-t)/('2018'!Tau_j))),Resal+(Salim-Resal)*(1-EXP((Tnet-t)/(Tau_j))))*Salcycl</f>
        <v>5.9911505823305032E-2</v>
      </c>
      <c r="P308" s="169">
        <f>(INDEX(Models!$BJ308:$BT308,,T308)*(1-R308)+INDEX(Models!$BJ308:$BT308,,T308+1)*R308-ERP_i)*Q308*Ramure*Pc/MaxiM</f>
        <v>4.5410527034642613E-4</v>
      </c>
      <c r="Q308" s="305">
        <f t="shared" si="102"/>
        <v>0.7</v>
      </c>
      <c r="R308" s="177">
        <f t="shared" si="103"/>
        <v>0.99809407967161801</v>
      </c>
      <c r="S308" s="919">
        <f t="shared" si="104"/>
        <v>-2</v>
      </c>
      <c r="T308" s="176">
        <f t="shared" si="105"/>
        <v>4</v>
      </c>
      <c r="U308" s="251">
        <f t="shared" si="106"/>
        <v>-1.001905920328382</v>
      </c>
      <c r="V308" s="383">
        <f t="shared" si="107"/>
        <v>37.71333381037342</v>
      </c>
      <c r="W308" s="58"/>
      <c r="X308" s="157">
        <f t="shared" si="108"/>
        <v>43759</v>
      </c>
      <c r="Y308" s="385">
        <f t="shared" si="109"/>
        <v>23.513000000000002</v>
      </c>
      <c r="Z308" s="385">
        <f t="shared" si="110"/>
        <v>23.780247704996988</v>
      </c>
      <c r="AA308" s="386">
        <f t="shared" si="111"/>
        <v>25.295754444716518</v>
      </c>
      <c r="AB308" s="197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5.9911505823305032E-2</v>
      </c>
      <c r="AD308" s="231">
        <f>(INDEX(Models!$BJ308:$BT308,,AH308)*(1-AF308)+INDEX(Models!$BJ308:$BT308,,AH308+1)*AF308-ERP_i)*AE308*Ramure*Pc/MaxiM</f>
        <v>4.5410527034642613E-4</v>
      </c>
      <c r="AE308" s="305">
        <f t="shared" si="113"/>
        <v>0.7</v>
      </c>
      <c r="AF308" s="177">
        <f t="shared" si="114"/>
        <v>0.99809407967161801</v>
      </c>
      <c r="AG308" s="176">
        <f t="shared" si="115"/>
        <v>-2</v>
      </c>
      <c r="AH308" s="176">
        <f t="shared" si="116"/>
        <v>4</v>
      </c>
      <c r="AI308" s="225">
        <f t="shared" si="117"/>
        <v>-1.001905920328382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8">
        <v>4.194</v>
      </c>
      <c r="C309" s="390"/>
      <c r="D309" s="393">
        <f t="shared" si="99"/>
        <v>4.2417617216443695</v>
      </c>
      <c r="E309" s="385">
        <f t="shared" si="121"/>
        <v>4.5124931253830276</v>
      </c>
      <c r="F309" s="385">
        <f t="shared" si="100"/>
        <v>4.5124931253830276</v>
      </c>
      <c r="G309" s="110">
        <f t="shared" si="122"/>
        <v>0.11195873028569872</v>
      </c>
      <c r="H309" s="412" t="b">
        <f>Wh_hp&gt;='2018'!Maxi_hp</f>
        <v>0</v>
      </c>
      <c r="I309" s="390">
        <f>IF(H309,Wh_hp,'2018'!Maxi_hp)</f>
        <v>24.397964921918717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1.125987850770982E-2</v>
      </c>
      <c r="M309" s="957"/>
      <c r="N309" s="957"/>
      <c r="O309" s="48">
        <f>IF(t&lt;Tnet,'2018'!Resal+('2018'!Salim-'2018'!Resal)*(1-EXP(('2018'!Tnet-t)/('2018'!Tau_j))),Resal+(Salim-Resal)*(1-EXP((Tnet-t)/(Tau_j))))*Salcycl</f>
        <v>5.9995970346365411E-2</v>
      </c>
      <c r="P309" s="169">
        <f>(INDEX(Models!$BJ309:$BT309,,T309)*(1-R309)+INDEX(Models!$BJ309:$BT309,,T309+1)*R309-ERP_i)*Q309*Ramure*Pc/MaxiM</f>
        <v>4.5000195189581781E-4</v>
      </c>
      <c r="Q309" s="305">
        <f t="shared" si="102"/>
        <v>0.7</v>
      </c>
      <c r="R309" s="177">
        <f t="shared" si="103"/>
        <v>0.99817866293746382</v>
      </c>
      <c r="S309" s="919">
        <f t="shared" si="104"/>
        <v>-2</v>
      </c>
      <c r="T309" s="176">
        <f t="shared" si="105"/>
        <v>4</v>
      </c>
      <c r="U309" s="251">
        <f t="shared" si="106"/>
        <v>-1.0018213370625362</v>
      </c>
      <c r="V309" s="383">
        <f t="shared" si="107"/>
        <v>37.443374724920737</v>
      </c>
      <c r="W309" s="58"/>
      <c r="X309" s="157">
        <f t="shared" si="108"/>
        <v>43760</v>
      </c>
      <c r="Y309" s="385">
        <f t="shared" si="109"/>
        <v>4.194</v>
      </c>
      <c r="Z309" s="385">
        <f t="shared" si="110"/>
        <v>4.2417617216443695</v>
      </c>
      <c r="AA309" s="386">
        <f t="shared" si="111"/>
        <v>4.5124931253830276</v>
      </c>
      <c r="AB309" s="197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5.9995970346365411E-2</v>
      </c>
      <c r="AD309" s="231">
        <f>(INDEX(Models!$BJ309:$BT309,,AH309)*(1-AF309)+INDEX(Models!$BJ309:$BT309,,AH309+1)*AF309-ERP_i)*AE309*Ramure*Pc/MaxiM</f>
        <v>4.5000195189581781E-4</v>
      </c>
      <c r="AE309" s="305">
        <f t="shared" si="113"/>
        <v>0.7</v>
      </c>
      <c r="AF309" s="177">
        <f t="shared" si="114"/>
        <v>0.99817866293746382</v>
      </c>
      <c r="AG309" s="176">
        <f t="shared" si="115"/>
        <v>-2</v>
      </c>
      <c r="AH309" s="176">
        <f t="shared" si="116"/>
        <v>4</v>
      </c>
      <c r="AI309" s="225">
        <f t="shared" si="117"/>
        <v>-1.0018213370625362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8">
        <v>18.202999999999999</v>
      </c>
      <c r="C310" s="390"/>
      <c r="D310" s="393">
        <f t="shared" si="99"/>
        <v>18.410700957168842</v>
      </c>
      <c r="E310" s="385">
        <f t="shared" si="121"/>
        <v>19.587499183502526</v>
      </c>
      <c r="F310" s="385">
        <f t="shared" si="100"/>
        <v>19.589865156724592</v>
      </c>
      <c r="G310" s="110">
        <f t="shared" si="122"/>
        <v>0.4895510047690973</v>
      </c>
      <c r="H310" s="412" t="b">
        <f>Wh_hp&gt;='2018'!Maxi_hp</f>
        <v>0</v>
      </c>
      <c r="I310" s="390">
        <f>IF(H310,Wh_hp,'2018'!Maxi_hp)</f>
        <v>39.836073518385142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1.1281534453905118E-2</v>
      </c>
      <c r="M310" s="957"/>
      <c r="N310" s="957"/>
      <c r="O310" s="48">
        <f>IF(t&lt;Tnet,'2018'!Resal+('2018'!Salim-'2018'!Resal)*(1-EXP(('2018'!Tnet-t)/('2018'!Tau_j))),Resal+(Salim-Resal)*(1-EXP((Tnet-t)/(Tau_j))))*Salcycl</f>
        <v>6.0079044052996695E-2</v>
      </c>
      <c r="P310" s="169">
        <f>(INDEX(Models!$BJ310:$BT310,,T310)*(1-R310)+INDEX(Models!$BJ310:$BT310,,T310+1)*R310-ERP_i)*Q310*Ramure*Pc/MaxiM</f>
        <v>4.4564181314944316E-4</v>
      </c>
      <c r="Q310" s="305">
        <f t="shared" si="102"/>
        <v>0.7</v>
      </c>
      <c r="R310" s="177">
        <f t="shared" si="103"/>
        <v>0.99825986761928576</v>
      </c>
      <c r="S310" s="919">
        <f t="shared" si="104"/>
        <v>-2</v>
      </c>
      <c r="T310" s="176">
        <f t="shared" si="105"/>
        <v>4</v>
      </c>
      <c r="U310" s="251">
        <f t="shared" si="106"/>
        <v>-1.0017401323807142</v>
      </c>
      <c r="V310" s="383">
        <f t="shared" si="107"/>
        <v>37.170970061496135</v>
      </c>
      <c r="W310" s="58"/>
      <c r="X310" s="157">
        <f t="shared" si="108"/>
        <v>43761</v>
      </c>
      <c r="Y310" s="385">
        <f t="shared" si="109"/>
        <v>18.202999999999999</v>
      </c>
      <c r="Z310" s="385">
        <f t="shared" si="110"/>
        <v>18.410700957168842</v>
      </c>
      <c r="AA310" s="386">
        <f t="shared" si="111"/>
        <v>19.587499183502526</v>
      </c>
      <c r="AB310" s="197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6.0079044052996695E-2</v>
      </c>
      <c r="AD310" s="231">
        <f>(INDEX(Models!$BJ310:$BT310,,AH310)*(1-AF310)+INDEX(Models!$BJ310:$BT310,,AH310+1)*AF310-ERP_i)*AE310*Ramure*Pc/MaxiM</f>
        <v>4.4564181314944316E-4</v>
      </c>
      <c r="AE310" s="305">
        <f t="shared" si="113"/>
        <v>0.7</v>
      </c>
      <c r="AF310" s="177">
        <f t="shared" si="114"/>
        <v>0.99825986761928576</v>
      </c>
      <c r="AG310" s="176">
        <f t="shared" si="115"/>
        <v>-2</v>
      </c>
      <c r="AH310" s="176">
        <f t="shared" si="116"/>
        <v>4</v>
      </c>
      <c r="AI310" s="225">
        <f t="shared" si="117"/>
        <v>-1.0017401323807142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8">
        <v>16.027000000000001</v>
      </c>
      <c r="C311" s="390"/>
      <c r="D311" s="393">
        <f t="shared" si="99"/>
        <v>16.210227277659438</v>
      </c>
      <c r="E311" s="385">
        <f t="shared" si="121"/>
        <v>17.247872613446994</v>
      </c>
      <c r="F311" s="385">
        <f t="shared" si="100"/>
        <v>17.249334612379357</v>
      </c>
      <c r="G311" s="110">
        <f t="shared" si="122"/>
        <v>0.43422815592654723</v>
      </c>
      <c r="H311" s="412" t="b">
        <f>Wh_hp&gt;='2018'!Maxi_hp</f>
        <v>0</v>
      </c>
      <c r="I311" s="390">
        <f>IF(H311,Wh_hp,'2018'!Maxi_hp)</f>
        <v>36.762198666415699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1.1303189925779611E-2</v>
      </c>
      <c r="M311" s="957"/>
      <c r="N311" s="957"/>
      <c r="O311" s="48">
        <f>IF(t&lt;Tnet,'2018'!Resal+('2018'!Salim-'2018'!Resal)*(1-EXP(('2018'!Tnet-t)/('2018'!Tau_j))),Resal+(Salim-Resal)*(1-EXP((Tnet-t)/(Tau_j))))*Salcycl</f>
        <v>6.0160772232198262E-2</v>
      </c>
      <c r="P311" s="169">
        <f>(INDEX(Models!$BJ311:$BT311,,T311)*(1-R311)+INDEX(Models!$BJ311:$BT311,,T311+1)*R311-ERP_i)*Q311*Ramure*Pc/MaxiM</f>
        <v>4.4149723980182727E-4</v>
      </c>
      <c r="Q311" s="305">
        <f t="shared" si="102"/>
        <v>0.7</v>
      </c>
      <c r="R311" s="177">
        <f t="shared" si="103"/>
        <v>0.99833782763167833</v>
      </c>
      <c r="S311" s="919">
        <f t="shared" si="104"/>
        <v>-2</v>
      </c>
      <c r="T311" s="176">
        <f t="shared" si="105"/>
        <v>4</v>
      </c>
      <c r="U311" s="251">
        <f t="shared" si="106"/>
        <v>-1.0016621723683217</v>
      </c>
      <c r="V311" s="383">
        <f t="shared" si="107"/>
        <v>36.895999990235573</v>
      </c>
      <c r="W311" s="58"/>
      <c r="X311" s="157">
        <f t="shared" si="108"/>
        <v>43762</v>
      </c>
      <c r="Y311" s="385">
        <f t="shared" si="109"/>
        <v>16.027000000000001</v>
      </c>
      <c r="Z311" s="385">
        <f t="shared" si="110"/>
        <v>16.210227277659438</v>
      </c>
      <c r="AA311" s="386">
        <f t="shared" si="111"/>
        <v>17.247872613446994</v>
      </c>
      <c r="AB311" s="197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6.0160772232198262E-2</v>
      </c>
      <c r="AD311" s="231">
        <f>(INDEX(Models!$BJ311:$BT311,,AH311)*(1-AF311)+INDEX(Models!$BJ311:$BT311,,AH311+1)*AF311-ERP_i)*AE311*Ramure*Pc/MaxiM</f>
        <v>4.4149723980182727E-4</v>
      </c>
      <c r="AE311" s="305">
        <f t="shared" si="113"/>
        <v>0.7</v>
      </c>
      <c r="AF311" s="177">
        <f t="shared" si="114"/>
        <v>0.99833782763167833</v>
      </c>
      <c r="AG311" s="176">
        <f t="shared" si="115"/>
        <v>-2</v>
      </c>
      <c r="AH311" s="176">
        <f t="shared" si="116"/>
        <v>4</v>
      </c>
      <c r="AI311" s="225">
        <f t="shared" si="117"/>
        <v>-1.0016621723683217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8">
        <v>29.946999999999999</v>
      </c>
      <c r="C312" s="390"/>
      <c r="D312" s="393">
        <f t="shared" si="99"/>
        <v>30.290029891241758</v>
      </c>
      <c r="E312" s="385">
        <f t="shared" si="121"/>
        <v>32.231706682345198</v>
      </c>
      <c r="F312" s="385">
        <f t="shared" si="100"/>
        <v>32.242143160827602</v>
      </c>
      <c r="G312" s="110">
        <f t="shared" si="122"/>
        <v>0.81772058024472716</v>
      </c>
      <c r="H312" s="412" t="b">
        <f>Wh_hp&gt;='2018'!Maxi_hp</f>
        <v>0</v>
      </c>
      <c r="I312" s="390">
        <f>IF(H312,Wh_hp,'2018'!Maxi_hp)</f>
        <v>39.380465592356508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1.1324844923343735E-2</v>
      </c>
      <c r="M312" s="957"/>
      <c r="N312" s="957"/>
      <c r="O312" s="48">
        <f>IF(t&lt;Tnet,'2018'!Resal+('2018'!Salim-'2018'!Resal)*(1-EXP(('2018'!Tnet-t)/('2018'!Tau_j))),Resal+(Salim-Resal)*(1-EXP((Tnet-t)/(Tau_j))))*Salcycl</f>
        <v>6.0241203180438095E-2</v>
      </c>
      <c r="P312" s="169">
        <f>(INDEX(Models!$BJ312:$BT312,,T312)*(1-R312)+INDEX(Models!$BJ312:$BT312,,T312+1)*R312-ERP_i)*Q312*Ramure*Pc/MaxiM</f>
        <v>4.3757705694696963E-4</v>
      </c>
      <c r="Q312" s="305">
        <f t="shared" si="102"/>
        <v>0.7</v>
      </c>
      <c r="R312" s="177">
        <f t="shared" si="103"/>
        <v>0.99841267166308656</v>
      </c>
      <c r="S312" s="919">
        <f t="shared" si="104"/>
        <v>-2</v>
      </c>
      <c r="T312" s="176">
        <f t="shared" si="105"/>
        <v>4</v>
      </c>
      <c r="U312" s="251">
        <f t="shared" si="106"/>
        <v>-1.0015873283369134</v>
      </c>
      <c r="V312" s="383">
        <f t="shared" si="107"/>
        <v>36.618362141282674</v>
      </c>
      <c r="W312" s="58"/>
      <c r="X312" s="157">
        <f t="shared" si="108"/>
        <v>43763</v>
      </c>
      <c r="Y312" s="385">
        <f t="shared" si="109"/>
        <v>29.946999999999996</v>
      </c>
      <c r="Z312" s="385">
        <f t="shared" si="110"/>
        <v>30.290029891241755</v>
      </c>
      <c r="AA312" s="386">
        <f t="shared" si="111"/>
        <v>32.231706682345198</v>
      </c>
      <c r="AB312" s="197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6.0241203180438095E-2</v>
      </c>
      <c r="AD312" s="231">
        <f>(INDEX(Models!$BJ312:$BT312,,AH312)*(1-AF312)+INDEX(Models!$BJ312:$BT312,,AH312+1)*AF312-ERP_i)*AE312*Ramure*Pc/MaxiM</f>
        <v>4.3757705694696963E-4</v>
      </c>
      <c r="AE312" s="305">
        <f t="shared" si="113"/>
        <v>0.7</v>
      </c>
      <c r="AF312" s="177">
        <f t="shared" si="114"/>
        <v>0.99841267166308656</v>
      </c>
      <c r="AG312" s="176">
        <f t="shared" si="115"/>
        <v>-2</v>
      </c>
      <c r="AH312" s="176">
        <f t="shared" si="116"/>
        <v>4</v>
      </c>
      <c r="AI312" s="225">
        <f t="shared" si="117"/>
        <v>-1.0015873283369134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8">
        <v>36.171999999999997</v>
      </c>
      <c r="C313" s="390"/>
      <c r="D313" s="393">
        <f t="shared" si="99"/>
        <v>36.5871359174402</v>
      </c>
      <c r="E313" s="385">
        <f t="shared" si="121"/>
        <v>38.93575581839557</v>
      </c>
      <c r="F313" s="385">
        <f t="shared" si="100"/>
        <v>38.95254653773808</v>
      </c>
      <c r="G313" s="110">
        <f t="shared" si="122"/>
        <v>0.99543021366786899</v>
      </c>
      <c r="H313" s="412" t="b">
        <f>Wh_hp&gt;='2018'!Maxi_hp</f>
        <v>1</v>
      </c>
      <c r="I313" s="390">
        <f>IF(H313,Wh_hp,'2018'!Maxi_hp)</f>
        <v>38.95254653773808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1.1346499446607816E-2</v>
      </c>
      <c r="M313" s="957"/>
      <c r="N313" s="957"/>
      <c r="O313" s="48">
        <f>IF(t&lt;Tnet,'2018'!Resal+('2018'!Salim-'2018'!Resal)*(1-EXP(('2018'!Tnet-t)/('2018'!Tau_j))),Resal+(Salim-Resal)*(1-EXP((Tnet-t)/(Tau_j))))*Salcycl</f>
        <v>6.0320388074905279E-2</v>
      </c>
      <c r="P313" s="169">
        <f>(INDEX(Models!$BJ313:$BT313,,T313)*(1-R313)+INDEX(Models!$BJ313:$BT313,,T313+1)*R313-ERP_i)*Q313*Ramure*Pc/MaxiM</f>
        <v>4.3388653405367506E-4</v>
      </c>
      <c r="Q313" s="305">
        <f t="shared" si="102"/>
        <v>0.7</v>
      </c>
      <c r="R313" s="177">
        <f t="shared" si="103"/>
        <v>0.99848452337331617</v>
      </c>
      <c r="S313" s="919">
        <f t="shared" si="104"/>
        <v>-2</v>
      </c>
      <c r="T313" s="176">
        <f t="shared" si="105"/>
        <v>4</v>
      </c>
      <c r="U313" s="251">
        <f t="shared" si="106"/>
        <v>-1.0015154766266838</v>
      </c>
      <c r="V313" s="383">
        <f t="shared" si="107"/>
        <v>36.3379542475477</v>
      </c>
      <c r="W313" s="58"/>
      <c r="X313" s="157">
        <f t="shared" si="108"/>
        <v>43764</v>
      </c>
      <c r="Y313" s="385">
        <f t="shared" si="109"/>
        <v>36.171999999999997</v>
      </c>
      <c r="Z313" s="385">
        <f t="shared" si="110"/>
        <v>36.5871359174402</v>
      </c>
      <c r="AA313" s="386">
        <f t="shared" si="111"/>
        <v>38.93575581839557</v>
      </c>
      <c r="AB313" s="197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6.0320388074905279E-2</v>
      </c>
      <c r="AD313" s="231">
        <f>(INDEX(Models!$BJ313:$BT313,,AH313)*(1-AF313)+INDEX(Models!$BJ313:$BT313,,AH313+1)*AF313-ERP_i)*AE313*Ramure*Pc/MaxiM</f>
        <v>4.3388653405367506E-4</v>
      </c>
      <c r="AE313" s="305">
        <f t="shared" si="113"/>
        <v>0.7</v>
      </c>
      <c r="AF313" s="177">
        <f t="shared" si="114"/>
        <v>0.99848452337331617</v>
      </c>
      <c r="AG313" s="176">
        <f t="shared" si="115"/>
        <v>-2</v>
      </c>
      <c r="AH313" s="176">
        <f t="shared" si="116"/>
        <v>4</v>
      </c>
      <c r="AI313" s="225">
        <f t="shared" si="117"/>
        <v>-1.0015154766266838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8">
        <v>24.478999999999999</v>
      </c>
      <c r="C314" s="390"/>
      <c r="D314" s="393">
        <f t="shared" si="99"/>
        <v>24.760480948041778</v>
      </c>
      <c r="E314" s="385">
        <f t="shared" si="121"/>
        <v>26.352105448486849</v>
      </c>
      <c r="F314" s="385">
        <f t="shared" si="100"/>
        <v>26.35824722290937</v>
      </c>
      <c r="G314" s="110">
        <f t="shared" si="122"/>
        <v>0.67880703133523146</v>
      </c>
      <c r="H314" s="412" t="b">
        <f>Wh_hp&gt;='2018'!Maxi_hp</f>
        <v>1</v>
      </c>
      <c r="I314" s="390">
        <f>IF(H314,Wh_hp,'2018'!Maxi_hp)</f>
        <v>26.35824722290937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1.1368153495582289E-2</v>
      </c>
      <c r="M314" s="957"/>
      <c r="N314" s="957"/>
      <c r="O314" s="48">
        <f>IF(t&lt;Tnet,'2018'!Resal+('2018'!Salim-'2018'!Resal)*(1-EXP(('2018'!Tnet-t)/('2018'!Tau_j))),Resal+(Salim-Resal)*(1-EXP((Tnet-t)/(Tau_j))))*Salcycl</f>
        <v>6.0398380826017194E-2</v>
      </c>
      <c r="P314" s="169">
        <f>(INDEX(Models!$BJ314:$BT314,,T314)*(1-R314)+INDEX(Models!$BJ314:$BT314,,T314+1)*R314-ERP_i)*Q314*Ramure*Pc/MaxiM</f>
        <v>4.3043112111466994E-4</v>
      </c>
      <c r="Q314" s="305">
        <f t="shared" si="102"/>
        <v>0.7</v>
      </c>
      <c r="R314" s="177">
        <f t="shared" si="103"/>
        <v>0.99855350158409339</v>
      </c>
      <c r="S314" s="919">
        <f t="shared" si="104"/>
        <v>-2</v>
      </c>
      <c r="T314" s="176">
        <f t="shared" si="105"/>
        <v>4</v>
      </c>
      <c r="U314" s="251">
        <f t="shared" si="106"/>
        <v>-1.0014464984159066</v>
      </c>
      <c r="V314" s="383">
        <f t="shared" si="107"/>
        <v>36.054674021794646</v>
      </c>
      <c r="W314" s="58"/>
      <c r="X314" s="157">
        <f t="shared" si="108"/>
        <v>43765</v>
      </c>
      <c r="Y314" s="385">
        <f t="shared" si="109"/>
        <v>24.478999999999999</v>
      </c>
      <c r="Z314" s="385">
        <f t="shared" si="110"/>
        <v>24.760480948041778</v>
      </c>
      <c r="AA314" s="386">
        <f t="shared" si="111"/>
        <v>26.352105448486849</v>
      </c>
      <c r="AB314" s="197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6.0398380826017194E-2</v>
      </c>
      <c r="AD314" s="231">
        <f>(INDEX(Models!$BJ314:$BT314,,AH314)*(1-AF314)+INDEX(Models!$BJ314:$BT314,,AH314+1)*AF314-ERP_i)*AE314*Ramure*Pc/MaxiM</f>
        <v>4.3043112111466994E-4</v>
      </c>
      <c r="AE314" s="305">
        <f t="shared" si="113"/>
        <v>0.7</v>
      </c>
      <c r="AF314" s="177">
        <f t="shared" si="114"/>
        <v>0.99855350158409339</v>
      </c>
      <c r="AG314" s="176">
        <f t="shared" si="115"/>
        <v>-2</v>
      </c>
      <c r="AH314" s="176">
        <f t="shared" si="116"/>
        <v>4</v>
      </c>
      <c r="AI314" s="225">
        <f t="shared" si="117"/>
        <v>-1.0014464984159066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8">
        <v>9.1620000000000008</v>
      </c>
      <c r="C315" s="390"/>
      <c r="D315" s="393">
        <f t="shared" si="99"/>
        <v>9.2675556711069653</v>
      </c>
      <c r="E315" s="385">
        <f t="shared" si="121"/>
        <v>9.8640887872813483</v>
      </c>
      <c r="F315" s="385">
        <f t="shared" si="100"/>
        <v>9.8640887872813483</v>
      </c>
      <c r="G315" s="110">
        <f t="shared" si="122"/>
        <v>0.25603831695946633</v>
      </c>
      <c r="H315" s="412" t="b">
        <f>Wh_hp&gt;='2018'!Maxi_hp</f>
        <v>1</v>
      </c>
      <c r="I315" s="390">
        <f>IF(H315,Wh_hp,'2018'!Maxi_hp)</f>
        <v>9.8640887872813483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1.138980707027748E-2</v>
      </c>
      <c r="M315" s="957"/>
      <c r="N315" s="957"/>
      <c r="O315" s="48">
        <f>IF(t&lt;Tnet,'2018'!Resal+('2018'!Salim-'2018'!Resal)*(1-EXP(('2018'!Tnet-t)/('2018'!Tau_j))),Resal+(Salim-Resal)*(1-EXP((Tnet-t)/(Tau_j))))*Salcycl</f>
        <v>6.0475237909815571E-2</v>
      </c>
      <c r="P315" s="169">
        <f>(INDEX(Models!$BJ315:$BT315,,T315)*(1-R315)+INDEX(Models!$BJ315:$BT315,,T315+1)*R315-ERP_i)*Q315*Ramure*Pc/MaxiM</f>
        <v>4.2721646290012124E-4</v>
      </c>
      <c r="Q315" s="305">
        <f t="shared" si="102"/>
        <v>0.7</v>
      </c>
      <c r="R315" s="177">
        <f t="shared" si="103"/>
        <v>0.9986197204628755</v>
      </c>
      <c r="S315" s="919">
        <f t="shared" si="104"/>
        <v>-2</v>
      </c>
      <c r="T315" s="176">
        <f t="shared" si="105"/>
        <v>4</v>
      </c>
      <c r="U315" s="251">
        <f t="shared" si="106"/>
        <v>-1.0013802795371245</v>
      </c>
      <c r="V315" s="383">
        <f t="shared" si="107"/>
        <v>35.768419162889337</v>
      </c>
      <c r="W315" s="58"/>
      <c r="X315" s="157">
        <f t="shared" si="108"/>
        <v>43766</v>
      </c>
      <c r="Y315" s="385">
        <f t="shared" si="109"/>
        <v>9.1620000000000008</v>
      </c>
      <c r="Z315" s="385">
        <f t="shared" si="110"/>
        <v>9.2675556711069653</v>
      </c>
      <c r="AA315" s="386">
        <f t="shared" si="111"/>
        <v>9.8640887872813483</v>
      </c>
      <c r="AB315" s="197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6.0475237909815571E-2</v>
      </c>
      <c r="AD315" s="231">
        <f>(INDEX(Models!$BJ315:$BT315,,AH315)*(1-AF315)+INDEX(Models!$BJ315:$BT315,,AH315+1)*AF315-ERP_i)*AE315*Ramure*Pc/MaxiM</f>
        <v>4.2721646290012124E-4</v>
      </c>
      <c r="AE315" s="305">
        <f t="shared" si="113"/>
        <v>0.7</v>
      </c>
      <c r="AF315" s="177">
        <f t="shared" si="114"/>
        <v>0.9986197204628755</v>
      </c>
      <c r="AG315" s="176">
        <f t="shared" si="115"/>
        <v>-2</v>
      </c>
      <c r="AH315" s="176">
        <f t="shared" si="116"/>
        <v>4</v>
      </c>
      <c r="AI315" s="225">
        <f t="shared" si="117"/>
        <v>-1.0013802795371245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8">
        <v>28.521999999999998</v>
      </c>
      <c r="C316" s="390"/>
      <c r="D316" s="393">
        <f t="shared" si="99"/>
        <v>28.851234715835382</v>
      </c>
      <c r="E316" s="385">
        <f t="shared" si="121"/>
        <v>30.710805242424474</v>
      </c>
      <c r="F316" s="385">
        <f t="shared" si="100"/>
        <v>30.720187323726929</v>
      </c>
      <c r="G316" s="110">
        <f t="shared" si="122"/>
        <v>0.80381462464412623</v>
      </c>
      <c r="H316" s="412" t="b">
        <f>Wh_hp&gt;='2018'!Maxi_hp</f>
        <v>1</v>
      </c>
      <c r="I316" s="390">
        <f>IF(H316,Wh_hp,'2018'!Maxi_hp)</f>
        <v>30.720187323726929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1.1411460170703824E-2</v>
      </c>
      <c r="M316" s="957"/>
      <c r="N316" s="957"/>
      <c r="O316" s="48">
        <f>IF(t&lt;Tnet,'2018'!Resal+('2018'!Salim-'2018'!Resal)*(1-EXP(('2018'!Tnet-t)/('2018'!Tau_j))),Resal+(Salim-Resal)*(1-EXP((Tnet-t)/(Tau_j))))*Salcycl</f>
        <v>6.0551018181061782E-2</v>
      </c>
      <c r="P316" s="169">
        <f>(INDEX(Models!$BJ316:$BT316,,T316)*(1-R316)+INDEX(Models!$BJ316:$BT316,,T316+1)*R316-ERP_i)*Q316*Ramure*Pc/MaxiM</f>
        <v>4.2424841517343237E-4</v>
      </c>
      <c r="Q316" s="305">
        <f t="shared" si="102"/>
        <v>0.7</v>
      </c>
      <c r="R316" s="177">
        <f t="shared" si="103"/>
        <v>0.99868328970011166</v>
      </c>
      <c r="S316" s="919">
        <f t="shared" si="104"/>
        <v>-2</v>
      </c>
      <c r="T316" s="176">
        <f t="shared" si="105"/>
        <v>4</v>
      </c>
      <c r="U316" s="251">
        <f t="shared" si="106"/>
        <v>-1.0013167102998883</v>
      </c>
      <c r="V316" s="383">
        <f t="shared" si="107"/>
        <v>35.479087369115923</v>
      </c>
      <c r="W316" s="58"/>
      <c r="X316" s="157">
        <f t="shared" si="108"/>
        <v>43767</v>
      </c>
      <c r="Y316" s="385">
        <f t="shared" si="109"/>
        <v>28.521999999999998</v>
      </c>
      <c r="Z316" s="385">
        <f t="shared" si="110"/>
        <v>28.851234715835382</v>
      </c>
      <c r="AA316" s="386">
        <f t="shared" si="111"/>
        <v>30.710805242424474</v>
      </c>
      <c r="AB316" s="197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6.0551018181061782E-2</v>
      </c>
      <c r="AD316" s="231">
        <f>(INDEX(Models!$BJ316:$BT316,,AH316)*(1-AF316)+INDEX(Models!$BJ316:$BT316,,AH316+1)*AF316-ERP_i)*AE316*Ramure*Pc/MaxiM</f>
        <v>4.2424841517343237E-4</v>
      </c>
      <c r="AE316" s="305">
        <f t="shared" si="113"/>
        <v>0.7</v>
      </c>
      <c r="AF316" s="177">
        <f t="shared" si="114"/>
        <v>0.99868328970011166</v>
      </c>
      <c r="AG316" s="176">
        <f t="shared" si="115"/>
        <v>-2</v>
      </c>
      <c r="AH316" s="176">
        <f t="shared" si="116"/>
        <v>4</v>
      </c>
      <c r="AI316" s="225">
        <f t="shared" si="117"/>
        <v>-1.0013167102998883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8">
        <v>20.358000000000001</v>
      </c>
      <c r="C317" s="390"/>
      <c r="D317" s="393">
        <f t="shared" si="99"/>
        <v>20.593447204768541</v>
      </c>
      <c r="E317" s="385">
        <f t="shared" si="121"/>
        <v>21.92251695310323</v>
      </c>
      <c r="F317" s="385">
        <f t="shared" si="100"/>
        <v>21.926196052136252</v>
      </c>
      <c r="G317" s="110">
        <f t="shared" si="122"/>
        <v>0.57847182379591711</v>
      </c>
      <c r="H317" s="412" t="b">
        <f>Wh_hp&gt;='2018'!Maxi_hp</f>
        <v>0</v>
      </c>
      <c r="I317" s="390">
        <f>IF(H317,Wh_hp,'2018'!Maxi_hp)</f>
        <v>35.207799824990232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1.1433112796871647E-2</v>
      </c>
      <c r="M317" s="957"/>
      <c r="N317" s="957"/>
      <c r="O317" s="48">
        <f>IF(t&lt;Tnet,'2018'!Resal+('2018'!Salim-'2018'!Resal)*(1-EXP(('2018'!Tnet-t)/('2018'!Tau_j))),Resal+(Salim-Resal)*(1-EXP((Tnet-t)/(Tau_j))))*Salcycl</f>
        <v>6.0625782668013967E-2</v>
      </c>
      <c r="P317" s="169">
        <f>(INDEX(Models!$BJ317:$BT317,,T317)*(1-R317)+INDEX(Models!$BJ317:$BT317,,T317+1)*R317-ERP_i)*Q317*Ramure*Pc/MaxiM</f>
        <v>4.2156639725289405E-4</v>
      </c>
      <c r="Q317" s="305">
        <f t="shared" si="102"/>
        <v>0.7</v>
      </c>
      <c r="R317" s="177">
        <f t="shared" si="103"/>
        <v>0.99874431468015423</v>
      </c>
      <c r="S317" s="919">
        <f t="shared" si="104"/>
        <v>-2</v>
      </c>
      <c r="T317" s="176">
        <f t="shared" si="105"/>
        <v>4</v>
      </c>
      <c r="U317" s="251">
        <f t="shared" si="106"/>
        <v>-1.0012556853198458</v>
      </c>
      <c r="V317" s="383">
        <f t="shared" si="107"/>
        <v>35.183792902459651</v>
      </c>
      <c r="W317" s="58"/>
      <c r="X317" s="157">
        <f t="shared" si="108"/>
        <v>43768</v>
      </c>
      <c r="Y317" s="385">
        <f t="shared" si="109"/>
        <v>20.358000000000001</v>
      </c>
      <c r="Z317" s="385">
        <f t="shared" si="110"/>
        <v>20.593447204768541</v>
      </c>
      <c r="AA317" s="386">
        <f t="shared" si="111"/>
        <v>21.92251695310323</v>
      </c>
      <c r="AB317" s="197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6.0625782668013967E-2</v>
      </c>
      <c r="AD317" s="231">
        <f>(INDEX(Models!$BJ317:$BT317,,AH317)*(1-AF317)+INDEX(Models!$BJ317:$BT317,,AH317+1)*AF317-ERP_i)*AE317*Ramure*Pc/MaxiM</f>
        <v>4.2156639725289405E-4</v>
      </c>
      <c r="AE317" s="305">
        <f t="shared" si="113"/>
        <v>0.7</v>
      </c>
      <c r="AF317" s="177">
        <f t="shared" si="114"/>
        <v>0.99874431468015423</v>
      </c>
      <c r="AG317" s="176">
        <f t="shared" si="115"/>
        <v>-2</v>
      </c>
      <c r="AH317" s="176">
        <f t="shared" si="116"/>
        <v>4</v>
      </c>
      <c r="AI317" s="225">
        <f t="shared" si="117"/>
        <v>-1.0012556853198458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8">
        <v>16.513999999999999</v>
      </c>
      <c r="C318" s="390"/>
      <c r="D318" s="393">
        <f t="shared" si="99"/>
        <v>16.705355925512649</v>
      </c>
      <c r="E318" s="385">
        <f t="shared" si="121"/>
        <v>17.784891633207657</v>
      </c>
      <c r="F318" s="385">
        <f t="shared" si="100"/>
        <v>17.786739640463512</v>
      </c>
      <c r="G318" s="110">
        <f t="shared" si="122"/>
        <v>0.47329370479797855</v>
      </c>
      <c r="H318" s="412" t="b">
        <f>Wh_hp&gt;='2018'!Maxi_hp</f>
        <v>1</v>
      </c>
      <c r="I318" s="390">
        <f>IF(H318,Wh_hp,'2018'!Maxi_hp)</f>
        <v>17.786739640463512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1.1454764948791496E-2</v>
      </c>
      <c r="M318" s="957"/>
      <c r="N318" s="957"/>
      <c r="O318" s="48">
        <f>IF(t&lt;Tnet,'2018'!Resal+('2018'!Salim-'2018'!Resal)*(1-EXP(('2018'!Tnet-t)/('2018'!Tau_j))),Resal+(Salim-Resal)*(1-EXP((Tnet-t)/(Tau_j))))*Salcycl</f>
        <v>6.069959435003331E-2</v>
      </c>
      <c r="P318" s="169">
        <f>(INDEX(Models!$BJ318:$BT318,,T318)*(1-R318)+INDEX(Models!$BJ318:$BT318,,T318+1)*R318-ERP_i)*Q318*Ramure*Pc/MaxiM</f>
        <v>4.1932277108212417E-4</v>
      </c>
      <c r="Q318" s="305">
        <f t="shared" si="102"/>
        <v>0.7</v>
      </c>
      <c r="R318" s="177">
        <f t="shared" si="103"/>
        <v>0.99880289664601518</v>
      </c>
      <c r="S318" s="919">
        <f t="shared" si="104"/>
        <v>-2</v>
      </c>
      <c r="T318" s="176">
        <f t="shared" si="105"/>
        <v>4</v>
      </c>
      <c r="U318" s="251">
        <f t="shared" si="106"/>
        <v>-1.0011971033539848</v>
      </c>
      <c r="V318" s="383">
        <f t="shared" si="107"/>
        <v>34.880646768084368</v>
      </c>
      <c r="W318" s="58"/>
      <c r="X318" s="157">
        <f t="shared" si="108"/>
        <v>43769</v>
      </c>
      <c r="Y318" s="385">
        <f t="shared" si="109"/>
        <v>16.513999999999999</v>
      </c>
      <c r="Z318" s="385">
        <f t="shared" si="110"/>
        <v>16.705355925512649</v>
      </c>
      <c r="AA318" s="386">
        <f t="shared" si="111"/>
        <v>17.784891633207657</v>
      </c>
      <c r="AB318" s="197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6.069959435003331E-2</v>
      </c>
      <c r="AD318" s="231">
        <f>(INDEX(Models!$BJ318:$BT318,,AH318)*(1-AF318)+INDEX(Models!$BJ318:$BT318,,AH318+1)*AF318-ERP_i)*AE318*Ramure*Pc/MaxiM</f>
        <v>4.1932277108212417E-4</v>
      </c>
      <c r="AE318" s="305">
        <f t="shared" si="113"/>
        <v>0.7</v>
      </c>
      <c r="AF318" s="177">
        <f t="shared" si="114"/>
        <v>0.99880289664601518</v>
      </c>
      <c r="AG318" s="176">
        <f t="shared" si="115"/>
        <v>-2</v>
      </c>
      <c r="AH318" s="176">
        <f t="shared" si="116"/>
        <v>4</v>
      </c>
      <c r="AI318" s="225">
        <f t="shared" si="117"/>
        <v>-1.0011971033539848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8">
        <v>7.7359999999999998</v>
      </c>
      <c r="C319" s="390"/>
      <c r="D319" s="393">
        <f t="shared" si="99"/>
        <v>7.8258122821909977</v>
      </c>
      <c r="E319" s="385">
        <f t="shared" si="121"/>
        <v>8.3321798302307304</v>
      </c>
      <c r="F319" s="385">
        <f t="shared" si="100"/>
        <v>8.3321798302307304</v>
      </c>
      <c r="G319" s="110">
        <f t="shared" si="122"/>
        <v>0.22367763263688387</v>
      </c>
      <c r="H319" s="412" t="b">
        <f>Wh_hp&gt;='2018'!Maxi_hp</f>
        <v>0</v>
      </c>
      <c r="I319" s="390">
        <f>IF(H319,Wh_hp,'2018'!Maxi_hp)</f>
        <v>25.392151416441983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1.1476416626473585E-2</v>
      </c>
      <c r="M319" s="957"/>
      <c r="N319" s="957"/>
      <c r="O319" s="48">
        <f>IF(t&lt;Tnet,'2018'!Resal+('2018'!Salim-'2018'!Resal)*(1-EXP(('2018'!Tnet-t)/('2018'!Tau_j))),Resal+(Salim-Resal)*(1-EXP((Tnet-t)/(Tau_j))))*Salcycl</f>
        <v>6.0772517919324746E-2</v>
      </c>
      <c r="P319" s="169">
        <f>(INDEX(Models!$BJ319:$BT319,,T319)*(1-R319)+INDEX(Models!$BJ319:$BT319,,T319+1)*R319-ERP_i)*Q319*Ramure*Pc/MaxiM</f>
        <v>4.1736452390899186E-4</v>
      </c>
      <c r="Q319" s="305">
        <f t="shared" si="102"/>
        <v>0.7</v>
      </c>
      <c r="R319" s="177">
        <f t="shared" si="103"/>
        <v>0.99885913285815686</v>
      </c>
      <c r="S319" s="919">
        <f t="shared" si="104"/>
        <v>-2</v>
      </c>
      <c r="T319" s="176">
        <f t="shared" si="105"/>
        <v>4</v>
      </c>
      <c r="U319" s="251">
        <f t="shared" si="106"/>
        <v>-1.0011408671418431</v>
      </c>
      <c r="V319" s="383">
        <f t="shared" si="107"/>
        <v>34.571052889299608</v>
      </c>
      <c r="W319" s="58"/>
      <c r="X319" s="157">
        <f t="shared" si="108"/>
        <v>43770</v>
      </c>
      <c r="Y319" s="385">
        <f t="shared" si="109"/>
        <v>7.7359999999999998</v>
      </c>
      <c r="Z319" s="385">
        <f t="shared" si="110"/>
        <v>7.8258122821909977</v>
      </c>
      <c r="AA319" s="386">
        <f t="shared" si="111"/>
        <v>8.3321798302307304</v>
      </c>
      <c r="AB319" s="197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6.0772517919324746E-2</v>
      </c>
      <c r="AD319" s="231">
        <f>(INDEX(Models!$BJ319:$BT319,,AH319)*(1-AF319)+INDEX(Models!$BJ319:$BT319,,AH319+1)*AF319-ERP_i)*AE319*Ramure*Pc/MaxiM</f>
        <v>4.1736452390899186E-4</v>
      </c>
      <c r="AE319" s="305">
        <f t="shared" si="113"/>
        <v>0.7</v>
      </c>
      <c r="AF319" s="177">
        <f t="shared" si="114"/>
        <v>0.99885913285815686</v>
      </c>
      <c r="AG319" s="176">
        <f t="shared" si="115"/>
        <v>-2</v>
      </c>
      <c r="AH319" s="176">
        <f t="shared" si="116"/>
        <v>4</v>
      </c>
      <c r="AI319" s="225">
        <f t="shared" si="117"/>
        <v>-1.0011408671418431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8">
        <v>5.9130000000000003</v>
      </c>
      <c r="C320" s="390"/>
      <c r="D320" s="393">
        <f t="shared" si="99"/>
        <v>5.9817788995304353</v>
      </c>
      <c r="E320" s="385">
        <f t="shared" si="121"/>
        <v>6.3693176059171384</v>
      </c>
      <c r="F320" s="385">
        <f t="shared" si="100"/>
        <v>6.3693176059171384</v>
      </c>
      <c r="G320" s="110">
        <f t="shared" si="122"/>
        <v>0.1725382826338413</v>
      </c>
      <c r="H320" s="412" t="b">
        <f>Wh_hp&gt;='2018'!Maxi_hp</f>
        <v>0</v>
      </c>
      <c r="I320" s="390">
        <f>IF(H320,Wh_hp,'2018'!Maxi_hp)</f>
        <v>7.3798746343573471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1.1498067829928349E-2</v>
      </c>
      <c r="M320" s="957"/>
      <c r="N320" s="957"/>
      <c r="O320" s="48">
        <f>IF(t&lt;Tnet,'2018'!Resal+('2018'!Salim-'2018'!Resal)*(1-EXP(('2018'!Tnet-t)/('2018'!Tau_j))),Resal+(Salim-Resal)*(1-EXP((Tnet-t)/(Tau_j))))*Salcycl</f>
        <v>6.0844619528264289E-2</v>
      </c>
      <c r="P320" s="169">
        <f>(INDEX(Models!$BJ320:$BT320,,T320)*(1-R320)+INDEX(Models!$BJ320:$BT320,,T320+1)*R320-ERP_i)*Q320*Ramure*Pc/MaxiM</f>
        <v>4.1568107531578848E-4</v>
      </c>
      <c r="Q320" s="305">
        <f t="shared" si="102"/>
        <v>0.7</v>
      </c>
      <c r="R320" s="177">
        <f t="shared" si="103"/>
        <v>0.99891311674751093</v>
      </c>
      <c r="S320" s="919">
        <f t="shared" si="104"/>
        <v>-2</v>
      </c>
      <c r="T320" s="176">
        <f t="shared" si="105"/>
        <v>4</v>
      </c>
      <c r="U320" s="251">
        <f t="shared" si="106"/>
        <v>-1.0010868832524891</v>
      </c>
      <c r="V320" s="383">
        <f t="shared" si="107"/>
        <v>34.256409578069928</v>
      </c>
      <c r="W320" s="58"/>
      <c r="X320" s="157">
        <f t="shared" si="108"/>
        <v>43771</v>
      </c>
      <c r="Y320" s="385">
        <f t="shared" si="109"/>
        <v>5.9130000000000003</v>
      </c>
      <c r="Z320" s="385">
        <f t="shared" si="110"/>
        <v>5.9817788995304353</v>
      </c>
      <c r="AA320" s="386">
        <f t="shared" si="111"/>
        <v>6.3693176059171384</v>
      </c>
      <c r="AB320" s="197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6.0844619528264289E-2</v>
      </c>
      <c r="AD320" s="231">
        <f>(INDEX(Models!$BJ320:$BT320,,AH320)*(1-AF320)+INDEX(Models!$BJ320:$BT320,,AH320+1)*AF320-ERP_i)*AE320*Ramure*Pc/MaxiM</f>
        <v>4.1568107531578848E-4</v>
      </c>
      <c r="AE320" s="305">
        <f t="shared" si="113"/>
        <v>0.7</v>
      </c>
      <c r="AF320" s="177">
        <f t="shared" si="114"/>
        <v>0.99891311674751093</v>
      </c>
      <c r="AG320" s="176">
        <f t="shared" si="115"/>
        <v>-2</v>
      </c>
      <c r="AH320" s="176">
        <f t="shared" si="116"/>
        <v>4</v>
      </c>
      <c r="AI320" s="225">
        <f t="shared" si="117"/>
        <v>-1.0010868832524891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8">
        <v>9.7880000000000003</v>
      </c>
      <c r="C321" s="390"/>
      <c r="D321" s="393">
        <f t="shared" si="99"/>
        <v>9.9020690485932246</v>
      </c>
      <c r="E321" s="385">
        <f t="shared" si="121"/>
        <v>10.544390805942998</v>
      </c>
      <c r="F321" s="385">
        <f t="shared" si="100"/>
        <v>10.544390805942998</v>
      </c>
      <c r="G321" s="110">
        <f t="shared" si="122"/>
        <v>0.28828782379036855</v>
      </c>
      <c r="H321" s="412" t="b">
        <f>Wh_hp&gt;='2018'!Maxi_hp</f>
        <v>0</v>
      </c>
      <c r="I321" s="390">
        <f>IF(H321,Wh_hp,'2018'!Maxi_hp)</f>
        <v>31.18806335046073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1.1519718559166225E-2</v>
      </c>
      <c r="M321" s="957"/>
      <c r="N321" s="957"/>
      <c r="O321" s="48">
        <f>IF(t&lt;Tnet,'2018'!Resal+('2018'!Salim-'2018'!Resal)*(1-EXP(('2018'!Tnet-t)/('2018'!Tau_j))),Resal+(Salim-Resal)*(1-EXP((Tnet-t)/(Tau_j))))*Salcycl</f>
        <v>6.0915966523902923E-2</v>
      </c>
      <c r="P321" s="169">
        <f>(INDEX(Models!$BJ321:$BT321,,T321)*(1-R321)+INDEX(Models!$BJ321:$BT321,,T321+1)*R321-ERP_i)*Q321*Ramure*Pc/MaxiM</f>
        <v>4.1426195533331259E-4</v>
      </c>
      <c r="Q321" s="305">
        <f t="shared" si="102"/>
        <v>0.7</v>
      </c>
      <c r="R321" s="177">
        <f t="shared" si="103"/>
        <v>0.99896493806290421</v>
      </c>
      <c r="S321" s="919">
        <f t="shared" si="104"/>
        <v>-2</v>
      </c>
      <c r="T321" s="176">
        <f t="shared" si="105"/>
        <v>4</v>
      </c>
      <c r="U321" s="251">
        <f t="shared" si="106"/>
        <v>-1.0010350619370958</v>
      </c>
      <c r="V321" s="383">
        <f t="shared" si="107"/>
        <v>33.938114608321762</v>
      </c>
      <c r="W321" s="58"/>
      <c r="X321" s="157">
        <f t="shared" si="108"/>
        <v>43772</v>
      </c>
      <c r="Y321" s="385">
        <f t="shared" si="109"/>
        <v>9.7880000000000003</v>
      </c>
      <c r="Z321" s="385">
        <f t="shared" si="110"/>
        <v>9.9020690485932246</v>
      </c>
      <c r="AA321" s="386">
        <f t="shared" si="111"/>
        <v>10.544390805942998</v>
      </c>
      <c r="AB321" s="197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6.0915966523902923E-2</v>
      </c>
      <c r="AD321" s="231">
        <f>(INDEX(Models!$BJ321:$BT321,,AH321)*(1-AF321)+INDEX(Models!$BJ321:$BT321,,AH321+1)*AF321-ERP_i)*AE321*Ramure*Pc/MaxiM</f>
        <v>4.1426195533331259E-4</v>
      </c>
      <c r="AE321" s="305">
        <f t="shared" si="113"/>
        <v>0.7</v>
      </c>
      <c r="AF321" s="177">
        <f t="shared" si="114"/>
        <v>0.99896493806290421</v>
      </c>
      <c r="AG321" s="176">
        <f t="shared" si="115"/>
        <v>-2</v>
      </c>
      <c r="AH321" s="176">
        <f t="shared" si="116"/>
        <v>4</v>
      </c>
      <c r="AI321" s="225">
        <f t="shared" si="117"/>
        <v>-1.0010350619370958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8">
        <v>12.765000000000001</v>
      </c>
      <c r="C322" s="390"/>
      <c r="D322" s="393">
        <f t="shared" si="99"/>
        <v>12.91404576505796</v>
      </c>
      <c r="E322" s="385">
        <f t="shared" si="121"/>
        <v>13.752781524459335</v>
      </c>
      <c r="F322" s="385">
        <f t="shared" si="100"/>
        <v>13.753428502429696</v>
      </c>
      <c r="G322" s="110">
        <f t="shared" si="122"/>
        <v>0.37957320789764565</v>
      </c>
      <c r="H322" s="412" t="b">
        <f>Wh_hp&gt;='2018'!Maxi_hp</f>
        <v>0</v>
      </c>
      <c r="I322" s="390">
        <f>IF(H322,Wh_hp,'2018'!Maxi_hp)</f>
        <v>29.822160701304174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1.1541368814197539E-2</v>
      </c>
      <c r="M322" s="957"/>
      <c r="N322" s="957"/>
      <c r="O322" s="48">
        <f>IF(t&lt;Tnet,'2018'!Resal+('2018'!Salim-'2018'!Resal)*(1-EXP(('2018'!Tnet-t)/('2018'!Tau_j))),Resal+(Salim-Resal)*(1-EXP((Tnet-t)/(Tau_j))))*Salcycl</f>
        <v>6.0986627171360414E-2</v>
      </c>
      <c r="P322" s="169">
        <f>(INDEX(Models!$BJ322:$BT322,,T322)*(1-R322)+INDEX(Models!$BJ322:$BT322,,T322+1)*R322-ERP_i)*Q322*Ramure*Pc/MaxiM</f>
        <v>4.1309668337020353E-4</v>
      </c>
      <c r="Q322" s="305">
        <f t="shared" si="102"/>
        <v>0.7</v>
      </c>
      <c r="R322" s="177">
        <f t="shared" si="103"/>
        <v>0.99901468301307661</v>
      </c>
      <c r="S322" s="919">
        <f t="shared" si="104"/>
        <v>-2</v>
      </c>
      <c r="T322" s="176">
        <f t="shared" si="105"/>
        <v>4</v>
      </c>
      <c r="U322" s="251">
        <f t="shared" si="106"/>
        <v>-1.0009853169869234</v>
      </c>
      <c r="V322" s="383">
        <f t="shared" si="107"/>
        <v>33.617565245942835</v>
      </c>
      <c r="W322" s="58"/>
      <c r="X322" s="157">
        <f t="shared" si="108"/>
        <v>43773</v>
      </c>
      <c r="Y322" s="385">
        <f t="shared" si="109"/>
        <v>12.765000000000001</v>
      </c>
      <c r="Z322" s="385">
        <f t="shared" si="110"/>
        <v>12.91404576505796</v>
      </c>
      <c r="AA322" s="386">
        <f t="shared" si="111"/>
        <v>13.752781524459335</v>
      </c>
      <c r="AB322" s="197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6.0986627171360414E-2</v>
      </c>
      <c r="AD322" s="231">
        <f>(INDEX(Models!$BJ322:$BT322,,AH322)*(1-AF322)+INDEX(Models!$BJ322:$BT322,,AH322+1)*AF322-ERP_i)*AE322*Ramure*Pc/MaxiM</f>
        <v>4.1309668337020353E-4</v>
      </c>
      <c r="AE322" s="305">
        <f t="shared" si="113"/>
        <v>0.7</v>
      </c>
      <c r="AF322" s="177">
        <f t="shared" si="114"/>
        <v>0.99901468301307661</v>
      </c>
      <c r="AG322" s="176">
        <f t="shared" si="115"/>
        <v>-2</v>
      </c>
      <c r="AH322" s="176">
        <f t="shared" si="116"/>
        <v>4</v>
      </c>
      <c r="AI322" s="225">
        <f t="shared" si="117"/>
        <v>-1.0009853169869234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8">
        <v>11.032999999999999</v>
      </c>
      <c r="C323" s="390"/>
      <c r="D323" s="393">
        <f t="shared" si="99"/>
        <v>11.162067190482553</v>
      </c>
      <c r="E323" s="385">
        <f t="shared" si="121"/>
        <v>11.887902963064352</v>
      </c>
      <c r="F323" s="385">
        <f t="shared" si="100"/>
        <v>11.888122479135671</v>
      </c>
      <c r="G323" s="110">
        <f t="shared" si="122"/>
        <v>0.33122908754773478</v>
      </c>
      <c r="H323" s="412" t="b">
        <f>Wh_hp&gt;='2018'!Maxi_hp</f>
        <v>0</v>
      </c>
      <c r="I323" s="390">
        <f>IF(H323,Wh_hp,'2018'!Maxi_hp)</f>
        <v>12.412694052556738</v>
      </c>
      <c r="J323" s="85">
        <f>IF(H323,An,'2018'!An_max)</f>
        <v>2018</v>
      </c>
      <c r="K323" s="197">
        <f t="shared" si="101"/>
        <v>43774</v>
      </c>
      <c r="L323" s="147">
        <f>IF(t&lt;Tvie,1-EXP((T0-t)*PertePVj)+'2018'!Pspv,1-EXP((T0-t)*PertePVj)+Pspv)</f>
        <v>1.1563018595032615E-2</v>
      </c>
      <c r="M323" s="957"/>
      <c r="N323" s="957"/>
      <c r="O323" s="48">
        <f>IF(t&lt;Tnet,'2018'!Resal+('2018'!Salim-'2018'!Resal)*(1-EXP(('2018'!Tnet-t)/('2018'!Tau_j))),Resal+(Salim-Resal)*(1-EXP((Tnet-t)/(Tau_j))))*Salcycl</f>
        <v>6.1056670367933448E-2</v>
      </c>
      <c r="P323" s="169">
        <f>(INDEX(Models!$BJ323:$BT323,,T323)*(1-R323)+INDEX(Models!$BJ323:$BT323,,T323+1)*R323-ERP_i)*Q323*Ramure*Pc/MaxiM</f>
        <v>4.121746497540918E-4</v>
      </c>
      <c r="Q323" s="305">
        <f t="shared" si="102"/>
        <v>0.7</v>
      </c>
      <c r="R323" s="177">
        <f t="shared" si="103"/>
        <v>0.99906243440346598</v>
      </c>
      <c r="S323" s="919">
        <f t="shared" si="104"/>
        <v>-2</v>
      </c>
      <c r="T323" s="176">
        <f t="shared" si="105"/>
        <v>4</v>
      </c>
      <c r="U323" s="251">
        <f t="shared" si="106"/>
        <v>-1.000937565596534</v>
      </c>
      <c r="V323" s="383">
        <f t="shared" si="107"/>
        <v>33.296158271088764</v>
      </c>
      <c r="W323" s="58"/>
      <c r="X323" s="157">
        <f t="shared" si="108"/>
        <v>43774</v>
      </c>
      <c r="Y323" s="385">
        <f t="shared" si="109"/>
        <v>11.032999999999999</v>
      </c>
      <c r="Z323" s="385">
        <f t="shared" si="110"/>
        <v>11.162067190482553</v>
      </c>
      <c r="AA323" s="386">
        <f t="shared" si="111"/>
        <v>11.887902963064352</v>
      </c>
      <c r="AB323" s="197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6.1056670367933448E-2</v>
      </c>
      <c r="AD323" s="231">
        <f>(INDEX(Models!$BJ323:$BT323,,AH323)*(1-AF323)+INDEX(Models!$BJ323:$BT323,,AH323+1)*AF323-ERP_i)*AE323*Ramure*Pc/MaxiM</f>
        <v>4.121746497540918E-4</v>
      </c>
      <c r="AE323" s="305">
        <f t="shared" si="113"/>
        <v>0.7</v>
      </c>
      <c r="AF323" s="177">
        <f t="shared" si="114"/>
        <v>0.99906243440346598</v>
      </c>
      <c r="AG323" s="176">
        <f t="shared" si="115"/>
        <v>-2</v>
      </c>
      <c r="AH323" s="176">
        <f t="shared" si="116"/>
        <v>4</v>
      </c>
      <c r="AI323" s="225">
        <f t="shared" si="117"/>
        <v>-1.000937565596534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8">
        <v>10.904</v>
      </c>
      <c r="C324" s="390"/>
      <c r="D324" s="393">
        <f t="shared" si="99"/>
        <v>11.031799736302935</v>
      </c>
      <c r="E324" s="385">
        <f t="shared" si="121"/>
        <v>11.750034274214858</v>
      </c>
      <c r="F324" s="385">
        <f t="shared" si="100"/>
        <v>11.750246339798728</v>
      </c>
      <c r="G324" s="110">
        <f t="shared" si="122"/>
        <v>0.33054174450077062</v>
      </c>
      <c r="H324" s="412" t="b">
        <f>Wh_hp&gt;='2018'!Maxi_hp</f>
        <v>0</v>
      </c>
      <c r="I324" s="390">
        <f>IF(H324,Wh_hp,'2018'!Maxi_hp)</f>
        <v>21.681215275304478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1.1584667901682111E-2</v>
      </c>
      <c r="M324" s="957"/>
      <c r="N324" s="957"/>
      <c r="O324" s="48">
        <f>IF(t&lt;Tnet,'2018'!Resal+('2018'!Salim-'2018'!Resal)*(1-EXP(('2018'!Tnet-t)/('2018'!Tau_j))),Resal+(Salim-Resal)*(1-EXP((Tnet-t)/(Tau_j))))*Salcycl</f>
        <v>6.1126165349838328E-2</v>
      </c>
      <c r="P324" s="169">
        <f>(INDEX(Models!$BJ324:$BT324,,T324)*(1-R324)+INDEX(Models!$BJ324:$BT324,,T324+1)*R324-ERP_i)*Q324*Ramure*Pc/MaxiM</f>
        <v>4.1188830835682896E-4</v>
      </c>
      <c r="Q324" s="305">
        <f t="shared" si="102"/>
        <v>0.7</v>
      </c>
      <c r="R324" s="177">
        <f t="shared" si="103"/>
        <v>0.99910827176793515</v>
      </c>
      <c r="S324" s="919">
        <f t="shared" si="104"/>
        <v>-2</v>
      </c>
      <c r="T324" s="176">
        <f t="shared" si="105"/>
        <v>4</v>
      </c>
      <c r="U324" s="251">
        <f t="shared" si="106"/>
        <v>-1.0008917282320648</v>
      </c>
      <c r="V324" s="383">
        <f t="shared" si="107"/>
        <v>32.97527669788758</v>
      </c>
      <c r="W324" s="58"/>
      <c r="X324" s="157">
        <f t="shared" si="108"/>
        <v>43775</v>
      </c>
      <c r="Y324" s="385">
        <f t="shared" si="109"/>
        <v>10.904</v>
      </c>
      <c r="Z324" s="385">
        <f t="shared" si="110"/>
        <v>11.031799736302935</v>
      </c>
      <c r="AA324" s="386">
        <f t="shared" si="111"/>
        <v>11.750034274214858</v>
      </c>
      <c r="AB324" s="197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6.1126165349838328E-2</v>
      </c>
      <c r="AD324" s="231">
        <f>(INDEX(Models!$BJ324:$BT324,,AH324)*(1-AF324)+INDEX(Models!$BJ324:$BT324,,AH324+1)*AF324-ERP_i)*AE324*Ramure*Pc/MaxiM</f>
        <v>4.1188830835682896E-4</v>
      </c>
      <c r="AE324" s="305">
        <f t="shared" si="113"/>
        <v>0.7</v>
      </c>
      <c r="AF324" s="177">
        <f t="shared" si="114"/>
        <v>0.99910827176793515</v>
      </c>
      <c r="AG324" s="176">
        <f t="shared" si="115"/>
        <v>-2</v>
      </c>
      <c r="AH324" s="176">
        <f t="shared" si="116"/>
        <v>4</v>
      </c>
      <c r="AI324" s="225">
        <f t="shared" si="117"/>
        <v>-1.0008917282320648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8">
        <v>3.68</v>
      </c>
      <c r="C325" s="390"/>
      <c r="D325" s="393">
        <f t="shared" si="99"/>
        <v>3.7232127868731095</v>
      </c>
      <c r="E325" s="385">
        <f t="shared" si="121"/>
        <v>3.9659071971956337</v>
      </c>
      <c r="F325" s="385">
        <f t="shared" si="100"/>
        <v>3.9659071971956337</v>
      </c>
      <c r="G325" s="110">
        <f t="shared" si="122"/>
        <v>0.11264231145739799</v>
      </c>
      <c r="H325" s="412" t="b">
        <f>Wh_hp&gt;='2018'!Maxi_hp</f>
        <v>0</v>
      </c>
      <c r="I325" s="390">
        <f>IF(H325,Wh_hp,'2018'!Maxi_hp)</f>
        <v>10.494667806910758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1.160631673415613E-2</v>
      </c>
      <c r="M325" s="957"/>
      <c r="N325" s="957"/>
      <c r="O325" s="48">
        <f>IF(t&lt;Tnet,'2018'!Resal+('2018'!Salim-'2018'!Resal)*(1-EXP(('2018'!Tnet-t)/('2018'!Tau_j))),Resal+(Salim-Resal)*(1-EXP((Tnet-t)/(Tau_j))))*Salcycl</f>
        <v>6.1195181393588219E-2</v>
      </c>
      <c r="P325" s="169">
        <f>(INDEX(Models!$BJ325:$BT325,,T325)*(1-R325)+INDEX(Models!$BJ325:$BT325,,T325+1)*R325-ERP_i)*Q325*Ramure*Pc/MaxiM</f>
        <v>4.12138024729644E-4</v>
      </c>
      <c r="Q325" s="305">
        <f t="shared" si="102"/>
        <v>0.7</v>
      </c>
      <c r="R325" s="177">
        <f t="shared" si="103"/>
        <v>0.99915227149560626</v>
      </c>
      <c r="S325" s="919">
        <f t="shared" si="104"/>
        <v>-2</v>
      </c>
      <c r="T325" s="176">
        <f t="shared" si="105"/>
        <v>4</v>
      </c>
      <c r="U325" s="251">
        <f t="shared" si="106"/>
        <v>-1.0008477285043937</v>
      </c>
      <c r="V325" s="383">
        <f t="shared" si="107"/>
        <v>32.656319676644955</v>
      </c>
      <c r="W325" s="58"/>
      <c r="X325" s="157">
        <f t="shared" si="108"/>
        <v>43776</v>
      </c>
      <c r="Y325" s="385">
        <f t="shared" si="109"/>
        <v>3.68</v>
      </c>
      <c r="Z325" s="385">
        <f t="shared" si="110"/>
        <v>3.7232127868731095</v>
      </c>
      <c r="AA325" s="386">
        <f t="shared" si="111"/>
        <v>3.9659071971956337</v>
      </c>
      <c r="AB325" s="197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6.1195181393588219E-2</v>
      </c>
      <c r="AD325" s="231">
        <f>(INDEX(Models!$BJ325:$BT325,,AH325)*(1-AF325)+INDEX(Models!$BJ325:$BT325,,AH325+1)*AF325-ERP_i)*AE325*Ramure*Pc/MaxiM</f>
        <v>4.12138024729644E-4</v>
      </c>
      <c r="AE325" s="305">
        <f t="shared" si="113"/>
        <v>0.7</v>
      </c>
      <c r="AF325" s="177">
        <f t="shared" si="114"/>
        <v>0.99915227149560626</v>
      </c>
      <c r="AG325" s="176">
        <f t="shared" si="115"/>
        <v>-2</v>
      </c>
      <c r="AH325" s="176">
        <f t="shared" si="116"/>
        <v>4</v>
      </c>
      <c r="AI325" s="225">
        <f t="shared" si="117"/>
        <v>-1.0008477285043937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8">
        <v>13.041</v>
      </c>
      <c r="C326" s="390"/>
      <c r="D326" s="393">
        <f t="shared" si="99"/>
        <v>13.194424305236463</v>
      </c>
      <c r="E326" s="385">
        <f t="shared" si="121"/>
        <v>14.055518610809106</v>
      </c>
      <c r="F326" s="385">
        <f t="shared" si="100"/>
        <v>14.056374615293274</v>
      </c>
      <c r="G326" s="110">
        <f t="shared" si="122"/>
        <v>0.40309628351128007</v>
      </c>
      <c r="H326" s="412" t="b">
        <f>Wh_hp&gt;='2018'!Maxi_hp</f>
        <v>0</v>
      </c>
      <c r="I326" s="390">
        <f>IF(H326,Wh_hp,'2018'!Maxi_hp)</f>
        <v>17.916158880352736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1.1627965092465109E-2</v>
      </c>
      <c r="M326" s="957"/>
      <c r="N326" s="957"/>
      <c r="O326" s="48">
        <f>IF(t&lt;Tnet,'2018'!Resal+('2018'!Salim-'2018'!Resal)*(1-EXP(('2018'!Tnet-t)/('2018'!Tau_j))),Resal+(Salim-Resal)*(1-EXP((Tnet-t)/(Tau_j))))*Salcycl</f>
        <v>6.126378751406835E-2</v>
      </c>
      <c r="P326" s="169">
        <f>(INDEX(Models!$BJ326:$BT326,,T326)*(1-R326)+INDEX(Models!$BJ326:$BT326,,T326+1)*R326-ERP_i)*Q326*Ramure*Pc/MaxiM</f>
        <v>4.1291453440563965E-4</v>
      </c>
      <c r="Q326" s="305">
        <f t="shared" si="102"/>
        <v>0.7</v>
      </c>
      <c r="R326" s="177">
        <f t="shared" si="103"/>
        <v>0.99919450695297218</v>
      </c>
      <c r="S326" s="919">
        <f t="shared" si="104"/>
        <v>-2</v>
      </c>
      <c r="T326" s="176">
        <f t="shared" si="105"/>
        <v>4</v>
      </c>
      <c r="U326" s="251">
        <f t="shared" si="106"/>
        <v>-1.0008054930470278</v>
      </c>
      <c r="V326" s="383">
        <f t="shared" si="107"/>
        <v>32.340682872754194</v>
      </c>
      <c r="W326" s="58"/>
      <c r="X326" s="157">
        <f t="shared" si="108"/>
        <v>43777</v>
      </c>
      <c r="Y326" s="385">
        <f t="shared" si="109"/>
        <v>13.041</v>
      </c>
      <c r="Z326" s="385">
        <f t="shared" si="110"/>
        <v>13.194424305236463</v>
      </c>
      <c r="AA326" s="386">
        <f t="shared" si="111"/>
        <v>14.055518610809106</v>
      </c>
      <c r="AB326" s="197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6.126378751406835E-2</v>
      </c>
      <c r="AD326" s="231">
        <f>(INDEX(Models!$BJ326:$BT326,,AH326)*(1-AF326)+INDEX(Models!$BJ326:$BT326,,AH326+1)*AF326-ERP_i)*AE326*Ramure*Pc/MaxiM</f>
        <v>4.1291453440563965E-4</v>
      </c>
      <c r="AE326" s="305">
        <f t="shared" si="113"/>
        <v>0.7</v>
      </c>
      <c r="AF326" s="177">
        <f t="shared" si="114"/>
        <v>0.99919450695297218</v>
      </c>
      <c r="AG326" s="176">
        <f t="shared" si="115"/>
        <v>-2</v>
      </c>
      <c r="AH326" s="176">
        <f t="shared" si="116"/>
        <v>4</v>
      </c>
      <c r="AI326" s="225">
        <f t="shared" si="117"/>
        <v>-1.0008054930470278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8">
        <v>18.353999999999999</v>
      </c>
      <c r="C327" s="390"/>
      <c r="D327" s="393">
        <f t="shared" si="99"/>
        <v>18.57033724171124</v>
      </c>
      <c r="E327" s="385">
        <f t="shared" si="121"/>
        <v>19.783712956719278</v>
      </c>
      <c r="F327" s="385">
        <f t="shared" si="100"/>
        <v>19.786909701348762</v>
      </c>
      <c r="G327" s="110">
        <f t="shared" si="122"/>
        <v>0.57288475604038658</v>
      </c>
      <c r="H327" s="412" t="b">
        <f>Wh_hp&gt;='2018'!Maxi_hp</f>
        <v>1</v>
      </c>
      <c r="I327" s="390">
        <f>IF(H327,Wh_hp,'2018'!Maxi_hp)</f>
        <v>19.786909701348762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1.1649612976619594E-2</v>
      </c>
      <c r="M327" s="957"/>
      <c r="N327" s="957"/>
      <c r="O327" s="48">
        <f>IF(t&lt;Tnet,'2018'!Resal+('2018'!Salim-'2018'!Resal)*(1-EXP(('2018'!Tnet-t)/('2018'!Tau_j))),Resal+(Salim-Resal)*(1-EXP((Tnet-t)/(Tau_j))))*Salcycl</f>
        <v>6.1332052161418515E-2</v>
      </c>
      <c r="P327" s="169">
        <f>(INDEX(Models!$BJ327:$BT327,,T327)*(1-R327)+INDEX(Models!$BJ327:$BT327,,T327+1)*R327-ERP_i)*Q327*Ramure*Pc/MaxiM</f>
        <v>4.1420787470747294E-4</v>
      </c>
      <c r="Q327" s="305">
        <f t="shared" si="102"/>
        <v>0.7</v>
      </c>
      <c r="R327" s="177">
        <f t="shared" si="103"/>
        <v>0.99923504860144186</v>
      </c>
      <c r="S327" s="919">
        <f t="shared" si="104"/>
        <v>-2</v>
      </c>
      <c r="T327" s="176">
        <f t="shared" si="105"/>
        <v>4</v>
      </c>
      <c r="U327" s="251">
        <f t="shared" si="106"/>
        <v>-1.0007649513985581</v>
      </c>
      <c r="V327" s="383">
        <f t="shared" si="107"/>
        <v>32.029761538789884</v>
      </c>
      <c r="W327" s="58"/>
      <c r="X327" s="157">
        <f t="shared" si="108"/>
        <v>43778</v>
      </c>
      <c r="Y327" s="385">
        <f t="shared" si="109"/>
        <v>18.353999999999999</v>
      </c>
      <c r="Z327" s="385">
        <f t="shared" si="110"/>
        <v>18.57033724171124</v>
      </c>
      <c r="AA327" s="386">
        <f t="shared" si="111"/>
        <v>19.783712956719278</v>
      </c>
      <c r="AB327" s="197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6.1332052161418515E-2</v>
      </c>
      <c r="AD327" s="231">
        <f>(INDEX(Models!$BJ327:$BT327,,AH327)*(1-AF327)+INDEX(Models!$BJ327:$BT327,,AH327+1)*AF327-ERP_i)*AE327*Ramure*Pc/MaxiM</f>
        <v>4.1420787470747294E-4</v>
      </c>
      <c r="AE327" s="305">
        <f t="shared" si="113"/>
        <v>0.7</v>
      </c>
      <c r="AF327" s="177">
        <f t="shared" si="114"/>
        <v>0.99923504860144186</v>
      </c>
      <c r="AG327" s="176">
        <f t="shared" si="115"/>
        <v>-2</v>
      </c>
      <c r="AH327" s="176">
        <f t="shared" si="116"/>
        <v>4</v>
      </c>
      <c r="AI327" s="225">
        <f t="shared" si="117"/>
        <v>-1.0007649513985581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8">
        <v>19.512</v>
      </c>
      <c r="C328" s="390"/>
      <c r="D328" s="393">
        <f t="shared" si="99"/>
        <v>19.742418911781325</v>
      </c>
      <c r="E328" s="385">
        <f t="shared" si="121"/>
        <v>21.033901357907936</v>
      </c>
      <c r="F328" s="385">
        <f t="shared" si="100"/>
        <v>21.037840164795352</v>
      </c>
      <c r="G328" s="110">
        <f t="shared" si="122"/>
        <v>0.61489568443712306</v>
      </c>
      <c r="H328" s="412" t="b">
        <f>Wh_hp&gt;='2018'!Maxi_hp</f>
        <v>0</v>
      </c>
      <c r="I328" s="390">
        <f>IF(H328,Wh_hp,'2018'!Maxi_hp)</f>
        <v>21.661173331050904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1.16712603866298E-2</v>
      </c>
      <c r="M328" s="957"/>
      <c r="N328" s="957"/>
      <c r="O328" s="48">
        <f>IF(t&lt;Tnet,'2018'!Resal+('2018'!Salim-'2018'!Resal)*(1-EXP(('2018'!Tnet-t)/('2018'!Tau_j))),Resal+(Salim-Resal)*(1-EXP((Tnet-t)/(Tau_j))))*Salcycl</f>
        <v>6.1400042918859789E-2</v>
      </c>
      <c r="P328" s="169">
        <f>(INDEX(Models!$BJ328:$BT328,,T328)*(1-R328)+INDEX(Models!$BJ328:$BT328,,T328+1)*R328-ERP_i)*Q328*Ramure*Pc/MaxiM</f>
        <v>4.160071677420578E-4</v>
      </c>
      <c r="Q328" s="305">
        <f t="shared" si="102"/>
        <v>0.7</v>
      </c>
      <c r="R328" s="177">
        <f t="shared" si="103"/>
        <v>0.99927396411047686</v>
      </c>
      <c r="S328" s="919">
        <f t="shared" si="104"/>
        <v>-2</v>
      </c>
      <c r="T328" s="176">
        <f t="shared" si="105"/>
        <v>4</v>
      </c>
      <c r="U328" s="251">
        <f t="shared" si="106"/>
        <v>-1.0007260358895231</v>
      </c>
      <c r="V328" s="383">
        <f t="shared" si="107"/>
        <v>31.724950520238245</v>
      </c>
      <c r="W328" s="58"/>
      <c r="X328" s="157">
        <f t="shared" si="108"/>
        <v>43779</v>
      </c>
      <c r="Y328" s="385">
        <f t="shared" si="109"/>
        <v>19.512</v>
      </c>
      <c r="Z328" s="385">
        <f t="shared" si="110"/>
        <v>19.742418911781325</v>
      </c>
      <c r="AA328" s="386">
        <f t="shared" si="111"/>
        <v>21.033901357907936</v>
      </c>
      <c r="AB328" s="197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6.1400042918859789E-2</v>
      </c>
      <c r="AD328" s="231">
        <f>(INDEX(Models!$BJ328:$BT328,,AH328)*(1-AF328)+INDEX(Models!$BJ328:$BT328,,AH328+1)*AF328-ERP_i)*AE328*Ramure*Pc/MaxiM</f>
        <v>4.160071677420578E-4</v>
      </c>
      <c r="AE328" s="305">
        <f t="shared" si="113"/>
        <v>0.7</v>
      </c>
      <c r="AF328" s="177">
        <f t="shared" si="114"/>
        <v>0.99927396411047686</v>
      </c>
      <c r="AG328" s="176">
        <f t="shared" si="115"/>
        <v>-2</v>
      </c>
      <c r="AH328" s="176">
        <f t="shared" si="116"/>
        <v>4</v>
      </c>
      <c r="AI328" s="225">
        <f t="shared" si="117"/>
        <v>-1.0007260358895231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8">
        <v>23.876999999999999</v>
      </c>
      <c r="C329" s="390"/>
      <c r="D329" s="393">
        <f t="shared" si="99"/>
        <v>24.159494732870023</v>
      </c>
      <c r="E329" s="385">
        <f t="shared" si="121"/>
        <v>25.741786384524495</v>
      </c>
      <c r="F329" s="385">
        <f t="shared" si="100"/>
        <v>25.748860390137768</v>
      </c>
      <c r="G329" s="110">
        <f t="shared" si="122"/>
        <v>0.75963603387591472</v>
      </c>
      <c r="H329" s="412" t="b">
        <f>Wh_hp&gt;='2018'!Maxi_hp</f>
        <v>0</v>
      </c>
      <c r="I329" s="390">
        <f>IF(H329,Wh_hp,'2018'!Maxi_hp)</f>
        <v>29.153917771397072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1.1692907322506163E-2</v>
      </c>
      <c r="M329" s="957"/>
      <c r="N329" s="957"/>
      <c r="O329" s="48">
        <f>IF(t&lt;Tnet,'2018'!Resal+('2018'!Salim-'2018'!Resal)*(1-EXP(('2018'!Tnet-t)/('2018'!Tau_j))),Resal+(Salim-Resal)*(1-EXP((Tnet-t)/(Tau_j))))*Salcycl</f>
        <v>6.1467826203612623E-2</v>
      </c>
      <c r="P329" s="169">
        <f>(INDEX(Models!$BJ329:$BT329,,T329)*(1-R329)+INDEX(Models!$BJ329:$BT329,,T329+1)*R329-ERP_i)*Q329*Ramure*Pc/MaxiM</f>
        <v>4.1830040059025875E-4</v>
      </c>
      <c r="Q329" s="305">
        <f t="shared" si="102"/>
        <v>0.7</v>
      </c>
      <c r="R329" s="177">
        <f t="shared" si="103"/>
        <v>0.99931131846647414</v>
      </c>
      <c r="S329" s="919">
        <f t="shared" si="104"/>
        <v>-2</v>
      </c>
      <c r="T329" s="176">
        <f t="shared" si="105"/>
        <v>4</v>
      </c>
      <c r="U329" s="251">
        <f t="shared" si="106"/>
        <v>-1.0006886815335259</v>
      </c>
      <c r="V329" s="383">
        <f t="shared" si="107"/>
        <v>31.42764426978594</v>
      </c>
      <c r="W329" s="58"/>
      <c r="X329" s="157">
        <f t="shared" si="108"/>
        <v>43780</v>
      </c>
      <c r="Y329" s="385">
        <f t="shared" si="109"/>
        <v>23.876999999999999</v>
      </c>
      <c r="Z329" s="385">
        <f t="shared" si="110"/>
        <v>24.159494732870023</v>
      </c>
      <c r="AA329" s="386">
        <f t="shared" si="111"/>
        <v>25.741786384524495</v>
      </c>
      <c r="AB329" s="197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6.1467826203612623E-2</v>
      </c>
      <c r="AD329" s="231">
        <f>(INDEX(Models!$BJ329:$BT329,,AH329)*(1-AF329)+INDEX(Models!$BJ329:$BT329,,AH329+1)*AF329-ERP_i)*AE329*Ramure*Pc/MaxiM</f>
        <v>4.1830040059025875E-4</v>
      </c>
      <c r="AE329" s="305">
        <f t="shared" si="113"/>
        <v>0.7</v>
      </c>
      <c r="AF329" s="177">
        <f t="shared" si="114"/>
        <v>0.99931131846647414</v>
      </c>
      <c r="AG329" s="176">
        <f t="shared" si="115"/>
        <v>-2</v>
      </c>
      <c r="AH329" s="176">
        <f t="shared" si="116"/>
        <v>4</v>
      </c>
      <c r="AI329" s="225">
        <f t="shared" si="117"/>
        <v>-1.0006886815335259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8">
        <v>16.818000000000001</v>
      </c>
      <c r="C330" s="390"/>
      <c r="D330" s="393">
        <f t="shared" si="99"/>
        <v>17.01735066968563</v>
      </c>
      <c r="E330" s="385">
        <f t="shared" si="121"/>
        <v>18.133184655148632</v>
      </c>
      <c r="F330" s="385">
        <f t="shared" si="100"/>
        <v>18.135803875492226</v>
      </c>
      <c r="G330" s="110">
        <f t="shared" si="122"/>
        <v>0.53994086892856641</v>
      </c>
      <c r="H330" s="412" t="b">
        <f>Wh_hp&gt;='2018'!Maxi_hp</f>
        <v>0</v>
      </c>
      <c r="I330" s="390">
        <f>IF(H330,Wh_hp,'2018'!Maxi_hp)</f>
        <v>27.819248428423119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1.1714553784259119E-2</v>
      </c>
      <c r="M330" s="957"/>
      <c r="N330" s="957"/>
      <c r="O330" s="48">
        <f>IF(t&lt;Tnet,'2018'!Resal+('2018'!Salim-'2018'!Resal)*(1-EXP(('2018'!Tnet-t)/('2018'!Tau_j))),Resal+(Salim-Resal)*(1-EXP((Tnet-t)/(Tau_j))))*Salcycl</f>
        <v>6.1535466973043761E-2</v>
      </c>
      <c r="P330" s="169">
        <f>(INDEX(Models!$BJ330:$BT330,,T330)*(1-R330)+INDEX(Models!$BJ330:$BT330,,T330+1)*R330-ERP_i)*Q330*Ramure*Pc/MaxiM</f>
        <v>4.2107420476374054E-4</v>
      </c>
      <c r="Q330" s="305">
        <f t="shared" si="102"/>
        <v>0.7</v>
      </c>
      <c r="R330" s="177">
        <f t="shared" si="103"/>
        <v>0.99934717407753726</v>
      </c>
      <c r="S330" s="919">
        <f t="shared" si="104"/>
        <v>-2</v>
      </c>
      <c r="T330" s="176">
        <f t="shared" si="105"/>
        <v>4</v>
      </c>
      <c r="U330" s="251">
        <f t="shared" si="106"/>
        <v>-1.0006528259224627</v>
      </c>
      <c r="V330" s="383">
        <f t="shared" si="107"/>
        <v>31.139236848258637</v>
      </c>
      <c r="W330" s="58"/>
      <c r="X330" s="157">
        <f t="shared" si="108"/>
        <v>43781</v>
      </c>
      <c r="Y330" s="385">
        <f t="shared" si="109"/>
        <v>16.818000000000001</v>
      </c>
      <c r="Z330" s="385">
        <f t="shared" si="110"/>
        <v>17.01735066968563</v>
      </c>
      <c r="AA330" s="386">
        <f t="shared" si="111"/>
        <v>18.133184655148632</v>
      </c>
      <c r="AB330" s="197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6.1535466973043761E-2</v>
      </c>
      <c r="AD330" s="231">
        <f>(INDEX(Models!$BJ330:$BT330,,AH330)*(1-AF330)+INDEX(Models!$BJ330:$BT330,,AH330+1)*AF330-ERP_i)*AE330*Ramure*Pc/MaxiM</f>
        <v>4.2107420476374054E-4</v>
      </c>
      <c r="AE330" s="305">
        <f t="shared" si="113"/>
        <v>0.7</v>
      </c>
      <c r="AF330" s="177">
        <f t="shared" si="114"/>
        <v>0.99934717407753726</v>
      </c>
      <c r="AG330" s="176">
        <f t="shared" si="115"/>
        <v>-2</v>
      </c>
      <c r="AH330" s="176">
        <f t="shared" si="116"/>
        <v>4</v>
      </c>
      <c r="AI330" s="225">
        <f t="shared" si="117"/>
        <v>-1.0006528259224627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8">
        <v>18.085999999999999</v>
      </c>
      <c r="C331" s="390"/>
      <c r="D331" s="393">
        <f t="shared" si="99"/>
        <v>18.300781629181976</v>
      </c>
      <c r="E331" s="385">
        <f t="shared" si="121"/>
        <v>19.502174648669801</v>
      </c>
      <c r="F331" s="385">
        <f t="shared" si="100"/>
        <v>19.505558166502119</v>
      </c>
      <c r="G331" s="110">
        <f t="shared" si="122"/>
        <v>0.58598053400864392</v>
      </c>
      <c r="H331" s="412" t="b">
        <f>Wh_hp&gt;='2018'!Maxi_hp</f>
        <v>1</v>
      </c>
      <c r="I331" s="390">
        <f>IF(H331,Wh_hp,'2018'!Maxi_hp)</f>
        <v>19.505558166502119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1.1736199771898992E-2</v>
      </c>
      <c r="M331" s="957"/>
      <c r="N331" s="957"/>
      <c r="O331" s="48">
        <f>IF(t&lt;Tnet,'2018'!Resal+('2018'!Salim-'2018'!Resal)*(1-EXP(('2018'!Tnet-t)/('2018'!Tau_j))),Resal+(Salim-Resal)*(1-EXP((Tnet-t)/(Tau_j))))*Salcycl</f>
        <v>6.1603028438152588E-2</v>
      </c>
      <c r="P331" s="169">
        <f>(INDEX(Models!$BJ331:$BT331,,T331)*(1-R331)+INDEX(Models!$BJ331:$BT331,,T331+1)*R331-ERP_i)*Q331*Ramure*Pc/MaxiM</f>
        <v>4.2437357971464328E-4</v>
      </c>
      <c r="Q331" s="305">
        <f t="shared" si="102"/>
        <v>0.7</v>
      </c>
      <c r="R331" s="177">
        <f t="shared" si="103"/>
        <v>0.99938159087428802</v>
      </c>
      <c r="S331" s="919">
        <f t="shared" si="104"/>
        <v>-2</v>
      </c>
      <c r="T331" s="176">
        <f t="shared" si="105"/>
        <v>4</v>
      </c>
      <c r="U331" s="251">
        <f t="shared" si="106"/>
        <v>-1.000618409125712</v>
      </c>
      <c r="V331" s="383">
        <f t="shared" si="107"/>
        <v>30.856760963740292</v>
      </c>
      <c r="W331" s="58"/>
      <c r="X331" s="157">
        <f t="shared" si="108"/>
        <v>43782</v>
      </c>
      <c r="Y331" s="385">
        <f t="shared" si="109"/>
        <v>18.085999999999999</v>
      </c>
      <c r="Z331" s="385">
        <f t="shared" si="110"/>
        <v>18.300781629181976</v>
      </c>
      <c r="AA331" s="386">
        <f t="shared" si="111"/>
        <v>19.502174648669801</v>
      </c>
      <c r="AB331" s="197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6.1603028438152588E-2</v>
      </c>
      <c r="AD331" s="231">
        <f>(INDEX(Models!$BJ331:$BT331,,AH331)*(1-AF331)+INDEX(Models!$BJ331:$BT331,,AH331+1)*AF331-ERP_i)*AE331*Ramure*Pc/MaxiM</f>
        <v>4.2437357971464328E-4</v>
      </c>
      <c r="AE331" s="305">
        <f t="shared" si="113"/>
        <v>0.7</v>
      </c>
      <c r="AF331" s="177">
        <f t="shared" si="114"/>
        <v>0.99938159087428802</v>
      </c>
      <c r="AG331" s="176">
        <f t="shared" si="115"/>
        <v>-2</v>
      </c>
      <c r="AH331" s="176">
        <f t="shared" si="116"/>
        <v>4</v>
      </c>
      <c r="AI331" s="225">
        <f t="shared" si="117"/>
        <v>-1.000618409125712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8">
        <v>5.524</v>
      </c>
      <c r="C332" s="390"/>
      <c r="D332" s="393">
        <f t="shared" si="99"/>
        <v>5.5897230993910689</v>
      </c>
      <c r="E332" s="385">
        <f t="shared" si="121"/>
        <v>5.9571009192722437</v>
      </c>
      <c r="F332" s="385">
        <f t="shared" si="100"/>
        <v>5.9571009192722437</v>
      </c>
      <c r="G332" s="110">
        <f t="shared" si="122"/>
        <v>0.18058374886007303</v>
      </c>
      <c r="H332" s="412" t="b">
        <f>Wh_hp&gt;='2018'!Maxi_hp</f>
        <v>0</v>
      </c>
      <c r="I332" s="390">
        <f>IF(H332,Wh_hp,'2018'!Maxi_hp)</f>
        <v>19.201146475349681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1.1757845285436108E-2</v>
      </c>
      <c r="M332" s="957"/>
      <c r="N332" s="957"/>
      <c r="O332" s="48">
        <f>IF(t&lt;Tnet,'2018'!Resal+('2018'!Salim-'2018'!Resal)*(1-EXP(('2018'!Tnet-t)/('2018'!Tau_j))),Resal+(Salim-Resal)*(1-EXP((Tnet-t)/(Tau_j))))*Salcycl</f>
        <v>6.1670571786461466E-2</v>
      </c>
      <c r="P332" s="169">
        <f>(INDEX(Models!$BJ332:$BT332,,T332)*(1-R332)+INDEX(Models!$BJ332:$BT332,,T332+1)*R332-ERP_i)*Q332*Ramure*Pc/MaxiM</f>
        <v>4.2816267871964071E-4</v>
      </c>
      <c r="Q332" s="305">
        <f t="shared" si="102"/>
        <v>0.7</v>
      </c>
      <c r="R332" s="177">
        <f t="shared" si="103"/>
        <v>0.99941462640684975</v>
      </c>
      <c r="S332" s="919">
        <f t="shared" si="104"/>
        <v>-2</v>
      </c>
      <c r="T332" s="176">
        <f t="shared" si="105"/>
        <v>4</v>
      </c>
      <c r="U332" s="251">
        <f t="shared" si="106"/>
        <v>-1.0005853735931503</v>
      </c>
      <c r="V332" s="383">
        <f t="shared" si="107"/>
        <v>30.576587673131332</v>
      </c>
      <c r="W332" s="58"/>
      <c r="X332" s="157">
        <f t="shared" si="108"/>
        <v>43783</v>
      </c>
      <c r="Y332" s="385">
        <f t="shared" si="109"/>
        <v>5.524</v>
      </c>
      <c r="Z332" s="385">
        <f t="shared" si="110"/>
        <v>5.5897230993910689</v>
      </c>
      <c r="AA332" s="386">
        <f t="shared" si="111"/>
        <v>5.9571009192722437</v>
      </c>
      <c r="AB332" s="197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6.1670571786461466E-2</v>
      </c>
      <c r="AD332" s="231">
        <f>(INDEX(Models!$BJ332:$BT332,,AH332)*(1-AF332)+INDEX(Models!$BJ332:$BT332,,AH332+1)*AF332-ERP_i)*AE332*Ramure*Pc/MaxiM</f>
        <v>4.2816267871964071E-4</v>
      </c>
      <c r="AE332" s="305">
        <f t="shared" si="113"/>
        <v>0.7</v>
      </c>
      <c r="AF332" s="177">
        <f t="shared" si="114"/>
        <v>0.99941462640684975</v>
      </c>
      <c r="AG332" s="176">
        <f t="shared" si="115"/>
        <v>-2</v>
      </c>
      <c r="AH332" s="176">
        <f t="shared" si="116"/>
        <v>4</v>
      </c>
      <c r="AI332" s="225">
        <f t="shared" si="117"/>
        <v>-1.0005853735931503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8">
        <v>12.43</v>
      </c>
      <c r="C333" s="390"/>
      <c r="D333" s="393">
        <f t="shared" si="99"/>
        <v>12.578164365447552</v>
      </c>
      <c r="E333" s="385">
        <f t="shared" si="121"/>
        <v>13.405814639868938</v>
      </c>
      <c r="F333" s="385">
        <f t="shared" si="100"/>
        <v>13.406727440937559</v>
      </c>
      <c r="G333" s="110">
        <f t="shared" si="122"/>
        <v>0.41009353376902546</v>
      </c>
      <c r="H333" s="412" t="b">
        <f>Wh_hp&gt;='2018'!Maxi_hp</f>
        <v>0</v>
      </c>
      <c r="I333" s="390">
        <f>IF(H333,Wh_hp,'2018'!Maxi_hp)</f>
        <v>21.851026415041137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1.1779490324881015E-2</v>
      </c>
      <c r="M333" s="957"/>
      <c r="N333" s="957"/>
      <c r="O333" s="48">
        <f>IF(t&lt;Tnet,'2018'!Resal+('2018'!Salim-'2018'!Resal)*(1-EXP(('2018'!Tnet-t)/('2018'!Tau_j))),Resal+(Salim-Resal)*(1-EXP((Tnet-t)/(Tau_j))))*Salcycl</f>
        <v>6.1738155916310433E-2</v>
      </c>
      <c r="P333" s="169">
        <f>(INDEX(Models!$BJ333:$BT333,,T333)*(1-R333)+INDEX(Models!$BJ333:$BT333,,T333+1)*R333-ERP_i)*Q333*Ramure*Pc/MaxiM</f>
        <v>4.3231520237533796E-4</v>
      </c>
      <c r="Q333" s="305">
        <f t="shared" si="102"/>
        <v>0.7</v>
      </c>
      <c r="R333" s="177">
        <f t="shared" si="103"/>
        <v>0.99944633593814469</v>
      </c>
      <c r="S333" s="919">
        <f t="shared" si="104"/>
        <v>-2</v>
      </c>
      <c r="T333" s="176">
        <f t="shared" si="105"/>
        <v>4</v>
      </c>
      <c r="U333" s="251">
        <f t="shared" si="106"/>
        <v>-1.0005536640618553</v>
      </c>
      <c r="V333" s="383">
        <f t="shared" si="107"/>
        <v>30.299117861856089</v>
      </c>
      <c r="W333" s="58"/>
      <c r="X333" s="157">
        <f t="shared" si="108"/>
        <v>43784</v>
      </c>
      <c r="Y333" s="385">
        <f t="shared" si="109"/>
        <v>12.43</v>
      </c>
      <c r="Z333" s="385">
        <f t="shared" si="110"/>
        <v>12.578164365447552</v>
      </c>
      <c r="AA333" s="386">
        <f t="shared" si="111"/>
        <v>13.405814639868938</v>
      </c>
      <c r="AB333" s="197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6.1738155916310433E-2</v>
      </c>
      <c r="AD333" s="231">
        <f>(INDEX(Models!$BJ333:$BT333,,AH333)*(1-AF333)+INDEX(Models!$BJ333:$BT333,,AH333+1)*AF333-ERP_i)*AE333*Ramure*Pc/MaxiM</f>
        <v>4.3231520237533796E-4</v>
      </c>
      <c r="AE333" s="305">
        <f t="shared" si="113"/>
        <v>0.7</v>
      </c>
      <c r="AF333" s="177">
        <f t="shared" si="114"/>
        <v>0.99944633593814469</v>
      </c>
      <c r="AG333" s="176">
        <f t="shared" si="115"/>
        <v>-2</v>
      </c>
      <c r="AH333" s="176">
        <f t="shared" si="116"/>
        <v>4</v>
      </c>
      <c r="AI333" s="225">
        <f t="shared" si="117"/>
        <v>-1.0005536640618553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8">
        <v>13.731999999999999</v>
      </c>
      <c r="C334" s="390"/>
      <c r="D334" s="393">
        <f t="shared" si="99"/>
        <v>13.895988433942222</v>
      </c>
      <c r="E334" s="385">
        <f t="shared" si="121"/>
        <v>14.81142068955141</v>
      </c>
      <c r="F334" s="385">
        <f t="shared" si="100"/>
        <v>14.812875276772695</v>
      </c>
      <c r="G334" s="110">
        <f t="shared" si="122"/>
        <v>0.45720114656986416</v>
      </c>
      <c r="H334" s="412" t="b">
        <f>Wh_hp&gt;='2018'!Maxi_hp</f>
        <v>0</v>
      </c>
      <c r="I334" s="390">
        <f>IF(H334,Wh_hp,'2018'!Maxi_hp)</f>
        <v>26.374163427809396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1.1801134890244036E-2</v>
      </c>
      <c r="M334" s="957"/>
      <c r="N334" s="957"/>
      <c r="O334" s="48">
        <f>IF(t&lt;Tnet,'2018'!Resal+('2018'!Salim-'2018'!Resal)*(1-EXP(('2018'!Tnet-t)/('2018'!Tau_j))),Resal+(Salim-Resal)*(1-EXP((Tnet-t)/(Tau_j))))*Salcycl</f>
        <v>6.1805837184475666E-2</v>
      </c>
      <c r="P334" s="169">
        <f>(INDEX(Models!$BJ334:$BT334,,T334)*(1-R334)+INDEX(Models!$BJ334:$BT334,,T334+1)*R334-ERP_i)*Q334*Ramure*Pc/MaxiM</f>
        <v>4.3683258649519313E-4</v>
      </c>
      <c r="Q334" s="305">
        <f t="shared" si="102"/>
        <v>0.7</v>
      </c>
      <c r="R334" s="177">
        <f t="shared" si="103"/>
        <v>0.99947677253363443</v>
      </c>
      <c r="S334" s="919">
        <f t="shared" si="104"/>
        <v>-2</v>
      </c>
      <c r="T334" s="176">
        <f t="shared" si="105"/>
        <v>4</v>
      </c>
      <c r="U334" s="251">
        <f t="shared" si="106"/>
        <v>-1.0005232274663656</v>
      </c>
      <c r="V334" s="383">
        <f t="shared" si="107"/>
        <v>30.02474842684245</v>
      </c>
      <c r="W334" s="58"/>
      <c r="X334" s="157">
        <f t="shared" si="108"/>
        <v>43785</v>
      </c>
      <c r="Y334" s="385">
        <f t="shared" si="109"/>
        <v>13.731999999999999</v>
      </c>
      <c r="Z334" s="385">
        <f t="shared" si="110"/>
        <v>13.895988433942222</v>
      </c>
      <c r="AA334" s="386">
        <f t="shared" si="111"/>
        <v>14.81142068955141</v>
      </c>
      <c r="AB334" s="197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6.1805837184475666E-2</v>
      </c>
      <c r="AD334" s="231">
        <f>(INDEX(Models!$BJ334:$BT334,,AH334)*(1-AF334)+INDEX(Models!$BJ334:$BT334,,AH334+1)*AF334-ERP_i)*AE334*Ramure*Pc/MaxiM</f>
        <v>4.3683258649519313E-4</v>
      </c>
      <c r="AE334" s="305">
        <f t="shared" si="113"/>
        <v>0.7</v>
      </c>
      <c r="AF334" s="177">
        <f t="shared" si="114"/>
        <v>0.99947677253363443</v>
      </c>
      <c r="AG334" s="176">
        <f t="shared" si="115"/>
        <v>-2</v>
      </c>
      <c r="AH334" s="176">
        <f t="shared" si="116"/>
        <v>4</v>
      </c>
      <c r="AI334" s="225">
        <f t="shared" si="117"/>
        <v>-1.0005232274663656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8">
        <v>8.5289999999999999</v>
      </c>
      <c r="C335" s="390"/>
      <c r="D335" s="393">
        <f t="shared" ref="D335:D379" si="123">Wh/(1-Ppv)</f>
        <v>8.631042912737442</v>
      </c>
      <c r="E335" s="385">
        <f t="shared" si="121"/>
        <v>9.2002991804860326</v>
      </c>
      <c r="F335" s="385">
        <f t="shared" ref="F335:F379" si="124">Wh_sa/(1-Pvg*MEDIAN((-Sdif+Wh/Env_an)/Csdif,0,1))</f>
        <v>9.2002991804860326</v>
      </c>
      <c r="G335" s="110">
        <f t="shared" si="122"/>
        <v>0.28652510784812668</v>
      </c>
      <c r="H335" s="412" t="b">
        <f>Wh_hp&gt;='2018'!Maxi_hp</f>
        <v>0</v>
      </c>
      <c r="I335" s="390">
        <f>IF(H335,Wh_hp,'2018'!Maxi_hp)</f>
        <v>31.482813740825435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1.1822778981535387E-2</v>
      </c>
      <c r="M335" s="957"/>
      <c r="N335" s="957"/>
      <c r="O335" s="48">
        <f>IF(t&lt;Tnet,'2018'!Resal+('2018'!Salim-'2018'!Resal)*(1-EXP(('2018'!Tnet-t)/('2018'!Tau_j))),Resal+(Salim-Resal)*(1-EXP((Tnet-t)/(Tau_j))))*Salcycl</f>
        <v>6.1873669168932069E-2</v>
      </c>
      <c r="P335" s="169">
        <f>(INDEX(Models!$BJ335:$BT335,,T335)*(1-R335)+INDEX(Models!$BJ335:$BT335,,T335+1)*R335-ERP_i)*Q335*Ramure*Pc/MaxiM</f>
        <v>4.4171598984530991E-4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0.99950598714762862</v>
      </c>
      <c r="S335" s="919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-1.0004940128523714</v>
      </c>
      <c r="V335" s="383">
        <f t="shared" ref="V335:V379" si="131">MaxiM*(1-Ppv)*(1-Pvg)*(1-Psa)</f>
        <v>29.753876260091765</v>
      </c>
      <c r="W335" s="58"/>
      <c r="X335" s="157">
        <f t="shared" ref="X335:X379" si="132">t</f>
        <v>43786</v>
      </c>
      <c r="Y335" s="385">
        <f t="shared" ref="Y335:Y379" si="133">Wh_pvt_s*(1-Ppv)</f>
        <v>8.5289999999999999</v>
      </c>
      <c r="Z335" s="385">
        <f t="shared" ref="Z335:Z379" si="134">Wh_sa_s*(1-Psa_s)</f>
        <v>8.631042912737442</v>
      </c>
      <c r="AA335" s="386">
        <f t="shared" ref="AA335:AA379" si="135">Wh_hp*(1-Pvg_s*MEDIAN((-Sdif+Wh/Env_an)/Csdif,0,1))</f>
        <v>9.2002991804860326</v>
      </c>
      <c r="AB335" s="197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6.1873669168932069E-2</v>
      </c>
      <c r="AD335" s="231">
        <f>(INDEX(Models!$BJ335:$BT335,,AH335)*(1-AF335)+INDEX(Models!$BJ335:$BT335,,AH335+1)*AF335-ERP_i)*AE335*Ramure*Pc/MaxiM</f>
        <v>4.4171598984530991E-4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0.99950598714762862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-1.0004940128523714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8">
        <v>11.336</v>
      </c>
      <c r="C336" s="390"/>
      <c r="D336" s="393">
        <f t="shared" si="123"/>
        <v>11.471877768289001</v>
      </c>
      <c r="E336" s="385">
        <f t="shared" si="121"/>
        <v>12.229386807016416</v>
      </c>
      <c r="F336" s="385">
        <f t="shared" si="124"/>
        <v>12.230046228219797</v>
      </c>
      <c r="G336" s="110">
        <f t="shared" si="122"/>
        <v>0.38429081511857988</v>
      </c>
      <c r="H336" s="412" t="b">
        <f>Wh_hp&gt;='2018'!Maxi_hp</f>
        <v>0</v>
      </c>
      <c r="I336" s="390">
        <f>IF(H336,Wh_hp,'2018'!Maxi_hp)</f>
        <v>23.138870814554306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1.1844422598765725E-2</v>
      </c>
      <c r="M336" s="957"/>
      <c r="N336" s="957"/>
      <c r="O336" s="48">
        <f>IF(t&lt;Tnet,'2018'!Resal+('2018'!Salim-'2018'!Resal)*(1-EXP(('2018'!Tnet-t)/('2018'!Tau_j))),Resal+(Salim-Resal)*(1-EXP((Tnet-t)/(Tau_j))))*Salcycl</f>
        <v>6.1941702448466682E-2</v>
      </c>
      <c r="P336" s="169">
        <f>(INDEX(Models!$BJ336:$BT336,,T336)*(1-R336)+INDEX(Models!$BJ336:$BT336,,T336+1)*R336-ERP_i)*Q336*Ramure*Pc/MaxiM</f>
        <v>4.4696622939941339E-4</v>
      </c>
      <c r="Q336" s="305">
        <f t="shared" si="126"/>
        <v>0.7</v>
      </c>
      <c r="R336" s="177">
        <f t="shared" si="127"/>
        <v>0.99953402870629193</v>
      </c>
      <c r="S336" s="919">
        <f t="shared" si="128"/>
        <v>-2</v>
      </c>
      <c r="T336" s="176">
        <f t="shared" si="129"/>
        <v>4</v>
      </c>
      <c r="U336" s="251">
        <f t="shared" si="130"/>
        <v>-1.0004659712937081</v>
      </c>
      <c r="V336" s="383">
        <f t="shared" si="131"/>
        <v>29.486898256938009</v>
      </c>
      <c r="W336" s="58"/>
      <c r="X336" s="157">
        <f t="shared" si="132"/>
        <v>43787</v>
      </c>
      <c r="Y336" s="385">
        <f t="shared" si="133"/>
        <v>11.336</v>
      </c>
      <c r="Z336" s="385">
        <f t="shared" si="134"/>
        <v>11.471877768289001</v>
      </c>
      <c r="AA336" s="386">
        <f t="shared" si="135"/>
        <v>12.229386807016416</v>
      </c>
      <c r="AB336" s="197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6.1941702448466682E-2</v>
      </c>
      <c r="AD336" s="231">
        <f>(INDEX(Models!$BJ336:$BT336,,AH336)*(1-AF336)+INDEX(Models!$BJ336:$BT336,,AH336+1)*AF336-ERP_i)*AE336*Ramure*Pc/MaxiM</f>
        <v>4.4696622939941339E-4</v>
      </c>
      <c r="AE336" s="305">
        <f t="shared" si="137"/>
        <v>0.7</v>
      </c>
      <c r="AF336" s="177">
        <f t="shared" si="138"/>
        <v>0.99953402870629193</v>
      </c>
      <c r="AG336" s="176">
        <f t="shared" si="139"/>
        <v>-2</v>
      </c>
      <c r="AH336" s="176">
        <f t="shared" si="140"/>
        <v>4</v>
      </c>
      <c r="AI336" s="225">
        <f t="shared" si="141"/>
        <v>-1.0004659712937081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8">
        <v>18.986000000000001</v>
      </c>
      <c r="C337" s="390"/>
      <c r="D337" s="393">
        <f t="shared" si="123"/>
        <v>19.21399452216539</v>
      </c>
      <c r="E337" s="385">
        <f t="shared" si="121"/>
        <v>20.484220730099768</v>
      </c>
      <c r="F337" s="385">
        <f t="shared" si="124"/>
        <v>20.488852776768624</v>
      </c>
      <c r="G337" s="110">
        <f t="shared" si="122"/>
        <v>0.64951961790088475</v>
      </c>
      <c r="H337" s="412" t="b">
        <f>Wh_hp&gt;='2018'!Maxi_hp</f>
        <v>0</v>
      </c>
      <c r="I337" s="390">
        <f>IF(H337,Wh_hp,'2018'!Maxi_hp)</f>
        <v>23.094560136920578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1.1866065741945264E-2</v>
      </c>
      <c r="M337" s="957"/>
      <c r="N337" s="957"/>
      <c r="O337" s="48">
        <f>IF(t&lt;Tnet,'2018'!Resal+('2018'!Salim-'2018'!Resal)*(1-EXP(('2018'!Tnet-t)/('2018'!Tau_j))),Resal+(Salim-Resal)*(1-EXP((Tnet-t)/(Tau_j))))*Salcycl</f>
        <v>6.2009984400719365E-2</v>
      </c>
      <c r="P337" s="169">
        <f>(INDEX(Models!$BJ337:$BT337,,T337)*(1-R337)+INDEX(Models!$BJ337:$BT337,,T337+1)*R337-ERP_i)*Q337*Ramure*Pc/MaxiM</f>
        <v>4.5258371054057245E-4</v>
      </c>
      <c r="Q337" s="305">
        <f t="shared" si="126"/>
        <v>0.7</v>
      </c>
      <c r="R337" s="177">
        <f t="shared" si="127"/>
        <v>0.99956094418746244</v>
      </c>
      <c r="S337" s="919">
        <f t="shared" si="128"/>
        <v>-2</v>
      </c>
      <c r="T337" s="176">
        <f t="shared" si="129"/>
        <v>4</v>
      </c>
      <c r="U337" s="251">
        <f t="shared" si="130"/>
        <v>-1.0004390558125376</v>
      </c>
      <c r="V337" s="383">
        <f t="shared" si="131"/>
        <v>29.224211305029396</v>
      </c>
      <c r="W337" s="58"/>
      <c r="X337" s="157">
        <f t="shared" si="132"/>
        <v>43788</v>
      </c>
      <c r="Y337" s="385">
        <f t="shared" si="133"/>
        <v>18.986000000000001</v>
      </c>
      <c r="Z337" s="385">
        <f t="shared" si="134"/>
        <v>19.21399452216539</v>
      </c>
      <c r="AA337" s="386">
        <f t="shared" si="135"/>
        <v>20.484220730099768</v>
      </c>
      <c r="AB337" s="197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6.2009984400719365E-2</v>
      </c>
      <c r="AD337" s="231">
        <f>(INDEX(Models!$BJ337:$BT337,,AH337)*(1-AF337)+INDEX(Models!$BJ337:$BT337,,AH337+1)*AF337-ERP_i)*AE337*Ramure*Pc/MaxiM</f>
        <v>4.5258371054057245E-4</v>
      </c>
      <c r="AE337" s="305">
        <f t="shared" si="137"/>
        <v>0.7</v>
      </c>
      <c r="AF337" s="177">
        <f t="shared" si="138"/>
        <v>0.99956094418746244</v>
      </c>
      <c r="AG337" s="176">
        <f t="shared" si="139"/>
        <v>-2</v>
      </c>
      <c r="AH337" s="176">
        <f t="shared" si="140"/>
        <v>4</v>
      </c>
      <c r="AI337" s="225">
        <f t="shared" si="141"/>
        <v>-1.0004390558125376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8">
        <v>29.388000000000002</v>
      </c>
      <c r="C338" s="390"/>
      <c r="D338" s="393">
        <f t="shared" si="123"/>
        <v>29.74155898085548</v>
      </c>
      <c r="E338" s="385">
        <f t="shared" si="121"/>
        <v>31.710074726282279</v>
      </c>
      <c r="F338" s="385">
        <f t="shared" si="124"/>
        <v>31.724603682982458</v>
      </c>
      <c r="G338" s="110">
        <f t="shared" si="122"/>
        <v>1.0145607629823961</v>
      </c>
      <c r="H338" s="412" t="b">
        <f>Wh_hp&gt;='2018'!Maxi_hp</f>
        <v>1</v>
      </c>
      <c r="I338" s="390">
        <f>IF(H338,Wh_hp,'2018'!Maxi_hp)</f>
        <v>31.724603682982458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1.1887708411084441E-2</v>
      </c>
      <c r="M338" s="957"/>
      <c r="N338" s="957"/>
      <c r="O338" s="48">
        <f>IF(t&lt;Tnet,'2018'!Resal+('2018'!Salim-'2018'!Resal)*(1-EXP(('2018'!Tnet-t)/('2018'!Tau_j))),Resal+(Salim-Resal)*(1-EXP((Tnet-t)/(Tau_j))))*Salcycl</f>
        <v>6.2078559020084322E-2</v>
      </c>
      <c r="P338" s="169">
        <f>(INDEX(Models!$BJ338:$BT338,,T338)*(1-R338)+INDEX(Models!$BJ338:$BT338,,T338+1)*R338-ERP_i)*Q338*Ramure*Pc/MaxiM</f>
        <v>4.5797125932184156E-4</v>
      </c>
      <c r="Q338" s="305">
        <f t="shared" si="126"/>
        <v>0.7</v>
      </c>
      <c r="R338" s="177">
        <f t="shared" si="127"/>
        <v>0.99958677869740153</v>
      </c>
      <c r="S338" s="919">
        <f t="shared" si="128"/>
        <v>-2</v>
      </c>
      <c r="T338" s="176">
        <f t="shared" si="129"/>
        <v>4</v>
      </c>
      <c r="U338" s="251">
        <f t="shared" si="130"/>
        <v>-1.0004132213025985</v>
      </c>
      <c r="V338" s="383">
        <f t="shared" si="131"/>
        <v>28.966229596353831</v>
      </c>
      <c r="W338" s="58"/>
      <c r="X338" s="157">
        <f t="shared" si="132"/>
        <v>43789</v>
      </c>
      <c r="Y338" s="385">
        <f t="shared" si="133"/>
        <v>29.388000000000002</v>
      </c>
      <c r="Z338" s="385">
        <f t="shared" si="134"/>
        <v>29.74155898085548</v>
      </c>
      <c r="AA338" s="386">
        <f t="shared" si="135"/>
        <v>31.710074726282279</v>
      </c>
      <c r="AB338" s="197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6.2078559020084322E-2</v>
      </c>
      <c r="AD338" s="231">
        <f>(INDEX(Models!$BJ338:$BT338,,AH338)*(1-AF338)+INDEX(Models!$BJ338:$BT338,,AH338+1)*AF338-ERP_i)*AE338*Ramure*Pc/MaxiM</f>
        <v>4.5797125932184156E-4</v>
      </c>
      <c r="AE338" s="305">
        <f t="shared" si="137"/>
        <v>0.7</v>
      </c>
      <c r="AF338" s="177">
        <f t="shared" si="138"/>
        <v>0.99958677869740153</v>
      </c>
      <c r="AG338" s="176">
        <f t="shared" si="139"/>
        <v>-2</v>
      </c>
      <c r="AH338" s="176">
        <f t="shared" si="140"/>
        <v>4</v>
      </c>
      <c r="AI338" s="225">
        <f t="shared" si="141"/>
        <v>-1.0004132213025985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8">
        <v>28.141999999999999</v>
      </c>
      <c r="C339" s="390"/>
      <c r="D339" s="393">
        <f t="shared" si="123"/>
        <v>28.48119250725135</v>
      </c>
      <c r="E339" s="385">
        <f t="shared" si="121"/>
        <v>30.368519034393007</v>
      </c>
      <c r="F339" s="385">
        <f t="shared" si="124"/>
        <v>30.382177410120054</v>
      </c>
      <c r="G339" s="110">
        <f t="shared" si="122"/>
        <v>0.98008829364893713</v>
      </c>
      <c r="H339" s="412" t="b">
        <f>Wh_hp&gt;='2018'!Maxi_hp</f>
        <v>0</v>
      </c>
      <c r="I339" s="390">
        <f>IF(H339,Wh_hp,'2018'!Maxi_hp)</f>
        <v>30.885830486283265</v>
      </c>
      <c r="J339" s="85">
        <f>IF(H339,An,'2018'!An_max)</f>
        <v>2018</v>
      </c>
      <c r="K339" s="197">
        <f t="shared" si="125"/>
        <v>43790</v>
      </c>
      <c r="L339" s="147">
        <f>IF(t&lt;Tvie,1-EXP((T0-t)*PertePVj)+'2018'!Pspv,1-EXP((T0-t)*PertePVj)+Pspv)</f>
        <v>1.1909350606193581E-2</v>
      </c>
      <c r="M339" s="957"/>
      <c r="N339" s="957"/>
      <c r="O339" s="48">
        <f>IF(t&lt;Tnet,'2018'!Resal+('2018'!Salim-'2018'!Resal)*(1-EXP(('2018'!Tnet-t)/('2018'!Tau_j))),Resal+(Salim-Resal)*(1-EXP((Tnet-t)/(Tau_j))))*Salcycl</f>
        <v>6.2147466756749585E-2</v>
      </c>
      <c r="P339" s="169">
        <f>(INDEX(Models!$BJ339:$BT339,,T339)*(1-R339)+INDEX(Models!$BJ339:$BT339,,T339+1)*R339-ERP_i)*Q339*Ramure*Pc/MaxiM</f>
        <v>4.6270550315048053E-4</v>
      </c>
      <c r="Q339" s="305">
        <f t="shared" si="126"/>
        <v>0.7</v>
      </c>
      <c r="R339" s="177">
        <f t="shared" si="127"/>
        <v>0.99961157554458668</v>
      </c>
      <c r="S339" s="919">
        <f t="shared" si="128"/>
        <v>-2</v>
      </c>
      <c r="T339" s="176">
        <f t="shared" si="129"/>
        <v>4</v>
      </c>
      <c r="U339" s="251">
        <f t="shared" si="130"/>
        <v>-1.0003884244554133</v>
      </c>
      <c r="V339" s="383">
        <f t="shared" si="131"/>
        <v>28.713361700754721</v>
      </c>
      <c r="W339" s="58"/>
      <c r="X339" s="157">
        <f t="shared" si="132"/>
        <v>43790</v>
      </c>
      <c r="Y339" s="385">
        <f t="shared" si="133"/>
        <v>28.141999999999999</v>
      </c>
      <c r="Z339" s="385">
        <f t="shared" si="134"/>
        <v>28.48119250725135</v>
      </c>
      <c r="AA339" s="386">
        <f t="shared" si="135"/>
        <v>30.368519034393007</v>
      </c>
      <c r="AB339" s="197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6.2147466756749585E-2</v>
      </c>
      <c r="AD339" s="231">
        <f>(INDEX(Models!$BJ339:$BT339,,AH339)*(1-AF339)+INDEX(Models!$BJ339:$BT339,,AH339+1)*AF339-ERP_i)*AE339*Ramure*Pc/MaxiM</f>
        <v>4.6270550315048053E-4</v>
      </c>
      <c r="AE339" s="305">
        <f t="shared" si="137"/>
        <v>0.7</v>
      </c>
      <c r="AF339" s="177">
        <f t="shared" si="138"/>
        <v>0.99961157554458668</v>
      </c>
      <c r="AG339" s="176">
        <f t="shared" si="139"/>
        <v>-2</v>
      </c>
      <c r="AH339" s="176">
        <f t="shared" si="140"/>
        <v>4</v>
      </c>
      <c r="AI339" s="225">
        <f t="shared" si="141"/>
        <v>-1.0003884244554133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8">
        <v>12.17</v>
      </c>
      <c r="C340" s="390"/>
      <c r="D340" s="393">
        <f t="shared" si="123"/>
        <v>12.316953477434776</v>
      </c>
      <c r="E340" s="385">
        <f t="shared" si="121"/>
        <v>13.134115376441814</v>
      </c>
      <c r="F340" s="385">
        <f t="shared" si="124"/>
        <v>13.135232376511306</v>
      </c>
      <c r="G340" s="110">
        <f t="shared" si="122"/>
        <v>0.42736429949329402</v>
      </c>
      <c r="H340" s="412" t="b">
        <f>Wh_hp&gt;='2018'!Maxi_hp</f>
        <v>0</v>
      </c>
      <c r="I340" s="390">
        <f>IF(H340,Wh_hp,'2018'!Maxi_hp)</f>
        <v>23.275748141901541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1.1930992327283008E-2</v>
      </c>
      <c r="M340" s="957"/>
      <c r="N340" s="957"/>
      <c r="O340" s="48">
        <f>IF(t&lt;Tnet,'2018'!Resal+('2018'!Salim-'2018'!Resal)*(1-EXP(('2018'!Tnet-t)/('2018'!Tau_j))),Resal+(Salim-Resal)*(1-EXP((Tnet-t)/(Tau_j))))*Salcycl</f>
        <v>6.221674437798469E-2</v>
      </c>
      <c r="P340" s="169">
        <f>(INDEX(Models!$BJ340:$BT340,,T340)*(1-R340)+INDEX(Models!$BJ340:$BT340,,T340+1)*R340-ERP_i)*Q340*Ramure*Pc/MaxiM</f>
        <v>4.6677713640729147E-4</v>
      </c>
      <c r="Q340" s="305">
        <f t="shared" si="126"/>
        <v>0.7</v>
      </c>
      <c r="R340" s="177">
        <f t="shared" si="127"/>
        <v>0.99963537631065513</v>
      </c>
      <c r="S340" s="919">
        <f t="shared" si="128"/>
        <v>-2</v>
      </c>
      <c r="T340" s="176">
        <f t="shared" si="129"/>
        <v>4</v>
      </c>
      <c r="U340" s="251">
        <f t="shared" si="130"/>
        <v>-1.0003646236893449</v>
      </c>
      <c r="V340" s="383">
        <f t="shared" si="131"/>
        <v>28.466003968409513</v>
      </c>
      <c r="W340" s="58"/>
      <c r="X340" s="157">
        <f t="shared" si="132"/>
        <v>43791</v>
      </c>
      <c r="Y340" s="385">
        <f t="shared" si="133"/>
        <v>12.17</v>
      </c>
      <c r="Z340" s="385">
        <f t="shared" si="134"/>
        <v>12.316953477434776</v>
      </c>
      <c r="AA340" s="386">
        <f t="shared" si="135"/>
        <v>13.134115376441814</v>
      </c>
      <c r="AB340" s="197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6.221674437798469E-2</v>
      </c>
      <c r="AD340" s="231">
        <f>(INDEX(Models!$BJ340:$BT340,,AH340)*(1-AF340)+INDEX(Models!$BJ340:$BT340,,AH340+1)*AF340-ERP_i)*AE340*Ramure*Pc/MaxiM</f>
        <v>4.6677713640729147E-4</v>
      </c>
      <c r="AE340" s="305">
        <f t="shared" si="137"/>
        <v>0.7</v>
      </c>
      <c r="AF340" s="177">
        <f t="shared" si="138"/>
        <v>0.99963537631065513</v>
      </c>
      <c r="AG340" s="176">
        <f t="shared" si="139"/>
        <v>-2</v>
      </c>
      <c r="AH340" s="176">
        <f t="shared" si="140"/>
        <v>4</v>
      </c>
      <c r="AI340" s="225">
        <f t="shared" si="141"/>
        <v>-1.0003646236893449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8">
        <v>7.8109999999999999</v>
      </c>
      <c r="C341" s="390"/>
      <c r="D341" s="393">
        <f t="shared" si="123"/>
        <v>7.9054914424367118</v>
      </c>
      <c r="E341" s="385">
        <f t="shared" si="121"/>
        <v>8.4306036000322564</v>
      </c>
      <c r="F341" s="385">
        <f t="shared" si="124"/>
        <v>8.4306036000322564</v>
      </c>
      <c r="G341" s="110">
        <f t="shared" si="122"/>
        <v>0.2766147445730569</v>
      </c>
      <c r="H341" s="412" t="b">
        <f>Wh_hp&gt;='2018'!Maxi_hp</f>
        <v>0</v>
      </c>
      <c r="I341" s="390">
        <f>IF(H341,Wh_hp,'2018'!Maxi_hp)</f>
        <v>13.305620721497654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1.195263357436338E-2</v>
      </c>
      <c r="M341" s="957"/>
      <c r="N341" s="957"/>
      <c r="O341" s="48">
        <f>IF(t&lt;Tnet,'2018'!Resal+('2018'!Salim-'2018'!Resal)*(1-EXP(('2018'!Tnet-t)/('2018'!Tau_j))),Resal+(Salim-Resal)*(1-EXP((Tnet-t)/(Tau_j))))*Salcycl</f>
        <v>6.2286424852609004E-2</v>
      </c>
      <c r="P341" s="169">
        <f>(INDEX(Models!$BJ341:$BT341,,T341)*(1-R341)+INDEX(Models!$BJ341:$BT341,,T341+1)*R341-ERP_i)*Q341*Ramure*Pc/MaxiM</f>
        <v>4.7017309453980524E-4</v>
      </c>
      <c r="Q341" s="305">
        <f t="shared" si="126"/>
        <v>0.7</v>
      </c>
      <c r="R341" s="177">
        <f t="shared" si="127"/>
        <v>0.9996582209186049</v>
      </c>
      <c r="S341" s="919">
        <f t="shared" si="128"/>
        <v>-2</v>
      </c>
      <c r="T341" s="176">
        <f t="shared" si="129"/>
        <v>4</v>
      </c>
      <c r="U341" s="251">
        <f t="shared" si="130"/>
        <v>-1.0003417790813951</v>
      </c>
      <c r="V341" s="383">
        <f t="shared" si="131"/>
        <v>28.224552852411495</v>
      </c>
      <c r="W341" s="58"/>
      <c r="X341" s="157">
        <f t="shared" si="132"/>
        <v>43792</v>
      </c>
      <c r="Y341" s="385">
        <f t="shared" si="133"/>
        <v>7.8109999999999999</v>
      </c>
      <c r="Z341" s="385">
        <f t="shared" si="134"/>
        <v>7.9054914424367118</v>
      </c>
      <c r="AA341" s="386">
        <f t="shared" si="135"/>
        <v>8.4306036000322564</v>
      </c>
      <c r="AB341" s="197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6.2286424852609004E-2</v>
      </c>
      <c r="AD341" s="231">
        <f>(INDEX(Models!$BJ341:$BT341,,AH341)*(1-AF341)+INDEX(Models!$BJ341:$BT341,,AH341+1)*AF341-ERP_i)*AE341*Ramure*Pc/MaxiM</f>
        <v>4.7017309453980524E-4</v>
      </c>
      <c r="AE341" s="305">
        <f t="shared" si="137"/>
        <v>0.7</v>
      </c>
      <c r="AF341" s="177">
        <f t="shared" si="138"/>
        <v>0.9996582209186049</v>
      </c>
      <c r="AG341" s="176">
        <f t="shared" si="139"/>
        <v>-2</v>
      </c>
      <c r="AH341" s="176">
        <f t="shared" si="140"/>
        <v>4</v>
      </c>
      <c r="AI341" s="225">
        <f t="shared" si="141"/>
        <v>-1.0003417790813951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8">
        <v>9.5069999999999997</v>
      </c>
      <c r="C342" s="390"/>
      <c r="D342" s="393">
        <f t="shared" si="123"/>
        <v>9.6222190912296046</v>
      </c>
      <c r="E342" s="385">
        <f t="shared" si="121"/>
        <v>10.262129981800433</v>
      </c>
      <c r="F342" s="385">
        <f t="shared" si="124"/>
        <v>10.262404962696369</v>
      </c>
      <c r="G342" s="110">
        <f t="shared" si="122"/>
        <v>0.33951272008727923</v>
      </c>
      <c r="H342" s="412" t="b">
        <f>Wh_hp&gt;='2018'!Maxi_hp</f>
        <v>0</v>
      </c>
      <c r="I342" s="390">
        <f>IF(H342,Wh_hp,'2018'!Maxi_hp)</f>
        <v>23.446937900123171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1.1974274347444802E-2</v>
      </c>
      <c r="M342" s="957"/>
      <c r="N342" s="957"/>
      <c r="O342" s="48">
        <f>IF(t&lt;Tnet,'2018'!Resal+('2018'!Salim-'2018'!Resal)*(1-EXP(('2018'!Tnet-t)/('2018'!Tau_j))),Resal+(Salim-Resal)*(1-EXP((Tnet-t)/(Tau_j))))*Salcycl</f>
        <v>6.2356537259388736E-2</v>
      </c>
      <c r="P342" s="169">
        <f>(INDEX(Models!$BJ342:$BT342,,T342)*(1-R342)+INDEX(Models!$BJ342:$BT342,,T342+1)*R342-ERP_i)*Q342*Ramure*Pc/MaxiM</f>
        <v>4.7288140424229283E-4</v>
      </c>
      <c r="Q342" s="305">
        <f t="shared" si="126"/>
        <v>0.7</v>
      </c>
      <c r="R342" s="177">
        <f t="shared" si="127"/>
        <v>0.99968014769835301</v>
      </c>
      <c r="S342" s="919">
        <f t="shared" si="128"/>
        <v>-2</v>
      </c>
      <c r="T342" s="176">
        <f t="shared" si="129"/>
        <v>4</v>
      </c>
      <c r="U342" s="251">
        <f t="shared" si="130"/>
        <v>-1.000319852301647</v>
      </c>
      <c r="V342" s="383">
        <f t="shared" si="131"/>
        <v>27.989404757046934</v>
      </c>
      <c r="W342" s="58"/>
      <c r="X342" s="157">
        <f t="shared" si="132"/>
        <v>43793</v>
      </c>
      <c r="Y342" s="385">
        <f t="shared" si="133"/>
        <v>9.5069999999999997</v>
      </c>
      <c r="Z342" s="385">
        <f t="shared" si="134"/>
        <v>9.6222190912296046</v>
      </c>
      <c r="AA342" s="386">
        <f t="shared" si="135"/>
        <v>10.262129981800433</v>
      </c>
      <c r="AB342" s="197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6.2356537259388736E-2</v>
      </c>
      <c r="AD342" s="231">
        <f>(INDEX(Models!$BJ342:$BT342,,AH342)*(1-AF342)+INDEX(Models!$BJ342:$BT342,,AH342+1)*AF342-ERP_i)*AE342*Ramure*Pc/MaxiM</f>
        <v>4.7288140424229283E-4</v>
      </c>
      <c r="AE342" s="305">
        <f t="shared" si="137"/>
        <v>0.7</v>
      </c>
      <c r="AF342" s="177">
        <f t="shared" si="138"/>
        <v>0.99968014769835301</v>
      </c>
      <c r="AG342" s="176">
        <f t="shared" si="139"/>
        <v>-2</v>
      </c>
      <c r="AH342" s="176">
        <f t="shared" si="140"/>
        <v>4</v>
      </c>
      <c r="AI342" s="225">
        <f t="shared" si="141"/>
        <v>-1.000319852301647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8">
        <v>12.590999999999999</v>
      </c>
      <c r="C343" s="390"/>
      <c r="D343" s="393">
        <f t="shared" si="123"/>
        <v>12.743874429927606</v>
      </c>
      <c r="E343" s="385">
        <f t="shared" si="121"/>
        <v>13.592409210278458</v>
      </c>
      <c r="F343" s="385">
        <f t="shared" si="124"/>
        <v>13.593825297464468</v>
      </c>
      <c r="G343" s="110">
        <f t="shared" si="122"/>
        <v>0.45338250452943857</v>
      </c>
      <c r="H343" s="412" t="b">
        <f>Wh_hp&gt;='2018'!Maxi_hp</f>
        <v>1</v>
      </c>
      <c r="I343" s="390">
        <f>IF(H343,Wh_hp,'2018'!Maxi_hp)</f>
        <v>13.593825297464468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1.199591464653782E-2</v>
      </c>
      <c r="M343" s="957"/>
      <c r="N343" s="957"/>
      <c r="O343" s="48">
        <f>IF(t&lt;Tnet,'2018'!Resal+('2018'!Salim-'2018'!Resal)*(1-EXP(('2018'!Tnet-t)/('2018'!Tau_j))),Resal+(Salim-Resal)*(1-EXP((Tnet-t)/(Tau_j))))*Salcycl</f>
        <v>6.2427106719918156E-2</v>
      </c>
      <c r="P343" s="169">
        <f>(INDEX(Models!$BJ343:$BT343,,T343)*(1-R343)+INDEX(Models!$BJ343:$BT343,,T343+1)*R343-ERP_i)*Q343*Ramure*Pc/MaxiM</f>
        <v>4.7489178182243559E-4</v>
      </c>
      <c r="Q343" s="305">
        <f t="shared" si="126"/>
        <v>0.7</v>
      </c>
      <c r="R343" s="177">
        <f t="shared" si="127"/>
        <v>0.99970119344975039</v>
      </c>
      <c r="S343" s="919">
        <f t="shared" si="128"/>
        <v>-2</v>
      </c>
      <c r="T343" s="176">
        <f t="shared" si="129"/>
        <v>4</v>
      </c>
      <c r="U343" s="251">
        <f t="shared" si="130"/>
        <v>-1.0002988065502496</v>
      </c>
      <c r="V343" s="383">
        <f t="shared" si="131"/>
        <v>27.760956029522578</v>
      </c>
      <c r="W343" s="58"/>
      <c r="X343" s="157">
        <f t="shared" si="132"/>
        <v>43794</v>
      </c>
      <c r="Y343" s="385">
        <f t="shared" si="133"/>
        <v>12.590999999999999</v>
      </c>
      <c r="Z343" s="385">
        <f t="shared" si="134"/>
        <v>12.743874429927606</v>
      </c>
      <c r="AA343" s="386">
        <f t="shared" si="135"/>
        <v>13.592409210278458</v>
      </c>
      <c r="AB343" s="197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6.2427106719918156E-2</v>
      </c>
      <c r="AD343" s="231">
        <f>(INDEX(Models!$BJ343:$BT343,,AH343)*(1-AF343)+INDEX(Models!$BJ343:$BT343,,AH343+1)*AF343-ERP_i)*AE343*Ramure*Pc/MaxiM</f>
        <v>4.7489178182243559E-4</v>
      </c>
      <c r="AE343" s="305">
        <f t="shared" si="137"/>
        <v>0.7</v>
      </c>
      <c r="AF343" s="177">
        <f t="shared" si="138"/>
        <v>0.99970119344975039</v>
      </c>
      <c r="AG343" s="176">
        <f t="shared" si="139"/>
        <v>-2</v>
      </c>
      <c r="AH343" s="176">
        <f t="shared" si="140"/>
        <v>4</v>
      </c>
      <c r="AI343" s="225">
        <f t="shared" si="141"/>
        <v>-1.0002988065502496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8">
        <v>20.663</v>
      </c>
      <c r="C344" s="390"/>
      <c r="D344" s="393">
        <f t="shared" si="123"/>
        <v>20.914339210703247</v>
      </c>
      <c r="E344" s="385">
        <f t="shared" si="121"/>
        <v>22.308584572806051</v>
      </c>
      <c r="F344" s="385">
        <f t="shared" si="124"/>
        <v>22.315420438532016</v>
      </c>
      <c r="G344" s="110">
        <f t="shared" si="122"/>
        <v>0.75017381380241255</v>
      </c>
      <c r="H344" s="412" t="b">
        <f>Wh_hp&gt;='2018'!Maxi_hp</f>
        <v>1</v>
      </c>
      <c r="I344" s="390">
        <f>IF(H344,Wh_hp,'2018'!Maxi_hp)</f>
        <v>22.315420438532016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1.2017554471652647E-2</v>
      </c>
      <c r="M344" s="957"/>
      <c r="N344" s="957"/>
      <c r="O344" s="48">
        <f>IF(t&lt;Tnet,'2018'!Resal+('2018'!Salim-'2018'!Resal)*(1-EXP(('2018'!Tnet-t)/('2018'!Tau_j))),Resal+(Salim-Resal)*(1-EXP((Tnet-t)/(Tau_j))))*Salcycl</f>
        <v>6.2498154356344739E-2</v>
      </c>
      <c r="P344" s="169">
        <f>(INDEX(Models!$BJ344:$BT344,,T344)*(1-R344)+INDEX(Models!$BJ344:$BT344,,T344+1)*R344-ERP_i)*Q344*Ramure*Pc/MaxiM</f>
        <v>4.7619330703606956E-4</v>
      </c>
      <c r="Q344" s="305">
        <f t="shared" si="126"/>
        <v>0.7</v>
      </c>
      <c r="R344" s="177">
        <f t="shared" si="127"/>
        <v>0.99972139350314859</v>
      </c>
      <c r="S344" s="919">
        <f t="shared" si="128"/>
        <v>-2</v>
      </c>
      <c r="T344" s="176">
        <f t="shared" si="129"/>
        <v>4</v>
      </c>
      <c r="U344" s="251">
        <f t="shared" si="130"/>
        <v>-1.0002786064968514</v>
      </c>
      <c r="V344" s="383">
        <f t="shared" si="131"/>
        <v>27.539603013464369</v>
      </c>
      <c r="W344" s="58"/>
      <c r="X344" s="157">
        <f t="shared" si="132"/>
        <v>43795</v>
      </c>
      <c r="Y344" s="385">
        <f t="shared" si="133"/>
        <v>20.663</v>
      </c>
      <c r="Z344" s="385">
        <f t="shared" si="134"/>
        <v>20.914339210703247</v>
      </c>
      <c r="AA344" s="386">
        <f t="shared" si="135"/>
        <v>22.308584572806051</v>
      </c>
      <c r="AB344" s="197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6.2498154356344739E-2</v>
      </c>
      <c r="AD344" s="231">
        <f>(INDEX(Models!$BJ344:$BT344,,AH344)*(1-AF344)+INDEX(Models!$BJ344:$BT344,,AH344+1)*AF344-ERP_i)*AE344*Ramure*Pc/MaxiM</f>
        <v>4.7619330703606956E-4</v>
      </c>
      <c r="AE344" s="305">
        <f t="shared" si="137"/>
        <v>0.7</v>
      </c>
      <c r="AF344" s="177">
        <f t="shared" si="138"/>
        <v>0.99972139350314859</v>
      </c>
      <c r="AG344" s="176">
        <f t="shared" si="139"/>
        <v>-2</v>
      </c>
      <c r="AH344" s="176">
        <f t="shared" si="140"/>
        <v>4</v>
      </c>
      <c r="AI344" s="225">
        <f t="shared" si="141"/>
        <v>-1.0002786064968514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8">
        <v>19.943999999999999</v>
      </c>
      <c r="C345" s="390"/>
      <c r="D345" s="393">
        <f t="shared" si="123"/>
        <v>20.187035634714089</v>
      </c>
      <c r="E345" s="385">
        <f t="shared" si="121"/>
        <v>21.534438961502868</v>
      </c>
      <c r="F345" s="385">
        <f t="shared" si="124"/>
        <v>21.540748597540265</v>
      </c>
      <c r="G345" s="110">
        <f t="shared" si="122"/>
        <v>0.72985170946674827</v>
      </c>
      <c r="H345" s="412" t="b">
        <f>Wh_hp&gt;='2018'!Maxi_hp</f>
        <v>0</v>
      </c>
      <c r="I345" s="390">
        <f>IF(H345,Wh_hp,'2018'!Maxi_hp)</f>
        <v>27.662208875171967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1.2039193822799832E-2</v>
      </c>
      <c r="M345" s="957"/>
      <c r="N345" s="957"/>
      <c r="O345" s="48">
        <f>IF(t&lt;Tnet,'2018'!Resal+('2018'!Salim-'2018'!Resal)*(1-EXP(('2018'!Tnet-t)/('2018'!Tau_j))),Resal+(Salim-Resal)*(1-EXP((Tnet-t)/(Tau_j))))*Salcycl</f>
        <v>6.2569697274098154E-2</v>
      </c>
      <c r="P345" s="169">
        <f>(INDEX(Models!$BJ345:$BT345,,T345)*(1-R345)+INDEX(Models!$BJ345:$BT345,,T345+1)*R345-ERP_i)*Q345*Ramure*Pc/MaxiM</f>
        <v>4.7685596351911696E-4</v>
      </c>
      <c r="Q345" s="305">
        <f t="shared" si="126"/>
        <v>0.7</v>
      </c>
      <c r="R345" s="177">
        <f t="shared" si="127"/>
        <v>0.99974078177760917</v>
      </c>
      <c r="S345" s="919">
        <f t="shared" si="128"/>
        <v>-2</v>
      </c>
      <c r="T345" s="176">
        <f t="shared" si="129"/>
        <v>4</v>
      </c>
      <c r="U345" s="251">
        <f t="shared" si="130"/>
        <v>-1.0002592182223908</v>
      </c>
      <c r="V345" s="383">
        <f t="shared" si="131"/>
        <v>27.321071079942886</v>
      </c>
      <c r="W345" s="58"/>
      <c r="X345" s="157">
        <f t="shared" si="132"/>
        <v>43796</v>
      </c>
      <c r="Y345" s="385">
        <f t="shared" si="133"/>
        <v>19.943999999999999</v>
      </c>
      <c r="Z345" s="385">
        <f t="shared" si="134"/>
        <v>20.187035634714089</v>
      </c>
      <c r="AA345" s="386">
        <f t="shared" si="135"/>
        <v>21.534438961502868</v>
      </c>
      <c r="AB345" s="197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6.2569697274098154E-2</v>
      </c>
      <c r="AD345" s="231">
        <f>(INDEX(Models!$BJ345:$BT345,,AH345)*(1-AF345)+INDEX(Models!$BJ345:$BT345,,AH345+1)*AF345-ERP_i)*AE345*Ramure*Pc/MaxiM</f>
        <v>4.7685596351911696E-4</v>
      </c>
      <c r="AE345" s="305">
        <f t="shared" si="137"/>
        <v>0.7</v>
      </c>
      <c r="AF345" s="177">
        <f t="shared" si="138"/>
        <v>0.99974078177760917</v>
      </c>
      <c r="AG345" s="176">
        <f t="shared" si="139"/>
        <v>-2</v>
      </c>
      <c r="AH345" s="176">
        <f t="shared" si="140"/>
        <v>4</v>
      </c>
      <c r="AI345" s="225">
        <f t="shared" si="141"/>
        <v>-1.0002592182223908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8">
        <v>7.7270000000000003</v>
      </c>
      <c r="C346" s="390"/>
      <c r="D346" s="393">
        <f t="shared" si="123"/>
        <v>7.8213317740175397</v>
      </c>
      <c r="E346" s="385">
        <f t="shared" si="121"/>
        <v>8.3440154946970537</v>
      </c>
      <c r="F346" s="385">
        <f t="shared" si="124"/>
        <v>8.3440154946970537</v>
      </c>
      <c r="G346" s="110">
        <f t="shared" si="122"/>
        <v>0.28497263928776906</v>
      </c>
      <c r="H346" s="412" t="b">
        <f>Wh_hp&gt;='2018'!Maxi_hp</f>
        <v>0</v>
      </c>
      <c r="I346" s="390">
        <f>IF(H346,Wh_hp,'2018'!Maxi_hp)</f>
        <v>20.343286490073936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1.2060832699989699E-2</v>
      </c>
      <c r="M346" s="957"/>
      <c r="N346" s="957"/>
      <c r="O346" s="48">
        <f>IF(t&lt;Tnet,'2018'!Resal+('2018'!Salim-'2018'!Resal)*(1-EXP(('2018'!Tnet-t)/('2018'!Tau_j))),Resal+(Salim-Resal)*(1-EXP((Tnet-t)/(Tau_j))))*Salcycl</f>
        <v>6.2641748569582628E-2</v>
      </c>
      <c r="P346" s="169">
        <f>(INDEX(Models!$BJ346:$BT346,,T346)*(1-R346)+INDEX(Models!$BJ346:$BT346,,T346+1)*R346-ERP_i)*Q346*Ramure*Pc/MaxiM</f>
        <v>4.7727491378721823E-4</v>
      </c>
      <c r="Q346" s="305">
        <f t="shared" si="126"/>
        <v>0.7</v>
      </c>
      <c r="R346" s="177">
        <f t="shared" si="127"/>
        <v>0.99975939083684384</v>
      </c>
      <c r="S346" s="919">
        <f t="shared" si="128"/>
        <v>-2</v>
      </c>
      <c r="T346" s="176">
        <f t="shared" si="129"/>
        <v>4</v>
      </c>
      <c r="U346" s="251">
        <f t="shared" si="130"/>
        <v>-1.0002406091631562</v>
      </c>
      <c r="V346" s="383">
        <f t="shared" si="131"/>
        <v>27.101942544533426</v>
      </c>
      <c r="W346" s="58"/>
      <c r="X346" s="157">
        <f t="shared" si="132"/>
        <v>43797</v>
      </c>
      <c r="Y346" s="385">
        <f t="shared" si="133"/>
        <v>7.7270000000000003</v>
      </c>
      <c r="Z346" s="385">
        <f t="shared" si="134"/>
        <v>7.8213317740175397</v>
      </c>
      <c r="AA346" s="386">
        <f t="shared" si="135"/>
        <v>8.3440154946970537</v>
      </c>
      <c r="AB346" s="197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6.2641748569582628E-2</v>
      </c>
      <c r="AD346" s="231">
        <f>(INDEX(Models!$BJ346:$BT346,,AH346)*(1-AF346)+INDEX(Models!$BJ346:$BT346,,AH346+1)*AF346-ERP_i)*AE346*Ramure*Pc/MaxiM</f>
        <v>4.7727491378721823E-4</v>
      </c>
      <c r="AE346" s="305">
        <f t="shared" si="137"/>
        <v>0.7</v>
      </c>
      <c r="AF346" s="177">
        <f t="shared" si="138"/>
        <v>0.99975939083684384</v>
      </c>
      <c r="AG346" s="176">
        <f t="shared" si="139"/>
        <v>-2</v>
      </c>
      <c r="AH346" s="176">
        <f t="shared" si="140"/>
        <v>4</v>
      </c>
      <c r="AI346" s="225">
        <f t="shared" si="141"/>
        <v>-1.0002406091631562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8">
        <v>18.824000000000002</v>
      </c>
      <c r="C347" s="390"/>
      <c r="D347" s="393">
        <f t="shared" si="123"/>
        <v>19.054222087770061</v>
      </c>
      <c r="E347" s="385">
        <f t="shared" si="121"/>
        <v>20.329150909628538</v>
      </c>
      <c r="F347" s="385">
        <f t="shared" si="124"/>
        <v>20.334702288517693</v>
      </c>
      <c r="G347" s="110">
        <f t="shared" si="122"/>
        <v>0.70005252425280573</v>
      </c>
      <c r="H347" s="412" t="b">
        <f>Wh_hp&gt;='2018'!Maxi_hp</f>
        <v>0</v>
      </c>
      <c r="I347" s="390">
        <f>IF(H347,Wh_hp,'2018'!Maxi_hp)</f>
        <v>29.549892661364552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1.2082471103232573E-2</v>
      </c>
      <c r="M347" s="957"/>
      <c r="N347" s="957"/>
      <c r="O347" s="48">
        <f>IF(t&lt;Tnet,'2018'!Resal+('2018'!Salim-'2018'!Resal)*(1-EXP(('2018'!Tnet-t)/('2018'!Tau_j))),Resal+(Salim-Resal)*(1-EXP((Tnet-t)/(Tau_j))))*Salcycl</f>
        <v>6.271431736259242E-2</v>
      </c>
      <c r="P347" s="169">
        <f>(INDEX(Models!$BJ347:$BT347,,T347)*(1-R347)+INDEX(Models!$BJ347:$BT347,,T347+1)*R347-ERP_i)*Q347*Ramure*Pc/MaxiM</f>
        <v>4.775167418601853E-4</v>
      </c>
      <c r="Q347" s="305">
        <f t="shared" si="126"/>
        <v>0.7</v>
      </c>
      <c r="R347" s="177">
        <f t="shared" si="127"/>
        <v>0.99977725194297307</v>
      </c>
      <c r="S347" s="919">
        <f t="shared" si="128"/>
        <v>-2</v>
      </c>
      <c r="T347" s="176">
        <f t="shared" si="129"/>
        <v>4</v>
      </c>
      <c r="U347" s="251">
        <f t="shared" si="130"/>
        <v>-1.0002227480570269</v>
      </c>
      <c r="V347" s="383">
        <f t="shared" si="131"/>
        <v>26.883910104361178</v>
      </c>
      <c r="W347" s="58"/>
      <c r="X347" s="157">
        <f t="shared" si="132"/>
        <v>43798</v>
      </c>
      <c r="Y347" s="385">
        <f t="shared" si="133"/>
        <v>18.824000000000002</v>
      </c>
      <c r="Z347" s="385">
        <f t="shared" si="134"/>
        <v>19.054222087770061</v>
      </c>
      <c r="AA347" s="386">
        <f t="shared" si="135"/>
        <v>20.329150909628538</v>
      </c>
      <c r="AB347" s="197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6.271431736259242E-2</v>
      </c>
      <c r="AD347" s="231">
        <f>(INDEX(Models!$BJ347:$BT347,,AH347)*(1-AF347)+INDEX(Models!$BJ347:$BT347,,AH347+1)*AF347-ERP_i)*AE347*Ramure*Pc/MaxiM</f>
        <v>4.775167418601853E-4</v>
      </c>
      <c r="AE347" s="305">
        <f t="shared" si="137"/>
        <v>0.7</v>
      </c>
      <c r="AF347" s="177">
        <f t="shared" si="138"/>
        <v>0.99977725194297307</v>
      </c>
      <c r="AG347" s="176">
        <f t="shared" si="139"/>
        <v>-2</v>
      </c>
      <c r="AH347" s="176">
        <f t="shared" si="140"/>
        <v>4</v>
      </c>
      <c r="AI347" s="225">
        <f t="shared" si="141"/>
        <v>-1.0002227480570269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8">
        <v>11.237</v>
      </c>
      <c r="C348" s="390"/>
      <c r="D348" s="393">
        <f t="shared" si="123"/>
        <v>11.37468037142602</v>
      </c>
      <c r="E348" s="385">
        <f t="shared" si="121"/>
        <v>12.136713141578014</v>
      </c>
      <c r="F348" s="385">
        <f t="shared" si="124"/>
        <v>12.137718033623315</v>
      </c>
      <c r="G348" s="110">
        <f t="shared" si="122"/>
        <v>0.42118952047370906</v>
      </c>
      <c r="H348" s="412" t="b">
        <f>Wh_hp&gt;='2018'!Maxi_hp</f>
        <v>1</v>
      </c>
      <c r="I348" s="390">
        <f>IF(H348,Wh_hp,'2018'!Maxi_hp)</f>
        <v>12.137718033623315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1.210410903253889E-2</v>
      </c>
      <c r="M348" s="957"/>
      <c r="N348" s="957"/>
      <c r="O348" s="48">
        <f>IF(t&lt;Tnet,'2018'!Resal+('2018'!Salim-'2018'!Resal)*(1-EXP(('2018'!Tnet-t)/('2018'!Tau_j))),Resal+(Salim-Resal)*(1-EXP((Tnet-t)/(Tau_j))))*Salcycl</f>
        <v>6.2787408853012941E-2</v>
      </c>
      <c r="P348" s="169">
        <f>(INDEX(Models!$BJ348:$BT348,,T348)*(1-R348)+INDEX(Models!$BJ348:$BT348,,T348+1)*R348-ERP_i)*Q348*Ramure*Pc/MaxiM</f>
        <v>4.7755084809815489E-4</v>
      </c>
      <c r="Q348" s="305">
        <f t="shared" si="126"/>
        <v>0.7</v>
      </c>
      <c r="R348" s="177">
        <f t="shared" si="127"/>
        <v>0.99979439510818224</v>
      </c>
      <c r="S348" s="919">
        <f t="shared" si="128"/>
        <v>-2</v>
      </c>
      <c r="T348" s="176">
        <f t="shared" si="129"/>
        <v>4</v>
      </c>
      <c r="U348" s="251">
        <f t="shared" si="130"/>
        <v>-1.0002056048918178</v>
      </c>
      <c r="V348" s="383">
        <f t="shared" si="131"/>
        <v>26.668668541498111</v>
      </c>
      <c r="W348" s="58"/>
      <c r="X348" s="157">
        <f t="shared" si="132"/>
        <v>43799</v>
      </c>
      <c r="Y348" s="385">
        <f t="shared" si="133"/>
        <v>11.237</v>
      </c>
      <c r="Z348" s="385">
        <f t="shared" si="134"/>
        <v>11.37468037142602</v>
      </c>
      <c r="AA348" s="386">
        <f t="shared" si="135"/>
        <v>12.136713141578014</v>
      </c>
      <c r="AB348" s="197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6.2787408853012941E-2</v>
      </c>
      <c r="AD348" s="231">
        <f>(INDEX(Models!$BJ348:$BT348,,AH348)*(1-AF348)+INDEX(Models!$BJ348:$BT348,,AH348+1)*AF348-ERP_i)*AE348*Ramure*Pc/MaxiM</f>
        <v>4.7755084809815489E-4</v>
      </c>
      <c r="AE348" s="305">
        <f t="shared" si="137"/>
        <v>0.7</v>
      </c>
      <c r="AF348" s="177">
        <f t="shared" si="138"/>
        <v>0.99979439510818224</v>
      </c>
      <c r="AG348" s="176">
        <f t="shared" si="139"/>
        <v>-2</v>
      </c>
      <c r="AH348" s="176">
        <f t="shared" si="140"/>
        <v>4</v>
      </c>
      <c r="AI348" s="225">
        <f t="shared" si="141"/>
        <v>-1.0002056048918178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8">
        <v>10.395</v>
      </c>
      <c r="C349" s="390"/>
      <c r="D349" s="393">
        <f t="shared" si="123"/>
        <v>10.522594311010533</v>
      </c>
      <c r="E349" s="385">
        <f t="shared" si="121"/>
        <v>11.228424582689767</v>
      </c>
      <c r="F349" s="385">
        <f t="shared" si="124"/>
        <v>11.229135863295829</v>
      </c>
      <c r="G349" s="110">
        <f t="shared" si="122"/>
        <v>0.39272547785070194</v>
      </c>
      <c r="H349" s="412" t="b">
        <f>Wh_hp&gt;='2018'!Maxi_hp</f>
        <v>0</v>
      </c>
      <c r="I349" s="390">
        <f>IF(H349,Wh_hp,'2018'!Maxi_hp)</f>
        <v>20.226581068449882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1.2125746487919087E-2</v>
      </c>
      <c r="M349" s="957"/>
      <c r="N349" s="957"/>
      <c r="O349" s="48">
        <f>IF(t&lt;Tnet,'2018'!Resal+('2018'!Salim-'2018'!Resal)*(1-EXP(('2018'!Tnet-t)/('2018'!Tau_j))),Resal+(Salim-Resal)*(1-EXP((Tnet-t)/(Tau_j))))*Salcycl</f>
        <v>6.2861024401176649E-2</v>
      </c>
      <c r="P349" s="169">
        <f>(INDEX(Models!$BJ349:$BT349,,T349)*(1-R349)+INDEX(Models!$BJ349:$BT349,,T349+1)*R349-ERP_i)*Q349*Ramure*Pc/MaxiM</f>
        <v>4.7734500397475114E-4</v>
      </c>
      <c r="Q349" s="305">
        <f t="shared" si="126"/>
        <v>0.7</v>
      </c>
      <c r="R349" s="177">
        <f t="shared" si="127"/>
        <v>0.99981084914435758</v>
      </c>
      <c r="S349" s="919">
        <f t="shared" si="128"/>
        <v>-2</v>
      </c>
      <c r="T349" s="176">
        <f t="shared" si="129"/>
        <v>4</v>
      </c>
      <c r="U349" s="251">
        <f t="shared" si="130"/>
        <v>-1.0001891508556424</v>
      </c>
      <c r="V349" s="383">
        <f t="shared" si="131"/>
        <v>26.45791209513337</v>
      </c>
      <c r="W349" s="58"/>
      <c r="X349" s="157">
        <f t="shared" si="132"/>
        <v>43800</v>
      </c>
      <c r="Y349" s="385">
        <f t="shared" si="133"/>
        <v>10.395</v>
      </c>
      <c r="Z349" s="385">
        <f t="shared" si="134"/>
        <v>10.522594311010533</v>
      </c>
      <c r="AA349" s="386">
        <f t="shared" si="135"/>
        <v>11.228424582689767</v>
      </c>
      <c r="AB349" s="197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6.2861024401176649E-2</v>
      </c>
      <c r="AD349" s="231">
        <f>(INDEX(Models!$BJ349:$BT349,,AH349)*(1-AF349)+INDEX(Models!$BJ349:$BT349,,AH349+1)*AF349-ERP_i)*AE349*Ramure*Pc/MaxiM</f>
        <v>4.7734500397475114E-4</v>
      </c>
      <c r="AE349" s="305">
        <f t="shared" si="137"/>
        <v>0.7</v>
      </c>
      <c r="AF349" s="177">
        <f t="shared" si="138"/>
        <v>0.99981084914435758</v>
      </c>
      <c r="AG349" s="176">
        <f t="shared" si="139"/>
        <v>-2</v>
      </c>
      <c r="AH349" s="176">
        <f t="shared" si="140"/>
        <v>4</v>
      </c>
      <c r="AI349" s="225">
        <f t="shared" si="141"/>
        <v>-1.0001891508556424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8">
        <v>4.016</v>
      </c>
      <c r="C350" s="390"/>
      <c r="D350" s="393">
        <f t="shared" si="123"/>
        <v>4.0653837756733138</v>
      </c>
      <c r="E350" s="385">
        <f t="shared" si="121"/>
        <v>4.3384231370259583</v>
      </c>
      <c r="F350" s="385">
        <f t="shared" si="124"/>
        <v>4.3384231370259583</v>
      </c>
      <c r="G350" s="110">
        <f t="shared" si="122"/>
        <v>0.15289809827689652</v>
      </c>
      <c r="H350" s="412" t="b">
        <f>Wh_hp&gt;='2018'!Maxi_hp</f>
        <v>0</v>
      </c>
      <c r="I350" s="390">
        <f>IF(H350,Wh_hp,'2018'!Maxi_hp)</f>
        <v>7.8128549705141292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1.2147383469383488E-2</v>
      </c>
      <c r="M350" s="957"/>
      <c r="N350" s="957"/>
      <c r="O350" s="48">
        <f>IF(t&lt;Tnet,'2018'!Resal+('2018'!Salim-'2018'!Resal)*(1-EXP(('2018'!Tnet-t)/('2018'!Tau_j))),Resal+(Salim-Resal)*(1-EXP((Tnet-t)/(Tau_j))))*Salcycl</f>
        <v>6.2935161631056766E-2</v>
      </c>
      <c r="P350" s="169">
        <f>(INDEX(Models!$BJ350:$BT350,,T350)*(1-R350)+INDEX(Models!$BJ350:$BT350,,T350+1)*R350-ERP_i)*Q350*Ramure*Pc/MaxiM</f>
        <v>4.768654938938357E-4</v>
      </c>
      <c r="Q350" s="305">
        <f t="shared" si="126"/>
        <v>0.7</v>
      </c>
      <c r="R350" s="177">
        <f t="shared" si="127"/>
        <v>0.99982664171077973</v>
      </c>
      <c r="S350" s="919">
        <f t="shared" si="128"/>
        <v>-2</v>
      </c>
      <c r="T350" s="176">
        <f t="shared" si="129"/>
        <v>4</v>
      </c>
      <c r="U350" s="251">
        <f t="shared" si="130"/>
        <v>-1.0001733582892203</v>
      </c>
      <c r="V350" s="383">
        <f t="shared" si="131"/>
        <v>26.253334432630187</v>
      </c>
      <c r="W350" s="58"/>
      <c r="X350" s="157">
        <f t="shared" si="132"/>
        <v>43801</v>
      </c>
      <c r="Y350" s="385">
        <f t="shared" si="133"/>
        <v>4.016</v>
      </c>
      <c r="Z350" s="385">
        <f t="shared" si="134"/>
        <v>4.0653837756733138</v>
      </c>
      <c r="AA350" s="386">
        <f t="shared" si="135"/>
        <v>4.3384231370259583</v>
      </c>
      <c r="AB350" s="197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6.2935161631056766E-2</v>
      </c>
      <c r="AD350" s="231">
        <f>(INDEX(Models!$BJ350:$BT350,,AH350)*(1-AF350)+INDEX(Models!$BJ350:$BT350,,AH350+1)*AF350-ERP_i)*AE350*Ramure*Pc/MaxiM</f>
        <v>4.768654938938357E-4</v>
      </c>
      <c r="AE350" s="305">
        <f t="shared" si="137"/>
        <v>0.7</v>
      </c>
      <c r="AF350" s="177">
        <f t="shared" si="138"/>
        <v>0.99982664171077973</v>
      </c>
      <c r="AG350" s="176">
        <f t="shared" si="139"/>
        <v>-2</v>
      </c>
      <c r="AH350" s="176">
        <f t="shared" si="140"/>
        <v>4</v>
      </c>
      <c r="AI350" s="225">
        <f t="shared" si="141"/>
        <v>-1.0001733582892203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8">
        <v>3.9910000000000001</v>
      </c>
      <c r="C351" s="390"/>
      <c r="D351" s="393">
        <f t="shared" si="123"/>
        <v>4.0401648467299971</v>
      </c>
      <c r="E351" s="385">
        <f t="shared" si="121"/>
        <v>4.3118539654847323</v>
      </c>
      <c r="F351" s="385">
        <f t="shared" si="124"/>
        <v>4.3118539654847323</v>
      </c>
      <c r="G351" s="110">
        <f t="shared" si="122"/>
        <v>0.15309348078409632</v>
      </c>
      <c r="H351" s="412" t="b">
        <f>Wh_hp&gt;='2018'!Maxi_hp</f>
        <v>0</v>
      </c>
      <c r="I351" s="390">
        <f>IF(H351,Wh_hp,'2018'!Maxi_hp)</f>
        <v>10.193235268861663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1.2169019976942308E-2</v>
      </c>
      <c r="M351" s="957"/>
      <c r="N351" s="957"/>
      <c r="O351" s="48">
        <f>IF(t&lt;Tnet,'2018'!Resal+('2018'!Salim-'2018'!Resal)*(1-EXP(('2018'!Tnet-t)/('2018'!Tau_j))),Resal+(Salim-Resal)*(1-EXP((Tnet-t)/(Tau_j))))*Salcycl</f>
        <v>6.3009814555301663E-2</v>
      </c>
      <c r="P351" s="169">
        <f>(INDEX(Models!$BJ351:$BT351,,T351)*(1-R351)+INDEX(Models!$BJ351:$BT351,,T351+1)*R351-ERP_i)*Q351*Ramure*Pc/MaxiM</f>
        <v>4.7607731508087701E-4</v>
      </c>
      <c r="Q351" s="305">
        <f t="shared" si="126"/>
        <v>0.7</v>
      </c>
      <c r="R351" s="177">
        <f t="shared" si="127"/>
        <v>0.99984179935994222</v>
      </c>
      <c r="S351" s="919">
        <f t="shared" si="128"/>
        <v>-2</v>
      </c>
      <c r="T351" s="176">
        <f t="shared" si="129"/>
        <v>4</v>
      </c>
      <c r="U351" s="251">
        <f t="shared" si="130"/>
        <v>-1.0001582006400578</v>
      </c>
      <c r="V351" s="383">
        <f t="shared" si="131"/>
        <v>26.056628636337781</v>
      </c>
      <c r="W351" s="58"/>
      <c r="X351" s="157">
        <f t="shared" si="132"/>
        <v>43802</v>
      </c>
      <c r="Y351" s="385">
        <f t="shared" si="133"/>
        <v>3.9909999999999997</v>
      </c>
      <c r="Z351" s="385">
        <f t="shared" si="134"/>
        <v>4.0401648467299971</v>
      </c>
      <c r="AA351" s="386">
        <f t="shared" si="135"/>
        <v>4.3118539654847323</v>
      </c>
      <c r="AB351" s="197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6.3009814555301663E-2</v>
      </c>
      <c r="AD351" s="231">
        <f>(INDEX(Models!$BJ351:$BT351,,AH351)*(1-AF351)+INDEX(Models!$BJ351:$BT351,,AH351+1)*AF351-ERP_i)*AE351*Ramure*Pc/MaxiM</f>
        <v>4.7607731508087701E-4</v>
      </c>
      <c r="AE351" s="305">
        <f t="shared" si="137"/>
        <v>0.7</v>
      </c>
      <c r="AF351" s="177">
        <f t="shared" si="138"/>
        <v>0.99984179935994222</v>
      </c>
      <c r="AG351" s="176">
        <f t="shared" si="139"/>
        <v>-2</v>
      </c>
      <c r="AH351" s="176">
        <f t="shared" si="140"/>
        <v>4</v>
      </c>
      <c r="AI351" s="225">
        <f t="shared" si="141"/>
        <v>-1.0001582006400578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8">
        <v>5.8710000000000004</v>
      </c>
      <c r="C352" s="390"/>
      <c r="D352" s="393">
        <f t="shared" si="123"/>
        <v>5.9434546106733706</v>
      </c>
      <c r="E352" s="385">
        <f t="shared" si="121"/>
        <v>6.3436431735732883</v>
      </c>
      <c r="F352" s="385">
        <f t="shared" si="124"/>
        <v>6.3436431735732883</v>
      </c>
      <c r="G352" s="110">
        <f t="shared" si="122"/>
        <v>0.22683911592024592</v>
      </c>
      <c r="H352" s="412" t="b">
        <f>Wh_hp&gt;='2018'!Maxi_hp</f>
        <v>1</v>
      </c>
      <c r="I352" s="390">
        <f>IF(H352,Wh_hp,'2018'!Maxi_hp)</f>
        <v>6.3436431735732883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1.2190656010606205E-2</v>
      </c>
      <c r="M352" s="957"/>
      <c r="N352" s="957"/>
      <c r="O352" s="48">
        <f>IF(t&lt;Tnet,'2018'!Resal+('2018'!Salim-'2018'!Resal)*(1-EXP(('2018'!Tnet-t)/('2018'!Tau_j))),Resal+(Salim-Resal)*(1-EXP((Tnet-t)/(Tau_j))))*Salcycl</f>
        <v>6.3084973720944168E-2</v>
      </c>
      <c r="P352" s="169">
        <f>(INDEX(Models!$BJ352:$BT352,,T352)*(1-R352)+INDEX(Models!$BJ352:$BT352,,T352+1)*R352-ERP_i)*Q352*Ramure*Pc/MaxiM</f>
        <v>4.7515974316757057E-4</v>
      </c>
      <c r="Q352" s="305">
        <f t="shared" si="126"/>
        <v>0.7</v>
      </c>
      <c r="R352" s="177">
        <f t="shared" si="127"/>
        <v>0.99985634758157715</v>
      </c>
      <c r="S352" s="919">
        <f t="shared" si="128"/>
        <v>-2</v>
      </c>
      <c r="T352" s="176">
        <f t="shared" si="129"/>
        <v>4</v>
      </c>
      <c r="U352" s="251">
        <f t="shared" si="130"/>
        <v>-1.0001436524184228</v>
      </c>
      <c r="V352" s="383">
        <f t="shared" si="131"/>
        <v>25.8694816074449</v>
      </c>
      <c r="W352" s="58"/>
      <c r="X352" s="157">
        <f t="shared" si="132"/>
        <v>43803</v>
      </c>
      <c r="Y352" s="385">
        <f t="shared" si="133"/>
        <v>5.8710000000000004</v>
      </c>
      <c r="Z352" s="385">
        <f t="shared" si="134"/>
        <v>5.9434546106733706</v>
      </c>
      <c r="AA352" s="386">
        <f t="shared" si="135"/>
        <v>6.3436431735732883</v>
      </c>
      <c r="AB352" s="197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6.3084973720944168E-2</v>
      </c>
      <c r="AD352" s="231">
        <f>(INDEX(Models!$BJ352:$BT352,,AH352)*(1-AF352)+INDEX(Models!$BJ352:$BT352,,AH352+1)*AF352-ERP_i)*AE352*Ramure*Pc/MaxiM</f>
        <v>4.7515974316757057E-4</v>
      </c>
      <c r="AE352" s="305">
        <f t="shared" si="137"/>
        <v>0.7</v>
      </c>
      <c r="AF352" s="177">
        <f t="shared" si="138"/>
        <v>0.99985634758157715</v>
      </c>
      <c r="AG352" s="176">
        <f t="shared" si="139"/>
        <v>-2</v>
      </c>
      <c r="AH352" s="176">
        <f t="shared" si="140"/>
        <v>4</v>
      </c>
      <c r="AI352" s="225">
        <f t="shared" si="141"/>
        <v>-1.0001436524184228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8">
        <v>9.5350000000000001</v>
      </c>
      <c r="C353" s="390"/>
      <c r="D353" s="393">
        <f t="shared" si="123"/>
        <v>9.6528838318496071</v>
      </c>
      <c r="E353" s="385">
        <f t="shared" si="121"/>
        <v>10.303670088601466</v>
      </c>
      <c r="F353" s="385">
        <f t="shared" si="124"/>
        <v>10.304166947444211</v>
      </c>
      <c r="G353" s="110">
        <f t="shared" si="122"/>
        <v>0.37094625537739967</v>
      </c>
      <c r="H353" s="412" t="b">
        <f>Wh_hp&gt;='2018'!Maxi_hp</f>
        <v>0</v>
      </c>
      <c r="I353" s="390">
        <f>IF(H353,Wh_hp,'2018'!Maxi_hp)</f>
        <v>21.606623524518486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1.2212291570385503E-2</v>
      </c>
      <c r="M353" s="957"/>
      <c r="N353" s="957"/>
      <c r="O353" s="48">
        <f>IF(t&lt;Tnet,'2018'!Resal+('2018'!Salim-'2018'!Resal)*(1-EXP(('2018'!Tnet-t)/('2018'!Tau_j))),Resal+(Salim-Resal)*(1-EXP((Tnet-t)/(Tau_j))))*Salcycl</f>
        <v>6.316062637446021E-2</v>
      </c>
      <c r="P353" s="169">
        <f>(INDEX(Models!$BJ353:$BT353,,T353)*(1-R353)+INDEX(Models!$BJ353:$BT353,,T353+1)*R353-ERP_i)*Q353*Ramure*Pc/MaxiM</f>
        <v>4.7470181348904328E-4</v>
      </c>
      <c r="Q353" s="305">
        <f t="shared" si="126"/>
        <v>0.7</v>
      </c>
      <c r="R353" s="177">
        <f t="shared" si="127"/>
        <v>0.99987031084494626</v>
      </c>
      <c r="S353" s="919">
        <f t="shared" si="128"/>
        <v>-2</v>
      </c>
      <c r="T353" s="176">
        <f t="shared" si="129"/>
        <v>4</v>
      </c>
      <c r="U353" s="251">
        <f t="shared" si="130"/>
        <v>-1.0001296891550537</v>
      </c>
      <c r="V353" s="383">
        <f t="shared" si="131"/>
        <v>25.693569227796687</v>
      </c>
      <c r="W353" s="58"/>
      <c r="X353" s="157">
        <f t="shared" si="132"/>
        <v>43804</v>
      </c>
      <c r="Y353" s="385">
        <f t="shared" si="133"/>
        <v>9.5350000000000001</v>
      </c>
      <c r="Z353" s="385">
        <f t="shared" si="134"/>
        <v>9.6528838318496071</v>
      </c>
      <c r="AA353" s="386">
        <f t="shared" si="135"/>
        <v>10.303670088601466</v>
      </c>
      <c r="AB353" s="197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6.316062637446021E-2</v>
      </c>
      <c r="AD353" s="231">
        <f>(INDEX(Models!$BJ353:$BT353,,AH353)*(1-AF353)+INDEX(Models!$BJ353:$BT353,,AH353+1)*AF353-ERP_i)*AE353*Ramure*Pc/MaxiM</f>
        <v>4.7470181348904328E-4</v>
      </c>
      <c r="AE353" s="305">
        <f t="shared" si="137"/>
        <v>0.7</v>
      </c>
      <c r="AF353" s="177">
        <f t="shared" si="138"/>
        <v>0.99987031084494626</v>
      </c>
      <c r="AG353" s="176">
        <f t="shared" si="139"/>
        <v>-2</v>
      </c>
      <c r="AH353" s="176">
        <f t="shared" si="140"/>
        <v>4</v>
      </c>
      <c r="AI353" s="225">
        <f t="shared" si="141"/>
        <v>-1.0001296891550537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8">
        <v>12.106999999999999</v>
      </c>
      <c r="C354" s="390"/>
      <c r="D354" s="393">
        <f t="shared" si="123"/>
        <v>12.25695063509958</v>
      </c>
      <c r="E354" s="385">
        <f t="shared" si="121"/>
        <v>13.084363335177077</v>
      </c>
      <c r="F354" s="385">
        <f t="shared" si="124"/>
        <v>13.085909257298578</v>
      </c>
      <c r="G354" s="110">
        <f t="shared" si="122"/>
        <v>0.47404647673596834</v>
      </c>
      <c r="H354" s="412" t="b">
        <f>Wh_hp&gt;='2018'!Maxi_hp</f>
        <v>1</v>
      </c>
      <c r="I354" s="390">
        <f>IF(H354,Wh_hp,'2018'!Maxi_hp)</f>
        <v>13.085909257298578</v>
      </c>
      <c r="J354" s="85">
        <f>IF(H354,An,'2018'!An_max)</f>
        <v>2019</v>
      </c>
      <c r="K354" s="197">
        <f t="shared" si="125"/>
        <v>43805</v>
      </c>
      <c r="L354" s="147">
        <f>IF(t&lt;Tvie,1-EXP((T0-t)*PertePVj)+'2018'!Pspv,1-EXP((T0-t)*PertePVj)+Pspv)</f>
        <v>1.2233926656290417E-2</v>
      </c>
      <c r="M354" s="957"/>
      <c r="N354" s="957"/>
      <c r="O354" s="48">
        <f>IF(t&lt;Tnet,'2018'!Resal+('2018'!Salim-'2018'!Resal)*(1-EXP(('2018'!Tnet-t)/('2018'!Tau_j))),Resal+(Salim-Resal)*(1-EXP((Tnet-t)/(Tau_j))))*Salcycl</f>
        <v>6.3236756644705294E-2</v>
      </c>
      <c r="P354" s="169">
        <f>(INDEX(Models!$BJ354:$BT354,,T354)*(1-R354)+INDEX(Models!$BJ354:$BT354,,T354+1)*R354-ERP_i)*Q354*Ramure*Pc/MaxiM</f>
        <v>4.746732698564453E-4</v>
      </c>
      <c r="Q354" s="305">
        <f t="shared" si="126"/>
        <v>0.7</v>
      </c>
      <c r="R354" s="177">
        <f t="shared" si="127"/>
        <v>0.99988371263946907</v>
      </c>
      <c r="S354" s="919">
        <f t="shared" si="128"/>
        <v>-2</v>
      </c>
      <c r="T354" s="176">
        <f t="shared" si="129"/>
        <v>4</v>
      </c>
      <c r="U354" s="251">
        <f t="shared" si="130"/>
        <v>-1.0001162873605309</v>
      </c>
      <c r="V354" s="383">
        <f t="shared" si="131"/>
        <v>25.530582953300673</v>
      </c>
      <c r="W354" s="58"/>
      <c r="X354" s="157">
        <f t="shared" si="132"/>
        <v>43805</v>
      </c>
      <c r="Y354" s="385">
        <f t="shared" si="133"/>
        <v>12.106999999999999</v>
      </c>
      <c r="Z354" s="385">
        <f t="shared" si="134"/>
        <v>12.25695063509958</v>
      </c>
      <c r="AA354" s="386">
        <f t="shared" si="135"/>
        <v>13.084363335177077</v>
      </c>
      <c r="AB354" s="197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6.3236756644705294E-2</v>
      </c>
      <c r="AD354" s="231">
        <f>(INDEX(Models!$BJ354:$BT354,,AH354)*(1-AF354)+INDEX(Models!$BJ354:$BT354,,AH354+1)*AF354-ERP_i)*AE354*Ramure*Pc/MaxiM</f>
        <v>4.746732698564453E-4</v>
      </c>
      <c r="AE354" s="305">
        <f t="shared" si="137"/>
        <v>0.7</v>
      </c>
      <c r="AF354" s="177">
        <f t="shared" si="138"/>
        <v>0.99988371263946907</v>
      </c>
      <c r="AG354" s="176">
        <f t="shared" si="139"/>
        <v>-2</v>
      </c>
      <c r="AH354" s="176">
        <f t="shared" si="140"/>
        <v>4</v>
      </c>
      <c r="AI354" s="225">
        <f t="shared" si="141"/>
        <v>-1.0001162873605309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8">
        <v>14.295</v>
      </c>
      <c r="C355" s="390"/>
      <c r="D355" s="393">
        <f t="shared" si="123"/>
        <v>14.47236698022391</v>
      </c>
      <c r="E355" s="385">
        <f t="shared" si="121"/>
        <v>15.450595900386958</v>
      </c>
      <c r="F355" s="385">
        <f t="shared" si="124"/>
        <v>15.453356006793634</v>
      </c>
      <c r="G355" s="110">
        <f t="shared" si="122"/>
        <v>0.56302267349588453</v>
      </c>
      <c r="H355" s="412" t="b">
        <f>Wh_hp&gt;='2018'!Maxi_hp</f>
        <v>0</v>
      </c>
      <c r="I355" s="390">
        <f>IF(H355,Wh_hp,'2018'!Maxi_hp)</f>
        <v>23.615013833101326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1.2255561268331383E-2</v>
      </c>
      <c r="M355" s="957"/>
      <c r="N355" s="957"/>
      <c r="O355" s="48">
        <f>IF(t&lt;Tnet,'2018'!Resal+('2018'!Salim-'2018'!Resal)*(1-EXP(('2018'!Tnet-t)/('2018'!Tau_j))),Resal+(Salim-Resal)*(1-EXP((Tnet-t)/(Tau_j))))*Salcycl</f>
        <v>6.3313345742124369E-2</v>
      </c>
      <c r="P355" s="169">
        <f>(INDEX(Models!$BJ355:$BT355,,T355)*(1-R355)+INDEX(Models!$BJ355:$BT355,,T355+1)*R355-ERP_i)*Q355*Ramure*Pc/MaxiM</f>
        <v>4.7504225991238058E-4</v>
      </c>
      <c r="Q355" s="305">
        <f t="shared" si="126"/>
        <v>0.7</v>
      </c>
      <c r="R355" s="177">
        <f t="shared" si="127"/>
        <v>0.9998965755137541</v>
      </c>
      <c r="S355" s="919">
        <f t="shared" si="128"/>
        <v>-2</v>
      </c>
      <c r="T355" s="176">
        <f t="shared" si="129"/>
        <v>4</v>
      </c>
      <c r="U355" s="251">
        <f t="shared" si="130"/>
        <v>-1.0001034244862459</v>
      </c>
      <c r="V355" s="383">
        <f t="shared" si="131"/>
        <v>25.382213541989422</v>
      </c>
      <c r="W355" s="58"/>
      <c r="X355" s="157">
        <f t="shared" si="132"/>
        <v>43806</v>
      </c>
      <c r="Y355" s="385">
        <f t="shared" si="133"/>
        <v>14.295</v>
      </c>
      <c r="Z355" s="385">
        <f t="shared" si="134"/>
        <v>14.47236698022391</v>
      </c>
      <c r="AA355" s="386">
        <f t="shared" si="135"/>
        <v>15.450595900386958</v>
      </c>
      <c r="AB355" s="197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6.3313345742124369E-2</v>
      </c>
      <c r="AD355" s="231">
        <f>(INDEX(Models!$BJ355:$BT355,,AH355)*(1-AF355)+INDEX(Models!$BJ355:$BT355,,AH355+1)*AF355-ERP_i)*AE355*Ramure*Pc/MaxiM</f>
        <v>4.7504225991238058E-4</v>
      </c>
      <c r="AE355" s="305">
        <f t="shared" si="137"/>
        <v>0.7</v>
      </c>
      <c r="AF355" s="177">
        <f t="shared" si="138"/>
        <v>0.9998965755137541</v>
      </c>
      <c r="AG355" s="176">
        <f t="shared" si="139"/>
        <v>-2</v>
      </c>
      <c r="AH355" s="176">
        <f t="shared" si="140"/>
        <v>4</v>
      </c>
      <c r="AI355" s="225">
        <f t="shared" si="141"/>
        <v>-1.0001034244862459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8">
        <v>17.225999999999999</v>
      </c>
      <c r="C356" s="390"/>
      <c r="D356" s="393">
        <f t="shared" si="123"/>
        <v>17.440115708465125</v>
      </c>
      <c r="E356" s="385">
        <f t="shared" si="121"/>
        <v>18.620474518202784</v>
      </c>
      <c r="F356" s="385">
        <f t="shared" si="124"/>
        <v>18.625313050324355</v>
      </c>
      <c r="G356" s="110">
        <f t="shared" si="122"/>
        <v>0.68206634873032357</v>
      </c>
      <c r="H356" s="412" t="b">
        <f>Wh_hp&gt;='2018'!Maxi_hp</f>
        <v>1</v>
      </c>
      <c r="I356" s="390">
        <f>IF(H356,Wh_hp,'2018'!Maxi_hp)</f>
        <v>18.625313050324355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1.2277195406518948E-2</v>
      </c>
      <c r="M356" s="957"/>
      <c r="N356" s="957"/>
      <c r="O356" s="48">
        <f>IF(t&lt;Tnet,'2018'!Resal+('2018'!Salim-'2018'!Resal)*(1-EXP(('2018'!Tnet-t)/('2018'!Tau_j))),Resal+(Salim-Resal)*(1-EXP((Tnet-t)/(Tau_j))))*Salcycl</f>
        <v>6.3390372172512421E-2</v>
      </c>
      <c r="P356" s="169">
        <f>(INDEX(Models!$BJ356:$BT356,,T356)*(1-R356)+INDEX(Models!$BJ356:$BT356,,T356+1)*R356-ERP_i)*Q356*Ramure*Pc/MaxiM</f>
        <v>4.7577519088298575E-4</v>
      </c>
      <c r="Q356" s="305">
        <f t="shared" si="126"/>
        <v>0.7</v>
      </c>
      <c r="R356" s="177">
        <f t="shared" si="127"/>
        <v>0.99990892111308827</v>
      </c>
      <c r="S356" s="919">
        <f t="shared" si="128"/>
        <v>-2</v>
      </c>
      <c r="T356" s="176">
        <f t="shared" si="129"/>
        <v>4</v>
      </c>
      <c r="U356" s="251">
        <f t="shared" si="130"/>
        <v>-1.0000910788869117</v>
      </c>
      <c r="V356" s="383">
        <f t="shared" si="131"/>
        <v>25.250151069245533</v>
      </c>
      <c r="W356" s="58"/>
      <c r="X356" s="157">
        <f t="shared" si="132"/>
        <v>43807</v>
      </c>
      <c r="Y356" s="385">
        <f t="shared" si="133"/>
        <v>17.225999999999999</v>
      </c>
      <c r="Z356" s="385">
        <f t="shared" si="134"/>
        <v>17.440115708465125</v>
      </c>
      <c r="AA356" s="386">
        <f t="shared" si="135"/>
        <v>18.620474518202784</v>
      </c>
      <c r="AB356" s="197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6.3390372172512421E-2</v>
      </c>
      <c r="AD356" s="231">
        <f>(INDEX(Models!$BJ356:$BT356,,AH356)*(1-AF356)+INDEX(Models!$BJ356:$BT356,,AH356+1)*AF356-ERP_i)*AE356*Ramure*Pc/MaxiM</f>
        <v>4.7577519088298575E-4</v>
      </c>
      <c r="AE356" s="305">
        <f t="shared" si="137"/>
        <v>0.7</v>
      </c>
      <c r="AF356" s="177">
        <f t="shared" si="138"/>
        <v>0.99990892111308827</v>
      </c>
      <c r="AG356" s="176">
        <f t="shared" si="139"/>
        <v>-2</v>
      </c>
      <c r="AH356" s="176">
        <f t="shared" si="140"/>
        <v>4</v>
      </c>
      <c r="AI356" s="225">
        <f t="shared" si="141"/>
        <v>-1.0000910788869117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8">
        <v>8.7639999999999993</v>
      </c>
      <c r="C357" s="390"/>
      <c r="D357" s="393">
        <f t="shared" si="123"/>
        <v>8.8731290981012503</v>
      </c>
      <c r="E357" s="385">
        <f t="shared" si="121"/>
        <v>9.4744518249867582</v>
      </c>
      <c r="F357" s="385">
        <f t="shared" si="124"/>
        <v>9.4747658981708156</v>
      </c>
      <c r="G357" s="110">
        <f t="shared" si="122"/>
        <v>0.34850739163456984</v>
      </c>
      <c r="H357" s="412" t="b">
        <f>Wh_hp&gt;='2018'!Maxi_hp</f>
        <v>1</v>
      </c>
      <c r="I357" s="390">
        <f>IF(H357,Wh_hp,'2018'!Maxi_hp)</f>
        <v>9.4747658981708156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1.2298829070863326E-2</v>
      </c>
      <c r="M357" s="957"/>
      <c r="N357" s="957"/>
      <c r="O357" s="48">
        <f>IF(t&lt;Tnet,'2018'!Resal+('2018'!Salim-'2018'!Resal)*(1-EXP(('2018'!Tnet-t)/('2018'!Tau_j))),Resal+(Salim-Resal)*(1-EXP((Tnet-t)/(Tau_j))))*Salcycl</f>
        <v>6.3467811963500945E-2</v>
      </c>
      <c r="P357" s="169">
        <f>(INDEX(Models!$BJ357:$BT357,,T357)*(1-R357)+INDEX(Models!$BJ357:$BT357,,T357+1)*R357-ERP_i)*Q357*Ramure*Pc/MaxiM</f>
        <v>4.7683663607232248E-4</v>
      </c>
      <c r="Q357" s="305">
        <f t="shared" si="126"/>
        <v>0.7</v>
      </c>
      <c r="R357" s="177">
        <f t="shared" si="127"/>
        <v>0.99992077021544823</v>
      </c>
      <c r="S357" s="919">
        <f t="shared" si="128"/>
        <v>-2</v>
      </c>
      <c r="T357" s="176">
        <f t="shared" si="129"/>
        <v>4</v>
      </c>
      <c r="U357" s="251">
        <f t="shared" si="130"/>
        <v>-1.0000792297845518</v>
      </c>
      <c r="V357" s="383">
        <f t="shared" si="131"/>
        <v>25.136084908203078</v>
      </c>
      <c r="W357" s="58"/>
      <c r="X357" s="157">
        <f t="shared" si="132"/>
        <v>43808</v>
      </c>
      <c r="Y357" s="385">
        <f t="shared" si="133"/>
        <v>8.7639999999999993</v>
      </c>
      <c r="Z357" s="385">
        <f t="shared" si="134"/>
        <v>8.8731290981012503</v>
      </c>
      <c r="AA357" s="386">
        <f t="shared" si="135"/>
        <v>9.4744518249867582</v>
      </c>
      <c r="AB357" s="197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6.3467811963500945E-2</v>
      </c>
      <c r="AD357" s="231">
        <f>(INDEX(Models!$BJ357:$BT357,,AH357)*(1-AF357)+INDEX(Models!$BJ357:$BT357,,AH357+1)*AF357-ERP_i)*AE357*Ramure*Pc/MaxiM</f>
        <v>4.7683663607232248E-4</v>
      </c>
      <c r="AE357" s="305">
        <f t="shared" si="137"/>
        <v>0.7</v>
      </c>
      <c r="AF357" s="177">
        <f t="shared" si="138"/>
        <v>0.99992077021544823</v>
      </c>
      <c r="AG357" s="176">
        <f t="shared" si="139"/>
        <v>-2</v>
      </c>
      <c r="AH357" s="176">
        <f t="shared" si="140"/>
        <v>4</v>
      </c>
      <c r="AI357" s="225">
        <f t="shared" si="141"/>
        <v>-1.0000792297845518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8">
        <v>20.465</v>
      </c>
      <c r="C358" s="390"/>
      <c r="D358" s="393">
        <f t="shared" si="123"/>
        <v>20.720283470543823</v>
      </c>
      <c r="E358" s="385">
        <f t="shared" si="121"/>
        <v>22.12631424583898</v>
      </c>
      <c r="F358" s="385">
        <f t="shared" si="124"/>
        <v>22.134135091685113</v>
      </c>
      <c r="G358" s="110">
        <f t="shared" si="122"/>
        <v>0.81713465959151321</v>
      </c>
      <c r="H358" s="412" t="b">
        <f>Wh_hp&gt;='2018'!Maxi_hp</f>
        <v>1</v>
      </c>
      <c r="I358" s="390">
        <f>IF(H358,Wh_hp,'2018'!Maxi_hp)</f>
        <v>22.134135091685113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1.2320462261374843E-2</v>
      </c>
      <c r="M358" s="957"/>
      <c r="N358" s="957"/>
      <c r="O358" s="48">
        <f>IF(t&lt;Tnet,'2018'!Resal+('2018'!Salim-'2018'!Resal)*(1-EXP(('2018'!Tnet-t)/('2018'!Tau_j))),Resal+(Salim-Resal)*(1-EXP((Tnet-t)/(Tau_j))))*Salcycl</f>
        <v>6.3545638901859755E-2</v>
      </c>
      <c r="P358" s="169">
        <f>(INDEX(Models!$BJ358:$BT358,,T358)*(1-R358)+INDEX(Models!$BJ358:$BT358,,T358+1)*R358-ERP_i)*Q358*Ramure*Pc/MaxiM</f>
        <v>4.7818929950078725E-4</v>
      </c>
      <c r="Q358" s="305">
        <f t="shared" si="126"/>
        <v>0.7</v>
      </c>
      <c r="R358" s="177">
        <f t="shared" si="127"/>
        <v>0.99993214276609277</v>
      </c>
      <c r="S358" s="919">
        <f t="shared" si="128"/>
        <v>-2</v>
      </c>
      <c r="T358" s="176">
        <f t="shared" si="129"/>
        <v>4</v>
      </c>
      <c r="U358" s="251">
        <f t="shared" si="130"/>
        <v>-1.0000678572339072</v>
      </c>
      <c r="V358" s="383">
        <f t="shared" si="131"/>
        <v>25.041703700299383</v>
      </c>
      <c r="W358" s="58"/>
      <c r="X358" s="157">
        <f t="shared" si="132"/>
        <v>43809</v>
      </c>
      <c r="Y358" s="385">
        <f t="shared" si="133"/>
        <v>20.465</v>
      </c>
      <c r="Z358" s="385">
        <f t="shared" si="134"/>
        <v>20.720283470543823</v>
      </c>
      <c r="AA358" s="386">
        <f t="shared" si="135"/>
        <v>22.12631424583898</v>
      </c>
      <c r="AB358" s="197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6.3545638901859755E-2</v>
      </c>
      <c r="AD358" s="231">
        <f>(INDEX(Models!$BJ358:$BT358,,AH358)*(1-AF358)+INDEX(Models!$BJ358:$BT358,,AH358+1)*AF358-ERP_i)*AE358*Ramure*Pc/MaxiM</f>
        <v>4.7818929950078725E-4</v>
      </c>
      <c r="AE358" s="305">
        <f t="shared" si="137"/>
        <v>0.7</v>
      </c>
      <c r="AF358" s="177">
        <f t="shared" si="138"/>
        <v>0.99993214276609277</v>
      </c>
      <c r="AG358" s="176">
        <f t="shared" si="139"/>
        <v>-2</v>
      </c>
      <c r="AH358" s="176">
        <f t="shared" si="140"/>
        <v>4</v>
      </c>
      <c r="AI358" s="225">
        <f t="shared" si="141"/>
        <v>-1.0000678572339072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8">
        <v>1.8049999999999999</v>
      </c>
      <c r="C359" s="390"/>
      <c r="D359" s="393">
        <f t="shared" si="123"/>
        <v>1.8275558681018311</v>
      </c>
      <c r="E359" s="385">
        <f t="shared" si="121"/>
        <v>1.9517325584151473</v>
      </c>
      <c r="F359" s="385">
        <f t="shared" si="124"/>
        <v>1.9517325584151473</v>
      </c>
      <c r="G359" s="110">
        <f t="shared" si="122"/>
        <v>7.2265086249502952E-2</v>
      </c>
      <c r="H359" s="412" t="b">
        <f>Wh_hp&gt;='2018'!Maxi_hp</f>
        <v>0</v>
      </c>
      <c r="I359" s="390">
        <f>IF(H359,Wh_hp,'2018'!Maxi_hp)</f>
        <v>23.016717284204159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1.2342094978064044E-2</v>
      </c>
      <c r="M359" s="957"/>
      <c r="N359" s="957"/>
      <c r="O359" s="48">
        <f>IF(t&lt;Tnet,'2018'!Resal+('2018'!Salim-'2018'!Resal)*(1-EXP(('2018'!Tnet-t)/('2018'!Tau_j))),Resal+(Salim-Resal)*(1-EXP((Tnet-t)/(Tau_j))))*Salcycl</f>
        <v>6.3623824779636004E-2</v>
      </c>
      <c r="P359" s="169">
        <f>(INDEX(Models!$BJ359:$BT359,,T359)*(1-R359)+INDEX(Models!$BJ359:$BT359,,T359+1)*R359-ERP_i)*Q359*Ramure*Pc/MaxiM</f>
        <v>4.7985546497244418E-4</v>
      </c>
      <c r="Q359" s="305">
        <f t="shared" si="126"/>
        <v>0.7</v>
      </c>
      <c r="R359" s="177">
        <f t="shared" si="127"/>
        <v>0.99994305791078419</v>
      </c>
      <c r="S359" s="919">
        <f t="shared" si="128"/>
        <v>-2</v>
      </c>
      <c r="T359" s="176">
        <f t="shared" si="129"/>
        <v>4</v>
      </c>
      <c r="U359" s="251">
        <f t="shared" si="130"/>
        <v>-1.0000569420892158</v>
      </c>
      <c r="V359" s="383">
        <f t="shared" si="131"/>
        <v>24.965497926021417</v>
      </c>
      <c r="W359" s="58"/>
      <c r="X359" s="157">
        <f t="shared" si="132"/>
        <v>43810</v>
      </c>
      <c r="Y359" s="385">
        <f t="shared" si="133"/>
        <v>1.8049999999999999</v>
      </c>
      <c r="Z359" s="385">
        <f t="shared" si="134"/>
        <v>1.8275558681018311</v>
      </c>
      <c r="AA359" s="386">
        <f t="shared" si="135"/>
        <v>1.9517325584151473</v>
      </c>
      <c r="AB359" s="197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6.3623824779636004E-2</v>
      </c>
      <c r="AD359" s="231">
        <f>(INDEX(Models!$BJ359:$BT359,,AH359)*(1-AF359)+INDEX(Models!$BJ359:$BT359,,AH359+1)*AF359-ERP_i)*AE359*Ramure*Pc/MaxiM</f>
        <v>4.7985546497244418E-4</v>
      </c>
      <c r="AE359" s="305">
        <f t="shared" si="137"/>
        <v>0.7</v>
      </c>
      <c r="AF359" s="177">
        <f t="shared" si="138"/>
        <v>0.99994305791078419</v>
      </c>
      <c r="AG359" s="176">
        <f t="shared" si="139"/>
        <v>-2</v>
      </c>
      <c r="AH359" s="176">
        <f t="shared" si="140"/>
        <v>4</v>
      </c>
      <c r="AI359" s="225">
        <f t="shared" si="141"/>
        <v>-1.0000569420892158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8">
        <v>5.4020000000000001</v>
      </c>
      <c r="C360" s="390"/>
      <c r="D360" s="393">
        <f t="shared" si="123"/>
        <v>5.4696249508937038</v>
      </c>
      <c r="E360" s="385">
        <f t="shared" si="121"/>
        <v>5.8417586441817582</v>
      </c>
      <c r="F360" s="385">
        <f t="shared" si="124"/>
        <v>5.8417586441817582</v>
      </c>
      <c r="G360" s="110">
        <f t="shared" si="122"/>
        <v>0.21680396508913646</v>
      </c>
      <c r="H360" s="412" t="b">
        <f>Wh_hp&gt;='2018'!Maxi_hp</f>
        <v>1</v>
      </c>
      <c r="I360" s="390">
        <f>IF(H360,Wh_hp,'2018'!Maxi_hp)</f>
        <v>5.8417586441817582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1.2363727220941256E-2</v>
      </c>
      <c r="M360" s="957"/>
      <c r="N360" s="957"/>
      <c r="O360" s="48">
        <f>IF(t&lt;Tnet,'2018'!Resal+('2018'!Salim-'2018'!Resal)*(1-EXP(('2018'!Tnet-t)/('2018'!Tau_j))),Resal+(Salim-Resal)*(1-EXP((Tnet-t)/(Tau_j))))*Salcycl</f>
        <v>6.3702339647100953E-2</v>
      </c>
      <c r="P360" s="169">
        <f>(INDEX(Models!$BJ360:$BT360,,T360)*(1-R360)+INDEX(Models!$BJ360:$BT360,,T360+1)*R360-ERP_i)*Q360*Ramure*Pc/MaxiM</f>
        <v>4.8188515602915291E-4</v>
      </c>
      <c r="Q360" s="305">
        <f t="shared" si="126"/>
        <v>0.7</v>
      </c>
      <c r="R360" s="177">
        <f t="shared" si="127"/>
        <v>0.99995353402769882</v>
      </c>
      <c r="S360" s="919">
        <f t="shared" si="128"/>
        <v>-2</v>
      </c>
      <c r="T360" s="176">
        <f t="shared" si="129"/>
        <v>4</v>
      </c>
      <c r="U360" s="251">
        <f t="shared" si="130"/>
        <v>-1.0000464659723012</v>
      </c>
      <c r="V360" s="383">
        <f t="shared" si="131"/>
        <v>24.904511567245688</v>
      </c>
      <c r="W360" s="58"/>
      <c r="X360" s="157">
        <f t="shared" si="132"/>
        <v>43811</v>
      </c>
      <c r="Y360" s="385">
        <f t="shared" si="133"/>
        <v>5.4020000000000001</v>
      </c>
      <c r="Z360" s="385">
        <f t="shared" si="134"/>
        <v>5.4696249508937038</v>
      </c>
      <c r="AA360" s="386">
        <f t="shared" si="135"/>
        <v>5.8417586441817582</v>
      </c>
      <c r="AB360" s="197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6.3702339647100953E-2</v>
      </c>
      <c r="AD360" s="231">
        <f>(INDEX(Models!$BJ360:$BT360,,AH360)*(1-AF360)+INDEX(Models!$BJ360:$BT360,,AH360+1)*AF360-ERP_i)*AE360*Ramure*Pc/MaxiM</f>
        <v>4.8188515602915291E-4</v>
      </c>
      <c r="AE360" s="305">
        <f t="shared" si="137"/>
        <v>0.7</v>
      </c>
      <c r="AF360" s="177">
        <f t="shared" si="138"/>
        <v>0.99995353402769882</v>
      </c>
      <c r="AG360" s="176">
        <f t="shared" si="139"/>
        <v>-2</v>
      </c>
      <c r="AH360" s="176">
        <f t="shared" si="140"/>
        <v>4</v>
      </c>
      <c r="AI360" s="225">
        <f t="shared" si="141"/>
        <v>-1.0000464659723012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8">
        <v>1.5620000000000001</v>
      </c>
      <c r="C361" s="390"/>
      <c r="D361" s="393">
        <f t="shared" si="123"/>
        <v>1.5815885418655016</v>
      </c>
      <c r="E361" s="385">
        <f t="shared" ref="E361:E379" si="145">Wh_pvt/(1-Psa)</f>
        <v>1.6893363612185102</v>
      </c>
      <c r="F361" s="385">
        <f t="shared" si="124"/>
        <v>1.6893363612185102</v>
      </c>
      <c r="G361" s="110">
        <f t="shared" ref="G361:G379" si="146">+Wh_hp/MaxiM</f>
        <v>6.280581819525799E-2</v>
      </c>
      <c r="H361" s="412" t="b">
        <f>Wh_hp&gt;='2018'!Maxi_hp</f>
        <v>0</v>
      </c>
      <c r="I361" s="390">
        <f>IF(H361,Wh_hp,'2018'!Maxi_hp)</f>
        <v>1.8676741617675858</v>
      </c>
      <c r="J361" s="85">
        <f>IF(H361,An,'2018'!An_max)</f>
        <v>2018</v>
      </c>
      <c r="K361" s="197">
        <f t="shared" si="125"/>
        <v>43812</v>
      </c>
      <c r="L361" s="147">
        <f>IF(t&lt;Tvie,1-EXP((T0-t)*PertePVj)+'2018'!Pspv,1-EXP((T0-t)*PertePVj)+Pspv)</f>
        <v>1.2385358990016804E-2</v>
      </c>
      <c r="M361" s="957"/>
      <c r="N361" s="957"/>
      <c r="O361" s="48">
        <f>IF(t&lt;Tnet,'2018'!Resal+('2018'!Salim-'2018'!Resal)*(1-EXP(('2018'!Tnet-t)/('2018'!Tau_j))),Resal+(Salim-Resal)*(1-EXP((Tnet-t)/(Tau_j))))*Salcycl</f>
        <v>6.3781152070444186E-2</v>
      </c>
      <c r="P361" s="169">
        <f>(INDEX(Models!$BJ361:$BT361,,T361)*(1-R361)+INDEX(Models!$BJ361:$BT361,,T361+1)*R361-ERP_i)*Q361*Ramure*Pc/MaxiM</f>
        <v>4.8370675949888005E-4</v>
      </c>
      <c r="Q361" s="305">
        <f t="shared" si="126"/>
        <v>0.7</v>
      </c>
      <c r="R361" s="177">
        <f t="shared" si="127"/>
        <v>0.99996358875807489</v>
      </c>
      <c r="S361" s="919">
        <f t="shared" si="128"/>
        <v>-2</v>
      </c>
      <c r="T361" s="176">
        <f t="shared" si="129"/>
        <v>4</v>
      </c>
      <c r="U361" s="251">
        <f t="shared" si="130"/>
        <v>-1.0000364112419251</v>
      </c>
      <c r="V361" s="383">
        <f t="shared" si="131"/>
        <v>24.85827738423669</v>
      </c>
      <c r="W361" s="58"/>
      <c r="X361" s="157">
        <f t="shared" si="132"/>
        <v>43812</v>
      </c>
      <c r="Y361" s="385">
        <f t="shared" si="133"/>
        <v>1.5620000000000001</v>
      </c>
      <c r="Z361" s="385">
        <f t="shared" si="134"/>
        <v>1.5815885418655016</v>
      </c>
      <c r="AA361" s="386">
        <f t="shared" si="135"/>
        <v>1.6893363612185102</v>
      </c>
      <c r="AB361" s="197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6.3781152070444186E-2</v>
      </c>
      <c r="AD361" s="231">
        <f>(INDEX(Models!$BJ361:$BT361,,AH361)*(1-AF361)+INDEX(Models!$BJ361:$BT361,,AH361+1)*AF361-ERP_i)*AE361*Ramure*Pc/MaxiM</f>
        <v>4.8370675949888005E-4</v>
      </c>
      <c r="AE361" s="305">
        <f t="shared" si="137"/>
        <v>0.7</v>
      </c>
      <c r="AF361" s="177">
        <f t="shared" si="138"/>
        <v>0.99996358875807489</v>
      </c>
      <c r="AG361" s="176">
        <f t="shared" si="139"/>
        <v>-2</v>
      </c>
      <c r="AH361" s="176">
        <f t="shared" si="140"/>
        <v>4</v>
      </c>
      <c r="AI361" s="225">
        <f t="shared" si="141"/>
        <v>-1.0000364112419251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8">
        <v>11.53</v>
      </c>
      <c r="C362" s="390"/>
      <c r="D362" s="393">
        <f t="shared" si="123"/>
        <v>11.674849747398319</v>
      </c>
      <c r="E362" s="385">
        <f t="shared" si="145"/>
        <v>12.471267767864992</v>
      </c>
      <c r="F362" s="385">
        <f t="shared" si="124"/>
        <v>12.472689656076096</v>
      </c>
      <c r="G362" s="110">
        <f t="shared" si="146"/>
        <v>0.46425410416438956</v>
      </c>
      <c r="H362" s="412" t="b">
        <f>Wh_hp&gt;='2018'!Maxi_hp</f>
        <v>1</v>
      </c>
      <c r="I362" s="390">
        <f>IF(H362,Wh_hp,'2018'!Maxi_hp)</f>
        <v>12.472689656076096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1.2406990285301012E-2</v>
      </c>
      <c r="M362" s="957"/>
      <c r="N362" s="957"/>
      <c r="O362" s="48">
        <f>IF(t&lt;Tnet,'2018'!Resal+('2018'!Salim-'2018'!Resal)*(1-EXP(('2018'!Tnet-t)/('2018'!Tau_j))),Resal+(Salim-Resal)*(1-EXP((Tnet-t)/(Tau_j))))*Salcycl</f>
        <v>6.3860229392140935E-2</v>
      </c>
      <c r="P362" s="169">
        <f>(INDEX(Models!$BJ362:$BT362,,T362)*(1-R362)+INDEX(Models!$BJ362:$BT362,,T362+1)*R362-ERP_i)*Q362*Ramure*Pc/MaxiM</f>
        <v>4.8532354715772686E-4</v>
      </c>
      <c r="Q362" s="305">
        <f t="shared" si="126"/>
        <v>0.7</v>
      </c>
      <c r="R362" s="177">
        <f t="shared" si="127"/>
        <v>0.99997323903564417</v>
      </c>
      <c r="S362" s="919">
        <f t="shared" si="128"/>
        <v>-2</v>
      </c>
      <c r="T362" s="176">
        <f t="shared" si="129"/>
        <v>4</v>
      </c>
      <c r="U362" s="251">
        <f t="shared" si="130"/>
        <v>-1.0000267609643558</v>
      </c>
      <c r="V362" s="383">
        <f t="shared" si="131"/>
        <v>24.826313972141165</v>
      </c>
      <c r="W362" s="58"/>
      <c r="X362" s="157">
        <f t="shared" si="132"/>
        <v>43813</v>
      </c>
      <c r="Y362" s="385">
        <f t="shared" si="133"/>
        <v>11.53</v>
      </c>
      <c r="Z362" s="385">
        <f t="shared" si="134"/>
        <v>11.674849747398319</v>
      </c>
      <c r="AA362" s="386">
        <f t="shared" si="135"/>
        <v>12.471267767864992</v>
      </c>
      <c r="AB362" s="197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6.3860229392140935E-2</v>
      </c>
      <c r="AD362" s="231">
        <f>(INDEX(Models!$BJ362:$BT362,,AH362)*(1-AF362)+INDEX(Models!$BJ362:$BT362,,AH362+1)*AF362-ERP_i)*AE362*Ramure*Pc/MaxiM</f>
        <v>4.8532354715772686E-4</v>
      </c>
      <c r="AE362" s="305">
        <f t="shared" si="137"/>
        <v>0.7</v>
      </c>
      <c r="AF362" s="177">
        <f t="shared" si="138"/>
        <v>0.99997323903564417</v>
      </c>
      <c r="AG362" s="176">
        <f t="shared" si="139"/>
        <v>-2</v>
      </c>
      <c r="AH362" s="176">
        <f t="shared" si="140"/>
        <v>4</v>
      </c>
      <c r="AI362" s="225">
        <f t="shared" si="141"/>
        <v>-1.0000267609643558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8">
        <v>25.545000000000002</v>
      </c>
      <c r="C363" s="390"/>
      <c r="D363" s="393">
        <f t="shared" si="123"/>
        <v>25.866484738175728</v>
      </c>
      <c r="E363" s="385">
        <f t="shared" si="145"/>
        <v>27.63334825902789</v>
      </c>
      <c r="F363" s="385">
        <f t="shared" si="124"/>
        <v>27.64680505166011</v>
      </c>
      <c r="G363" s="110">
        <f t="shared" si="146"/>
        <v>1.0297023424611333</v>
      </c>
      <c r="H363" s="412" t="b">
        <f>Wh_hp&gt;='2018'!Maxi_hp</f>
        <v>1</v>
      </c>
      <c r="I363" s="390">
        <f>IF(H363,Wh_hp,'2018'!Maxi_hp)</f>
        <v>27.64680505166011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1.2428621106804427E-2</v>
      </c>
      <c r="M363" s="957"/>
      <c r="N363" s="957"/>
      <c r="O363" s="48">
        <f>IF(t&lt;Tnet,'2018'!Resal+('2018'!Salim-'2018'!Resal)*(1-EXP(('2018'!Tnet-t)/('2018'!Tau_j))),Resal+(Salim-Resal)*(1-EXP((Tnet-t)/(Tau_j))))*Salcycl</f>
        <v>6.3939537991923326E-2</v>
      </c>
      <c r="P363" s="169">
        <f>(INDEX(Models!$BJ363:$BT363,,T363)*(1-R363)+INDEX(Models!$BJ363:$BT363,,T363+1)*R363-ERP_i)*Q363*Ramure*Pc/MaxiM</f>
        <v>4.86739520428315E-4</v>
      </c>
      <c r="Q363" s="305">
        <f t="shared" si="126"/>
        <v>0.7</v>
      </c>
      <c r="R363" s="177">
        <f t="shared" si="127"/>
        <v>0.99998250111490061</v>
      </c>
      <c r="S363" s="919">
        <f t="shared" si="128"/>
        <v>-2</v>
      </c>
      <c r="T363" s="176">
        <f t="shared" si="129"/>
        <v>4</v>
      </c>
      <c r="U363" s="251">
        <f t="shared" si="130"/>
        <v>-1.0000174988850994</v>
      </c>
      <c r="V363" s="383">
        <f t="shared" si="131"/>
        <v>24.808140126149329</v>
      </c>
      <c r="W363" s="58"/>
      <c r="X363" s="157">
        <f t="shared" si="132"/>
        <v>43814</v>
      </c>
      <c r="Y363" s="385">
        <f t="shared" si="133"/>
        <v>25.545000000000002</v>
      </c>
      <c r="Z363" s="385">
        <f t="shared" si="134"/>
        <v>25.866484738175728</v>
      </c>
      <c r="AA363" s="386">
        <f t="shared" si="135"/>
        <v>27.63334825902789</v>
      </c>
      <c r="AB363" s="197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6.3939537991923326E-2</v>
      </c>
      <c r="AD363" s="231">
        <f>(INDEX(Models!$BJ363:$BT363,,AH363)*(1-AF363)+INDEX(Models!$BJ363:$BT363,,AH363+1)*AF363-ERP_i)*AE363*Ramure*Pc/MaxiM</f>
        <v>4.86739520428315E-4</v>
      </c>
      <c r="AE363" s="305">
        <f t="shared" si="137"/>
        <v>0.7</v>
      </c>
      <c r="AF363" s="177">
        <f t="shared" si="138"/>
        <v>0.99998250111490061</v>
      </c>
      <c r="AG363" s="176">
        <f t="shared" si="139"/>
        <v>-2</v>
      </c>
      <c r="AH363" s="176">
        <f t="shared" si="140"/>
        <v>4</v>
      </c>
      <c r="AI363" s="225">
        <f t="shared" si="141"/>
        <v>-1.0000174988850994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8">
        <v>14.397</v>
      </c>
      <c r="C364" s="390"/>
      <c r="D364" s="393">
        <f t="shared" si="123"/>
        <v>14.578506066357651</v>
      </c>
      <c r="E364" s="385">
        <f t="shared" si="145"/>
        <v>15.575643890869003</v>
      </c>
      <c r="F364" s="385">
        <f t="shared" si="124"/>
        <v>15.578689458119278</v>
      </c>
      <c r="G364" s="110">
        <f t="shared" si="146"/>
        <v>0.58027775257010206</v>
      </c>
      <c r="H364" s="412" t="b">
        <f>Wh_hp&gt;='2018'!Maxi_hp</f>
        <v>1</v>
      </c>
      <c r="I364" s="390">
        <f>IF(H364,Wh_hp,'2018'!Maxi_hp)</f>
        <v>15.578689458119278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1.2450251454537375E-2</v>
      </c>
      <c r="M364" s="957"/>
      <c r="N364" s="957"/>
      <c r="O364" s="48">
        <f>IF(t&lt;Tnet,'2018'!Resal+('2018'!Salim-'2018'!Resal)*(1-EXP(('2018'!Tnet-t)/('2018'!Tau_j))),Resal+(Salim-Resal)*(1-EXP((Tnet-t)/(Tau_j))))*Salcycl</f>
        <v>6.4019043546309523E-2</v>
      </c>
      <c r="P364" s="169">
        <f>(INDEX(Models!$BJ364:$BT364,,T364)*(1-R364)+INDEX(Models!$BJ364:$BT364,,T364+1)*R364-ERP_i)*Q364*Ramure*Pc/MaxiM</f>
        <v>4.8795937907700649E-4</v>
      </c>
      <c r="Q364" s="305">
        <f t="shared" si="126"/>
        <v>0.7</v>
      </c>
      <c r="R364" s="177">
        <f t="shared" si="127"/>
        <v>0.99999139059824582</v>
      </c>
      <c r="S364" s="919">
        <f t="shared" si="128"/>
        <v>-2</v>
      </c>
      <c r="T364" s="176">
        <f t="shared" si="129"/>
        <v>4</v>
      </c>
      <c r="U364" s="251">
        <f t="shared" si="130"/>
        <v>-1.0000086094017542</v>
      </c>
      <c r="V364" s="383">
        <f t="shared" si="131"/>
        <v>24.803274834793768</v>
      </c>
      <c r="W364" s="58"/>
      <c r="X364" s="157">
        <f t="shared" si="132"/>
        <v>43815</v>
      </c>
      <c r="Y364" s="385">
        <f t="shared" si="133"/>
        <v>14.397</v>
      </c>
      <c r="Z364" s="385">
        <f t="shared" si="134"/>
        <v>14.578506066357651</v>
      </c>
      <c r="AA364" s="386">
        <f t="shared" si="135"/>
        <v>15.575643890869003</v>
      </c>
      <c r="AB364" s="197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6.4019043546309523E-2</v>
      </c>
      <c r="AD364" s="231">
        <f>(INDEX(Models!$BJ364:$BT364,,AH364)*(1-AF364)+INDEX(Models!$BJ364:$BT364,,AH364+1)*AF364-ERP_i)*AE364*Ramure*Pc/MaxiM</f>
        <v>4.8795937907700649E-4</v>
      </c>
      <c r="AE364" s="305">
        <f t="shared" si="137"/>
        <v>0.7</v>
      </c>
      <c r="AF364" s="177">
        <f t="shared" si="138"/>
        <v>0.99999139059824582</v>
      </c>
      <c r="AG364" s="176">
        <f t="shared" si="139"/>
        <v>-2</v>
      </c>
      <c r="AH364" s="176">
        <f t="shared" si="140"/>
        <v>4</v>
      </c>
      <c r="AI364" s="225">
        <f t="shared" si="141"/>
        <v>-1.0000086094017542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8">
        <v>6.718</v>
      </c>
      <c r="C365" s="390"/>
      <c r="D365" s="393">
        <f t="shared" si="123"/>
        <v>6.8028442663867104</v>
      </c>
      <c r="E365" s="385">
        <f t="shared" si="145"/>
        <v>7.2687625804263973</v>
      </c>
      <c r="F365" s="385">
        <f t="shared" si="124"/>
        <v>7.2687625804263973</v>
      </c>
      <c r="G365" s="110">
        <f t="shared" si="146"/>
        <v>0.27063200824866707</v>
      </c>
      <c r="H365" s="412" t="b">
        <f>Wh_hp&gt;='2018'!Maxi_hp</f>
        <v>0</v>
      </c>
      <c r="I365" s="390">
        <f>IF(H365,Wh_hp,'2018'!Maxi_hp)</f>
        <v>21.280225439535702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1.247188132851007E-2</v>
      </c>
      <c r="M365" s="957"/>
      <c r="N365" s="957"/>
      <c r="O365" s="48">
        <f>IF(t&lt;Tnet,'2018'!Resal+('2018'!Salim-'2018'!Resal)*(1-EXP(('2018'!Tnet-t)/('2018'!Tau_j))),Resal+(Salim-Resal)*(1-EXP((Tnet-t)/(Tau_j))))*Salcycl</f>
        <v>6.4098711284686763E-2</v>
      </c>
      <c r="P365" s="169">
        <f>(INDEX(Models!$BJ365:$BT365,,T365)*(1-R365)+INDEX(Models!$BJ365:$BT365,,T365+1)*R365-ERP_i)*Q365*Ramure*Pc/MaxiM</f>
        <v>4.8898848520131509E-4</v>
      </c>
      <c r="Q365" s="305">
        <f t="shared" si="126"/>
        <v>0.7</v>
      </c>
      <c r="R365" s="177">
        <f t="shared" si="127"/>
        <v>0.99999992246205816</v>
      </c>
      <c r="S365" s="919">
        <f t="shared" si="128"/>
        <v>-2</v>
      </c>
      <c r="T365" s="176">
        <f t="shared" si="129"/>
        <v>4</v>
      </c>
      <c r="U365" s="251">
        <f t="shared" si="130"/>
        <v>-1.0000000775379418</v>
      </c>
      <c r="V365" s="383">
        <f t="shared" si="131"/>
        <v>24.811237291587034</v>
      </c>
      <c r="W365" s="58"/>
      <c r="X365" s="157">
        <f t="shared" si="132"/>
        <v>43816</v>
      </c>
      <c r="Y365" s="385">
        <f t="shared" si="133"/>
        <v>6.718</v>
      </c>
      <c r="Z365" s="385">
        <f t="shared" si="134"/>
        <v>6.8028442663867104</v>
      </c>
      <c r="AA365" s="386">
        <f t="shared" si="135"/>
        <v>7.2687625804263973</v>
      </c>
      <c r="AB365" s="197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6.4098711284686763E-2</v>
      </c>
      <c r="AD365" s="231">
        <f>(INDEX(Models!$BJ365:$BT365,,AH365)*(1-AF365)+INDEX(Models!$BJ365:$BT365,,AH365+1)*AF365-ERP_i)*AE365*Ramure*Pc/MaxiM</f>
        <v>4.8898848520131509E-4</v>
      </c>
      <c r="AE365" s="305">
        <f t="shared" si="137"/>
        <v>0.7</v>
      </c>
      <c r="AF365" s="177">
        <f t="shared" si="138"/>
        <v>0.99999992246205816</v>
      </c>
      <c r="AG365" s="176">
        <f t="shared" si="139"/>
        <v>-2</v>
      </c>
      <c r="AH365" s="176">
        <f t="shared" si="140"/>
        <v>4</v>
      </c>
      <c r="AI365" s="225">
        <f t="shared" si="141"/>
        <v>-1.0000000775379418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8">
        <v>16.391999999999999</v>
      </c>
      <c r="C366" s="390"/>
      <c r="D366" s="393">
        <f t="shared" si="123"/>
        <v>16.599384589458769</v>
      </c>
      <c r="E366" s="385">
        <f t="shared" si="145"/>
        <v>17.737768046729506</v>
      </c>
      <c r="F366" s="385">
        <f t="shared" si="124"/>
        <v>17.742237263715985</v>
      </c>
      <c r="G366" s="110">
        <f t="shared" si="146"/>
        <v>0.65997091707780664</v>
      </c>
      <c r="H366" s="412" t="b">
        <f>Wh_hp&gt;='2018'!Maxi_hp</f>
        <v>1</v>
      </c>
      <c r="I366" s="390">
        <f>IF(H366,Wh_hp,'2018'!Maxi_hp)</f>
        <v>17.742237263715985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1.2493510728733059E-2</v>
      </c>
      <c r="M366" s="957"/>
      <c r="N366" s="957"/>
      <c r="O366" s="48">
        <f>IF(t&lt;Tnet,'2018'!Resal+('2018'!Salim-'2018'!Resal)*(1-EXP(('2018'!Tnet-t)/('2018'!Tau_j))),Resal+(Salim-Resal)*(1-EXP((Tnet-t)/(Tau_j))))*Salcycl</f>
        <v>6.4178506240002126E-2</v>
      </c>
      <c r="P366" s="169">
        <f>(INDEX(Models!$BJ366:$BT366,,T366)*(1-R366)+INDEX(Models!$BJ366:$BT366,,T366+1)*R366-ERP_i)*Q366*Ramure*Pc/MaxiM</f>
        <v>4.8962585614803359E-4</v>
      </c>
      <c r="Q366" s="305">
        <f t="shared" si="126"/>
        <v>0.7</v>
      </c>
      <c r="R366" s="177">
        <f t="shared" si="127"/>
        <v>8.1110817276019986E-6</v>
      </c>
      <c r="S366" s="919">
        <f t="shared" si="128"/>
        <v>-1</v>
      </c>
      <c r="T366" s="176">
        <f t="shared" si="129"/>
        <v>5</v>
      </c>
      <c r="U366" s="251">
        <f t="shared" si="130"/>
        <v>-0.9999918889182724</v>
      </c>
      <c r="V366" s="383">
        <f t="shared" si="131"/>
        <v>24.831552032470437</v>
      </c>
      <c r="W366" s="58"/>
      <c r="X366" s="157">
        <f t="shared" si="132"/>
        <v>43817</v>
      </c>
      <c r="Y366" s="385">
        <f t="shared" si="133"/>
        <v>16.391999999999999</v>
      </c>
      <c r="Z366" s="385">
        <f t="shared" si="134"/>
        <v>16.599384589458769</v>
      </c>
      <c r="AA366" s="386">
        <f t="shared" si="135"/>
        <v>17.737768046729506</v>
      </c>
      <c r="AB366" s="197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6.4178506240002126E-2</v>
      </c>
      <c r="AD366" s="231">
        <f>(INDEX(Models!$BJ366:$BT366,,AH366)*(1-AF366)+INDEX(Models!$BJ366:$BT366,,AH366+1)*AF366-ERP_i)*AE366*Ramure*Pc/MaxiM</f>
        <v>4.8962585614803359E-4</v>
      </c>
      <c r="AE366" s="305">
        <f t="shared" si="137"/>
        <v>0.7</v>
      </c>
      <c r="AF366" s="177">
        <f t="shared" si="138"/>
        <v>8.1110817276019986E-6</v>
      </c>
      <c r="AG366" s="176">
        <f t="shared" si="139"/>
        <v>-1</v>
      </c>
      <c r="AH366" s="176">
        <f t="shared" si="140"/>
        <v>5</v>
      </c>
      <c r="AI366" s="225">
        <f t="shared" si="141"/>
        <v>-0.9999918889182724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8">
        <v>11.365</v>
      </c>
      <c r="C367" s="390"/>
      <c r="D367" s="393">
        <f t="shared" si="123"/>
        <v>11.509037207954639</v>
      </c>
      <c r="E367" s="385">
        <f t="shared" si="145"/>
        <v>12.299375306080931</v>
      </c>
      <c r="F367" s="385">
        <f t="shared" si="124"/>
        <v>12.300726968881774</v>
      </c>
      <c r="G367" s="110">
        <f t="shared" si="146"/>
        <v>0.45691764435347643</v>
      </c>
      <c r="H367" s="412" t="b">
        <f>Wh_hp&gt;='2018'!Maxi_hp</f>
        <v>0</v>
      </c>
      <c r="I367" s="390">
        <f>IF(H367,Wh_hp,'2018'!Maxi_hp)</f>
        <v>24.927812947970743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1.2515139655216778E-2</v>
      </c>
      <c r="M367" s="957"/>
      <c r="N367" s="957"/>
      <c r="O367" s="48">
        <f>IF(t&lt;Tnet,'2018'!Resal+('2018'!Salim-'2018'!Resal)*(1-EXP(('2018'!Tnet-t)/('2018'!Tau_j))),Resal+(Salim-Resal)*(1-EXP((Tnet-t)/(Tau_j))))*Salcycl</f>
        <v>6.4258393492191437E-2</v>
      </c>
      <c r="P367" s="169">
        <f>(INDEX(Models!$BJ367:$BT367,,T367)*(1-R367)+INDEX(Models!$BJ367:$BT367,,T367+1)*R367-ERP_i)*Q367*Ramure*Pc/MaxiM</f>
        <v>4.8964759788760082E-4</v>
      </c>
      <c r="Q367" s="305">
        <f t="shared" si="126"/>
        <v>0.7</v>
      </c>
      <c r="R367" s="177">
        <f t="shared" si="127"/>
        <v>1.5970255693775748E-5</v>
      </c>
      <c r="S367" s="919">
        <f t="shared" si="128"/>
        <v>-1</v>
      </c>
      <c r="T367" s="176">
        <f t="shared" si="129"/>
        <v>5</v>
      </c>
      <c r="U367" s="251">
        <f t="shared" si="130"/>
        <v>-0.99998402974430622</v>
      </c>
      <c r="V367" s="383">
        <f t="shared" si="131"/>
        <v>24.863744400698184</v>
      </c>
      <c r="W367" s="58"/>
      <c r="X367" s="157">
        <f t="shared" si="132"/>
        <v>43818</v>
      </c>
      <c r="Y367" s="385">
        <f t="shared" si="133"/>
        <v>11.365</v>
      </c>
      <c r="Z367" s="385">
        <f t="shared" si="134"/>
        <v>11.509037207954639</v>
      </c>
      <c r="AA367" s="386">
        <f t="shared" si="135"/>
        <v>12.299375306080931</v>
      </c>
      <c r="AB367" s="197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6.4258393492191437E-2</v>
      </c>
      <c r="AD367" s="231">
        <f>(INDEX(Models!$BJ367:$BT367,,AH367)*(1-AF367)+INDEX(Models!$BJ367:$BT367,,AH367+1)*AF367-ERP_i)*AE367*Ramure*Pc/MaxiM</f>
        <v>4.8964759788760082E-4</v>
      </c>
      <c r="AE367" s="305">
        <f t="shared" si="137"/>
        <v>0.7</v>
      </c>
      <c r="AF367" s="177">
        <f t="shared" si="138"/>
        <v>1.5970255693775748E-5</v>
      </c>
      <c r="AG367" s="176">
        <f t="shared" si="139"/>
        <v>-1</v>
      </c>
      <c r="AH367" s="176">
        <f t="shared" si="140"/>
        <v>5</v>
      </c>
      <c r="AI367" s="225">
        <f t="shared" si="141"/>
        <v>-0.99998402974430622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8">
        <v>7.81</v>
      </c>
      <c r="C368" s="390"/>
      <c r="D368" s="393">
        <f t="shared" si="123"/>
        <v>7.9091552452395124</v>
      </c>
      <c r="E368" s="385">
        <f t="shared" si="145"/>
        <v>8.453007716204171</v>
      </c>
      <c r="F368" s="385">
        <f t="shared" si="124"/>
        <v>8.4530878131602272</v>
      </c>
      <c r="G368" s="110">
        <f t="shared" si="146"/>
        <v>0.31341187813640753</v>
      </c>
      <c r="H368" s="412" t="b">
        <f>Wh_hp&gt;='2018'!Maxi_hp</f>
        <v>0</v>
      </c>
      <c r="I368" s="390">
        <f>IF(H368,Wh_hp,'2018'!Maxi_hp)</f>
        <v>15.88531155636926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1.253676810797133E-2</v>
      </c>
      <c r="M368" s="957"/>
      <c r="N368" s="957"/>
      <c r="O368" s="48">
        <f>IF(t&lt;Tnet,'2018'!Resal+('2018'!Salim-'2018'!Resal)*(1-EXP(('2018'!Tnet-t)/('2018'!Tau_j))),Resal+(Salim-Resal)*(1-EXP((Tnet-t)/(Tau_j))))*Salcycl</f>
        <v>6.4338338402567502E-2</v>
      </c>
      <c r="P368" s="169">
        <f>(INDEX(Models!$BJ368:$BT368,,T368)*(1-R368)+INDEX(Models!$BJ368:$BT368,,T368+1)*R368-ERP_i)*Q368*Ramure*Pc/MaxiM</f>
        <v>4.8906499783056198E-4</v>
      </c>
      <c r="Q368" s="305">
        <f t="shared" si="126"/>
        <v>0.7</v>
      </c>
      <c r="R368" s="177">
        <f t="shared" si="127"/>
        <v>2.3513228532112684E-5</v>
      </c>
      <c r="S368" s="919">
        <f t="shared" si="128"/>
        <v>-1</v>
      </c>
      <c r="T368" s="176">
        <f t="shared" si="129"/>
        <v>5</v>
      </c>
      <c r="U368" s="251">
        <f t="shared" si="130"/>
        <v>-0.99997648677146789</v>
      </c>
      <c r="V368" s="383">
        <f t="shared" si="131"/>
        <v>24.907334133891375</v>
      </c>
      <c r="W368" s="58"/>
      <c r="X368" s="157">
        <f t="shared" si="132"/>
        <v>43819</v>
      </c>
      <c r="Y368" s="385">
        <f t="shared" si="133"/>
        <v>7.81</v>
      </c>
      <c r="Z368" s="385">
        <f t="shared" si="134"/>
        <v>7.9091552452395124</v>
      </c>
      <c r="AA368" s="386">
        <f t="shared" si="135"/>
        <v>8.453007716204171</v>
      </c>
      <c r="AB368" s="197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6.4338338402567502E-2</v>
      </c>
      <c r="AD368" s="231">
        <f>(INDEX(Models!$BJ368:$BT368,,AH368)*(1-AF368)+INDEX(Models!$BJ368:$BT368,,AH368+1)*AF368-ERP_i)*AE368*Ramure*Pc/MaxiM</f>
        <v>4.8906499783056198E-4</v>
      </c>
      <c r="AE368" s="305">
        <f t="shared" si="137"/>
        <v>0.7</v>
      </c>
      <c r="AF368" s="177">
        <f t="shared" si="138"/>
        <v>2.3513228532112684E-5</v>
      </c>
      <c r="AG368" s="176">
        <f t="shared" si="139"/>
        <v>-1</v>
      </c>
      <c r="AH368" s="176">
        <f t="shared" si="140"/>
        <v>5</v>
      </c>
      <c r="AI368" s="225">
        <f t="shared" si="141"/>
        <v>-0.99997648677146789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8">
        <v>20.875</v>
      </c>
      <c r="C369" s="390"/>
      <c r="D369" s="393">
        <f t="shared" si="123"/>
        <v>21.140490655120683</v>
      </c>
      <c r="E369" s="385">
        <f t="shared" si="145"/>
        <v>22.596092687171399</v>
      </c>
      <c r="F369" s="385">
        <f t="shared" si="124"/>
        <v>22.604541758183334</v>
      </c>
      <c r="G369" s="110">
        <f t="shared" si="146"/>
        <v>0.83618098726725931</v>
      </c>
      <c r="H369" s="412" t="b">
        <f>Wh_hp&gt;='2018'!Maxi_hp</f>
        <v>1</v>
      </c>
      <c r="I369" s="390">
        <f>IF(H369,Wh_hp,'2018'!Maxi_hp)</f>
        <v>22.604541758183334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1.2558396087007373E-2</v>
      </c>
      <c r="M369" s="957"/>
      <c r="N369" s="957"/>
      <c r="O369" s="48">
        <f>IF(t&lt;Tnet,'2018'!Resal+('2018'!Salim-'2018'!Resal)*(1-EXP(('2018'!Tnet-t)/('2018'!Tau_j))),Resal+(Salim-Resal)*(1-EXP((Tnet-t)/(Tau_j))))*Salcycl</f>
        <v>6.4418306837496372E-2</v>
      </c>
      <c r="P369" s="169">
        <f>(INDEX(Models!$BJ369:$BT369,,T369)*(1-R369)+INDEX(Models!$BJ369:$BT369,,T369+1)*R369-ERP_i)*Q369*Ramure*Pc/MaxiM</f>
        <v>4.8789072778546898E-4</v>
      </c>
      <c r="Q369" s="305">
        <f t="shared" si="126"/>
        <v>0.7</v>
      </c>
      <c r="R369" s="177">
        <f t="shared" si="127"/>
        <v>3.075271311903105E-5</v>
      </c>
      <c r="S369" s="919">
        <f t="shared" si="128"/>
        <v>-1</v>
      </c>
      <c r="T369" s="176">
        <f t="shared" si="129"/>
        <v>5</v>
      </c>
      <c r="U369" s="251">
        <f t="shared" si="130"/>
        <v>-0.99996924728688097</v>
      </c>
      <c r="V369" s="383">
        <f t="shared" si="131"/>
        <v>24.961841174636646</v>
      </c>
      <c r="W369" s="58"/>
      <c r="X369" s="157">
        <f t="shared" si="132"/>
        <v>43820</v>
      </c>
      <c r="Y369" s="385">
        <f t="shared" si="133"/>
        <v>20.875</v>
      </c>
      <c r="Z369" s="385">
        <f t="shared" si="134"/>
        <v>21.140490655120683</v>
      </c>
      <c r="AA369" s="386">
        <f t="shared" si="135"/>
        <v>22.596092687171399</v>
      </c>
      <c r="AB369" s="197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6.4418306837496372E-2</v>
      </c>
      <c r="AD369" s="231">
        <f>(INDEX(Models!$BJ369:$BT369,,AH369)*(1-AF369)+INDEX(Models!$BJ369:$BT369,,AH369+1)*AF369-ERP_i)*AE369*Ramure*Pc/MaxiM</f>
        <v>4.8789072778546898E-4</v>
      </c>
      <c r="AE369" s="305">
        <f t="shared" si="137"/>
        <v>0.7</v>
      </c>
      <c r="AF369" s="177">
        <f t="shared" si="138"/>
        <v>3.075271311903105E-5</v>
      </c>
      <c r="AG369" s="176">
        <f t="shared" si="139"/>
        <v>-1</v>
      </c>
      <c r="AH369" s="176">
        <f t="shared" si="140"/>
        <v>5</v>
      </c>
      <c r="AI369" s="225">
        <f t="shared" si="141"/>
        <v>-0.99996924728688097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8">
        <v>6.3310000000000004</v>
      </c>
      <c r="C370" s="390"/>
      <c r="D370" s="393">
        <f t="shared" si="123"/>
        <v>6.411658819211687</v>
      </c>
      <c r="E370" s="385">
        <f t="shared" si="145"/>
        <v>6.8537113101289897</v>
      </c>
      <c r="F370" s="385">
        <f t="shared" si="124"/>
        <v>6.8537113101289897</v>
      </c>
      <c r="G370" s="110">
        <f t="shared" si="146"/>
        <v>0.25284598436861927</v>
      </c>
      <c r="H370" s="412" t="b">
        <f>Wh_hp&gt;='2018'!Maxi_hp</f>
        <v>0</v>
      </c>
      <c r="I370" s="390">
        <f>IF(H370,Wh_hp,'2018'!Maxi_hp)</f>
        <v>7.1650503790916655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1.2580023592335121E-2</v>
      </c>
      <c r="M370" s="957"/>
      <c r="N370" s="957"/>
      <c r="O370" s="48">
        <f>IF(t&lt;Tnet,'2018'!Resal+('2018'!Salim-'2018'!Resal)*(1-EXP(('2018'!Tnet-t)/('2018'!Tau_j))),Resal+(Salim-Resal)*(1-EXP((Tnet-t)/(Tau_j))))*Salcycl</f>
        <v>6.4498265379809641E-2</v>
      </c>
      <c r="P370" s="169">
        <f>(INDEX(Models!$BJ370:$BT370,,T370)*(1-R370)+INDEX(Models!$BJ370:$BT370,,T370+1)*R370-ERP_i)*Q370*Ramure*Pc/MaxiM</f>
        <v>4.8613855694627198E-4</v>
      </c>
      <c r="Q370" s="305">
        <f t="shared" si="126"/>
        <v>0.7</v>
      </c>
      <c r="R370" s="177">
        <f t="shared" si="127"/>
        <v>3.7700911916349611E-5</v>
      </c>
      <c r="S370" s="919">
        <f t="shared" si="128"/>
        <v>-1</v>
      </c>
      <c r="T370" s="176">
        <f t="shared" si="129"/>
        <v>5</v>
      </c>
      <c r="U370" s="251">
        <f t="shared" si="130"/>
        <v>-0.99996229908808365</v>
      </c>
      <c r="V370" s="383">
        <f t="shared" si="131"/>
        <v>25.02678566399781</v>
      </c>
      <c r="W370" s="58"/>
      <c r="X370" s="157">
        <f t="shared" si="132"/>
        <v>43821</v>
      </c>
      <c r="Y370" s="385">
        <f t="shared" si="133"/>
        <v>6.3310000000000004</v>
      </c>
      <c r="Z370" s="385">
        <f t="shared" si="134"/>
        <v>6.411658819211687</v>
      </c>
      <c r="AA370" s="386">
        <f t="shared" si="135"/>
        <v>6.8537113101289897</v>
      </c>
      <c r="AB370" s="197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6.4498265379809641E-2</v>
      </c>
      <c r="AD370" s="231">
        <f>(INDEX(Models!$BJ370:$BT370,,AH370)*(1-AF370)+INDEX(Models!$BJ370:$BT370,,AH370+1)*AF370-ERP_i)*AE370*Ramure*Pc/MaxiM</f>
        <v>4.8613855694627198E-4</v>
      </c>
      <c r="AE370" s="305">
        <f t="shared" si="137"/>
        <v>0.7</v>
      </c>
      <c r="AF370" s="177">
        <f t="shared" si="138"/>
        <v>3.7700911916349611E-5</v>
      </c>
      <c r="AG370" s="176">
        <f t="shared" si="139"/>
        <v>-1</v>
      </c>
      <c r="AH370" s="176">
        <f t="shared" si="140"/>
        <v>5</v>
      </c>
      <c r="AI370" s="225">
        <f t="shared" si="141"/>
        <v>-0.99996229908808365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8">
        <v>7.008</v>
      </c>
      <c r="C371" s="390"/>
      <c r="D371" s="393">
        <f t="shared" si="123"/>
        <v>7.0974394523026634</v>
      </c>
      <c r="E371" s="385">
        <f t="shared" si="145"/>
        <v>7.5874213238741071</v>
      </c>
      <c r="F371" s="385">
        <f t="shared" si="124"/>
        <v>7.5874213238741071</v>
      </c>
      <c r="G371" s="110">
        <f t="shared" si="146"/>
        <v>0.27904933665225828</v>
      </c>
      <c r="H371" s="412" t="b">
        <f>Wh_hp&gt;='2018'!Maxi_hp</f>
        <v>1</v>
      </c>
      <c r="I371" s="390">
        <f>IF(H371,Wh_hp,'2018'!Maxi_hp)</f>
        <v>7.5874213238741071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1.2601650623965011E-2</v>
      </c>
      <c r="M371" s="957"/>
      <c r="N371" s="957"/>
      <c r="O371" s="48">
        <f>IF(t&lt;Tnet,'2018'!Resal+('2018'!Salim-'2018'!Resal)*(1-EXP(('2018'!Tnet-t)/('2018'!Tau_j))),Resal+(Salim-Resal)*(1-EXP((Tnet-t)/(Tau_j))))*Salcycl</f>
        <v>6.45781815265348E-2</v>
      </c>
      <c r="P371" s="169">
        <f>(INDEX(Models!$BJ371:$BT371,,T371)*(1-R371)+INDEX(Models!$BJ371:$BT371,,T371+1)*R371-ERP_i)*Q371*Ramure*Pc/MaxiM</f>
        <v>4.8380766976852498E-4</v>
      </c>
      <c r="Q371" s="305">
        <f t="shared" si="126"/>
        <v>0.7</v>
      </c>
      <c r="R371" s="177">
        <f t="shared" si="127"/>
        <v>3.7700911916349611E-5</v>
      </c>
      <c r="S371" s="919">
        <f t="shared" si="128"/>
        <v>-1</v>
      </c>
      <c r="T371" s="176">
        <f t="shared" si="129"/>
        <v>5</v>
      </c>
      <c r="U371" s="251">
        <f t="shared" si="130"/>
        <v>-0.99996229908808365</v>
      </c>
      <c r="V371" s="383">
        <f t="shared" si="131"/>
        <v>25.101688324667712</v>
      </c>
      <c r="W371" s="58"/>
      <c r="X371" s="157">
        <f t="shared" si="132"/>
        <v>43822</v>
      </c>
      <c r="Y371" s="385">
        <f t="shared" si="133"/>
        <v>7.008</v>
      </c>
      <c r="Z371" s="385">
        <f t="shared" si="134"/>
        <v>7.0974394523026634</v>
      </c>
      <c r="AA371" s="386">
        <f t="shared" si="135"/>
        <v>7.5874213238741071</v>
      </c>
      <c r="AB371" s="197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6.45781815265348E-2</v>
      </c>
      <c r="AD371" s="231">
        <f>(INDEX(Models!$BJ371:$BT371,,AH371)*(1-AF371)+INDEX(Models!$BJ371:$BT371,,AH371+1)*AF371-ERP_i)*AE371*Ramure*Pc/MaxiM</f>
        <v>4.8380766976852498E-4</v>
      </c>
      <c r="AE371" s="305">
        <f t="shared" si="137"/>
        <v>0.7</v>
      </c>
      <c r="AF371" s="177">
        <f t="shared" si="138"/>
        <v>3.7700911916349611E-5</v>
      </c>
      <c r="AG371" s="176">
        <f t="shared" si="139"/>
        <v>-1</v>
      </c>
      <c r="AH371" s="176">
        <f t="shared" si="140"/>
        <v>5</v>
      </c>
      <c r="AI371" s="225">
        <f t="shared" si="141"/>
        <v>-0.99996229908808365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8">
        <v>13.968999999999999</v>
      </c>
      <c r="C372" s="390"/>
      <c r="D372" s="393">
        <f t="shared" si="123"/>
        <v>14.147588936602419</v>
      </c>
      <c r="E372" s="385">
        <f t="shared" si="145"/>
        <v>15.125578983596634</v>
      </c>
      <c r="F372" s="385">
        <f t="shared" si="124"/>
        <v>15.128225557099897</v>
      </c>
      <c r="G372" s="110">
        <f t="shared" si="146"/>
        <v>0.55446226088680373</v>
      </c>
      <c r="H372" s="412" t="b">
        <f>Wh_hp&gt;='2018'!Maxi_hp</f>
        <v>1</v>
      </c>
      <c r="I372" s="390">
        <f>IF(H372,Wh_hp,'2018'!Maxi_hp)</f>
        <v>15.128225557099897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1.2623277181907477E-2</v>
      </c>
      <c r="M372" s="957"/>
      <c r="N372" s="957"/>
      <c r="O372" s="48">
        <f>IF(t&lt;Tnet,'2018'!Resal+('2018'!Salim-'2018'!Resal)*(1-EXP(('2018'!Tnet-t)/('2018'!Tau_j))),Resal+(Salim-Resal)*(1-EXP((Tnet-t)/(Tau_j))))*Salcycl</f>
        <v>6.465802387166962E-2</v>
      </c>
      <c r="P372" s="169">
        <f>(INDEX(Models!$BJ372:$BT372,,T372)*(1-R372)+INDEX(Models!$BJ372:$BT372,,T372+1)*R372-ERP_i)*Q372*Ramure*Pc/MaxiM</f>
        <v>4.8092906801744216E-4</v>
      </c>
      <c r="Q372" s="305">
        <f t="shared" si="126"/>
        <v>0.7</v>
      </c>
      <c r="R372" s="177">
        <f t="shared" si="127"/>
        <v>3.7700911916349611E-5</v>
      </c>
      <c r="S372" s="919">
        <f t="shared" si="128"/>
        <v>-1</v>
      </c>
      <c r="T372" s="176">
        <f t="shared" si="129"/>
        <v>5</v>
      </c>
      <c r="U372" s="251">
        <f t="shared" si="130"/>
        <v>-0.99996229908808365</v>
      </c>
      <c r="V372" s="383">
        <f t="shared" si="131"/>
        <v>25.186069304353058</v>
      </c>
      <c r="W372" s="58"/>
      <c r="X372" s="157">
        <f t="shared" si="132"/>
        <v>43823</v>
      </c>
      <c r="Y372" s="385">
        <f t="shared" si="133"/>
        <v>13.968999999999999</v>
      </c>
      <c r="Z372" s="385">
        <f t="shared" si="134"/>
        <v>14.147588936602419</v>
      </c>
      <c r="AA372" s="386">
        <f t="shared" si="135"/>
        <v>15.125578983596634</v>
      </c>
      <c r="AB372" s="197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6.465802387166962E-2</v>
      </c>
      <c r="AD372" s="231">
        <f>(INDEX(Models!$BJ372:$BT372,,AH372)*(1-AF372)+INDEX(Models!$BJ372:$BT372,,AH372+1)*AF372-ERP_i)*AE372*Ramure*Pc/MaxiM</f>
        <v>4.8092906801744216E-4</v>
      </c>
      <c r="AE372" s="305">
        <f t="shared" si="137"/>
        <v>0.7</v>
      </c>
      <c r="AF372" s="177">
        <f t="shared" si="138"/>
        <v>3.7700911916349611E-5</v>
      </c>
      <c r="AG372" s="176">
        <f t="shared" si="139"/>
        <v>-1</v>
      </c>
      <c r="AH372" s="176">
        <f t="shared" si="140"/>
        <v>5</v>
      </c>
      <c r="AI372" s="225">
        <f t="shared" si="141"/>
        <v>-0.99996229908808365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8">
        <v>17.347999999999999</v>
      </c>
      <c r="C373" s="390"/>
      <c r="D373" s="393">
        <f t="shared" si="123"/>
        <v>17.570173139721685</v>
      </c>
      <c r="E373" s="385">
        <f t="shared" si="145"/>
        <v>18.786360050653638</v>
      </c>
      <c r="F373" s="385">
        <f t="shared" si="124"/>
        <v>18.791308820692279</v>
      </c>
      <c r="G373" s="110">
        <f t="shared" si="146"/>
        <v>0.68597826745996027</v>
      </c>
      <c r="H373" s="412" t="b">
        <f>Wh_hp&gt;='2018'!Maxi_hp</f>
        <v>1</v>
      </c>
      <c r="I373" s="390">
        <f>IF(H373,Wh_hp,'2018'!Maxi_hp)</f>
        <v>18.791308820692279</v>
      </c>
      <c r="J373" s="85">
        <f>IF(H373,An,'2018'!An_max)</f>
        <v>2019</v>
      </c>
      <c r="K373" s="197">
        <f t="shared" si="125"/>
        <v>43824</v>
      </c>
      <c r="L373" s="147">
        <f>IF(t&lt;Tvie,1-EXP((T0-t)*PertePVj)+'2018'!Pspv,1-EXP((T0-t)*PertePVj)+Pspv)</f>
        <v>1.2644903266172736E-2</v>
      </c>
      <c r="M373" s="957"/>
      <c r="N373" s="957"/>
      <c r="O373" s="48">
        <f>IF(t&lt;Tnet,'2018'!Resal+('2018'!Salim-'2018'!Resal)*(1-EXP(('2018'!Tnet-t)/('2018'!Tau_j))),Resal+(Salim-Resal)*(1-EXP((Tnet-t)/(Tau_j))))*Salcycl</f>
        <v>6.4737762272880389E-2</v>
      </c>
      <c r="P373" s="169">
        <f>(INDEX(Models!$BJ373:$BT373,,T373)*(1-R373)+INDEX(Models!$BJ373:$BT373,,T373+1)*R373-ERP_i)*Q373*Ramure*Pc/MaxiM</f>
        <v>4.7743048828488295E-4</v>
      </c>
      <c r="Q373" s="305">
        <f t="shared" si="126"/>
        <v>0.7</v>
      </c>
      <c r="R373" s="177">
        <f t="shared" si="127"/>
        <v>3.7700911916349611E-5</v>
      </c>
      <c r="S373" s="919">
        <f t="shared" si="128"/>
        <v>-1</v>
      </c>
      <c r="T373" s="176">
        <f t="shared" si="129"/>
        <v>5</v>
      </c>
      <c r="U373" s="251">
        <f t="shared" si="130"/>
        <v>-0.99996229908808365</v>
      </c>
      <c r="V373" s="383">
        <f t="shared" si="131"/>
        <v>25.284015615267236</v>
      </c>
      <c r="W373" s="58"/>
      <c r="X373" s="157">
        <f t="shared" si="132"/>
        <v>43824</v>
      </c>
      <c r="Y373" s="385">
        <f t="shared" si="133"/>
        <v>17.347999999999999</v>
      </c>
      <c r="Z373" s="385">
        <f t="shared" si="134"/>
        <v>17.570173139721685</v>
      </c>
      <c r="AA373" s="386">
        <f t="shared" si="135"/>
        <v>18.786360050653638</v>
      </c>
      <c r="AB373" s="197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6.4737762272880389E-2</v>
      </c>
      <c r="AD373" s="231">
        <f>(INDEX(Models!$BJ373:$BT373,,AH373)*(1-AF373)+INDEX(Models!$BJ373:$BT373,,AH373+1)*AF373-ERP_i)*AE373*Ramure*Pc/MaxiM</f>
        <v>4.7743048828488295E-4</v>
      </c>
      <c r="AE373" s="305">
        <f t="shared" si="137"/>
        <v>0.7</v>
      </c>
      <c r="AF373" s="177">
        <f t="shared" si="138"/>
        <v>3.7700911916349611E-5</v>
      </c>
      <c r="AG373" s="176">
        <f t="shared" si="139"/>
        <v>-1</v>
      </c>
      <c r="AH373" s="176">
        <f t="shared" si="140"/>
        <v>5</v>
      </c>
      <c r="AI373" s="225">
        <f t="shared" si="141"/>
        <v>-0.99996229908808365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8">
        <v>6.2350000000000003</v>
      </c>
      <c r="C374" s="390"/>
      <c r="D374" s="393">
        <f t="shared" si="123"/>
        <v>6.314988990403438</v>
      </c>
      <c r="E374" s="385">
        <f t="shared" si="145"/>
        <v>6.7526799304494727</v>
      </c>
      <c r="F374" s="385">
        <f t="shared" si="124"/>
        <v>6.7526799304494727</v>
      </c>
      <c r="G374" s="110">
        <f t="shared" si="146"/>
        <v>0.24536625030493048</v>
      </c>
      <c r="H374" s="412" t="b">
        <f>Wh_hp&gt;='2018'!Maxi_hp</f>
        <v>0</v>
      </c>
      <c r="I374" s="390">
        <f>IF(H374,Wh_hp,'2018'!Maxi_hp)</f>
        <v>26.329619230701343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1.2666528876771221E-2</v>
      </c>
      <c r="M374" s="957"/>
      <c r="N374" s="957"/>
      <c r="O374" s="48">
        <f>IF(t&lt;Tnet,'2018'!Resal+('2018'!Salim-'2018'!Resal)*(1-EXP(('2018'!Tnet-t)/('2018'!Tau_j))),Resal+(Salim-Resal)*(1-EXP((Tnet-t)/(Tau_j))))*Salcycl</f>
        <v>6.4817368001166442E-2</v>
      </c>
      <c r="P374" s="169">
        <f>(INDEX(Models!$BJ374:$BT374,,T374)*(1-R374)+INDEX(Models!$BJ374:$BT374,,T374+1)*R374-ERP_i)*Q374*Ramure*Pc/MaxiM</f>
        <v>4.7325675568670459E-4</v>
      </c>
      <c r="Q374" s="305">
        <f t="shared" si="126"/>
        <v>0.7</v>
      </c>
      <c r="R374" s="177">
        <f t="shared" si="127"/>
        <v>3.7700911916349611E-5</v>
      </c>
      <c r="S374" s="919">
        <f t="shared" si="128"/>
        <v>-1</v>
      </c>
      <c r="T374" s="176">
        <f t="shared" si="129"/>
        <v>5</v>
      </c>
      <c r="U374" s="251">
        <f t="shared" si="130"/>
        <v>-0.99996229908808365</v>
      </c>
      <c r="V374" s="383">
        <f t="shared" si="131"/>
        <v>25.398966795080316</v>
      </c>
      <c r="W374" s="58"/>
      <c r="X374" s="157">
        <f t="shared" si="132"/>
        <v>43825</v>
      </c>
      <c r="Y374" s="385">
        <f t="shared" si="133"/>
        <v>6.2350000000000003</v>
      </c>
      <c r="Z374" s="385">
        <f t="shared" si="134"/>
        <v>6.314988990403438</v>
      </c>
      <c r="AA374" s="386">
        <f t="shared" si="135"/>
        <v>6.7526799304494727</v>
      </c>
      <c r="AB374" s="197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6.4817368001166442E-2</v>
      </c>
      <c r="AD374" s="231">
        <f>(INDEX(Models!$BJ374:$BT374,,AH374)*(1-AF374)+INDEX(Models!$BJ374:$BT374,,AH374+1)*AF374-ERP_i)*AE374*Ramure*Pc/MaxiM</f>
        <v>4.7325675568670459E-4</v>
      </c>
      <c r="AE374" s="305">
        <f t="shared" si="137"/>
        <v>0.7</v>
      </c>
      <c r="AF374" s="177">
        <f t="shared" si="138"/>
        <v>3.7700911916349611E-5</v>
      </c>
      <c r="AG374" s="176">
        <f t="shared" si="139"/>
        <v>-1</v>
      </c>
      <c r="AH374" s="176">
        <f t="shared" si="140"/>
        <v>5</v>
      </c>
      <c r="AI374" s="225">
        <f t="shared" si="141"/>
        <v>-0.99996229908808365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8">
        <v>22.507999999999999</v>
      </c>
      <c r="C375" s="390"/>
      <c r="D375" s="393">
        <f t="shared" si="123"/>
        <v>22.797255083590507</v>
      </c>
      <c r="E375" s="385">
        <f t="shared" si="145"/>
        <v>24.379400500178683</v>
      </c>
      <c r="F375" s="385">
        <f t="shared" si="124"/>
        <v>24.388897989478146</v>
      </c>
      <c r="G375" s="110">
        <f t="shared" si="146"/>
        <v>0.88157795825984164</v>
      </c>
      <c r="H375" s="412" t="b">
        <f>Wh_hp&gt;='2018'!Maxi_hp</f>
        <v>0</v>
      </c>
      <c r="I375" s="390">
        <f>IF(H375,Wh_hp,'2018'!Maxi_hp)</f>
        <v>27.615988001355355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1.2688154013713371E-2</v>
      </c>
      <c r="M375" s="957"/>
      <c r="N375" s="957"/>
      <c r="O375" s="48">
        <f>IF(t&lt;Tnet,'2018'!Resal+('2018'!Salim-'2018'!Resal)*(1-EXP(('2018'!Tnet-t)/('2018'!Tau_j))),Resal+(Salim-Resal)*(1-EXP((Tnet-t)/(Tau_j))))*Salcycl</f>
        <v>6.489681387270281E-2</v>
      </c>
      <c r="P375" s="169">
        <f>(INDEX(Models!$BJ375:$BT375,,T375)*(1-R375)+INDEX(Models!$BJ375:$BT375,,T375+1)*R375-ERP_i)*Q375*Ramure*Pc/MaxiM</f>
        <v>4.6865639994258959E-4</v>
      </c>
      <c r="Q375" s="305">
        <f t="shared" si="126"/>
        <v>0.7</v>
      </c>
      <c r="R375" s="177">
        <f t="shared" si="127"/>
        <v>3.7700911916349611E-5</v>
      </c>
      <c r="S375" s="919">
        <f t="shared" si="128"/>
        <v>-1</v>
      </c>
      <c r="T375" s="176">
        <f t="shared" si="129"/>
        <v>5</v>
      </c>
      <c r="U375" s="251">
        <f t="shared" si="130"/>
        <v>-0.99996229908808365</v>
      </c>
      <c r="V375" s="383">
        <f t="shared" si="131"/>
        <v>25.529467483639863</v>
      </c>
      <c r="W375" s="58"/>
      <c r="X375" s="157">
        <f t="shared" si="132"/>
        <v>43826</v>
      </c>
      <c r="Y375" s="385">
        <f t="shared" si="133"/>
        <v>22.507999999999999</v>
      </c>
      <c r="Z375" s="385">
        <f t="shared" si="134"/>
        <v>22.797255083590507</v>
      </c>
      <c r="AA375" s="386">
        <f t="shared" si="135"/>
        <v>24.379400500178683</v>
      </c>
      <c r="AB375" s="197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6.489681387270281E-2</v>
      </c>
      <c r="AD375" s="231">
        <f>(INDEX(Models!$BJ375:$BT375,,AH375)*(1-AF375)+INDEX(Models!$BJ375:$BT375,,AH375+1)*AF375-ERP_i)*AE375*Ramure*Pc/MaxiM</f>
        <v>4.6865639994258959E-4</v>
      </c>
      <c r="AE375" s="305">
        <f t="shared" si="137"/>
        <v>0.7</v>
      </c>
      <c r="AF375" s="177">
        <f t="shared" si="138"/>
        <v>3.7700911916349611E-5</v>
      </c>
      <c r="AG375" s="176">
        <f t="shared" si="139"/>
        <v>-1</v>
      </c>
      <c r="AH375" s="176">
        <f t="shared" si="140"/>
        <v>5</v>
      </c>
      <c r="AI375" s="225">
        <f t="shared" si="141"/>
        <v>-0.99996229908808365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8">
        <v>3.6709999999999998</v>
      </c>
      <c r="C376" s="390"/>
      <c r="D376" s="393">
        <f t="shared" si="123"/>
        <v>3.7182582392852832</v>
      </c>
      <c r="E376" s="385">
        <f t="shared" si="145"/>
        <v>3.9766450219433267</v>
      </c>
      <c r="F376" s="385">
        <f t="shared" si="124"/>
        <v>3.9766450219433267</v>
      </c>
      <c r="G376" s="110">
        <f t="shared" si="146"/>
        <v>0.14291844379274957</v>
      </c>
      <c r="H376" s="412" t="b">
        <f>Wh_hp&gt;='2018'!Maxi_hp</f>
        <v>1</v>
      </c>
      <c r="I376" s="390">
        <f>IF(H376,Wh_hp,'2018'!Maxi_hp)</f>
        <v>3.9766450219433267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1.270977867700962E-2</v>
      </c>
      <c r="M376" s="957"/>
      <c r="N376" s="957"/>
      <c r="O376" s="48">
        <f>IF(t&lt;Tnet,'2018'!Resal+('2018'!Salim-'2018'!Resal)*(1-EXP(('2018'!Tnet-t)/('2018'!Tau_j))),Resal+(Salim-Resal)*(1-EXP((Tnet-t)/(Tau_j))))*Salcycl</f>
        <v>6.4976074362245576E-2</v>
      </c>
      <c r="P376" s="169">
        <f>(INDEX(Models!$BJ376:$BT376,,T376)*(1-R376)+INDEX(Models!$BJ376:$BT376,,T376+1)*R376-ERP_i)*Q376*Ramure*Pc/MaxiM</f>
        <v>4.6387986211499235E-4</v>
      </c>
      <c r="Q376" s="305">
        <f t="shared" si="126"/>
        <v>0.7</v>
      </c>
      <c r="R376" s="177">
        <f t="shared" si="127"/>
        <v>3.7700911916349611E-5</v>
      </c>
      <c r="S376" s="919">
        <f t="shared" si="128"/>
        <v>-1</v>
      </c>
      <c r="T376" s="176">
        <f t="shared" si="129"/>
        <v>5</v>
      </c>
      <c r="U376" s="251">
        <f t="shared" si="130"/>
        <v>-0.99996229908808365</v>
      </c>
      <c r="V376" s="383">
        <f t="shared" si="131"/>
        <v>25.674062770702545</v>
      </c>
      <c r="W376" s="58"/>
      <c r="X376" s="157">
        <f t="shared" si="132"/>
        <v>43827</v>
      </c>
      <c r="Y376" s="385">
        <f t="shared" si="133"/>
        <v>3.6709999999999998</v>
      </c>
      <c r="Z376" s="385">
        <f t="shared" si="134"/>
        <v>3.7182582392852832</v>
      </c>
      <c r="AA376" s="386">
        <f t="shared" si="135"/>
        <v>3.9766450219433267</v>
      </c>
      <c r="AB376" s="197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6.4976074362245576E-2</v>
      </c>
      <c r="AD376" s="231">
        <f>(INDEX(Models!$BJ376:$BT376,,AH376)*(1-AF376)+INDEX(Models!$BJ376:$BT376,,AH376+1)*AF376-ERP_i)*AE376*Ramure*Pc/MaxiM</f>
        <v>4.6387986211499235E-4</v>
      </c>
      <c r="AE376" s="305">
        <f t="shared" si="137"/>
        <v>0.7</v>
      </c>
      <c r="AF376" s="177">
        <f t="shared" si="138"/>
        <v>3.7700911916349611E-5</v>
      </c>
      <c r="AG376" s="176">
        <f t="shared" si="139"/>
        <v>-1</v>
      </c>
      <c r="AH376" s="176">
        <f t="shared" si="140"/>
        <v>5</v>
      </c>
      <c r="AI376" s="225">
        <f t="shared" si="141"/>
        <v>-0.99996229908808365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8">
        <v>25.116</v>
      </c>
      <c r="C377" s="390"/>
      <c r="D377" s="393">
        <f t="shared" si="123"/>
        <v>25.439885430295014</v>
      </c>
      <c r="E377" s="385">
        <f t="shared" si="145"/>
        <v>27.2100378637601</v>
      </c>
      <c r="F377" s="385">
        <f t="shared" si="124"/>
        <v>27.222037432287717</v>
      </c>
      <c r="G377" s="110">
        <f t="shared" si="146"/>
        <v>0.97229098295402083</v>
      </c>
      <c r="H377" s="412" t="b">
        <f>Wh_hp&gt;='2018'!Maxi_hp</f>
        <v>1</v>
      </c>
      <c r="I377" s="390">
        <f>IF(H377,Wh_hp,'2018'!Maxi_hp)</f>
        <v>27.222037432287717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1.2731402866670072E-2</v>
      </c>
      <c r="M377" s="957"/>
      <c r="N377" s="957"/>
      <c r="O377" s="48">
        <f>IF(t&lt;Tnet,'2018'!Resal+('2018'!Salim-'2018'!Resal)*(1-EXP(('2018'!Tnet-t)/('2018'!Tau_j))),Resal+(Salim-Resal)*(1-EXP((Tnet-t)/(Tau_j))))*Salcycl</f>
        <v>6.5055125697663113E-2</v>
      </c>
      <c r="P377" s="169">
        <f>(INDEX(Models!$BJ377:$BT377,,T377)*(1-R377)+INDEX(Models!$BJ377:$BT377,,T377+1)*R377-ERP_i)*Q377*Ramure*Pc/MaxiM</f>
        <v>4.5895948372802649E-4</v>
      </c>
      <c r="Q377" s="305">
        <f t="shared" si="126"/>
        <v>0.7</v>
      </c>
      <c r="R377" s="177">
        <f t="shared" si="127"/>
        <v>3.7700911916349611E-5</v>
      </c>
      <c r="S377" s="919">
        <f t="shared" si="128"/>
        <v>-1</v>
      </c>
      <c r="T377" s="176">
        <f t="shared" si="129"/>
        <v>5</v>
      </c>
      <c r="U377" s="251">
        <f t="shared" si="130"/>
        <v>-0.99996229908808365</v>
      </c>
      <c r="V377" s="383">
        <f t="shared" si="131"/>
        <v>25.831303830592631</v>
      </c>
      <c r="W377" s="58"/>
      <c r="X377" s="157">
        <f t="shared" si="132"/>
        <v>43828</v>
      </c>
      <c r="Y377" s="385">
        <f t="shared" si="133"/>
        <v>25.116</v>
      </c>
      <c r="Z377" s="385">
        <f t="shared" si="134"/>
        <v>25.439885430295014</v>
      </c>
      <c r="AA377" s="386">
        <f t="shared" si="135"/>
        <v>27.2100378637601</v>
      </c>
      <c r="AB377" s="197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6.5055125697663113E-2</v>
      </c>
      <c r="AD377" s="231">
        <f>(INDEX(Models!$BJ377:$BT377,,AH377)*(1-AF377)+INDEX(Models!$BJ377:$BT377,,AH377+1)*AF377-ERP_i)*AE377*Ramure*Pc/MaxiM</f>
        <v>4.5895948372802649E-4</v>
      </c>
      <c r="AE377" s="305">
        <f t="shared" si="137"/>
        <v>0.7</v>
      </c>
      <c r="AF377" s="177">
        <f t="shared" si="138"/>
        <v>3.7700911916349611E-5</v>
      </c>
      <c r="AG377" s="176">
        <f t="shared" si="139"/>
        <v>-1</v>
      </c>
      <c r="AH377" s="176">
        <f t="shared" si="140"/>
        <v>5</v>
      </c>
      <c r="AI377" s="225">
        <f t="shared" si="141"/>
        <v>-0.99996229908808365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8">
        <v>25.632000000000001</v>
      </c>
      <c r="C378" s="390"/>
      <c r="D378" s="393">
        <f t="shared" si="123"/>
        <v>25.963108209161089</v>
      </c>
      <c r="E378" s="385">
        <f t="shared" si="145"/>
        <v>27.77200872389917</v>
      </c>
      <c r="F378" s="385">
        <f t="shared" si="124"/>
        <v>27.784365944966957</v>
      </c>
      <c r="G378" s="110">
        <f t="shared" si="146"/>
        <v>0.9858468738740408</v>
      </c>
      <c r="H378" s="412" t="b">
        <f>Wh_hp&gt;='2018'!Maxi_hp</f>
        <v>1</v>
      </c>
      <c r="I378" s="390">
        <f>IF(H378,Wh_hp,'2018'!Maxi_hp)</f>
        <v>27.784365944966957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1.2753026582705385E-2</v>
      </c>
      <c r="M378" s="957"/>
      <c r="N378" s="957"/>
      <c r="O378" s="48">
        <f>IF(t&lt;Tnet,'2018'!Resal+('2018'!Salim-'2018'!Resal)*(1-EXP(('2018'!Tnet-t)/('2018'!Tau_j))),Resal+(Salim-Resal)*(1-EXP((Tnet-t)/(Tau_j))))*Salcycl</f>
        <v>6.5133945935334267E-2</v>
      </c>
      <c r="P378" s="169">
        <f>(INDEX(Models!$BJ378:$BT378,,T378)*(1-R378)+INDEX(Models!$BJ378:$BT378,,T378+1)*R378-ERP_i)*Q378*Ramure*Pc/MaxiM</f>
        <v>4.5392643385776287E-4</v>
      </c>
      <c r="Q378" s="305">
        <f t="shared" si="126"/>
        <v>0.7</v>
      </c>
      <c r="R378" s="177">
        <f t="shared" si="127"/>
        <v>3.7700911916349611E-5</v>
      </c>
      <c r="S378" s="919">
        <f t="shared" si="128"/>
        <v>-1</v>
      </c>
      <c r="T378" s="176">
        <f t="shared" si="129"/>
        <v>5</v>
      </c>
      <c r="U378" s="251">
        <f t="shared" si="130"/>
        <v>-0.99996229908808365</v>
      </c>
      <c r="V378" s="383">
        <f t="shared" si="131"/>
        <v>25.999742433630178</v>
      </c>
      <c r="W378" s="58"/>
      <c r="X378" s="157">
        <f t="shared" si="132"/>
        <v>43829</v>
      </c>
      <c r="Y378" s="385">
        <f t="shared" si="133"/>
        <v>25.632000000000001</v>
      </c>
      <c r="Z378" s="385">
        <f t="shared" si="134"/>
        <v>25.963108209161089</v>
      </c>
      <c r="AA378" s="386">
        <f t="shared" si="135"/>
        <v>27.77200872389917</v>
      </c>
      <c r="AB378" s="197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6.5133945935334267E-2</v>
      </c>
      <c r="AD378" s="231">
        <f>(INDEX(Models!$BJ378:$BT378,,AH378)*(1-AF378)+INDEX(Models!$BJ378:$BT378,,AH378+1)*AF378-ERP_i)*AE378*Ramure*Pc/MaxiM</f>
        <v>4.5392643385776287E-4</v>
      </c>
      <c r="AE378" s="305">
        <f t="shared" si="137"/>
        <v>0.7</v>
      </c>
      <c r="AF378" s="177">
        <f t="shared" si="138"/>
        <v>3.7700911916349611E-5</v>
      </c>
      <c r="AG378" s="176">
        <f t="shared" si="139"/>
        <v>-1</v>
      </c>
      <c r="AH378" s="176">
        <f t="shared" si="140"/>
        <v>5</v>
      </c>
      <c r="AI378" s="225">
        <f t="shared" si="141"/>
        <v>-0.99996229908808365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8">
        <v>15.1</v>
      </c>
      <c r="C379" s="390"/>
      <c r="D379" s="393">
        <f t="shared" si="123"/>
        <v>15.295393293258961</v>
      </c>
      <c r="E379" s="385">
        <f t="shared" si="145"/>
        <v>16.362428401067238</v>
      </c>
      <c r="F379" s="385">
        <f t="shared" si="124"/>
        <v>16.365333025997142</v>
      </c>
      <c r="G379" s="110">
        <f t="shared" si="146"/>
        <v>0.57666521912167801</v>
      </c>
      <c r="H379" s="412" t="b">
        <f>Wh_hp&gt;='2018'!Maxi_hp</f>
        <v>1</v>
      </c>
      <c r="I379" s="390">
        <f>IF(H379,Wh_hp,'2018'!Maxi_hp)</f>
        <v>16.365333025997142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1.2774649825125772E-2</v>
      </c>
      <c r="M379" s="957"/>
      <c r="N379" s="957"/>
      <c r="O379" s="48">
        <f>IF(t&lt;Tnet,'2018'!Resal+('2018'!Salim-'2018'!Resal)*(1-EXP(('2018'!Tnet-t)/('2018'!Tau_j))),Resal+(Salim-Resal)*(1-EXP((Tnet-t)/(Tau_j))))*Salcycl</f>
        <v>6.5212515016333322E-2</v>
      </c>
      <c r="P379" s="169">
        <f>(INDEX(Models!$BJ379:$BT379,,T379)*(1-R379)+INDEX(Models!$BJ379:$BT379,,T379+1)*R379-ERP_i)*Q379*Ramure*Pc/MaxiM</f>
        <v>4.4881053159115674E-4</v>
      </c>
      <c r="Q379" s="306">
        <f t="shared" si="126"/>
        <v>0.7</v>
      </c>
      <c r="R379" s="177">
        <f t="shared" si="127"/>
        <v>3.7700911916349611E-5</v>
      </c>
      <c r="S379" s="919">
        <f t="shared" si="128"/>
        <v>-1</v>
      </c>
      <c r="T379" s="176">
        <f t="shared" si="129"/>
        <v>5</v>
      </c>
      <c r="U379" s="307">
        <f t="shared" si="130"/>
        <v>-0.99996229908808365</v>
      </c>
      <c r="V379" s="383">
        <f t="shared" si="131"/>
        <v>26.177930935618885</v>
      </c>
      <c r="W379" s="58"/>
      <c r="X379" s="157">
        <f t="shared" si="132"/>
        <v>43830</v>
      </c>
      <c r="Y379" s="385">
        <f t="shared" si="133"/>
        <v>15.100000000000001</v>
      </c>
      <c r="Z379" s="385">
        <f t="shared" si="134"/>
        <v>15.295393293258963</v>
      </c>
      <c r="AA379" s="386">
        <f t="shared" si="135"/>
        <v>16.362428401067238</v>
      </c>
      <c r="AB379" s="197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6.5212515016333322E-2</v>
      </c>
      <c r="AD379" s="231">
        <f>(INDEX(Models!$BJ379:$BT379,,AH379)*(1-AF379)+INDEX(Models!$BJ379:$BT379,,AH379+1)*AF379-ERP_i)*AE379*Ramure*Pc/MaxiM</f>
        <v>4.4881053159115674E-4</v>
      </c>
      <c r="AE379" s="306">
        <f t="shared" si="137"/>
        <v>0.7</v>
      </c>
      <c r="AF379" s="177">
        <f t="shared" si="138"/>
        <v>3.7700911916349611E-5</v>
      </c>
      <c r="AG379" s="176">
        <f t="shared" si="139"/>
        <v>-1</v>
      </c>
      <c r="AH379" s="176">
        <f t="shared" si="140"/>
        <v>5</v>
      </c>
      <c r="AI379" s="222">
        <f t="shared" si="141"/>
        <v>-0.99996229908808365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0"/>
      <c r="C380" s="965"/>
      <c r="D380" s="394"/>
      <c r="E380" s="395"/>
      <c r="F380" s="395"/>
      <c r="G380" s="97"/>
      <c r="H380" s="412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962"/>
      <c r="N380" s="962"/>
      <c r="O380" s="215"/>
      <c r="P380" s="322"/>
      <c r="Q380" s="229"/>
      <c r="R380" s="229"/>
      <c r="S380" s="229"/>
      <c r="T380" s="229"/>
      <c r="U380" s="323"/>
      <c r="V380" s="383">
        <f>(V379+V15)/2</f>
        <v>26.941320072459995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1.5620000000000001</v>
      </c>
      <c r="C381" s="375"/>
      <c r="D381" s="373">
        <f>MIN(D15:D380)</f>
        <v>1.5815885418655016</v>
      </c>
      <c r="E381" s="373">
        <f>MIN(E15:E380)</f>
        <v>1.6893363612185102</v>
      </c>
      <c r="F381" s="374">
        <f>MIN(F15:F380)</f>
        <v>1.6893363612185102</v>
      </c>
      <c r="G381" s="125">
        <f>+MIN(G15:G380)</f>
        <v>6.280581819525799E-2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4.8724168818709002E-3</v>
      </c>
      <c r="M381" s="959"/>
      <c r="N381" s="959"/>
      <c r="O381" s="47">
        <f t="shared" si="147"/>
        <v>2.581040486922101E-2</v>
      </c>
      <c r="P381" s="168">
        <f t="shared" si="147"/>
        <v>3.9078375966246045E-5</v>
      </c>
      <c r="Q381" s="310">
        <f t="shared" si="147"/>
        <v>0.7</v>
      </c>
      <c r="R381" s="311">
        <f t="shared" si="147"/>
        <v>8.1110817276019986E-6</v>
      </c>
      <c r="S381" s="919">
        <f t="shared" si="147"/>
        <v>-2</v>
      </c>
      <c r="T381" s="176">
        <f t="shared" si="147"/>
        <v>4</v>
      </c>
      <c r="U381" s="252">
        <f>+MIN(U15:U380)</f>
        <v>-1.4999610260519127</v>
      </c>
      <c r="V381" s="373">
        <f>MIN(V15:V380)</f>
        <v>24.803274834793768</v>
      </c>
      <c r="W381" s="58"/>
      <c r="X381" s="112" t="s">
        <v>7</v>
      </c>
      <c r="Y381" s="373">
        <f>MIN(Y15:Y380)</f>
        <v>1.5620000000000001</v>
      </c>
      <c r="Z381" s="373">
        <f>MIN(Z15:Z380)</f>
        <v>1.5815885418655016</v>
      </c>
      <c r="AA381" s="373">
        <f>MIN(AA15:AA380)</f>
        <v>1.6893363612185102</v>
      </c>
      <c r="AB381" s="200" t="s">
        <v>7</v>
      </c>
      <c r="AC381" s="47">
        <f t="shared" ref="AC381:AH381" si="148">MIN(AC15:AC380)</f>
        <v>2.581040486922101E-2</v>
      </c>
      <c r="AD381" s="168">
        <f t="shared" si="148"/>
        <v>3.9078375966246045E-5</v>
      </c>
      <c r="AE381" s="310">
        <f t="shared" si="148"/>
        <v>0.7</v>
      </c>
      <c r="AF381" s="311">
        <f t="shared" si="148"/>
        <v>8.1110817276019986E-6</v>
      </c>
      <c r="AG381" s="919">
        <f t="shared" si="148"/>
        <v>-2</v>
      </c>
      <c r="AH381" s="176">
        <f t="shared" si="148"/>
        <v>4</v>
      </c>
      <c r="AI381" s="226">
        <f>MIN(AI15:AI380)</f>
        <v>-1.4999610260519127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30.743591780821909</v>
      </c>
      <c r="C382" s="375"/>
      <c r="D382" s="375">
        <f>AVERAGE(D15:D380)</f>
        <v>31.01080853267014</v>
      </c>
      <c r="E382" s="375">
        <f>AVERAGE(E15:E380)</f>
        <v>32.464289484508797</v>
      </c>
      <c r="F382" s="376">
        <f>AVERAGE(F15:F380)</f>
        <v>32.48286372611927</v>
      </c>
      <c r="G382" s="126">
        <f>AVERAGE(G15:G380)</f>
        <v>0.66771030399886011</v>
      </c>
      <c r="H382" s="337"/>
      <c r="I382" s="376">
        <f>AVERAGE(I15:I380)</f>
        <v>35.585836764555289</v>
      </c>
      <c r="J382" s="59">
        <f>AVERAGE(J15:J380)</f>
        <v>2018.7404371584701</v>
      </c>
      <c r="K382" s="200" t="s">
        <v>8</v>
      </c>
      <c r="L382" s="147">
        <f t="shared" ref="L382:V382" si="149">AVERAGE(L15:L380)</f>
        <v>8.8287690505452002E-3</v>
      </c>
      <c r="M382" s="957"/>
      <c r="N382" s="957"/>
      <c r="O382" s="48">
        <f t="shared" si="149"/>
        <v>4.5873463121274799E-2</v>
      </c>
      <c r="P382" s="169">
        <f t="shared" si="149"/>
        <v>6.2432864241997307E-4</v>
      </c>
      <c r="Q382" s="312">
        <f t="shared" si="149"/>
        <v>0.69999999999999529</v>
      </c>
      <c r="R382" s="177">
        <f t="shared" si="149"/>
        <v>0.74156640656366912</v>
      </c>
      <c r="S382" s="919">
        <f t="shared" si="149"/>
        <v>-1.9616438356164383</v>
      </c>
      <c r="T382" s="176">
        <f t="shared" si="149"/>
        <v>4.0383561643835613</v>
      </c>
      <c r="U382" s="251">
        <f t="shared" si="149"/>
        <v>-1.2200774290527689</v>
      </c>
      <c r="V382" s="375">
        <f t="shared" si="149"/>
        <v>44.134269110013577</v>
      </c>
      <c r="X382" s="112" t="s">
        <v>8</v>
      </c>
      <c r="Y382" s="375">
        <f>AVERAGE(Y15:Y380)</f>
        <v>30.743591780821909</v>
      </c>
      <c r="Z382" s="375">
        <f>AVERAGE(Z15:Z380)</f>
        <v>31.01080853267014</v>
      </c>
      <c r="AA382" s="375">
        <f>AVERAGE(AA15:AA380)</f>
        <v>32.464289484508797</v>
      </c>
      <c r="AB382" s="200" t="s">
        <v>8</v>
      </c>
      <c r="AC382" s="48">
        <f t="shared" ref="AC382:AH382" si="150">AVERAGE(AC15:AC380)</f>
        <v>4.5873463121274799E-2</v>
      </c>
      <c r="AD382" s="169">
        <f t="shared" si="150"/>
        <v>6.2432864241997307E-4</v>
      </c>
      <c r="AE382" s="312">
        <f t="shared" si="150"/>
        <v>0.69999999999999529</v>
      </c>
      <c r="AF382" s="177">
        <f t="shared" si="150"/>
        <v>0.74156640656366912</v>
      </c>
      <c r="AG382" s="919">
        <f t="shared" si="150"/>
        <v>-1.9616438356164383</v>
      </c>
      <c r="AH382" s="176">
        <f t="shared" si="150"/>
        <v>4.0383561643835613</v>
      </c>
      <c r="AI382" s="225">
        <f>AVERAGE(AI15:AI380)</f>
        <v>-1.2200774290527689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59.043999999999997</v>
      </c>
      <c r="C383" s="377"/>
      <c r="D383" s="377">
        <f>MAX(D15:D380)</f>
        <v>59.504885885931039</v>
      </c>
      <c r="E383" s="377">
        <f>MAX(E15:E380)</f>
        <v>61.951565707666489</v>
      </c>
      <c r="F383" s="378">
        <f>MAX(F15:F380)</f>
        <v>61.987907498178245</v>
      </c>
      <c r="G383" s="127">
        <f>+MAX(G15:G380)</f>
        <v>1.0482080388886308</v>
      </c>
      <c r="H383" s="337"/>
      <c r="I383" s="378">
        <f>MAX(I15:I380)</f>
        <v>61.987907498178245</v>
      </c>
      <c r="J383" s="60">
        <f>MAX(J15:J380)</f>
        <v>2019</v>
      </c>
      <c r="K383" s="200" t="s">
        <v>9</v>
      </c>
      <c r="L383" s="148">
        <f t="shared" ref="L383:T383" si="151">MAX(L15:L380)</f>
        <v>1.2774649825125772E-2</v>
      </c>
      <c r="M383" s="960"/>
      <c r="N383" s="960"/>
      <c r="O383" s="49">
        <f t="shared" si="151"/>
        <v>6.5212515016333322E-2</v>
      </c>
      <c r="P383" s="170">
        <f t="shared" si="151"/>
        <v>2.4517244716840193E-3</v>
      </c>
      <c r="Q383" s="313">
        <f t="shared" si="151"/>
        <v>0.7</v>
      </c>
      <c r="R383" s="314">
        <f t="shared" si="151"/>
        <v>0.99999992246205816</v>
      </c>
      <c r="S383" s="920">
        <f t="shared" si="151"/>
        <v>-1</v>
      </c>
      <c r="T383" s="233">
        <f t="shared" si="151"/>
        <v>5</v>
      </c>
      <c r="U383" s="253">
        <f>+MAX(U15:U380)</f>
        <v>-0.99996229908808365</v>
      </c>
      <c r="V383" s="377">
        <f>MAX(V15:V380)</f>
        <v>56.860014657436921</v>
      </c>
      <c r="X383" s="112" t="s">
        <v>9</v>
      </c>
      <c r="Y383" s="377">
        <f>MAX(Y15:Y380)</f>
        <v>59.043999999999997</v>
      </c>
      <c r="Z383" s="377">
        <f>MAX(Z15:Z380)</f>
        <v>59.504885885931039</v>
      </c>
      <c r="AA383" s="377">
        <f>MAX(AA15:AA380)</f>
        <v>61.951565707666489</v>
      </c>
      <c r="AB383" s="200" t="s">
        <v>9</v>
      </c>
      <c r="AC383" s="49">
        <f t="shared" ref="AC383:AH383" si="152">MAX(AC15:AC380)</f>
        <v>6.5212515016333322E-2</v>
      </c>
      <c r="AD383" s="170">
        <f t="shared" si="152"/>
        <v>2.4517244716840193E-3</v>
      </c>
      <c r="AE383" s="313">
        <f t="shared" si="152"/>
        <v>0.7</v>
      </c>
      <c r="AF383" s="314">
        <f t="shared" si="152"/>
        <v>0.99999992246205816</v>
      </c>
      <c r="AG383" s="920">
        <f t="shared" si="152"/>
        <v>-1</v>
      </c>
      <c r="AH383" s="233">
        <f t="shared" si="152"/>
        <v>5</v>
      </c>
      <c r="AI383" s="227">
        <f>MAX(AI15:AI380)</f>
        <v>-0.99996229908808365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30" priority="3" stopIfTrue="1" operator="lessThan">
      <formula>0.01</formula>
    </cfRule>
    <cfRule type="cellIs" dxfId="2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'2019'!An+1</f>
        <v>2020</v>
      </c>
      <c r="K1" s="1213"/>
      <c r="L1" s="113" t="str">
        <f>"Calcul pertes et enveloppes en "&amp;TEXT(An,0)</f>
        <v>Calcul pertes et enveloppes en 2020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0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0</v>
      </c>
      <c r="AK4" s="946">
        <f>AM12-AK12</f>
        <v>0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10520.859999999999</v>
      </c>
      <c r="AK6" s="515">
        <f>SUMIF(AK15:AK380,"FAUX",Wh)</f>
        <v>10520.859999999999</v>
      </c>
      <c r="AL6" s="515">
        <f>SUMIF(AJ15:AJ380,"FAUX",Wh_s)</f>
        <v>10520.859999999999</v>
      </c>
      <c r="AM6" s="515">
        <f>SUMIF(AK15:AK380,"FAUX",Wh_s)</f>
        <v>10520.859999999999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AND(YEAR(Tnet)=An,Resal_2020&lt;&gt;"I")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10697.844085289515</v>
      </c>
      <c r="AK8" s="515">
        <f>SUMIF(AK15:AK380,"FAUX",Wh_sa)</f>
        <v>11566.66967770169</v>
      </c>
      <c r="AL8" s="515">
        <f>SUMIF(AJ15:AJ380,"FAUX",Wh_pvt_s)</f>
        <v>10697.844085289515</v>
      </c>
      <c r="AM8" s="515">
        <f>SUMIF(AK15:AK380,"FAUX",Wh_sa_s)</f>
        <v>11566.66967770169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10697.844085289515</v>
      </c>
      <c r="E9" s="184">
        <f>SUM(E$15:E$380)</f>
        <v>11566.66967770169</v>
      </c>
      <c r="F9" s="184">
        <f>SUM(F$15:F$380)</f>
        <v>11577.224299172249</v>
      </c>
      <c r="H9" s="1214">
        <f>+SUM(Wh)</f>
        <v>10520.859999999999</v>
      </c>
      <c r="I9" s="1215"/>
      <c r="J9" s="1216"/>
      <c r="K9" s="191"/>
      <c r="L9" s="232"/>
      <c r="M9" s="232"/>
      <c r="N9" s="232"/>
      <c r="O9" s="223">
        <f>Tnet_2020</f>
        <v>43831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10520.859999999999</v>
      </c>
      <c r="Y9" s="1209"/>
      <c r="Z9" s="515">
        <f>SUM(Z$15:Z$380)</f>
        <v>10697.844085289515</v>
      </c>
      <c r="AA9" s="515">
        <f>SUM(AA$15:AA$380)</f>
        <v>11566.66967770169</v>
      </c>
      <c r="AB9" s="515">
        <f>F9</f>
        <v>11577.224299172249</v>
      </c>
      <c r="AC9" s="325">
        <f>IF(An_Tnet,Tnet,'2019'!Tnet_s)</f>
        <v>43831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6.5253471062338794E-2</v>
      </c>
      <c r="P10" s="420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IF(OR(Inflex,GainD),'2019'!Resal_s+('2019'!Salim-'2019'!Resal_s)*(1-EXP(('2019'!Tnet_s-Tnet)/('2019'!Tau_j))),IF(Acti_net,'2019'!Resal+('2019'!Salim-'2019'!Resal)*(1-EXP(('2019'!Tnet-Tnet)/'2019'!Tau_j)),'2019'!Resal_s))</f>
        <v>6.5253471062338794E-2</v>
      </c>
      <c r="AD10" s="427"/>
      <c r="AE10" s="427"/>
      <c r="AF10" s="260"/>
      <c r="AG10" s="261"/>
      <c r="AH10" s="262"/>
      <c r="AI10" s="522"/>
      <c r="AJ10" s="515">
        <f>SUMIF(AJ15:AJ380,"FAUX",Wh_sa)</f>
        <v>11566.66967770169</v>
      </c>
      <c r="AK10" s="515">
        <f>SUMIF(AK15:AK380,"FAUX",Wh_hp)</f>
        <v>11577.224299172249</v>
      </c>
      <c r="AL10" s="515">
        <f>SUMIF(AJ15:AJ380,"FAUX",Wh_sa_s)</f>
        <v>11566.66967770169</v>
      </c>
      <c r="AM10" s="515">
        <f>SUMIF(AK15:AK380,"FAUX",Wh_hp)</f>
        <v>11577.224299172249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176.98408528951586</v>
      </c>
      <c r="E11" s="51">
        <f>(E$9-D$9)*Prod_an/D$9</f>
        <v>854.45182686434498</v>
      </c>
      <c r="F11" s="186">
        <f>(F$9-E$9)*Prod_an/E$9</f>
        <v>9.6003169398723021</v>
      </c>
      <c r="G11" s="185" t="s">
        <v>6</v>
      </c>
      <c r="K11" s="194"/>
      <c r="L11" s="211">
        <f>Tvie_2020</f>
        <v>43243</v>
      </c>
      <c r="M11" s="956"/>
      <c r="N11" s="956"/>
      <c r="O11" s="202">
        <f>IF(An_Tnet,Salim_2020,'2019'!Salim)</f>
        <v>0.12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-0.49996229908808365</v>
      </c>
      <c r="V11" s="427"/>
      <c r="W11" s="518"/>
      <c r="X11" s="525" t="s">
        <v>44</v>
      </c>
      <c r="Y11" s="50">
        <f>Z$9-Prod_an_s</f>
        <v>176.98408528951586</v>
      </c>
      <c r="Z11" s="51">
        <f>(AA$9-Z$9)*Prod_an_s/Z$9</f>
        <v>854.45182686434498</v>
      </c>
      <c r="AA11" s="186">
        <f>(AB$9-AA$9)*Prod_an_s/AA$9</f>
        <v>9.6003169398723021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0</v>
      </c>
      <c r="AK11" s="946">
        <f>IF($AK7=0,0,($AK9-$AK7)*$AK5/$AK7)</f>
        <v>0</v>
      </c>
      <c r="AL11" s="945">
        <f>IF($AL7=0,0,($AL9-$AL7)*$AL5/$AL7)</f>
        <v>0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4.6965153328257347E-2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6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-0.99996229908808365</v>
      </c>
      <c r="V12" s="517"/>
      <c r="W12" s="504"/>
      <c r="X12" s="505"/>
      <c r="Y12" s="504"/>
      <c r="Z12" s="427"/>
      <c r="AA12" s="427"/>
      <c r="AB12" s="531" t="s">
        <v>109</v>
      </c>
      <c r="AC12" s="318" t="b">
        <f>NOT(An_Tnet)</f>
        <v>0</v>
      </c>
      <c r="AD12" s="427"/>
      <c r="AE12" s="296">
        <f>'2019'!Df_s</f>
        <v>0.7</v>
      </c>
      <c r="AF12" s="203"/>
      <c r="AG12" s="203"/>
      <c r="AH12" s="203"/>
      <c r="AI12" s="297">
        <f>'2019'!Hdf_s</f>
        <v>-0.99996229908808365</v>
      </c>
      <c r="AJ12" s="945">
        <f>IF($AJ8=0,0,($AJ10-$AJ8)*$AJ6/$AJ8)</f>
        <v>854.45182686434498</v>
      </c>
      <c r="AK12" s="946">
        <f>IF($AK8=0,0,($AK10-$AK8)*$AK6/$AK8)</f>
        <v>9.6003169398723021</v>
      </c>
      <c r="AL12" s="945">
        <f>IF($AL8=0,0,($AL10-$AL8)*$AL6/$AL8)</f>
        <v>854.45182686434498</v>
      </c>
      <c r="AM12" s="946">
        <f>IF($AM8=0,0,($AM10-$AM8)*$AM6/$AM8)</f>
        <v>9.6003169398723021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264" t="s">
        <v>42</v>
      </c>
      <c r="W13" s="964" t="s">
        <v>47</v>
      </c>
      <c r="X13" s="532"/>
      <c r="Y13" s="264" t="s">
        <v>103</v>
      </c>
      <c r="Z13" s="264" t="s">
        <v>104</v>
      </c>
      <c r="AA13" s="264" t="s">
        <v>75</v>
      </c>
      <c r="AB13" s="503"/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854.45182686434498</v>
      </c>
      <c r="AK13" s="73">
        <f>+AK11+AK12</f>
        <v>9.6003169398723021</v>
      </c>
      <c r="AL13" s="73">
        <f>+AL11+AL12</f>
        <v>854.45182686434498</v>
      </c>
      <c r="AM13" s="73">
        <f>+AM11+AM12</f>
        <v>9.6003169398723021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389" t="s">
        <v>197</v>
      </c>
      <c r="C14" s="389"/>
      <c r="D14" s="53" t="s">
        <v>31</v>
      </c>
      <c r="E14" s="162" t="s">
        <v>30</v>
      </c>
      <c r="F14" s="162" t="str">
        <f>"Hors pertes "&amp; TEXT(An,0)</f>
        <v>Hors pertes 2020</v>
      </c>
      <c r="G14" s="107" t="s">
        <v>43</v>
      </c>
      <c r="H14" s="411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2020</v>
      </c>
      <c r="W14" s="950"/>
      <c r="X14" s="258" t="s">
        <v>2</v>
      </c>
      <c r="Y14" s="107" t="str">
        <f>"Wh / Jour "&amp; TEXT(An,0)</f>
        <v>Wh / Jour 2020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7">
        <v>12.042</v>
      </c>
      <c r="C15" s="390"/>
      <c r="D15" s="393">
        <f t="shared" ref="D15:D78" si="0">Wh/(1-Ppv)</f>
        <v>12.198090085864175</v>
      </c>
      <c r="E15" s="385">
        <f>Wh_pvt/(1-Psa)</f>
        <v>13.050144664299843</v>
      </c>
      <c r="F15" s="385">
        <f t="shared" ref="F15:F78" si="1">Wh_sa/(1-Pvg*MEDIAN((-Sdif+Wh/Env_an)/Csdif,0,1))</f>
        <v>13.051441266807789</v>
      </c>
      <c r="G15" s="110">
        <f>+Wh_hp/MaxiM</f>
        <v>0.45659462845878868</v>
      </c>
      <c r="H15" s="412" t="b">
        <f>Wh_hp&gt;='2019'!Maxi_hp</f>
        <v>1</v>
      </c>
      <c r="I15" s="379">
        <f>IF(H15,Wh_hp,'2019'!Maxi_hp)</f>
        <v>13.051441266807789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1.2796272593941671E-2</v>
      </c>
      <c r="M15" s="959"/>
      <c r="N15" s="959"/>
      <c r="O15" s="47">
        <f>IF(t&lt;Tnet,'2019'!Resal+('2019'!Salim-'2019'!Resal)*(1-EXP(('2019'!Tnet-t)/('2019'!Tau_j))),Resal+(Salim-Resal)*(1-EXP((Tnet-t)/(Tau_j))))*Salcycl</f>
        <v>6.529081480349877E-2</v>
      </c>
      <c r="P15" s="302">
        <f>(INDEX(Models!$BJ15:$BT15,,T15)*(1-R15)+INDEX(Models!$BJ15:$BT15,,T15+1)*R15-ERP_i)*Q15*Ramure*Pc/MaxiM</f>
        <v>4.4364296909716266E-4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3.8896410145761173E-5</v>
      </c>
      <c r="S15" s="918">
        <f t="shared" ref="S15:S78" si="4">INDEX(Echel_vg,T15)</f>
        <v>-1</v>
      </c>
      <c r="T15" s="249">
        <f t="shared" ref="T15:T78" si="5">MIN(MATCH(Hp_vg,Echel_vg),10)</f>
        <v>5</v>
      </c>
      <c r="U15" s="250">
        <f>IF(OR(t&lt;Ttai,Notai),Hdd+PousH*Croivg,Hdtf+PousH*(Croivg-Croi_tai))</f>
        <v>-0.99996110358985424</v>
      </c>
      <c r="V15" s="382">
        <f t="shared" ref="V15:V78" si="6">MaxiM*(1-Ppv)*(1-Pvg)*(1-Psa)</f>
        <v>26.364422198935763</v>
      </c>
      <c r="W15" s="402"/>
      <c r="X15" s="156">
        <f t="shared" ref="X15:X78" si="7">t</f>
        <v>43831</v>
      </c>
      <c r="Y15" s="385">
        <f t="shared" ref="Y15:Y78" si="8">Wh_pvt_s*(1-Ppv)</f>
        <v>12.042</v>
      </c>
      <c r="Z15" s="385">
        <f t="shared" ref="Z15:Z78" si="9">Wh_sa_s*(1-Psa_s)</f>
        <v>12.198090085864175</v>
      </c>
      <c r="AA15" s="386">
        <f t="shared" ref="AA15:AA78" si="10">Wh_hp*(1-Pvg_s*MEDIAN((-Sdif+Wh/Env_an)/Csdif,0,1))</f>
        <v>13.050144664299843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6.529081480349877E-2</v>
      </c>
      <c r="AD15" s="231">
        <f>(INDEX(Models!$BJ15:$BT15,,AH15)*(1-AF15)+INDEX(Models!$BJ15:$BT15,,AH15+1)*AF15-ERP_i)*AE15*Ramure*Pc/MaxiM</f>
        <v>4.4364296909716266E-4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3.8896410145761173E-5</v>
      </c>
      <c r="AG15" s="918">
        <f>INDEX(Echel_vg,AH15)</f>
        <v>-1</v>
      </c>
      <c r="AH15" s="249">
        <f t="shared" ref="AH15:AH78" si="13">MIN(MATCH(Hp_vg_s,Echel_vg),10)</f>
        <v>5</v>
      </c>
      <c r="AI15" s="224">
        <f>IF(OR(t&lt;Ttai,Notai),Hdd_s+PousH*Croivg,Hdtai_s+PousH*(Croivg-Croi_tai))</f>
        <v>-0.99996110358985424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8">
        <v>23.951000000000001</v>
      </c>
      <c r="C16" s="390"/>
      <c r="D16" s="393">
        <f t="shared" si="0"/>
        <v>24.261987606948047</v>
      </c>
      <c r="E16" s="385">
        <f t="shared" ref="E16:E79" si="17">Wh_pvt/(1-Psa)</f>
        <v>25.958039297105103</v>
      </c>
      <c r="F16" s="385">
        <f t="shared" si="1"/>
        <v>25.967841110496515</v>
      </c>
      <c r="G16" s="110">
        <f t="shared" ref="G16:G79" si="18">+Wh_hp/MaxiM</f>
        <v>0.90176073452915562</v>
      </c>
      <c r="H16" s="412" t="b">
        <f>Wh_hp&gt;='2019'!Maxi_hp</f>
        <v>1</v>
      </c>
      <c r="I16" s="380">
        <f>IF(H16,Wh_hp,'2019'!Maxi_hp)</f>
        <v>25.967841110496515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1.2817894889163517E-2</v>
      </c>
      <c r="M16" s="957"/>
      <c r="N16" s="957"/>
      <c r="O16" s="48">
        <f>IF(t&lt;Tnet,'2019'!Resal+('2019'!Salim-'2019'!Resal)*(1-EXP(('2019'!Tnet-t)/('2019'!Tau_j))),Resal+(Salim-Resal)*(1-EXP((Tnet-t)/(Tau_j))))*Salcycl</f>
        <v>6.5338204890775436E-2</v>
      </c>
      <c r="P16" s="169">
        <f>(INDEX(Models!$BJ16:$BT16,,T16)*(1-R16)+INDEX(Models!$BJ16:$BT16,,T16+1)*R16-ERP_i)*Q16*Ramure*Pc/MaxiM</f>
        <v>4.3904060255740547E-4</v>
      </c>
      <c r="Q16" s="305">
        <f t="shared" si="2"/>
        <v>0.7</v>
      </c>
      <c r="R16" s="177">
        <f t="shared" si="3"/>
        <v>6.8111024139949627E-5</v>
      </c>
      <c r="S16" s="919">
        <f t="shared" si="4"/>
        <v>-1</v>
      </c>
      <c r="T16" s="176">
        <f t="shared" si="5"/>
        <v>5</v>
      </c>
      <c r="U16" s="251">
        <f t="shared" ref="U16:U78" si="20">IF(OR(t&lt;Ttai,Notai),Hdd+PousH*Croivg,Hdtf+PousH*(Croivg-Croi_tai))</f>
        <v>-0.99993188897586005</v>
      </c>
      <c r="V16" s="383">
        <f t="shared" si="6"/>
        <v>26.558624257751628</v>
      </c>
      <c r="W16" s="402"/>
      <c r="X16" s="157">
        <f t="shared" si="7"/>
        <v>43832</v>
      </c>
      <c r="Y16" s="385">
        <f t="shared" si="8"/>
        <v>23.951000000000001</v>
      </c>
      <c r="Z16" s="385">
        <f t="shared" si="9"/>
        <v>24.261987606948047</v>
      </c>
      <c r="AA16" s="386">
        <f t="shared" si="10"/>
        <v>25.958039297105103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6.5338204890775436E-2</v>
      </c>
      <c r="AD16" s="231">
        <f>(INDEX(Models!$BJ16:$BT16,,AH16)*(1-AF16)+INDEX(Models!$BJ16:$BT16,,AH16+1)*AF16-ERP_i)*AE16*Ramure*Pc/MaxiM</f>
        <v>4.3904060255740547E-4</v>
      </c>
      <c r="AE16" s="305">
        <f t="shared" si="12"/>
        <v>0.7</v>
      </c>
      <c r="AF16" s="177">
        <f t="shared" ref="AF16:AF78" si="21">(Hp_vg_s-AG16)/(INDEX(Echel_vg,AH16+1)-AG16)</f>
        <v>6.8111024139949627E-5</v>
      </c>
      <c r="AG16" s="919">
        <f t="shared" ref="AG16:AG79" si="22">INDEX(Echel_vg,AH16)</f>
        <v>-1</v>
      </c>
      <c r="AH16" s="176">
        <f t="shared" si="13"/>
        <v>5</v>
      </c>
      <c r="AI16" s="225">
        <f t="shared" ref="AI16:AI78" si="23">IF(OR(t&lt;Ttai,Notai),Hdd_s+PousH*Croivg,Hdtai_s+PousH*(Croivg-Croi_tai))</f>
        <v>-0.99993188897586005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8">
        <v>8.7759999999999998</v>
      </c>
      <c r="C17" s="390"/>
      <c r="D17" s="393">
        <f t="shared" si="0"/>
        <v>8.8901451674387815</v>
      </c>
      <c r="E17" s="385">
        <f t="shared" si="17"/>
        <v>9.5121004415165711</v>
      </c>
      <c r="F17" s="385">
        <f t="shared" si="1"/>
        <v>9.5122657823907204</v>
      </c>
      <c r="G17" s="110">
        <f t="shared" si="18"/>
        <v>0.32783697361463199</v>
      </c>
      <c r="H17" s="412" t="b">
        <f>Wh_hp&gt;='2019'!Maxi_hp</f>
        <v>0</v>
      </c>
      <c r="I17" s="380">
        <f>IF(H17,Wh_hp,'2019'!Maxi_hp)</f>
        <v>30.270872638205173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1.2839516710801524E-2</v>
      </c>
      <c r="M17" s="957"/>
      <c r="N17" s="957"/>
      <c r="O17" s="48">
        <f>IF(t&lt;Tnet,'2019'!Resal+('2019'!Salim-'2019'!Resal)*(1-EXP(('2019'!Tnet-t)/('2019'!Tau_j))),Resal+(Salim-Resal)*(1-EXP((Tnet-t)/(Tau_j))))*Salcycl</f>
        <v>6.5385692455811301E-2</v>
      </c>
      <c r="P17" s="169">
        <f>(INDEX(Models!$BJ17:$BT17,,T17)*(1-R17)+INDEX(Models!$BJ17:$BT17,,T17+1)*R17-ERP_i)*Q17*Ramure*Pc/MaxiM</f>
        <v>4.3495150807742685E-4</v>
      </c>
      <c r="Q17" s="305">
        <f t="shared" si="2"/>
        <v>0.7</v>
      </c>
      <c r="R17" s="177">
        <f t="shared" si="3"/>
        <v>9.8547619629574257E-5</v>
      </c>
      <c r="S17" s="919">
        <f t="shared" si="4"/>
        <v>-1</v>
      </c>
      <c r="T17" s="176">
        <f t="shared" si="5"/>
        <v>5</v>
      </c>
      <c r="U17" s="251">
        <f t="shared" si="20"/>
        <v>-0.99990145238037043</v>
      </c>
      <c r="V17" s="383">
        <f t="shared" si="6"/>
        <v>26.758224517359036</v>
      </c>
      <c r="W17" s="402"/>
      <c r="X17" s="157">
        <f t="shared" si="7"/>
        <v>43833</v>
      </c>
      <c r="Y17" s="385">
        <f t="shared" si="8"/>
        <v>8.7759999999999998</v>
      </c>
      <c r="Z17" s="385">
        <f t="shared" si="9"/>
        <v>8.8901451674387815</v>
      </c>
      <c r="AA17" s="386">
        <f t="shared" si="10"/>
        <v>9.5121004415165711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6.5385692455811301E-2</v>
      </c>
      <c r="AD17" s="231">
        <f>(INDEX(Models!$BJ17:$BT17,,AH17)*(1-AF17)+INDEX(Models!$BJ17:$BT17,,AH17+1)*AF17-ERP_i)*AE17*Ramure*Pc/MaxiM</f>
        <v>4.3495150807742685E-4</v>
      </c>
      <c r="AE17" s="305">
        <f t="shared" si="12"/>
        <v>0.7</v>
      </c>
      <c r="AF17" s="177">
        <f>(Hp_vg_s-AG17)/(INDEX(Echel_vg,AH17+1)-AG17)</f>
        <v>9.8547619629574257E-5</v>
      </c>
      <c r="AG17" s="919">
        <f>INDEX(Echel_vg,AH17)</f>
        <v>-1</v>
      </c>
      <c r="AH17" s="176">
        <f t="shared" si="13"/>
        <v>5</v>
      </c>
      <c r="AI17" s="225">
        <f t="shared" si="23"/>
        <v>-0.99990145238037043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8">
        <v>6.4189999999999996</v>
      </c>
      <c r="C18" s="390"/>
      <c r="D18" s="393">
        <f t="shared" si="0"/>
        <v>6.5026312380990872</v>
      </c>
      <c r="E18" s="385">
        <f t="shared" si="17"/>
        <v>6.9579099893710357</v>
      </c>
      <c r="F18" s="385">
        <f t="shared" si="1"/>
        <v>6.9579099893710357</v>
      </c>
      <c r="G18" s="110">
        <f t="shared" si="18"/>
        <v>0.23797506835281279</v>
      </c>
      <c r="H18" s="412" t="b">
        <f>Wh_hp&gt;='2019'!Maxi_hp</f>
        <v>0</v>
      </c>
      <c r="I18" s="380">
        <f>IF(H18,Wh_hp,'2019'!Maxi_hp)</f>
        <v>25.910930416910517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1.2861138058866128E-2</v>
      </c>
      <c r="M18" s="957"/>
      <c r="N18" s="957"/>
      <c r="O18" s="48">
        <f>IF(t&lt;Tnet,'2019'!Resal+('2019'!Salim-'2019'!Resal)*(1-EXP(('2019'!Tnet-t)/('2019'!Tau_j))),Resal+(Salim-Resal)*(1-EXP((Tnet-t)/(Tau_j))))*Salcycl</f>
        <v>6.5433262569857334E-2</v>
      </c>
      <c r="P18" s="169">
        <f>(INDEX(Models!$BJ18:$BT18,,T18)*(1-R18)+INDEX(Models!$BJ18:$BT18,,T18+1)*R18-ERP_i)*Q18*Ramure*Pc/MaxiM</f>
        <v>4.3138632063193964E-4</v>
      </c>
      <c r="Q18" s="305">
        <f t="shared" si="2"/>
        <v>0.7</v>
      </c>
      <c r="R18" s="177">
        <f t="shared" si="3"/>
        <v>1.3025715092462864E-4</v>
      </c>
      <c r="S18" s="919">
        <f t="shared" si="4"/>
        <v>-1</v>
      </c>
      <c r="T18" s="176">
        <f t="shared" si="5"/>
        <v>5</v>
      </c>
      <c r="U18" s="251">
        <f t="shared" si="20"/>
        <v>-0.99986974284907537</v>
      </c>
      <c r="V18" s="383">
        <f t="shared" si="6"/>
        <v>26.961777868660608</v>
      </c>
      <c r="W18" s="402"/>
      <c r="X18" s="157">
        <f t="shared" si="7"/>
        <v>43834</v>
      </c>
      <c r="Y18" s="385">
        <f t="shared" si="8"/>
        <v>6.4189999999999996</v>
      </c>
      <c r="Z18" s="385">
        <f>Wh_sa_s*(1-Psa_s)</f>
        <v>6.5026312380990872</v>
      </c>
      <c r="AA18" s="386">
        <f t="shared" si="10"/>
        <v>6.9579099893710357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6.5433262569857334E-2</v>
      </c>
      <c r="AD18" s="231">
        <f>(INDEX(Models!$BJ18:$BT18,,AH18)*(1-AF18)+INDEX(Models!$BJ18:$BT18,,AH18+1)*AF18-ERP_i)*AE18*Ramure*Pc/MaxiM</f>
        <v>4.3138632063193964E-4</v>
      </c>
      <c r="AE18" s="305">
        <f t="shared" si="12"/>
        <v>0.7</v>
      </c>
      <c r="AF18" s="177">
        <f t="shared" si="21"/>
        <v>1.3025715092462864E-4</v>
      </c>
      <c r="AG18" s="919">
        <f t="shared" si="22"/>
        <v>-1</v>
      </c>
      <c r="AH18" s="176">
        <f t="shared" si="13"/>
        <v>5</v>
      </c>
      <c r="AI18" s="225">
        <f t="shared" si="23"/>
        <v>-0.99986974284907537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8">
        <v>14.082000000000001</v>
      </c>
      <c r="C19" s="390"/>
      <c r="D19" s="393">
        <f t="shared" si="0"/>
        <v>14.26578263873059</v>
      </c>
      <c r="E19" s="385">
        <f t="shared" si="17"/>
        <v>15.265373038204913</v>
      </c>
      <c r="F19" s="385">
        <f t="shared" si="1"/>
        <v>15.267412853257643</v>
      </c>
      <c r="G19" s="110">
        <f t="shared" si="18"/>
        <v>0.51818065097548172</v>
      </c>
      <c r="H19" s="412" t="b">
        <f>Wh_hp&gt;='2019'!Maxi_hp</f>
        <v>0</v>
      </c>
      <c r="I19" s="380">
        <f>IF(H19,Wh_hp,'2019'!Maxi_hp)</f>
        <v>29.868700088933423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1.2882758933367766E-2</v>
      </c>
      <c r="M19" s="957"/>
      <c r="N19" s="957"/>
      <c r="O19" s="48">
        <f>IF(t&lt;Tnet,'2019'!Resal+('2019'!Salim-'2019'!Resal)*(1-EXP(('2019'!Tnet-t)/('2019'!Tau_j))),Resal+(Salim-Resal)*(1-EXP((Tnet-t)/(Tau_j))))*Salcycl</f>
        <v>6.5480902233612664E-2</v>
      </c>
      <c r="P19" s="169">
        <f>(INDEX(Models!$BJ19:$BT19,,T19)*(1-R19)+INDEX(Models!$BJ19:$BT19,,T19+1)*R19-ERP_i)*Q19*Ramure*Pc/MaxiM</f>
        <v>4.283542759610866E-4</v>
      </c>
      <c r="Q19" s="305">
        <f t="shared" si="2"/>
        <v>0.7</v>
      </c>
      <c r="R19" s="177">
        <f t="shared" si="3"/>
        <v>1.6329268348636017E-4</v>
      </c>
      <c r="S19" s="919">
        <f t="shared" si="4"/>
        <v>-1</v>
      </c>
      <c r="T19" s="176">
        <f t="shared" si="5"/>
        <v>5</v>
      </c>
      <c r="U19" s="251">
        <f t="shared" si="20"/>
        <v>-0.99983670731651364</v>
      </c>
      <c r="V19" s="383">
        <f t="shared" si="6"/>
        <v>27.167839576735123</v>
      </c>
      <c r="W19" s="402"/>
      <c r="X19" s="157">
        <f t="shared" si="7"/>
        <v>43835</v>
      </c>
      <c r="Y19" s="385">
        <f t="shared" si="8"/>
        <v>14.082000000000001</v>
      </c>
      <c r="Z19" s="385">
        <f t="shared" si="9"/>
        <v>14.26578263873059</v>
      </c>
      <c r="AA19" s="386">
        <f t="shared" si="10"/>
        <v>15.265373038204913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6.5480902233612664E-2</v>
      </c>
      <c r="AD19" s="231">
        <f>(INDEX(Models!$BJ19:$BT19,,AH19)*(1-AF19)+INDEX(Models!$BJ19:$BT19,,AH19+1)*AF19-ERP_i)*AE19*Ramure*Pc/MaxiM</f>
        <v>4.283542759610866E-4</v>
      </c>
      <c r="AE19" s="305">
        <f t="shared" si="12"/>
        <v>0.7</v>
      </c>
      <c r="AF19" s="177">
        <f t="shared" si="21"/>
        <v>1.6329268348636017E-4</v>
      </c>
      <c r="AG19" s="919">
        <f t="shared" si="22"/>
        <v>-1</v>
      </c>
      <c r="AH19" s="176">
        <f t="shared" si="13"/>
        <v>5</v>
      </c>
      <c r="AI19" s="225">
        <f t="shared" si="23"/>
        <v>-0.99983670731651364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8">
        <v>26.297999999999998</v>
      </c>
      <c r="C20" s="390"/>
      <c r="D20" s="393">
        <f t="shared" si="0"/>
        <v>26.641795839662421</v>
      </c>
      <c r="E20" s="385">
        <f t="shared" si="17"/>
        <v>28.510017373251447</v>
      </c>
      <c r="F20" s="385">
        <f t="shared" si="1"/>
        <v>28.521480989437787</v>
      </c>
      <c r="G20" s="110">
        <f t="shared" si="18"/>
        <v>0.96063575088370856</v>
      </c>
      <c r="H20" s="412" t="b">
        <f>Wh_hp&gt;='2019'!Maxi_hp</f>
        <v>1</v>
      </c>
      <c r="I20" s="380">
        <f>IF(H20,Wh_hp,'2019'!Maxi_hp)</f>
        <v>28.521480989437787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1.2904379334316651E-2</v>
      </c>
      <c r="M20" s="957"/>
      <c r="N20" s="957"/>
      <c r="O20" s="48">
        <f>IF(t&lt;Tnet,'2019'!Resal+('2019'!Salim-'2019'!Resal)*(1-EXP(('2019'!Tnet-t)/('2019'!Tau_j))),Resal+(Salim-Resal)*(1-EXP((Tnet-t)/(Tau_j))))*Salcycl</f>
        <v>6.552860032073575E-2</v>
      </c>
      <c r="P20" s="169">
        <f>(INDEX(Models!$BJ20:$BT20,,T20)*(1-R20)+INDEX(Models!$BJ20:$BT20,,T20+1)*R20-ERP_i)*Q20*Ramure*Pc/MaxiM</f>
        <v>4.2586349226516945E-4</v>
      </c>
      <c r="Q20" s="305">
        <f t="shared" si="2"/>
        <v>0.7</v>
      </c>
      <c r="R20" s="177">
        <f t="shared" si="3"/>
        <v>1.9770948023700718E-4</v>
      </c>
      <c r="S20" s="919">
        <f t="shared" si="4"/>
        <v>-1</v>
      </c>
      <c r="T20" s="176">
        <f t="shared" si="5"/>
        <v>5</v>
      </c>
      <c r="U20" s="251">
        <f t="shared" si="20"/>
        <v>-0.99980229051976299</v>
      </c>
      <c r="V20" s="383">
        <f t="shared" si="6"/>
        <v>27.374965275696589</v>
      </c>
      <c r="W20" s="402"/>
      <c r="X20" s="157">
        <f t="shared" si="7"/>
        <v>43836</v>
      </c>
      <c r="Y20" s="385">
        <f t="shared" si="8"/>
        <v>26.297999999999998</v>
      </c>
      <c r="Z20" s="385">
        <f t="shared" si="9"/>
        <v>26.641795839662421</v>
      </c>
      <c r="AA20" s="386">
        <f t="shared" si="10"/>
        <v>28.510017373251447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6.552860032073575E-2</v>
      </c>
      <c r="AD20" s="231">
        <f>(INDEX(Models!$BJ20:$BT20,,AH20)*(1-AF20)+INDEX(Models!$BJ20:$BT20,,AH20+1)*AF20-ERP_i)*AE20*Ramure*Pc/MaxiM</f>
        <v>4.2586349226516945E-4</v>
      </c>
      <c r="AE20" s="305">
        <f t="shared" si="12"/>
        <v>0.7</v>
      </c>
      <c r="AF20" s="177">
        <f t="shared" si="21"/>
        <v>1.9770948023700718E-4</v>
      </c>
      <c r="AG20" s="919">
        <f t="shared" si="22"/>
        <v>-1</v>
      </c>
      <c r="AH20" s="176">
        <f t="shared" si="13"/>
        <v>5</v>
      </c>
      <c r="AI20" s="225">
        <f t="shared" si="23"/>
        <v>-0.99980229051976299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8">
        <v>7.2960000000000003</v>
      </c>
      <c r="C21" s="390"/>
      <c r="D21" s="393">
        <f t="shared" si="0"/>
        <v>7.3915430804002513</v>
      </c>
      <c r="E21" s="385">
        <f t="shared" si="17"/>
        <v>7.9102696733723672</v>
      </c>
      <c r="F21" s="385">
        <f t="shared" si="1"/>
        <v>7.9102696733723672</v>
      </c>
      <c r="G21" s="110">
        <f t="shared" si="18"/>
        <v>0.26441097425760601</v>
      </c>
      <c r="H21" s="412" t="b">
        <f>Wh_hp&gt;='2019'!Maxi_hp</f>
        <v>1</v>
      </c>
      <c r="I21" s="380">
        <f>IF(H21,Wh_hp,'2019'!Maxi_hp)</f>
        <v>7.9102696733723672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1.2925999261723442E-2</v>
      </c>
      <c r="M21" s="957"/>
      <c r="N21" s="957"/>
      <c r="O21" s="48">
        <f>IF(t&lt;Tnet,'2019'!Resal+('2019'!Salim-'2019'!Resal)*(1-EXP(('2019'!Tnet-t)/('2019'!Tau_j))),Resal+(Salim-Resal)*(1-EXP((Tnet-t)/(Tau_j))))*Salcycl</f>
        <v>6.5576347506616464E-2</v>
      </c>
      <c r="P21" s="169">
        <f>(INDEX(Models!$BJ21:$BT21,,T21)*(1-R21)+INDEX(Models!$BJ21:$BT21,,T21+1)*R21-ERP_i)*Q21*Ramure*Pc/MaxiM</f>
        <v>4.2392125124824487E-4</v>
      </c>
      <c r="Q21" s="305">
        <f t="shared" si="2"/>
        <v>0.7</v>
      </c>
      <c r="R21" s="177">
        <f t="shared" si="3"/>
        <v>2.3356509130023628E-4</v>
      </c>
      <c r="S21" s="919">
        <f t="shared" si="4"/>
        <v>-1</v>
      </c>
      <c r="T21" s="176">
        <f t="shared" si="5"/>
        <v>5</v>
      </c>
      <c r="U21" s="251">
        <f t="shared" si="20"/>
        <v>-0.99976643490869976</v>
      </c>
      <c r="V21" s="383">
        <f t="shared" si="6"/>
        <v>27.581710974846597</v>
      </c>
      <c r="W21" s="402"/>
      <c r="X21" s="157">
        <f t="shared" si="7"/>
        <v>43837</v>
      </c>
      <c r="Y21" s="385">
        <f t="shared" si="8"/>
        <v>7.2960000000000003</v>
      </c>
      <c r="Z21" s="385">
        <f t="shared" si="9"/>
        <v>7.3915430804002513</v>
      </c>
      <c r="AA21" s="386">
        <f t="shared" si="10"/>
        <v>7.9102696733723672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6.5576347506616464E-2</v>
      </c>
      <c r="AD21" s="231">
        <f>(INDEX(Models!$BJ21:$BT21,,AH21)*(1-AF21)+INDEX(Models!$BJ21:$BT21,,AH21+1)*AF21-ERP_i)*AE21*Ramure*Pc/MaxiM</f>
        <v>4.2392125124824487E-4</v>
      </c>
      <c r="AE21" s="305">
        <f t="shared" si="12"/>
        <v>0.7</v>
      </c>
      <c r="AF21" s="177">
        <f t="shared" si="21"/>
        <v>2.3356509130023628E-4</v>
      </c>
      <c r="AG21" s="919">
        <f t="shared" si="22"/>
        <v>-1</v>
      </c>
      <c r="AH21" s="176">
        <f t="shared" si="13"/>
        <v>5</v>
      </c>
      <c r="AI21" s="225">
        <f t="shared" si="23"/>
        <v>-0.99976643490869976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8">
        <v>11.561999999999999</v>
      </c>
      <c r="C22" s="390"/>
      <c r="D22" s="393">
        <f t="shared" si="0"/>
        <v>11.713664055959166</v>
      </c>
      <c r="E22" s="385">
        <f t="shared" si="17"/>
        <v>12.536351279575314</v>
      </c>
      <c r="F22" s="385">
        <f t="shared" si="1"/>
        <v>12.537229887849607</v>
      </c>
      <c r="G22" s="110">
        <f t="shared" si="18"/>
        <v>0.41595268532259289</v>
      </c>
      <c r="H22" s="412" t="b">
        <f>Wh_hp&gt;='2019'!Maxi_hp</f>
        <v>1</v>
      </c>
      <c r="I22" s="380">
        <f>IF(H22,Wh_hp,'2019'!Maxi_hp)</f>
        <v>12.537229887849607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1.2947618715598241E-2</v>
      </c>
      <c r="M22" s="957"/>
      <c r="N22" s="957"/>
      <c r="O22" s="48">
        <f>IF(t&lt;Tnet,'2019'!Resal+('2019'!Salim-'2019'!Resal)*(1-EXP(('2019'!Tnet-t)/('2019'!Tau_j))),Resal+(Salim-Resal)*(1-EXP((Tnet-t)/(Tau_j))))*Salcycl</f>
        <v>6.5624136183587936E-2</v>
      </c>
      <c r="P22" s="169">
        <f>(INDEX(Models!$BJ22:$BT22,,T22)*(1-R22)+INDEX(Models!$BJ22:$BT22,,T22+1)*R22-ERP_i)*Q22*Ramure*Pc/MaxiM</f>
        <v>4.2253427651942603E-4</v>
      </c>
      <c r="Q22" s="305">
        <f t="shared" si="2"/>
        <v>0.7</v>
      </c>
      <c r="R22" s="177">
        <f t="shared" si="3"/>
        <v>2.7091944729740192E-4</v>
      </c>
      <c r="S22" s="919">
        <f t="shared" si="4"/>
        <v>-1</v>
      </c>
      <c r="T22" s="176">
        <f t="shared" si="5"/>
        <v>5</v>
      </c>
      <c r="U22" s="251">
        <f t="shared" si="20"/>
        <v>-0.9997290805527026</v>
      </c>
      <c r="V22" s="383">
        <f t="shared" si="6"/>
        <v>27.786633059853056</v>
      </c>
      <c r="W22" s="402"/>
      <c r="X22" s="157">
        <f t="shared" si="7"/>
        <v>43838</v>
      </c>
      <c r="Y22" s="385">
        <f t="shared" si="8"/>
        <v>11.561999999999999</v>
      </c>
      <c r="Z22" s="385">
        <f t="shared" si="9"/>
        <v>11.713664055959166</v>
      </c>
      <c r="AA22" s="386">
        <f t="shared" si="10"/>
        <v>12.536351279575314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6.5624136183587936E-2</v>
      </c>
      <c r="AD22" s="231">
        <f>(INDEX(Models!$BJ22:$BT22,,AH22)*(1-AF22)+INDEX(Models!$BJ22:$BT22,,AH22+1)*AF22-ERP_i)*AE22*Ramure*Pc/MaxiM</f>
        <v>4.2253427651942603E-4</v>
      </c>
      <c r="AE22" s="305">
        <f t="shared" si="12"/>
        <v>0.7</v>
      </c>
      <c r="AF22" s="177">
        <f t="shared" si="21"/>
        <v>2.7091944729740192E-4</v>
      </c>
      <c r="AG22" s="919">
        <f t="shared" si="22"/>
        <v>-1</v>
      </c>
      <c r="AH22" s="176">
        <f t="shared" si="13"/>
        <v>5</v>
      </c>
      <c r="AI22" s="225">
        <f t="shared" si="23"/>
        <v>-0.9997290805527026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8">
        <v>25.681999999999999</v>
      </c>
      <c r="C23" s="390"/>
      <c r="D23" s="393">
        <f t="shared" si="0"/>
        <v>26.019452463720501</v>
      </c>
      <c r="E23" s="385">
        <f t="shared" si="17"/>
        <v>27.848305263163589</v>
      </c>
      <c r="F23" s="385">
        <f t="shared" si="1"/>
        <v>27.858667670277544</v>
      </c>
      <c r="G23" s="110">
        <f t="shared" si="18"/>
        <v>0.91745006569480336</v>
      </c>
      <c r="H23" s="412" t="b">
        <f>Wh_hp&gt;='2019'!Maxi_hp</f>
        <v>1</v>
      </c>
      <c r="I23" s="380">
        <f>IF(H23,Wh_hp,'2019'!Maxi_hp)</f>
        <v>27.858667670277544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1.2969237695951485E-2</v>
      </c>
      <c r="M23" s="957"/>
      <c r="N23" s="957"/>
      <c r="O23" s="48">
        <f>IF(t&lt;Tnet,'2019'!Resal+('2019'!Salim-'2019'!Resal)*(1-EXP(('2019'!Tnet-t)/('2019'!Tau_j))),Resal+(Salim-Resal)*(1-EXP((Tnet-t)/(Tau_j))))*Salcycl</f>
        <v>6.5671960363857584E-2</v>
      </c>
      <c r="P23" s="169">
        <f>(INDEX(Models!$BJ23:$BT23,,T23)*(1-R23)+INDEX(Models!$BJ23:$BT23,,T23+1)*R23-ERP_i)*Q23*Ramure*Pc/MaxiM</f>
        <v>4.2166196071148106E-4</v>
      </c>
      <c r="Q23" s="305">
        <f t="shared" si="2"/>
        <v>0.7</v>
      </c>
      <c r="R23" s="177">
        <f t="shared" si="3"/>
        <v>3.09834956332522E-4</v>
      </c>
      <c r="S23" s="919">
        <f t="shared" si="4"/>
        <v>-1</v>
      </c>
      <c r="T23" s="176">
        <f t="shared" si="5"/>
        <v>5</v>
      </c>
      <c r="U23" s="251">
        <f t="shared" si="20"/>
        <v>-0.99969016504366748</v>
      </c>
      <c r="V23" s="383">
        <f t="shared" si="6"/>
        <v>27.99141242565997</v>
      </c>
      <c r="W23" s="402"/>
      <c r="X23" s="157">
        <f t="shared" si="7"/>
        <v>43839</v>
      </c>
      <c r="Y23" s="385">
        <f t="shared" si="8"/>
        <v>25.681999999999999</v>
      </c>
      <c r="Z23" s="385">
        <f t="shared" si="9"/>
        <v>26.019452463720501</v>
      </c>
      <c r="AA23" s="386">
        <f t="shared" si="10"/>
        <v>27.848305263163589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6.5671960363857584E-2</v>
      </c>
      <c r="AD23" s="231">
        <f>(INDEX(Models!$BJ23:$BT23,,AH23)*(1-AF23)+INDEX(Models!$BJ23:$BT23,,AH23+1)*AF23-ERP_i)*AE23*Ramure*Pc/MaxiM</f>
        <v>4.2166196071148106E-4</v>
      </c>
      <c r="AE23" s="305">
        <f t="shared" si="12"/>
        <v>0.7</v>
      </c>
      <c r="AF23" s="177">
        <f t="shared" si="21"/>
        <v>3.09834956332522E-4</v>
      </c>
      <c r="AG23" s="919">
        <f t="shared" si="22"/>
        <v>-1</v>
      </c>
      <c r="AH23" s="176">
        <f t="shared" si="13"/>
        <v>5</v>
      </c>
      <c r="AI23" s="225">
        <f t="shared" si="23"/>
        <v>-0.99969016504366748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8">
        <v>8.1850000000000005</v>
      </c>
      <c r="C24" s="390"/>
      <c r="D24" s="393">
        <f t="shared" si="0"/>
        <v>8.292729658522509</v>
      </c>
      <c r="E24" s="385">
        <f t="shared" si="17"/>
        <v>8.8760628735751173</v>
      </c>
      <c r="F24" s="385">
        <f t="shared" si="1"/>
        <v>8.8760628735751173</v>
      </c>
      <c r="G24" s="110">
        <f t="shared" si="18"/>
        <v>0.29013712012368625</v>
      </c>
      <c r="H24" s="412" t="b">
        <f>Wh_hp&gt;='2019'!Maxi_hp</f>
        <v>0</v>
      </c>
      <c r="I24" s="380">
        <f>IF(H24,Wh_hp,'2019'!Maxi_hp)</f>
        <v>10.822941868477683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1.299085620279361E-2</v>
      </c>
      <c r="M24" s="957"/>
      <c r="N24" s="957"/>
      <c r="O24" s="48">
        <f>IF(t&lt;Tnet,'2019'!Resal+('2019'!Salim-'2019'!Resal)*(1-EXP(('2019'!Tnet-t)/('2019'!Tau_j))),Resal+(Salim-Resal)*(1-EXP((Tnet-t)/(Tau_j))))*Salcycl</f>
        <v>6.571981557152401E-2</v>
      </c>
      <c r="P24" s="169">
        <f>(INDEX(Models!$BJ24:$BT24,,T24)*(1-R24)+INDEX(Models!$BJ24:$BT24,,T24+1)*R24-ERP_i)*Q24*Ramure*Pc/MaxiM</f>
        <v>4.20704138253755E-4</v>
      </c>
      <c r="Q24" s="305">
        <f t="shared" si="2"/>
        <v>0.7</v>
      </c>
      <c r="R24" s="177">
        <f t="shared" si="3"/>
        <v>3.5037660480208288E-4</v>
      </c>
      <c r="S24" s="919">
        <f t="shared" si="4"/>
        <v>-1</v>
      </c>
      <c r="T24" s="176">
        <f t="shared" si="5"/>
        <v>5</v>
      </c>
      <c r="U24" s="251">
        <f t="shared" si="20"/>
        <v>-0.99964962339519792</v>
      </c>
      <c r="V24" s="383">
        <f t="shared" si="6"/>
        <v>28.198930675056591</v>
      </c>
      <c r="W24" s="402"/>
      <c r="X24" s="157">
        <f t="shared" si="7"/>
        <v>43840</v>
      </c>
      <c r="Y24" s="385">
        <f t="shared" si="8"/>
        <v>8.1850000000000005</v>
      </c>
      <c r="Z24" s="385">
        <f t="shared" si="9"/>
        <v>8.292729658522509</v>
      </c>
      <c r="AA24" s="386">
        <f t="shared" si="10"/>
        <v>8.8760628735751173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6.571981557152401E-2</v>
      </c>
      <c r="AD24" s="231">
        <f>(INDEX(Models!$BJ24:$BT24,,AH24)*(1-AF24)+INDEX(Models!$BJ24:$BT24,,AH24+1)*AF24-ERP_i)*AE24*Ramure*Pc/MaxiM</f>
        <v>4.20704138253755E-4</v>
      </c>
      <c r="AE24" s="305">
        <f t="shared" si="12"/>
        <v>0.7</v>
      </c>
      <c r="AF24" s="177">
        <f t="shared" si="21"/>
        <v>3.5037660480208288E-4</v>
      </c>
      <c r="AG24" s="919">
        <f t="shared" si="22"/>
        <v>-1</v>
      </c>
      <c r="AH24" s="176">
        <f t="shared" si="13"/>
        <v>5</v>
      </c>
      <c r="AI24" s="225">
        <f t="shared" si="23"/>
        <v>-0.99964962339519792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8">
        <v>27.814</v>
      </c>
      <c r="C25" s="390"/>
      <c r="D25" s="393">
        <f t="shared" si="0"/>
        <v>28.180700641047867</v>
      </c>
      <c r="E25" s="385">
        <f t="shared" si="17"/>
        <v>30.16455393652269</v>
      </c>
      <c r="F25" s="385">
        <f t="shared" si="1"/>
        <v>30.176833140545245</v>
      </c>
      <c r="G25" s="110">
        <f t="shared" si="18"/>
        <v>0.97902544310300832</v>
      </c>
      <c r="H25" s="412" t="b">
        <f>Wh_hp&gt;='2019'!Maxi_hp</f>
        <v>1</v>
      </c>
      <c r="I25" s="380">
        <f>IF(H25,Wh_hp,'2019'!Maxi_hp)</f>
        <v>30.176833140545245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1.3012474236134941E-2</v>
      </c>
      <c r="M25" s="957"/>
      <c r="N25" s="957"/>
      <c r="O25" s="48">
        <f>IF(t&lt;Tnet,'2019'!Resal+('2019'!Salim-'2019'!Resal)*(1-EXP(('2019'!Tnet-t)/('2019'!Tau_j))),Resal+(Salim-Resal)*(1-EXP((Tnet-t)/(Tau_j))))*Salcycl</f>
        <v>6.5767698725118853E-2</v>
      </c>
      <c r="P25" s="169">
        <f>(INDEX(Models!$BJ25:$BT25,,T25)*(1-R25)+INDEX(Models!$BJ25:$BT25,,T25+1)*R25-ERP_i)*Q25*Ramure*Pc/MaxiM</f>
        <v>4.1946977917560734E-4</v>
      </c>
      <c r="Q25" s="305">
        <f t="shared" si="2"/>
        <v>0.7</v>
      </c>
      <c r="R25" s="177">
        <f t="shared" si="3"/>
        <v>3.9261206216811839E-4</v>
      </c>
      <c r="S25" s="919">
        <f t="shared" si="4"/>
        <v>-1</v>
      </c>
      <c r="T25" s="176">
        <f t="shared" si="5"/>
        <v>5</v>
      </c>
      <c r="U25" s="251">
        <f t="shared" si="20"/>
        <v>-0.99960738793783188</v>
      </c>
      <c r="V25" s="383">
        <f t="shared" si="6"/>
        <v>28.409527728693089</v>
      </c>
      <c r="W25" s="402"/>
      <c r="X25" s="157">
        <f t="shared" si="7"/>
        <v>43841</v>
      </c>
      <c r="Y25" s="385">
        <f t="shared" si="8"/>
        <v>27.814</v>
      </c>
      <c r="Z25" s="385">
        <f t="shared" si="9"/>
        <v>28.180700641047867</v>
      </c>
      <c r="AA25" s="386">
        <f t="shared" si="10"/>
        <v>30.16455393652269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6.5767698725118853E-2</v>
      </c>
      <c r="AD25" s="231">
        <f>(INDEX(Models!$BJ25:$BT25,,AH25)*(1-AF25)+INDEX(Models!$BJ25:$BT25,,AH25+1)*AF25-ERP_i)*AE25*Ramure*Pc/MaxiM</f>
        <v>4.1946977917560734E-4</v>
      </c>
      <c r="AE25" s="305">
        <f t="shared" si="12"/>
        <v>0.7</v>
      </c>
      <c r="AF25" s="177">
        <f t="shared" si="21"/>
        <v>3.9261206216811839E-4</v>
      </c>
      <c r="AG25" s="919">
        <f t="shared" si="22"/>
        <v>-1</v>
      </c>
      <c r="AH25" s="176">
        <f t="shared" si="13"/>
        <v>5</v>
      </c>
      <c r="AI25" s="225">
        <f t="shared" si="23"/>
        <v>-0.99960738793783188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8">
        <v>27.896000000000001</v>
      </c>
      <c r="C26" s="390"/>
      <c r="D26" s="393">
        <f t="shared" si="0"/>
        <v>28.264400794514238</v>
      </c>
      <c r="E26" s="385">
        <f t="shared" si="17"/>
        <v>30.255697950991298</v>
      </c>
      <c r="F26" s="385">
        <f t="shared" si="1"/>
        <v>30.267889314428743</v>
      </c>
      <c r="G26" s="110">
        <f t="shared" si="18"/>
        <v>0.97456772779860557</v>
      </c>
      <c r="H26" s="412" t="b">
        <f>Wh_hp&gt;='2019'!Maxi_hp</f>
        <v>1</v>
      </c>
      <c r="I26" s="380">
        <f>IF(H26,Wh_hp,'2019'!Maxi_hp)</f>
        <v>30.267889314428743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1.3034091795985914E-2</v>
      </c>
      <c r="M26" s="957"/>
      <c r="N26" s="957"/>
      <c r="O26" s="48">
        <f>IF(t&lt;Tnet,'2019'!Resal+('2019'!Salim-'2019'!Resal)*(1-EXP(('2019'!Tnet-t)/('2019'!Tau_j))),Resal+(Salim-Resal)*(1-EXP((Tnet-t)/(Tau_j))))*Salcycl</f>
        <v>6.581560801217004E-2</v>
      </c>
      <c r="P26" s="169">
        <f>(INDEX(Models!$BJ26:$BT26,,T26)*(1-R26)+INDEX(Models!$BJ26:$BT26,,T26+1)*R26-ERP_i)*Q26*Ramure*Pc/MaxiM</f>
        <v>4.179584355177575E-4</v>
      </c>
      <c r="Q26" s="305">
        <f t="shared" si="2"/>
        <v>0.7</v>
      </c>
      <c r="R26" s="177">
        <f t="shared" si="3"/>
        <v>4.3661178983922522E-4</v>
      </c>
      <c r="S26" s="919">
        <f t="shared" si="4"/>
        <v>-1</v>
      </c>
      <c r="T26" s="176">
        <f t="shared" si="5"/>
        <v>5</v>
      </c>
      <c r="U26" s="251">
        <f t="shared" si="20"/>
        <v>-0.99956338821016077</v>
      </c>
      <c r="V26" s="383">
        <f t="shared" si="6"/>
        <v>28.623538081676728</v>
      </c>
      <c r="W26" s="402"/>
      <c r="X26" s="157">
        <f t="shared" si="7"/>
        <v>43842</v>
      </c>
      <c r="Y26" s="385">
        <f t="shared" si="8"/>
        <v>27.896000000000001</v>
      </c>
      <c r="Z26" s="385">
        <f t="shared" si="9"/>
        <v>28.264400794514238</v>
      </c>
      <c r="AA26" s="386">
        <f t="shared" si="10"/>
        <v>30.255697950991298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6.581560801217004E-2</v>
      </c>
      <c r="AD26" s="231">
        <f>(INDEX(Models!$BJ26:$BT26,,AH26)*(1-AF26)+INDEX(Models!$BJ26:$BT26,,AH26+1)*AF26-ERP_i)*AE26*Ramure*Pc/MaxiM</f>
        <v>4.179584355177575E-4</v>
      </c>
      <c r="AE26" s="305">
        <f t="shared" si="12"/>
        <v>0.7</v>
      </c>
      <c r="AF26" s="177">
        <f t="shared" si="21"/>
        <v>4.3661178983922522E-4</v>
      </c>
      <c r="AG26" s="919">
        <f t="shared" si="22"/>
        <v>-1</v>
      </c>
      <c r="AH26" s="176">
        <f t="shared" si="13"/>
        <v>5</v>
      </c>
      <c r="AI26" s="225">
        <f t="shared" si="23"/>
        <v>-0.99956338821016077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8">
        <v>15.74</v>
      </c>
      <c r="C27" s="390"/>
      <c r="D27" s="393">
        <f t="shared" si="0"/>
        <v>15.948215255569883</v>
      </c>
      <c r="E27" s="385">
        <f t="shared" si="17"/>
        <v>17.072682617103744</v>
      </c>
      <c r="F27" s="385">
        <f t="shared" si="1"/>
        <v>17.075177344016367</v>
      </c>
      <c r="G27" s="110">
        <f t="shared" si="18"/>
        <v>0.54559782844005955</v>
      </c>
      <c r="H27" s="412" t="b">
        <f>Wh_hp&gt;='2019'!Maxi_hp</f>
        <v>1</v>
      </c>
      <c r="I27" s="380">
        <f>IF(H27,Wh_hp,'2019'!Maxi_hp)</f>
        <v>17.075177344016367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1.3055708882356853E-2</v>
      </c>
      <c r="M27" s="957"/>
      <c r="N27" s="957"/>
      <c r="O27" s="48">
        <f>IF(t&lt;Tnet,'2019'!Resal+('2019'!Salim-'2019'!Resal)*(1-EXP(('2019'!Tnet-t)/('2019'!Tau_j))),Resal+(Salim-Resal)*(1-EXP((Tnet-t)/(Tau_j))))*Salcycl</f>
        <v>6.5863542757325505E-2</v>
      </c>
      <c r="P27" s="169">
        <f>(INDEX(Models!$BJ27:$BT27,,T27)*(1-R27)+INDEX(Models!$BJ27:$BT27,,T27+1)*R27-ERP_i)*Q27*Ramure*Pc/MaxiM</f>
        <v>4.1616994999380501E-4</v>
      </c>
      <c r="Q27" s="305">
        <f t="shared" si="2"/>
        <v>0.7</v>
      </c>
      <c r="R27" s="177">
        <f t="shared" si="3"/>
        <v>4.8244915430828428E-4</v>
      </c>
      <c r="S27" s="919">
        <f t="shared" si="4"/>
        <v>-1</v>
      </c>
      <c r="T27" s="176">
        <f t="shared" si="5"/>
        <v>5</v>
      </c>
      <c r="U27" s="251">
        <f t="shared" si="20"/>
        <v>-0.99951755084569172</v>
      </c>
      <c r="V27" s="383">
        <f t="shared" si="6"/>
        <v>28.84129609336323</v>
      </c>
      <c r="W27" s="402"/>
      <c r="X27" s="157">
        <f t="shared" si="7"/>
        <v>43843</v>
      </c>
      <c r="Y27" s="385">
        <f t="shared" si="8"/>
        <v>15.74</v>
      </c>
      <c r="Z27" s="385">
        <f t="shared" si="9"/>
        <v>15.948215255569883</v>
      </c>
      <c r="AA27" s="386">
        <f t="shared" si="10"/>
        <v>17.072682617103744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6.5863542757325505E-2</v>
      </c>
      <c r="AD27" s="231">
        <f>(INDEX(Models!$BJ27:$BT27,,AH27)*(1-AF27)+INDEX(Models!$BJ27:$BT27,,AH27+1)*AF27-ERP_i)*AE27*Ramure*Pc/MaxiM</f>
        <v>4.1616994999380501E-4</v>
      </c>
      <c r="AE27" s="305">
        <f t="shared" si="12"/>
        <v>0.7</v>
      </c>
      <c r="AF27" s="177">
        <f t="shared" si="21"/>
        <v>4.8244915430828428E-4</v>
      </c>
      <c r="AG27" s="919">
        <f t="shared" si="22"/>
        <v>-1</v>
      </c>
      <c r="AH27" s="176">
        <f t="shared" si="13"/>
        <v>5</v>
      </c>
      <c r="AI27" s="225">
        <f t="shared" si="23"/>
        <v>-0.99951755084569172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8">
        <v>26.937999999999999</v>
      </c>
      <c r="C28" s="390"/>
      <c r="D28" s="393">
        <f t="shared" si="0"/>
        <v>27.294944878551949</v>
      </c>
      <c r="E28" s="385">
        <f t="shared" si="17"/>
        <v>29.220941029206919</v>
      </c>
      <c r="F28" s="385">
        <f t="shared" si="1"/>
        <v>29.231781562204368</v>
      </c>
      <c r="G28" s="110">
        <f t="shared" si="18"/>
        <v>0.92683853232836433</v>
      </c>
      <c r="H28" s="412" t="b">
        <f>Wh_hp&gt;='2019'!Maxi_hp</f>
        <v>1</v>
      </c>
      <c r="I28" s="380">
        <f>IF(H28,Wh_hp,'2019'!Maxi_hp)</f>
        <v>29.231781562204368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1.3077325495258085E-2</v>
      </c>
      <c r="M28" s="957"/>
      <c r="N28" s="957"/>
      <c r="O28" s="48">
        <f>IF(t&lt;Tnet,'2019'!Resal+('2019'!Salim-'2019'!Resal)*(1-EXP(('2019'!Tnet-t)/('2019'!Tau_j))),Resal+(Salim-Resal)*(1-EXP((Tnet-t)/(Tau_j))))*Salcycl</f>
        <v>6.5911503285602552E-2</v>
      </c>
      <c r="P28" s="169">
        <f>(INDEX(Models!$BJ28:$BT28,,T28)*(1-R28)+INDEX(Models!$BJ28:$BT28,,T28+1)*R28-ERP_i)*Q28*Ramure*Pc/MaxiM</f>
        <v>4.1410446965000123E-4</v>
      </c>
      <c r="Q28" s="305">
        <f t="shared" si="2"/>
        <v>0.7</v>
      </c>
      <c r="R28" s="177">
        <f t="shared" si="3"/>
        <v>5.3020054469776756E-4</v>
      </c>
      <c r="S28" s="919">
        <f t="shared" si="4"/>
        <v>-1</v>
      </c>
      <c r="T28" s="176">
        <f t="shared" si="5"/>
        <v>5</v>
      </c>
      <c r="U28" s="251">
        <f t="shared" si="20"/>
        <v>-0.99946979945530223</v>
      </c>
      <c r="V28" s="383">
        <f t="shared" si="6"/>
        <v>29.063135995957026</v>
      </c>
      <c r="W28" s="402"/>
      <c r="X28" s="157">
        <f t="shared" si="7"/>
        <v>43844</v>
      </c>
      <c r="Y28" s="385">
        <f t="shared" si="8"/>
        <v>26.937999999999999</v>
      </c>
      <c r="Z28" s="385">
        <f t="shared" si="9"/>
        <v>27.294944878551949</v>
      </c>
      <c r="AA28" s="386">
        <f t="shared" si="10"/>
        <v>29.220941029206919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6.5911503285602552E-2</v>
      </c>
      <c r="AD28" s="231">
        <f>(INDEX(Models!$BJ28:$BT28,,AH28)*(1-AF28)+INDEX(Models!$BJ28:$BT28,,AH28+1)*AF28-ERP_i)*AE28*Ramure*Pc/MaxiM</f>
        <v>4.1410446965000123E-4</v>
      </c>
      <c r="AE28" s="305">
        <f t="shared" si="12"/>
        <v>0.7</v>
      </c>
      <c r="AF28" s="177">
        <f t="shared" si="21"/>
        <v>5.3020054469776756E-4</v>
      </c>
      <c r="AG28" s="919">
        <f t="shared" si="22"/>
        <v>-1</v>
      </c>
      <c r="AH28" s="176">
        <f t="shared" si="13"/>
        <v>5</v>
      </c>
      <c r="AI28" s="225">
        <f t="shared" si="23"/>
        <v>-0.99946979945530223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8">
        <v>22.309000000000001</v>
      </c>
      <c r="C29" s="390"/>
      <c r="D29" s="393">
        <f t="shared" si="0"/>
        <v>22.605102923845845</v>
      </c>
      <c r="E29" s="385">
        <f t="shared" si="17"/>
        <v>24.201415999376252</v>
      </c>
      <c r="F29" s="385">
        <f t="shared" si="1"/>
        <v>24.207990213992844</v>
      </c>
      <c r="G29" s="110">
        <f t="shared" si="18"/>
        <v>0.76156827437243435</v>
      </c>
      <c r="H29" s="412" t="b">
        <f>Wh_hp&gt;='2019'!Maxi_hp</f>
        <v>0</v>
      </c>
      <c r="I29" s="380">
        <f>IF(H29,Wh_hp,'2019'!Maxi_hp)</f>
        <v>31.24384641917025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1.3098941634700045E-2</v>
      </c>
      <c r="M29" s="957"/>
      <c r="N29" s="957"/>
      <c r="O29" s="48">
        <f>IF(t&lt;Tnet,'2019'!Resal+('2019'!Salim-'2019'!Resal)*(1-EXP(('2019'!Tnet-t)/('2019'!Tau_j))),Resal+(Salim-Resal)*(1-EXP((Tnet-t)/(Tau_j))))*Salcycl</f>
        <v>6.595949078233887E-2</v>
      </c>
      <c r="P29" s="169">
        <f>(INDEX(Models!$BJ29:$BT29,,T29)*(1-R29)+INDEX(Models!$BJ29:$BT29,,T29+1)*R29-ERP_i)*Q29*Ramure*Pc/MaxiM</f>
        <v>4.1176245697986815E-4</v>
      </c>
      <c r="Q29" s="305">
        <f t="shared" si="2"/>
        <v>0.7</v>
      </c>
      <c r="R29" s="177">
        <f t="shared" si="3"/>
        <v>5.7994549487005997E-4</v>
      </c>
      <c r="S29" s="919">
        <f t="shared" si="4"/>
        <v>-1</v>
      </c>
      <c r="T29" s="176">
        <f t="shared" si="5"/>
        <v>5</v>
      </c>
      <c r="U29" s="251">
        <f t="shared" si="20"/>
        <v>-0.99942005450512994</v>
      </c>
      <c r="V29" s="383">
        <f t="shared" si="6"/>
        <v>29.289391895979229</v>
      </c>
      <c r="W29" s="402"/>
      <c r="X29" s="157">
        <f t="shared" si="7"/>
        <v>43845</v>
      </c>
      <c r="Y29" s="385">
        <f t="shared" si="8"/>
        <v>22.309000000000001</v>
      </c>
      <c r="Z29" s="385">
        <f t="shared" si="9"/>
        <v>22.605102923845845</v>
      </c>
      <c r="AA29" s="386">
        <f t="shared" si="10"/>
        <v>24.201415999376252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6.595949078233887E-2</v>
      </c>
      <c r="AD29" s="231">
        <f>(INDEX(Models!$BJ29:$BT29,,AH29)*(1-AF29)+INDEX(Models!$BJ29:$BT29,,AH29+1)*AF29-ERP_i)*AE29*Ramure*Pc/MaxiM</f>
        <v>4.1176245697986815E-4</v>
      </c>
      <c r="AE29" s="305">
        <f t="shared" si="12"/>
        <v>0.7</v>
      </c>
      <c r="AF29" s="177">
        <f t="shared" si="21"/>
        <v>5.7994549487005997E-4</v>
      </c>
      <c r="AG29" s="919">
        <f t="shared" si="22"/>
        <v>-1</v>
      </c>
      <c r="AH29" s="176">
        <f t="shared" si="13"/>
        <v>5</v>
      </c>
      <c r="AI29" s="225">
        <f t="shared" si="23"/>
        <v>-0.99942005450512994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8">
        <v>27.503</v>
      </c>
      <c r="C30" s="390"/>
      <c r="D30" s="393">
        <f t="shared" si="0"/>
        <v>27.868652248722448</v>
      </c>
      <c r="E30" s="385">
        <f t="shared" si="17"/>
        <v>29.838197268294827</v>
      </c>
      <c r="F30" s="385">
        <f t="shared" si="1"/>
        <v>29.849215507523756</v>
      </c>
      <c r="G30" s="110">
        <f t="shared" si="18"/>
        <v>0.93162359386429205</v>
      </c>
      <c r="H30" s="412" t="b">
        <f>Wh_hp&gt;='2019'!Maxi_hp</f>
        <v>0</v>
      </c>
      <c r="I30" s="380">
        <f>IF(H30,Wh_hp,'2019'!Maxi_hp)</f>
        <v>32.204114318448951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1.3120557300692948E-2</v>
      </c>
      <c r="M30" s="957"/>
      <c r="N30" s="957"/>
      <c r="O30" s="48">
        <f>IF(t&lt;Tnet,'2019'!Resal+('2019'!Salim-'2019'!Resal)*(1-EXP(('2019'!Tnet-t)/('2019'!Tau_j))),Resal+(Salim-Resal)*(1-EXP((Tnet-t)/(Tau_j))))*Salcycl</f>
        <v>6.6007507151417538E-2</v>
      </c>
      <c r="P30" s="169">
        <f>(INDEX(Models!$BJ30:$BT30,,T30)*(1-R30)+INDEX(Models!$BJ30:$BT30,,T30+1)*R30-ERP_i)*Q30*Ramure*Pc/MaxiM</f>
        <v>4.0906599621311007E-4</v>
      </c>
      <c r="Q30" s="305">
        <f t="shared" si="2"/>
        <v>0.7</v>
      </c>
      <c r="R30" s="177">
        <f t="shared" si="3"/>
        <v>6.3176681026333448E-4</v>
      </c>
      <c r="S30" s="919">
        <f t="shared" si="4"/>
        <v>-1</v>
      </c>
      <c r="T30" s="176">
        <f t="shared" si="5"/>
        <v>5</v>
      </c>
      <c r="U30" s="251">
        <f t="shared" si="20"/>
        <v>-0.99936823318973667</v>
      </c>
      <c r="V30" s="383">
        <f t="shared" si="6"/>
        <v>29.520400099652409</v>
      </c>
      <c r="W30" s="402"/>
      <c r="X30" s="157">
        <f t="shared" si="7"/>
        <v>43846</v>
      </c>
      <c r="Y30" s="385">
        <f t="shared" si="8"/>
        <v>27.503</v>
      </c>
      <c r="Z30" s="385">
        <f t="shared" si="9"/>
        <v>27.868652248722448</v>
      </c>
      <c r="AA30" s="386">
        <f t="shared" si="10"/>
        <v>29.838197268294827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6.6007507151417538E-2</v>
      </c>
      <c r="AD30" s="231">
        <f>(INDEX(Models!$BJ30:$BT30,,AH30)*(1-AF30)+INDEX(Models!$BJ30:$BT30,,AH30+1)*AF30-ERP_i)*AE30*Ramure*Pc/MaxiM</f>
        <v>4.0906599621311007E-4</v>
      </c>
      <c r="AE30" s="305">
        <f t="shared" si="12"/>
        <v>0.7</v>
      </c>
      <c r="AF30" s="177">
        <f t="shared" si="21"/>
        <v>6.3176681026333448E-4</v>
      </c>
      <c r="AG30" s="919">
        <f t="shared" si="22"/>
        <v>-1</v>
      </c>
      <c r="AH30" s="176">
        <f t="shared" si="13"/>
        <v>5</v>
      </c>
      <c r="AI30" s="225">
        <f t="shared" si="23"/>
        <v>-0.99936823318973667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8">
        <v>4.4189999999999996</v>
      </c>
      <c r="C31" s="390"/>
      <c r="D31" s="393">
        <f t="shared" si="0"/>
        <v>4.4778486594815634</v>
      </c>
      <c r="E31" s="385">
        <f t="shared" si="17"/>
        <v>4.7945556963767544</v>
      </c>
      <c r="F31" s="385">
        <f t="shared" si="1"/>
        <v>4.7945556963767544</v>
      </c>
      <c r="G31" s="110">
        <f t="shared" si="18"/>
        <v>0.14844510028850857</v>
      </c>
      <c r="H31" s="412" t="b">
        <f>Wh_hp&gt;='2019'!Maxi_hp</f>
        <v>0</v>
      </c>
      <c r="I31" s="380">
        <f>IF(H31,Wh_hp,'2019'!Maxi_hp)</f>
        <v>9.1703414610267338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1.314217249324745E-2</v>
      </c>
      <c r="M31" s="957"/>
      <c r="N31" s="957"/>
      <c r="O31" s="48">
        <f>IF(t&lt;Tnet,'2019'!Resal+('2019'!Salim-'2019'!Resal)*(1-EXP(('2019'!Tnet-t)/('2019'!Tau_j))),Resal+(Salim-Resal)*(1-EXP((Tnet-t)/(Tau_j))))*Salcycl</f>
        <v>6.6055554873317365E-2</v>
      </c>
      <c r="P31" s="169">
        <f>(INDEX(Models!$BJ31:$BT31,,T31)*(1-R31)+INDEX(Models!$BJ31:$BT31,,T31+1)*R31-ERP_i)*Q31*Ramure*Pc/MaxiM</f>
        <v>4.0573724759529136E-4</v>
      </c>
      <c r="Q31" s="305">
        <f t="shared" si="2"/>
        <v>0.7</v>
      </c>
      <c r="R31" s="177">
        <f t="shared" si="3"/>
        <v>6.8575069961751556E-4</v>
      </c>
      <c r="S31" s="919">
        <f t="shared" si="4"/>
        <v>-1</v>
      </c>
      <c r="T31" s="176">
        <f t="shared" si="5"/>
        <v>5</v>
      </c>
      <c r="U31" s="251">
        <f t="shared" si="20"/>
        <v>-0.99931424930038248</v>
      </c>
      <c r="V31" s="383">
        <f t="shared" si="6"/>
        <v>29.75650283180698</v>
      </c>
      <c r="W31" s="402"/>
      <c r="X31" s="157">
        <f t="shared" si="7"/>
        <v>43847</v>
      </c>
      <c r="Y31" s="385">
        <f t="shared" si="8"/>
        <v>4.4189999999999996</v>
      </c>
      <c r="Z31" s="385">
        <f t="shared" si="9"/>
        <v>4.4778486594815634</v>
      </c>
      <c r="AA31" s="386">
        <f t="shared" si="10"/>
        <v>4.7945556963767544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6.6055554873317365E-2</v>
      </c>
      <c r="AD31" s="231">
        <f>(INDEX(Models!$BJ31:$BT31,,AH31)*(1-AF31)+INDEX(Models!$BJ31:$BT31,,AH31+1)*AF31-ERP_i)*AE31*Ramure*Pc/MaxiM</f>
        <v>4.0573724759529136E-4</v>
      </c>
      <c r="AE31" s="305">
        <f t="shared" si="12"/>
        <v>0.7</v>
      </c>
      <c r="AF31" s="177">
        <f t="shared" si="21"/>
        <v>6.8575069961751556E-4</v>
      </c>
      <c r="AG31" s="919">
        <f t="shared" si="22"/>
        <v>-1</v>
      </c>
      <c r="AH31" s="176">
        <f t="shared" si="13"/>
        <v>5</v>
      </c>
      <c r="AI31" s="225">
        <f t="shared" si="23"/>
        <v>-0.99931424930038248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8">
        <v>20.774999999999999</v>
      </c>
      <c r="C32" s="390"/>
      <c r="D32" s="393">
        <f t="shared" si="0"/>
        <v>21.052125703124066</v>
      </c>
      <c r="E32" s="385">
        <f t="shared" si="17"/>
        <v>22.542250440341132</v>
      </c>
      <c r="F32" s="385">
        <f t="shared" si="1"/>
        <v>22.547330681543713</v>
      </c>
      <c r="G32" s="110">
        <f t="shared" si="18"/>
        <v>0.6924231461736774</v>
      </c>
      <c r="H32" s="412" t="b">
        <f>Wh_hp&gt;='2019'!Maxi_hp</f>
        <v>1</v>
      </c>
      <c r="I32" s="380">
        <f>IF(H32,Wh_hp,'2019'!Maxi_hp)</f>
        <v>22.547330681543713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1.3163787212373657E-2</v>
      </c>
      <c r="M32" s="957"/>
      <c r="N32" s="957"/>
      <c r="O32" s="48">
        <f>IF(t&lt;Tnet,'2019'!Resal+('2019'!Salim-'2019'!Resal)*(1-EXP(('2019'!Tnet-t)/('2019'!Tau_j))),Resal+(Salim-Resal)*(1-EXP((Tnet-t)/(Tau_j))))*Salcycl</f>
        <v>6.6103636864506266E-2</v>
      </c>
      <c r="P32" s="169">
        <f>(INDEX(Models!$BJ32:$BT32,,T32)*(1-R32)+INDEX(Models!$BJ32:$BT32,,T32+1)*R32-ERP_i)*Q32*Ramure*Pc/MaxiM</f>
        <v>4.0178836557708877E-4</v>
      </c>
      <c r="Q32" s="305">
        <f t="shared" si="2"/>
        <v>0.7</v>
      </c>
      <c r="R32" s="177">
        <f t="shared" si="3"/>
        <v>7.4198691175919596E-4</v>
      </c>
      <c r="S32" s="919">
        <f t="shared" si="4"/>
        <v>-1</v>
      </c>
      <c r="T32" s="176">
        <f t="shared" si="5"/>
        <v>5</v>
      </c>
      <c r="U32" s="251">
        <f t="shared" si="20"/>
        <v>-0.9992580130882408</v>
      </c>
      <c r="V32" s="383">
        <f t="shared" si="6"/>
        <v>29.998033781210459</v>
      </c>
      <c r="W32" s="402"/>
      <c r="X32" s="157">
        <f t="shared" si="7"/>
        <v>43848</v>
      </c>
      <c r="Y32" s="385">
        <f t="shared" si="8"/>
        <v>20.774999999999999</v>
      </c>
      <c r="Z32" s="385">
        <f t="shared" si="9"/>
        <v>21.052125703124066</v>
      </c>
      <c r="AA32" s="386">
        <f t="shared" si="10"/>
        <v>22.542250440341132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6.6103636864506266E-2</v>
      </c>
      <c r="AD32" s="231">
        <f>(INDEX(Models!$BJ32:$BT32,,AH32)*(1-AF32)+INDEX(Models!$BJ32:$BT32,,AH32+1)*AF32-ERP_i)*AE32*Ramure*Pc/MaxiM</f>
        <v>4.0178836557708877E-4</v>
      </c>
      <c r="AE32" s="305">
        <f t="shared" si="12"/>
        <v>0.7</v>
      </c>
      <c r="AF32" s="177">
        <f t="shared" si="21"/>
        <v>7.4198691175919596E-4</v>
      </c>
      <c r="AG32" s="919">
        <f t="shared" si="22"/>
        <v>-1</v>
      </c>
      <c r="AH32" s="176">
        <f t="shared" si="13"/>
        <v>5</v>
      </c>
      <c r="AI32" s="225">
        <f t="shared" si="23"/>
        <v>-0.9992580130882408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8">
        <v>27.963999999999999</v>
      </c>
      <c r="C33" s="390"/>
      <c r="D33" s="393">
        <f t="shared" si="0"/>
        <v>28.337643201994183</v>
      </c>
      <c r="E33" s="385">
        <f t="shared" si="17"/>
        <v>30.345019540777507</v>
      </c>
      <c r="F33" s="385">
        <f t="shared" si="1"/>
        <v>30.355778508355883</v>
      </c>
      <c r="G33" s="110">
        <f t="shared" si="18"/>
        <v>0.92453300542930072</v>
      </c>
      <c r="H33" s="412" t="b">
        <f>Wh_hp&gt;='2019'!Maxi_hp</f>
        <v>1</v>
      </c>
      <c r="I33" s="380">
        <f>IF(H33,Wh_hp,'2019'!Maxi_hp)</f>
        <v>30.355778508355883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1.3185401458082113E-2</v>
      </c>
      <c r="M33" s="957"/>
      <c r="N33" s="957"/>
      <c r="O33" s="48">
        <f>IF(t&lt;Tnet,'2019'!Resal+('2019'!Salim-'2019'!Resal)*(1-EXP(('2019'!Tnet-t)/('2019'!Tau_j))),Resal+(Salim-Resal)*(1-EXP((Tnet-t)/(Tau_j))))*Salcycl</f>
        <v>6.6151756339646442E-2</v>
      </c>
      <c r="P33" s="169">
        <f>(INDEX(Models!$BJ33:$BT33,,T33)*(1-R33)+INDEX(Models!$BJ33:$BT33,,T33+1)*R33-ERP_i)*Q33*Ramure*Pc/MaxiM</f>
        <v>3.9723210327125805E-4</v>
      </c>
      <c r="Q33" s="305">
        <f t="shared" si="2"/>
        <v>0.7</v>
      </c>
      <c r="R33" s="177">
        <f t="shared" si="3"/>
        <v>8.005688776200337E-4</v>
      </c>
      <c r="S33" s="919">
        <f t="shared" si="4"/>
        <v>-1</v>
      </c>
      <c r="T33" s="176">
        <f t="shared" si="5"/>
        <v>5</v>
      </c>
      <c r="U33" s="251">
        <f t="shared" si="20"/>
        <v>-0.99919943112237997</v>
      </c>
      <c r="V33" s="383">
        <f t="shared" si="6"/>
        <v>30.245326521426762</v>
      </c>
      <c r="W33" s="402"/>
      <c r="X33" s="157">
        <f t="shared" si="7"/>
        <v>43849</v>
      </c>
      <c r="Y33" s="385">
        <f t="shared" si="8"/>
        <v>27.963999999999999</v>
      </c>
      <c r="Z33" s="385">
        <f t="shared" si="9"/>
        <v>28.337643201994183</v>
      </c>
      <c r="AA33" s="386">
        <f t="shared" si="10"/>
        <v>30.345019540777507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6.6151756339646442E-2</v>
      </c>
      <c r="AD33" s="231">
        <f>(INDEX(Models!$BJ33:$BT33,,AH33)*(1-AF33)+INDEX(Models!$BJ33:$BT33,,AH33+1)*AF33-ERP_i)*AE33*Ramure*Pc/MaxiM</f>
        <v>3.9723210327125805E-4</v>
      </c>
      <c r="AE33" s="305">
        <f t="shared" si="12"/>
        <v>0.7</v>
      </c>
      <c r="AF33" s="177">
        <f t="shared" si="21"/>
        <v>8.005688776200337E-4</v>
      </c>
      <c r="AG33" s="919">
        <f t="shared" si="22"/>
        <v>-1</v>
      </c>
      <c r="AH33" s="176">
        <f t="shared" si="13"/>
        <v>5</v>
      </c>
      <c r="AI33" s="225">
        <f t="shared" si="23"/>
        <v>-0.99919943112237997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8">
        <v>11.042999999999999</v>
      </c>
      <c r="C34" s="390"/>
      <c r="D34" s="393">
        <f t="shared" si="0"/>
        <v>11.190797026772712</v>
      </c>
      <c r="E34" s="385">
        <f t="shared" si="17"/>
        <v>11.984146528410651</v>
      </c>
      <c r="F34" s="385">
        <f t="shared" si="1"/>
        <v>11.984563264269097</v>
      </c>
      <c r="G34" s="110">
        <f t="shared" si="18"/>
        <v>0.36195145517324456</v>
      </c>
      <c r="H34" s="412" t="b">
        <f>Wh_hp&gt;='2019'!Maxi_hp</f>
        <v>1</v>
      </c>
      <c r="I34" s="380">
        <f>IF(H34,Wh_hp,'2019'!Maxi_hp)</f>
        <v>11.984563264269097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1.3207015230383035E-2</v>
      </c>
      <c r="M34" s="957"/>
      <c r="N34" s="957"/>
      <c r="O34" s="48">
        <f>IF(t&lt;Tnet,'2019'!Resal+('2019'!Salim-'2019'!Resal)*(1-EXP(('2019'!Tnet-t)/('2019'!Tau_j))),Resal+(Salim-Resal)*(1-EXP((Tnet-t)/(Tau_j))))*Salcycl</f>
        <v>6.6199916678017598E-2</v>
      </c>
      <c r="P34" s="169">
        <f>(INDEX(Models!$BJ34:$BT34,,T34)*(1-R34)+INDEX(Models!$BJ34:$BT34,,T34+1)*R34-ERP_i)*Q34*Ramure*Pc/MaxiM</f>
        <v>3.9208402486278599E-4</v>
      </c>
      <c r="Q34" s="305">
        <f t="shared" si="2"/>
        <v>0.7</v>
      </c>
      <c r="R34" s="177">
        <f t="shared" si="3"/>
        <v>8.6159385766271246E-4</v>
      </c>
      <c r="S34" s="919">
        <f t="shared" si="4"/>
        <v>-1</v>
      </c>
      <c r="T34" s="176">
        <f t="shared" si="5"/>
        <v>5</v>
      </c>
      <c r="U34" s="251">
        <f t="shared" si="20"/>
        <v>-0.99913840614233729</v>
      </c>
      <c r="V34" s="383">
        <f t="shared" si="6"/>
        <v>30.49871444435043</v>
      </c>
      <c r="W34" s="402"/>
      <c r="X34" s="157">
        <f t="shared" si="7"/>
        <v>43850</v>
      </c>
      <c r="Y34" s="385">
        <f t="shared" si="8"/>
        <v>11.042999999999999</v>
      </c>
      <c r="Z34" s="385">
        <f t="shared" si="9"/>
        <v>11.190797026772712</v>
      </c>
      <c r="AA34" s="386">
        <f t="shared" si="10"/>
        <v>11.984146528410651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6.6199916678017598E-2</v>
      </c>
      <c r="AD34" s="231">
        <f>(INDEX(Models!$BJ34:$BT34,,AH34)*(1-AF34)+INDEX(Models!$BJ34:$BT34,,AH34+1)*AF34-ERP_i)*AE34*Ramure*Pc/MaxiM</f>
        <v>3.9208402486278599E-4</v>
      </c>
      <c r="AE34" s="305">
        <f t="shared" si="12"/>
        <v>0.7</v>
      </c>
      <c r="AF34" s="177">
        <f t="shared" si="21"/>
        <v>8.6159385766271246E-4</v>
      </c>
      <c r="AG34" s="919">
        <f t="shared" si="22"/>
        <v>-1</v>
      </c>
      <c r="AH34" s="176">
        <f t="shared" si="13"/>
        <v>5</v>
      </c>
      <c r="AI34" s="225">
        <f t="shared" si="23"/>
        <v>-0.99913840614233729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8">
        <v>4.0069999999999997</v>
      </c>
      <c r="C35" s="390"/>
      <c r="D35" s="393">
        <f t="shared" si="0"/>
        <v>4.0607177263643646</v>
      </c>
      <c r="E35" s="385">
        <f t="shared" si="17"/>
        <v>4.3488188018408209</v>
      </c>
      <c r="F35" s="385">
        <f t="shared" si="1"/>
        <v>4.3488188018408209</v>
      </c>
      <c r="G35" s="110">
        <f t="shared" si="18"/>
        <v>0.13022246986716979</v>
      </c>
      <c r="H35" s="412" t="b">
        <f>Wh_hp&gt;='2019'!Maxi_hp</f>
        <v>0</v>
      </c>
      <c r="I35" s="380">
        <f>IF(H35,Wh_hp,'2019'!Maxi_hp)</f>
        <v>9.3011669439992293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1.3228628529286968E-2</v>
      </c>
      <c r="M35" s="957"/>
      <c r="N35" s="957"/>
      <c r="O35" s="48">
        <f>IF(t&lt;Tnet,'2019'!Resal+('2019'!Salim-'2019'!Resal)*(1-EXP(('2019'!Tnet-t)/('2019'!Tau_j))),Resal+(Salim-Resal)*(1-EXP((Tnet-t)/(Tau_j))))*Salcycl</f>
        <v>6.624812129548964E-2</v>
      </c>
      <c r="P35" s="169">
        <f>(INDEX(Models!$BJ35:$BT35,,T35)*(1-R35)+INDEX(Models!$BJ35:$BT35,,T35+1)*R35-ERP_i)*Q35*Ramure*Pc/MaxiM</f>
        <v>3.8636118452899988E-4</v>
      </c>
      <c r="Q35" s="305">
        <f t="shared" si="2"/>
        <v>0.7</v>
      </c>
      <c r="R35" s="177">
        <f t="shared" si="3"/>
        <v>9.2516309489887316E-4</v>
      </c>
      <c r="S35" s="919">
        <f t="shared" si="4"/>
        <v>-1</v>
      </c>
      <c r="T35" s="176">
        <f t="shared" si="5"/>
        <v>5</v>
      </c>
      <c r="U35" s="251">
        <f t="shared" si="20"/>
        <v>-0.99907483690510113</v>
      </c>
      <c r="V35" s="383">
        <f t="shared" si="6"/>
        <v>30.758530803625927</v>
      </c>
      <c r="W35" s="402"/>
      <c r="X35" s="157">
        <f t="shared" si="7"/>
        <v>43851</v>
      </c>
      <c r="Y35" s="385">
        <f t="shared" si="8"/>
        <v>4.0069999999999997</v>
      </c>
      <c r="Z35" s="385">
        <f t="shared" si="9"/>
        <v>4.0607177263643646</v>
      </c>
      <c r="AA35" s="386">
        <f t="shared" si="10"/>
        <v>4.3488188018408209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6.624812129548964E-2</v>
      </c>
      <c r="AD35" s="231">
        <f>(INDEX(Models!$BJ35:$BT35,,AH35)*(1-AF35)+INDEX(Models!$BJ35:$BT35,,AH35+1)*AF35-ERP_i)*AE35*Ramure*Pc/MaxiM</f>
        <v>3.8636118452899988E-4</v>
      </c>
      <c r="AE35" s="305">
        <f t="shared" si="12"/>
        <v>0.7</v>
      </c>
      <c r="AF35" s="177">
        <f t="shared" si="21"/>
        <v>9.2516309489887316E-4</v>
      </c>
      <c r="AG35" s="919">
        <f t="shared" si="22"/>
        <v>-1</v>
      </c>
      <c r="AH35" s="176">
        <f t="shared" si="13"/>
        <v>5</v>
      </c>
      <c r="AI35" s="225">
        <f t="shared" si="23"/>
        <v>-0.99907483690510113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8">
        <v>1.982</v>
      </c>
      <c r="C36" s="390"/>
      <c r="D36" s="393">
        <f t="shared" si="0"/>
        <v>2.0086146286179782</v>
      </c>
      <c r="E36" s="385">
        <f t="shared" si="17"/>
        <v>2.1512336159573429</v>
      </c>
      <c r="F36" s="385">
        <f t="shared" si="1"/>
        <v>2.1512336159573429</v>
      </c>
      <c r="G36" s="110">
        <f t="shared" si="18"/>
        <v>6.3859459612742933E-2</v>
      </c>
      <c r="H36" s="412" t="b">
        <f>Wh_hp&gt;='2019'!Maxi_hp</f>
        <v>0</v>
      </c>
      <c r="I36" s="380">
        <f>IF(H36,Wh_hp,'2019'!Maxi_hp)</f>
        <v>11.949256375188444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1.3250241354804126E-2</v>
      </c>
      <c r="M36" s="957"/>
      <c r="N36" s="957"/>
      <c r="O36" s="48">
        <f>IF(t&lt;Tnet,'2019'!Resal+('2019'!Salim-'2019'!Resal)*(1-EXP(('2019'!Tnet-t)/('2019'!Tau_j))),Resal+(Salim-Resal)*(1-EXP((Tnet-t)/(Tau_j))))*Salcycl</f>
        <v>6.6296373523289542E-2</v>
      </c>
      <c r="P36" s="169">
        <f>(INDEX(Models!$BJ36:$BT36,,T36)*(1-R36)+INDEX(Models!$BJ36:$BT36,,T36+1)*R36-ERP_i)*Q36*Ramure*Pc/MaxiM</f>
        <v>3.8007943250457601E-4</v>
      </c>
      <c r="Q36" s="305">
        <f t="shared" si="2"/>
        <v>0.7</v>
      </c>
      <c r="R36" s="177">
        <f t="shared" si="3"/>
        <v>9.9138197368098258E-4</v>
      </c>
      <c r="S36" s="919">
        <f t="shared" si="4"/>
        <v>-1</v>
      </c>
      <c r="T36" s="176">
        <f t="shared" si="5"/>
        <v>5</v>
      </c>
      <c r="U36" s="251">
        <f t="shared" si="20"/>
        <v>-0.99900861802631902</v>
      </c>
      <c r="V36" s="383">
        <f t="shared" si="6"/>
        <v>31.025108802665542</v>
      </c>
      <c r="W36" s="402"/>
      <c r="X36" s="157">
        <f t="shared" si="7"/>
        <v>43852</v>
      </c>
      <c r="Y36" s="385">
        <f t="shared" si="8"/>
        <v>1.9819999999999998</v>
      </c>
      <c r="Z36" s="385">
        <f t="shared" si="9"/>
        <v>2.0086146286179782</v>
      </c>
      <c r="AA36" s="386">
        <f t="shared" si="10"/>
        <v>2.1512336159573429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6.6296373523289542E-2</v>
      </c>
      <c r="AD36" s="231">
        <f>(INDEX(Models!$BJ36:$BT36,,AH36)*(1-AF36)+INDEX(Models!$BJ36:$BT36,,AH36+1)*AF36-ERP_i)*AE36*Ramure*Pc/MaxiM</f>
        <v>3.8007943250457601E-4</v>
      </c>
      <c r="AE36" s="305">
        <f t="shared" si="12"/>
        <v>0.7</v>
      </c>
      <c r="AF36" s="177">
        <f t="shared" si="21"/>
        <v>9.9138197368098258E-4</v>
      </c>
      <c r="AG36" s="919">
        <f t="shared" si="22"/>
        <v>-1</v>
      </c>
      <c r="AH36" s="176">
        <f t="shared" si="13"/>
        <v>5</v>
      </c>
      <c r="AI36" s="225">
        <f t="shared" si="23"/>
        <v>-0.99900861802631902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8">
        <v>14.2</v>
      </c>
      <c r="C37" s="390"/>
      <c r="D37" s="393">
        <f t="shared" si="0"/>
        <v>14.390995182762978</v>
      </c>
      <c r="E37" s="385">
        <f t="shared" si="17"/>
        <v>15.413605878381127</v>
      </c>
      <c r="F37" s="385">
        <f t="shared" si="1"/>
        <v>15.414868910772679</v>
      </c>
      <c r="G37" s="110">
        <f t="shared" si="18"/>
        <v>0.45353747687294826</v>
      </c>
      <c r="H37" s="412" t="b">
        <f>Wh_hp&gt;='2019'!Maxi_hp</f>
        <v>1</v>
      </c>
      <c r="I37" s="380">
        <f>IF(H37,Wh_hp,'2019'!Maxi_hp)</f>
        <v>15.414868910772679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1.3271853706944947E-2</v>
      </c>
      <c r="M37" s="957"/>
      <c r="N37" s="957"/>
      <c r="O37" s="48">
        <f>IF(t&lt;Tnet,'2019'!Resal+('2019'!Salim-'2019'!Resal)*(1-EXP(('2019'!Tnet-t)/('2019'!Tau_j))),Resal+(Salim-Resal)*(1-EXP((Tnet-t)/(Tau_j))))*Salcycl</f>
        <v>6.6344676494709459E-2</v>
      </c>
      <c r="P37" s="169">
        <f>(INDEX(Models!$BJ37:$BT37,,T37)*(1-R37)+INDEX(Models!$BJ37:$BT37,,T37+1)*R37-ERP_i)*Q37*Ramure*Pc/MaxiM</f>
        <v>3.7323693379462251E-4</v>
      </c>
      <c r="Q37" s="305">
        <f t="shared" si="2"/>
        <v>0.7</v>
      </c>
      <c r="R37" s="177">
        <f t="shared" si="3"/>
        <v>1.0603601844583199E-3</v>
      </c>
      <c r="S37" s="919">
        <f t="shared" si="4"/>
        <v>-1</v>
      </c>
      <c r="T37" s="176">
        <f t="shared" si="5"/>
        <v>5</v>
      </c>
      <c r="U37" s="251">
        <f t="shared" si="20"/>
        <v>-0.99893963981554168</v>
      </c>
      <c r="V37" s="383">
        <f t="shared" si="6"/>
        <v>31.300309040348175</v>
      </c>
      <c r="W37" s="402"/>
      <c r="X37" s="157">
        <f t="shared" si="7"/>
        <v>43853</v>
      </c>
      <c r="Y37" s="385">
        <f t="shared" si="8"/>
        <v>14.2</v>
      </c>
      <c r="Z37" s="385">
        <f t="shared" si="9"/>
        <v>14.390995182762978</v>
      </c>
      <c r="AA37" s="386">
        <f t="shared" si="10"/>
        <v>15.413605878381127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6.6344676494709459E-2</v>
      </c>
      <c r="AD37" s="231">
        <f>(INDEX(Models!$BJ37:$BT37,,AH37)*(1-AF37)+INDEX(Models!$BJ37:$BT37,,AH37+1)*AF37-ERP_i)*AE37*Ramure*Pc/MaxiM</f>
        <v>3.7323693379462251E-4</v>
      </c>
      <c r="AE37" s="305">
        <f t="shared" si="12"/>
        <v>0.7</v>
      </c>
      <c r="AF37" s="177">
        <f t="shared" si="21"/>
        <v>1.0603601844583199E-3</v>
      </c>
      <c r="AG37" s="919">
        <f t="shared" si="22"/>
        <v>-1</v>
      </c>
      <c r="AH37" s="176">
        <f t="shared" si="13"/>
        <v>5</v>
      </c>
      <c r="AI37" s="225">
        <f t="shared" si="23"/>
        <v>-0.99893963981554168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8">
        <v>15.438000000000001</v>
      </c>
      <c r="C38" s="390"/>
      <c r="D38" s="393">
        <f t="shared" si="0"/>
        <v>15.645989421935031</v>
      </c>
      <c r="E38" s="385">
        <f t="shared" si="17"/>
        <v>16.758646813545816</v>
      </c>
      <c r="F38" s="385">
        <f t="shared" si="1"/>
        <v>16.760301939175058</v>
      </c>
      <c r="G38" s="110">
        <f t="shared" si="18"/>
        <v>0.48864512367528057</v>
      </c>
      <c r="H38" s="412" t="b">
        <f>Wh_hp&gt;='2019'!Maxi_hp</f>
        <v>1</v>
      </c>
      <c r="I38" s="380">
        <f>IF(H38,Wh_hp,'2019'!Maxi_hp)</f>
        <v>16.760301939175058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1.3293465585719866E-2</v>
      </c>
      <c r="M38" s="957"/>
      <c r="N38" s="957"/>
      <c r="O38" s="48">
        <f>IF(t&lt;Tnet,'2019'!Resal+('2019'!Salim-'2019'!Resal)*(1-EXP(('2019'!Tnet-t)/('2019'!Tau_j))),Resal+(Salim-Resal)*(1-EXP((Tnet-t)/(Tau_j))))*Salcycl</f>
        <v>6.6393033040796495E-2</v>
      </c>
      <c r="P38" s="169">
        <f>(INDEX(Models!$BJ38:$BT38,,T38)*(1-R38)+INDEX(Models!$BJ38:$BT38,,T38+1)*R38-ERP_i)*Q38*Ramure*Pc/MaxiM</f>
        <v>3.6618515019704544E-4</v>
      </c>
      <c r="Q38" s="305">
        <f t="shared" si="2"/>
        <v>0.7</v>
      </c>
      <c r="R38" s="177">
        <f t="shared" si="3"/>
        <v>1.1322118946878179E-3</v>
      </c>
      <c r="S38" s="919">
        <f t="shared" si="4"/>
        <v>-1</v>
      </c>
      <c r="T38" s="176">
        <f t="shared" si="5"/>
        <v>5</v>
      </c>
      <c r="U38" s="251">
        <f t="shared" si="20"/>
        <v>-0.99886778810531218</v>
      </c>
      <c r="V38" s="383">
        <f t="shared" si="6"/>
        <v>31.585030163634556</v>
      </c>
      <c r="W38" s="402"/>
      <c r="X38" s="157">
        <f t="shared" si="7"/>
        <v>43854</v>
      </c>
      <c r="Y38" s="385">
        <f t="shared" si="8"/>
        <v>15.438000000000001</v>
      </c>
      <c r="Z38" s="385">
        <f t="shared" si="9"/>
        <v>15.645989421935031</v>
      </c>
      <c r="AA38" s="386">
        <f t="shared" si="10"/>
        <v>16.758646813545816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6.6393033040796495E-2</v>
      </c>
      <c r="AD38" s="231">
        <f>(INDEX(Models!$BJ38:$BT38,,AH38)*(1-AF38)+INDEX(Models!$BJ38:$BT38,,AH38+1)*AF38-ERP_i)*AE38*Ramure*Pc/MaxiM</f>
        <v>3.6618515019704544E-4</v>
      </c>
      <c r="AE38" s="305">
        <f t="shared" si="12"/>
        <v>0.7</v>
      </c>
      <c r="AF38" s="177">
        <f t="shared" si="21"/>
        <v>1.1322118946878179E-3</v>
      </c>
      <c r="AG38" s="919">
        <f t="shared" si="22"/>
        <v>-1</v>
      </c>
      <c r="AH38" s="176">
        <f t="shared" si="13"/>
        <v>5</v>
      </c>
      <c r="AI38" s="225">
        <f t="shared" si="23"/>
        <v>-0.99886778810531218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8">
        <v>17.105</v>
      </c>
      <c r="C39" s="390"/>
      <c r="D39" s="393">
        <f t="shared" si="0"/>
        <v>17.335827882966839</v>
      </c>
      <c r="E39" s="385">
        <f t="shared" si="17"/>
        <v>18.569620299857231</v>
      </c>
      <c r="F39" s="385">
        <f t="shared" si="1"/>
        <v>18.571876293641711</v>
      </c>
      <c r="G39" s="110">
        <f t="shared" si="18"/>
        <v>0.53644650230255897</v>
      </c>
      <c r="H39" s="412" t="b">
        <f>Wh_hp&gt;='2019'!Maxi_hp</f>
        <v>1</v>
      </c>
      <c r="I39" s="380">
        <f>IF(H39,Wh_hp,'2019'!Maxi_hp)</f>
        <v>18.571876293641711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1.3315076991139096E-2</v>
      </c>
      <c r="M39" s="957"/>
      <c r="N39" s="957"/>
      <c r="O39" s="48">
        <f>IF(t&lt;Tnet,'2019'!Resal+('2019'!Salim-'2019'!Resal)*(1-EXP(('2019'!Tnet-t)/('2019'!Tau_j))),Resal+(Salim-Resal)*(1-EXP((Tnet-t)/(Tau_j))))*Salcycl</f>
        <v>6.6441445595948848E-2</v>
      </c>
      <c r="P39" s="169">
        <f>(INDEX(Models!$BJ39:$BT39,,T39)*(1-R39)+INDEX(Models!$BJ39:$BT39,,T39+1)*R39-ERP_i)*Q39*Ramure*Pc/MaxiM</f>
        <v>3.5942872263535803E-4</v>
      </c>
      <c r="Q39" s="305">
        <f t="shared" si="2"/>
        <v>0.7</v>
      </c>
      <c r="R39" s="177">
        <f t="shared" si="3"/>
        <v>1.2070559260960456E-3</v>
      </c>
      <c r="S39" s="919">
        <f t="shared" si="4"/>
        <v>-1</v>
      </c>
      <c r="T39" s="176">
        <f t="shared" si="5"/>
        <v>5</v>
      </c>
      <c r="U39" s="251">
        <f t="shared" si="20"/>
        <v>-0.99879294407390395</v>
      </c>
      <c r="V39" s="383">
        <f t="shared" si="6"/>
        <v>31.878163452955143</v>
      </c>
      <c r="W39" s="402"/>
      <c r="X39" s="157">
        <f t="shared" si="7"/>
        <v>43855</v>
      </c>
      <c r="Y39" s="385">
        <f t="shared" si="8"/>
        <v>17.105</v>
      </c>
      <c r="Z39" s="385">
        <f t="shared" si="9"/>
        <v>17.335827882966839</v>
      </c>
      <c r="AA39" s="386">
        <f t="shared" si="10"/>
        <v>18.569620299857231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6.6441445595948848E-2</v>
      </c>
      <c r="AD39" s="231">
        <f>(INDEX(Models!$BJ39:$BT39,,AH39)*(1-AF39)+INDEX(Models!$BJ39:$BT39,,AH39+1)*AF39-ERP_i)*AE39*Ramure*Pc/MaxiM</f>
        <v>3.5942872263535803E-4</v>
      </c>
      <c r="AE39" s="305">
        <f t="shared" si="12"/>
        <v>0.7</v>
      </c>
      <c r="AF39" s="177">
        <f t="shared" si="21"/>
        <v>1.2070559260960456E-3</v>
      </c>
      <c r="AG39" s="919">
        <f t="shared" si="22"/>
        <v>-1</v>
      </c>
      <c r="AH39" s="176">
        <f t="shared" si="13"/>
        <v>5</v>
      </c>
      <c r="AI39" s="225">
        <f t="shared" si="23"/>
        <v>-0.99879294407390395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8">
        <v>7.2969999999999997</v>
      </c>
      <c r="C40" s="390"/>
      <c r="D40" s="393">
        <f t="shared" si="0"/>
        <v>7.395633252685605</v>
      </c>
      <c r="E40" s="385">
        <f t="shared" si="17"/>
        <v>7.9223924629725877</v>
      </c>
      <c r="F40" s="385">
        <f t="shared" si="1"/>
        <v>7.9223924629725877</v>
      </c>
      <c r="G40" s="110">
        <f t="shared" si="18"/>
        <v>0.22668545977735755</v>
      </c>
      <c r="H40" s="412" t="b">
        <f>Wh_hp&gt;='2019'!Maxi_hp</f>
        <v>0</v>
      </c>
      <c r="I40" s="380">
        <f>IF(H40,Wh_hp,'2019'!Maxi_hp)</f>
        <v>17.50570115666876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1.3336687923213075E-2</v>
      </c>
      <c r="M40" s="957"/>
      <c r="N40" s="957"/>
      <c r="O40" s="48">
        <f>IF(t&lt;Tnet,'2019'!Resal+('2019'!Salim-'2019'!Resal)*(1-EXP(('2019'!Tnet-t)/('2019'!Tau_j))),Resal+(Salim-Resal)*(1-EXP((Tnet-t)/(Tau_j))))*Salcycl</f>
        <v>6.6489916114220796E-2</v>
      </c>
      <c r="P40" s="169">
        <f>(INDEX(Models!$BJ40:$BT40,,T40)*(1-R40)+INDEX(Models!$BJ40:$BT40,,T40+1)*R40-ERP_i)*Q40*Ramure*Pc/MaxiM</f>
        <v>3.5297832521839556E-4</v>
      </c>
      <c r="Q40" s="305">
        <f t="shared" si="2"/>
        <v>0.7</v>
      </c>
      <c r="R40" s="177">
        <f t="shared" si="3"/>
        <v>1.2850159384887316E-3</v>
      </c>
      <c r="S40" s="919">
        <f t="shared" si="4"/>
        <v>-1</v>
      </c>
      <c r="T40" s="176">
        <f t="shared" si="5"/>
        <v>5</v>
      </c>
      <c r="U40" s="251">
        <f t="shared" si="20"/>
        <v>-0.99871498406151127</v>
      </c>
      <c r="V40" s="383">
        <f t="shared" si="6"/>
        <v>32.178615797966081</v>
      </c>
      <c r="W40" s="402"/>
      <c r="X40" s="157">
        <f t="shared" si="7"/>
        <v>43856</v>
      </c>
      <c r="Y40" s="385">
        <f t="shared" si="8"/>
        <v>7.2969999999999997</v>
      </c>
      <c r="Z40" s="385">
        <f t="shared" si="9"/>
        <v>7.395633252685605</v>
      </c>
      <c r="AA40" s="386">
        <f t="shared" si="10"/>
        <v>7.9223924629725877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6.6489916114220796E-2</v>
      </c>
      <c r="AD40" s="231">
        <f>(INDEX(Models!$BJ40:$BT40,,AH40)*(1-AF40)+INDEX(Models!$BJ40:$BT40,,AH40+1)*AF40-ERP_i)*AE40*Ramure*Pc/MaxiM</f>
        <v>3.5297832521839556E-4</v>
      </c>
      <c r="AE40" s="305">
        <f t="shared" si="12"/>
        <v>0.7</v>
      </c>
      <c r="AF40" s="177">
        <f t="shared" si="21"/>
        <v>1.2850159384887316E-3</v>
      </c>
      <c r="AG40" s="919">
        <f t="shared" si="22"/>
        <v>-1</v>
      </c>
      <c r="AH40" s="176">
        <f t="shared" si="13"/>
        <v>5</v>
      </c>
      <c r="AI40" s="225">
        <f t="shared" si="23"/>
        <v>-0.99871498406151127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8">
        <v>10.266999999999999</v>
      </c>
      <c r="C41" s="390"/>
      <c r="D41" s="393">
        <f t="shared" si="0"/>
        <v>10.406006540330276</v>
      </c>
      <c r="E41" s="385">
        <f t="shared" si="17"/>
        <v>11.147761250268866</v>
      </c>
      <c r="F41" s="385">
        <f t="shared" si="1"/>
        <v>11.14784990867151</v>
      </c>
      <c r="G41" s="110">
        <f t="shared" si="18"/>
        <v>0.31594359145782985</v>
      </c>
      <c r="H41" s="412" t="b">
        <f>Wh_hp&gt;='2019'!Maxi_hp</f>
        <v>0</v>
      </c>
      <c r="I41" s="380">
        <f>IF(H41,Wh_hp,'2019'!Maxi_hp)</f>
        <v>15.003978997139566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1.3358298381952127E-2</v>
      </c>
      <c r="M41" s="957"/>
      <c r="N41" s="957"/>
      <c r="O41" s="48">
        <f>IF(t&lt;Tnet,'2019'!Resal+('2019'!Salim-'2019'!Resal)*(1-EXP(('2019'!Tnet-t)/('2019'!Tau_j))),Resal+(Salim-Resal)*(1-EXP((Tnet-t)/(Tau_j))))*Salcycl</f>
        <v>6.6538445997011267E-2</v>
      </c>
      <c r="P41" s="169">
        <f>(INDEX(Models!$BJ41:$BT41,,T41)*(1-R41)+INDEX(Models!$BJ41:$BT41,,T41+1)*R41-ERP_i)*Q41*Ramure*Pc/MaxiM</f>
        <v>3.4684296193490021E-4</v>
      </c>
      <c r="Q41" s="305">
        <f t="shared" si="2"/>
        <v>0.7</v>
      </c>
      <c r="R41" s="177">
        <f t="shared" si="3"/>
        <v>1.3662206203104432E-3</v>
      </c>
      <c r="S41" s="919">
        <f t="shared" si="4"/>
        <v>-1</v>
      </c>
      <c r="T41" s="176">
        <f t="shared" si="5"/>
        <v>5</v>
      </c>
      <c r="U41" s="251">
        <f t="shared" si="20"/>
        <v>-0.99863377937968956</v>
      </c>
      <c r="V41" s="383">
        <f t="shared" si="6"/>
        <v>32.485294420180693</v>
      </c>
      <c r="W41" s="402"/>
      <c r="X41" s="157">
        <f t="shared" si="7"/>
        <v>43857</v>
      </c>
      <c r="Y41" s="385">
        <f t="shared" si="8"/>
        <v>10.266999999999999</v>
      </c>
      <c r="Z41" s="385">
        <f t="shared" si="9"/>
        <v>10.406006540330276</v>
      </c>
      <c r="AA41" s="386">
        <f t="shared" si="10"/>
        <v>11.147761250268866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6.6538445997011267E-2</v>
      </c>
      <c r="AD41" s="231">
        <f>(INDEX(Models!$BJ41:$BT41,,AH41)*(1-AF41)+INDEX(Models!$BJ41:$BT41,,AH41+1)*AF41-ERP_i)*AE41*Ramure*Pc/MaxiM</f>
        <v>3.4684296193490021E-4</v>
      </c>
      <c r="AE41" s="305">
        <f t="shared" si="12"/>
        <v>0.7</v>
      </c>
      <c r="AF41" s="177">
        <f t="shared" si="21"/>
        <v>1.3662206203104432E-3</v>
      </c>
      <c r="AG41" s="919">
        <f t="shared" si="22"/>
        <v>-1</v>
      </c>
      <c r="AH41" s="176">
        <f t="shared" si="13"/>
        <v>5</v>
      </c>
      <c r="AI41" s="225">
        <f t="shared" si="23"/>
        <v>-0.99863377937968956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8">
        <v>15.191000000000001</v>
      </c>
      <c r="C42" s="390"/>
      <c r="D42" s="393">
        <f t="shared" si="0"/>
        <v>15.397010590836773</v>
      </c>
      <c r="E42" s="385">
        <f t="shared" si="17"/>
        <v>16.495389699104074</v>
      </c>
      <c r="F42" s="385">
        <f t="shared" si="1"/>
        <v>16.496701179121704</v>
      </c>
      <c r="G42" s="110">
        <f t="shared" si="18"/>
        <v>0.46305995298897962</v>
      </c>
      <c r="H42" s="412" t="b">
        <f>Wh_hp&gt;='2019'!Maxi_hp</f>
        <v>1</v>
      </c>
      <c r="I42" s="380">
        <f>IF(H42,Wh_hp,'2019'!Maxi_hp)</f>
        <v>16.496701179121704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1.33799083673668E-2</v>
      </c>
      <c r="M42" s="957"/>
      <c r="N42" s="957"/>
      <c r="O42" s="48">
        <f>IF(t&lt;Tnet,'2019'!Resal+('2019'!Salim-'2019'!Resal)*(1-EXP(('2019'!Tnet-t)/('2019'!Tau_j))),Resal+(Salim-Resal)*(1-EXP((Tnet-t)/(Tau_j))))*Salcycl</f>
        <v>6.658703603267753E-2</v>
      </c>
      <c r="P42" s="169">
        <f>(INDEX(Models!$BJ42:$BT42,,T42)*(1-R42)+INDEX(Models!$BJ42:$BT42,,T42+1)*R42-ERP_i)*Q42*Ramure*Pc/MaxiM</f>
        <v>3.4103013535034127E-4</v>
      </c>
      <c r="Q42" s="305">
        <f t="shared" si="2"/>
        <v>0.7</v>
      </c>
      <c r="R42" s="177">
        <f t="shared" si="3"/>
        <v>1.450803886156371E-3</v>
      </c>
      <c r="S42" s="919">
        <f t="shared" si="4"/>
        <v>-1</v>
      </c>
      <c r="T42" s="176">
        <f t="shared" si="5"/>
        <v>5</v>
      </c>
      <c r="U42" s="251">
        <f t="shared" si="20"/>
        <v>-0.99854919611384363</v>
      </c>
      <c r="V42" s="383">
        <f t="shared" si="6"/>
        <v>32.797106885835646</v>
      </c>
      <c r="W42" s="402"/>
      <c r="X42" s="157">
        <f t="shared" si="7"/>
        <v>43858</v>
      </c>
      <c r="Y42" s="385">
        <f t="shared" si="8"/>
        <v>15.190999999999999</v>
      </c>
      <c r="Z42" s="385">
        <f t="shared" si="9"/>
        <v>15.397010590836771</v>
      </c>
      <c r="AA42" s="386">
        <f t="shared" si="10"/>
        <v>16.495389699104074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6.658703603267753E-2</v>
      </c>
      <c r="AD42" s="231">
        <f>(INDEX(Models!$BJ42:$BT42,,AH42)*(1-AF42)+INDEX(Models!$BJ42:$BT42,,AH42+1)*AF42-ERP_i)*AE42*Ramure*Pc/MaxiM</f>
        <v>3.4103013535034127E-4</v>
      </c>
      <c r="AE42" s="305">
        <f t="shared" si="12"/>
        <v>0.7</v>
      </c>
      <c r="AF42" s="177">
        <f t="shared" si="21"/>
        <v>1.450803886156371E-3</v>
      </c>
      <c r="AG42" s="919">
        <f t="shared" si="22"/>
        <v>-1</v>
      </c>
      <c r="AH42" s="176">
        <f t="shared" si="13"/>
        <v>5</v>
      </c>
      <c r="AI42" s="225">
        <f t="shared" si="23"/>
        <v>-0.99854919611384363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8">
        <v>20.727</v>
      </c>
      <c r="C43" s="390"/>
      <c r="D43" s="393">
        <f t="shared" si="0"/>
        <v>21.008546410339786</v>
      </c>
      <c r="E43" s="385">
        <f t="shared" si="17"/>
        <v>22.508409742118715</v>
      </c>
      <c r="F43" s="385">
        <f t="shared" si="1"/>
        <v>22.511927090396647</v>
      </c>
      <c r="G43" s="110">
        <f t="shared" si="18"/>
        <v>0.62583599699806836</v>
      </c>
      <c r="H43" s="412" t="b">
        <f>Wh_hp&gt;='2019'!Maxi_hp</f>
        <v>1</v>
      </c>
      <c r="I43" s="380">
        <f>IF(H43,Wh_hp,'2019'!Maxi_hp)</f>
        <v>22.511927090396647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1.3401517879467306E-2</v>
      </c>
      <c r="M43" s="957"/>
      <c r="N43" s="957"/>
      <c r="O43" s="48">
        <f>IF(t&lt;Tnet,'2019'!Resal+('2019'!Salim-'2019'!Resal)*(1-EXP(('2019'!Tnet-t)/('2019'!Tau_j))),Resal+(Salim-Resal)*(1-EXP((Tnet-t)/(Tau_j))))*Salcycl</f>
        <v>6.6635686348481632E-2</v>
      </c>
      <c r="P43" s="169">
        <f>(INDEX(Models!$BJ43:$BT43,,T43)*(1-R43)+INDEX(Models!$BJ43:$BT43,,T43+1)*R43-ERP_i)*Q43*Ramure*Pc/MaxiM</f>
        <v>3.3554601691297849E-4</v>
      </c>
      <c r="Q43" s="305">
        <f t="shared" si="2"/>
        <v>0.7</v>
      </c>
      <c r="R43" s="177">
        <f t="shared" si="3"/>
        <v>1.5389050814416105E-3</v>
      </c>
      <c r="S43" s="919">
        <f t="shared" si="4"/>
        <v>-1</v>
      </c>
      <c r="T43" s="176">
        <f t="shared" si="5"/>
        <v>5</v>
      </c>
      <c r="U43" s="251">
        <f t="shared" si="20"/>
        <v>-0.99846109491855839</v>
      </c>
      <c r="V43" s="383">
        <f t="shared" si="6"/>
        <v>33.112961096680458</v>
      </c>
      <c r="W43" s="402"/>
      <c r="X43" s="157">
        <f t="shared" si="7"/>
        <v>43859</v>
      </c>
      <c r="Y43" s="385">
        <f t="shared" si="8"/>
        <v>20.727</v>
      </c>
      <c r="Z43" s="385">
        <f t="shared" si="9"/>
        <v>21.008546410339786</v>
      </c>
      <c r="AA43" s="386">
        <f t="shared" si="10"/>
        <v>22.508409742118715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6.6635686348481632E-2</v>
      </c>
      <c r="AD43" s="231">
        <f>(INDEX(Models!$BJ43:$BT43,,AH43)*(1-AF43)+INDEX(Models!$BJ43:$BT43,,AH43+1)*AF43-ERP_i)*AE43*Ramure*Pc/MaxiM</f>
        <v>3.3554601691297849E-4</v>
      </c>
      <c r="AE43" s="305">
        <f t="shared" si="12"/>
        <v>0.7</v>
      </c>
      <c r="AF43" s="177">
        <f t="shared" si="21"/>
        <v>1.5389050814416105E-3</v>
      </c>
      <c r="AG43" s="919">
        <f t="shared" si="22"/>
        <v>-1</v>
      </c>
      <c r="AH43" s="176">
        <f t="shared" si="13"/>
        <v>5</v>
      </c>
      <c r="AI43" s="225">
        <f t="shared" si="23"/>
        <v>-0.99846109491855839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8">
        <v>9.5980000000000008</v>
      </c>
      <c r="C44" s="390"/>
      <c r="D44" s="393">
        <f t="shared" si="0"/>
        <v>9.7285880724317622</v>
      </c>
      <c r="E44" s="385">
        <f t="shared" si="17"/>
        <v>10.423685229998675</v>
      </c>
      <c r="F44" s="385">
        <f t="shared" si="1"/>
        <v>10.423685229998675</v>
      </c>
      <c r="G44" s="110">
        <f t="shared" si="18"/>
        <v>0.28699737438815193</v>
      </c>
      <c r="H44" s="412" t="b">
        <f>Wh_hp&gt;='2019'!Maxi_hp</f>
        <v>1</v>
      </c>
      <c r="I44" s="380">
        <f>IF(H44,Wh_hp,'2019'!Maxi_hp)</f>
        <v>10.423685229998675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1.3423126918263972E-2</v>
      </c>
      <c r="M44" s="957"/>
      <c r="N44" s="957"/>
      <c r="O44" s="48">
        <f>IF(t&lt;Tnet,'2019'!Resal+('2019'!Salim-'2019'!Resal)*(1-EXP(('2019'!Tnet-t)/('2019'!Tau_j))),Resal+(Salim-Resal)*(1-EXP((Tnet-t)/(Tau_j))))*Salcycl</f>
        <v>6.6684396375138899E-2</v>
      </c>
      <c r="P44" s="169">
        <f>(INDEX(Models!$BJ44:$BT44,,T44)*(1-R44)+INDEX(Models!$BJ44:$BT44,,T44+1)*R44-ERP_i)*Q44*Ramure*Pc/MaxiM</f>
        <v>3.3049605876476156E-4</v>
      </c>
      <c r="Q44" s="305">
        <f t="shared" si="2"/>
        <v>0.7</v>
      </c>
      <c r="R44" s="177">
        <f t="shared" si="3"/>
        <v>1.6306691944351082E-3</v>
      </c>
      <c r="S44" s="919">
        <f t="shared" si="4"/>
        <v>-1</v>
      </c>
      <c r="T44" s="176">
        <f t="shared" si="5"/>
        <v>5</v>
      </c>
      <c r="U44" s="251">
        <f t="shared" si="20"/>
        <v>-0.99836933080556489</v>
      </c>
      <c r="V44" s="383">
        <f t="shared" si="6"/>
        <v>33.43176194306006</v>
      </c>
      <c r="W44" s="402"/>
      <c r="X44" s="157">
        <f t="shared" si="7"/>
        <v>43860</v>
      </c>
      <c r="Y44" s="385">
        <f t="shared" si="8"/>
        <v>9.5980000000000008</v>
      </c>
      <c r="Z44" s="385">
        <f t="shared" si="9"/>
        <v>9.7285880724317622</v>
      </c>
      <c r="AA44" s="386">
        <f t="shared" si="10"/>
        <v>10.423685229998675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6.6684396375138899E-2</v>
      </c>
      <c r="AD44" s="231">
        <f>(INDEX(Models!$BJ44:$BT44,,AH44)*(1-AF44)+INDEX(Models!$BJ44:$BT44,,AH44+1)*AF44-ERP_i)*AE44*Ramure*Pc/MaxiM</f>
        <v>3.3049605876476156E-4</v>
      </c>
      <c r="AE44" s="305">
        <f t="shared" si="12"/>
        <v>0.7</v>
      </c>
      <c r="AF44" s="177">
        <f t="shared" si="21"/>
        <v>1.6306691944351082E-3</v>
      </c>
      <c r="AG44" s="919">
        <f t="shared" si="22"/>
        <v>-1</v>
      </c>
      <c r="AH44" s="176">
        <f t="shared" si="13"/>
        <v>5</v>
      </c>
      <c r="AI44" s="225">
        <f t="shared" si="23"/>
        <v>-0.99836933080556489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8">
        <v>24.128</v>
      </c>
      <c r="C45" s="390"/>
      <c r="D45" s="393">
        <f t="shared" si="0"/>
        <v>24.456815414016777</v>
      </c>
      <c r="E45" s="385">
        <f t="shared" si="17"/>
        <v>26.205597897848026</v>
      </c>
      <c r="F45" s="385">
        <f t="shared" si="1"/>
        <v>26.210661022055326</v>
      </c>
      <c r="G45" s="110">
        <f t="shared" si="18"/>
        <v>0.71475760093097862</v>
      </c>
      <c r="H45" s="412" t="b">
        <f>Wh_hp&gt;='2019'!Maxi_hp</f>
        <v>1</v>
      </c>
      <c r="I45" s="380">
        <f>IF(H45,Wh_hp,'2019'!Maxi_hp)</f>
        <v>26.210661022055326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1.3444735483767234E-2</v>
      </c>
      <c r="M45" s="957"/>
      <c r="N45" s="957"/>
      <c r="O45" s="48">
        <f>IF(t&lt;Tnet,'2019'!Resal+('2019'!Salim-'2019'!Resal)*(1-EXP(('2019'!Tnet-t)/('2019'!Tau_j))),Resal+(Salim-Resal)*(1-EXP((Tnet-t)/(Tau_j))))*Salcycl</f>
        <v>6.6733164824102645E-2</v>
      </c>
      <c r="P45" s="169">
        <f>(INDEX(Models!$BJ45:$BT45,,T45)*(1-R45)+INDEX(Models!$BJ45:$BT45,,T45+1)*R45-ERP_i)*Q45*Ramure*Pc/MaxiM</f>
        <v>3.2594543332326042E-4</v>
      </c>
      <c r="Q45" s="305">
        <f t="shared" si="2"/>
        <v>0.7</v>
      </c>
      <c r="R45" s="177">
        <f t="shared" si="3"/>
        <v>1.7262470758652171E-3</v>
      </c>
      <c r="S45" s="919">
        <f t="shared" si="4"/>
        <v>-1</v>
      </c>
      <c r="T45" s="176">
        <f t="shared" si="5"/>
        <v>5</v>
      </c>
      <c r="U45" s="251">
        <f t="shared" si="20"/>
        <v>-0.99827375292413478</v>
      </c>
      <c r="V45" s="383">
        <f t="shared" si="6"/>
        <v>33.752415859475491</v>
      </c>
      <c r="W45" s="402"/>
      <c r="X45" s="157">
        <f t="shared" si="7"/>
        <v>43861</v>
      </c>
      <c r="Y45" s="385">
        <f t="shared" si="8"/>
        <v>24.128</v>
      </c>
      <c r="Z45" s="385">
        <f t="shared" si="9"/>
        <v>24.456815414016777</v>
      </c>
      <c r="AA45" s="386">
        <f t="shared" si="10"/>
        <v>26.205597897848026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6.6733164824102645E-2</v>
      </c>
      <c r="AD45" s="231">
        <f>(INDEX(Models!$BJ45:$BT45,,AH45)*(1-AF45)+INDEX(Models!$BJ45:$BT45,,AH45+1)*AF45-ERP_i)*AE45*Ramure*Pc/MaxiM</f>
        <v>3.2594543332326042E-4</v>
      </c>
      <c r="AE45" s="305">
        <f t="shared" si="12"/>
        <v>0.7</v>
      </c>
      <c r="AF45" s="177">
        <f t="shared" si="21"/>
        <v>1.7262470758652171E-3</v>
      </c>
      <c r="AG45" s="919">
        <f t="shared" si="22"/>
        <v>-1</v>
      </c>
      <c r="AH45" s="176">
        <f t="shared" si="13"/>
        <v>5</v>
      </c>
      <c r="AI45" s="225">
        <f t="shared" si="23"/>
        <v>-0.99827375292413478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8">
        <v>14.878</v>
      </c>
      <c r="C46" s="390"/>
      <c r="D46" s="393">
        <f t="shared" si="0"/>
        <v>15.08108710039329</v>
      </c>
      <c r="E46" s="385">
        <f t="shared" si="17"/>
        <v>16.160304380734065</v>
      </c>
      <c r="F46" s="385">
        <f t="shared" si="1"/>
        <v>16.161319848903666</v>
      </c>
      <c r="G46" s="110">
        <f t="shared" si="18"/>
        <v>0.43652693838793288</v>
      </c>
      <c r="H46" s="412" t="b">
        <f>Wh_hp&gt;='2019'!Maxi_hp</f>
        <v>0</v>
      </c>
      <c r="I46" s="380">
        <f>IF(H46,Wh_hp,'2019'!Maxi_hp)</f>
        <v>29.47119267155292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1.3466343575987527E-2</v>
      </c>
      <c r="M46" s="957"/>
      <c r="N46" s="957"/>
      <c r="O46" s="48">
        <f>IF(t&lt;Tnet,'2019'!Resal+('2019'!Salim-'2019'!Resal)*(1-EXP(('2019'!Tnet-t)/('2019'!Tau_j))),Resal+(Salim-Resal)*(1-EXP((Tnet-t)/(Tau_j))))*Salcycl</f>
        <v>6.6781989677582615E-2</v>
      </c>
      <c r="P46" s="169">
        <f>(INDEX(Models!$BJ46:$BT46,,T46)*(1-R46)+INDEX(Models!$BJ46:$BT46,,T46+1)*R46-ERP_i)*Q46*Ramure*Pc/MaxiM</f>
        <v>3.2189148098499298E-4</v>
      </c>
      <c r="Q46" s="305">
        <f t="shared" si="2"/>
        <v>0.7</v>
      </c>
      <c r="R46" s="177">
        <f t="shared" si="3"/>
        <v>1.8257956663056962E-3</v>
      </c>
      <c r="S46" s="919">
        <f t="shared" si="4"/>
        <v>-1</v>
      </c>
      <c r="T46" s="176">
        <f t="shared" si="5"/>
        <v>5</v>
      </c>
      <c r="U46" s="251">
        <f t="shared" si="20"/>
        <v>-0.9981742043336943</v>
      </c>
      <c r="V46" s="383">
        <f t="shared" si="6"/>
        <v>34.073831833386777</v>
      </c>
      <c r="W46" s="402"/>
      <c r="X46" s="157">
        <f t="shared" si="7"/>
        <v>43862</v>
      </c>
      <c r="Y46" s="385">
        <f t="shared" si="8"/>
        <v>14.877999999999998</v>
      </c>
      <c r="Z46" s="385">
        <f t="shared" si="9"/>
        <v>15.081087100393288</v>
      </c>
      <c r="AA46" s="386">
        <f t="shared" si="10"/>
        <v>16.160304380734065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6.6781989677582615E-2</v>
      </c>
      <c r="AD46" s="231">
        <f>(INDEX(Models!$BJ46:$BT46,,AH46)*(1-AF46)+INDEX(Models!$BJ46:$BT46,,AH46+1)*AF46-ERP_i)*AE46*Ramure*Pc/MaxiM</f>
        <v>3.2189148098499298E-4</v>
      </c>
      <c r="AE46" s="305">
        <f t="shared" si="12"/>
        <v>0.7</v>
      </c>
      <c r="AF46" s="177">
        <f t="shared" si="21"/>
        <v>1.8257956663056962E-3</v>
      </c>
      <c r="AG46" s="919">
        <f t="shared" si="22"/>
        <v>-1</v>
      </c>
      <c r="AH46" s="176">
        <f t="shared" si="13"/>
        <v>5</v>
      </c>
      <c r="AI46" s="225">
        <f t="shared" si="23"/>
        <v>-0.9981742043336943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8">
        <v>28.776</v>
      </c>
      <c r="C47" s="390"/>
      <c r="D47" s="393">
        <f t="shared" si="0"/>
        <v>29.16943592818312</v>
      </c>
      <c r="E47" s="385">
        <f t="shared" si="17"/>
        <v>31.258466374301989</v>
      </c>
      <c r="F47" s="385">
        <f t="shared" si="1"/>
        <v>31.26609653576114</v>
      </c>
      <c r="G47" s="110">
        <f t="shared" si="18"/>
        <v>0.83657302674169531</v>
      </c>
      <c r="H47" s="412" t="b">
        <f>Wh_hp&gt;='2019'!Maxi_hp</f>
        <v>1</v>
      </c>
      <c r="I47" s="380">
        <f>IF(H47,Wh_hp,'2019'!Maxi_hp)</f>
        <v>31.26609653576114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1.3487951194935066E-2</v>
      </c>
      <c r="M47" s="957"/>
      <c r="N47" s="957"/>
      <c r="O47" s="48">
        <f>IF(t&lt;Tnet,'2019'!Resal+('2019'!Salim-'2019'!Resal)*(1-EXP(('2019'!Tnet-t)/('2019'!Tau_j))),Resal+(Salim-Resal)*(1-EXP((Tnet-t)/(Tau_j))))*Salcycl</f>
        <v>6.6830868191162809E-2</v>
      </c>
      <c r="P47" s="169">
        <f>(INDEX(Models!$BJ47:$BT47,,T47)*(1-R47)+INDEX(Models!$BJ47:$BT47,,T47+1)*R47-ERP_i)*Q47*Ramure*Pc/MaxiM</f>
        <v>3.1833101189888675E-4</v>
      </c>
      <c r="Q47" s="305">
        <f t="shared" si="2"/>
        <v>0.7</v>
      </c>
      <c r="R47" s="177">
        <f t="shared" si="3"/>
        <v>1.929478231550541E-3</v>
      </c>
      <c r="S47" s="919">
        <f t="shared" si="4"/>
        <v>-1</v>
      </c>
      <c r="T47" s="176">
        <f t="shared" si="5"/>
        <v>5</v>
      </c>
      <c r="U47" s="251">
        <f t="shared" si="20"/>
        <v>-0.99807052176844946</v>
      </c>
      <c r="V47" s="383">
        <f t="shared" si="6"/>
        <v>34.394919205877606</v>
      </c>
      <c r="W47" s="402"/>
      <c r="X47" s="157">
        <f t="shared" si="7"/>
        <v>43863</v>
      </c>
      <c r="Y47" s="385">
        <f t="shared" si="8"/>
        <v>28.776</v>
      </c>
      <c r="Z47" s="385">
        <f t="shared" si="9"/>
        <v>29.16943592818312</v>
      </c>
      <c r="AA47" s="386">
        <f t="shared" si="10"/>
        <v>31.258466374301989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6.6830868191162809E-2</v>
      </c>
      <c r="AD47" s="231">
        <f>(INDEX(Models!$BJ47:$BT47,,AH47)*(1-AF47)+INDEX(Models!$BJ47:$BT47,,AH47+1)*AF47-ERP_i)*AE47*Ramure*Pc/MaxiM</f>
        <v>3.1833101189888675E-4</v>
      </c>
      <c r="AE47" s="305">
        <f t="shared" si="12"/>
        <v>0.7</v>
      </c>
      <c r="AF47" s="177">
        <f t="shared" si="21"/>
        <v>1.929478231550541E-3</v>
      </c>
      <c r="AG47" s="919">
        <f t="shared" si="22"/>
        <v>-1</v>
      </c>
      <c r="AH47" s="176">
        <f t="shared" si="13"/>
        <v>5</v>
      </c>
      <c r="AI47" s="225">
        <f t="shared" si="23"/>
        <v>-0.99807052176844946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8">
        <v>26.414000000000001</v>
      </c>
      <c r="C48" s="390"/>
      <c r="D48" s="393">
        <f t="shared" si="0"/>
        <v>26.775728263082712</v>
      </c>
      <c r="E48" s="385">
        <f t="shared" si="17"/>
        <v>28.694832856881632</v>
      </c>
      <c r="F48" s="385">
        <f t="shared" si="1"/>
        <v>28.70079034414249</v>
      </c>
      <c r="G48" s="110">
        <f t="shared" si="18"/>
        <v>0.76080854485174709</v>
      </c>
      <c r="H48" s="412" t="b">
        <f>Wh_hp&gt;='2019'!Maxi_hp</f>
        <v>1</v>
      </c>
      <c r="I48" s="380">
        <f>IF(H48,Wh_hp,'2019'!Maxi_hp)</f>
        <v>28.70079034414249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1.3509558340620287E-2</v>
      </c>
      <c r="M48" s="957"/>
      <c r="N48" s="957"/>
      <c r="O48" s="48">
        <f>IF(t&lt;Tnet,'2019'!Resal+('2019'!Salim-'2019'!Resal)*(1-EXP(('2019'!Tnet-t)/('2019'!Tau_j))),Resal+(Salim-Resal)*(1-EXP((Tnet-t)/(Tau_j))))*Salcycl</f>
        <v>6.6879796908755243E-2</v>
      </c>
      <c r="P48" s="169">
        <f>(INDEX(Models!$BJ48:$BT48,,T48)*(1-R48)+INDEX(Models!$BJ48:$BT48,,T48+1)*R48-ERP_i)*Q48*Ramure*Pc/MaxiM</f>
        <v>3.152604919612141E-4</v>
      </c>
      <c r="Q48" s="305">
        <f t="shared" si="2"/>
        <v>0.7</v>
      </c>
      <c r="R48" s="177">
        <f t="shared" si="3"/>
        <v>2.0374646061834811E-3</v>
      </c>
      <c r="S48" s="919">
        <f t="shared" si="4"/>
        <v>-1</v>
      </c>
      <c r="T48" s="176">
        <f t="shared" si="5"/>
        <v>5</v>
      </c>
      <c r="U48" s="251">
        <f t="shared" si="20"/>
        <v>-0.99796253539381652</v>
      </c>
      <c r="V48" s="383">
        <f t="shared" si="6"/>
        <v>34.714587672024457</v>
      </c>
      <c r="W48" s="402"/>
      <c r="X48" s="157">
        <f t="shared" si="7"/>
        <v>43864</v>
      </c>
      <c r="Y48" s="385">
        <f t="shared" si="8"/>
        <v>26.414000000000001</v>
      </c>
      <c r="Z48" s="385">
        <f t="shared" si="9"/>
        <v>26.775728263082712</v>
      </c>
      <c r="AA48" s="386">
        <f t="shared" si="10"/>
        <v>28.694832856881632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6.6879796908755243E-2</v>
      </c>
      <c r="AD48" s="231">
        <f>(INDEX(Models!$BJ48:$BT48,,AH48)*(1-AF48)+INDEX(Models!$BJ48:$BT48,,AH48+1)*AF48-ERP_i)*AE48*Ramure*Pc/MaxiM</f>
        <v>3.152604919612141E-4</v>
      </c>
      <c r="AE48" s="305">
        <f t="shared" si="12"/>
        <v>0.7</v>
      </c>
      <c r="AF48" s="177">
        <f t="shared" si="21"/>
        <v>2.0374646061834811E-3</v>
      </c>
      <c r="AG48" s="919">
        <f t="shared" si="22"/>
        <v>-1</v>
      </c>
      <c r="AH48" s="176">
        <f t="shared" si="13"/>
        <v>5</v>
      </c>
      <c r="AI48" s="225">
        <f t="shared" si="23"/>
        <v>-0.99796253539381652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8">
        <v>17.2</v>
      </c>
      <c r="C49" s="390"/>
      <c r="D49" s="393">
        <f t="shared" si="0"/>
        <v>17.435928424670003</v>
      </c>
      <c r="E49" s="385">
        <f t="shared" si="17"/>
        <v>18.686599581728686</v>
      </c>
      <c r="F49" s="385">
        <f t="shared" si="1"/>
        <v>18.688193842441812</v>
      </c>
      <c r="G49" s="110">
        <f t="shared" si="18"/>
        <v>0.4908715743463502</v>
      </c>
      <c r="H49" s="412" t="b">
        <f>Wh_hp&gt;='2019'!Maxi_hp</f>
        <v>0</v>
      </c>
      <c r="I49" s="380">
        <f>IF(H49,Wh_hp,'2019'!Maxi_hp)</f>
        <v>29.923583051666235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1.3531165013053625E-2</v>
      </c>
      <c r="M49" s="957"/>
      <c r="N49" s="957"/>
      <c r="O49" s="48">
        <f>IF(t&lt;Tnet,'2019'!Resal+('2019'!Salim-'2019'!Resal)*(1-EXP(('2019'!Tnet-t)/('2019'!Tau_j))),Resal+(Salim-Resal)*(1-EXP((Tnet-t)/(Tau_j))))*Salcycl</f>
        <v>6.6928771689503078E-2</v>
      </c>
      <c r="P49" s="169">
        <f>(INDEX(Models!$BJ49:$BT49,,T49)*(1-R49)+INDEX(Models!$BJ49:$BT49,,T49+1)*R49-ERP_i)*Q49*Ramure*Pc/MaxiM</f>
        <v>3.1267621633831891E-4</v>
      </c>
      <c r="Q49" s="305">
        <f t="shared" si="2"/>
        <v>0.7</v>
      </c>
      <c r="R49" s="177">
        <f t="shared" si="3"/>
        <v>2.1499314455495355E-3</v>
      </c>
      <c r="S49" s="919">
        <f t="shared" si="4"/>
        <v>-1</v>
      </c>
      <c r="T49" s="176">
        <f t="shared" si="5"/>
        <v>5</v>
      </c>
      <c r="U49" s="251">
        <f t="shared" si="20"/>
        <v>-0.99785006855445046</v>
      </c>
      <c r="V49" s="383">
        <f t="shared" si="6"/>
        <v>35.031747282464096</v>
      </c>
      <c r="W49" s="402"/>
      <c r="X49" s="157">
        <f t="shared" si="7"/>
        <v>43865</v>
      </c>
      <c r="Y49" s="385">
        <f t="shared" si="8"/>
        <v>17.2</v>
      </c>
      <c r="Z49" s="385">
        <f t="shared" si="9"/>
        <v>17.435928424670003</v>
      </c>
      <c r="AA49" s="386">
        <f t="shared" si="10"/>
        <v>18.686599581728686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6.6928771689503078E-2</v>
      </c>
      <c r="AD49" s="231">
        <f>(INDEX(Models!$BJ49:$BT49,,AH49)*(1-AF49)+INDEX(Models!$BJ49:$BT49,,AH49+1)*AF49-ERP_i)*AE49*Ramure*Pc/MaxiM</f>
        <v>3.1267621633831891E-4</v>
      </c>
      <c r="AE49" s="305">
        <f t="shared" si="12"/>
        <v>0.7</v>
      </c>
      <c r="AF49" s="177">
        <f t="shared" si="21"/>
        <v>2.1499314455495355E-3</v>
      </c>
      <c r="AG49" s="919">
        <f t="shared" si="22"/>
        <v>-1</v>
      </c>
      <c r="AH49" s="176">
        <f t="shared" si="13"/>
        <v>5</v>
      </c>
      <c r="AI49" s="225">
        <f t="shared" si="23"/>
        <v>-0.99785006855445046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8">
        <v>34.588000000000001</v>
      </c>
      <c r="C50" s="390"/>
      <c r="D50" s="393">
        <f t="shared" si="0"/>
        <v>35.063203576034383</v>
      </c>
      <c r="E50" s="385">
        <f t="shared" si="17"/>
        <v>37.580245266973201</v>
      </c>
      <c r="F50" s="385">
        <f t="shared" si="1"/>
        <v>37.591562892350396</v>
      </c>
      <c r="G50" s="110">
        <f t="shared" si="18"/>
        <v>0.97856469848532968</v>
      </c>
      <c r="H50" s="412" t="b">
        <f>Wh_hp&gt;='2019'!Maxi_hp</f>
        <v>1</v>
      </c>
      <c r="I50" s="380">
        <f>IF(H50,Wh_hp,'2019'!Maxi_hp)</f>
        <v>37.591562892350396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1.3552771212245407E-2</v>
      </c>
      <c r="M50" s="957"/>
      <c r="N50" s="957"/>
      <c r="O50" s="48">
        <f>IF(t&lt;Tnet,'2019'!Resal+('2019'!Salim-'2019'!Resal)*(1-EXP(('2019'!Tnet-t)/('2019'!Tau_j))),Resal+(Salim-Resal)*(1-EXP((Tnet-t)/(Tau_j))))*Salcycl</f>
        <v>6.697778774612953E-2</v>
      </c>
      <c r="P50" s="169">
        <f>(INDEX(Models!$BJ50:$BT50,,T50)*(1-R50)+INDEX(Models!$BJ50:$BT50,,T50+1)*R50-ERP_i)*Q50*Ramure*Pc/MaxiM</f>
        <v>3.105744711534738E-4</v>
      </c>
      <c r="Q50" s="305">
        <f t="shared" si="2"/>
        <v>0.7</v>
      </c>
      <c r="R50" s="177">
        <f t="shared" si="3"/>
        <v>2.2670624863303512E-3</v>
      </c>
      <c r="S50" s="919">
        <f t="shared" si="4"/>
        <v>-1</v>
      </c>
      <c r="T50" s="176">
        <f t="shared" si="5"/>
        <v>5</v>
      </c>
      <c r="U50" s="251">
        <f t="shared" si="20"/>
        <v>-0.99773293751366965</v>
      </c>
      <c r="V50" s="383">
        <f t="shared" si="6"/>
        <v>35.345308442777693</v>
      </c>
      <c r="W50" s="402"/>
      <c r="X50" s="157">
        <f t="shared" si="7"/>
        <v>43866</v>
      </c>
      <c r="Y50" s="385">
        <f t="shared" si="8"/>
        <v>34.588000000000001</v>
      </c>
      <c r="Z50" s="385">
        <f t="shared" si="9"/>
        <v>35.063203576034383</v>
      </c>
      <c r="AA50" s="386">
        <f t="shared" si="10"/>
        <v>37.580245266973201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6.697778774612953E-2</v>
      </c>
      <c r="AD50" s="231">
        <f>(INDEX(Models!$BJ50:$BT50,,AH50)*(1-AF50)+INDEX(Models!$BJ50:$BT50,,AH50+1)*AF50-ERP_i)*AE50*Ramure*Pc/MaxiM</f>
        <v>3.105744711534738E-4</v>
      </c>
      <c r="AE50" s="305">
        <f t="shared" si="12"/>
        <v>0.7</v>
      </c>
      <c r="AF50" s="177">
        <f t="shared" si="21"/>
        <v>2.2670624863303512E-3</v>
      </c>
      <c r="AG50" s="919">
        <f t="shared" si="22"/>
        <v>-1</v>
      </c>
      <c r="AH50" s="176">
        <f t="shared" si="13"/>
        <v>5</v>
      </c>
      <c r="AI50" s="225">
        <f t="shared" si="23"/>
        <v>-0.99773293751366965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8">
        <v>36.569000000000003</v>
      </c>
      <c r="C51" s="390"/>
      <c r="D51" s="393">
        <f t="shared" si="0"/>
        <v>37.07223245731641</v>
      </c>
      <c r="E51" s="385">
        <f t="shared" si="17"/>
        <v>39.735583009871448</v>
      </c>
      <c r="F51" s="385">
        <f t="shared" si="1"/>
        <v>39.747861870771352</v>
      </c>
      <c r="G51" s="110">
        <f t="shared" si="18"/>
        <v>1.0255488094496483</v>
      </c>
      <c r="H51" s="412" t="b">
        <f>Wh_hp&gt;='2019'!Maxi_hp</f>
        <v>1</v>
      </c>
      <c r="I51" s="380">
        <f>IF(H51,Wh_hp,'2019'!Maxi_hp)</f>
        <v>39.747861870771352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1.3574376938205956E-2</v>
      </c>
      <c r="M51" s="957"/>
      <c r="N51" s="957"/>
      <c r="O51" s="48">
        <f>IF(t&lt;Tnet,'2019'!Resal+('2019'!Salim-'2019'!Resal)*(1-EXP(('2019'!Tnet-t)/('2019'!Tau_j))),Resal+(Salim-Resal)*(1-EXP((Tnet-t)/(Tau_j))))*Salcycl</f>
        <v>6.7026839694119725E-2</v>
      </c>
      <c r="P51" s="169">
        <f>(INDEX(Models!$BJ51:$BT51,,T51)*(1-R51)+INDEX(Models!$BJ51:$BT51,,T51+1)*R51-ERP_i)*Q51*Ramure*Pc/MaxiM</f>
        <v>3.0891877756395066E-4</v>
      </c>
      <c r="Q51" s="305">
        <f t="shared" si="2"/>
        <v>0.7</v>
      </c>
      <c r="R51" s="177">
        <f t="shared" si="3"/>
        <v>2.3890488159244994E-3</v>
      </c>
      <c r="S51" s="919">
        <f t="shared" si="4"/>
        <v>-1</v>
      </c>
      <c r="T51" s="176">
        <f t="shared" si="5"/>
        <v>5</v>
      </c>
      <c r="U51" s="251">
        <f t="shared" si="20"/>
        <v>-0.9976109511840755</v>
      </c>
      <c r="V51" s="383">
        <f t="shared" si="6"/>
        <v>35.657981037123363</v>
      </c>
      <c r="W51" s="402"/>
      <c r="X51" s="157">
        <f t="shared" si="7"/>
        <v>43867</v>
      </c>
      <c r="Y51" s="385">
        <f t="shared" si="8"/>
        <v>36.569000000000003</v>
      </c>
      <c r="Z51" s="385">
        <f t="shared" si="9"/>
        <v>37.07223245731641</v>
      </c>
      <c r="AA51" s="386">
        <f t="shared" si="10"/>
        <v>39.735583009871448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6.7026839694119725E-2</v>
      </c>
      <c r="AD51" s="231">
        <f>(INDEX(Models!$BJ51:$BT51,,AH51)*(1-AF51)+INDEX(Models!$BJ51:$BT51,,AH51+1)*AF51-ERP_i)*AE51*Ramure*Pc/MaxiM</f>
        <v>3.0891877756395066E-4</v>
      </c>
      <c r="AE51" s="305">
        <f t="shared" si="12"/>
        <v>0.7</v>
      </c>
      <c r="AF51" s="177">
        <f t="shared" si="21"/>
        <v>2.3890488159244994E-3</v>
      </c>
      <c r="AG51" s="919">
        <f t="shared" si="22"/>
        <v>-1</v>
      </c>
      <c r="AH51" s="176">
        <f t="shared" si="13"/>
        <v>5</v>
      </c>
      <c r="AI51" s="225">
        <f t="shared" si="23"/>
        <v>-0.9976109511840755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8">
        <v>23.27</v>
      </c>
      <c r="C52" s="390"/>
      <c r="D52" s="393">
        <f t="shared" si="0"/>
        <v>23.590739270999752</v>
      </c>
      <c r="E52" s="385">
        <f t="shared" si="17"/>
        <v>25.286880055381861</v>
      </c>
      <c r="F52" s="385">
        <f t="shared" si="1"/>
        <v>25.290736794333089</v>
      </c>
      <c r="G52" s="110">
        <f t="shared" si="18"/>
        <v>0.64677597744472637</v>
      </c>
      <c r="H52" s="412" t="b">
        <f>Wh_hp&gt;='2019'!Maxi_hp</f>
        <v>1</v>
      </c>
      <c r="I52" s="380">
        <f>IF(H52,Wh_hp,'2019'!Maxi_hp)</f>
        <v>25.290736794333089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1.3595982190945599E-2</v>
      </c>
      <c r="M52" s="957"/>
      <c r="N52" s="957"/>
      <c r="O52" s="48">
        <f>IF(t&lt;Tnet,'2019'!Resal+('2019'!Salim-'2019'!Resal)*(1-EXP(('2019'!Tnet-t)/('2019'!Tau_j))),Resal+(Salim-Resal)*(1-EXP((Tnet-t)/(Tau_j))))*Salcycl</f>
        <v>6.707592161102191E-2</v>
      </c>
      <c r="P52" s="169">
        <f>(INDEX(Models!$BJ52:$BT52,,T52)*(1-R52)+INDEX(Models!$BJ52:$BT52,,T52+1)*R52-ERP_i)*Q52*Ramure*Pc/MaxiM</f>
        <v>3.0773863955906613E-4</v>
      </c>
      <c r="Q52" s="305">
        <f t="shared" si="2"/>
        <v>0.7</v>
      </c>
      <c r="R52" s="177">
        <f t="shared" si="3"/>
        <v>2.5160891508259065E-3</v>
      </c>
      <c r="S52" s="919">
        <f t="shared" si="4"/>
        <v>-1</v>
      </c>
      <c r="T52" s="176">
        <f t="shared" si="5"/>
        <v>5</v>
      </c>
      <c r="U52" s="251">
        <f t="shared" si="20"/>
        <v>-0.99748391084917409</v>
      </c>
      <c r="V52" s="383">
        <f t="shared" si="6"/>
        <v>35.972868144014562</v>
      </c>
      <c r="W52" s="402"/>
      <c r="X52" s="157">
        <f t="shared" si="7"/>
        <v>43868</v>
      </c>
      <c r="Y52" s="385">
        <f t="shared" si="8"/>
        <v>23.27</v>
      </c>
      <c r="Z52" s="385">
        <f t="shared" si="9"/>
        <v>23.590739270999752</v>
      </c>
      <c r="AA52" s="386">
        <f t="shared" si="10"/>
        <v>25.286880055381861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6.707592161102191E-2</v>
      </c>
      <c r="AD52" s="231">
        <f>(INDEX(Models!$BJ52:$BT52,,AH52)*(1-AF52)+INDEX(Models!$BJ52:$BT52,,AH52+1)*AF52-ERP_i)*AE52*Ramure*Pc/MaxiM</f>
        <v>3.0773863955906613E-4</v>
      </c>
      <c r="AE52" s="305">
        <f t="shared" si="12"/>
        <v>0.7</v>
      </c>
      <c r="AF52" s="177">
        <f t="shared" si="21"/>
        <v>2.5160891508259065E-3</v>
      </c>
      <c r="AG52" s="919">
        <f t="shared" si="22"/>
        <v>-1</v>
      </c>
      <c r="AH52" s="176">
        <f t="shared" si="13"/>
        <v>5</v>
      </c>
      <c r="AI52" s="225">
        <f t="shared" si="23"/>
        <v>-0.99748391084917409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8">
        <v>28.445</v>
      </c>
      <c r="C53" s="390"/>
      <c r="D53" s="393">
        <f t="shared" si="0"/>
        <v>28.837699886229178</v>
      </c>
      <c r="E53" s="385">
        <f t="shared" si="17"/>
        <v>30.912716842149603</v>
      </c>
      <c r="F53" s="385">
        <f t="shared" si="1"/>
        <v>30.919272047037552</v>
      </c>
      <c r="G53" s="110">
        <f t="shared" si="18"/>
        <v>0.78376161348899576</v>
      </c>
      <c r="H53" s="412" t="b">
        <f>Wh_hp&gt;='2019'!Maxi_hp</f>
        <v>0</v>
      </c>
      <c r="I53" s="380">
        <f>IF(H53,Wh_hp,'2019'!Maxi_hp)</f>
        <v>31.95917350090901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1.3617586970474771E-2</v>
      </c>
      <c r="M53" s="957"/>
      <c r="N53" s="957"/>
      <c r="O53" s="48">
        <f>IF(t&lt;Tnet,'2019'!Resal+('2019'!Salim-'2019'!Resal)*(1-EXP(('2019'!Tnet-t)/('2019'!Tau_j))),Resal+(Salim-Resal)*(1-EXP((Tnet-t)/(Tau_j))))*Salcycl</f>
        <v>6.7125027105062879E-2</v>
      </c>
      <c r="P53" s="169">
        <f>(INDEX(Models!$BJ53:$BT53,,T53)*(1-R53)+INDEX(Models!$BJ53:$BT53,,T53+1)*R53-ERP_i)*Q53*Ramure*Pc/MaxiM</f>
        <v>3.067305149434167E-4</v>
      </c>
      <c r="Q53" s="305">
        <f t="shared" si="2"/>
        <v>0.7</v>
      </c>
      <c r="R53" s="177">
        <f t="shared" si="3"/>
        <v>2.648390124192157E-3</v>
      </c>
      <c r="S53" s="919">
        <f t="shared" si="4"/>
        <v>-1</v>
      </c>
      <c r="T53" s="176">
        <f t="shared" si="5"/>
        <v>5</v>
      </c>
      <c r="U53" s="251">
        <f t="shared" si="20"/>
        <v>-0.99735160987580784</v>
      </c>
      <c r="V53" s="383">
        <f t="shared" si="6"/>
        <v>36.289484740409769</v>
      </c>
      <c r="W53" s="402"/>
      <c r="X53" s="157">
        <f t="shared" si="7"/>
        <v>43869</v>
      </c>
      <c r="Y53" s="385">
        <f t="shared" si="8"/>
        <v>28.445</v>
      </c>
      <c r="Z53" s="385">
        <f t="shared" si="9"/>
        <v>28.837699886229178</v>
      </c>
      <c r="AA53" s="386">
        <f t="shared" si="10"/>
        <v>30.912716842149603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6.7125027105062879E-2</v>
      </c>
      <c r="AD53" s="231">
        <f>(INDEX(Models!$BJ53:$BT53,,AH53)*(1-AF53)+INDEX(Models!$BJ53:$BT53,,AH53+1)*AF53-ERP_i)*AE53*Ramure*Pc/MaxiM</f>
        <v>3.067305149434167E-4</v>
      </c>
      <c r="AE53" s="305">
        <f t="shared" si="12"/>
        <v>0.7</v>
      </c>
      <c r="AF53" s="177">
        <f t="shared" si="21"/>
        <v>2.648390124192157E-3</v>
      </c>
      <c r="AG53" s="919">
        <f t="shared" si="22"/>
        <v>-1</v>
      </c>
      <c r="AH53" s="176">
        <f t="shared" si="13"/>
        <v>5</v>
      </c>
      <c r="AI53" s="225">
        <f t="shared" si="23"/>
        <v>-0.99735160987580784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8">
        <v>26.402999999999999</v>
      </c>
      <c r="C54" s="390"/>
      <c r="D54" s="393">
        <f t="shared" si="0"/>
        <v>26.768095170141248</v>
      </c>
      <c r="E54" s="385">
        <f t="shared" si="17"/>
        <v>28.695704726342822</v>
      </c>
      <c r="F54" s="385">
        <f t="shared" si="1"/>
        <v>28.700988074400918</v>
      </c>
      <c r="G54" s="110">
        <f t="shared" si="18"/>
        <v>0.72116101963705737</v>
      </c>
      <c r="H54" s="412" t="b">
        <f>Wh_hp&gt;='2019'!Maxi_hp</f>
        <v>0</v>
      </c>
      <c r="I54" s="380">
        <f>IF(H54,Wh_hp,'2019'!Maxi_hp)</f>
        <v>31.847007727333747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1.3639191276803908E-2</v>
      </c>
      <c r="M54" s="957"/>
      <c r="N54" s="957"/>
      <c r="O54" s="48">
        <f>IF(t&lt;Tnet,'2019'!Resal+('2019'!Salim-'2019'!Resal)*(1-EXP(('2019'!Tnet-t)/('2019'!Tau_j))),Resal+(Salim-Resal)*(1-EXP((Tnet-t)/(Tau_j))))*Salcycl</f>
        <v>6.7174149392191684E-2</v>
      </c>
      <c r="P54" s="169">
        <f>(INDEX(Models!$BJ54:$BT54,,T54)*(1-R54)+INDEX(Models!$BJ54:$BT54,,T54+1)*R54-ERP_i)*Q54*Ramure*Pc/MaxiM</f>
        <v>3.0589448126112131E-4</v>
      </c>
      <c r="Q54" s="305">
        <f t="shared" si="2"/>
        <v>0.7</v>
      </c>
      <c r="R54" s="177">
        <f t="shared" si="3"/>
        <v>2.7861665827833004E-3</v>
      </c>
      <c r="S54" s="919">
        <f t="shared" si="4"/>
        <v>-1</v>
      </c>
      <c r="T54" s="176">
        <f t="shared" si="5"/>
        <v>5</v>
      </c>
      <c r="U54" s="251">
        <f t="shared" si="20"/>
        <v>-0.9972138334172167</v>
      </c>
      <c r="V54" s="383">
        <f t="shared" si="6"/>
        <v>36.607335235530201</v>
      </c>
      <c r="W54" s="402"/>
      <c r="X54" s="157">
        <f t="shared" si="7"/>
        <v>43870</v>
      </c>
      <c r="Y54" s="385">
        <f t="shared" si="8"/>
        <v>26.402999999999999</v>
      </c>
      <c r="Z54" s="385">
        <f t="shared" si="9"/>
        <v>26.768095170141248</v>
      </c>
      <c r="AA54" s="386">
        <f t="shared" si="10"/>
        <v>28.695704726342822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6.7174149392191684E-2</v>
      </c>
      <c r="AD54" s="231">
        <f>(INDEX(Models!$BJ54:$BT54,,AH54)*(1-AF54)+INDEX(Models!$BJ54:$BT54,,AH54+1)*AF54-ERP_i)*AE54*Ramure*Pc/MaxiM</f>
        <v>3.0589448126112131E-4</v>
      </c>
      <c r="AE54" s="305">
        <f t="shared" si="12"/>
        <v>0.7</v>
      </c>
      <c r="AF54" s="177">
        <f t="shared" si="21"/>
        <v>2.7861665827833004E-3</v>
      </c>
      <c r="AG54" s="919">
        <f t="shared" si="22"/>
        <v>-1</v>
      </c>
      <c r="AH54" s="176">
        <f t="shared" si="13"/>
        <v>5</v>
      </c>
      <c r="AI54" s="225">
        <f t="shared" si="23"/>
        <v>-0.9972138334172167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8">
        <v>7.3179999999999996</v>
      </c>
      <c r="C55" s="390"/>
      <c r="D55" s="393">
        <f t="shared" si="0"/>
        <v>7.4193542786486999</v>
      </c>
      <c r="E55" s="385">
        <f t="shared" si="17"/>
        <v>7.9540517366578642</v>
      </c>
      <c r="F55" s="385">
        <f t="shared" si="1"/>
        <v>7.9540517366578642</v>
      </c>
      <c r="G55" s="110">
        <f t="shared" si="18"/>
        <v>0.19812006008895452</v>
      </c>
      <c r="H55" s="412" t="b">
        <f>Wh_hp&gt;='2019'!Maxi_hp</f>
        <v>0</v>
      </c>
      <c r="I55" s="380">
        <f>IF(H55,Wh_hp,'2019'!Maxi_hp)</f>
        <v>8.8332908296816939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1.3660795109943225E-2</v>
      </c>
      <c r="M55" s="957"/>
      <c r="N55" s="957"/>
      <c r="O55" s="48">
        <f>IF(t&lt;Tnet,'2019'!Resal+('2019'!Salim-'2019'!Resal)*(1-EXP(('2019'!Tnet-t)/('2019'!Tau_j))),Resal+(Salim-Resal)*(1-EXP((Tnet-t)/(Tau_j))))*Salcycl</f>
        <v>6.7223281380595301E-2</v>
      </c>
      <c r="P55" s="169">
        <f>(INDEX(Models!$BJ55:$BT55,,T55)*(1-R55)+INDEX(Models!$BJ55:$BT55,,T55+1)*R55-ERP_i)*Q55*Ramure*Pc/MaxiM</f>
        <v>3.0523053337596354E-4</v>
      </c>
      <c r="Q55" s="305">
        <f t="shared" si="2"/>
        <v>0.7</v>
      </c>
      <c r="R55" s="177">
        <f t="shared" si="3"/>
        <v>2.9296418934458002E-3</v>
      </c>
      <c r="S55" s="919">
        <f t="shared" si="4"/>
        <v>-1</v>
      </c>
      <c r="T55" s="176">
        <f t="shared" si="5"/>
        <v>5</v>
      </c>
      <c r="U55" s="251">
        <f t="shared" si="20"/>
        <v>-0.9970703581065542</v>
      </c>
      <c r="V55" s="383">
        <f t="shared" si="6"/>
        <v>36.925924208139378</v>
      </c>
      <c r="W55" s="402"/>
      <c r="X55" s="157">
        <f t="shared" si="7"/>
        <v>43871</v>
      </c>
      <c r="Y55" s="385">
        <f t="shared" si="8"/>
        <v>7.3179999999999996</v>
      </c>
      <c r="Z55" s="385">
        <f t="shared" si="9"/>
        <v>7.4193542786486999</v>
      </c>
      <c r="AA55" s="386">
        <f t="shared" si="10"/>
        <v>7.9540517366578642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6.7223281380595301E-2</v>
      </c>
      <c r="AD55" s="231">
        <f>(INDEX(Models!$BJ55:$BT55,,AH55)*(1-AF55)+INDEX(Models!$BJ55:$BT55,,AH55+1)*AF55-ERP_i)*AE55*Ramure*Pc/MaxiM</f>
        <v>3.0523053337596354E-4</v>
      </c>
      <c r="AE55" s="305">
        <f t="shared" si="12"/>
        <v>0.7</v>
      </c>
      <c r="AF55" s="177">
        <f t="shared" si="21"/>
        <v>2.9296418934458002E-3</v>
      </c>
      <c r="AG55" s="919">
        <f t="shared" si="22"/>
        <v>-1</v>
      </c>
      <c r="AH55" s="176">
        <f t="shared" si="13"/>
        <v>5</v>
      </c>
      <c r="AI55" s="225">
        <f t="shared" si="23"/>
        <v>-0.9970703581065542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8">
        <v>6.9290000000000003</v>
      </c>
      <c r="C56" s="390"/>
      <c r="D56" s="393">
        <f t="shared" si="0"/>
        <v>7.0251204979520647</v>
      </c>
      <c r="E56" s="385">
        <f t="shared" si="17"/>
        <v>7.531803086630938</v>
      </c>
      <c r="F56" s="385">
        <f t="shared" si="1"/>
        <v>7.531803086630938</v>
      </c>
      <c r="G56" s="110">
        <f t="shared" si="18"/>
        <v>0.18598291774000414</v>
      </c>
      <c r="H56" s="412" t="b">
        <f>Wh_hp&gt;='2019'!Maxi_hp</f>
        <v>0</v>
      </c>
      <c r="I56" s="380">
        <f>IF(H56,Wh_hp,'2019'!Maxi_hp)</f>
        <v>26.886921640779587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1.3682398469903156E-2</v>
      </c>
      <c r="M56" s="957"/>
      <c r="N56" s="957"/>
      <c r="O56" s="48">
        <f>IF(t&lt;Tnet,'2019'!Resal+('2019'!Salim-'2019'!Resal)*(1-EXP(('2019'!Tnet-t)/('2019'!Tau_j))),Resal+(Salim-Resal)*(1-EXP((Tnet-t)/(Tau_j))))*Salcycl</f>
        <v>6.7272415761670964E-2</v>
      </c>
      <c r="P56" s="169">
        <f>(INDEX(Models!$BJ56:$BT56,,T56)*(1-R56)+INDEX(Models!$BJ56:$BT56,,T56+1)*R56-ERP_i)*Q56*Ramure*Pc/MaxiM</f>
        <v>3.0473861550731562E-4</v>
      </c>
      <c r="Q56" s="305">
        <f t="shared" si="2"/>
        <v>0.7</v>
      </c>
      <c r="R56" s="177">
        <f t="shared" si="3"/>
        <v>3.079048259307049E-3</v>
      </c>
      <c r="S56" s="919">
        <f t="shared" si="4"/>
        <v>-1</v>
      </c>
      <c r="T56" s="176">
        <f t="shared" si="5"/>
        <v>5</v>
      </c>
      <c r="U56" s="251">
        <f t="shared" si="20"/>
        <v>-0.99692095174069295</v>
      </c>
      <c r="V56" s="383">
        <f t="shared" si="6"/>
        <v>37.244756401857465</v>
      </c>
      <c r="W56" s="402"/>
      <c r="X56" s="157">
        <f t="shared" si="7"/>
        <v>43872</v>
      </c>
      <c r="Y56" s="385">
        <f t="shared" si="8"/>
        <v>6.9290000000000003</v>
      </c>
      <c r="Z56" s="385">
        <f t="shared" si="9"/>
        <v>7.0251204979520647</v>
      </c>
      <c r="AA56" s="386">
        <f t="shared" si="10"/>
        <v>7.531803086630938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6.7272415761670964E-2</v>
      </c>
      <c r="AD56" s="231">
        <f>(INDEX(Models!$BJ56:$BT56,,AH56)*(1-AF56)+INDEX(Models!$BJ56:$BT56,,AH56+1)*AF56-ERP_i)*AE56*Ramure*Pc/MaxiM</f>
        <v>3.0473861550731562E-4</v>
      </c>
      <c r="AE56" s="305">
        <f t="shared" si="12"/>
        <v>0.7</v>
      </c>
      <c r="AF56" s="177">
        <f t="shared" si="21"/>
        <v>3.079048259307049E-3</v>
      </c>
      <c r="AG56" s="919">
        <f t="shared" si="22"/>
        <v>-1</v>
      </c>
      <c r="AH56" s="176">
        <f t="shared" si="13"/>
        <v>5</v>
      </c>
      <c r="AI56" s="225">
        <f t="shared" si="23"/>
        <v>-0.99692095174069295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8">
        <v>19.186</v>
      </c>
      <c r="C57" s="390"/>
      <c r="D57" s="393">
        <f t="shared" si="0"/>
        <v>19.452578157461044</v>
      </c>
      <c r="E57" s="385">
        <f t="shared" si="17"/>
        <v>20.856682231048271</v>
      </c>
      <c r="F57" s="385">
        <f t="shared" si="1"/>
        <v>20.858594084841538</v>
      </c>
      <c r="G57" s="110">
        <f t="shared" si="18"/>
        <v>0.51065531634081252</v>
      </c>
      <c r="H57" s="412" t="b">
        <f>Wh_hp&gt;='2019'!Maxi_hp</f>
        <v>0</v>
      </c>
      <c r="I57" s="380">
        <f>IF(H57,Wh_hp,'2019'!Maxi_hp)</f>
        <v>40.986650074876621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1.3704001356694029E-2</v>
      </c>
      <c r="M57" s="957"/>
      <c r="N57" s="957"/>
      <c r="O57" s="48">
        <f>IF(t&lt;Tnet,'2019'!Resal+('2019'!Salim-'2019'!Resal)*(1-EXP(('2019'!Tnet-t)/('2019'!Tau_j))),Resal+(Salim-Resal)*(1-EXP((Tnet-t)/(Tau_j))))*Salcycl</f>
        <v>6.7321545106393238E-2</v>
      </c>
      <c r="P57" s="169">
        <f>(INDEX(Models!$BJ57:$BT57,,T57)*(1-R57)+INDEX(Models!$BJ57:$BT57,,T57+1)*R57-ERP_i)*Q57*Ramure*Pc/MaxiM</f>
        <v>3.044186520533643E-4</v>
      </c>
      <c r="Q57" s="305">
        <f t="shared" si="2"/>
        <v>0.7</v>
      </c>
      <c r="R57" s="177">
        <f t="shared" si="3"/>
        <v>3.2346270458298854E-3</v>
      </c>
      <c r="S57" s="919">
        <f t="shared" si="4"/>
        <v>-1</v>
      </c>
      <c r="T57" s="176">
        <f t="shared" si="5"/>
        <v>5</v>
      </c>
      <c r="U57" s="251">
        <f t="shared" si="20"/>
        <v>-0.99676537295417011</v>
      </c>
      <c r="V57" s="383">
        <f t="shared" si="6"/>
        <v>37.563336722766046</v>
      </c>
      <c r="W57" s="402"/>
      <c r="X57" s="157">
        <f t="shared" si="7"/>
        <v>43873</v>
      </c>
      <c r="Y57" s="385">
        <f t="shared" si="8"/>
        <v>19.186</v>
      </c>
      <c r="Z57" s="385">
        <f t="shared" si="9"/>
        <v>19.452578157461044</v>
      </c>
      <c r="AA57" s="386">
        <f t="shared" si="10"/>
        <v>20.856682231048271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6.7321545106393238E-2</v>
      </c>
      <c r="AD57" s="231">
        <f>(INDEX(Models!$BJ57:$BT57,,AH57)*(1-AF57)+INDEX(Models!$BJ57:$BT57,,AH57+1)*AF57-ERP_i)*AE57*Ramure*Pc/MaxiM</f>
        <v>3.044186520533643E-4</v>
      </c>
      <c r="AE57" s="305">
        <f t="shared" si="12"/>
        <v>0.7</v>
      </c>
      <c r="AF57" s="177">
        <f t="shared" si="21"/>
        <v>3.2346270458298854E-3</v>
      </c>
      <c r="AG57" s="919">
        <f t="shared" si="22"/>
        <v>-1</v>
      </c>
      <c r="AH57" s="176">
        <f t="shared" si="13"/>
        <v>5</v>
      </c>
      <c r="AI57" s="225">
        <f t="shared" si="23"/>
        <v>-0.99676537295417011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8">
        <v>17.577999999999999</v>
      </c>
      <c r="C58" s="390"/>
      <c r="D58" s="393">
        <f t="shared" si="0"/>
        <v>17.822626306834199</v>
      </c>
      <c r="E58" s="385">
        <f t="shared" si="17"/>
        <v>19.110085411214087</v>
      </c>
      <c r="F58" s="385">
        <f t="shared" si="1"/>
        <v>19.111448495800783</v>
      </c>
      <c r="G58" s="110">
        <f t="shared" si="18"/>
        <v>0.46392191279065947</v>
      </c>
      <c r="H58" s="412" t="b">
        <f>Wh_hp&gt;='2019'!Maxi_hp</f>
        <v>0</v>
      </c>
      <c r="I58" s="380">
        <f>IF(H58,Wh_hp,'2019'!Maxi_hp)</f>
        <v>42.930559585857665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1.3725603770326278E-2</v>
      </c>
      <c r="M58" s="957"/>
      <c r="N58" s="957"/>
      <c r="O58" s="48">
        <f>IF(t&lt;Tnet,'2019'!Resal+('2019'!Salim-'2019'!Resal)*(1-EXP(('2019'!Tnet-t)/('2019'!Tau_j))),Resal+(Salim-Resal)*(1-EXP((Tnet-t)/(Tau_j))))*Salcycl</f>
        <v>6.7370661965978865E-2</v>
      </c>
      <c r="P58" s="169">
        <f>(INDEX(Models!$BJ58:$BT58,,T58)*(1-R58)+INDEX(Models!$BJ58:$BT58,,T58+1)*R58-ERP_i)*Q58*Ramure*Pc/MaxiM</f>
        <v>3.0437136615435348E-4</v>
      </c>
      <c r="Q58" s="305">
        <f t="shared" si="2"/>
        <v>0.7</v>
      </c>
      <c r="R58" s="177">
        <f t="shared" si="3"/>
        <v>3.3966291168691098E-3</v>
      </c>
      <c r="S58" s="919">
        <f t="shared" si="4"/>
        <v>-1</v>
      </c>
      <c r="T58" s="176">
        <f t="shared" si="5"/>
        <v>5</v>
      </c>
      <c r="U58" s="251">
        <f t="shared" si="20"/>
        <v>-0.99660337088313089</v>
      </c>
      <c r="V58" s="383">
        <f t="shared" si="6"/>
        <v>37.88116641603655</v>
      </c>
      <c r="W58" s="402"/>
      <c r="X58" s="157">
        <f t="shared" si="7"/>
        <v>43874</v>
      </c>
      <c r="Y58" s="385">
        <f t="shared" si="8"/>
        <v>17.577999999999999</v>
      </c>
      <c r="Z58" s="385">
        <f t="shared" si="9"/>
        <v>17.822626306834199</v>
      </c>
      <c r="AA58" s="386">
        <f t="shared" si="10"/>
        <v>19.110085411214087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6.7370661965978865E-2</v>
      </c>
      <c r="AD58" s="231">
        <f>(INDEX(Models!$BJ58:$BT58,,AH58)*(1-AF58)+INDEX(Models!$BJ58:$BT58,,AH58+1)*AF58-ERP_i)*AE58*Ramure*Pc/MaxiM</f>
        <v>3.0437136615435348E-4</v>
      </c>
      <c r="AE58" s="305">
        <f t="shared" si="12"/>
        <v>0.7</v>
      </c>
      <c r="AF58" s="177">
        <f t="shared" si="21"/>
        <v>3.3966291168691098E-3</v>
      </c>
      <c r="AG58" s="919">
        <f t="shared" si="22"/>
        <v>-1</v>
      </c>
      <c r="AH58" s="176">
        <f t="shared" si="13"/>
        <v>5</v>
      </c>
      <c r="AI58" s="225">
        <f t="shared" si="23"/>
        <v>-0.99660337088313089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8">
        <v>28.763000000000002</v>
      </c>
      <c r="C59" s="390"/>
      <c r="D59" s="393">
        <f t="shared" si="0"/>
        <v>29.163922441132364</v>
      </c>
      <c r="E59" s="385">
        <f t="shared" si="17"/>
        <v>31.272292890423099</v>
      </c>
      <c r="F59" s="385">
        <f t="shared" si="1"/>
        <v>31.278456619347395</v>
      </c>
      <c r="G59" s="110">
        <f t="shared" si="18"/>
        <v>0.75292146406942329</v>
      </c>
      <c r="H59" s="412" t="b">
        <f>Wh_hp&gt;='2019'!Maxi_hp</f>
        <v>0</v>
      </c>
      <c r="I59" s="380">
        <f>IF(H59,Wh_hp,'2019'!Maxi_hp)</f>
        <v>42.898613753230741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1.3747205710810229E-2</v>
      </c>
      <c r="M59" s="957"/>
      <c r="N59" s="957"/>
      <c r="O59" s="48">
        <f>IF(t&lt;Tnet,'2019'!Resal+('2019'!Salim-'2019'!Resal)*(1-EXP(('2019'!Tnet-t)/('2019'!Tau_j))),Resal+(Salim-Resal)*(1-EXP((Tnet-t)/(Tau_j))))*Salcycl</f>
        <v>6.7419758975729147E-2</v>
      </c>
      <c r="P59" s="169">
        <f>(INDEX(Models!$BJ59:$BT59,,T59)*(1-R59)+INDEX(Models!$BJ59:$BT59,,T59+1)*R59-ERP_i)*Q59*Ramure*Pc/MaxiM</f>
        <v>3.0450593700332438E-4</v>
      </c>
      <c r="Q59" s="305">
        <f t="shared" si="2"/>
        <v>0.7</v>
      </c>
      <c r="R59" s="177">
        <f t="shared" si="3"/>
        <v>3.5653151808507921E-3</v>
      </c>
      <c r="S59" s="919">
        <f t="shared" si="4"/>
        <v>-1</v>
      </c>
      <c r="T59" s="176">
        <f t="shared" si="5"/>
        <v>5</v>
      </c>
      <c r="U59" s="251">
        <f t="shared" si="20"/>
        <v>-0.99643468481914921</v>
      </c>
      <c r="V59" s="383">
        <f t="shared" si="6"/>
        <v>38.19775407186124</v>
      </c>
      <c r="W59" s="402"/>
      <c r="X59" s="157">
        <f t="shared" si="7"/>
        <v>43875</v>
      </c>
      <c r="Y59" s="385">
        <f t="shared" si="8"/>
        <v>28.763000000000002</v>
      </c>
      <c r="Z59" s="385">
        <f t="shared" si="9"/>
        <v>29.163922441132364</v>
      </c>
      <c r="AA59" s="386">
        <f t="shared" si="10"/>
        <v>31.272292890423099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6.7419758975729147E-2</v>
      </c>
      <c r="AD59" s="231">
        <f>(INDEX(Models!$BJ59:$BT59,,AH59)*(1-AF59)+INDEX(Models!$BJ59:$BT59,,AH59+1)*AF59-ERP_i)*AE59*Ramure*Pc/MaxiM</f>
        <v>3.0450593700332438E-4</v>
      </c>
      <c r="AE59" s="305">
        <f t="shared" si="12"/>
        <v>0.7</v>
      </c>
      <c r="AF59" s="177">
        <f t="shared" si="21"/>
        <v>3.5653151808507921E-3</v>
      </c>
      <c r="AG59" s="919">
        <f t="shared" si="22"/>
        <v>-1</v>
      </c>
      <c r="AH59" s="176">
        <f t="shared" si="13"/>
        <v>5</v>
      </c>
      <c r="AI59" s="225">
        <f t="shared" si="23"/>
        <v>-0.99643468481914921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8">
        <v>36.554000000000002</v>
      </c>
      <c r="C60" s="390"/>
      <c r="D60" s="393">
        <f t="shared" si="0"/>
        <v>37.064331635476108</v>
      </c>
      <c r="E60" s="385">
        <f t="shared" si="17"/>
        <v>39.745943928262378</v>
      </c>
      <c r="F60" s="385">
        <f t="shared" si="1"/>
        <v>39.757182335540072</v>
      </c>
      <c r="G60" s="110">
        <f t="shared" si="18"/>
        <v>0.94912276622311476</v>
      </c>
      <c r="H60" s="412" t="b">
        <f>Wh_hp&gt;='2019'!Maxi_hp</f>
        <v>0</v>
      </c>
      <c r="I60" s="380">
        <f>IF(H60,Wh_hp,'2019'!Maxi_hp)</f>
        <v>43.307632323541206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1.3768807178156206E-2</v>
      </c>
      <c r="M60" s="957"/>
      <c r="N60" s="957"/>
      <c r="O60" s="48">
        <f>IF(t&lt;Tnet,'2019'!Resal+('2019'!Salim-'2019'!Resal)*(1-EXP(('2019'!Tnet-t)/('2019'!Tau_j))),Resal+(Salim-Resal)*(1-EXP((Tnet-t)/(Tau_j))))*Salcycl</f>
        <v>6.7468828960920477E-2</v>
      </c>
      <c r="P60" s="169">
        <f>(INDEX(Models!$BJ60:$BT60,,T60)*(1-R60)+INDEX(Models!$BJ60:$BT60,,T60+1)*R60-ERP_i)*Q60*Ramure*Pc/MaxiM</f>
        <v>3.0482199509729269E-4</v>
      </c>
      <c r="Q60" s="305">
        <f t="shared" si="2"/>
        <v>0.7</v>
      </c>
      <c r="R60" s="177">
        <f t="shared" si="3"/>
        <v>3.7409561471811736E-3</v>
      </c>
      <c r="S60" s="919">
        <f t="shared" si="4"/>
        <v>-1</v>
      </c>
      <c r="T60" s="176">
        <f t="shared" si="5"/>
        <v>5</v>
      </c>
      <c r="U60" s="251">
        <f t="shared" si="20"/>
        <v>-0.99625904385281883</v>
      </c>
      <c r="V60" s="383">
        <f t="shared" si="6"/>
        <v>38.512605063069479</v>
      </c>
      <c r="W60" s="402"/>
      <c r="X60" s="157">
        <f t="shared" si="7"/>
        <v>43876</v>
      </c>
      <c r="Y60" s="385">
        <f t="shared" si="8"/>
        <v>36.554000000000002</v>
      </c>
      <c r="Z60" s="385">
        <f t="shared" si="9"/>
        <v>37.064331635476108</v>
      </c>
      <c r="AA60" s="386">
        <f t="shared" si="10"/>
        <v>39.745943928262378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6.7468828960920477E-2</v>
      </c>
      <c r="AD60" s="231">
        <f>(INDEX(Models!$BJ60:$BT60,,AH60)*(1-AF60)+INDEX(Models!$BJ60:$BT60,,AH60+1)*AF60-ERP_i)*AE60*Ramure*Pc/MaxiM</f>
        <v>3.0482199509729269E-4</v>
      </c>
      <c r="AE60" s="305">
        <f t="shared" si="12"/>
        <v>0.7</v>
      </c>
      <c r="AF60" s="177">
        <f t="shared" si="21"/>
        <v>3.7409561471811736E-3</v>
      </c>
      <c r="AG60" s="919">
        <f t="shared" si="22"/>
        <v>-1</v>
      </c>
      <c r="AH60" s="176">
        <f t="shared" si="13"/>
        <v>5</v>
      </c>
      <c r="AI60" s="225">
        <f t="shared" si="23"/>
        <v>-0.99625904385281883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8">
        <v>21.596</v>
      </c>
      <c r="C61" s="390"/>
      <c r="D61" s="393">
        <f t="shared" si="0"/>
        <v>21.897982111468508</v>
      </c>
      <c r="E61" s="385">
        <f t="shared" si="17"/>
        <v>23.483540639084421</v>
      </c>
      <c r="F61" s="385">
        <f t="shared" si="1"/>
        <v>23.486165516179312</v>
      </c>
      <c r="G61" s="110">
        <f t="shared" si="18"/>
        <v>0.55612863897579201</v>
      </c>
      <c r="H61" s="412" t="b">
        <f>Wh_hp&gt;='2019'!Maxi_hp</f>
        <v>0</v>
      </c>
      <c r="I61" s="380">
        <f>IF(H61,Wh_hp,'2019'!Maxi_hp)</f>
        <v>43.625435149292962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1.3790408172374646E-2</v>
      </c>
      <c r="M61" s="957"/>
      <c r="N61" s="957"/>
      <c r="O61" s="48">
        <f>IF(t&lt;Tnet,'2019'!Resal+('2019'!Salim-'2019'!Resal)*(1-EXP(('2019'!Tnet-t)/('2019'!Tau_j))),Resal+(Salim-Resal)*(1-EXP((Tnet-t)/(Tau_j))))*Salcycl</f>
        <v>6.7517865043613456E-2</v>
      </c>
      <c r="P61" s="169">
        <f>(INDEX(Models!$BJ61:$BT61,,T61)*(1-R61)+INDEX(Models!$BJ61:$BT61,,T61+1)*R61-ERP_i)*Q61*Ramure*Pc/MaxiM</f>
        <v>3.0531927139547242E-4</v>
      </c>
      <c r="Q61" s="305">
        <f t="shared" si="2"/>
        <v>0.7</v>
      </c>
      <c r="R61" s="177">
        <f t="shared" si="3"/>
        <v>3.9238334929693197E-3</v>
      </c>
      <c r="S61" s="919">
        <f t="shared" si="4"/>
        <v>-1</v>
      </c>
      <c r="T61" s="176">
        <f t="shared" si="5"/>
        <v>5</v>
      </c>
      <c r="U61" s="251">
        <f t="shared" si="20"/>
        <v>-0.99607616650703068</v>
      </c>
      <c r="V61" s="383">
        <f t="shared" si="6"/>
        <v>38.825224905989252</v>
      </c>
      <c r="W61" s="402"/>
      <c r="X61" s="157">
        <f t="shared" si="7"/>
        <v>43877</v>
      </c>
      <c r="Y61" s="385">
        <f t="shared" si="8"/>
        <v>21.596</v>
      </c>
      <c r="Z61" s="385">
        <f t="shared" si="9"/>
        <v>21.897982111468508</v>
      </c>
      <c r="AA61" s="386">
        <f t="shared" si="10"/>
        <v>23.483540639084421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6.7517865043613456E-2</v>
      </c>
      <c r="AD61" s="231">
        <f>(INDEX(Models!$BJ61:$BT61,,AH61)*(1-AF61)+INDEX(Models!$BJ61:$BT61,,AH61+1)*AF61-ERP_i)*AE61*Ramure*Pc/MaxiM</f>
        <v>3.0531927139547242E-4</v>
      </c>
      <c r="AE61" s="305">
        <f t="shared" si="12"/>
        <v>0.7</v>
      </c>
      <c r="AF61" s="177">
        <f t="shared" si="21"/>
        <v>3.9238334929693197E-3</v>
      </c>
      <c r="AG61" s="919">
        <f t="shared" si="22"/>
        <v>-1</v>
      </c>
      <c r="AH61" s="176">
        <f t="shared" si="13"/>
        <v>5</v>
      </c>
      <c r="AI61" s="225">
        <f t="shared" si="23"/>
        <v>-0.99607616650703068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8">
        <v>5.7039999999999997</v>
      </c>
      <c r="C62" s="390"/>
      <c r="D62" s="393">
        <f t="shared" si="0"/>
        <v>5.7838870988919791</v>
      </c>
      <c r="E62" s="385">
        <f t="shared" si="17"/>
        <v>6.2030046503277223</v>
      </c>
      <c r="F62" s="385">
        <f t="shared" si="1"/>
        <v>6.2030046503277223</v>
      </c>
      <c r="G62" s="110">
        <f t="shared" si="18"/>
        <v>0.14570684076772664</v>
      </c>
      <c r="H62" s="412" t="b">
        <f>Wh_hp&gt;='2019'!Maxi_hp</f>
        <v>0</v>
      </c>
      <c r="I62" s="380">
        <f>IF(H62,Wh_hp,'2019'!Maxi_hp)</f>
        <v>44.343925318135149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1.3812008693475875E-2</v>
      </c>
      <c r="M62" s="957"/>
      <c r="N62" s="957"/>
      <c r="O62" s="48">
        <f>IF(t&lt;Tnet,'2019'!Resal+('2019'!Salim-'2019'!Resal)*(1-EXP(('2019'!Tnet-t)/('2019'!Tau_j))),Resal+(Salim-Resal)*(1-EXP((Tnet-t)/(Tau_j))))*Salcycl</f>
        <v>6.7566860749266114E-2</v>
      </c>
      <c r="P62" s="169">
        <f>(INDEX(Models!$BJ62:$BT62,,T62)*(1-R62)+INDEX(Models!$BJ62:$BT62,,T62+1)*R62-ERP_i)*Q62*Ramure*Pc/MaxiM</f>
        <v>3.059976230827137E-4</v>
      </c>
      <c r="Q62" s="305">
        <f t="shared" si="2"/>
        <v>0.7</v>
      </c>
      <c r="R62" s="177">
        <f t="shared" si="3"/>
        <v>4.1142396401255832E-3</v>
      </c>
      <c r="S62" s="919">
        <f t="shared" si="4"/>
        <v>-1</v>
      </c>
      <c r="T62" s="176">
        <f t="shared" si="5"/>
        <v>5</v>
      </c>
      <c r="U62" s="251">
        <f t="shared" si="20"/>
        <v>-0.99588576035987442</v>
      </c>
      <c r="V62" s="383">
        <f t="shared" si="6"/>
        <v>39.135119253927009</v>
      </c>
      <c r="W62" s="402"/>
      <c r="X62" s="157">
        <f t="shared" si="7"/>
        <v>43878</v>
      </c>
      <c r="Y62" s="385">
        <f t="shared" si="8"/>
        <v>5.7039999999999997</v>
      </c>
      <c r="Z62" s="385">
        <f t="shared" si="9"/>
        <v>5.7838870988919791</v>
      </c>
      <c r="AA62" s="386">
        <f t="shared" si="10"/>
        <v>6.2030046503277223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6.7566860749266114E-2</v>
      </c>
      <c r="AD62" s="231">
        <f>(INDEX(Models!$BJ62:$BT62,,AH62)*(1-AF62)+INDEX(Models!$BJ62:$BT62,,AH62+1)*AF62-ERP_i)*AE62*Ramure*Pc/MaxiM</f>
        <v>3.059976230827137E-4</v>
      </c>
      <c r="AE62" s="305">
        <f t="shared" si="12"/>
        <v>0.7</v>
      </c>
      <c r="AF62" s="177">
        <f t="shared" si="21"/>
        <v>4.1142396401255832E-3</v>
      </c>
      <c r="AG62" s="919">
        <f t="shared" si="22"/>
        <v>-1</v>
      </c>
      <c r="AH62" s="176">
        <f t="shared" si="13"/>
        <v>5</v>
      </c>
      <c r="AI62" s="225">
        <f t="shared" si="23"/>
        <v>-0.99588576035987442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8">
        <v>34.369999999999997</v>
      </c>
      <c r="C63" s="390"/>
      <c r="D63" s="393">
        <f t="shared" si="0"/>
        <v>34.85213074047023</v>
      </c>
      <c r="E63" s="385">
        <f t="shared" si="17"/>
        <v>37.379581419821164</v>
      </c>
      <c r="F63" s="385">
        <f t="shared" si="1"/>
        <v>37.388946891511743</v>
      </c>
      <c r="G63" s="110">
        <f t="shared" si="18"/>
        <v>0.87136153574606146</v>
      </c>
      <c r="H63" s="412" t="b">
        <f>Wh_hp&gt;='2019'!Maxi_hp</f>
        <v>0</v>
      </c>
      <c r="I63" s="380">
        <f>IF(H63,Wh_hp,'2019'!Maxi_hp)</f>
        <v>43.682090944826165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1.3833608741470216E-2</v>
      </c>
      <c r="M63" s="957"/>
      <c r="N63" s="957"/>
      <c r="O63" s="48">
        <f>IF(t&lt;Tnet,'2019'!Resal+('2019'!Salim-'2019'!Resal)*(1-EXP(('2019'!Tnet-t)/('2019'!Tau_j))),Resal+(Salim-Resal)*(1-EXP((Tnet-t)/(Tau_j))))*Salcycl</f>
        <v>6.7615810112060484E-2</v>
      </c>
      <c r="P63" s="169">
        <f>(INDEX(Models!$BJ63:$BT63,,T63)*(1-R63)+INDEX(Models!$BJ63:$BT63,,T63+1)*R63-ERP_i)*Q63*Ramure*Pc/MaxiM</f>
        <v>3.0685705854708662E-4</v>
      </c>
      <c r="Q63" s="305">
        <f t="shared" si="2"/>
        <v>0.7</v>
      </c>
      <c r="R63" s="177">
        <f t="shared" si="3"/>
        <v>4.3124783428739599E-3</v>
      </c>
      <c r="S63" s="919">
        <f t="shared" si="4"/>
        <v>-1</v>
      </c>
      <c r="T63" s="176">
        <f t="shared" si="5"/>
        <v>5</v>
      </c>
      <c r="U63" s="251">
        <f t="shared" si="20"/>
        <v>-0.99568752165712604</v>
      </c>
      <c r="V63" s="383">
        <f t="shared" si="6"/>
        <v>39.441793894021707</v>
      </c>
      <c r="W63" s="402"/>
      <c r="X63" s="157">
        <f t="shared" si="7"/>
        <v>43879</v>
      </c>
      <c r="Y63" s="385">
        <f t="shared" si="8"/>
        <v>34.369999999999997</v>
      </c>
      <c r="Z63" s="385">
        <f t="shared" si="9"/>
        <v>34.85213074047023</v>
      </c>
      <c r="AA63" s="386">
        <f t="shared" si="10"/>
        <v>37.379581419821164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6.7615810112060484E-2</v>
      </c>
      <c r="AD63" s="231">
        <f>(INDEX(Models!$BJ63:$BT63,,AH63)*(1-AF63)+INDEX(Models!$BJ63:$BT63,,AH63+1)*AF63-ERP_i)*AE63*Ramure*Pc/MaxiM</f>
        <v>3.0685705854708662E-4</v>
      </c>
      <c r="AE63" s="305">
        <f t="shared" si="12"/>
        <v>0.7</v>
      </c>
      <c r="AF63" s="177">
        <f t="shared" si="21"/>
        <v>4.3124783428739599E-3</v>
      </c>
      <c r="AG63" s="919">
        <f t="shared" si="22"/>
        <v>-1</v>
      </c>
      <c r="AH63" s="176">
        <f t="shared" si="13"/>
        <v>5</v>
      </c>
      <c r="AI63" s="225">
        <f t="shared" si="23"/>
        <v>-0.99568752165712604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8">
        <v>30.841999999999999</v>
      </c>
      <c r="C64" s="390"/>
      <c r="D64" s="393">
        <f t="shared" si="0"/>
        <v>31.27532615909664</v>
      </c>
      <c r="E64" s="385">
        <f t="shared" si="17"/>
        <v>33.545148853644235</v>
      </c>
      <c r="F64" s="385">
        <f t="shared" si="1"/>
        <v>33.552173714406024</v>
      </c>
      <c r="G64" s="110">
        <f t="shared" si="18"/>
        <v>0.7759252966290795</v>
      </c>
      <c r="H64" s="412" t="b">
        <f>Wh_hp&gt;='2019'!Maxi_hp</f>
        <v>1</v>
      </c>
      <c r="I64" s="380">
        <f>IF(H64,Wh_hp,'2019'!Maxi_hp)</f>
        <v>33.552173714406024</v>
      </c>
      <c r="J64" s="85">
        <f>IF(H64,An,'2019'!An_max)</f>
        <v>2020</v>
      </c>
      <c r="K64" s="197">
        <f t="shared" si="19"/>
        <v>43880</v>
      </c>
      <c r="L64" s="147">
        <f>IF(t&lt;Tvie,1-EXP((T0-t)*PertePVj)+'2019'!Pspv,1-EXP((T0-t)*PertePVj)+Pspv)</f>
        <v>1.3855208316368106E-2</v>
      </c>
      <c r="M64" s="957"/>
      <c r="N64" s="957"/>
      <c r="O64" s="48">
        <f>IF(t&lt;Tnet,'2019'!Resal+('2019'!Salim-'2019'!Resal)*(1-EXP(('2019'!Tnet-t)/('2019'!Tau_j))),Resal+(Salim-Resal)*(1-EXP((Tnet-t)/(Tau_j))))*Salcycl</f>
        <v>6.7664707777887981E-2</v>
      </c>
      <c r="P64" s="169">
        <f>(INDEX(Models!$BJ64:$BT64,,T64)*(1-R64)+INDEX(Models!$BJ64:$BT64,,T64+1)*R64-ERP_i)*Q64*Ramure*Pc/MaxiM</f>
        <v>3.07897761791458E-4</v>
      </c>
      <c r="Q64" s="305">
        <f t="shared" si="2"/>
        <v>0.7</v>
      </c>
      <c r="R64" s="177">
        <f t="shared" si="3"/>
        <v>4.5188650856828882E-3</v>
      </c>
      <c r="S64" s="919">
        <f t="shared" si="4"/>
        <v>-1</v>
      </c>
      <c r="T64" s="176">
        <f t="shared" si="5"/>
        <v>5</v>
      </c>
      <c r="U64" s="251">
        <f t="shared" si="20"/>
        <v>-0.99548113491431711</v>
      </c>
      <c r="V64" s="383">
        <f t="shared" si="6"/>
        <v>39.74475473751481</v>
      </c>
      <c r="W64" s="402"/>
      <c r="X64" s="157">
        <f t="shared" si="7"/>
        <v>43880</v>
      </c>
      <c r="Y64" s="385">
        <f t="shared" si="8"/>
        <v>30.842000000000002</v>
      </c>
      <c r="Z64" s="385">
        <f t="shared" si="9"/>
        <v>31.275326159096643</v>
      </c>
      <c r="AA64" s="386">
        <f t="shared" si="10"/>
        <v>33.545148853644235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6.7664707777887981E-2</v>
      </c>
      <c r="AD64" s="231">
        <f>(INDEX(Models!$BJ64:$BT64,,AH64)*(1-AF64)+INDEX(Models!$BJ64:$BT64,,AH64+1)*AF64-ERP_i)*AE64*Ramure*Pc/MaxiM</f>
        <v>3.07897761791458E-4</v>
      </c>
      <c r="AE64" s="305">
        <f t="shared" si="12"/>
        <v>0.7</v>
      </c>
      <c r="AF64" s="177">
        <f t="shared" si="21"/>
        <v>4.5188650856828882E-3</v>
      </c>
      <c r="AG64" s="919">
        <f t="shared" si="22"/>
        <v>-1</v>
      </c>
      <c r="AH64" s="176">
        <f t="shared" si="13"/>
        <v>5</v>
      </c>
      <c r="AI64" s="225">
        <f t="shared" si="23"/>
        <v>-0.99548113491431711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8">
        <v>39.555999999999997</v>
      </c>
      <c r="C65" s="390"/>
      <c r="D65" s="393">
        <f t="shared" si="0"/>
        <v>40.112635315306179</v>
      </c>
      <c r="E65" s="385">
        <f t="shared" si="17"/>
        <v>43.026084179121312</v>
      </c>
      <c r="F65" s="385">
        <f t="shared" si="1"/>
        <v>43.039156245729039</v>
      </c>
      <c r="G65" s="110">
        <f t="shared" si="18"/>
        <v>0.98779498686593659</v>
      </c>
      <c r="H65" s="412" t="b">
        <f>Wh_hp&gt;='2019'!Maxi_hp</f>
        <v>0</v>
      </c>
      <c r="I65" s="380">
        <f>IF(H65,Wh_hp,'2019'!Maxi_hp)</f>
        <v>43.218540620250515</v>
      </c>
      <c r="J65" s="85">
        <f>IF(H65,An,'2019'!An_max)</f>
        <v>2019</v>
      </c>
      <c r="K65" s="197">
        <f t="shared" si="19"/>
        <v>43881</v>
      </c>
      <c r="L65" s="147">
        <f>IF(t&lt;Tvie,1-EXP((T0-t)*PertePVj)+'2019'!Pspv,1-EXP((T0-t)*PertePVj)+Pspv)</f>
        <v>1.3876807418179871E-2</v>
      </c>
      <c r="M65" s="957"/>
      <c r="N65" s="957"/>
      <c r="O65" s="48">
        <f>IF(t&lt;Tnet,'2019'!Resal+('2019'!Salim-'2019'!Resal)*(1-EXP(('2019'!Tnet-t)/('2019'!Tau_j))),Resal+(Salim-Resal)*(1-EXP((Tnet-t)/(Tau_j))))*Salcycl</f>
        <v>6.7713549103985207E-2</v>
      </c>
      <c r="P65" s="169">
        <f>(INDEX(Models!$BJ65:$BT65,,T65)*(1-R65)+INDEX(Models!$BJ65:$BT65,,T65+1)*R65-ERP_i)*Q65*Ramure*Pc/MaxiM</f>
        <v>3.0911222144233436E-4</v>
      </c>
      <c r="Q65" s="305">
        <f t="shared" si="2"/>
        <v>0.7</v>
      </c>
      <c r="R65" s="177">
        <f t="shared" si="3"/>
        <v>4.733727491593176E-3</v>
      </c>
      <c r="S65" s="919">
        <f t="shared" si="4"/>
        <v>-1</v>
      </c>
      <c r="T65" s="176">
        <f t="shared" si="5"/>
        <v>5</v>
      </c>
      <c r="U65" s="251">
        <f t="shared" si="20"/>
        <v>-0.99526627250840682</v>
      </c>
      <c r="V65" s="383">
        <f t="shared" si="6"/>
        <v>40.04453086241687</v>
      </c>
      <c r="W65" s="402"/>
      <c r="X65" s="157">
        <f t="shared" si="7"/>
        <v>43881</v>
      </c>
      <c r="Y65" s="385">
        <f t="shared" si="8"/>
        <v>39.555999999999997</v>
      </c>
      <c r="Z65" s="385">
        <f t="shared" si="9"/>
        <v>40.112635315306179</v>
      </c>
      <c r="AA65" s="386">
        <f t="shared" si="10"/>
        <v>43.026084179121312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6.7713549103985207E-2</v>
      </c>
      <c r="AD65" s="231">
        <f>(INDEX(Models!$BJ65:$BT65,,AH65)*(1-AF65)+INDEX(Models!$BJ65:$BT65,,AH65+1)*AF65-ERP_i)*AE65*Ramure*Pc/MaxiM</f>
        <v>3.0911222144233436E-4</v>
      </c>
      <c r="AE65" s="305">
        <f t="shared" si="12"/>
        <v>0.7</v>
      </c>
      <c r="AF65" s="177">
        <f t="shared" si="21"/>
        <v>4.733727491593176E-3</v>
      </c>
      <c r="AG65" s="919">
        <f t="shared" si="22"/>
        <v>-1</v>
      </c>
      <c r="AH65" s="176">
        <f t="shared" si="13"/>
        <v>5</v>
      </c>
      <c r="AI65" s="225">
        <f t="shared" si="23"/>
        <v>-0.99526627250840682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8">
        <v>16.716000000000001</v>
      </c>
      <c r="C66" s="390"/>
      <c r="D66" s="393">
        <f t="shared" si="0"/>
        <v>16.951600223044871</v>
      </c>
      <c r="E66" s="385">
        <f t="shared" si="17"/>
        <v>18.183775203664968</v>
      </c>
      <c r="F66" s="385">
        <f t="shared" si="1"/>
        <v>18.18469666771049</v>
      </c>
      <c r="G66" s="110">
        <f t="shared" si="18"/>
        <v>0.41424909866434245</v>
      </c>
      <c r="H66" s="412" t="b">
        <f>Wh_hp&gt;='2019'!Maxi_hp</f>
        <v>0</v>
      </c>
      <c r="I66" s="380">
        <f>IF(H66,Wh_hp,'2019'!Maxi_hp)</f>
        <v>42.441850727741603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1.3898406046915945E-2</v>
      </c>
      <c r="M66" s="957"/>
      <c r="N66" s="957"/>
      <c r="O66" s="48">
        <f>IF(t&lt;Tnet,'2019'!Resal+('2019'!Salim-'2019'!Resal)*(1-EXP(('2019'!Tnet-t)/('2019'!Tau_j))),Resal+(Salim-Resal)*(1-EXP((Tnet-t)/(Tau_j))))*Salcycl</f>
        <v>6.7762330254266992E-2</v>
      </c>
      <c r="P66" s="169">
        <f>(INDEX(Models!$BJ66:$BT66,,T66)*(1-R66)+INDEX(Models!$BJ66:$BT66,,T66+1)*R66-ERP_i)*Q66*Ramure*Pc/MaxiM</f>
        <v>3.1017659159379918E-4</v>
      </c>
      <c r="Q66" s="305">
        <f t="shared" si="2"/>
        <v>0.7</v>
      </c>
      <c r="R66" s="177">
        <f t="shared" si="3"/>
        <v>4.9574057408797723E-3</v>
      </c>
      <c r="S66" s="919">
        <f t="shared" si="4"/>
        <v>-1</v>
      </c>
      <c r="T66" s="176">
        <f t="shared" si="5"/>
        <v>5</v>
      </c>
      <c r="U66" s="251">
        <f t="shared" si="20"/>
        <v>-0.99504259425912023</v>
      </c>
      <c r="V66" s="383">
        <f t="shared" si="6"/>
        <v>40.34205979848732</v>
      </c>
      <c r="W66" s="402"/>
      <c r="X66" s="157">
        <f t="shared" si="7"/>
        <v>43882</v>
      </c>
      <c r="Y66" s="385">
        <f t="shared" si="8"/>
        <v>16.716000000000001</v>
      </c>
      <c r="Z66" s="385">
        <f t="shared" si="9"/>
        <v>16.951600223044871</v>
      </c>
      <c r="AA66" s="386">
        <f t="shared" si="10"/>
        <v>18.183775203664968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6.7762330254266992E-2</v>
      </c>
      <c r="AD66" s="231">
        <f>(INDEX(Models!$BJ66:$BT66,,AH66)*(1-AF66)+INDEX(Models!$BJ66:$BT66,,AH66+1)*AF66-ERP_i)*AE66*Ramure*Pc/MaxiM</f>
        <v>3.1017659159379918E-4</v>
      </c>
      <c r="AE66" s="305">
        <f t="shared" si="12"/>
        <v>0.7</v>
      </c>
      <c r="AF66" s="177">
        <f t="shared" si="21"/>
        <v>4.9574057408797723E-3</v>
      </c>
      <c r="AG66" s="919">
        <f t="shared" si="22"/>
        <v>-1</v>
      </c>
      <c r="AH66" s="176">
        <f t="shared" si="13"/>
        <v>5</v>
      </c>
      <c r="AI66" s="225">
        <f t="shared" si="23"/>
        <v>-0.99504259425912023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8">
        <v>37.956000000000003</v>
      </c>
      <c r="C67" s="390"/>
      <c r="D67" s="393">
        <f t="shared" si="0"/>
        <v>38.491806102714939</v>
      </c>
      <c r="E67" s="385">
        <f t="shared" si="17"/>
        <v>41.291849717896717</v>
      </c>
      <c r="F67" s="385">
        <f t="shared" si="1"/>
        <v>41.303485459339633</v>
      </c>
      <c r="G67" s="110">
        <f t="shared" si="18"/>
        <v>0.93398805122573325</v>
      </c>
      <c r="H67" s="412" t="b">
        <f>Wh_hp&gt;='2019'!Maxi_hp</f>
        <v>0</v>
      </c>
      <c r="I67" s="380">
        <f>IF(H67,Wh_hp,'2019'!Maxi_hp)</f>
        <v>42.464770609772728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1.3920004202586544E-2</v>
      </c>
      <c r="M67" s="957"/>
      <c r="N67" s="957"/>
      <c r="O67" s="48">
        <f>IF(t&lt;Tnet,'2019'!Resal+('2019'!Salim-'2019'!Resal)*(1-EXP(('2019'!Tnet-t)/('2019'!Tau_j))),Resal+(Salim-Resal)*(1-EXP((Tnet-t)/(Tau_j))))*Salcycl</f>
        <v>6.7811048289468767E-2</v>
      </c>
      <c r="P67" s="169">
        <f>(INDEX(Models!$BJ67:$BT67,,T67)*(1-R67)+INDEX(Models!$BJ67:$BT67,,T67+1)*R67-ERP_i)*Q67*Ramure*Pc/MaxiM</f>
        <v>3.110323515617755E-4</v>
      </c>
      <c r="Q67" s="305">
        <f t="shared" si="2"/>
        <v>0.7</v>
      </c>
      <c r="R67" s="177">
        <f t="shared" si="3"/>
        <v>5.1902529999490188E-3</v>
      </c>
      <c r="S67" s="919">
        <f t="shared" si="4"/>
        <v>-1</v>
      </c>
      <c r="T67" s="176">
        <f t="shared" si="5"/>
        <v>5</v>
      </c>
      <c r="U67" s="251">
        <f t="shared" si="20"/>
        <v>-0.99480974700005098</v>
      </c>
      <c r="V67" s="383">
        <f t="shared" si="6"/>
        <v>40.637443704886849</v>
      </c>
      <c r="W67" s="402"/>
      <c r="X67" s="157">
        <f t="shared" si="7"/>
        <v>43883</v>
      </c>
      <c r="Y67" s="385">
        <f t="shared" si="8"/>
        <v>37.956000000000003</v>
      </c>
      <c r="Z67" s="385">
        <f t="shared" si="9"/>
        <v>38.491806102714939</v>
      </c>
      <c r="AA67" s="386">
        <f t="shared" si="10"/>
        <v>41.291849717896717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6.7811048289468767E-2</v>
      </c>
      <c r="AD67" s="231">
        <f>(INDEX(Models!$BJ67:$BT67,,AH67)*(1-AF67)+INDEX(Models!$BJ67:$BT67,,AH67+1)*AF67-ERP_i)*AE67*Ramure*Pc/MaxiM</f>
        <v>3.110323515617755E-4</v>
      </c>
      <c r="AE67" s="305">
        <f t="shared" si="12"/>
        <v>0.7</v>
      </c>
      <c r="AF67" s="177">
        <f t="shared" si="21"/>
        <v>5.1902529999490188E-3</v>
      </c>
      <c r="AG67" s="919">
        <f t="shared" si="22"/>
        <v>-1</v>
      </c>
      <c r="AH67" s="176">
        <f t="shared" si="13"/>
        <v>5</v>
      </c>
      <c r="AI67" s="225">
        <f t="shared" si="23"/>
        <v>-0.99480974700005098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8">
        <v>39.493000000000002</v>
      </c>
      <c r="C68" s="390"/>
      <c r="D68" s="393">
        <f t="shared" si="0"/>
        <v>40.051380400496512</v>
      </c>
      <c r="E68" s="385">
        <f t="shared" si="17"/>
        <v>42.967116059954151</v>
      </c>
      <c r="F68" s="385">
        <f t="shared" si="1"/>
        <v>42.979839850717049</v>
      </c>
      <c r="G68" s="110">
        <f t="shared" si="18"/>
        <v>0.96485774133021918</v>
      </c>
      <c r="H68" s="412" t="b">
        <f>Wh_hp&gt;='2019'!Maxi_hp</f>
        <v>0</v>
      </c>
      <c r="I68" s="380">
        <f>IF(H68,Wh_hp,'2019'!Maxi_hp)</f>
        <v>43.491209699160983</v>
      </c>
      <c r="J68" s="85">
        <f>IF(H68,An,'2019'!An_max)</f>
        <v>2019</v>
      </c>
      <c r="K68" s="197">
        <f t="shared" si="19"/>
        <v>43884</v>
      </c>
      <c r="L68" s="147">
        <f>IF(t&lt;Tvie,1-EXP((T0-t)*PertePVj)+'2019'!Pspv,1-EXP((T0-t)*PertePVj)+Pspv)</f>
        <v>1.3941601885202104E-2</v>
      </c>
      <c r="M68" s="957"/>
      <c r="N68" s="957"/>
      <c r="O68" s="48">
        <f>IF(t&lt;Tnet,'2019'!Resal+('2019'!Salim-'2019'!Resal)*(1-EXP(('2019'!Tnet-t)/('2019'!Tau_j))),Resal+(Salim-Resal)*(1-EXP((Tnet-t)/(Tau_j))))*Salcycl</f>
        <v>6.7859701251281754E-2</v>
      </c>
      <c r="P68" s="169">
        <f>(INDEX(Models!$BJ68:$BT68,,T68)*(1-R68)+INDEX(Models!$BJ68:$BT68,,T68+1)*R68-ERP_i)*Q68*Ramure*Pc/MaxiM</f>
        <v>3.1168160765585707E-4</v>
      </c>
      <c r="Q68" s="305">
        <f t="shared" si="2"/>
        <v>0.7</v>
      </c>
      <c r="R68" s="177">
        <f t="shared" si="3"/>
        <v>5.4326358603269398E-3</v>
      </c>
      <c r="S68" s="919">
        <f t="shared" si="4"/>
        <v>-1</v>
      </c>
      <c r="T68" s="176">
        <f t="shared" si="5"/>
        <v>5</v>
      </c>
      <c r="U68" s="251">
        <f t="shared" si="20"/>
        <v>-0.99456736413967306</v>
      </c>
      <c r="V68" s="383">
        <f t="shared" si="6"/>
        <v>40.93078225649672</v>
      </c>
      <c r="W68" s="402"/>
      <c r="X68" s="157">
        <f t="shared" si="7"/>
        <v>43884</v>
      </c>
      <c r="Y68" s="385">
        <f t="shared" si="8"/>
        <v>39.493000000000002</v>
      </c>
      <c r="Z68" s="385">
        <f t="shared" si="9"/>
        <v>40.051380400496512</v>
      </c>
      <c r="AA68" s="386">
        <f t="shared" si="10"/>
        <v>42.967116059954151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6.7859701251281754E-2</v>
      </c>
      <c r="AD68" s="231">
        <f>(INDEX(Models!$BJ68:$BT68,,AH68)*(1-AF68)+INDEX(Models!$BJ68:$BT68,,AH68+1)*AF68-ERP_i)*AE68*Ramure*Pc/MaxiM</f>
        <v>3.1168160765585707E-4</v>
      </c>
      <c r="AE68" s="305">
        <f t="shared" si="12"/>
        <v>0.7</v>
      </c>
      <c r="AF68" s="177">
        <f t="shared" si="21"/>
        <v>5.4326358603269398E-3</v>
      </c>
      <c r="AG68" s="919">
        <f t="shared" si="22"/>
        <v>-1</v>
      </c>
      <c r="AH68" s="176">
        <f t="shared" si="13"/>
        <v>5</v>
      </c>
      <c r="AI68" s="225">
        <f t="shared" si="23"/>
        <v>-0.99456736413967306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8">
        <v>40.56</v>
      </c>
      <c r="C69" s="390"/>
      <c r="D69" s="393">
        <f t="shared" si="0"/>
        <v>41.13436736110058</v>
      </c>
      <c r="E69" s="385">
        <f t="shared" si="17"/>
        <v>44.131244642673956</v>
      </c>
      <c r="F69" s="385">
        <f t="shared" si="1"/>
        <v>44.144707241290959</v>
      </c>
      <c r="G69" s="110">
        <f t="shared" si="18"/>
        <v>0.98392938758263693</v>
      </c>
      <c r="H69" s="412" t="b">
        <f>Wh_hp&gt;='2019'!Maxi_hp</f>
        <v>1</v>
      </c>
      <c r="I69" s="380">
        <f>IF(H69,Wh_hp,'2019'!Maxi_hp)</f>
        <v>44.144707241290959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1.3963199094772949E-2</v>
      </c>
      <c r="M69" s="957"/>
      <c r="N69" s="957"/>
      <c r="O69" s="48">
        <f>IF(t&lt;Tnet,'2019'!Resal+('2019'!Salim-'2019'!Resal)*(1-EXP(('2019'!Tnet-t)/('2019'!Tau_j))),Resal+(Salim-Resal)*(1-EXP((Tnet-t)/(Tau_j))))*Salcycl</f>
        <v>6.7908288239744263E-2</v>
      </c>
      <c r="P69" s="169">
        <f>(INDEX(Models!$BJ69:$BT69,,T69)*(1-R69)+INDEX(Models!$BJ69:$BT69,,T69+1)*R69-ERP_i)*Q69*Ramure*Pc/MaxiM</f>
        <v>3.1212787441402799E-4</v>
      </c>
      <c r="Q69" s="305">
        <f t="shared" si="2"/>
        <v>0.7</v>
      </c>
      <c r="R69" s="177">
        <f t="shared" si="3"/>
        <v>5.6849347875451706E-3</v>
      </c>
      <c r="S69" s="919">
        <f t="shared" si="4"/>
        <v>-1</v>
      </c>
      <c r="T69" s="176">
        <f t="shared" si="5"/>
        <v>5</v>
      </c>
      <c r="U69" s="251">
        <f t="shared" si="20"/>
        <v>-0.99431506521245483</v>
      </c>
      <c r="V69" s="383">
        <f t="shared" si="6"/>
        <v>41.222174989775731</v>
      </c>
      <c r="W69" s="402"/>
      <c r="X69" s="157">
        <f t="shared" si="7"/>
        <v>43885</v>
      </c>
      <c r="Y69" s="385">
        <f t="shared" si="8"/>
        <v>40.56</v>
      </c>
      <c r="Z69" s="385">
        <f t="shared" si="9"/>
        <v>41.13436736110058</v>
      </c>
      <c r="AA69" s="386">
        <f t="shared" si="10"/>
        <v>44.131244642673956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6.7908288239744263E-2</v>
      </c>
      <c r="AD69" s="231">
        <f>(INDEX(Models!$BJ69:$BT69,,AH69)*(1-AF69)+INDEX(Models!$BJ69:$BT69,,AH69+1)*AF69-ERP_i)*AE69*Ramure*Pc/MaxiM</f>
        <v>3.1212787441402799E-4</v>
      </c>
      <c r="AE69" s="305">
        <f t="shared" si="12"/>
        <v>0.7</v>
      </c>
      <c r="AF69" s="177">
        <f t="shared" si="21"/>
        <v>5.6849347875451706E-3</v>
      </c>
      <c r="AG69" s="919">
        <f t="shared" si="22"/>
        <v>-1</v>
      </c>
      <c r="AH69" s="176">
        <f t="shared" si="13"/>
        <v>5</v>
      </c>
      <c r="AI69" s="225">
        <f t="shared" si="23"/>
        <v>-0.99431506521245483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8">
        <v>13.7</v>
      </c>
      <c r="C70" s="390"/>
      <c r="D70" s="393">
        <f t="shared" si="0"/>
        <v>13.894309075639935</v>
      </c>
      <c r="E70" s="385">
        <f t="shared" si="17"/>
        <v>14.907366114585706</v>
      </c>
      <c r="F70" s="385">
        <f t="shared" si="1"/>
        <v>14.907565870744872</v>
      </c>
      <c r="G70" s="110">
        <f t="shared" si="18"/>
        <v>0.32992859704505278</v>
      </c>
      <c r="H70" s="412" t="b">
        <f>Wh_hp&gt;='2019'!Maxi_hp</f>
        <v>0</v>
      </c>
      <c r="I70" s="380">
        <f>IF(H70,Wh_hp,'2019'!Maxi_hp)</f>
        <v>44.223095559004854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1.3984795831309516E-2</v>
      </c>
      <c r="M70" s="957"/>
      <c r="N70" s="957"/>
      <c r="O70" s="48">
        <f>IF(t&lt;Tnet,'2019'!Resal+('2019'!Salim-'2019'!Resal)*(1-EXP(('2019'!Tnet-t)/('2019'!Tau_j))),Resal+(Salim-Resal)*(1-EXP((Tnet-t)/(Tau_j))))*Salcycl</f>
        <v>6.7956809483237415E-2</v>
      </c>
      <c r="P70" s="169">
        <f>(INDEX(Models!$BJ70:$BT70,,T70)*(1-R70)+INDEX(Models!$BJ70:$BT70,,T70+1)*R70-ERP_i)*Q70*Ramure*Pc/MaxiM</f>
        <v>3.1237456068483165E-4</v>
      </c>
      <c r="Q70" s="305">
        <f t="shared" si="2"/>
        <v>0.7</v>
      </c>
      <c r="R70" s="177">
        <f t="shared" si="3"/>
        <v>5.9475445796812743E-3</v>
      </c>
      <c r="S70" s="919">
        <f t="shared" si="4"/>
        <v>-1</v>
      </c>
      <c r="T70" s="176">
        <f t="shared" si="5"/>
        <v>5</v>
      </c>
      <c r="U70" s="251">
        <f t="shared" si="20"/>
        <v>-0.99405245542031873</v>
      </c>
      <c r="V70" s="383">
        <f t="shared" si="6"/>
        <v>41.511721358797239</v>
      </c>
      <c r="W70" s="402"/>
      <c r="X70" s="157">
        <f t="shared" si="7"/>
        <v>43886</v>
      </c>
      <c r="Y70" s="385">
        <f t="shared" si="8"/>
        <v>13.7</v>
      </c>
      <c r="Z70" s="385">
        <f t="shared" si="9"/>
        <v>13.894309075639935</v>
      </c>
      <c r="AA70" s="386">
        <f t="shared" si="10"/>
        <v>14.907366114585706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6.7956809483237415E-2</v>
      </c>
      <c r="AD70" s="231">
        <f>(INDEX(Models!$BJ70:$BT70,,AH70)*(1-AF70)+INDEX(Models!$BJ70:$BT70,,AH70+1)*AF70-ERP_i)*AE70*Ramure*Pc/MaxiM</f>
        <v>3.1237456068483165E-4</v>
      </c>
      <c r="AE70" s="305">
        <f t="shared" si="12"/>
        <v>0.7</v>
      </c>
      <c r="AF70" s="177">
        <f t="shared" si="21"/>
        <v>5.9475445796812743E-3</v>
      </c>
      <c r="AG70" s="919">
        <f t="shared" si="22"/>
        <v>-1</v>
      </c>
      <c r="AH70" s="176">
        <f t="shared" si="13"/>
        <v>5</v>
      </c>
      <c r="AI70" s="225">
        <f t="shared" si="23"/>
        <v>-0.99405245542031873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8">
        <v>15.178000000000001</v>
      </c>
      <c r="C71" s="390"/>
      <c r="D71" s="393">
        <f t="shared" si="0"/>
        <v>15.393608922320372</v>
      </c>
      <c r="E71" s="385">
        <f t="shared" si="17"/>
        <v>16.516841101524673</v>
      </c>
      <c r="F71" s="385">
        <f t="shared" si="1"/>
        <v>16.517306381221825</v>
      </c>
      <c r="G71" s="110">
        <f t="shared" si="18"/>
        <v>0.36301099100260176</v>
      </c>
      <c r="H71" s="412" t="b">
        <f>Wh_hp&gt;='2019'!Maxi_hp</f>
        <v>0</v>
      </c>
      <c r="I71" s="380">
        <f>IF(H71,Wh_hp,'2019'!Maxi_hp)</f>
        <v>41.92251127675177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1.4006392094822129E-2</v>
      </c>
      <c r="M71" s="957"/>
      <c r="N71" s="957"/>
      <c r="O71" s="48">
        <f>IF(t&lt;Tnet,'2019'!Resal+('2019'!Salim-'2019'!Resal)*(1-EXP(('2019'!Tnet-t)/('2019'!Tau_j))),Resal+(Salim-Resal)*(1-EXP((Tnet-t)/(Tau_j))))*Salcycl</f>
        <v>6.8005266400523373E-2</v>
      </c>
      <c r="P71" s="169">
        <f>(INDEX(Models!$BJ71:$BT71,,T71)*(1-R71)+INDEX(Models!$BJ71:$BT71,,T71+1)*R71-ERP_i)*Q71*Ramure*Pc/MaxiM</f>
        <v>3.124249857195315E-4</v>
      </c>
      <c r="Q71" s="305">
        <f t="shared" si="2"/>
        <v>0.7</v>
      </c>
      <c r="R71" s="177">
        <f t="shared" si="3"/>
        <v>6.2208748352465815E-3</v>
      </c>
      <c r="S71" s="919">
        <f t="shared" si="4"/>
        <v>-1</v>
      </c>
      <c r="T71" s="176">
        <f t="shared" si="5"/>
        <v>5</v>
      </c>
      <c r="U71" s="251">
        <f t="shared" si="20"/>
        <v>-0.99377912516475342</v>
      </c>
      <c r="V71" s="383">
        <f t="shared" si="6"/>
        <v>41.799520732408119</v>
      </c>
      <c r="W71" s="402"/>
      <c r="X71" s="157">
        <f t="shared" si="7"/>
        <v>43887</v>
      </c>
      <c r="Y71" s="385">
        <f t="shared" si="8"/>
        <v>15.178000000000003</v>
      </c>
      <c r="Z71" s="385">
        <f t="shared" si="9"/>
        <v>15.393608922320373</v>
      </c>
      <c r="AA71" s="386">
        <f t="shared" si="10"/>
        <v>16.516841101524673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6.8005266400523373E-2</v>
      </c>
      <c r="AD71" s="231">
        <f>(INDEX(Models!$BJ71:$BT71,,AH71)*(1-AF71)+INDEX(Models!$BJ71:$BT71,,AH71+1)*AF71-ERP_i)*AE71*Ramure*Pc/MaxiM</f>
        <v>3.124249857195315E-4</v>
      </c>
      <c r="AE71" s="305">
        <f t="shared" si="12"/>
        <v>0.7</v>
      </c>
      <c r="AF71" s="177">
        <f t="shared" si="21"/>
        <v>6.2208748352465815E-3</v>
      </c>
      <c r="AG71" s="919">
        <f t="shared" si="22"/>
        <v>-1</v>
      </c>
      <c r="AH71" s="176">
        <f t="shared" si="13"/>
        <v>5</v>
      </c>
      <c r="AI71" s="225">
        <f t="shared" si="23"/>
        <v>-0.99377912516475342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8">
        <v>4.6109999999999998</v>
      </c>
      <c r="C72" s="390"/>
      <c r="D72" s="393">
        <f t="shared" si="0"/>
        <v>4.6766033349268055</v>
      </c>
      <c r="E72" s="385">
        <f t="shared" si="17"/>
        <v>5.0181036638102405</v>
      </c>
      <c r="F72" s="385">
        <f t="shared" si="1"/>
        <v>5.0181036638102405</v>
      </c>
      <c r="G72" s="110">
        <f t="shared" si="18"/>
        <v>0.1095280128450901</v>
      </c>
      <c r="H72" s="412" t="b">
        <f>Wh_hp&gt;='2019'!Maxi_hp</f>
        <v>0</v>
      </c>
      <c r="I72" s="380">
        <f>IF(H72,Wh_hp,'2019'!Maxi_hp)</f>
        <v>44.962572405256154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1.4027987885321114E-2</v>
      </c>
      <c r="M72" s="957"/>
      <c r="N72" s="957"/>
      <c r="O72" s="48">
        <f>IF(t&lt;Tnet,'2019'!Resal+('2019'!Salim-'2019'!Resal)*(1-EXP(('2019'!Tnet-t)/('2019'!Tau_j))),Resal+(Salim-Resal)*(1-EXP((Tnet-t)/(Tau_j))))*Salcycl</f>
        <v>6.8053661654357653E-2</v>
      </c>
      <c r="P72" s="169">
        <f>(INDEX(Models!$BJ72:$BT72,,T72)*(1-R72)+INDEX(Models!$BJ72:$BT72,,T72+1)*R72-ERP_i)*Q72*Ramure*Pc/MaxiM</f>
        <v>3.1153054133639283E-4</v>
      </c>
      <c r="Q72" s="305">
        <f t="shared" si="2"/>
        <v>0.7</v>
      </c>
      <c r="R72" s="177">
        <f t="shared" si="3"/>
        <v>6.5053504300567333E-3</v>
      </c>
      <c r="S72" s="919">
        <f t="shared" si="4"/>
        <v>-1</v>
      </c>
      <c r="T72" s="176">
        <f t="shared" si="5"/>
        <v>5</v>
      </c>
      <c r="U72" s="251">
        <f t="shared" si="20"/>
        <v>-0.99349464956994327</v>
      </c>
      <c r="V72" s="383">
        <f t="shared" si="6"/>
        <v>42.085704039873256</v>
      </c>
      <c r="W72" s="402"/>
      <c r="X72" s="157">
        <f t="shared" si="7"/>
        <v>43888</v>
      </c>
      <c r="Y72" s="385">
        <f t="shared" si="8"/>
        <v>4.6109999999999998</v>
      </c>
      <c r="Z72" s="385">
        <f t="shared" si="9"/>
        <v>4.6766033349268055</v>
      </c>
      <c r="AA72" s="386">
        <f t="shared" si="10"/>
        <v>5.0181036638102405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6.8053661654357653E-2</v>
      </c>
      <c r="AD72" s="231">
        <f>(INDEX(Models!$BJ72:$BT72,,AH72)*(1-AF72)+INDEX(Models!$BJ72:$BT72,,AH72+1)*AF72-ERP_i)*AE72*Ramure*Pc/MaxiM</f>
        <v>3.1153054133639283E-4</v>
      </c>
      <c r="AE72" s="305">
        <f t="shared" si="12"/>
        <v>0.7</v>
      </c>
      <c r="AF72" s="177">
        <f t="shared" si="21"/>
        <v>6.5053504300567333E-3</v>
      </c>
      <c r="AG72" s="919">
        <f t="shared" si="22"/>
        <v>-1</v>
      </c>
      <c r="AH72" s="176">
        <f t="shared" si="13"/>
        <v>5</v>
      </c>
      <c r="AI72" s="225">
        <f t="shared" si="23"/>
        <v>-0.99349464956994327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8">
        <v>19.128</v>
      </c>
      <c r="C73" s="390"/>
      <c r="D73" s="393">
        <f t="shared" si="0"/>
        <v>19.400569921291247</v>
      </c>
      <c r="E73" s="385">
        <f t="shared" si="17"/>
        <v>20.818340531431151</v>
      </c>
      <c r="F73" s="385">
        <f t="shared" si="1"/>
        <v>20.819735187713484</v>
      </c>
      <c r="G73" s="110">
        <f t="shared" si="18"/>
        <v>0.45133796770109946</v>
      </c>
      <c r="H73" s="412" t="b">
        <f>Wh_hp&gt;='2019'!Maxi_hp</f>
        <v>0</v>
      </c>
      <c r="I73" s="380">
        <f>IF(H73,Wh_hp,'2019'!Maxi_hp)</f>
        <v>36.538127562643616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1.4049583202816907E-2</v>
      </c>
      <c r="M73" s="957"/>
      <c r="N73" s="957"/>
      <c r="O73" s="48">
        <f>IF(t&lt;Tnet,'2019'!Resal+('2019'!Salim-'2019'!Resal)*(1-EXP(('2019'!Tnet-t)/('2019'!Tau_j))),Resal+(Salim-Resal)*(1-EXP((Tnet-t)/(Tau_j))))*Salcycl</f>
        <v>6.8101999196303775E-2</v>
      </c>
      <c r="P73" s="169">
        <f>(INDEX(Models!$BJ73:$BT73,,T73)*(1-R73)+INDEX(Models!$BJ73:$BT73,,T73+1)*R73-ERP_i)*Q73*Ramure*Pc/MaxiM</f>
        <v>3.0961920203441694E-4</v>
      </c>
      <c r="Q73" s="305">
        <f t="shared" si="2"/>
        <v>0.7</v>
      </c>
      <c r="R73" s="177">
        <f t="shared" si="3"/>
        <v>6.8014120026443914E-3</v>
      </c>
      <c r="S73" s="919">
        <f t="shared" si="4"/>
        <v>-1</v>
      </c>
      <c r="T73" s="176">
        <f t="shared" si="5"/>
        <v>5</v>
      </c>
      <c r="U73" s="251">
        <f t="shared" si="20"/>
        <v>-0.99319858799735561</v>
      </c>
      <c r="V73" s="383">
        <f t="shared" si="6"/>
        <v>42.370374294085721</v>
      </c>
      <c r="W73" s="402"/>
      <c r="X73" s="157">
        <f t="shared" si="7"/>
        <v>43889</v>
      </c>
      <c r="Y73" s="385">
        <f t="shared" si="8"/>
        <v>19.128</v>
      </c>
      <c r="Z73" s="385">
        <f t="shared" si="9"/>
        <v>19.400569921291247</v>
      </c>
      <c r="AA73" s="386">
        <f t="shared" si="10"/>
        <v>20.818340531431151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6.8101999196303775E-2</v>
      </c>
      <c r="AD73" s="231">
        <f>(INDEX(Models!$BJ73:$BT73,,AH73)*(1-AF73)+INDEX(Models!$BJ73:$BT73,,AH73+1)*AF73-ERP_i)*AE73*Ramure*Pc/MaxiM</f>
        <v>3.0961920203441694E-4</v>
      </c>
      <c r="AE73" s="305">
        <f t="shared" si="12"/>
        <v>0.7</v>
      </c>
      <c r="AF73" s="177">
        <f t="shared" si="21"/>
        <v>6.8014120026443914E-3</v>
      </c>
      <c r="AG73" s="919">
        <f t="shared" si="22"/>
        <v>-1</v>
      </c>
      <c r="AH73" s="176">
        <f t="shared" si="13"/>
        <v>5</v>
      </c>
      <c r="AI73" s="225">
        <f t="shared" si="23"/>
        <v>-0.99319858799735561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8">
        <v>15.359</v>
      </c>
      <c r="C74" s="390"/>
      <c r="D74" s="393">
        <f t="shared" si="0"/>
        <v>15.578203677604993</v>
      </c>
      <c r="E74" s="385">
        <f t="shared" si="17"/>
        <v>16.717506498292067</v>
      </c>
      <c r="F74" s="385">
        <f t="shared" si="1"/>
        <v>16.717946637654958</v>
      </c>
      <c r="G74" s="110">
        <f t="shared" si="18"/>
        <v>0.3599856160773317</v>
      </c>
      <c r="H74" s="412" t="b">
        <f>Wh_hp&gt;='2019'!Maxi_hp</f>
        <v>1</v>
      </c>
      <c r="I74" s="380">
        <f>IF(H74,Wh_hp,'2019'!Maxi_hp)</f>
        <v>16.717946637654958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1.4071178047319832E-2</v>
      </c>
      <c r="M74" s="957"/>
      <c r="N74" s="957"/>
      <c r="O74" s="48">
        <f>IF(t&lt;Tnet,'2019'!Resal+('2019'!Salim-'2019'!Resal)*(1-EXP(('2019'!Tnet-t)/('2019'!Tau_j))),Resal+(Salim-Resal)*(1-EXP((Tnet-t)/(Tau_j))))*Salcycl</f>
        <v>6.8150284302474884E-2</v>
      </c>
      <c r="P74" s="169">
        <f>(INDEX(Models!$BJ74:$BT74,,T74)*(1-R74)+INDEX(Models!$BJ74:$BT74,,T74+1)*R74-ERP_i)*Q74*Ramure*Pc/MaxiM</f>
        <v>3.0670992155385217E-4</v>
      </c>
      <c r="Q74" s="305">
        <f t="shared" si="2"/>
        <v>0.7</v>
      </c>
      <c r="R74" s="177">
        <f t="shared" si="3"/>
        <v>7.1095164477031902E-3</v>
      </c>
      <c r="S74" s="919">
        <f t="shared" si="4"/>
        <v>-1</v>
      </c>
      <c r="T74" s="176">
        <f t="shared" si="5"/>
        <v>5</v>
      </c>
      <c r="U74" s="251">
        <f t="shared" si="20"/>
        <v>-0.99289048355229681</v>
      </c>
      <c r="V74" s="383">
        <f t="shared" si="6"/>
        <v>42.653630603745817</v>
      </c>
      <c r="W74" s="402"/>
      <c r="X74" s="157">
        <f t="shared" si="7"/>
        <v>43890</v>
      </c>
      <c r="Y74" s="385">
        <f t="shared" si="8"/>
        <v>15.359</v>
      </c>
      <c r="Z74" s="385">
        <f t="shared" si="9"/>
        <v>15.578203677604993</v>
      </c>
      <c r="AA74" s="386">
        <f t="shared" si="10"/>
        <v>16.717506498292067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6.8150284302474884E-2</v>
      </c>
      <c r="AD74" s="231">
        <f>(INDEX(Models!$BJ74:$BT74,,AH74)*(1-AF74)+INDEX(Models!$BJ74:$BT74,,AH74+1)*AF74-ERP_i)*AE74*Ramure*Pc/MaxiM</f>
        <v>3.0670992155385217E-4</v>
      </c>
      <c r="AE74" s="305">
        <f t="shared" si="12"/>
        <v>0.7</v>
      </c>
      <c r="AF74" s="177">
        <f t="shared" si="21"/>
        <v>7.1095164477031902E-3</v>
      </c>
      <c r="AG74" s="919">
        <f t="shared" si="22"/>
        <v>-1</v>
      </c>
      <c r="AH74" s="176">
        <f t="shared" si="13"/>
        <v>5</v>
      </c>
      <c r="AI74" s="225">
        <f t="shared" si="23"/>
        <v>-0.99289048355229681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8">
        <v>30.271000000000001</v>
      </c>
      <c r="C75" s="390"/>
      <c r="D75" s="393">
        <f t="shared" si="0"/>
        <v>30.703700260183044</v>
      </c>
      <c r="E75" s="385">
        <f t="shared" si="17"/>
        <v>32.950903210421131</v>
      </c>
      <c r="F75" s="385">
        <f t="shared" si="1"/>
        <v>32.956677810715547</v>
      </c>
      <c r="G75" s="110">
        <f t="shared" si="18"/>
        <v>0.70494313353704074</v>
      </c>
      <c r="H75" s="412" t="b">
        <f>Wh_hp&gt;='2019'!Maxi_hp</f>
        <v>1</v>
      </c>
      <c r="I75" s="380">
        <f>IF(H75,Wh_hp,'2019'!Maxi_hp)</f>
        <v>32.956677810715547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1.4092772418840216E-2</v>
      </c>
      <c r="M75" s="957"/>
      <c r="N75" s="957"/>
      <c r="O75" s="48">
        <f>IF(t&lt;Tnet,'2019'!Resal+('2019'!Salim-'2019'!Resal)*(1-EXP(('2019'!Tnet-t)/('2019'!Tau_j))),Resal+(Salim-Resal)*(1-EXP((Tnet-t)/(Tau_j))))*Salcycl</f>
        <v>6.8198523600026331E-2</v>
      </c>
      <c r="P75" s="169">
        <f>(INDEX(Models!$BJ75:$BT75,,T75)*(1-R75)+INDEX(Models!$BJ75:$BT75,,T75+1)*R75-ERP_i)*Q75*Ramure*Pc/MaxiM</f>
        <v>3.0282101564782363E-4</v>
      </c>
      <c r="Q75" s="305">
        <f t="shared" si="2"/>
        <v>0.7</v>
      </c>
      <c r="R75" s="177">
        <f t="shared" si="3"/>
        <v>7.4301374169647438E-3</v>
      </c>
      <c r="S75" s="919">
        <f t="shared" si="4"/>
        <v>-1</v>
      </c>
      <c r="T75" s="176">
        <f t="shared" si="5"/>
        <v>5</v>
      </c>
      <c r="U75" s="251">
        <f t="shared" si="20"/>
        <v>-0.99256986258303526</v>
      </c>
      <c r="V75" s="383">
        <f t="shared" si="6"/>
        <v>42.935571976815467</v>
      </c>
      <c r="W75" s="402"/>
      <c r="X75" s="157">
        <f t="shared" si="7"/>
        <v>43891</v>
      </c>
      <c r="Y75" s="385">
        <f t="shared" si="8"/>
        <v>30.271000000000001</v>
      </c>
      <c r="Z75" s="385">
        <f t="shared" si="9"/>
        <v>30.703700260183044</v>
      </c>
      <c r="AA75" s="386">
        <f t="shared" si="10"/>
        <v>32.950903210421131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6.8198523600026331E-2</v>
      </c>
      <c r="AD75" s="231">
        <f>(INDEX(Models!$BJ75:$BT75,,AH75)*(1-AF75)+INDEX(Models!$BJ75:$BT75,,AH75+1)*AF75-ERP_i)*AE75*Ramure*Pc/MaxiM</f>
        <v>3.0282101564782363E-4</v>
      </c>
      <c r="AE75" s="305">
        <f t="shared" si="12"/>
        <v>0.7</v>
      </c>
      <c r="AF75" s="177">
        <f t="shared" si="21"/>
        <v>7.4301374169647438E-3</v>
      </c>
      <c r="AG75" s="919">
        <f t="shared" si="22"/>
        <v>-1</v>
      </c>
      <c r="AH75" s="176">
        <f t="shared" si="13"/>
        <v>5</v>
      </c>
      <c r="AI75" s="225">
        <f t="shared" si="23"/>
        <v>-0.99256986258303526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8">
        <v>21.905999999999999</v>
      </c>
      <c r="C76" s="390"/>
      <c r="D76" s="393">
        <f t="shared" si="0"/>
        <v>22.219615796787487</v>
      </c>
      <c r="E76" s="385">
        <f t="shared" si="17"/>
        <v>23.847102441145946</v>
      </c>
      <c r="F76" s="385">
        <f t="shared" si="1"/>
        <v>23.84920279554024</v>
      </c>
      <c r="G76" s="110">
        <f t="shared" si="18"/>
        <v>0.50678569980045873</v>
      </c>
      <c r="H76" s="412" t="b">
        <f>Wh_hp&gt;='2019'!Maxi_hp</f>
        <v>0</v>
      </c>
      <c r="I76" s="380">
        <f>IF(H76,Wh_hp,'2019'!Maxi_hp)</f>
        <v>39.881954773703235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1.4114366317388383E-2</v>
      </c>
      <c r="M76" s="957"/>
      <c r="N76" s="957"/>
      <c r="O76" s="48">
        <f>IF(t&lt;Tnet,'2019'!Resal+('2019'!Salim-'2019'!Resal)*(1-EXP(('2019'!Tnet-t)/('2019'!Tau_j))),Resal+(Salim-Resal)*(1-EXP((Tnet-t)/(Tau_j))))*Salcycl</f>
        <v>6.8246725084318158E-2</v>
      </c>
      <c r="P76" s="169">
        <f>(INDEX(Models!$BJ76:$BT76,,T76)*(1-R76)+INDEX(Models!$BJ76:$BT76,,T76+1)*R76-ERP_i)*Q76*Ramure*Pc/MaxiM</f>
        <v>2.9797019898910606E-4</v>
      </c>
      <c r="Q76" s="305">
        <f t="shared" si="2"/>
        <v>0.7</v>
      </c>
      <c r="R76" s="177">
        <f t="shared" si="3"/>
        <v>7.7637658268225884E-3</v>
      </c>
      <c r="S76" s="919">
        <f t="shared" si="4"/>
        <v>-1</v>
      </c>
      <c r="T76" s="176">
        <f t="shared" si="5"/>
        <v>5</v>
      </c>
      <c r="U76" s="251">
        <f t="shared" si="20"/>
        <v>-0.99223623417317741</v>
      </c>
      <c r="V76" s="383">
        <f t="shared" si="6"/>
        <v>43.216297319840578</v>
      </c>
      <c r="W76" s="402"/>
      <c r="X76" s="157">
        <f t="shared" si="7"/>
        <v>43892</v>
      </c>
      <c r="Y76" s="385">
        <f t="shared" si="8"/>
        <v>21.905999999999999</v>
      </c>
      <c r="Z76" s="385">
        <f t="shared" si="9"/>
        <v>22.219615796787487</v>
      </c>
      <c r="AA76" s="386">
        <f t="shared" si="10"/>
        <v>23.847102441145946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6.8246725084318158E-2</v>
      </c>
      <c r="AD76" s="231">
        <f>(INDEX(Models!$BJ76:$BT76,,AH76)*(1-AF76)+INDEX(Models!$BJ76:$BT76,,AH76+1)*AF76-ERP_i)*AE76*Ramure*Pc/MaxiM</f>
        <v>2.9797019898910606E-4</v>
      </c>
      <c r="AE76" s="305">
        <f t="shared" si="12"/>
        <v>0.7</v>
      </c>
      <c r="AF76" s="177">
        <f t="shared" si="21"/>
        <v>7.7637658268225884E-3</v>
      </c>
      <c r="AG76" s="919">
        <f t="shared" si="22"/>
        <v>-1</v>
      </c>
      <c r="AH76" s="176">
        <f t="shared" si="13"/>
        <v>5</v>
      </c>
      <c r="AI76" s="225">
        <f t="shared" si="23"/>
        <v>-0.99223623417317741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8">
        <v>5.0540000000000003</v>
      </c>
      <c r="C77" s="390"/>
      <c r="D77" s="393">
        <f t="shared" si="0"/>
        <v>5.1264675387514584</v>
      </c>
      <c r="E77" s="385">
        <f t="shared" si="17"/>
        <v>5.5022426392690731</v>
      </c>
      <c r="F77" s="385">
        <f t="shared" si="1"/>
        <v>5.5022426392690731</v>
      </c>
      <c r="G77" s="110">
        <f t="shared" si="18"/>
        <v>0.11616089604410421</v>
      </c>
      <c r="H77" s="412" t="b">
        <f>Wh_hp&gt;='2019'!Maxi_hp</f>
        <v>0</v>
      </c>
      <c r="I77" s="380">
        <f>IF(H77,Wh_hp,'2019'!Maxi_hp)</f>
        <v>11.224875654172628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1.413595974297488E-2</v>
      </c>
      <c r="M77" s="957"/>
      <c r="N77" s="957"/>
      <c r="O77" s="48">
        <f>IF(t&lt;Tnet,'2019'!Resal+('2019'!Salim-'2019'!Resal)*(1-EXP(('2019'!Tnet-t)/('2019'!Tau_j))),Resal+(Salim-Resal)*(1-EXP((Tnet-t)/(Tau_j))))*Salcycl</f>
        <v>6.829489812676337E-2</v>
      </c>
      <c r="P77" s="169">
        <f>(INDEX(Models!$BJ77:$BT77,,T77)*(1-R77)+INDEX(Models!$BJ77:$BT77,,T77+1)*R77-ERP_i)*Q77*Ramure*Pc/MaxiM</f>
        <v>2.9217461483555473E-4</v>
      </c>
      <c r="Q77" s="305">
        <f t="shared" si="2"/>
        <v>0.7</v>
      </c>
      <c r="R77" s="177">
        <f t="shared" si="3"/>
        <v>8.1109103719209097E-3</v>
      </c>
      <c r="S77" s="919">
        <f t="shared" si="4"/>
        <v>-1</v>
      </c>
      <c r="T77" s="176">
        <f t="shared" si="5"/>
        <v>5</v>
      </c>
      <c r="U77" s="251">
        <f t="shared" si="20"/>
        <v>-0.99188908962807909</v>
      </c>
      <c r="V77" s="383">
        <f t="shared" si="6"/>
        <v>43.495905434288908</v>
      </c>
      <c r="W77" s="402"/>
      <c r="X77" s="157">
        <f t="shared" si="7"/>
        <v>43893</v>
      </c>
      <c r="Y77" s="385">
        <f t="shared" si="8"/>
        <v>5.0540000000000003</v>
      </c>
      <c r="Z77" s="385">
        <f t="shared" si="9"/>
        <v>5.1264675387514584</v>
      </c>
      <c r="AA77" s="386">
        <f t="shared" si="10"/>
        <v>5.5022426392690731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6.829489812676337E-2</v>
      </c>
      <c r="AD77" s="231">
        <f>(INDEX(Models!$BJ77:$BT77,,AH77)*(1-AF77)+INDEX(Models!$BJ77:$BT77,,AH77+1)*AF77-ERP_i)*AE77*Ramure*Pc/MaxiM</f>
        <v>2.9217461483555473E-4</v>
      </c>
      <c r="AE77" s="305">
        <f t="shared" si="12"/>
        <v>0.7</v>
      </c>
      <c r="AF77" s="177">
        <f t="shared" si="21"/>
        <v>8.1109103719209097E-3</v>
      </c>
      <c r="AG77" s="919">
        <f t="shared" si="22"/>
        <v>-1</v>
      </c>
      <c r="AH77" s="176">
        <f t="shared" si="13"/>
        <v>5</v>
      </c>
      <c r="AI77" s="225">
        <f t="shared" si="23"/>
        <v>-0.99188908962807909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8">
        <v>7.1740000000000004</v>
      </c>
      <c r="C78" s="390"/>
      <c r="D78" s="393">
        <f t="shared" si="0"/>
        <v>7.2770248629646854</v>
      </c>
      <c r="E78" s="385">
        <f t="shared" si="17"/>
        <v>7.8108416301680492</v>
      </c>
      <c r="F78" s="385">
        <f t="shared" si="1"/>
        <v>7.8108416301680492</v>
      </c>
      <c r="G78" s="110">
        <f t="shared" si="18"/>
        <v>0.163838604485158</v>
      </c>
      <c r="H78" s="412" t="b">
        <f>Wh_hp&gt;='2019'!Maxi_hp</f>
        <v>0</v>
      </c>
      <c r="I78" s="380">
        <f>IF(H78,Wh_hp,'2019'!Maxi_hp)</f>
        <v>47.032781812856342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1.415755269560981E-2</v>
      </c>
      <c r="M78" s="957"/>
      <c r="N78" s="957"/>
      <c r="O78" s="48">
        <f>IF(t&lt;Tnet,'2019'!Resal+('2019'!Salim-'2019'!Resal)*(1-EXP(('2019'!Tnet-t)/('2019'!Tau_j))),Resal+(Salim-Resal)*(1-EXP((Tnet-t)/(Tau_j))))*Salcycl</f>
        <v>6.8343053473467807E-2</v>
      </c>
      <c r="P78" s="169">
        <f>(INDEX(Models!$BJ78:$BT78,,T78)*(1-R78)+INDEX(Models!$BJ78:$BT78,,T78+1)*R78-ERP_i)*Q78*Ramure*Pc/MaxiM</f>
        <v>2.8545085780846399E-4</v>
      </c>
      <c r="Q78" s="305">
        <f t="shared" si="2"/>
        <v>0.7</v>
      </c>
      <c r="R78" s="177">
        <f t="shared" si="3"/>
        <v>8.472098043816545E-3</v>
      </c>
      <c r="S78" s="919">
        <f t="shared" si="4"/>
        <v>-1</v>
      </c>
      <c r="T78" s="176">
        <f t="shared" si="5"/>
        <v>5</v>
      </c>
      <c r="U78" s="251">
        <f t="shared" si="20"/>
        <v>-0.99152790195618346</v>
      </c>
      <c r="V78" s="383">
        <f t="shared" si="6"/>
        <v>43.774495016501341</v>
      </c>
      <c r="W78" s="402"/>
      <c r="X78" s="157">
        <f t="shared" si="7"/>
        <v>43894</v>
      </c>
      <c r="Y78" s="385">
        <f t="shared" si="8"/>
        <v>7.1740000000000004</v>
      </c>
      <c r="Z78" s="385">
        <f t="shared" si="9"/>
        <v>7.2770248629646854</v>
      </c>
      <c r="AA78" s="386">
        <f t="shared" si="10"/>
        <v>7.8108416301680492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6.8343053473467807E-2</v>
      </c>
      <c r="AD78" s="231">
        <f>(INDEX(Models!$BJ78:$BT78,,AH78)*(1-AF78)+INDEX(Models!$BJ78:$BT78,,AH78+1)*AF78-ERP_i)*AE78*Ramure*Pc/MaxiM</f>
        <v>2.8545085780846399E-4</v>
      </c>
      <c r="AE78" s="305">
        <f t="shared" si="12"/>
        <v>0.7</v>
      </c>
      <c r="AF78" s="177">
        <f t="shared" si="21"/>
        <v>8.472098043816545E-3</v>
      </c>
      <c r="AG78" s="919">
        <f t="shared" si="22"/>
        <v>-1</v>
      </c>
      <c r="AH78" s="176">
        <f t="shared" si="13"/>
        <v>5</v>
      </c>
      <c r="AI78" s="225">
        <f t="shared" si="23"/>
        <v>-0.99152790195618346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8">
        <v>10.196</v>
      </c>
      <c r="C79" s="390"/>
      <c r="D79" s="393">
        <f t="shared" ref="D79:D142" si="24">Wh/(1-Ppv)</f>
        <v>10.342649934924642</v>
      </c>
      <c r="E79" s="385">
        <f t="shared" si="17"/>
        <v>11.101923866367274</v>
      </c>
      <c r="F79" s="385">
        <f t="shared" ref="F79:F142" si="25">Wh_sa/(1-Pvg*MEDIAN((-Sdif+Wh/Env_an)/Csdif,0,1))</f>
        <v>11.101923866367274</v>
      </c>
      <c r="G79" s="110">
        <f t="shared" si="18"/>
        <v>0.23138649290668198</v>
      </c>
      <c r="H79" s="412" t="b">
        <f>Wh_hp&gt;='2019'!Maxi_hp</f>
        <v>0</v>
      </c>
      <c r="I79" s="380">
        <f>IF(H79,Wh_hp,'2019'!Maxi_hp)</f>
        <v>24.181479709212134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1.417914517530372E-2</v>
      </c>
      <c r="M79" s="957"/>
      <c r="N79" s="957"/>
      <c r="O79" s="48">
        <f>IF(t&lt;Tnet,'2019'!Resal+('2019'!Salim-'2019'!Resal)*(1-EXP(('2019'!Tnet-t)/('2019'!Tau_j))),Resal+(Salim-Resal)*(1-EXP((Tnet-t)/(Tau_j))))*Salcycl</f>
        <v>6.8391203234856798E-2</v>
      </c>
      <c r="P79" s="169">
        <f>(INDEX(Models!$BJ79:$BT79,,T79)*(1-R79)+INDEX(Models!$BJ79:$BT79,,T79+1)*R79-ERP_i)*Q79*Ramure*Pc/MaxiM</f>
        <v>2.7781249603627163E-4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8.8478746537146158E-3</v>
      </c>
      <c r="S79" s="919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-0.99115212534628538</v>
      </c>
      <c r="V79" s="383">
        <f t="shared" ref="V79:V142" si="32">MaxiM*(1-Ppv)*(1-Pvg)*(1-Psa)</f>
        <v>44.052560267211931</v>
      </c>
      <c r="W79" s="402"/>
      <c r="X79" s="157">
        <f t="shared" ref="X79:X142" si="33">t</f>
        <v>43895</v>
      </c>
      <c r="Y79" s="385">
        <f t="shared" ref="Y79:Y142" si="34">Wh_pvt_s*(1-Ppv)</f>
        <v>10.196</v>
      </c>
      <c r="Z79" s="385">
        <f t="shared" ref="Z79:Z142" si="35">Wh_sa_s*(1-Psa_s)</f>
        <v>10.342649934924642</v>
      </c>
      <c r="AA79" s="386">
        <f t="shared" ref="AA79:AA142" si="36">Wh_hp*(1-Pvg_s*MEDIAN((-Sdif+Wh/Env_an)/Csdif,0,1))</f>
        <v>11.101923866367274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6.8391203234856798E-2</v>
      </c>
      <c r="AD79" s="231">
        <f>(INDEX(Models!$BJ79:$BT79,,AH79)*(1-AF79)+INDEX(Models!$BJ79:$BT79,,AH79+1)*AF79-ERP_i)*AE79*Ramure*Pc/MaxiM</f>
        <v>2.7781249603627163E-4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8.8478746537146158E-3</v>
      </c>
      <c r="AG79" s="919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-0.99115212534628538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8">
        <v>17.263000000000002</v>
      </c>
      <c r="C80" s="390"/>
      <c r="D80" s="393">
        <f t="shared" si="24"/>
        <v>17.511678747510182</v>
      </c>
      <c r="E80" s="385">
        <f t="shared" ref="E80:E143" si="45">Wh_pvt/(1-Psa)</f>
        <v>18.798216682705778</v>
      </c>
      <c r="F80" s="385">
        <f t="shared" si="25"/>
        <v>18.798863347465527</v>
      </c>
      <c r="G80" s="110">
        <f t="shared" ref="G80:G143" si="46">+Wh_hp/MaxiM</f>
        <v>0.38932587787994505</v>
      </c>
      <c r="H80" s="412" t="b">
        <f>Wh_hp&gt;='2019'!Maxi_hp</f>
        <v>0</v>
      </c>
      <c r="I80" s="380">
        <f>IF(H80,Wh_hp,'2019'!Maxi_hp)</f>
        <v>43.018931785268983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1.4200737182066936E-2</v>
      </c>
      <c r="M80" s="957"/>
      <c r="N80" s="957"/>
      <c r="O80" s="48">
        <f>IF(t&lt;Tnet,'2019'!Resal+('2019'!Salim-'2019'!Resal)*(1-EXP(('2019'!Tnet-t)/('2019'!Tau_j))),Resal+(Salim-Resal)*(1-EXP((Tnet-t)/(Tau_j))))*Salcycl</f>
        <v>6.843936086656574E-2</v>
      </c>
      <c r="P80" s="169">
        <f>(INDEX(Models!$BJ80:$BT80,,T80)*(1-R80)+INDEX(Models!$BJ80:$BT80,,T80+1)*R80-ERP_i)*Q80*Ramure*Pc/MaxiM</f>
        <v>2.6929223872118423E-4</v>
      </c>
      <c r="Q80" s="305">
        <f t="shared" si="27"/>
        <v>0.7</v>
      </c>
      <c r="R80" s="177">
        <f t="shared" si="28"/>
        <v>9.2388053581502483E-3</v>
      </c>
      <c r="S80" s="919">
        <f t="shared" si="29"/>
        <v>-1</v>
      </c>
      <c r="T80" s="176">
        <f t="shared" si="30"/>
        <v>5</v>
      </c>
      <c r="U80" s="251">
        <f t="shared" si="31"/>
        <v>-0.99076119464184975</v>
      </c>
      <c r="V80" s="383">
        <f t="shared" si="32"/>
        <v>44.330330660147609</v>
      </c>
      <c r="W80" s="402"/>
      <c r="X80" s="157">
        <f t="shared" si="33"/>
        <v>43896</v>
      </c>
      <c r="Y80" s="385">
        <f t="shared" si="34"/>
        <v>17.263000000000002</v>
      </c>
      <c r="Z80" s="385">
        <f t="shared" si="35"/>
        <v>17.511678747510182</v>
      </c>
      <c r="AA80" s="386">
        <f t="shared" si="36"/>
        <v>18.798216682705778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6.843936086656574E-2</v>
      </c>
      <c r="AD80" s="231">
        <f>(INDEX(Models!$BJ80:$BT80,,AH80)*(1-AF80)+INDEX(Models!$BJ80:$BT80,,AH80+1)*AF80-ERP_i)*AE80*Ramure*Pc/MaxiM</f>
        <v>2.6929223872118423E-4</v>
      </c>
      <c r="AE80" s="305">
        <f t="shared" si="38"/>
        <v>0.7</v>
      </c>
      <c r="AF80" s="177">
        <f t="shared" si="39"/>
        <v>9.2388053581502483E-3</v>
      </c>
      <c r="AG80" s="919">
        <f t="shared" ref="AG80:AG143" si="47">INDEX(Echel_vg,AH80)</f>
        <v>-1</v>
      </c>
      <c r="AH80" s="176">
        <f t="shared" si="40"/>
        <v>5</v>
      </c>
      <c r="AI80" s="225">
        <f t="shared" si="41"/>
        <v>-0.99076119464184975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8">
        <v>29.140999999999998</v>
      </c>
      <c r="C81" s="390"/>
      <c r="D81" s="393">
        <f t="shared" si="24"/>
        <v>29.561432409034435</v>
      </c>
      <c r="E81" s="385">
        <f t="shared" si="45"/>
        <v>31.734876037271739</v>
      </c>
      <c r="F81" s="385">
        <f t="shared" si="25"/>
        <v>31.739043805297161</v>
      </c>
      <c r="G81" s="110">
        <f t="shared" si="46"/>
        <v>0.65319164561043641</v>
      </c>
      <c r="H81" s="412" t="b">
        <f>Wh_hp&gt;='2019'!Maxi_hp</f>
        <v>1</v>
      </c>
      <c r="I81" s="380">
        <f>IF(H81,Wh_hp,'2019'!Maxi_hp)</f>
        <v>31.739043805297161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1.4222328715909782E-2</v>
      </c>
      <c r="M81" s="957"/>
      <c r="N81" s="957"/>
      <c r="O81" s="48">
        <f>IF(t&lt;Tnet,'2019'!Resal+('2019'!Salim-'2019'!Resal)*(1-EXP(('2019'!Tnet-t)/('2019'!Tau_j))),Resal+(Salim-Resal)*(1-EXP((Tnet-t)/(Tau_j))))*Salcycl</f>
        <v>6.848754114194909E-2</v>
      </c>
      <c r="P81" s="169">
        <f>(INDEX(Models!$BJ81:$BT81,,T81)*(1-R81)+INDEX(Models!$BJ81:$BT81,,T81+1)*R81-ERP_i)*Q81*Ramure*Pc/MaxiM</f>
        <v>2.6019191054353717E-4</v>
      </c>
      <c r="Q81" s="305">
        <f t="shared" si="27"/>
        <v>0.7</v>
      </c>
      <c r="R81" s="177">
        <f t="shared" si="28"/>
        <v>9.645475186360275E-3</v>
      </c>
      <c r="S81" s="919">
        <f t="shared" si="29"/>
        <v>-1</v>
      </c>
      <c r="T81" s="176">
        <f t="shared" si="30"/>
        <v>5</v>
      </c>
      <c r="U81" s="251">
        <f t="shared" si="31"/>
        <v>-0.99035452481363972</v>
      </c>
      <c r="V81" s="383">
        <f t="shared" si="32"/>
        <v>44.607496222061712</v>
      </c>
      <c r="W81" s="402"/>
      <c r="X81" s="157">
        <f t="shared" si="33"/>
        <v>43897</v>
      </c>
      <c r="Y81" s="385">
        <f t="shared" si="34"/>
        <v>29.140999999999998</v>
      </c>
      <c r="Z81" s="385">
        <f t="shared" si="35"/>
        <v>29.561432409034435</v>
      </c>
      <c r="AA81" s="386">
        <f t="shared" si="36"/>
        <v>31.734876037271739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6.848754114194909E-2</v>
      </c>
      <c r="AD81" s="231">
        <f>(INDEX(Models!$BJ81:$BT81,,AH81)*(1-AF81)+INDEX(Models!$BJ81:$BT81,,AH81+1)*AF81-ERP_i)*AE81*Ramure*Pc/MaxiM</f>
        <v>2.6019191054353717E-4</v>
      </c>
      <c r="AE81" s="305">
        <f t="shared" si="38"/>
        <v>0.7</v>
      </c>
      <c r="AF81" s="177">
        <f t="shared" si="39"/>
        <v>9.645475186360275E-3</v>
      </c>
      <c r="AG81" s="919">
        <f t="shared" si="47"/>
        <v>-1</v>
      </c>
      <c r="AH81" s="176">
        <f t="shared" si="40"/>
        <v>5</v>
      </c>
      <c r="AI81" s="225">
        <f t="shared" si="41"/>
        <v>-0.99035452481363972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8">
        <v>33.134999999999998</v>
      </c>
      <c r="C82" s="390"/>
      <c r="D82" s="393">
        <f t="shared" si="24"/>
        <v>33.613792158906925</v>
      </c>
      <c r="E82" s="385">
        <f t="shared" si="45"/>
        <v>36.087045234410553</v>
      </c>
      <c r="F82" s="385">
        <f t="shared" si="25"/>
        <v>36.092706072702597</v>
      </c>
      <c r="G82" s="110">
        <f t="shared" si="46"/>
        <v>0.73817112516304573</v>
      </c>
      <c r="H82" s="412" t="b">
        <f>Wh_hp&gt;='2019'!Maxi_hp</f>
        <v>1</v>
      </c>
      <c r="I82" s="380">
        <f>IF(H82,Wh_hp,'2019'!Maxi_hp)</f>
        <v>36.092706072702597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1.4243919776842584E-2</v>
      </c>
      <c r="M82" s="957"/>
      <c r="N82" s="957"/>
      <c r="O82" s="48">
        <f>IF(t&lt;Tnet,'2019'!Resal+('2019'!Salim-'2019'!Resal)*(1-EXP(('2019'!Tnet-t)/('2019'!Tau_j))),Resal+(Salim-Resal)*(1-EXP((Tnet-t)/(Tau_j))))*Salcycl</f>
        <v>6.8535760116632496E-2</v>
      </c>
      <c r="P82" s="169">
        <f>(INDEX(Models!$BJ82:$BT82,,T82)*(1-R82)+INDEX(Models!$BJ82:$BT82,,T82+1)*R82-ERP_i)*Q82*Ramure*Pc/MaxiM</f>
        <v>2.5052267298361256E-4</v>
      </c>
      <c r="Q82" s="305">
        <f t="shared" si="27"/>
        <v>0.7</v>
      </c>
      <c r="R82" s="177">
        <f t="shared" si="28"/>
        <v>1.0068489567947259E-2</v>
      </c>
      <c r="S82" s="919">
        <f t="shared" si="29"/>
        <v>-1</v>
      </c>
      <c r="T82" s="176">
        <f t="shared" si="30"/>
        <v>5</v>
      </c>
      <c r="U82" s="251">
        <f t="shared" si="31"/>
        <v>-0.98993151043205274</v>
      </c>
      <c r="V82" s="383">
        <f t="shared" si="32"/>
        <v>44.883759689024828</v>
      </c>
      <c r="W82" s="402"/>
      <c r="X82" s="157">
        <f t="shared" si="33"/>
        <v>43898</v>
      </c>
      <c r="Y82" s="385">
        <f t="shared" si="34"/>
        <v>33.134999999999998</v>
      </c>
      <c r="Z82" s="385">
        <f t="shared" si="35"/>
        <v>33.613792158906925</v>
      </c>
      <c r="AA82" s="386">
        <f t="shared" si="36"/>
        <v>36.087045234410553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6.8535760116632496E-2</v>
      </c>
      <c r="AD82" s="231">
        <f>(INDEX(Models!$BJ82:$BT82,,AH82)*(1-AF82)+INDEX(Models!$BJ82:$BT82,,AH82+1)*AF82-ERP_i)*AE82*Ramure*Pc/MaxiM</f>
        <v>2.5052267298361256E-4</v>
      </c>
      <c r="AE82" s="305">
        <f t="shared" si="38"/>
        <v>0.7</v>
      </c>
      <c r="AF82" s="177">
        <f t="shared" si="39"/>
        <v>1.0068489567947259E-2</v>
      </c>
      <c r="AG82" s="919">
        <f t="shared" si="47"/>
        <v>-1</v>
      </c>
      <c r="AH82" s="176">
        <f t="shared" si="40"/>
        <v>5</v>
      </c>
      <c r="AI82" s="225">
        <f t="shared" si="41"/>
        <v>-0.98993151043205274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8">
        <v>24.3</v>
      </c>
      <c r="C83" s="390"/>
      <c r="D83" s="393">
        <f t="shared" si="24"/>
        <v>24.651668634415742</v>
      </c>
      <c r="E83" s="385">
        <f t="shared" si="45"/>
        <v>26.466873623624451</v>
      </c>
      <c r="F83" s="385">
        <f t="shared" si="25"/>
        <v>26.46903706729881</v>
      </c>
      <c r="G83" s="110">
        <f t="shared" si="46"/>
        <v>0.53801548898239271</v>
      </c>
      <c r="H83" s="412" t="b">
        <f>Wh_hp&gt;='2019'!Maxi_hp</f>
        <v>1</v>
      </c>
      <c r="I83" s="380">
        <f>IF(H83,Wh_hp,'2019'!Maxi_hp)</f>
        <v>26.46903706729881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1.4265510364875778E-2</v>
      </c>
      <c r="M83" s="957"/>
      <c r="N83" s="957"/>
      <c r="O83" s="48">
        <f>IF(t&lt;Tnet,'2019'!Resal+('2019'!Salim-'2019'!Resal)*(1-EXP(('2019'!Tnet-t)/('2019'!Tau_j))),Resal+(Salim-Resal)*(1-EXP((Tnet-t)/(Tau_j))))*Salcycl</f>
        <v>6.8584035085596476E-2</v>
      </c>
      <c r="P83" s="169">
        <f>(INDEX(Models!$BJ83:$BT83,,T83)*(1-R83)+INDEX(Models!$BJ83:$BT83,,T83+1)*R83-ERP_i)*Q83*Ramure*Pc/MaxiM</f>
        <v>2.4029492827282552E-4</v>
      </c>
      <c r="Q83" s="305">
        <f t="shared" si="27"/>
        <v>0.7</v>
      </c>
      <c r="R83" s="177">
        <f t="shared" si="28"/>
        <v>1.0508474859283967E-2</v>
      </c>
      <c r="S83" s="919">
        <f t="shared" si="29"/>
        <v>-1</v>
      </c>
      <c r="T83" s="176">
        <f t="shared" si="30"/>
        <v>5</v>
      </c>
      <c r="U83" s="251">
        <f t="shared" si="31"/>
        <v>-0.98949152514071603</v>
      </c>
      <c r="V83" s="383">
        <f t="shared" si="32"/>
        <v>45.15882381365487</v>
      </c>
      <c r="W83" s="402"/>
      <c r="X83" s="157">
        <f t="shared" si="33"/>
        <v>43899</v>
      </c>
      <c r="Y83" s="385">
        <f t="shared" si="34"/>
        <v>24.3</v>
      </c>
      <c r="Z83" s="385">
        <f t="shared" si="35"/>
        <v>24.651668634415742</v>
      </c>
      <c r="AA83" s="386">
        <f t="shared" si="36"/>
        <v>26.466873623624451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6.8584035085596476E-2</v>
      </c>
      <c r="AD83" s="231">
        <f>(INDEX(Models!$BJ83:$BT83,,AH83)*(1-AF83)+INDEX(Models!$BJ83:$BT83,,AH83+1)*AF83-ERP_i)*AE83*Ramure*Pc/MaxiM</f>
        <v>2.4029492827282552E-4</v>
      </c>
      <c r="AE83" s="305">
        <f t="shared" si="38"/>
        <v>0.7</v>
      </c>
      <c r="AF83" s="177">
        <f t="shared" si="39"/>
        <v>1.0508474859283967E-2</v>
      </c>
      <c r="AG83" s="919">
        <f t="shared" si="47"/>
        <v>-1</v>
      </c>
      <c r="AH83" s="176">
        <f t="shared" si="40"/>
        <v>5</v>
      </c>
      <c r="AI83" s="225">
        <f t="shared" si="41"/>
        <v>-0.98949152514071603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8">
        <v>32.557000000000002</v>
      </c>
      <c r="C84" s="390"/>
      <c r="D84" s="393">
        <f t="shared" si="24"/>
        <v>33.028887027708087</v>
      </c>
      <c r="E84" s="385">
        <f t="shared" si="45"/>
        <v>35.462782342028092</v>
      </c>
      <c r="F84" s="385">
        <f t="shared" si="25"/>
        <v>35.467627121653067</v>
      </c>
      <c r="G84" s="110">
        <f t="shared" si="46"/>
        <v>0.71653666858979548</v>
      </c>
      <c r="H84" s="412" t="b">
        <f>Wh_hp&gt;='2019'!Maxi_hp</f>
        <v>1</v>
      </c>
      <c r="I84" s="380">
        <f>IF(H84,Wh_hp,'2019'!Maxi_hp)</f>
        <v>35.467627121653067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1.4287100480019688E-2</v>
      </c>
      <c r="M84" s="957"/>
      <c r="N84" s="957"/>
      <c r="O84" s="48">
        <f>IF(t&lt;Tnet,'2019'!Resal+('2019'!Salim-'2019'!Resal)*(1-EXP(('2019'!Tnet-t)/('2019'!Tau_j))),Resal+(Salim-Resal)*(1-EXP((Tnet-t)/(Tau_j))))*Salcycl</f>
        <v>6.8632384533334145E-2</v>
      </c>
      <c r="P84" s="169">
        <f>(INDEX(Models!$BJ84:$BT84,,T84)*(1-R84)+INDEX(Models!$BJ84:$BT84,,T84+1)*R84-ERP_i)*Q84*Ramure*Pc/MaxiM</f>
        <v>2.2951827096330784E-4</v>
      </c>
      <c r="Q84" s="305">
        <f t="shared" si="27"/>
        <v>0.7</v>
      </c>
      <c r="R84" s="177">
        <f t="shared" si="28"/>
        <v>1.0966078866948781E-2</v>
      </c>
      <c r="S84" s="919">
        <f t="shared" si="29"/>
        <v>-1</v>
      </c>
      <c r="T84" s="176">
        <f t="shared" si="30"/>
        <v>5</v>
      </c>
      <c r="U84" s="251">
        <f t="shared" si="31"/>
        <v>-0.98903392113305122</v>
      </c>
      <c r="V84" s="383">
        <f t="shared" si="32"/>
        <v>45.432391367281767</v>
      </c>
      <c r="W84" s="402"/>
      <c r="X84" s="157">
        <f t="shared" si="33"/>
        <v>43900</v>
      </c>
      <c r="Y84" s="385">
        <f t="shared" si="34"/>
        <v>32.557000000000002</v>
      </c>
      <c r="Z84" s="385">
        <f t="shared" si="35"/>
        <v>33.028887027708087</v>
      </c>
      <c r="AA84" s="386">
        <f t="shared" si="36"/>
        <v>35.462782342028092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6.8632384533334145E-2</v>
      </c>
      <c r="AD84" s="231">
        <f>(INDEX(Models!$BJ84:$BT84,,AH84)*(1-AF84)+INDEX(Models!$BJ84:$BT84,,AH84+1)*AF84-ERP_i)*AE84*Ramure*Pc/MaxiM</f>
        <v>2.2951827096330784E-4</v>
      </c>
      <c r="AE84" s="305">
        <f t="shared" si="38"/>
        <v>0.7</v>
      </c>
      <c r="AF84" s="177">
        <f t="shared" si="39"/>
        <v>1.0966078866948781E-2</v>
      </c>
      <c r="AG84" s="919">
        <f t="shared" si="47"/>
        <v>-1</v>
      </c>
      <c r="AH84" s="176">
        <f t="shared" si="40"/>
        <v>5</v>
      </c>
      <c r="AI84" s="225">
        <f t="shared" si="41"/>
        <v>-0.98903392113305122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8">
        <v>39.25</v>
      </c>
      <c r="C85" s="390"/>
      <c r="D85" s="393">
        <f t="shared" si="24"/>
        <v>39.819768731520362</v>
      </c>
      <c r="E85" s="385">
        <f t="shared" si="45"/>
        <v>42.75630732408181</v>
      </c>
      <c r="F85" s="385">
        <f t="shared" si="25"/>
        <v>42.763756003434501</v>
      </c>
      <c r="G85" s="110">
        <f t="shared" si="46"/>
        <v>0.85874606431187817</v>
      </c>
      <c r="H85" s="412" t="b">
        <f>Wh_hp&gt;='2019'!Maxi_hp</f>
        <v>0</v>
      </c>
      <c r="I85" s="380">
        <f>IF(H85,Wh_hp,'2019'!Maxi_hp)</f>
        <v>43.935491435363161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1.430869012228464E-2</v>
      </c>
      <c r="M85" s="957"/>
      <c r="N85" s="957"/>
      <c r="O85" s="48">
        <f>IF(t&lt;Tnet,'2019'!Resal+('2019'!Salim-'2019'!Resal)*(1-EXP(('2019'!Tnet-t)/('2019'!Tau_j))),Resal+(Salim-Resal)*(1-EXP((Tnet-t)/(Tau_j))))*Salcycl</f>
        <v>6.8680828077673756E-2</v>
      </c>
      <c r="P85" s="169">
        <f>(INDEX(Models!$BJ85:$BT85,,T85)*(1-R85)+INDEX(Models!$BJ85:$BT85,,T85+1)*R85-ERP_i)*Q85*Ramure*Pc/MaxiM</f>
        <v>2.1820143990260396E-4</v>
      </c>
      <c r="Q85" s="305">
        <f t="shared" si="27"/>
        <v>0.7</v>
      </c>
      <c r="R85" s="177">
        <f t="shared" si="28"/>
        <v>1.1441971366304093E-2</v>
      </c>
      <c r="S85" s="919">
        <f t="shared" si="29"/>
        <v>-1</v>
      </c>
      <c r="T85" s="176">
        <f t="shared" si="30"/>
        <v>5</v>
      </c>
      <c r="U85" s="251">
        <f t="shared" si="31"/>
        <v>-0.98855802863369591</v>
      </c>
      <c r="V85" s="383">
        <f t="shared" si="32"/>
        <v>45.704165142242147</v>
      </c>
      <c r="W85" s="402"/>
      <c r="X85" s="157">
        <f t="shared" si="33"/>
        <v>43901</v>
      </c>
      <c r="Y85" s="385">
        <f t="shared" si="34"/>
        <v>39.25</v>
      </c>
      <c r="Z85" s="385">
        <f t="shared" si="35"/>
        <v>39.819768731520362</v>
      </c>
      <c r="AA85" s="386">
        <f t="shared" si="36"/>
        <v>42.75630732408181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6.8680828077673756E-2</v>
      </c>
      <c r="AD85" s="231">
        <f>(INDEX(Models!$BJ85:$BT85,,AH85)*(1-AF85)+INDEX(Models!$BJ85:$BT85,,AH85+1)*AF85-ERP_i)*AE85*Ramure*Pc/MaxiM</f>
        <v>2.1820143990260396E-4</v>
      </c>
      <c r="AE85" s="305">
        <f t="shared" si="38"/>
        <v>0.7</v>
      </c>
      <c r="AF85" s="177">
        <f t="shared" si="39"/>
        <v>1.1441971366304093E-2</v>
      </c>
      <c r="AG85" s="919">
        <f t="shared" si="47"/>
        <v>-1</v>
      </c>
      <c r="AH85" s="176">
        <f t="shared" si="40"/>
        <v>5</v>
      </c>
      <c r="AI85" s="225">
        <f t="shared" si="41"/>
        <v>-0.98855802863369591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8">
        <v>15.474</v>
      </c>
      <c r="C86" s="390"/>
      <c r="D86" s="393">
        <f t="shared" si="24"/>
        <v>15.698970633773877</v>
      </c>
      <c r="E86" s="385">
        <f t="shared" si="45"/>
        <v>16.857581893644912</v>
      </c>
      <c r="F86" s="385">
        <f t="shared" si="25"/>
        <v>16.857764068495605</v>
      </c>
      <c r="G86" s="110">
        <f t="shared" si="46"/>
        <v>0.33651684122561393</v>
      </c>
      <c r="H86" s="412" t="b">
        <f>Wh_hp&gt;='2019'!Maxi_hp</f>
        <v>0</v>
      </c>
      <c r="I86" s="380">
        <f>IF(H86,Wh_hp,'2019'!Maxi_hp)</f>
        <v>26.245426921658471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1.4330279291680958E-2</v>
      </c>
      <c r="M86" s="957"/>
      <c r="N86" s="957"/>
      <c r="O86" s="48">
        <f>IF(t&lt;Tnet,'2019'!Resal+('2019'!Salim-'2019'!Resal)*(1-EXP(('2019'!Tnet-t)/('2019'!Tau_j))),Resal+(Salim-Resal)*(1-EXP((Tnet-t)/(Tau_j))))*Salcycl</f>
        <v>6.8729386407893792E-2</v>
      </c>
      <c r="P86" s="169">
        <f>(INDEX(Models!$BJ86:$BT86,,T86)*(1-R86)+INDEX(Models!$BJ86:$BT86,,T86+1)*R86-ERP_i)*Q86*Ramure*Pc/MaxiM</f>
        <v>2.067804651974915E-4</v>
      </c>
      <c r="Q86" s="305">
        <f t="shared" si="27"/>
        <v>0.7</v>
      </c>
      <c r="R86" s="177">
        <f t="shared" si="28"/>
        <v>1.1936844613149811E-2</v>
      </c>
      <c r="S86" s="919">
        <f t="shared" si="29"/>
        <v>-1</v>
      </c>
      <c r="T86" s="176">
        <f t="shared" si="30"/>
        <v>5</v>
      </c>
      <c r="U86" s="251">
        <f t="shared" si="31"/>
        <v>-0.98806315538685019</v>
      </c>
      <c r="V86" s="383">
        <f t="shared" si="32"/>
        <v>45.97382826681573</v>
      </c>
      <c r="W86" s="402"/>
      <c r="X86" s="157">
        <f t="shared" si="33"/>
        <v>43902</v>
      </c>
      <c r="Y86" s="385">
        <f t="shared" si="34"/>
        <v>15.474</v>
      </c>
      <c r="Z86" s="385">
        <f t="shared" si="35"/>
        <v>15.698970633773877</v>
      </c>
      <c r="AA86" s="386">
        <f t="shared" si="36"/>
        <v>16.857581893644912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6.8729386407893792E-2</v>
      </c>
      <c r="AD86" s="231">
        <f>(INDEX(Models!$BJ86:$BT86,,AH86)*(1-AF86)+INDEX(Models!$BJ86:$BT86,,AH86+1)*AF86-ERP_i)*AE86*Ramure*Pc/MaxiM</f>
        <v>2.067804651974915E-4</v>
      </c>
      <c r="AE86" s="305">
        <f t="shared" si="38"/>
        <v>0.7</v>
      </c>
      <c r="AF86" s="177">
        <f t="shared" si="39"/>
        <v>1.1936844613149811E-2</v>
      </c>
      <c r="AG86" s="919">
        <f t="shared" si="47"/>
        <v>-1</v>
      </c>
      <c r="AH86" s="176">
        <f t="shared" si="40"/>
        <v>5</v>
      </c>
      <c r="AI86" s="225">
        <f t="shared" si="41"/>
        <v>-0.98806315538685019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8">
        <v>33.856999999999999</v>
      </c>
      <c r="C87" s="390"/>
      <c r="D87" s="393">
        <f t="shared" si="24"/>
        <v>34.349986471232242</v>
      </c>
      <c r="E87" s="385">
        <f t="shared" si="45"/>
        <v>36.887003815538193</v>
      </c>
      <c r="F87" s="385">
        <f t="shared" si="25"/>
        <v>36.891466840324576</v>
      </c>
      <c r="G87" s="110">
        <f t="shared" si="46"/>
        <v>0.73213000752321511</v>
      </c>
      <c r="H87" s="412" t="b">
        <f>Wh_hp&gt;='2019'!Maxi_hp</f>
        <v>1</v>
      </c>
      <c r="I87" s="380">
        <f>IF(H87,Wh_hp,'2019'!Maxi_hp)</f>
        <v>36.891466840324576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1.4351867988219191E-2</v>
      </c>
      <c r="M87" s="957"/>
      <c r="N87" s="957"/>
      <c r="O87" s="48">
        <f>IF(t&lt;Tnet,'2019'!Resal+('2019'!Salim-'2019'!Resal)*(1-EXP(('2019'!Tnet-t)/('2019'!Tau_j))),Resal+(Salim-Resal)*(1-EXP((Tnet-t)/(Tau_j))))*Salcycl</f>
        <v>6.8778081217788306E-2</v>
      </c>
      <c r="P87" s="169">
        <f>(INDEX(Models!$BJ87:$BT87,,T87)*(1-R87)+INDEX(Models!$BJ87:$BT87,,T87+1)*R87-ERP_i)*Q87*Ramure*Pc/MaxiM</f>
        <v>1.9594393365579934E-4</v>
      </c>
      <c r="Q87" s="305">
        <f t="shared" si="27"/>
        <v>0.7</v>
      </c>
      <c r="R87" s="177">
        <f t="shared" si="28"/>
        <v>1.2451413846187531E-2</v>
      </c>
      <c r="S87" s="919">
        <f t="shared" si="29"/>
        <v>-1</v>
      </c>
      <c r="T87" s="176">
        <f t="shared" si="30"/>
        <v>5</v>
      </c>
      <c r="U87" s="251">
        <f t="shared" si="31"/>
        <v>-0.98754858615381247</v>
      </c>
      <c r="V87" s="383">
        <f t="shared" si="32"/>
        <v>46.24105171878719</v>
      </c>
      <c r="W87" s="402"/>
      <c r="X87" s="157">
        <f t="shared" si="33"/>
        <v>43903</v>
      </c>
      <c r="Y87" s="385">
        <f t="shared" si="34"/>
        <v>33.856999999999999</v>
      </c>
      <c r="Z87" s="385">
        <f t="shared" si="35"/>
        <v>34.349986471232242</v>
      </c>
      <c r="AA87" s="386">
        <f t="shared" si="36"/>
        <v>36.887003815538193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6.8778081217788306E-2</v>
      </c>
      <c r="AD87" s="231">
        <f>(INDEX(Models!$BJ87:$BT87,,AH87)*(1-AF87)+INDEX(Models!$BJ87:$BT87,,AH87+1)*AF87-ERP_i)*AE87*Ramure*Pc/MaxiM</f>
        <v>1.9594393365579934E-4</v>
      </c>
      <c r="AE87" s="305">
        <f t="shared" si="38"/>
        <v>0.7</v>
      </c>
      <c r="AF87" s="177">
        <f t="shared" si="39"/>
        <v>1.2451413846187531E-2</v>
      </c>
      <c r="AG87" s="919">
        <f t="shared" si="47"/>
        <v>-1</v>
      </c>
      <c r="AH87" s="176">
        <f t="shared" si="40"/>
        <v>5</v>
      </c>
      <c r="AI87" s="225">
        <f t="shared" si="41"/>
        <v>-0.98754858615381247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8">
        <v>32.075000000000003</v>
      </c>
      <c r="C88" s="390"/>
      <c r="D88" s="393">
        <f t="shared" si="24"/>
        <v>32.542751818275015</v>
      </c>
      <c r="E88" s="385">
        <f t="shared" si="45"/>
        <v>34.948124087943434</v>
      </c>
      <c r="F88" s="385">
        <f t="shared" si="25"/>
        <v>34.951737117929945</v>
      </c>
      <c r="G88" s="110">
        <f t="shared" si="46"/>
        <v>0.68964602600959257</v>
      </c>
      <c r="H88" s="412" t="b">
        <f>Wh_hp&gt;='2019'!Maxi_hp</f>
        <v>1</v>
      </c>
      <c r="I88" s="380">
        <f>IF(H88,Wh_hp,'2019'!Maxi_hp)</f>
        <v>34.951737117929945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1.4373456211909441E-2</v>
      </c>
      <c r="M88" s="957"/>
      <c r="N88" s="957"/>
      <c r="O88" s="48">
        <f>IF(t&lt;Tnet,'2019'!Resal+('2019'!Salim-'2019'!Resal)*(1-EXP(('2019'!Tnet-t)/('2019'!Tau_j))),Resal+(Salim-Resal)*(1-EXP((Tnet-t)/(Tau_j))))*Salcycl</f>
        <v>6.8826935134359224E-2</v>
      </c>
      <c r="P88" s="169">
        <f>(INDEX(Models!$BJ88:$BT88,,T88)*(1-R88)+INDEX(Models!$BJ88:$BT88,,T88+1)*R88-ERP_i)*Q88*Ramure*Pc/MaxiM</f>
        <v>1.8568093481625256E-4</v>
      </c>
      <c r="Q88" s="305">
        <f t="shared" si="27"/>
        <v>0.7</v>
      </c>
      <c r="R88" s="177">
        <f t="shared" si="28"/>
        <v>1.2986417777819059E-2</v>
      </c>
      <c r="S88" s="919">
        <f t="shared" si="29"/>
        <v>-1</v>
      </c>
      <c r="T88" s="176">
        <f t="shared" si="30"/>
        <v>5</v>
      </c>
      <c r="U88" s="251">
        <f t="shared" si="31"/>
        <v>-0.98701358222218094</v>
      </c>
      <c r="V88" s="383">
        <f t="shared" si="32"/>
        <v>46.505538287015789</v>
      </c>
      <c r="W88" s="402"/>
      <c r="X88" s="157">
        <f t="shared" si="33"/>
        <v>43904</v>
      </c>
      <c r="Y88" s="385">
        <f t="shared" si="34"/>
        <v>32.075000000000003</v>
      </c>
      <c r="Z88" s="385">
        <f t="shared" si="35"/>
        <v>32.542751818275015</v>
      </c>
      <c r="AA88" s="386">
        <f t="shared" si="36"/>
        <v>34.948124087943434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6.8826935134359224E-2</v>
      </c>
      <c r="AD88" s="231">
        <f>(INDEX(Models!$BJ88:$BT88,,AH88)*(1-AF88)+INDEX(Models!$BJ88:$BT88,,AH88+1)*AF88-ERP_i)*AE88*Ramure*Pc/MaxiM</f>
        <v>1.8568093481625256E-4</v>
      </c>
      <c r="AE88" s="305">
        <f t="shared" si="38"/>
        <v>0.7</v>
      </c>
      <c r="AF88" s="177">
        <f t="shared" si="39"/>
        <v>1.2986417777819059E-2</v>
      </c>
      <c r="AG88" s="919">
        <f t="shared" si="47"/>
        <v>-1</v>
      </c>
      <c r="AH88" s="176">
        <f t="shared" si="40"/>
        <v>5</v>
      </c>
      <c r="AI88" s="225">
        <f t="shared" si="41"/>
        <v>-0.98701358222218094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8">
        <v>47.966000000000001</v>
      </c>
      <c r="C89" s="390"/>
      <c r="D89" s="393">
        <f t="shared" si="24"/>
        <v>48.666557230854437</v>
      </c>
      <c r="E89" s="385">
        <f t="shared" si="45"/>
        <v>52.266460480800895</v>
      </c>
      <c r="F89" s="385">
        <f t="shared" si="25"/>
        <v>52.275659986289419</v>
      </c>
      <c r="G89" s="110">
        <f t="shared" si="46"/>
        <v>1.0256379381101215</v>
      </c>
      <c r="H89" s="412" t="b">
        <f>Wh_hp&gt;='2019'!Maxi_hp</f>
        <v>1</v>
      </c>
      <c r="I89" s="380">
        <f>IF(H89,Wh_hp,'2019'!Maxi_hp)</f>
        <v>52.275659986289419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1.4395043962762255E-2</v>
      </c>
      <c r="M89" s="957"/>
      <c r="N89" s="957"/>
      <c r="O89" s="48">
        <f>IF(t&lt;Tnet,'2019'!Resal+('2019'!Salim-'2019'!Resal)*(1-EXP(('2019'!Tnet-t)/('2019'!Tau_j))),Resal+(Salim-Resal)*(1-EXP((Tnet-t)/(Tau_j))))*Salcycl</f>
        <v>6.8875971642824649E-2</v>
      </c>
      <c r="P89" s="169">
        <f>(INDEX(Models!$BJ89:$BT89,,T89)*(1-R89)+INDEX(Models!$BJ89:$BT89,,T89+1)*R89-ERP_i)*Q89*Ramure*Pc/MaxiM</f>
        <v>1.7598066654613012E-4</v>
      </c>
      <c r="Q89" s="305">
        <f t="shared" si="27"/>
        <v>0.7</v>
      </c>
      <c r="R89" s="177">
        <f t="shared" si="28"/>
        <v>1.3542619070590955E-2</v>
      </c>
      <c r="S89" s="919">
        <f t="shared" si="29"/>
        <v>-1</v>
      </c>
      <c r="T89" s="176">
        <f t="shared" si="30"/>
        <v>5</v>
      </c>
      <c r="U89" s="251">
        <f t="shared" si="31"/>
        <v>-0.98645738092940904</v>
      </c>
      <c r="V89" s="383">
        <f t="shared" si="32"/>
        <v>46.766990784666106</v>
      </c>
      <c r="W89" s="402"/>
      <c r="X89" s="157">
        <f t="shared" si="33"/>
        <v>43905</v>
      </c>
      <c r="Y89" s="385">
        <f t="shared" si="34"/>
        <v>47.966000000000001</v>
      </c>
      <c r="Z89" s="385">
        <f t="shared" si="35"/>
        <v>48.666557230854437</v>
      </c>
      <c r="AA89" s="386">
        <f t="shared" si="36"/>
        <v>52.266460480800895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6.8875971642824649E-2</v>
      </c>
      <c r="AD89" s="231">
        <f>(INDEX(Models!$BJ89:$BT89,,AH89)*(1-AF89)+INDEX(Models!$BJ89:$BT89,,AH89+1)*AF89-ERP_i)*AE89*Ramure*Pc/MaxiM</f>
        <v>1.7598066654613012E-4</v>
      </c>
      <c r="AE89" s="305">
        <f t="shared" si="38"/>
        <v>0.7</v>
      </c>
      <c r="AF89" s="177">
        <f t="shared" si="39"/>
        <v>1.3542619070590955E-2</v>
      </c>
      <c r="AG89" s="919">
        <f t="shared" si="47"/>
        <v>-1</v>
      </c>
      <c r="AH89" s="176">
        <f t="shared" si="40"/>
        <v>5</v>
      </c>
      <c r="AI89" s="225">
        <f t="shared" si="41"/>
        <v>-0.98645738092940904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8">
        <v>7.3940000000000001</v>
      </c>
      <c r="C90" s="390"/>
      <c r="D90" s="393">
        <f t="shared" si="24"/>
        <v>7.5021558138796367</v>
      </c>
      <c r="E90" s="385">
        <f t="shared" si="45"/>
        <v>8.0575222686856343</v>
      </c>
      <c r="F90" s="385">
        <f t="shared" si="25"/>
        <v>8.0575222686856343</v>
      </c>
      <c r="G90" s="110">
        <f t="shared" si="46"/>
        <v>0.15720890641996804</v>
      </c>
      <c r="H90" s="412" t="b">
        <f>Wh_hp&gt;='2019'!Maxi_hp</f>
        <v>0</v>
      </c>
      <c r="I90" s="380">
        <f>IF(H90,Wh_hp,'2019'!Maxi_hp)</f>
        <v>16.09757856579601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1.4416631240787958E-2</v>
      </c>
      <c r="M90" s="957"/>
      <c r="N90" s="957"/>
      <c r="O90" s="48">
        <f>IF(t&lt;Tnet,'2019'!Resal+('2019'!Salim-'2019'!Resal)*(1-EXP(('2019'!Tnet-t)/('2019'!Tau_j))),Resal+(Salim-Resal)*(1-EXP((Tnet-t)/(Tau_j))))*Salcycl</f>
        <v>6.8925215008631982E-2</v>
      </c>
      <c r="P90" s="169">
        <f>(INDEX(Models!$BJ90:$BT90,,T90)*(1-R90)+INDEX(Models!$BJ90:$BT90,,T90+1)*R90-ERP_i)*Q90*Ramure*Pc/MaxiM</f>
        <v>1.6683246671395625E-4</v>
      </c>
      <c r="Q90" s="305">
        <f t="shared" si="27"/>
        <v>0.7</v>
      </c>
      <c r="R90" s="177">
        <f t="shared" si="28"/>
        <v>1.4120804796355246E-2</v>
      </c>
      <c r="S90" s="919">
        <f t="shared" si="29"/>
        <v>-1</v>
      </c>
      <c r="T90" s="176">
        <f t="shared" si="30"/>
        <v>5</v>
      </c>
      <c r="U90" s="251">
        <f t="shared" si="31"/>
        <v>-0.98587919520364475</v>
      </c>
      <c r="V90" s="383">
        <f t="shared" si="32"/>
        <v>47.025112056896262</v>
      </c>
      <c r="W90" s="402"/>
      <c r="X90" s="157">
        <f t="shared" si="33"/>
        <v>43906</v>
      </c>
      <c r="Y90" s="385">
        <f t="shared" si="34"/>
        <v>7.3940000000000001</v>
      </c>
      <c r="Z90" s="385">
        <f t="shared" si="35"/>
        <v>7.5021558138796367</v>
      </c>
      <c r="AA90" s="386">
        <f t="shared" si="36"/>
        <v>8.0575222686856343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6.8925215008631982E-2</v>
      </c>
      <c r="AD90" s="231">
        <f>(INDEX(Models!$BJ90:$BT90,,AH90)*(1-AF90)+INDEX(Models!$BJ90:$BT90,,AH90+1)*AF90-ERP_i)*AE90*Ramure*Pc/MaxiM</f>
        <v>1.6683246671395625E-4</v>
      </c>
      <c r="AE90" s="305">
        <f t="shared" si="38"/>
        <v>0.7</v>
      </c>
      <c r="AF90" s="177">
        <f t="shared" si="39"/>
        <v>1.4120804796355246E-2</v>
      </c>
      <c r="AG90" s="919">
        <f t="shared" si="47"/>
        <v>-1</v>
      </c>
      <c r="AH90" s="176">
        <f t="shared" si="40"/>
        <v>5</v>
      </c>
      <c r="AI90" s="225">
        <f t="shared" si="41"/>
        <v>-0.98587919520364475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8">
        <v>11.38</v>
      </c>
      <c r="C91" s="390"/>
      <c r="D91" s="393">
        <f t="shared" si="24"/>
        <v>11.546713974072416</v>
      </c>
      <c r="E91" s="385">
        <f t="shared" si="45"/>
        <v>12.40214831164753</v>
      </c>
      <c r="F91" s="385">
        <f t="shared" si="25"/>
        <v>12.40214831164753</v>
      </c>
      <c r="G91" s="110">
        <f t="shared" si="46"/>
        <v>0.24065766614005221</v>
      </c>
      <c r="H91" s="412" t="b">
        <f>Wh_hp&gt;='2019'!Maxi_hp</f>
        <v>0</v>
      </c>
      <c r="I91" s="380">
        <f>IF(H91,Wh_hp,'2019'!Maxi_hp)</f>
        <v>38.270489516966428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1.4438218045996765E-2</v>
      </c>
      <c r="M91" s="957"/>
      <c r="N91" s="957"/>
      <c r="O91" s="48">
        <f>IF(t&lt;Tnet,'2019'!Resal+('2019'!Salim-'2019'!Resal)*(1-EXP(('2019'!Tnet-t)/('2019'!Tau_j))),Resal+(Salim-Resal)*(1-EXP((Tnet-t)/(Tau_j))))*Salcycl</f>
        <v>6.8974690197159488E-2</v>
      </c>
      <c r="P91" s="169">
        <f>(INDEX(Models!$BJ91:$BT91,,T91)*(1-R91)+INDEX(Models!$BJ91:$BT91,,T91+1)*R91-ERP_i)*Q91*Ramure*Pc/MaxiM</f>
        <v>1.5822584409894806E-4</v>
      </c>
      <c r="Q91" s="305">
        <f t="shared" si="27"/>
        <v>0.7</v>
      </c>
      <c r="R91" s="177">
        <f t="shared" si="28"/>
        <v>1.4721786874980713E-2</v>
      </c>
      <c r="S91" s="919">
        <f t="shared" si="29"/>
        <v>-1</v>
      </c>
      <c r="T91" s="176">
        <f t="shared" si="30"/>
        <v>5</v>
      </c>
      <c r="U91" s="251">
        <f t="shared" si="31"/>
        <v>-0.98527821312501929</v>
      </c>
      <c r="V91" s="383">
        <f t="shared" si="32"/>
        <v>47.279604977439377</v>
      </c>
      <c r="W91" s="402"/>
      <c r="X91" s="157">
        <f t="shared" si="33"/>
        <v>43907</v>
      </c>
      <c r="Y91" s="385">
        <f t="shared" si="34"/>
        <v>11.38</v>
      </c>
      <c r="Z91" s="385">
        <f t="shared" si="35"/>
        <v>11.546713974072416</v>
      </c>
      <c r="AA91" s="386">
        <f t="shared" si="36"/>
        <v>12.40214831164753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6.8974690197159488E-2</v>
      </c>
      <c r="AD91" s="231">
        <f>(INDEX(Models!$BJ91:$BT91,,AH91)*(1-AF91)+INDEX(Models!$BJ91:$BT91,,AH91+1)*AF91-ERP_i)*AE91*Ramure*Pc/MaxiM</f>
        <v>1.5822584409894806E-4</v>
      </c>
      <c r="AE91" s="305">
        <f t="shared" si="38"/>
        <v>0.7</v>
      </c>
      <c r="AF91" s="177">
        <f t="shared" si="39"/>
        <v>1.4721786874980713E-2</v>
      </c>
      <c r="AG91" s="919">
        <f t="shared" si="47"/>
        <v>-1</v>
      </c>
      <c r="AH91" s="176">
        <f t="shared" si="40"/>
        <v>5</v>
      </c>
      <c r="AI91" s="225">
        <f t="shared" si="41"/>
        <v>-0.98527821312501929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8">
        <v>42.963000000000001</v>
      </c>
      <c r="C92" s="390"/>
      <c r="D92" s="393">
        <f t="shared" si="24"/>
        <v>43.593351332466291</v>
      </c>
      <c r="E92" s="385">
        <f t="shared" si="45"/>
        <v>46.825451064132423</v>
      </c>
      <c r="F92" s="385">
        <f t="shared" si="25"/>
        <v>46.831517578729603</v>
      </c>
      <c r="G92" s="110">
        <f t="shared" si="46"/>
        <v>0.9038914048840353</v>
      </c>
      <c r="H92" s="412" t="b">
        <f>Wh_hp&gt;='2019'!Maxi_hp</f>
        <v>1</v>
      </c>
      <c r="I92" s="380">
        <f>IF(H92,Wh_hp,'2019'!Maxi_hp)</f>
        <v>46.831517578729603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1.4459804378399221E-2</v>
      </c>
      <c r="M92" s="957"/>
      <c r="N92" s="957"/>
      <c r="O92" s="48">
        <f>IF(t&lt;Tnet,'2019'!Resal+('2019'!Salim-'2019'!Resal)*(1-EXP(('2019'!Tnet-t)/('2019'!Tau_j))),Resal+(Salim-Resal)*(1-EXP((Tnet-t)/(Tau_j))))*Salcycl</f>
        <v>6.9024422791772594E-2</v>
      </c>
      <c r="P92" s="169">
        <f>(INDEX(Models!$BJ92:$BT92,,T92)*(1-R92)+INDEX(Models!$BJ92:$BT92,,T92+1)*R92-ERP_i)*Q92*Ramure*Pc/MaxiM</f>
        <v>1.5015050843491447E-4</v>
      </c>
      <c r="Q92" s="305">
        <f t="shared" si="27"/>
        <v>0.7</v>
      </c>
      <c r="R92" s="177">
        <f t="shared" si="28"/>
        <v>1.5346402489187283E-2</v>
      </c>
      <c r="S92" s="919">
        <f t="shared" si="29"/>
        <v>-1</v>
      </c>
      <c r="T92" s="176">
        <f t="shared" si="30"/>
        <v>5</v>
      </c>
      <c r="U92" s="251">
        <f t="shared" si="31"/>
        <v>-0.98465359751081272</v>
      </c>
      <c r="V92" s="383">
        <f t="shared" si="32"/>
        <v>47.530172459868332</v>
      </c>
      <c r="W92" s="402"/>
      <c r="X92" s="157">
        <f t="shared" si="33"/>
        <v>43908</v>
      </c>
      <c r="Y92" s="385">
        <f t="shared" si="34"/>
        <v>42.963000000000001</v>
      </c>
      <c r="Z92" s="385">
        <f t="shared" si="35"/>
        <v>43.593351332466291</v>
      </c>
      <c r="AA92" s="386">
        <f t="shared" si="36"/>
        <v>46.825451064132423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6.9024422791772594E-2</v>
      </c>
      <c r="AD92" s="231">
        <f>(INDEX(Models!$BJ92:$BT92,,AH92)*(1-AF92)+INDEX(Models!$BJ92:$BT92,,AH92+1)*AF92-ERP_i)*AE92*Ramure*Pc/MaxiM</f>
        <v>1.5015050843491447E-4</v>
      </c>
      <c r="AE92" s="305">
        <f t="shared" si="38"/>
        <v>0.7</v>
      </c>
      <c r="AF92" s="177">
        <f t="shared" si="39"/>
        <v>1.5346402489187283E-2</v>
      </c>
      <c r="AG92" s="919">
        <f t="shared" si="47"/>
        <v>-1</v>
      </c>
      <c r="AH92" s="176">
        <f t="shared" si="40"/>
        <v>5</v>
      </c>
      <c r="AI92" s="225">
        <f t="shared" si="41"/>
        <v>-0.98465359751081272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8">
        <v>43.72</v>
      </c>
      <c r="C93" s="390"/>
      <c r="D93" s="393">
        <f t="shared" si="24"/>
        <v>44.362429655751001</v>
      </c>
      <c r="E93" s="385">
        <f t="shared" si="45"/>
        <v>47.65411060778036</v>
      </c>
      <c r="F93" s="385">
        <f t="shared" si="25"/>
        <v>47.660081731966379</v>
      </c>
      <c r="G93" s="110">
        <f t="shared" si="46"/>
        <v>0.91503517885263463</v>
      </c>
      <c r="H93" s="412" t="b">
        <f>Wh_hp&gt;='2019'!Maxi_hp</f>
        <v>0</v>
      </c>
      <c r="I93" s="380">
        <f>IF(H93,Wh_hp,'2019'!Maxi_hp)</f>
        <v>53.139538604347429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1.4481390238005543E-2</v>
      </c>
      <c r="M93" s="957"/>
      <c r="N93" s="957"/>
      <c r="O93" s="48">
        <f>IF(t&lt;Tnet,'2019'!Resal+('2019'!Salim-'2019'!Resal)*(1-EXP(('2019'!Tnet-t)/('2019'!Tau_j))),Resal+(Salim-Resal)*(1-EXP((Tnet-t)/(Tau_j))))*Salcycl</f>
        <v>6.9074438910878305E-2</v>
      </c>
      <c r="P93" s="169">
        <f>(INDEX(Models!$BJ93:$BT93,,T93)*(1-R93)+INDEX(Models!$BJ93:$BT93,,T93+1)*R93-ERP_i)*Q93*Ramure*Pc/MaxiM</f>
        <v>1.4258972169427047E-4</v>
      </c>
      <c r="Q93" s="305">
        <f t="shared" si="27"/>
        <v>0.7</v>
      </c>
      <c r="R93" s="177">
        <f t="shared" si="28"/>
        <v>1.5995514471808692E-2</v>
      </c>
      <c r="S93" s="919">
        <f t="shared" si="29"/>
        <v>-1</v>
      </c>
      <c r="T93" s="176">
        <f t="shared" si="30"/>
        <v>5</v>
      </c>
      <c r="U93" s="251">
        <f t="shared" si="31"/>
        <v>-0.98400448552819131</v>
      </c>
      <c r="V93" s="383">
        <f t="shared" si="32"/>
        <v>47.778756906252092</v>
      </c>
      <c r="W93" s="402"/>
      <c r="X93" s="157">
        <f t="shared" si="33"/>
        <v>43909</v>
      </c>
      <c r="Y93" s="385">
        <f t="shared" si="34"/>
        <v>43.72</v>
      </c>
      <c r="Z93" s="385">
        <f t="shared" si="35"/>
        <v>44.362429655751001</v>
      </c>
      <c r="AA93" s="386">
        <f t="shared" si="36"/>
        <v>47.65411060778036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6.9074438910878305E-2</v>
      </c>
      <c r="AD93" s="231">
        <f>(INDEX(Models!$BJ93:$BT93,,AH93)*(1-AF93)+INDEX(Models!$BJ93:$BT93,,AH93+1)*AF93-ERP_i)*AE93*Ramure*Pc/MaxiM</f>
        <v>1.4258972169427047E-4</v>
      </c>
      <c r="AE93" s="305">
        <f t="shared" si="38"/>
        <v>0.7</v>
      </c>
      <c r="AF93" s="177">
        <f t="shared" si="39"/>
        <v>1.5995514471808692E-2</v>
      </c>
      <c r="AG93" s="919">
        <f t="shared" si="47"/>
        <v>-1</v>
      </c>
      <c r="AH93" s="176">
        <f t="shared" si="40"/>
        <v>5</v>
      </c>
      <c r="AI93" s="225">
        <f t="shared" si="41"/>
        <v>-0.98400448552819131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8">
        <v>47.05</v>
      </c>
      <c r="C94" s="390"/>
      <c r="D94" s="393">
        <f t="shared" si="24"/>
        <v>47.742406964476331</v>
      </c>
      <c r="E94" s="385">
        <f t="shared" si="45"/>
        <v>51.287654001093074</v>
      </c>
      <c r="F94" s="385">
        <f t="shared" si="25"/>
        <v>51.294406485906379</v>
      </c>
      <c r="G94" s="110">
        <f t="shared" si="46"/>
        <v>0.97965271984014901</v>
      </c>
      <c r="H94" s="412" t="b">
        <f>Wh_hp&gt;='2019'!Maxi_hp</f>
        <v>0</v>
      </c>
      <c r="I94" s="380">
        <f>IF(H94,Wh_hp,'2019'!Maxi_hp)</f>
        <v>53.219933275475654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1.4502975624826164E-2</v>
      </c>
      <c r="M94" s="957"/>
      <c r="N94" s="957"/>
      <c r="O94" s="48">
        <f>IF(t&lt;Tnet,'2019'!Resal+('2019'!Salim-'2019'!Resal)*(1-EXP(('2019'!Tnet-t)/('2019'!Tau_j))),Resal+(Salim-Resal)*(1-EXP((Tnet-t)/(Tau_j))))*Salcycl</f>
        <v>6.9124765124588997E-2</v>
      </c>
      <c r="P94" s="169">
        <f>(INDEX(Models!$BJ94:$BT94,,T94)*(1-R94)+INDEX(Models!$BJ94:$BT94,,T94+1)*R94-ERP_i)*Q94*Ramure*Pc/MaxiM</f>
        <v>1.3558202651525541E-4</v>
      </c>
      <c r="Q94" s="305">
        <f t="shared" si="27"/>
        <v>0.7</v>
      </c>
      <c r="R94" s="177">
        <f t="shared" si="28"/>
        <v>1.6670011661508943E-2</v>
      </c>
      <c r="S94" s="919">
        <f t="shared" si="29"/>
        <v>-1</v>
      </c>
      <c r="T94" s="176">
        <f t="shared" si="30"/>
        <v>5</v>
      </c>
      <c r="U94" s="251">
        <f t="shared" si="31"/>
        <v>-0.98332998833849106</v>
      </c>
      <c r="V94" s="383">
        <f t="shared" si="32"/>
        <v>48.027034103154953</v>
      </c>
      <c r="W94" s="402"/>
      <c r="X94" s="157">
        <f t="shared" si="33"/>
        <v>43910</v>
      </c>
      <c r="Y94" s="385">
        <f t="shared" si="34"/>
        <v>47.05</v>
      </c>
      <c r="Z94" s="385">
        <f t="shared" si="35"/>
        <v>47.742406964476331</v>
      </c>
      <c r="AA94" s="386">
        <f t="shared" si="36"/>
        <v>51.287654001093074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6.9124765124588997E-2</v>
      </c>
      <c r="AD94" s="231">
        <f>(INDEX(Models!$BJ94:$BT94,,AH94)*(1-AF94)+INDEX(Models!$BJ94:$BT94,,AH94+1)*AF94-ERP_i)*AE94*Ramure*Pc/MaxiM</f>
        <v>1.3558202651525541E-4</v>
      </c>
      <c r="AE94" s="305">
        <f t="shared" si="38"/>
        <v>0.7</v>
      </c>
      <c r="AF94" s="177">
        <f t="shared" si="39"/>
        <v>1.6670011661508943E-2</v>
      </c>
      <c r="AG94" s="919">
        <f t="shared" si="47"/>
        <v>-1</v>
      </c>
      <c r="AH94" s="176">
        <f t="shared" si="40"/>
        <v>5</v>
      </c>
      <c r="AI94" s="225">
        <f t="shared" si="41"/>
        <v>-0.98332998833849106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8">
        <v>45.137</v>
      </c>
      <c r="C95" s="390"/>
      <c r="D95" s="393">
        <f t="shared" si="24"/>
        <v>45.802257664261553</v>
      </c>
      <c r="E95" s="385">
        <f t="shared" si="45"/>
        <v>49.206111506202269</v>
      </c>
      <c r="F95" s="385">
        <f t="shared" si="25"/>
        <v>49.211875232179629</v>
      </c>
      <c r="G95" s="110">
        <f t="shared" si="46"/>
        <v>0.93499953468531849</v>
      </c>
      <c r="H95" s="412" t="b">
        <f>Wh_hp&gt;='2019'!Maxi_hp</f>
        <v>0</v>
      </c>
      <c r="I95" s="380">
        <f>IF(H95,Wh_hp,'2019'!Maxi_hp)</f>
        <v>52.117627843898426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1.4524560538871412E-2</v>
      </c>
      <c r="M95" s="957"/>
      <c r="N95" s="957"/>
      <c r="O95" s="48">
        <f>IF(t&lt;Tnet,'2019'!Resal+('2019'!Salim-'2019'!Resal)*(1-EXP(('2019'!Tnet-t)/('2019'!Tau_j))),Resal+(Salim-Resal)*(1-EXP((Tnet-t)/(Tau_j))))*Salcycl</f>
        <v>6.9175428371568662E-2</v>
      </c>
      <c r="P95" s="169">
        <f>(INDEX(Models!$BJ95:$BT95,,T95)*(1-R95)+INDEX(Models!$BJ95:$BT95,,T95+1)*R95-ERP_i)*Q95*Ramure*Pc/MaxiM</f>
        <v>1.2910717483128088E-4</v>
      </c>
      <c r="Q95" s="305">
        <f t="shared" si="27"/>
        <v>0.7</v>
      </c>
      <c r="R95" s="177">
        <f t="shared" si="28"/>
        <v>1.7370809222683636E-2</v>
      </c>
      <c r="S95" s="919">
        <f t="shared" si="29"/>
        <v>-1</v>
      </c>
      <c r="T95" s="176">
        <f t="shared" si="30"/>
        <v>5</v>
      </c>
      <c r="U95" s="251">
        <f t="shared" si="31"/>
        <v>-0.98262919077731636</v>
      </c>
      <c r="V95" s="383">
        <f t="shared" si="32"/>
        <v>48.274311618002635</v>
      </c>
      <c r="W95" s="402"/>
      <c r="X95" s="157">
        <f t="shared" si="33"/>
        <v>43911</v>
      </c>
      <c r="Y95" s="385">
        <f t="shared" si="34"/>
        <v>45.137</v>
      </c>
      <c r="Z95" s="385">
        <f t="shared" si="35"/>
        <v>45.802257664261553</v>
      </c>
      <c r="AA95" s="386">
        <f t="shared" si="36"/>
        <v>49.206111506202269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6.9175428371568662E-2</v>
      </c>
      <c r="AD95" s="231">
        <f>(INDEX(Models!$BJ95:$BT95,,AH95)*(1-AF95)+INDEX(Models!$BJ95:$BT95,,AH95+1)*AF95-ERP_i)*AE95*Ramure*Pc/MaxiM</f>
        <v>1.2910717483128088E-4</v>
      </c>
      <c r="AE95" s="305">
        <f t="shared" si="38"/>
        <v>0.7</v>
      </c>
      <c r="AF95" s="177">
        <f t="shared" si="39"/>
        <v>1.7370809222683636E-2</v>
      </c>
      <c r="AG95" s="919">
        <f t="shared" si="47"/>
        <v>-1</v>
      </c>
      <c r="AH95" s="176">
        <f t="shared" si="40"/>
        <v>5</v>
      </c>
      <c r="AI95" s="225">
        <f t="shared" si="41"/>
        <v>-0.98262919077731636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8">
        <v>34.767000000000003</v>
      </c>
      <c r="C96" s="390"/>
      <c r="D96" s="393">
        <f t="shared" si="24"/>
        <v>35.280190769865882</v>
      </c>
      <c r="E96" s="385">
        <f t="shared" si="45"/>
        <v>37.90416153597517</v>
      </c>
      <c r="F96" s="385">
        <f t="shared" si="25"/>
        <v>37.906939683691569</v>
      </c>
      <c r="G96" s="110">
        <f t="shared" si="46"/>
        <v>0.71651566740493455</v>
      </c>
      <c r="H96" s="412" t="b">
        <f>Wh_hp&gt;='2019'!Maxi_hp</f>
        <v>0</v>
      </c>
      <c r="I96" s="380">
        <f>IF(H96,Wh_hp,'2019'!Maxi_hp)</f>
        <v>48.866978588273319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1.4546144980151721E-2</v>
      </c>
      <c r="M96" s="957"/>
      <c r="N96" s="957"/>
      <c r="O96" s="48">
        <f>IF(t&lt;Tnet,'2019'!Resal+('2019'!Salim-'2019'!Resal)*(1-EXP(('2019'!Tnet-t)/('2019'!Tau_j))),Resal+(Salim-Resal)*(1-EXP((Tnet-t)/(Tau_j))))*Salcycl</f>
        <v>6.9226455876589071E-2</v>
      </c>
      <c r="P96" s="169">
        <f>(INDEX(Models!$BJ96:$BT96,,T96)*(1-R96)+INDEX(Models!$BJ96:$BT96,,T96+1)*R96-ERP_i)*Q96*Ramure*Pc/MaxiM</f>
        <v>1.2315896946254399E-4</v>
      </c>
      <c r="Q96" s="305">
        <f t="shared" si="27"/>
        <v>0.7</v>
      </c>
      <c r="R96" s="177">
        <f t="shared" si="28"/>
        <v>1.8098848924978261E-2</v>
      </c>
      <c r="S96" s="919">
        <f t="shared" si="29"/>
        <v>-1</v>
      </c>
      <c r="T96" s="176">
        <f t="shared" si="30"/>
        <v>5</v>
      </c>
      <c r="U96" s="251">
        <f t="shared" si="31"/>
        <v>-0.98190115107502174</v>
      </c>
      <c r="V96" s="383">
        <f t="shared" si="32"/>
        <v>48.51989651081351</v>
      </c>
      <c r="W96" s="402"/>
      <c r="X96" s="157">
        <f t="shared" si="33"/>
        <v>43912</v>
      </c>
      <c r="Y96" s="385">
        <f t="shared" si="34"/>
        <v>34.767000000000003</v>
      </c>
      <c r="Z96" s="385">
        <f t="shared" si="35"/>
        <v>35.280190769865882</v>
      </c>
      <c r="AA96" s="386">
        <f t="shared" si="36"/>
        <v>37.90416153597517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6.9226455876589071E-2</v>
      </c>
      <c r="AD96" s="231">
        <f>(INDEX(Models!$BJ96:$BT96,,AH96)*(1-AF96)+INDEX(Models!$BJ96:$BT96,,AH96+1)*AF96-ERP_i)*AE96*Ramure*Pc/MaxiM</f>
        <v>1.2315896946254399E-4</v>
      </c>
      <c r="AE96" s="305">
        <f t="shared" si="38"/>
        <v>0.7</v>
      </c>
      <c r="AF96" s="177">
        <f t="shared" si="39"/>
        <v>1.8098848924978261E-2</v>
      </c>
      <c r="AG96" s="919">
        <f t="shared" si="47"/>
        <v>-1</v>
      </c>
      <c r="AH96" s="176">
        <f t="shared" si="40"/>
        <v>5</v>
      </c>
      <c r="AI96" s="225">
        <f t="shared" si="41"/>
        <v>-0.98190115107502174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8">
        <v>36.328000000000003</v>
      </c>
      <c r="C97" s="390"/>
      <c r="D97" s="393">
        <f t="shared" si="24"/>
        <v>36.865039909077616</v>
      </c>
      <c r="E97" s="385">
        <f t="shared" si="45"/>
        <v>39.609072269364468</v>
      </c>
      <c r="F97" s="385">
        <f t="shared" si="25"/>
        <v>39.612036900750056</v>
      </c>
      <c r="G97" s="110">
        <f t="shared" si="46"/>
        <v>0.7449576578275382</v>
      </c>
      <c r="H97" s="412" t="b">
        <f>Wh_hp&gt;='2019'!Maxi_hp</f>
        <v>0</v>
      </c>
      <c r="I97" s="380">
        <f>IF(H97,Wh_hp,'2019'!Maxi_hp)</f>
        <v>52.635831121779191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1.4567728948677305E-2</v>
      </c>
      <c r="M97" s="957"/>
      <c r="N97" s="957"/>
      <c r="O97" s="48">
        <f>IF(t&lt;Tnet,'2019'!Resal+('2019'!Salim-'2019'!Resal)*(1-EXP(('2019'!Tnet-t)/('2019'!Tau_j))),Resal+(Salim-Resal)*(1-EXP((Tnet-t)/(Tau_j))))*Salcycl</f>
        <v>6.9277875069273381E-2</v>
      </c>
      <c r="P97" s="169">
        <f>(INDEX(Models!$BJ97:$BT97,,T97)*(1-R97)+INDEX(Models!$BJ97:$BT97,,T97+1)*R97-ERP_i)*Q97*Ramure*Pc/MaxiM</f>
        <v>1.177312333898486E-4</v>
      </c>
      <c r="Q97" s="305">
        <f t="shared" si="27"/>
        <v>0.7</v>
      </c>
      <c r="R97" s="177">
        <f t="shared" si="28"/>
        <v>1.8855099377538154E-2</v>
      </c>
      <c r="S97" s="919">
        <f t="shared" si="29"/>
        <v>-1</v>
      </c>
      <c r="T97" s="176">
        <f t="shared" si="30"/>
        <v>5</v>
      </c>
      <c r="U97" s="251">
        <f t="shared" si="31"/>
        <v>-0.98114490062246185</v>
      </c>
      <c r="V97" s="383">
        <f t="shared" si="32"/>
        <v>48.763096009533683</v>
      </c>
      <c r="W97" s="402"/>
      <c r="X97" s="157">
        <f t="shared" si="33"/>
        <v>43913</v>
      </c>
      <c r="Y97" s="385">
        <f t="shared" si="34"/>
        <v>36.328000000000003</v>
      </c>
      <c r="Z97" s="385">
        <f t="shared" si="35"/>
        <v>36.865039909077616</v>
      </c>
      <c r="AA97" s="386">
        <f t="shared" si="36"/>
        <v>39.609072269364468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6.9277875069273381E-2</v>
      </c>
      <c r="AD97" s="231">
        <f>(INDEX(Models!$BJ97:$BT97,,AH97)*(1-AF97)+INDEX(Models!$BJ97:$BT97,,AH97+1)*AF97-ERP_i)*AE97*Ramure*Pc/MaxiM</f>
        <v>1.177312333898486E-4</v>
      </c>
      <c r="AE97" s="305">
        <f t="shared" si="38"/>
        <v>0.7</v>
      </c>
      <c r="AF97" s="177">
        <f t="shared" si="39"/>
        <v>1.8855099377538154E-2</v>
      </c>
      <c r="AG97" s="919">
        <f t="shared" si="47"/>
        <v>-1</v>
      </c>
      <c r="AH97" s="176">
        <f t="shared" si="40"/>
        <v>5</v>
      </c>
      <c r="AI97" s="225">
        <f t="shared" si="41"/>
        <v>-0.98114490062246185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8">
        <v>43.63</v>
      </c>
      <c r="C98" s="390"/>
      <c r="D98" s="393">
        <f t="shared" si="24"/>
        <v>44.275955752246546</v>
      </c>
      <c r="E98" s="385">
        <f t="shared" si="45"/>
        <v>47.574265983034785</v>
      </c>
      <c r="F98" s="385">
        <f t="shared" si="25"/>
        <v>47.578792902284313</v>
      </c>
      <c r="G98" s="110">
        <f t="shared" si="46"/>
        <v>0.89033396378666718</v>
      </c>
      <c r="H98" s="412" t="b">
        <f>Wh_hp&gt;='2019'!Maxi_hp</f>
        <v>1</v>
      </c>
      <c r="I98" s="380">
        <f>IF(H98,Wh_hp,'2019'!Maxi_hp)</f>
        <v>47.578792902284313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1.4589312444458491E-2</v>
      </c>
      <c r="M98" s="957"/>
      <c r="N98" s="957"/>
      <c r="O98" s="48">
        <f>IF(t&lt;Tnet,'2019'!Resal+('2019'!Salim-'2019'!Resal)*(1-EXP(('2019'!Tnet-t)/('2019'!Tau_j))),Resal+(Salim-Resal)*(1-EXP((Tnet-t)/(Tau_j))))*Salcycl</f>
        <v>6.932971350444872E-2</v>
      </c>
      <c r="P98" s="169">
        <f>(INDEX(Models!$BJ98:$BT98,,T98)*(1-R98)+INDEX(Models!$BJ98:$BT98,,T98+1)*R98-ERP_i)*Q98*Ramure*Pc/MaxiM</f>
        <v>1.1281790259725855E-4</v>
      </c>
      <c r="Q98" s="305">
        <f t="shared" si="27"/>
        <v>0.7</v>
      </c>
      <c r="R98" s="177">
        <f t="shared" si="28"/>
        <v>1.9640556212785376E-2</v>
      </c>
      <c r="S98" s="919">
        <f t="shared" si="29"/>
        <v>-1</v>
      </c>
      <c r="T98" s="176">
        <f t="shared" si="30"/>
        <v>5</v>
      </c>
      <c r="U98" s="251">
        <f t="shared" si="31"/>
        <v>-0.98035944378721462</v>
      </c>
      <c r="V98" s="383">
        <f t="shared" si="32"/>
        <v>49.003217516747419</v>
      </c>
      <c r="W98" s="402"/>
      <c r="X98" s="157">
        <f t="shared" si="33"/>
        <v>43914</v>
      </c>
      <c r="Y98" s="385">
        <f t="shared" si="34"/>
        <v>43.63</v>
      </c>
      <c r="Z98" s="385">
        <f t="shared" si="35"/>
        <v>44.275955752246546</v>
      </c>
      <c r="AA98" s="386">
        <f t="shared" si="36"/>
        <v>47.574265983034785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6.932971350444872E-2</v>
      </c>
      <c r="AD98" s="231">
        <f>(INDEX(Models!$BJ98:$BT98,,AH98)*(1-AF98)+INDEX(Models!$BJ98:$BT98,,AH98+1)*AF98-ERP_i)*AE98*Ramure*Pc/MaxiM</f>
        <v>1.1281790259725855E-4</v>
      </c>
      <c r="AE98" s="305">
        <f t="shared" si="38"/>
        <v>0.7</v>
      </c>
      <c r="AF98" s="177">
        <f t="shared" si="39"/>
        <v>1.9640556212785376E-2</v>
      </c>
      <c r="AG98" s="919">
        <f t="shared" si="47"/>
        <v>-1</v>
      </c>
      <c r="AH98" s="176">
        <f t="shared" si="40"/>
        <v>5</v>
      </c>
      <c r="AI98" s="225">
        <f t="shared" si="41"/>
        <v>-0.98035944378721462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8">
        <v>49.701999999999998</v>
      </c>
      <c r="C99" s="390"/>
      <c r="D99" s="393">
        <f t="shared" si="24"/>
        <v>50.43895834791121</v>
      </c>
      <c r="E99" s="385">
        <f t="shared" si="45"/>
        <v>54.199422622418872</v>
      </c>
      <c r="F99" s="385">
        <f t="shared" si="25"/>
        <v>54.205299187768553</v>
      </c>
      <c r="G99" s="110">
        <f t="shared" si="46"/>
        <v>1.0093914588239334</v>
      </c>
      <c r="H99" s="412" t="b">
        <f>Wh_hp&gt;='2019'!Maxi_hp</f>
        <v>0</v>
      </c>
      <c r="I99" s="380">
        <f>IF(H99,Wh_hp,'2019'!Maxi_hp)</f>
        <v>56.081839676566283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1.4610895467505824E-2</v>
      </c>
      <c r="M99" s="957"/>
      <c r="N99" s="957"/>
      <c r="O99" s="48">
        <f>IF(t&lt;Tnet,'2019'!Resal+('2019'!Salim-'2019'!Resal)*(1-EXP(('2019'!Tnet-t)/('2019'!Tau_j))),Resal+(Salim-Resal)*(1-EXP((Tnet-t)/(Tau_j))))*Salcycl</f>
        <v>6.9381998784470419E-2</v>
      </c>
      <c r="P99" s="169">
        <f>(INDEX(Models!$BJ99:$BT99,,T99)*(1-R99)+INDEX(Models!$BJ99:$BT99,,T99+1)*R99-ERP_i)*Q99*Ramure*Pc/MaxiM</f>
        <v>1.0841311528091001E-4</v>
      </c>
      <c r="Q99" s="305">
        <f t="shared" si="27"/>
        <v>0.7</v>
      </c>
      <c r="R99" s="177">
        <f t="shared" si="28"/>
        <v>2.0456242214188958E-2</v>
      </c>
      <c r="S99" s="919">
        <f t="shared" si="29"/>
        <v>-1</v>
      </c>
      <c r="T99" s="176">
        <f t="shared" si="30"/>
        <v>5</v>
      </c>
      <c r="U99" s="251">
        <f t="shared" si="31"/>
        <v>-0.97954375778581104</v>
      </c>
      <c r="V99" s="383">
        <f t="shared" si="32"/>
        <v>49.239568618808214</v>
      </c>
      <c r="W99" s="402"/>
      <c r="X99" s="157">
        <f t="shared" si="33"/>
        <v>43915</v>
      </c>
      <c r="Y99" s="385">
        <f t="shared" si="34"/>
        <v>49.701999999999998</v>
      </c>
      <c r="Z99" s="385">
        <f t="shared" si="35"/>
        <v>50.43895834791121</v>
      </c>
      <c r="AA99" s="386">
        <f t="shared" si="36"/>
        <v>54.199422622418872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6.9381998784470419E-2</v>
      </c>
      <c r="AD99" s="231">
        <f>(INDEX(Models!$BJ99:$BT99,,AH99)*(1-AF99)+INDEX(Models!$BJ99:$BT99,,AH99+1)*AF99-ERP_i)*AE99*Ramure*Pc/MaxiM</f>
        <v>1.0841311528091001E-4</v>
      </c>
      <c r="AE99" s="305">
        <f t="shared" si="38"/>
        <v>0.7</v>
      </c>
      <c r="AF99" s="177">
        <f t="shared" si="39"/>
        <v>2.0456242214188958E-2</v>
      </c>
      <c r="AG99" s="919">
        <f t="shared" si="47"/>
        <v>-1</v>
      </c>
      <c r="AH99" s="176">
        <f t="shared" si="40"/>
        <v>5</v>
      </c>
      <c r="AI99" s="225">
        <f t="shared" si="41"/>
        <v>-0.97954375778581104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8">
        <v>31.452000000000002</v>
      </c>
      <c r="C100" s="390"/>
      <c r="D100" s="393">
        <f t="shared" si="24"/>
        <v>31.919054868716394</v>
      </c>
      <c r="E100" s="385">
        <f t="shared" si="45"/>
        <v>34.300716859690837</v>
      </c>
      <c r="F100" s="385">
        <f t="shared" si="25"/>
        <v>34.30243831389474</v>
      </c>
      <c r="G100" s="110">
        <f t="shared" si="46"/>
        <v>0.63572599398035434</v>
      </c>
      <c r="H100" s="412" t="b">
        <f>Wh_hp&gt;='2019'!Maxi_hp</f>
        <v>0</v>
      </c>
      <c r="I100" s="380">
        <f>IF(H100,Wh_hp,'2019'!Maxi_hp)</f>
        <v>55.275486537639232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1.4632478017829631E-2</v>
      </c>
      <c r="M100" s="957"/>
      <c r="N100" s="957"/>
      <c r="O100" s="48">
        <f>IF(t&lt;Tnet,'2019'!Resal+('2019'!Salim-'2019'!Resal)*(1-EXP(('2019'!Tnet-t)/('2019'!Tau_j))),Resal+(Salim-Resal)*(1-EXP((Tnet-t)/(Tau_j))))*Salcycl</f>
        <v>6.9434758483817624E-2</v>
      </c>
      <c r="P100" s="169">
        <f>(INDEX(Models!$BJ100:$BT100,,T100)*(1-R100)+INDEX(Models!$BJ100:$BT100,,T100+1)*R100-ERP_i)*Q100*Ramure*Pc/MaxiM</f>
        <v>1.0462579714053314E-4</v>
      </c>
      <c r="Q100" s="305">
        <f t="shared" si="27"/>
        <v>0.7</v>
      </c>
      <c r="R100" s="177">
        <f t="shared" si="28"/>
        <v>2.1303207382153522E-2</v>
      </c>
      <c r="S100" s="919">
        <f t="shared" si="29"/>
        <v>-1</v>
      </c>
      <c r="T100" s="176">
        <f t="shared" si="30"/>
        <v>5</v>
      </c>
      <c r="U100" s="251">
        <f t="shared" si="31"/>
        <v>-0.97869679261784648</v>
      </c>
      <c r="V100" s="383">
        <f t="shared" si="32"/>
        <v>49.471451423076587</v>
      </c>
      <c r="W100" s="402"/>
      <c r="X100" s="157">
        <f t="shared" si="33"/>
        <v>43916</v>
      </c>
      <c r="Y100" s="385">
        <f t="shared" si="34"/>
        <v>31.452000000000002</v>
      </c>
      <c r="Z100" s="385">
        <f t="shared" si="35"/>
        <v>31.91905486871639</v>
      </c>
      <c r="AA100" s="386">
        <f t="shared" si="36"/>
        <v>34.300716859690837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6.9434758483817624E-2</v>
      </c>
      <c r="AD100" s="231">
        <f>(INDEX(Models!$BJ100:$BT100,,AH100)*(1-AF100)+INDEX(Models!$BJ100:$BT100,,AH100+1)*AF100-ERP_i)*AE100*Ramure*Pc/MaxiM</f>
        <v>1.0462579714053314E-4</v>
      </c>
      <c r="AE100" s="305">
        <f t="shared" si="38"/>
        <v>0.7</v>
      </c>
      <c r="AF100" s="177">
        <f t="shared" si="39"/>
        <v>2.1303207382153522E-2</v>
      </c>
      <c r="AG100" s="919">
        <f t="shared" si="47"/>
        <v>-1</v>
      </c>
      <c r="AH100" s="176">
        <f t="shared" si="40"/>
        <v>5</v>
      </c>
      <c r="AI100" s="225">
        <f t="shared" si="41"/>
        <v>-0.97869679261784648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8">
        <v>46.645000000000003</v>
      </c>
      <c r="C101" s="390"/>
      <c r="D101" s="393">
        <f t="shared" si="24"/>
        <v>47.3387042164278</v>
      </c>
      <c r="E101" s="385">
        <f t="shared" si="45"/>
        <v>50.873825633394006</v>
      </c>
      <c r="F101" s="385">
        <f t="shared" si="25"/>
        <v>50.878515616816593</v>
      </c>
      <c r="G101" s="110">
        <f t="shared" si="46"/>
        <v>0.93855697184333653</v>
      </c>
      <c r="H101" s="412" t="b">
        <f>Wh_hp&gt;='2019'!Maxi_hp</f>
        <v>0</v>
      </c>
      <c r="I101" s="380">
        <f>IF(H101,Wh_hp,'2019'!Maxi_hp)</f>
        <v>54.062253279945516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1.4654060095440125E-2</v>
      </c>
      <c r="M101" s="957"/>
      <c r="N101" s="957"/>
      <c r="O101" s="48">
        <f>IF(t&lt;Tnet,'2019'!Resal+('2019'!Salim-'2019'!Resal)*(1-EXP(('2019'!Tnet-t)/('2019'!Tau_j))),Resal+(Salim-Resal)*(1-EXP((Tnet-t)/(Tau_j))))*Salcycl</f>
        <v>6.9488020076196602E-2</v>
      </c>
      <c r="P101" s="169">
        <f>(INDEX(Models!$BJ101:$BT101,,T101)*(1-R101)+INDEX(Models!$BJ101:$BT101,,T101+1)*R101-ERP_i)*Q101*Ramure*Pc/MaxiM</f>
        <v>1.010484376147496E-4</v>
      </c>
      <c r="Q101" s="305">
        <f t="shared" si="27"/>
        <v>0.7</v>
      </c>
      <c r="R101" s="177">
        <f t="shared" si="28"/>
        <v>2.2182528931817824E-2</v>
      </c>
      <c r="S101" s="919">
        <f t="shared" si="29"/>
        <v>-1</v>
      </c>
      <c r="T101" s="176">
        <f t="shared" si="30"/>
        <v>5</v>
      </c>
      <c r="U101" s="251">
        <f t="shared" si="31"/>
        <v>-0.97781747106818218</v>
      </c>
      <c r="V101" s="383">
        <f t="shared" si="32"/>
        <v>49.698193817345462</v>
      </c>
      <c r="W101" s="402"/>
      <c r="X101" s="157">
        <f t="shared" si="33"/>
        <v>43917</v>
      </c>
      <c r="Y101" s="385">
        <f t="shared" si="34"/>
        <v>46.645000000000003</v>
      </c>
      <c r="Z101" s="385">
        <f t="shared" si="35"/>
        <v>47.3387042164278</v>
      </c>
      <c r="AA101" s="386">
        <f t="shared" si="36"/>
        <v>50.873825633394006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6.9488020076196602E-2</v>
      </c>
      <c r="AD101" s="231">
        <f>(INDEX(Models!$BJ101:$BT101,,AH101)*(1-AF101)+INDEX(Models!$BJ101:$BT101,,AH101+1)*AF101-ERP_i)*AE101*Ramure*Pc/MaxiM</f>
        <v>1.010484376147496E-4</v>
      </c>
      <c r="AE101" s="305">
        <f t="shared" si="38"/>
        <v>0.7</v>
      </c>
      <c r="AF101" s="177">
        <f t="shared" si="39"/>
        <v>2.2182528931817824E-2</v>
      </c>
      <c r="AG101" s="919">
        <f t="shared" si="47"/>
        <v>-1</v>
      </c>
      <c r="AH101" s="176">
        <f t="shared" si="40"/>
        <v>5</v>
      </c>
      <c r="AI101" s="225">
        <f t="shared" si="41"/>
        <v>-0.97781747106818218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8">
        <v>45.598999999999997</v>
      </c>
      <c r="C102" s="390"/>
      <c r="D102" s="393">
        <f t="shared" si="24"/>
        <v>46.27816171995277</v>
      </c>
      <c r="E102" s="385">
        <f t="shared" si="45"/>
        <v>49.736959984135865</v>
      </c>
      <c r="F102" s="385">
        <f t="shared" si="25"/>
        <v>49.741217980536938</v>
      </c>
      <c r="G102" s="110">
        <f t="shared" si="46"/>
        <v>0.91344686934845654</v>
      </c>
      <c r="H102" s="412" t="b">
        <f>Wh_hp&gt;='2019'!Maxi_hp</f>
        <v>0</v>
      </c>
      <c r="I102" s="380">
        <f>IF(H102,Wh_hp,'2019'!Maxi_hp)</f>
        <v>54.775024406883986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1.4675641700347741E-2</v>
      </c>
      <c r="M102" s="957"/>
      <c r="N102" s="957"/>
      <c r="O102" s="48">
        <f>IF(t&lt;Tnet,'2019'!Resal+('2019'!Salim-'2019'!Resal)*(1-EXP(('2019'!Tnet-t)/('2019'!Tau_j))),Resal+(Salim-Resal)*(1-EXP((Tnet-t)/(Tau_j))))*Salcycl</f>
        <v>6.9541810864321277E-2</v>
      </c>
      <c r="P102" s="169">
        <f>(INDEX(Models!$BJ102:$BT102,,T102)*(1-R102)+INDEX(Models!$BJ102:$BT102,,T102+1)*R102-ERP_i)*Q102*Ramure*Pc/MaxiM</f>
        <v>9.767921260456107E-5</v>
      </c>
      <c r="Q102" s="305">
        <f t="shared" si="27"/>
        <v>0.7</v>
      </c>
      <c r="R102" s="177">
        <f t="shared" si="28"/>
        <v>2.3095311216204228E-2</v>
      </c>
      <c r="S102" s="919">
        <f t="shared" si="29"/>
        <v>-1</v>
      </c>
      <c r="T102" s="176">
        <f t="shared" si="30"/>
        <v>5</v>
      </c>
      <c r="U102" s="251">
        <f t="shared" si="31"/>
        <v>-0.97690468878379577</v>
      </c>
      <c r="V102" s="383">
        <f t="shared" si="32"/>
        <v>49.919104020983454</v>
      </c>
      <c r="W102" s="402"/>
      <c r="X102" s="157">
        <f t="shared" si="33"/>
        <v>43918</v>
      </c>
      <c r="Y102" s="385">
        <f t="shared" si="34"/>
        <v>45.598999999999997</v>
      </c>
      <c r="Z102" s="385">
        <f t="shared" si="35"/>
        <v>46.27816171995277</v>
      </c>
      <c r="AA102" s="386">
        <f t="shared" si="36"/>
        <v>49.736959984135865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6.9541810864321277E-2</v>
      </c>
      <c r="AD102" s="231">
        <f>(INDEX(Models!$BJ102:$BT102,,AH102)*(1-AF102)+INDEX(Models!$BJ102:$BT102,,AH102+1)*AF102-ERP_i)*AE102*Ramure*Pc/MaxiM</f>
        <v>9.767921260456107E-5</v>
      </c>
      <c r="AE102" s="305">
        <f t="shared" si="38"/>
        <v>0.7</v>
      </c>
      <c r="AF102" s="177">
        <f t="shared" si="39"/>
        <v>2.3095311216204228E-2</v>
      </c>
      <c r="AG102" s="919">
        <f t="shared" si="47"/>
        <v>-1</v>
      </c>
      <c r="AH102" s="176">
        <f t="shared" si="40"/>
        <v>5</v>
      </c>
      <c r="AI102" s="225">
        <f t="shared" si="41"/>
        <v>-0.97690468878379577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8">
        <v>32.200000000000003</v>
      </c>
      <c r="C103" s="390"/>
      <c r="D103" s="393">
        <f t="shared" si="24"/>
        <v>32.68030979529869</v>
      </c>
      <c r="E103" s="385">
        <f t="shared" si="45"/>
        <v>35.124865479891731</v>
      </c>
      <c r="F103" s="385">
        <f t="shared" si="25"/>
        <v>35.126488903874247</v>
      </c>
      <c r="G103" s="110">
        <f t="shared" si="46"/>
        <v>0.64225419708908726</v>
      </c>
      <c r="H103" s="412" t="b">
        <f>Wh_hp&gt;='2019'!Maxi_hp</f>
        <v>0</v>
      </c>
      <c r="I103" s="380">
        <f>IF(H103,Wh_hp,'2019'!Maxi_hp)</f>
        <v>56.1503147173473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1.4697222832562806E-2</v>
      </c>
      <c r="M103" s="957"/>
      <c r="N103" s="957"/>
      <c r="O103" s="48">
        <f>IF(t&lt;Tnet,'2019'!Resal+('2019'!Salim-'2019'!Resal)*(1-EXP(('2019'!Tnet-t)/('2019'!Tau_j))),Resal+(Salim-Resal)*(1-EXP((Tnet-t)/(Tau_j))))*Salcycl</f>
        <v>6.9596157912476544E-2</v>
      </c>
      <c r="P103" s="169">
        <f>(INDEX(Models!$BJ103:$BT103,,T103)*(1-R103)+INDEX(Models!$BJ103:$BT103,,T103+1)*R103-ERP_i)*Q103*Ramure*Pc/MaxiM</f>
        <v>9.4516386191119273E-5</v>
      </c>
      <c r="Q103" s="305">
        <f t="shared" si="27"/>
        <v>0.7</v>
      </c>
      <c r="R103" s="177">
        <f t="shared" si="28"/>
        <v>2.4042685567822519E-2</v>
      </c>
      <c r="S103" s="919">
        <f t="shared" si="29"/>
        <v>-1</v>
      </c>
      <c r="T103" s="176">
        <f t="shared" si="30"/>
        <v>5</v>
      </c>
      <c r="U103" s="251">
        <f t="shared" si="31"/>
        <v>-0.97595731443217748</v>
      </c>
      <c r="V103" s="383">
        <f t="shared" si="32"/>
        <v>50.133490475071184</v>
      </c>
      <c r="W103" s="402"/>
      <c r="X103" s="157">
        <f t="shared" si="33"/>
        <v>43919</v>
      </c>
      <c r="Y103" s="385">
        <f t="shared" si="34"/>
        <v>32.200000000000003</v>
      </c>
      <c r="Z103" s="385">
        <f t="shared" si="35"/>
        <v>32.68030979529869</v>
      </c>
      <c r="AA103" s="386">
        <f t="shared" si="36"/>
        <v>35.124865479891731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6.9596157912476544E-2</v>
      </c>
      <c r="AD103" s="231">
        <f>(INDEX(Models!$BJ103:$BT103,,AH103)*(1-AF103)+INDEX(Models!$BJ103:$BT103,,AH103+1)*AF103-ERP_i)*AE103*Ramure*Pc/MaxiM</f>
        <v>9.4516386191119273E-5</v>
      </c>
      <c r="AE103" s="305">
        <f t="shared" si="38"/>
        <v>0.7</v>
      </c>
      <c r="AF103" s="177">
        <f t="shared" si="39"/>
        <v>2.4042685567822519E-2</v>
      </c>
      <c r="AG103" s="919">
        <f t="shared" si="47"/>
        <v>-1</v>
      </c>
      <c r="AH103" s="176">
        <f t="shared" si="40"/>
        <v>5</v>
      </c>
      <c r="AI103" s="225">
        <f t="shared" si="41"/>
        <v>-0.97595731443217748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8">
        <v>18.411000000000001</v>
      </c>
      <c r="C104" s="390"/>
      <c r="D104" s="393">
        <f t="shared" si="24"/>
        <v>18.686036093303542</v>
      </c>
      <c r="E104" s="385">
        <f t="shared" si="45"/>
        <v>20.084976563008095</v>
      </c>
      <c r="F104" s="385">
        <f t="shared" si="25"/>
        <v>20.085149236930061</v>
      </c>
      <c r="G104" s="110">
        <f t="shared" si="46"/>
        <v>0.36569786553956291</v>
      </c>
      <c r="H104" s="412" t="b">
        <f>Wh_hp&gt;='2019'!Maxi_hp</f>
        <v>0</v>
      </c>
      <c r="I104" s="380">
        <f>IF(H104,Wh_hp,'2019'!Maxi_hp)</f>
        <v>47.803163330450126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1.4718803492095645E-2</v>
      </c>
      <c r="M104" s="957"/>
      <c r="N104" s="957"/>
      <c r="O104" s="48">
        <f>IF(t&lt;Tnet,'2019'!Resal+('2019'!Salim-'2019'!Resal)*(1-EXP(('2019'!Tnet-t)/('2019'!Tau_j))),Resal+(Salim-Resal)*(1-EXP((Tnet-t)/(Tau_j))))*Salcycl</f>
        <v>6.9651087981903767E-2</v>
      </c>
      <c r="P104" s="169">
        <f>(INDEX(Models!$BJ104:$BT104,,T104)*(1-R104)+INDEX(Models!$BJ104:$BT104,,T104+1)*R104-ERP_i)*Q104*Ramure*Pc/MaxiM</f>
        <v>9.155834726528175E-5</v>
      </c>
      <c r="Q104" s="305">
        <f t="shared" si="27"/>
        <v>0.7</v>
      </c>
      <c r="R104" s="177">
        <f t="shared" si="28"/>
        <v>2.5025810051486741E-2</v>
      </c>
      <c r="S104" s="919">
        <f t="shared" si="29"/>
        <v>-1</v>
      </c>
      <c r="T104" s="176">
        <f t="shared" si="30"/>
        <v>5</v>
      </c>
      <c r="U104" s="251">
        <f t="shared" si="31"/>
        <v>-0.97497418994851326</v>
      </c>
      <c r="V104" s="383">
        <f t="shared" si="32"/>
        <v>50.340661846845464</v>
      </c>
      <c r="W104" s="402"/>
      <c r="X104" s="157">
        <f t="shared" si="33"/>
        <v>43920</v>
      </c>
      <c r="Y104" s="385">
        <f t="shared" si="34"/>
        <v>18.411000000000001</v>
      </c>
      <c r="Z104" s="385">
        <f t="shared" si="35"/>
        <v>18.686036093303542</v>
      </c>
      <c r="AA104" s="386">
        <f t="shared" si="36"/>
        <v>20.084976563008095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6.9651087981903767E-2</v>
      </c>
      <c r="AD104" s="231">
        <f>(INDEX(Models!$BJ104:$BT104,,AH104)*(1-AF104)+INDEX(Models!$BJ104:$BT104,,AH104+1)*AF104-ERP_i)*AE104*Ramure*Pc/MaxiM</f>
        <v>9.155834726528175E-5</v>
      </c>
      <c r="AE104" s="305">
        <f t="shared" si="38"/>
        <v>0.7</v>
      </c>
      <c r="AF104" s="177">
        <f t="shared" si="39"/>
        <v>2.5025810051486741E-2</v>
      </c>
      <c r="AG104" s="919">
        <f t="shared" si="47"/>
        <v>-1</v>
      </c>
      <c r="AH104" s="176">
        <f t="shared" si="40"/>
        <v>5</v>
      </c>
      <c r="AI104" s="225">
        <f t="shared" si="41"/>
        <v>-0.97497418994851326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8">
        <v>42.649000000000001</v>
      </c>
      <c r="C105" s="390"/>
      <c r="D105" s="393">
        <f t="shared" si="24"/>
        <v>43.287067990517308</v>
      </c>
      <c r="E105" s="385">
        <f t="shared" si="45"/>
        <v>46.530556132790473</v>
      </c>
      <c r="F105" s="385">
        <f t="shared" si="25"/>
        <v>46.533766790743918</v>
      </c>
      <c r="G105" s="110">
        <f t="shared" si="46"/>
        <v>0.84385074673509641</v>
      </c>
      <c r="H105" s="412" t="b">
        <f>Wh_hp&gt;='2019'!Maxi_hp</f>
        <v>1</v>
      </c>
      <c r="I105" s="380">
        <f>IF(H105,Wh_hp,'2019'!Maxi_hp)</f>
        <v>46.533766790743918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1.4740383678956692E-2</v>
      </c>
      <c r="M105" s="957"/>
      <c r="N105" s="957"/>
      <c r="O105" s="48">
        <f>IF(t&lt;Tnet,'2019'!Resal+('2019'!Salim-'2019'!Resal)*(1-EXP(('2019'!Tnet-t)/('2019'!Tau_j))),Resal+(Salim-Resal)*(1-EXP((Tnet-t)/(Tau_j))))*Salcycl</f>
        <v>6.9706627468985968E-2</v>
      </c>
      <c r="P105" s="169">
        <f>(INDEX(Models!$BJ105:$BT105,,T105)*(1-R105)+INDEX(Models!$BJ105:$BT105,,T105+1)*R105-ERP_i)*Q105*Ramure*Pc/MaxiM</f>
        <v>8.8803645415009547E-5</v>
      </c>
      <c r="Q105" s="305">
        <f t="shared" si="27"/>
        <v>0.7</v>
      </c>
      <c r="R105" s="177">
        <f t="shared" si="28"/>
        <v>2.6045869120772003E-2</v>
      </c>
      <c r="S105" s="919">
        <f t="shared" si="29"/>
        <v>-1</v>
      </c>
      <c r="T105" s="176">
        <f t="shared" si="30"/>
        <v>5</v>
      </c>
      <c r="U105" s="251">
        <f t="shared" si="31"/>
        <v>-0.973954130879228</v>
      </c>
      <c r="V105" s="383">
        <f t="shared" si="32"/>
        <v>50.539927046868527</v>
      </c>
      <c r="W105" s="402"/>
      <c r="X105" s="157">
        <f t="shared" si="33"/>
        <v>43921</v>
      </c>
      <c r="Y105" s="385">
        <f t="shared" si="34"/>
        <v>42.649000000000001</v>
      </c>
      <c r="Z105" s="385">
        <f t="shared" si="35"/>
        <v>43.287067990517308</v>
      </c>
      <c r="AA105" s="386">
        <f t="shared" si="36"/>
        <v>46.530556132790473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6.9706627468985968E-2</v>
      </c>
      <c r="AD105" s="231">
        <f>(INDEX(Models!$BJ105:$BT105,,AH105)*(1-AF105)+INDEX(Models!$BJ105:$BT105,,AH105+1)*AF105-ERP_i)*AE105*Ramure*Pc/MaxiM</f>
        <v>8.8803645415009547E-5</v>
      </c>
      <c r="AE105" s="305">
        <f t="shared" si="38"/>
        <v>0.7</v>
      </c>
      <c r="AF105" s="177">
        <f t="shared" si="39"/>
        <v>2.6045869120772003E-2</v>
      </c>
      <c r="AG105" s="919">
        <f t="shared" si="47"/>
        <v>-1</v>
      </c>
      <c r="AH105" s="176">
        <f t="shared" si="40"/>
        <v>5</v>
      </c>
      <c r="AI105" s="225">
        <f t="shared" si="41"/>
        <v>-0.973954130879228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8">
        <v>40.764000000000003</v>
      </c>
      <c r="C106" s="390"/>
      <c r="D106" s="393">
        <f t="shared" si="24"/>
        <v>41.374772882694494</v>
      </c>
      <c r="E106" s="385">
        <f t="shared" si="45"/>
        <v>44.477659017555681</v>
      </c>
      <c r="F106" s="385">
        <f t="shared" si="25"/>
        <v>44.480418756560418</v>
      </c>
      <c r="G106" s="110">
        <f t="shared" si="46"/>
        <v>0.80351931563016654</v>
      </c>
      <c r="H106" s="412" t="b">
        <f>Wh_hp&gt;='2019'!Maxi_hp</f>
        <v>1</v>
      </c>
      <c r="I106" s="380">
        <f>IF(H106,Wh_hp,'2019'!Maxi_hp)</f>
        <v>44.480418756560418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1.4761963393156274E-2</v>
      </c>
      <c r="M106" s="957"/>
      <c r="N106" s="957"/>
      <c r="O106" s="48">
        <f>IF(t&lt;Tnet,'2019'!Resal+('2019'!Salim-'2019'!Resal)*(1-EXP(('2019'!Tnet-t)/('2019'!Tau_j))),Resal+(Salim-Resal)*(1-EXP((Tnet-t)/(Tau_j))))*Salcycl</f>
        <v>6.9762802346149802E-2</v>
      </c>
      <c r="P106" s="169">
        <f>(INDEX(Models!$BJ106:$BT106,,T106)*(1-R106)+INDEX(Models!$BJ106:$BT106,,T106+1)*R106-ERP_i)*Q106*Ramure*Pc/MaxiM</f>
        <v>8.6251026284440117E-5</v>
      </c>
      <c r="Q106" s="305">
        <f t="shared" si="27"/>
        <v>0.7</v>
      </c>
      <c r="R106" s="177">
        <f t="shared" si="28"/>
        <v>2.7104073170211351E-2</v>
      </c>
      <c r="S106" s="919">
        <f t="shared" si="29"/>
        <v>-1</v>
      </c>
      <c r="T106" s="176">
        <f t="shared" si="30"/>
        <v>5</v>
      </c>
      <c r="U106" s="251">
        <f t="shared" si="31"/>
        <v>-0.97289592682978865</v>
      </c>
      <c r="V106" s="383">
        <f t="shared" si="32"/>
        <v>50.730595228852806</v>
      </c>
      <c r="W106" s="402"/>
      <c r="X106" s="157">
        <f t="shared" si="33"/>
        <v>43922</v>
      </c>
      <c r="Y106" s="385">
        <f t="shared" si="34"/>
        <v>40.764000000000003</v>
      </c>
      <c r="Z106" s="385">
        <f t="shared" si="35"/>
        <v>41.374772882694494</v>
      </c>
      <c r="AA106" s="386">
        <f t="shared" si="36"/>
        <v>44.477659017555681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6.9762802346149802E-2</v>
      </c>
      <c r="AD106" s="231">
        <f>(INDEX(Models!$BJ106:$BT106,,AH106)*(1-AF106)+INDEX(Models!$BJ106:$BT106,,AH106+1)*AF106-ERP_i)*AE106*Ramure*Pc/MaxiM</f>
        <v>8.6251026284440117E-5</v>
      </c>
      <c r="AE106" s="305">
        <f t="shared" si="38"/>
        <v>0.7</v>
      </c>
      <c r="AF106" s="177">
        <f t="shared" si="39"/>
        <v>2.7104073170211351E-2</v>
      </c>
      <c r="AG106" s="919">
        <f t="shared" si="47"/>
        <v>-1</v>
      </c>
      <c r="AH106" s="176">
        <f t="shared" si="40"/>
        <v>5</v>
      </c>
      <c r="AI106" s="225">
        <f t="shared" si="41"/>
        <v>-0.97289592682978865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8">
        <v>23.545999999999999</v>
      </c>
      <c r="C107" s="390"/>
      <c r="D107" s="393">
        <f t="shared" si="24"/>
        <v>23.89931656538467</v>
      </c>
      <c r="E107" s="385">
        <f t="shared" si="45"/>
        <v>25.69320697838095</v>
      </c>
      <c r="F107" s="385">
        <f t="shared" si="25"/>
        <v>25.693707333446767</v>
      </c>
      <c r="G107" s="110">
        <f t="shared" si="46"/>
        <v>0.46244873426724953</v>
      </c>
      <c r="H107" s="412" t="b">
        <f>Wh_hp&gt;='2019'!Maxi_hp</f>
        <v>1</v>
      </c>
      <c r="I107" s="380">
        <f>IF(H107,Wh_hp,'2019'!Maxi_hp)</f>
        <v>25.693707333446767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1.4783542634704716E-2</v>
      </c>
      <c r="M107" s="957"/>
      <c r="N107" s="957"/>
      <c r="O107" s="48">
        <f>IF(t&lt;Tnet,'2019'!Resal+('2019'!Salim-'2019'!Resal)*(1-EXP(('2019'!Tnet-t)/('2019'!Tau_j))),Resal+(Salim-Resal)*(1-EXP((Tnet-t)/(Tau_j))))*Salcycl</f>
        <v>6.9819638105344861E-2</v>
      </c>
      <c r="P107" s="169">
        <f>(INDEX(Models!$BJ107:$BT107,,T107)*(1-R107)+INDEX(Models!$BJ107:$BT107,,T107+1)*R107-ERP_i)*Q107*Ramure*Pc/MaxiM</f>
        <v>8.3898382397588843E-5</v>
      </c>
      <c r="Q107" s="305">
        <f t="shared" si="27"/>
        <v>0.7</v>
      </c>
      <c r="R107" s="177">
        <f t="shared" si="28"/>
        <v>2.8201657975024941E-2</v>
      </c>
      <c r="S107" s="919">
        <f t="shared" si="29"/>
        <v>-1</v>
      </c>
      <c r="T107" s="176">
        <f t="shared" si="30"/>
        <v>5</v>
      </c>
      <c r="U107" s="251">
        <f t="shared" si="31"/>
        <v>-0.97179834202497506</v>
      </c>
      <c r="V107" s="383">
        <f t="shared" si="32"/>
        <v>50.912633737481428</v>
      </c>
      <c r="W107" s="402"/>
      <c r="X107" s="157">
        <f t="shared" si="33"/>
        <v>43923</v>
      </c>
      <c r="Y107" s="385">
        <f t="shared" si="34"/>
        <v>23.545999999999999</v>
      </c>
      <c r="Z107" s="385">
        <f t="shared" si="35"/>
        <v>23.89931656538467</v>
      </c>
      <c r="AA107" s="386">
        <f t="shared" si="36"/>
        <v>25.69320697838095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6.9819638105344861E-2</v>
      </c>
      <c r="AD107" s="231">
        <f>(INDEX(Models!$BJ107:$BT107,,AH107)*(1-AF107)+INDEX(Models!$BJ107:$BT107,,AH107+1)*AF107-ERP_i)*AE107*Ramure*Pc/MaxiM</f>
        <v>8.3898382397588843E-5</v>
      </c>
      <c r="AE107" s="305">
        <f t="shared" si="38"/>
        <v>0.7</v>
      </c>
      <c r="AF107" s="177">
        <f t="shared" si="39"/>
        <v>2.8201657975024941E-2</v>
      </c>
      <c r="AG107" s="919">
        <f t="shared" si="47"/>
        <v>-1</v>
      </c>
      <c r="AH107" s="176">
        <f t="shared" si="40"/>
        <v>5</v>
      </c>
      <c r="AI107" s="225">
        <f t="shared" si="41"/>
        <v>-0.97179834202497506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8">
        <v>51.075000000000003</v>
      </c>
      <c r="C108" s="390"/>
      <c r="D108" s="393">
        <f t="shared" si="24"/>
        <v>51.842535024914902</v>
      </c>
      <c r="E108" s="385">
        <f t="shared" si="45"/>
        <v>55.73729918126898</v>
      </c>
      <c r="F108" s="385">
        <f t="shared" si="25"/>
        <v>55.741875297523443</v>
      </c>
      <c r="G108" s="110">
        <f t="shared" si="46"/>
        <v>0.99976938390177916</v>
      </c>
      <c r="H108" s="412" t="b">
        <f>Wh_hp&gt;='2019'!Maxi_hp</f>
        <v>1</v>
      </c>
      <c r="I108" s="380">
        <f>IF(H108,Wh_hp,'2019'!Maxi_hp)</f>
        <v>55.741875297523443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1.4805121403612453E-2</v>
      </c>
      <c r="M108" s="957"/>
      <c r="N108" s="957"/>
      <c r="O108" s="48">
        <f>IF(t&lt;Tnet,'2019'!Resal+('2019'!Salim-'2019'!Resal)*(1-EXP(('2019'!Tnet-t)/('2019'!Tau_j))),Resal+(Salim-Resal)*(1-EXP((Tnet-t)/(Tau_j))))*Salcycl</f>
        <v>6.9877159703908856E-2</v>
      </c>
      <c r="P108" s="169">
        <f>(INDEX(Models!$BJ108:$BT108,,T108)*(1-R108)+INDEX(Models!$BJ108:$BT108,,T108+1)*R108-ERP_i)*Q108*Ramure*Pc/MaxiM</f>
        <v>8.2121818805267277E-5</v>
      </c>
      <c r="Q108" s="305">
        <f t="shared" si="27"/>
        <v>0.7</v>
      </c>
      <c r="R108" s="177">
        <f t="shared" si="28"/>
        <v>2.9339884009877637E-2</v>
      </c>
      <c r="S108" s="919">
        <f t="shared" si="29"/>
        <v>-1</v>
      </c>
      <c r="T108" s="176">
        <f t="shared" si="30"/>
        <v>5</v>
      </c>
      <c r="U108" s="251">
        <f t="shared" si="31"/>
        <v>-0.97066011599012236</v>
      </c>
      <c r="V108" s="383">
        <f t="shared" si="32"/>
        <v>51.086780052092514</v>
      </c>
      <c r="W108" s="402"/>
      <c r="X108" s="157">
        <f t="shared" si="33"/>
        <v>43924</v>
      </c>
      <c r="Y108" s="385">
        <f t="shared" si="34"/>
        <v>51.075000000000003</v>
      </c>
      <c r="Z108" s="385">
        <f t="shared" si="35"/>
        <v>51.842535024914902</v>
      </c>
      <c r="AA108" s="386">
        <f t="shared" si="36"/>
        <v>55.73729918126898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6.9877159703908856E-2</v>
      </c>
      <c r="AD108" s="231">
        <f>(INDEX(Models!$BJ108:$BT108,,AH108)*(1-AF108)+INDEX(Models!$BJ108:$BT108,,AH108+1)*AF108-ERP_i)*AE108*Ramure*Pc/MaxiM</f>
        <v>8.2121818805267277E-5</v>
      </c>
      <c r="AE108" s="305">
        <f t="shared" si="38"/>
        <v>0.7</v>
      </c>
      <c r="AF108" s="177">
        <f t="shared" si="39"/>
        <v>2.9339884009877637E-2</v>
      </c>
      <c r="AG108" s="919">
        <f t="shared" si="47"/>
        <v>-1</v>
      </c>
      <c r="AH108" s="176">
        <f t="shared" si="40"/>
        <v>5</v>
      </c>
      <c r="AI108" s="225">
        <f t="shared" si="41"/>
        <v>-0.97066011599012236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8">
        <v>53.375</v>
      </c>
      <c r="C109" s="390"/>
      <c r="D109" s="393">
        <f t="shared" si="24"/>
        <v>54.178285164387361</v>
      </c>
      <c r="E109" s="385">
        <f t="shared" si="45"/>
        <v>58.252173741454882</v>
      </c>
      <c r="F109" s="385">
        <f t="shared" si="25"/>
        <v>58.256884739736201</v>
      </c>
      <c r="G109" s="110">
        <f t="shared" si="46"/>
        <v>1.0413916811314192</v>
      </c>
      <c r="H109" s="412" t="b">
        <f>Wh_hp&gt;='2019'!Maxi_hp</f>
        <v>1</v>
      </c>
      <c r="I109" s="380">
        <f>IF(H109,Wh_hp,'2019'!Maxi_hp)</f>
        <v>58.256884739736201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1.48266996998897E-2</v>
      </c>
      <c r="M109" s="957"/>
      <c r="N109" s="957"/>
      <c r="O109" s="48">
        <f>IF(t&lt;Tnet,'2019'!Resal+('2019'!Salim-'2019'!Resal)*(1-EXP(('2019'!Tnet-t)/('2019'!Tau_j))),Resal+(Salim-Resal)*(1-EXP((Tnet-t)/(Tau_j))))*Salcycl</f>
        <v>6.9935391512580755E-2</v>
      </c>
      <c r="P109" s="169">
        <f>(INDEX(Models!$BJ109:$BT109,,T109)*(1-R109)+INDEX(Models!$BJ109:$BT109,,T109+1)*R109-ERP_i)*Q109*Ramure*Pc/MaxiM</f>
        <v>8.0865949189769663E-5</v>
      </c>
      <c r="Q109" s="305">
        <f t="shared" si="27"/>
        <v>0.7</v>
      </c>
      <c r="R109" s="177">
        <f t="shared" si="28"/>
        <v>3.0520035637896292E-2</v>
      </c>
      <c r="S109" s="919">
        <f t="shared" si="29"/>
        <v>-1</v>
      </c>
      <c r="T109" s="176">
        <f t="shared" si="30"/>
        <v>5</v>
      </c>
      <c r="U109" s="251">
        <f t="shared" si="31"/>
        <v>-0.96947996436210371</v>
      </c>
      <c r="V109" s="383">
        <f t="shared" si="32"/>
        <v>51.253530220263293</v>
      </c>
      <c r="W109" s="402"/>
      <c r="X109" s="157">
        <f t="shared" si="33"/>
        <v>43925</v>
      </c>
      <c r="Y109" s="385">
        <f t="shared" si="34"/>
        <v>53.375</v>
      </c>
      <c r="Z109" s="385">
        <f t="shared" si="35"/>
        <v>54.178285164387361</v>
      </c>
      <c r="AA109" s="386">
        <f t="shared" si="36"/>
        <v>58.252173741454882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6.9935391512580755E-2</v>
      </c>
      <c r="AD109" s="231">
        <f>(INDEX(Models!$BJ109:$BT109,,AH109)*(1-AF109)+INDEX(Models!$BJ109:$BT109,,AH109+1)*AF109-ERP_i)*AE109*Ramure*Pc/MaxiM</f>
        <v>8.0865949189769663E-5</v>
      </c>
      <c r="AE109" s="305">
        <f t="shared" si="38"/>
        <v>0.7</v>
      </c>
      <c r="AF109" s="177">
        <f t="shared" si="39"/>
        <v>3.0520035637896292E-2</v>
      </c>
      <c r="AG109" s="919">
        <f t="shared" si="47"/>
        <v>-1</v>
      </c>
      <c r="AH109" s="176">
        <f t="shared" si="40"/>
        <v>5</v>
      </c>
      <c r="AI109" s="225">
        <f t="shared" si="41"/>
        <v>-0.96947996436210371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8">
        <v>52.847000000000001</v>
      </c>
      <c r="C110" s="390"/>
      <c r="D110" s="393">
        <f t="shared" si="24"/>
        <v>53.643513779942801</v>
      </c>
      <c r="E110" s="385">
        <f t="shared" si="45"/>
        <v>57.680847636803307</v>
      </c>
      <c r="F110" s="385">
        <f t="shared" si="25"/>
        <v>57.685469912803519</v>
      </c>
      <c r="G110" s="110">
        <f t="shared" si="46"/>
        <v>1.0278842314667778</v>
      </c>
      <c r="H110" s="412" t="b">
        <f>Wh_hp&gt;='2019'!Maxi_hp</f>
        <v>1</v>
      </c>
      <c r="I110" s="380">
        <f>IF(H110,Wh_hp,'2019'!Maxi_hp)</f>
        <v>57.685469912803519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1.4848277523546893E-2</v>
      </c>
      <c r="M110" s="957"/>
      <c r="N110" s="957"/>
      <c r="O110" s="48">
        <f>IF(t&lt;Tnet,'2019'!Resal+('2019'!Salim-'2019'!Resal)*(1-EXP(('2019'!Tnet-t)/('2019'!Tau_j))),Resal+(Salim-Resal)*(1-EXP((Tnet-t)/(Tau_j))))*Salcycl</f>
        <v>6.9994357265382515E-2</v>
      </c>
      <c r="P110" s="169">
        <f>(INDEX(Models!$BJ110:$BT110,,T110)*(1-R110)+INDEX(Models!$BJ110:$BT110,,T110+1)*R110-ERP_i)*Q110*Ramure*Pc/MaxiM</f>
        <v>8.0128947674238443E-5</v>
      </c>
      <c r="Q110" s="305">
        <f t="shared" si="27"/>
        <v>0.7</v>
      </c>
      <c r="R110" s="177">
        <f t="shared" si="28"/>
        <v>3.1743420160936564E-2</v>
      </c>
      <c r="S110" s="919">
        <f t="shared" si="29"/>
        <v>-1</v>
      </c>
      <c r="T110" s="176">
        <f t="shared" si="30"/>
        <v>5</v>
      </c>
      <c r="U110" s="251">
        <f t="shared" si="31"/>
        <v>-0.96825657983906344</v>
      </c>
      <c r="V110" s="383">
        <f t="shared" si="32"/>
        <v>51.413377481808439</v>
      </c>
      <c r="W110" s="402"/>
      <c r="X110" s="157">
        <f t="shared" si="33"/>
        <v>43926</v>
      </c>
      <c r="Y110" s="385">
        <f t="shared" si="34"/>
        <v>52.847000000000001</v>
      </c>
      <c r="Z110" s="385">
        <f t="shared" si="35"/>
        <v>53.643513779942801</v>
      </c>
      <c r="AA110" s="386">
        <f t="shared" si="36"/>
        <v>57.680847636803307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6.9994357265382515E-2</v>
      </c>
      <c r="AD110" s="231">
        <f>(INDEX(Models!$BJ110:$BT110,,AH110)*(1-AF110)+INDEX(Models!$BJ110:$BT110,,AH110+1)*AF110-ERP_i)*AE110*Ramure*Pc/MaxiM</f>
        <v>8.0128947674238443E-5</v>
      </c>
      <c r="AE110" s="305">
        <f t="shared" si="38"/>
        <v>0.7</v>
      </c>
      <c r="AF110" s="177">
        <f t="shared" si="39"/>
        <v>3.1743420160936564E-2</v>
      </c>
      <c r="AG110" s="919">
        <f t="shared" si="47"/>
        <v>-1</v>
      </c>
      <c r="AH110" s="176">
        <f t="shared" si="40"/>
        <v>5</v>
      </c>
      <c r="AI110" s="225">
        <f t="shared" si="41"/>
        <v>-0.96825657983906344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8">
        <v>25.571000000000002</v>
      </c>
      <c r="C111" s="390"/>
      <c r="D111" s="393">
        <f t="shared" si="24"/>
        <v>25.956976473138837</v>
      </c>
      <c r="E111" s="385">
        <f t="shared" si="45"/>
        <v>27.912350508992443</v>
      </c>
      <c r="F111" s="385">
        <f t="shared" si="25"/>
        <v>27.912974676539108</v>
      </c>
      <c r="G111" s="110">
        <f t="shared" si="46"/>
        <v>0.49585238914962471</v>
      </c>
      <c r="H111" s="412" t="b">
        <f>Wh_hp&gt;='2019'!Maxi_hp</f>
        <v>0</v>
      </c>
      <c r="I111" s="380">
        <f>IF(H111,Wh_hp,'2019'!Maxi_hp)</f>
        <v>37.464794877296306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1.4869854874594357E-2</v>
      </c>
      <c r="M111" s="957"/>
      <c r="N111" s="957"/>
      <c r="O111" s="48">
        <f>IF(t&lt;Tnet,'2019'!Resal+('2019'!Salim-'2019'!Resal)*(1-EXP(('2019'!Tnet-t)/('2019'!Tau_j))),Resal+(Salim-Resal)*(1-EXP((Tnet-t)/(Tau_j))))*Salcycl</f>
        <v>7.0054080011056272E-2</v>
      </c>
      <c r="P111" s="169">
        <f>(INDEX(Models!$BJ111:$BT111,,T111)*(1-R111)+INDEX(Models!$BJ111:$BT111,,T111+1)*R111-ERP_i)*Q111*Ramure*Pc/MaxiM</f>
        <v>7.9909967029876528E-5</v>
      </c>
      <c r="Q111" s="305">
        <f t="shared" si="27"/>
        <v>0.7</v>
      </c>
      <c r="R111" s="177">
        <f t="shared" si="28"/>
        <v>3.3011366721885538E-2</v>
      </c>
      <c r="S111" s="919">
        <f t="shared" si="29"/>
        <v>-1</v>
      </c>
      <c r="T111" s="176">
        <f t="shared" si="30"/>
        <v>5</v>
      </c>
      <c r="U111" s="251">
        <f t="shared" si="31"/>
        <v>-0.96698863327811446</v>
      </c>
      <c r="V111" s="383">
        <f t="shared" si="32"/>
        <v>51.56681493733447</v>
      </c>
      <c r="W111" s="402"/>
      <c r="X111" s="157">
        <f t="shared" si="33"/>
        <v>43927</v>
      </c>
      <c r="Y111" s="385">
        <f t="shared" si="34"/>
        <v>25.571000000000002</v>
      </c>
      <c r="Z111" s="385">
        <f t="shared" si="35"/>
        <v>25.956976473138837</v>
      </c>
      <c r="AA111" s="386">
        <f t="shared" si="36"/>
        <v>27.912350508992443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7.0054080011056272E-2</v>
      </c>
      <c r="AD111" s="231">
        <f>(INDEX(Models!$BJ111:$BT111,,AH111)*(1-AF111)+INDEX(Models!$BJ111:$BT111,,AH111+1)*AF111-ERP_i)*AE111*Ramure*Pc/MaxiM</f>
        <v>7.9909967029876528E-5</v>
      </c>
      <c r="AE111" s="305">
        <f t="shared" si="38"/>
        <v>0.7</v>
      </c>
      <c r="AF111" s="177">
        <f t="shared" si="39"/>
        <v>3.3011366721885538E-2</v>
      </c>
      <c r="AG111" s="919">
        <f t="shared" si="47"/>
        <v>-1</v>
      </c>
      <c r="AH111" s="176">
        <f t="shared" si="40"/>
        <v>5</v>
      </c>
      <c r="AI111" s="225">
        <f t="shared" si="41"/>
        <v>-0.96698863327811446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8">
        <v>33.348999999999997</v>
      </c>
      <c r="C112" s="390"/>
      <c r="D112" s="393">
        <f t="shared" si="24"/>
        <v>33.853121447665366</v>
      </c>
      <c r="E112" s="385">
        <f t="shared" si="45"/>
        <v>36.405691276317881</v>
      </c>
      <c r="F112" s="385">
        <f t="shared" si="25"/>
        <v>36.407129965205129</v>
      </c>
      <c r="G112" s="110">
        <f t="shared" si="46"/>
        <v>0.64484330196392359</v>
      </c>
      <c r="H112" s="412" t="b">
        <f>Wh_hp&gt;='2019'!Maxi_hp</f>
        <v>1</v>
      </c>
      <c r="I112" s="380">
        <f>IF(H112,Wh_hp,'2019'!Maxi_hp)</f>
        <v>36.407129965205129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1.4891431753042528E-2</v>
      </c>
      <c r="M112" s="957"/>
      <c r="N112" s="957"/>
      <c r="O112" s="48">
        <f>IF(t&lt;Tnet,'2019'!Resal+('2019'!Salim-'2019'!Resal)*(1-EXP(('2019'!Tnet-t)/('2019'!Tau_j))),Resal+(Salim-Resal)*(1-EXP((Tnet-t)/(Tau_j))))*Salcycl</f>
        <v>7.0114582065716094E-2</v>
      </c>
      <c r="P112" s="169">
        <f>(INDEX(Models!$BJ112:$BT112,,T112)*(1-R112)+INDEX(Models!$BJ112:$BT112,,T112+1)*R112-ERP_i)*Q112*Ramure*Pc/MaxiM</f>
        <v>8.0209099713927711E-5</v>
      </c>
      <c r="Q112" s="305">
        <f t="shared" si="27"/>
        <v>0.7</v>
      </c>
      <c r="R112" s="177">
        <f t="shared" si="28"/>
        <v>3.4325225049629093E-2</v>
      </c>
      <c r="S112" s="919">
        <f t="shared" si="29"/>
        <v>-1</v>
      </c>
      <c r="T112" s="176">
        <f t="shared" si="30"/>
        <v>5</v>
      </c>
      <c r="U112" s="251">
        <f t="shared" si="31"/>
        <v>-0.96567477495037091</v>
      </c>
      <c r="V112" s="383">
        <f t="shared" si="32"/>
        <v>51.714335549873617</v>
      </c>
      <c r="W112" s="402"/>
      <c r="X112" s="157">
        <f t="shared" si="33"/>
        <v>43928</v>
      </c>
      <c r="Y112" s="385">
        <f t="shared" si="34"/>
        <v>33.348999999999997</v>
      </c>
      <c r="Z112" s="385">
        <f t="shared" si="35"/>
        <v>33.853121447665366</v>
      </c>
      <c r="AA112" s="386">
        <f t="shared" si="36"/>
        <v>36.405691276317881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7.0114582065716094E-2</v>
      </c>
      <c r="AD112" s="231">
        <f>(INDEX(Models!$BJ112:$BT112,,AH112)*(1-AF112)+INDEX(Models!$BJ112:$BT112,,AH112+1)*AF112-ERP_i)*AE112*Ramure*Pc/MaxiM</f>
        <v>8.0209099713927711E-5</v>
      </c>
      <c r="AE112" s="305">
        <f t="shared" si="38"/>
        <v>0.7</v>
      </c>
      <c r="AF112" s="177">
        <f t="shared" si="39"/>
        <v>3.4325225049629093E-2</v>
      </c>
      <c r="AG112" s="919">
        <f t="shared" si="47"/>
        <v>-1</v>
      </c>
      <c r="AH112" s="176">
        <f t="shared" si="40"/>
        <v>5</v>
      </c>
      <c r="AI112" s="225">
        <f t="shared" si="41"/>
        <v>-0.96567477495037091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8">
        <v>39.085999999999999</v>
      </c>
      <c r="C113" s="390"/>
      <c r="D113" s="393">
        <f t="shared" si="24"/>
        <v>39.677714073707769</v>
      </c>
      <c r="E113" s="385">
        <f t="shared" si="45"/>
        <v>42.672279017276324</v>
      </c>
      <c r="F113" s="385">
        <f t="shared" si="25"/>
        <v>42.674520339673073</v>
      </c>
      <c r="G113" s="110">
        <f t="shared" si="46"/>
        <v>0.75371336098785113</v>
      </c>
      <c r="H113" s="412" t="b">
        <f>Wh_hp&gt;='2019'!Maxi_hp</f>
        <v>0</v>
      </c>
      <c r="I113" s="380">
        <f>IF(H113,Wh_hp,'2019'!Maxi_hp)</f>
        <v>45.992596170964376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1.4913008158901619E-2</v>
      </c>
      <c r="M113" s="957"/>
      <c r="N113" s="957"/>
      <c r="O113" s="48">
        <f>IF(t&lt;Tnet,'2019'!Resal+('2019'!Salim-'2019'!Resal)*(1-EXP(('2019'!Tnet-t)/('2019'!Tau_j))),Resal+(Salim-Resal)*(1-EXP((Tnet-t)/(Tau_j))))*Salcycl</f>
        <v>7.0175884966354213E-2</v>
      </c>
      <c r="P113" s="169">
        <f>(INDEX(Models!$BJ113:$BT113,,T113)*(1-R113)+INDEX(Models!$BJ113:$BT113,,T113+1)*R113-ERP_i)*Q113*Ramure*Pc/MaxiM</f>
        <v>8.1027340943516714E-5</v>
      </c>
      <c r="Q113" s="305">
        <f t="shared" si="27"/>
        <v>0.7</v>
      </c>
      <c r="R113" s="177">
        <f t="shared" si="28"/>
        <v>3.5686364037195162E-2</v>
      </c>
      <c r="S113" s="919">
        <f t="shared" si="29"/>
        <v>-1</v>
      </c>
      <c r="T113" s="176">
        <f t="shared" si="30"/>
        <v>5</v>
      </c>
      <c r="U113" s="251">
        <f t="shared" si="31"/>
        <v>-0.96431363596280484</v>
      </c>
      <c r="V113" s="383">
        <f t="shared" si="32"/>
        <v>51.856432137747703</v>
      </c>
      <c r="W113" s="402"/>
      <c r="X113" s="157">
        <f t="shared" si="33"/>
        <v>43929</v>
      </c>
      <c r="Y113" s="385">
        <f t="shared" si="34"/>
        <v>39.085999999999999</v>
      </c>
      <c r="Z113" s="385">
        <f t="shared" si="35"/>
        <v>39.677714073707769</v>
      </c>
      <c r="AA113" s="386">
        <f t="shared" si="36"/>
        <v>42.672279017276324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7.0175884966354213E-2</v>
      </c>
      <c r="AD113" s="231">
        <f>(INDEX(Models!$BJ113:$BT113,,AH113)*(1-AF113)+INDEX(Models!$BJ113:$BT113,,AH113+1)*AF113-ERP_i)*AE113*Ramure*Pc/MaxiM</f>
        <v>8.1027340943516714E-5</v>
      </c>
      <c r="AE113" s="305">
        <f t="shared" si="38"/>
        <v>0.7</v>
      </c>
      <c r="AF113" s="177">
        <f t="shared" si="39"/>
        <v>3.5686364037195162E-2</v>
      </c>
      <c r="AG113" s="919">
        <f t="shared" si="47"/>
        <v>-1</v>
      </c>
      <c r="AH113" s="176">
        <f t="shared" si="40"/>
        <v>5</v>
      </c>
      <c r="AI113" s="225">
        <f t="shared" si="41"/>
        <v>-0.96431363596280484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8">
        <v>51.713999999999999</v>
      </c>
      <c r="C114" s="390"/>
      <c r="D114" s="393">
        <f t="shared" si="24"/>
        <v>52.498036338369815</v>
      </c>
      <c r="E114" s="385">
        <f t="shared" si="45"/>
        <v>56.463951925904595</v>
      </c>
      <c r="F114" s="385">
        <f t="shared" si="25"/>
        <v>56.468611933419304</v>
      </c>
      <c r="G114" s="110">
        <f t="shared" si="46"/>
        <v>0.99462262171705762</v>
      </c>
      <c r="H114" s="412" t="b">
        <f>Wh_hp&gt;='2019'!Maxi_hp</f>
        <v>1</v>
      </c>
      <c r="I114" s="380">
        <f>IF(H114,Wh_hp,'2019'!Maxi_hp)</f>
        <v>56.468611933419304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1.4934584092182068E-2</v>
      </c>
      <c r="M114" s="957"/>
      <c r="N114" s="957"/>
      <c r="O114" s="48">
        <f>IF(t&lt;Tnet,'2019'!Resal+('2019'!Salim-'2019'!Resal)*(1-EXP(('2019'!Tnet-t)/('2019'!Tau_j))),Resal+(Salim-Resal)*(1-EXP((Tnet-t)/(Tau_j))))*Salcycl</f>
        <v>7.0238009424829093E-2</v>
      </c>
      <c r="P114" s="169">
        <f>(INDEX(Models!$BJ114:$BT114,,T114)*(1-R114)+INDEX(Models!$BJ114:$BT114,,T114+1)*R114-ERP_i)*Q114*Ramure*Pc/MaxiM</f>
        <v>8.3162631764465423E-5</v>
      </c>
      <c r="Q114" s="305">
        <f t="shared" si="27"/>
        <v>0.7</v>
      </c>
      <c r="R114" s="177">
        <f t="shared" si="28"/>
        <v>3.7096170143537721E-2</v>
      </c>
      <c r="S114" s="919">
        <f t="shared" si="29"/>
        <v>-1</v>
      </c>
      <c r="T114" s="176">
        <f t="shared" si="30"/>
        <v>5</v>
      </c>
      <c r="U114" s="251">
        <f t="shared" si="31"/>
        <v>-0.96290382985646228</v>
      </c>
      <c r="V114" s="383">
        <f t="shared" si="32"/>
        <v>51.99355598233835</v>
      </c>
      <c r="W114" s="402"/>
      <c r="X114" s="157">
        <f t="shared" si="33"/>
        <v>43930</v>
      </c>
      <c r="Y114" s="385">
        <f t="shared" si="34"/>
        <v>51.713999999999999</v>
      </c>
      <c r="Z114" s="385">
        <f t="shared" si="35"/>
        <v>52.498036338369815</v>
      </c>
      <c r="AA114" s="386">
        <f t="shared" si="36"/>
        <v>56.463951925904595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7.0238009424829093E-2</v>
      </c>
      <c r="AD114" s="231">
        <f>(INDEX(Models!$BJ114:$BT114,,AH114)*(1-AF114)+INDEX(Models!$BJ114:$BT114,,AH114+1)*AF114-ERP_i)*AE114*Ramure*Pc/MaxiM</f>
        <v>8.3162631764465423E-5</v>
      </c>
      <c r="AE114" s="305">
        <f t="shared" si="38"/>
        <v>0.7</v>
      </c>
      <c r="AF114" s="177">
        <f t="shared" si="39"/>
        <v>3.7096170143537721E-2</v>
      </c>
      <c r="AG114" s="919">
        <f t="shared" si="47"/>
        <v>-1</v>
      </c>
      <c r="AH114" s="176">
        <f t="shared" si="40"/>
        <v>5</v>
      </c>
      <c r="AI114" s="225">
        <f t="shared" si="41"/>
        <v>-0.96290382985646228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8">
        <v>52.128</v>
      </c>
      <c r="C115" s="390"/>
      <c r="D115" s="393">
        <f t="shared" si="24"/>
        <v>52.919472067699438</v>
      </c>
      <c r="E115" s="385">
        <f t="shared" si="45"/>
        <v>56.921079468432104</v>
      </c>
      <c r="F115" s="385">
        <f t="shared" si="25"/>
        <v>56.926003902955259</v>
      </c>
      <c r="G115" s="110">
        <f t="shared" si="46"/>
        <v>1.0000344332543809</v>
      </c>
      <c r="H115" s="412" t="b">
        <f>Wh_hp&gt;='2019'!Maxi_hp</f>
        <v>1</v>
      </c>
      <c r="I115" s="380">
        <f>IF(H115,Wh_hp,'2019'!Maxi_hp)</f>
        <v>56.926003902955259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1.4956159552894199E-2</v>
      </c>
      <c r="M115" s="957"/>
      <c r="N115" s="957"/>
      <c r="O115" s="48">
        <f>IF(t&lt;Tnet,'2019'!Resal+('2019'!Salim-'2019'!Resal)*(1-EXP(('2019'!Tnet-t)/('2019'!Tau_j))),Resal+(Salim-Resal)*(1-EXP((Tnet-t)/(Tau_j))))*Salcycl</f>
        <v>7.0300975281958986E-2</v>
      </c>
      <c r="P115" s="169">
        <f>(INDEX(Models!$BJ115:$BT115,,T115)*(1-R115)+INDEX(Models!$BJ115:$BT115,,T115+1)*R115-ERP_i)*Q115*Ramure*Pc/MaxiM</f>
        <v>8.6505888091957788E-5</v>
      </c>
      <c r="Q115" s="305">
        <f t="shared" si="27"/>
        <v>0.7</v>
      </c>
      <c r="R115" s="177">
        <f t="shared" si="28"/>
        <v>3.8556045609434819E-2</v>
      </c>
      <c r="S115" s="919">
        <f t="shared" si="29"/>
        <v>-1</v>
      </c>
      <c r="T115" s="176">
        <f t="shared" si="30"/>
        <v>5</v>
      </c>
      <c r="U115" s="251">
        <f t="shared" si="31"/>
        <v>-0.96144395439056518</v>
      </c>
      <c r="V115" s="383">
        <f t="shared" si="32"/>
        <v>52.126205125119014</v>
      </c>
      <c r="W115" s="402"/>
      <c r="X115" s="157">
        <f t="shared" si="33"/>
        <v>43931</v>
      </c>
      <c r="Y115" s="385">
        <f t="shared" si="34"/>
        <v>52.128</v>
      </c>
      <c r="Z115" s="385">
        <f t="shared" si="35"/>
        <v>52.919472067699438</v>
      </c>
      <c r="AA115" s="386">
        <f t="shared" si="36"/>
        <v>56.921079468432104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7.0300975281958986E-2</v>
      </c>
      <c r="AD115" s="231">
        <f>(INDEX(Models!$BJ115:$BT115,,AH115)*(1-AF115)+INDEX(Models!$BJ115:$BT115,,AH115+1)*AF115-ERP_i)*AE115*Ramure*Pc/MaxiM</f>
        <v>8.6505888091957788E-5</v>
      </c>
      <c r="AE115" s="305">
        <f t="shared" si="38"/>
        <v>0.7</v>
      </c>
      <c r="AF115" s="177">
        <f t="shared" si="39"/>
        <v>3.8556045609434819E-2</v>
      </c>
      <c r="AG115" s="919">
        <f t="shared" si="47"/>
        <v>-1</v>
      </c>
      <c r="AH115" s="176">
        <f t="shared" si="40"/>
        <v>5</v>
      </c>
      <c r="AI115" s="225">
        <f t="shared" si="41"/>
        <v>-0.96144395439056518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8">
        <v>51.448</v>
      </c>
      <c r="C116" s="390"/>
      <c r="D116" s="393">
        <f t="shared" si="24"/>
        <v>52.230291440192801</v>
      </c>
      <c r="E116" s="385">
        <f t="shared" si="45"/>
        <v>56.183642274191783</v>
      </c>
      <c r="F116" s="385">
        <f t="shared" si="25"/>
        <v>56.188646193151911</v>
      </c>
      <c r="G116" s="110">
        <f t="shared" si="46"/>
        <v>0.9845569449875845</v>
      </c>
      <c r="H116" s="412" t="b">
        <f>Wh_hp&gt;='2019'!Maxi_hp</f>
        <v>0</v>
      </c>
      <c r="I116" s="380">
        <f>IF(H116,Wh_hp,'2019'!Maxi_hp)</f>
        <v>56.893751444283453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1.4977734541048338E-2</v>
      </c>
      <c r="M116" s="957"/>
      <c r="N116" s="957"/>
      <c r="O116" s="48">
        <f>IF(t&lt;Tnet,'2019'!Resal+('2019'!Salim-'2019'!Resal)*(1-EXP(('2019'!Tnet-t)/('2019'!Tau_j))),Resal+(Salim-Resal)*(1-EXP((Tnet-t)/(Tau_j))))*Salcycl</f>
        <v>7.0364801461349366E-2</v>
      </c>
      <c r="P116" s="169">
        <f>(INDEX(Models!$BJ116:$BT116,,T116)*(1-R116)+INDEX(Models!$BJ116:$BT116,,T116+1)*R116-ERP_i)*Q116*Ramure*Pc/MaxiM</f>
        <v>9.1064457260752517E-5</v>
      </c>
      <c r="Q116" s="305">
        <f t="shared" si="27"/>
        <v>0.7</v>
      </c>
      <c r="R116" s="177">
        <f t="shared" si="28"/>
        <v>4.0067406478063172E-2</v>
      </c>
      <c r="S116" s="919">
        <f t="shared" si="29"/>
        <v>-1</v>
      </c>
      <c r="T116" s="176">
        <f t="shared" si="30"/>
        <v>5</v>
      </c>
      <c r="U116" s="251">
        <f t="shared" si="31"/>
        <v>-0.95993259352193683</v>
      </c>
      <c r="V116" s="383">
        <f t="shared" si="32"/>
        <v>52.254871499244722</v>
      </c>
      <c r="W116" s="402"/>
      <c r="X116" s="157">
        <f t="shared" si="33"/>
        <v>43932</v>
      </c>
      <c r="Y116" s="385">
        <f t="shared" si="34"/>
        <v>51.448</v>
      </c>
      <c r="Z116" s="385">
        <f t="shared" si="35"/>
        <v>52.230291440192801</v>
      </c>
      <c r="AA116" s="386">
        <f t="shared" si="36"/>
        <v>56.183642274191783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7.0364801461349366E-2</v>
      </c>
      <c r="AD116" s="231">
        <f>(INDEX(Models!$BJ116:$BT116,,AH116)*(1-AF116)+INDEX(Models!$BJ116:$BT116,,AH116+1)*AF116-ERP_i)*AE116*Ramure*Pc/MaxiM</f>
        <v>9.1064457260752517E-5</v>
      </c>
      <c r="AE116" s="305">
        <f t="shared" si="38"/>
        <v>0.7</v>
      </c>
      <c r="AF116" s="177">
        <f t="shared" si="39"/>
        <v>4.0067406478063172E-2</v>
      </c>
      <c r="AG116" s="919">
        <f t="shared" si="47"/>
        <v>-1</v>
      </c>
      <c r="AH116" s="176">
        <f t="shared" si="40"/>
        <v>5</v>
      </c>
      <c r="AI116" s="225">
        <f t="shared" si="41"/>
        <v>-0.95993259352193683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8">
        <v>40.603999999999999</v>
      </c>
      <c r="C117" s="390"/>
      <c r="D117" s="393">
        <f t="shared" si="24"/>
        <v>41.222306109362357</v>
      </c>
      <c r="E117" s="385">
        <f t="shared" si="45"/>
        <v>44.345540625485633</v>
      </c>
      <c r="F117" s="385">
        <f t="shared" si="25"/>
        <v>44.348456222261383</v>
      </c>
      <c r="G117" s="110">
        <f t="shared" si="46"/>
        <v>0.77515656044145709</v>
      </c>
      <c r="H117" s="412" t="b">
        <f>Wh_hp&gt;='2019'!Maxi_hp</f>
        <v>0</v>
      </c>
      <c r="I117" s="380">
        <f>IF(H117,Wh_hp,'2019'!Maxi_hp)</f>
        <v>58.336070770675065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1.4999309056654919E-2</v>
      </c>
      <c r="M117" s="957"/>
      <c r="N117" s="957"/>
      <c r="O117" s="48">
        <f>IF(t&lt;Tnet,'2019'!Resal+('2019'!Salim-'2019'!Resal)*(1-EXP(('2019'!Tnet-t)/('2019'!Tau_j))),Resal+(Salim-Resal)*(1-EXP((Tnet-t)/(Tau_j))))*Salcycl</f>
        <v>7.0429505922594102E-2</v>
      </c>
      <c r="P117" s="169">
        <f>(INDEX(Models!$BJ117:$BT117,,T117)*(1-R117)+INDEX(Models!$BJ117:$BT117,,T117+1)*R117-ERP_i)*Q117*Ramure*Pc/MaxiM</f>
        <v>9.6847457946092793E-5</v>
      </c>
      <c r="Q117" s="305">
        <f t="shared" si="27"/>
        <v>0.7</v>
      </c>
      <c r="R117" s="177">
        <f t="shared" si="28"/>
        <v>4.1631680410984639E-2</v>
      </c>
      <c r="S117" s="919">
        <f t="shared" si="29"/>
        <v>-1</v>
      </c>
      <c r="T117" s="176">
        <f t="shared" si="30"/>
        <v>5</v>
      </c>
      <c r="U117" s="251">
        <f t="shared" si="31"/>
        <v>-0.95836831958901536</v>
      </c>
      <c r="V117" s="383">
        <f t="shared" si="32"/>
        <v>52.380046844945653</v>
      </c>
      <c r="W117" s="402"/>
      <c r="X117" s="157">
        <f t="shared" si="33"/>
        <v>43933</v>
      </c>
      <c r="Y117" s="385">
        <f t="shared" si="34"/>
        <v>40.603999999999999</v>
      </c>
      <c r="Z117" s="385">
        <f t="shared" si="35"/>
        <v>41.222306109362357</v>
      </c>
      <c r="AA117" s="386">
        <f t="shared" si="36"/>
        <v>44.345540625485633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7.0429505922594102E-2</v>
      </c>
      <c r="AD117" s="231">
        <f>(INDEX(Models!$BJ117:$BT117,,AH117)*(1-AF117)+INDEX(Models!$BJ117:$BT117,,AH117+1)*AF117-ERP_i)*AE117*Ramure*Pc/MaxiM</f>
        <v>9.6847457946092793E-5</v>
      </c>
      <c r="AE117" s="305">
        <f t="shared" si="38"/>
        <v>0.7</v>
      </c>
      <c r="AF117" s="177">
        <f t="shared" si="39"/>
        <v>4.1631680410984639E-2</v>
      </c>
      <c r="AG117" s="919">
        <f t="shared" si="47"/>
        <v>-1</v>
      </c>
      <c r="AH117" s="176">
        <f t="shared" si="40"/>
        <v>5</v>
      </c>
      <c r="AI117" s="225">
        <f t="shared" si="41"/>
        <v>-0.95836831958901536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8">
        <v>16.279</v>
      </c>
      <c r="C118" s="390"/>
      <c r="D118" s="393">
        <f t="shared" si="24"/>
        <v>16.527253949535424</v>
      </c>
      <c r="E118" s="385">
        <f t="shared" si="45"/>
        <v>17.780706749741313</v>
      </c>
      <c r="F118" s="385">
        <f t="shared" si="25"/>
        <v>17.780733299096404</v>
      </c>
      <c r="G118" s="110">
        <f t="shared" si="46"/>
        <v>0.31003132122699106</v>
      </c>
      <c r="H118" s="412" t="b">
        <f>Wh_hp&gt;='2019'!Maxi_hp</f>
        <v>0</v>
      </c>
      <c r="I118" s="380">
        <f>IF(H118,Wh_hp,'2019'!Maxi_hp)</f>
        <v>27.807110867726973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1.5020883099724158E-2</v>
      </c>
      <c r="M118" s="957"/>
      <c r="N118" s="957"/>
      <c r="O118" s="48">
        <f>IF(t&lt;Tnet,'2019'!Resal+('2019'!Salim-'2019'!Resal)*(1-EXP(('2019'!Tnet-t)/('2019'!Tau_j))),Resal+(Salim-Resal)*(1-EXP((Tnet-t)/(Tau_j))))*Salcycl</f>
        <v>7.0495105613511327E-2</v>
      </c>
      <c r="P118" s="169">
        <f>(INDEX(Models!$BJ118:$BT118,,T118)*(1-R118)+INDEX(Models!$BJ118:$BT118,,T118+1)*R118-ERP_i)*Q118*Ramure*Pc/MaxiM</f>
        <v>1.0386569877160384E-4</v>
      </c>
      <c r="Q118" s="305">
        <f t="shared" si="27"/>
        <v>0.7</v>
      </c>
      <c r="R118" s="177">
        <f t="shared" si="28"/>
        <v>4.3250304290548214E-2</v>
      </c>
      <c r="S118" s="919">
        <f t="shared" si="29"/>
        <v>-1</v>
      </c>
      <c r="T118" s="176">
        <f t="shared" si="30"/>
        <v>5</v>
      </c>
      <c r="U118" s="251">
        <f t="shared" si="31"/>
        <v>-0.95674969570945179</v>
      </c>
      <c r="V118" s="383">
        <f t="shared" si="32"/>
        <v>52.502222712270118</v>
      </c>
      <c r="W118" s="402"/>
      <c r="X118" s="157">
        <f t="shared" si="33"/>
        <v>43934</v>
      </c>
      <c r="Y118" s="385">
        <f t="shared" si="34"/>
        <v>16.279</v>
      </c>
      <c r="Z118" s="385">
        <f t="shared" si="35"/>
        <v>16.527253949535424</v>
      </c>
      <c r="AA118" s="386">
        <f t="shared" si="36"/>
        <v>17.780706749741313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7.0495105613511327E-2</v>
      </c>
      <c r="AD118" s="231">
        <f>(INDEX(Models!$BJ118:$BT118,,AH118)*(1-AF118)+INDEX(Models!$BJ118:$BT118,,AH118+1)*AF118-ERP_i)*AE118*Ramure*Pc/MaxiM</f>
        <v>1.0386569877160384E-4</v>
      </c>
      <c r="AE118" s="305">
        <f t="shared" si="38"/>
        <v>0.7</v>
      </c>
      <c r="AF118" s="177">
        <f t="shared" si="39"/>
        <v>4.3250304290548214E-2</v>
      </c>
      <c r="AG118" s="919">
        <f t="shared" si="47"/>
        <v>-1</v>
      </c>
      <c r="AH118" s="176">
        <f t="shared" si="40"/>
        <v>5</v>
      </c>
      <c r="AI118" s="225">
        <f t="shared" si="41"/>
        <v>-0.95674969570945179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8">
        <v>49.320999999999998</v>
      </c>
      <c r="C119" s="390"/>
      <c r="D119" s="393">
        <f t="shared" si="24"/>
        <v>50.074239579166154</v>
      </c>
      <c r="E119" s="385">
        <f t="shared" si="45"/>
        <v>53.875803349491797</v>
      </c>
      <c r="F119" s="385">
        <f t="shared" si="25"/>
        <v>53.881303727994826</v>
      </c>
      <c r="G119" s="110">
        <f t="shared" si="46"/>
        <v>0.93726211518257463</v>
      </c>
      <c r="H119" s="412" t="b">
        <f>Wh_hp&gt;='2019'!Maxi_hp</f>
        <v>1</v>
      </c>
      <c r="I119" s="380">
        <f>IF(H119,Wh_hp,'2019'!Maxi_hp)</f>
        <v>53.881303727994826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1.5042456670266602E-2</v>
      </c>
      <c r="M119" s="957"/>
      <c r="N119" s="957"/>
      <c r="O119" s="48">
        <f>IF(t&lt;Tnet,'2019'!Resal+('2019'!Salim-'2019'!Resal)*(1-EXP(('2019'!Tnet-t)/('2019'!Tau_j))),Resal+(Salim-Resal)*(1-EXP((Tnet-t)/(Tau_j))))*Salcycl</f>
        <v>7.0561616421103437E-2</v>
      </c>
      <c r="P119" s="169">
        <f>(INDEX(Models!$BJ119:$BT119,,T119)*(1-R119)+INDEX(Models!$BJ119:$BT119,,T119+1)*R119-ERP_i)*Q119*Ramure*Pc/MaxiM</f>
        <v>1.1213159528381337E-4</v>
      </c>
      <c r="Q119" s="305">
        <f t="shared" si="27"/>
        <v>0.7</v>
      </c>
      <c r="R119" s="177">
        <f t="shared" si="28"/>
        <v>4.4924721600079764E-2</v>
      </c>
      <c r="S119" s="919">
        <f t="shared" si="29"/>
        <v>-1</v>
      </c>
      <c r="T119" s="176">
        <f t="shared" si="30"/>
        <v>5</v>
      </c>
      <c r="U119" s="251">
        <f t="shared" si="31"/>
        <v>-0.95507527839992024</v>
      </c>
      <c r="V119" s="383">
        <f t="shared" si="32"/>
        <v>52.621890457260307</v>
      </c>
      <c r="W119" s="402"/>
      <c r="X119" s="157">
        <f t="shared" si="33"/>
        <v>43935</v>
      </c>
      <c r="Y119" s="385">
        <f t="shared" si="34"/>
        <v>49.320999999999998</v>
      </c>
      <c r="Z119" s="385">
        <f t="shared" si="35"/>
        <v>50.074239579166154</v>
      </c>
      <c r="AA119" s="386">
        <f t="shared" si="36"/>
        <v>53.875803349491797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7.0561616421103437E-2</v>
      </c>
      <c r="AD119" s="231">
        <f>(INDEX(Models!$BJ119:$BT119,,AH119)*(1-AF119)+INDEX(Models!$BJ119:$BT119,,AH119+1)*AF119-ERP_i)*AE119*Ramure*Pc/MaxiM</f>
        <v>1.1213159528381337E-4</v>
      </c>
      <c r="AE119" s="305">
        <f t="shared" si="38"/>
        <v>0.7</v>
      </c>
      <c r="AF119" s="177">
        <f t="shared" si="39"/>
        <v>4.4924721600079764E-2</v>
      </c>
      <c r="AG119" s="919">
        <f t="shared" si="47"/>
        <v>-1</v>
      </c>
      <c r="AH119" s="176">
        <f t="shared" si="40"/>
        <v>5</v>
      </c>
      <c r="AI119" s="225">
        <f t="shared" si="41"/>
        <v>-0.95507527839992024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8">
        <v>48.87</v>
      </c>
      <c r="C120" s="390"/>
      <c r="D120" s="393">
        <f t="shared" si="24"/>
        <v>49.61743857167005</v>
      </c>
      <c r="E120" s="385">
        <f t="shared" si="45"/>
        <v>53.388196326012519</v>
      </c>
      <c r="F120" s="385">
        <f t="shared" si="25"/>
        <v>53.394011325702145</v>
      </c>
      <c r="G120" s="110">
        <f t="shared" si="46"/>
        <v>0.92661740336785225</v>
      </c>
      <c r="H120" s="412" t="b">
        <f>Wh_hp&gt;='2019'!Maxi_hp</f>
        <v>1</v>
      </c>
      <c r="I120" s="380">
        <f>IF(H120,Wh_hp,'2019'!Maxi_hp)</f>
        <v>53.394011325702145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1.5064029768292353E-2</v>
      </c>
      <c r="M120" s="957"/>
      <c r="N120" s="957"/>
      <c r="O120" s="48">
        <f>IF(t&lt;Tnet,'2019'!Resal+('2019'!Salim-'2019'!Resal)*(1-EXP(('2019'!Tnet-t)/('2019'!Tau_j))),Resal+(Salim-Resal)*(1-EXP((Tnet-t)/(Tau_j))))*Salcycl</f>
        <v>7.0629053120965513E-2</v>
      </c>
      <c r="P120" s="169">
        <f>(INDEX(Models!$BJ120:$BT120,,T120)*(1-R120)+INDEX(Models!$BJ120:$BT120,,T120+1)*R120-ERP_i)*Q120*Ramure*Pc/MaxiM</f>
        <v>1.2165908441348747E-4</v>
      </c>
      <c r="Q120" s="305">
        <f t="shared" si="27"/>
        <v>0.7</v>
      </c>
      <c r="R120" s="177">
        <f t="shared" si="28"/>
        <v>4.6656379573722151E-2</v>
      </c>
      <c r="S120" s="919">
        <f t="shared" si="29"/>
        <v>-1</v>
      </c>
      <c r="T120" s="176">
        <f t="shared" si="30"/>
        <v>5</v>
      </c>
      <c r="U120" s="251">
        <f t="shared" si="31"/>
        <v>-0.95334362042627785</v>
      </c>
      <c r="V120" s="383">
        <f t="shared" si="32"/>
        <v>52.739541235362545</v>
      </c>
      <c r="W120" s="402"/>
      <c r="X120" s="157">
        <f t="shared" si="33"/>
        <v>43936</v>
      </c>
      <c r="Y120" s="385">
        <f t="shared" si="34"/>
        <v>48.87</v>
      </c>
      <c r="Z120" s="385">
        <f t="shared" si="35"/>
        <v>49.61743857167005</v>
      </c>
      <c r="AA120" s="386">
        <f t="shared" si="36"/>
        <v>53.388196326012519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7.0629053120965513E-2</v>
      </c>
      <c r="AD120" s="231">
        <f>(INDEX(Models!$BJ120:$BT120,,AH120)*(1-AF120)+INDEX(Models!$BJ120:$BT120,,AH120+1)*AF120-ERP_i)*AE120*Ramure*Pc/MaxiM</f>
        <v>1.2165908441348747E-4</v>
      </c>
      <c r="AE120" s="305">
        <f t="shared" si="38"/>
        <v>0.7</v>
      </c>
      <c r="AF120" s="177">
        <f t="shared" si="39"/>
        <v>4.6656379573722151E-2</v>
      </c>
      <c r="AG120" s="919">
        <f t="shared" si="47"/>
        <v>-1</v>
      </c>
      <c r="AH120" s="176">
        <f t="shared" si="40"/>
        <v>5</v>
      </c>
      <c r="AI120" s="225">
        <f t="shared" si="41"/>
        <v>-0.95334362042627785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8">
        <v>41.332000000000001</v>
      </c>
      <c r="C121" s="390"/>
      <c r="D121" s="393">
        <f t="shared" si="24"/>
        <v>41.965068335336028</v>
      </c>
      <c r="E121" s="385">
        <f t="shared" si="45"/>
        <v>45.157594156713266</v>
      </c>
      <c r="F121" s="385">
        <f t="shared" si="25"/>
        <v>45.161713409265793</v>
      </c>
      <c r="G121" s="110">
        <f t="shared" si="46"/>
        <v>0.78196141045710787</v>
      </c>
      <c r="H121" s="412" t="b">
        <f>Wh_hp&gt;='2019'!Maxi_hp</f>
        <v>1</v>
      </c>
      <c r="I121" s="380">
        <f>IF(H121,Wh_hp,'2019'!Maxi_hp)</f>
        <v>45.161713409265793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1.5085602393811959E-2</v>
      </c>
      <c r="M121" s="957"/>
      <c r="N121" s="957"/>
      <c r="O121" s="48">
        <f>IF(t&lt;Tnet,'2019'!Resal+('2019'!Salim-'2019'!Resal)*(1-EXP(('2019'!Tnet-t)/('2019'!Tau_j))),Resal+(Salim-Resal)*(1-EXP((Tnet-t)/(Tau_j))))*Salcycl</f>
        <v>7.0697429324910743E-2</v>
      </c>
      <c r="P121" s="169">
        <f>(INDEX(Models!$BJ121:$BT121,,T121)*(1-R121)+INDEX(Models!$BJ121:$BT121,,T121+1)*R121-ERP_i)*Q121*Ramure*Pc/MaxiM</f>
        <v>1.324660878247414E-4</v>
      </c>
      <c r="Q121" s="305">
        <f t="shared" si="27"/>
        <v>0.7</v>
      </c>
      <c r="R121" s="177">
        <f t="shared" si="28"/>
        <v>4.8446726108398952E-2</v>
      </c>
      <c r="S121" s="919">
        <f t="shared" si="29"/>
        <v>-1</v>
      </c>
      <c r="T121" s="176">
        <f t="shared" si="30"/>
        <v>5</v>
      </c>
      <c r="U121" s="251">
        <f t="shared" si="31"/>
        <v>-0.95155327389160105</v>
      </c>
      <c r="V121" s="383">
        <f t="shared" si="32"/>
        <v>52.854647484305943</v>
      </c>
      <c r="W121" s="402"/>
      <c r="X121" s="157">
        <f t="shared" si="33"/>
        <v>43937</v>
      </c>
      <c r="Y121" s="385">
        <f t="shared" si="34"/>
        <v>41.332000000000001</v>
      </c>
      <c r="Z121" s="385">
        <f t="shared" si="35"/>
        <v>41.965068335336028</v>
      </c>
      <c r="AA121" s="386">
        <f t="shared" si="36"/>
        <v>45.157594156713266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7.0697429324910743E-2</v>
      </c>
      <c r="AD121" s="231">
        <f>(INDEX(Models!$BJ121:$BT121,,AH121)*(1-AF121)+INDEX(Models!$BJ121:$BT121,,AH121+1)*AF121-ERP_i)*AE121*Ramure*Pc/MaxiM</f>
        <v>1.324660878247414E-4</v>
      </c>
      <c r="AE121" s="305">
        <f t="shared" si="38"/>
        <v>0.7</v>
      </c>
      <c r="AF121" s="177">
        <f t="shared" si="39"/>
        <v>4.8446726108398952E-2</v>
      </c>
      <c r="AG121" s="919">
        <f t="shared" si="47"/>
        <v>-1</v>
      </c>
      <c r="AH121" s="176">
        <f t="shared" si="40"/>
        <v>5</v>
      </c>
      <c r="AI121" s="225">
        <f t="shared" si="41"/>
        <v>-0.95155327389160105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8">
        <v>29.709</v>
      </c>
      <c r="C122" s="390"/>
      <c r="D122" s="393">
        <f t="shared" si="24"/>
        <v>30.164703440021949</v>
      </c>
      <c r="E122" s="385">
        <f t="shared" si="45"/>
        <v>32.461928887181621</v>
      </c>
      <c r="F122" s="385">
        <f t="shared" si="25"/>
        <v>32.463687935602941</v>
      </c>
      <c r="G122" s="110">
        <f t="shared" si="46"/>
        <v>0.56085324911914658</v>
      </c>
      <c r="H122" s="412" t="b">
        <f>Wh_hp&gt;='2019'!Maxi_hp</f>
        <v>1</v>
      </c>
      <c r="I122" s="380">
        <f>IF(H122,Wh_hp,'2019'!Maxi_hp)</f>
        <v>32.463687935602941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1.5107174546835744E-2</v>
      </c>
      <c r="M122" s="957"/>
      <c r="N122" s="957"/>
      <c r="O122" s="48">
        <f>IF(t&lt;Tnet,'2019'!Resal+('2019'!Salim-'2019'!Resal)*(1-EXP(('2019'!Tnet-t)/('2019'!Tau_j))),Resal+(Salim-Resal)*(1-EXP((Tnet-t)/(Tau_j))))*Salcycl</f>
        <v>7.0766757426629273E-2</v>
      </c>
      <c r="P122" s="169">
        <f>(INDEX(Models!$BJ122:$BT122,,T122)*(1-R122)+INDEX(Models!$BJ122:$BT122,,T122+1)*R122-ERP_i)*Q122*Ramure*Pc/MaxiM</f>
        <v>1.4537729135888415E-4</v>
      </c>
      <c r="Q122" s="305">
        <f t="shared" si="27"/>
        <v>0.7</v>
      </c>
      <c r="R122" s="177">
        <f t="shared" si="28"/>
        <v>5.0297206431121788E-2</v>
      </c>
      <c r="S122" s="919">
        <f t="shared" si="29"/>
        <v>-1</v>
      </c>
      <c r="T122" s="176">
        <f t="shared" si="30"/>
        <v>5</v>
      </c>
      <c r="U122" s="251">
        <f t="shared" si="31"/>
        <v>-0.94970279356887821</v>
      </c>
      <c r="V122" s="383">
        <f t="shared" si="32"/>
        <v>52.966245040495103</v>
      </c>
      <c r="W122" s="402"/>
      <c r="X122" s="157">
        <f t="shared" si="33"/>
        <v>43938</v>
      </c>
      <c r="Y122" s="385">
        <f t="shared" si="34"/>
        <v>29.709</v>
      </c>
      <c r="Z122" s="385">
        <f t="shared" si="35"/>
        <v>30.164703440021949</v>
      </c>
      <c r="AA122" s="386">
        <f t="shared" si="36"/>
        <v>32.461928887181621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7.0766757426629273E-2</v>
      </c>
      <c r="AD122" s="231">
        <f>(INDEX(Models!$BJ122:$BT122,,AH122)*(1-AF122)+INDEX(Models!$BJ122:$BT122,,AH122+1)*AF122-ERP_i)*AE122*Ramure*Pc/MaxiM</f>
        <v>1.4537729135888415E-4</v>
      </c>
      <c r="AE122" s="305">
        <f t="shared" si="38"/>
        <v>0.7</v>
      </c>
      <c r="AF122" s="177">
        <f t="shared" si="39"/>
        <v>5.0297206431121788E-2</v>
      </c>
      <c r="AG122" s="919">
        <f t="shared" si="47"/>
        <v>-1</v>
      </c>
      <c r="AH122" s="176">
        <f t="shared" si="40"/>
        <v>5</v>
      </c>
      <c r="AI122" s="225">
        <f t="shared" si="41"/>
        <v>-0.94970279356887821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8">
        <v>40.918999999999997</v>
      </c>
      <c r="C123" s="390"/>
      <c r="D123" s="393">
        <f t="shared" si="24"/>
        <v>41.547562529880508</v>
      </c>
      <c r="E123" s="385">
        <f t="shared" si="45"/>
        <v>44.715044293179645</v>
      </c>
      <c r="F123" s="385">
        <f t="shared" si="25"/>
        <v>44.719859491040559</v>
      </c>
      <c r="G123" s="110">
        <f t="shared" si="46"/>
        <v>0.77093608190913676</v>
      </c>
      <c r="H123" s="412" t="b">
        <f>Wh_hp&gt;='2019'!Maxi_hp</f>
        <v>0</v>
      </c>
      <c r="I123" s="380">
        <f>IF(H123,Wh_hp,'2019'!Maxi_hp)</f>
        <v>52.563032573540127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1.5128746227373924E-2</v>
      </c>
      <c r="M123" s="957"/>
      <c r="N123" s="957"/>
      <c r="O123" s="48">
        <f>IF(t&lt;Tnet,'2019'!Resal+('2019'!Salim-'2019'!Resal)*(1-EXP(('2019'!Tnet-t)/('2019'!Tau_j))),Resal+(Salim-Resal)*(1-EXP((Tnet-t)/(Tau_j))))*Salcycl</f>
        <v>7.0837048545253731E-2</v>
      </c>
      <c r="P123" s="169">
        <f>(INDEX(Models!$BJ123:$BT123,,T123)*(1-R123)+INDEX(Models!$BJ123:$BT123,,T123+1)*R123-ERP_i)*Q123*Ramure*Pc/MaxiM</f>
        <v>1.600341072225668E-4</v>
      </c>
      <c r="Q123" s="305">
        <f t="shared" si="27"/>
        <v>0.7</v>
      </c>
      <c r="R123" s="177">
        <f t="shared" si="28"/>
        <v>5.2209259515758721E-2</v>
      </c>
      <c r="S123" s="919">
        <f t="shared" si="29"/>
        <v>-1</v>
      </c>
      <c r="T123" s="176">
        <f t="shared" si="30"/>
        <v>5</v>
      </c>
      <c r="U123" s="251">
        <f t="shared" si="31"/>
        <v>-0.94779074048424128</v>
      </c>
      <c r="V123" s="383">
        <f t="shared" si="32"/>
        <v>53.074253800320534</v>
      </c>
      <c r="W123" s="402"/>
      <c r="X123" s="157">
        <f t="shared" si="33"/>
        <v>43939</v>
      </c>
      <c r="Y123" s="385">
        <f t="shared" si="34"/>
        <v>40.918999999999997</v>
      </c>
      <c r="Z123" s="385">
        <f t="shared" si="35"/>
        <v>41.547562529880508</v>
      </c>
      <c r="AA123" s="386">
        <f t="shared" si="36"/>
        <v>44.715044293179645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7.0837048545253731E-2</v>
      </c>
      <c r="AD123" s="231">
        <f>(INDEX(Models!$BJ123:$BT123,,AH123)*(1-AF123)+INDEX(Models!$BJ123:$BT123,,AH123+1)*AF123-ERP_i)*AE123*Ramure*Pc/MaxiM</f>
        <v>1.600341072225668E-4</v>
      </c>
      <c r="AE123" s="305">
        <f t="shared" si="38"/>
        <v>0.7</v>
      </c>
      <c r="AF123" s="177">
        <f t="shared" si="39"/>
        <v>5.2209259515758721E-2</v>
      </c>
      <c r="AG123" s="919">
        <f t="shared" si="47"/>
        <v>-1</v>
      </c>
      <c r="AH123" s="176">
        <f t="shared" si="40"/>
        <v>5</v>
      </c>
      <c r="AI123" s="225">
        <f t="shared" si="41"/>
        <v>-0.94779074048424128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8">
        <v>16.091999999999999</v>
      </c>
      <c r="C124" s="390"/>
      <c r="D124" s="393">
        <f t="shared" si="24"/>
        <v>16.33954935954916</v>
      </c>
      <c r="E124" s="385">
        <f t="shared" si="45"/>
        <v>17.586584379988505</v>
      </c>
      <c r="F124" s="385">
        <f t="shared" si="25"/>
        <v>17.586595920675144</v>
      </c>
      <c r="G124" s="110">
        <f t="shared" si="46"/>
        <v>0.30254987777675169</v>
      </c>
      <c r="H124" s="412" t="b">
        <f>Wh_hp&gt;='2019'!Maxi_hp</f>
        <v>0</v>
      </c>
      <c r="I124" s="380">
        <f>IF(H124,Wh_hp,'2019'!Maxi_hp)</f>
        <v>54.638540839726012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1.5150317435437044E-2</v>
      </c>
      <c r="M124" s="957"/>
      <c r="N124" s="957"/>
      <c r="O124" s="48">
        <f>IF(t&lt;Tnet,'2019'!Resal+('2019'!Salim-'2019'!Resal)*(1-EXP(('2019'!Tnet-t)/('2019'!Tau_j))),Resal+(Salim-Resal)*(1-EXP((Tnet-t)/(Tau_j))))*Salcycl</f>
        <v>7.0908312466764392E-2</v>
      </c>
      <c r="P124" s="169">
        <f>(INDEX(Models!$BJ124:$BT124,,T124)*(1-R124)+INDEX(Models!$BJ124:$BT124,,T124+1)*R124-ERP_i)*Q124*Ramure*Pc/MaxiM</f>
        <v>1.7646584675163325E-4</v>
      </c>
      <c r="Q124" s="305">
        <f t="shared" si="27"/>
        <v>0.7</v>
      </c>
      <c r="R124" s="177">
        <f t="shared" si="28"/>
        <v>5.4184314244427934E-2</v>
      </c>
      <c r="S124" s="919">
        <f t="shared" si="29"/>
        <v>-1</v>
      </c>
      <c r="T124" s="176">
        <f t="shared" si="30"/>
        <v>5</v>
      </c>
      <c r="U124" s="251">
        <f t="shared" si="31"/>
        <v>-0.94581568575557207</v>
      </c>
      <c r="V124" s="383">
        <f t="shared" si="32"/>
        <v>53.178573357453359</v>
      </c>
      <c r="W124" s="402"/>
      <c r="X124" s="157">
        <f t="shared" si="33"/>
        <v>43940</v>
      </c>
      <c r="Y124" s="385">
        <f t="shared" si="34"/>
        <v>16.091999999999999</v>
      </c>
      <c r="Z124" s="385">
        <f t="shared" si="35"/>
        <v>16.33954935954916</v>
      </c>
      <c r="AA124" s="386">
        <f t="shared" si="36"/>
        <v>17.586584379988505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7.0908312466764392E-2</v>
      </c>
      <c r="AD124" s="231">
        <f>(INDEX(Models!$BJ124:$BT124,,AH124)*(1-AF124)+INDEX(Models!$BJ124:$BT124,,AH124+1)*AF124-ERP_i)*AE124*Ramure*Pc/MaxiM</f>
        <v>1.7646584675163325E-4</v>
      </c>
      <c r="AE124" s="305">
        <f t="shared" si="38"/>
        <v>0.7</v>
      </c>
      <c r="AF124" s="177">
        <f t="shared" si="39"/>
        <v>5.4184314244427934E-2</v>
      </c>
      <c r="AG124" s="919">
        <f t="shared" si="47"/>
        <v>-1</v>
      </c>
      <c r="AH124" s="176">
        <f t="shared" si="40"/>
        <v>5</v>
      </c>
      <c r="AI124" s="225">
        <f t="shared" si="41"/>
        <v>-0.94581568575557207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8">
        <v>11.981</v>
      </c>
      <c r="C125" s="390"/>
      <c r="D125" s="393">
        <f t="shared" si="24"/>
        <v>12.165574739483819</v>
      </c>
      <c r="E125" s="385">
        <f t="shared" si="45"/>
        <v>13.095070118054874</v>
      </c>
      <c r="F125" s="385">
        <f t="shared" si="25"/>
        <v>13.095070118054874</v>
      </c>
      <c r="G125" s="110">
        <f t="shared" si="46"/>
        <v>0.2248286194089773</v>
      </c>
      <c r="H125" s="412" t="b">
        <f>Wh_hp&gt;='2019'!Maxi_hp</f>
        <v>0</v>
      </c>
      <c r="I125" s="380">
        <f>IF(H125,Wh_hp,'2019'!Maxi_hp)</f>
        <v>19.40004708078034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1.5171888171035208E-2</v>
      </c>
      <c r="M125" s="957"/>
      <c r="N125" s="957"/>
      <c r="O125" s="48">
        <f>IF(t&lt;Tnet,'2019'!Resal+('2019'!Salim-'2019'!Resal)*(1-EXP(('2019'!Tnet-t)/('2019'!Tau_j))),Resal+(Salim-Resal)*(1-EXP((Tnet-t)/(Tau_j))))*Salcycl</f>
        <v>7.0980557583232004E-2</v>
      </c>
      <c r="P125" s="169">
        <f>(INDEX(Models!$BJ125:$BT125,,T125)*(1-R125)+INDEX(Models!$BJ125:$BT125,,T125+1)*R125-ERP_i)*Q125*Ramure*Pc/MaxiM</f>
        <v>1.9470527456476653E-4</v>
      </c>
      <c r="Q125" s="305">
        <f t="shared" si="27"/>
        <v>0.7</v>
      </c>
      <c r="R125" s="177">
        <f t="shared" si="28"/>
        <v>5.622378530990102E-2</v>
      </c>
      <c r="S125" s="919">
        <f t="shared" si="29"/>
        <v>-1</v>
      </c>
      <c r="T125" s="176">
        <f t="shared" si="30"/>
        <v>5</v>
      </c>
      <c r="U125" s="251">
        <f t="shared" si="31"/>
        <v>-0.94377621469009898</v>
      </c>
      <c r="V125" s="383">
        <f t="shared" si="32"/>
        <v>53.27910329029551</v>
      </c>
      <c r="W125" s="402"/>
      <c r="X125" s="157">
        <f t="shared" si="33"/>
        <v>43941</v>
      </c>
      <c r="Y125" s="385">
        <f t="shared" si="34"/>
        <v>11.981</v>
      </c>
      <c r="Z125" s="385">
        <f t="shared" si="35"/>
        <v>12.165574739483819</v>
      </c>
      <c r="AA125" s="386">
        <f t="shared" si="36"/>
        <v>13.095070118054874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7.0980557583232004E-2</v>
      </c>
      <c r="AD125" s="231">
        <f>(INDEX(Models!$BJ125:$BT125,,AH125)*(1-AF125)+INDEX(Models!$BJ125:$BT125,,AH125+1)*AF125-ERP_i)*AE125*Ramure*Pc/MaxiM</f>
        <v>1.9470527456476653E-4</v>
      </c>
      <c r="AE125" s="305">
        <f t="shared" si="38"/>
        <v>0.7</v>
      </c>
      <c r="AF125" s="177">
        <f t="shared" si="39"/>
        <v>5.622378530990102E-2</v>
      </c>
      <c r="AG125" s="919">
        <f t="shared" si="47"/>
        <v>-1</v>
      </c>
      <c r="AH125" s="176">
        <f t="shared" si="40"/>
        <v>5</v>
      </c>
      <c r="AI125" s="225">
        <f t="shared" si="41"/>
        <v>-0.94377621469009898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8">
        <v>16.161999999999999</v>
      </c>
      <c r="C126" s="390"/>
      <c r="D126" s="393">
        <f t="shared" si="24"/>
        <v>16.411345089465765</v>
      </c>
      <c r="E126" s="385">
        <f t="shared" si="45"/>
        <v>17.666625825545328</v>
      </c>
      <c r="F126" s="385">
        <f t="shared" si="25"/>
        <v>17.66664098612365</v>
      </c>
      <c r="G126" s="110">
        <f t="shared" si="46"/>
        <v>0.30273194326349223</v>
      </c>
      <c r="H126" s="412" t="b">
        <f>Wh_hp&gt;='2019'!Maxi_hp</f>
        <v>0</v>
      </c>
      <c r="I126" s="380">
        <f>IF(H126,Wh_hp,'2019'!Maxi_hp)</f>
        <v>33.768493292618629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1.5193458434179075E-2</v>
      </c>
      <c r="M126" s="957"/>
      <c r="N126" s="957"/>
      <c r="O126" s="48">
        <f>IF(t&lt;Tnet,'2019'!Resal+('2019'!Salim-'2019'!Resal)*(1-EXP(('2019'!Tnet-t)/('2019'!Tau_j))),Resal+(Salim-Resal)*(1-EXP((Tnet-t)/(Tau_j))))*Salcycl</f>
        <v>7.105379082996531E-2</v>
      </c>
      <c r="P126" s="169">
        <f>(INDEX(Models!$BJ126:$BT126,,T126)*(1-R126)+INDEX(Models!$BJ126:$BT126,,T126+1)*R126-ERP_i)*Q126*Ramure*Pc/MaxiM</f>
        <v>2.1478835426887898E-4</v>
      </c>
      <c r="Q126" s="305">
        <f t="shared" si="27"/>
        <v>0.7</v>
      </c>
      <c r="R126" s="177">
        <f t="shared" si="28"/>
        <v>5.8329068856783461E-2</v>
      </c>
      <c r="S126" s="919">
        <f t="shared" si="29"/>
        <v>-1</v>
      </c>
      <c r="T126" s="176">
        <f t="shared" si="30"/>
        <v>5</v>
      </c>
      <c r="U126" s="251">
        <f t="shared" si="31"/>
        <v>-0.94167093114321654</v>
      </c>
      <c r="V126" s="383">
        <f t="shared" si="32"/>
        <v>53.375743183341626</v>
      </c>
      <c r="W126" s="402"/>
      <c r="X126" s="157">
        <f t="shared" si="33"/>
        <v>43942</v>
      </c>
      <c r="Y126" s="385">
        <f t="shared" si="34"/>
        <v>16.161999999999999</v>
      </c>
      <c r="Z126" s="385">
        <f t="shared" si="35"/>
        <v>16.411345089465765</v>
      </c>
      <c r="AA126" s="386">
        <f t="shared" si="36"/>
        <v>17.666625825545328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7.105379082996531E-2</v>
      </c>
      <c r="AD126" s="231">
        <f>(INDEX(Models!$BJ126:$BT126,,AH126)*(1-AF126)+INDEX(Models!$BJ126:$BT126,,AH126+1)*AF126-ERP_i)*AE126*Ramure*Pc/MaxiM</f>
        <v>2.1478835426887898E-4</v>
      </c>
      <c r="AE126" s="305">
        <f t="shared" si="38"/>
        <v>0.7</v>
      </c>
      <c r="AF126" s="177">
        <f t="shared" si="39"/>
        <v>5.8329068856783461E-2</v>
      </c>
      <c r="AG126" s="919">
        <f t="shared" si="47"/>
        <v>-1</v>
      </c>
      <c r="AH126" s="176">
        <f t="shared" si="40"/>
        <v>5</v>
      </c>
      <c r="AI126" s="225">
        <f t="shared" si="41"/>
        <v>-0.94167093114321654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8">
        <v>8.4570000000000007</v>
      </c>
      <c r="C127" s="390"/>
      <c r="D127" s="393">
        <f t="shared" si="24"/>
        <v>8.5876615122952789</v>
      </c>
      <c r="E127" s="385">
        <f t="shared" si="45"/>
        <v>9.2452584158024127</v>
      </c>
      <c r="F127" s="385">
        <f t="shared" si="25"/>
        <v>9.2452584158024127</v>
      </c>
      <c r="G127" s="110">
        <f t="shared" si="46"/>
        <v>0.15813076387107247</v>
      </c>
      <c r="H127" s="412" t="b">
        <f>Wh_hp&gt;='2019'!Maxi_hp</f>
        <v>0</v>
      </c>
      <c r="I127" s="380">
        <f>IF(H127,Wh_hp,'2019'!Maxi_hp)</f>
        <v>38.699906006079381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1.5215028224878746E-2</v>
      </c>
      <c r="M127" s="957"/>
      <c r="N127" s="957"/>
      <c r="O127" s="48">
        <f>IF(t&lt;Tnet,'2019'!Resal+('2019'!Salim-'2019'!Resal)*(1-EXP(('2019'!Tnet-t)/('2019'!Tau_j))),Resal+(Salim-Resal)*(1-EXP((Tnet-t)/(Tau_j))))*Salcycl</f>
        <v>7.1128017620701506E-2</v>
      </c>
      <c r="P127" s="169">
        <f>(INDEX(Models!$BJ127:$BT127,,T127)*(1-R127)+INDEX(Models!$BJ127:$BT127,,T127+1)*R127-ERP_i)*Q127*Ramure*Pc/MaxiM</f>
        <v>2.3675368018861791E-4</v>
      </c>
      <c r="Q127" s="305">
        <f t="shared" si="27"/>
        <v>0.7</v>
      </c>
      <c r="R127" s="177">
        <f t="shared" si="28"/>
        <v>6.0501537860816801E-2</v>
      </c>
      <c r="S127" s="919">
        <f t="shared" si="29"/>
        <v>-1</v>
      </c>
      <c r="T127" s="176">
        <f t="shared" si="30"/>
        <v>5</v>
      </c>
      <c r="U127" s="251">
        <f t="shared" si="31"/>
        <v>-0.9394984621391832</v>
      </c>
      <c r="V127" s="383">
        <f t="shared" si="32"/>
        <v>53.468392659003364</v>
      </c>
      <c r="W127" s="402"/>
      <c r="X127" s="157">
        <f t="shared" si="33"/>
        <v>43943</v>
      </c>
      <c r="Y127" s="385">
        <f t="shared" si="34"/>
        <v>8.4570000000000007</v>
      </c>
      <c r="Z127" s="385">
        <f t="shared" si="35"/>
        <v>8.5876615122952789</v>
      </c>
      <c r="AA127" s="386">
        <f t="shared" si="36"/>
        <v>9.2452584158024127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7.1128017620701506E-2</v>
      </c>
      <c r="AD127" s="231">
        <f>(INDEX(Models!$BJ127:$BT127,,AH127)*(1-AF127)+INDEX(Models!$BJ127:$BT127,,AH127+1)*AF127-ERP_i)*AE127*Ramure*Pc/MaxiM</f>
        <v>2.3675368018861791E-4</v>
      </c>
      <c r="AE127" s="305">
        <f t="shared" si="38"/>
        <v>0.7</v>
      </c>
      <c r="AF127" s="177">
        <f t="shared" si="39"/>
        <v>6.0501537860816801E-2</v>
      </c>
      <c r="AG127" s="919">
        <f t="shared" si="47"/>
        <v>-1</v>
      </c>
      <c r="AH127" s="176">
        <f t="shared" si="40"/>
        <v>5</v>
      </c>
      <c r="AI127" s="225">
        <f t="shared" si="41"/>
        <v>-0.9394984621391832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8">
        <v>14.967000000000001</v>
      </c>
      <c r="C128" s="390"/>
      <c r="D128" s="393">
        <f t="shared" si="24"/>
        <v>15.198574563858994</v>
      </c>
      <c r="E128" s="385">
        <f t="shared" si="45"/>
        <v>16.363724818552992</v>
      </c>
      <c r="F128" s="385">
        <f t="shared" si="25"/>
        <v>16.363724818552992</v>
      </c>
      <c r="G128" s="110">
        <f t="shared" si="46"/>
        <v>0.27938668230438596</v>
      </c>
      <c r="H128" s="412" t="b">
        <f>Wh_hp&gt;='2019'!Maxi_hp</f>
        <v>0</v>
      </c>
      <c r="I128" s="380">
        <f>IF(H128,Wh_hp,'2019'!Maxi_hp)</f>
        <v>53.112907470199339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1.5236597543144548E-2</v>
      </c>
      <c r="M128" s="957"/>
      <c r="N128" s="957"/>
      <c r="O128" s="48">
        <f>IF(t&lt;Tnet,'2019'!Resal+('2019'!Salim-'2019'!Resal)*(1-EXP(('2019'!Tnet-t)/('2019'!Tau_j))),Resal+(Salim-Resal)*(1-EXP((Tnet-t)/(Tau_j))))*Salcycl</f>
        <v>7.1203241781050058E-2</v>
      </c>
      <c r="P128" s="169">
        <f>(INDEX(Models!$BJ128:$BT128,,T128)*(1-R128)+INDEX(Models!$BJ128:$BT128,,T128+1)*R128-ERP_i)*Q128*Ramure*Pc/MaxiM</f>
        <v>2.610891355901874E-4</v>
      </c>
      <c r="Q128" s="305">
        <f t="shared" si="27"/>
        <v>0.7</v>
      </c>
      <c r="R128" s="177">
        <f t="shared" si="28"/>
        <v>6.2742537247398311E-2</v>
      </c>
      <c r="S128" s="919">
        <f t="shared" si="29"/>
        <v>-1</v>
      </c>
      <c r="T128" s="176">
        <f t="shared" si="30"/>
        <v>5</v>
      </c>
      <c r="U128" s="251">
        <f t="shared" si="31"/>
        <v>-0.93725746275260169</v>
      </c>
      <c r="V128" s="383">
        <f t="shared" si="32"/>
        <v>53.556927465159717</v>
      </c>
      <c r="W128" s="402"/>
      <c r="X128" s="157">
        <f t="shared" si="33"/>
        <v>43944</v>
      </c>
      <c r="Y128" s="385">
        <f t="shared" si="34"/>
        <v>14.967000000000001</v>
      </c>
      <c r="Z128" s="385">
        <f t="shared" si="35"/>
        <v>15.198574563858994</v>
      </c>
      <c r="AA128" s="386">
        <f t="shared" si="36"/>
        <v>16.363724818552992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7.1203241781050058E-2</v>
      </c>
      <c r="AD128" s="231">
        <f>(INDEX(Models!$BJ128:$BT128,,AH128)*(1-AF128)+INDEX(Models!$BJ128:$BT128,,AH128+1)*AF128-ERP_i)*AE128*Ramure*Pc/MaxiM</f>
        <v>2.610891355901874E-4</v>
      </c>
      <c r="AE128" s="305">
        <f t="shared" si="38"/>
        <v>0.7</v>
      </c>
      <c r="AF128" s="177">
        <f t="shared" si="39"/>
        <v>6.2742537247398311E-2</v>
      </c>
      <c r="AG128" s="919">
        <f t="shared" si="47"/>
        <v>-1</v>
      </c>
      <c r="AH128" s="176">
        <f t="shared" si="40"/>
        <v>5</v>
      </c>
      <c r="AI128" s="225">
        <f t="shared" si="41"/>
        <v>-0.93725746275260169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8">
        <v>50.667000000000002</v>
      </c>
      <c r="C129" s="390"/>
      <c r="D129" s="393">
        <f t="shared" si="24"/>
        <v>51.452064155948293</v>
      </c>
      <c r="E129" s="385">
        <f t="shared" si="45"/>
        <v>55.401019190952958</v>
      </c>
      <c r="F129" s="385">
        <f t="shared" si="25"/>
        <v>55.415664195239167</v>
      </c>
      <c r="G129" s="110">
        <f t="shared" si="46"/>
        <v>0.94453071920592968</v>
      </c>
      <c r="H129" s="412" t="b">
        <f>Wh_hp&gt;='2019'!Maxi_hp</f>
        <v>1</v>
      </c>
      <c r="I129" s="380">
        <f>IF(H129,Wh_hp,'2019'!Maxi_hp)</f>
        <v>55.415664195239167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1.5258166388987027E-2</v>
      </c>
      <c r="M129" s="957"/>
      <c r="N129" s="957"/>
      <c r="O129" s="48">
        <f>IF(t&lt;Tnet,'2019'!Resal+('2019'!Salim-'2019'!Resal)*(1-EXP(('2019'!Tnet-t)/('2019'!Tau_j))),Resal+(Salim-Resal)*(1-EXP((Tnet-t)/(Tau_j))))*Salcycl</f>
        <v>7.1279465480475007E-2</v>
      </c>
      <c r="P129" s="169">
        <f>(INDEX(Models!$BJ129:$BT129,,T129)*(1-R129)+INDEX(Models!$BJ129:$BT129,,T129+1)*R129-ERP_i)*Q129*Ramure*Pc/MaxiM</f>
        <v>2.8700991892939337E-4</v>
      </c>
      <c r="Q129" s="305">
        <f t="shared" si="27"/>
        <v>0.7</v>
      </c>
      <c r="R129" s="177">
        <f t="shared" si="28"/>
        <v>6.5053378752364166E-2</v>
      </c>
      <c r="S129" s="919">
        <f t="shared" si="29"/>
        <v>-1</v>
      </c>
      <c r="T129" s="176">
        <f t="shared" si="30"/>
        <v>5</v>
      </c>
      <c r="U129" s="251">
        <f t="shared" si="31"/>
        <v>-0.93494662124763583</v>
      </c>
      <c r="V129" s="383">
        <f t="shared" si="32"/>
        <v>53.641291682979315</v>
      </c>
      <c r="W129" s="402"/>
      <c r="X129" s="157">
        <f t="shared" si="33"/>
        <v>43945</v>
      </c>
      <c r="Y129" s="385">
        <f t="shared" si="34"/>
        <v>50.667000000000002</v>
      </c>
      <c r="Z129" s="385">
        <f t="shared" si="35"/>
        <v>51.452064155948293</v>
      </c>
      <c r="AA129" s="386">
        <f t="shared" si="36"/>
        <v>55.401019190952958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7.1279465480475007E-2</v>
      </c>
      <c r="AD129" s="231">
        <f>(INDEX(Models!$BJ129:$BT129,,AH129)*(1-AF129)+INDEX(Models!$BJ129:$BT129,,AH129+1)*AF129-ERP_i)*AE129*Ramure*Pc/MaxiM</f>
        <v>2.8700991892939337E-4</v>
      </c>
      <c r="AE129" s="305">
        <f t="shared" si="38"/>
        <v>0.7</v>
      </c>
      <c r="AF129" s="177">
        <f t="shared" si="39"/>
        <v>6.5053378752364166E-2</v>
      </c>
      <c r="AG129" s="919">
        <f t="shared" si="47"/>
        <v>-1</v>
      </c>
      <c r="AH129" s="176">
        <f t="shared" si="40"/>
        <v>5</v>
      </c>
      <c r="AI129" s="225">
        <f t="shared" si="41"/>
        <v>-0.93494662124763583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8">
        <v>42.76</v>
      </c>
      <c r="C130" s="390"/>
      <c r="D130" s="393">
        <f t="shared" si="24"/>
        <v>43.423499555666488</v>
      </c>
      <c r="E130" s="385">
        <f t="shared" si="45"/>
        <v>46.760148971014885</v>
      </c>
      <c r="F130" s="385">
        <f t="shared" si="25"/>
        <v>46.770572657066566</v>
      </c>
      <c r="G130" s="110">
        <f t="shared" si="46"/>
        <v>0.79588562581800193</v>
      </c>
      <c r="H130" s="412" t="b">
        <f>Wh_hp&gt;='2019'!Maxi_hp</f>
        <v>1</v>
      </c>
      <c r="I130" s="380">
        <f>IF(H130,Wh_hp,'2019'!Maxi_hp)</f>
        <v>46.770572657066566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1.5279734762416397E-2</v>
      </c>
      <c r="M130" s="957"/>
      <c r="N130" s="957"/>
      <c r="O130" s="48">
        <f>IF(t&lt;Tnet,'2019'!Resal+('2019'!Salim-'2019'!Resal)*(1-EXP(('2019'!Tnet-t)/('2019'!Tau_j))),Resal+(Salim-Resal)*(1-EXP((Tnet-t)/(Tau_j))))*Salcycl</f>
        <v>7.1356689163173503E-2</v>
      </c>
      <c r="P130" s="169">
        <f>(INDEX(Models!$BJ130:$BT130,,T130)*(1-R130)+INDEX(Models!$BJ130:$BT130,,T130+1)*R130-ERP_i)*Q130*Ramure*Pc/MaxiM</f>
        <v>3.145583580199063E-4</v>
      </c>
      <c r="Q130" s="305">
        <f t="shared" si="27"/>
        <v>0.7</v>
      </c>
      <c r="R130" s="177">
        <f t="shared" si="28"/>
        <v>6.7435335530223073E-2</v>
      </c>
      <c r="S130" s="919">
        <f t="shared" si="29"/>
        <v>-1</v>
      </c>
      <c r="T130" s="176">
        <f t="shared" si="30"/>
        <v>5</v>
      </c>
      <c r="U130" s="251">
        <f t="shared" si="31"/>
        <v>-0.93256466446977693</v>
      </c>
      <c r="V130" s="383">
        <f t="shared" si="32"/>
        <v>53.721385434663915</v>
      </c>
      <c r="W130" s="402"/>
      <c r="X130" s="157">
        <f t="shared" si="33"/>
        <v>43946</v>
      </c>
      <c r="Y130" s="385">
        <f t="shared" si="34"/>
        <v>42.76</v>
      </c>
      <c r="Z130" s="385">
        <f t="shared" si="35"/>
        <v>43.423499555666488</v>
      </c>
      <c r="AA130" s="386">
        <f t="shared" si="36"/>
        <v>46.760148971014885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7.1356689163173503E-2</v>
      </c>
      <c r="AD130" s="231">
        <f>(INDEX(Models!$BJ130:$BT130,,AH130)*(1-AF130)+INDEX(Models!$BJ130:$BT130,,AH130+1)*AF130-ERP_i)*AE130*Ramure*Pc/MaxiM</f>
        <v>3.145583580199063E-4</v>
      </c>
      <c r="AE130" s="305">
        <f t="shared" si="38"/>
        <v>0.7</v>
      </c>
      <c r="AF130" s="177">
        <f t="shared" si="39"/>
        <v>6.7435335530223073E-2</v>
      </c>
      <c r="AG130" s="919">
        <f t="shared" si="47"/>
        <v>-1</v>
      </c>
      <c r="AH130" s="176">
        <f t="shared" si="40"/>
        <v>5</v>
      </c>
      <c r="AI130" s="225">
        <f t="shared" si="41"/>
        <v>-0.93256466446977693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8">
        <v>21.02</v>
      </c>
      <c r="C131" s="390"/>
      <c r="D131" s="393">
        <f t="shared" si="24"/>
        <v>21.346631265843591</v>
      </c>
      <c r="E131" s="385">
        <f t="shared" si="45"/>
        <v>22.988836786689387</v>
      </c>
      <c r="F131" s="385">
        <f t="shared" si="25"/>
        <v>22.989861155116017</v>
      </c>
      <c r="G131" s="110">
        <f t="shared" si="46"/>
        <v>0.3906103970828404</v>
      </c>
      <c r="H131" s="412" t="b">
        <f>Wh_hp&gt;='2019'!Maxi_hp</f>
        <v>0</v>
      </c>
      <c r="I131" s="380">
        <f>IF(H131,Wh_hp,'2019'!Maxi_hp)</f>
        <v>28.874547316848894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1.5301302663443095E-2</v>
      </c>
      <c r="M131" s="957"/>
      <c r="N131" s="957"/>
      <c r="O131" s="48">
        <f>IF(t&lt;Tnet,'2019'!Resal+('2019'!Salim-'2019'!Resal)*(1-EXP(('2019'!Tnet-t)/('2019'!Tau_j))),Resal+(Salim-Resal)*(1-EXP((Tnet-t)/(Tau_j))))*Salcycl</f>
        <v>7.1434911478280488E-2</v>
      </c>
      <c r="P131" s="169">
        <f>(INDEX(Models!$BJ131:$BT131,,T131)*(1-R131)+INDEX(Models!$BJ131:$BT131,,T131+1)*R131-ERP_i)*Q131*Ramure*Pc/MaxiM</f>
        <v>3.437793689595741E-4</v>
      </c>
      <c r="Q131" s="305">
        <f t="shared" si="27"/>
        <v>0.7</v>
      </c>
      <c r="R131" s="177">
        <f t="shared" si="28"/>
        <v>6.9889636517358023E-2</v>
      </c>
      <c r="S131" s="919">
        <f t="shared" si="29"/>
        <v>-1</v>
      </c>
      <c r="T131" s="176">
        <f t="shared" si="30"/>
        <v>5</v>
      </c>
      <c r="U131" s="251">
        <f t="shared" si="31"/>
        <v>-0.93011036348264198</v>
      </c>
      <c r="V131" s="383">
        <f t="shared" si="32"/>
        <v>53.797108911776981</v>
      </c>
      <c r="W131" s="402"/>
      <c r="X131" s="157">
        <f t="shared" si="33"/>
        <v>43947</v>
      </c>
      <c r="Y131" s="385">
        <f t="shared" si="34"/>
        <v>21.02</v>
      </c>
      <c r="Z131" s="385">
        <f t="shared" si="35"/>
        <v>21.346631265843591</v>
      </c>
      <c r="AA131" s="386">
        <f t="shared" si="36"/>
        <v>22.988836786689387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7.1434911478280488E-2</v>
      </c>
      <c r="AD131" s="231">
        <f>(INDEX(Models!$BJ131:$BT131,,AH131)*(1-AF131)+INDEX(Models!$BJ131:$BT131,,AH131+1)*AF131-ERP_i)*AE131*Ramure*Pc/MaxiM</f>
        <v>3.437793689595741E-4</v>
      </c>
      <c r="AE131" s="305">
        <f t="shared" si="38"/>
        <v>0.7</v>
      </c>
      <c r="AF131" s="177">
        <f t="shared" si="39"/>
        <v>6.9889636517358023E-2</v>
      </c>
      <c r="AG131" s="919">
        <f t="shared" si="47"/>
        <v>-1</v>
      </c>
      <c r="AH131" s="176">
        <f t="shared" si="40"/>
        <v>5</v>
      </c>
      <c r="AI131" s="225">
        <f t="shared" si="41"/>
        <v>-0.93011036348264198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8">
        <v>19.497</v>
      </c>
      <c r="C132" s="390"/>
      <c r="D132" s="393">
        <f t="shared" si="24"/>
        <v>19.800398940740269</v>
      </c>
      <c r="E132" s="385">
        <f t="shared" si="45"/>
        <v>21.325471462361609</v>
      </c>
      <c r="F132" s="385">
        <f t="shared" si="25"/>
        <v>21.326178558806134</v>
      </c>
      <c r="G132" s="110">
        <f t="shared" si="46"/>
        <v>0.36181423455963074</v>
      </c>
      <c r="H132" s="412" t="b">
        <f>Wh_hp&gt;='2019'!Maxi_hp</f>
        <v>0</v>
      </c>
      <c r="I132" s="380">
        <f>IF(H132,Wh_hp,'2019'!Maxi_hp)</f>
        <v>44.927139058198264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1.5322870092077334E-2</v>
      </c>
      <c r="M132" s="957"/>
      <c r="N132" s="957"/>
      <c r="O132" s="48">
        <f>IF(t&lt;Tnet,'2019'!Resal+('2019'!Salim-'2019'!Resal)*(1-EXP(('2019'!Tnet-t)/('2019'!Tau_j))),Resal+(Salim-Resal)*(1-EXP((Tnet-t)/(Tau_j))))*Salcycl</f>
        <v>7.1514129209898927E-2</v>
      </c>
      <c r="P132" s="169">
        <f>(INDEX(Models!$BJ132:$BT132,,T132)*(1-R132)+INDEX(Models!$BJ132:$BT132,,T132+1)*R132-ERP_i)*Q132*Ramure*Pc/MaxiM</f>
        <v>3.7472048068498004E-4</v>
      </c>
      <c r="Q132" s="305">
        <f t="shared" si="27"/>
        <v>0.7</v>
      </c>
      <c r="R132" s="177">
        <f t="shared" si="28"/>
        <v>7.2417460560235347E-2</v>
      </c>
      <c r="S132" s="919">
        <f t="shared" si="29"/>
        <v>-1</v>
      </c>
      <c r="T132" s="176">
        <f t="shared" si="30"/>
        <v>5</v>
      </c>
      <c r="U132" s="251">
        <f t="shared" si="31"/>
        <v>-0.92758253943976465</v>
      </c>
      <c r="V132" s="383">
        <f t="shared" si="32"/>
        <v>53.868362380527628</v>
      </c>
      <c r="W132" s="402"/>
      <c r="X132" s="157">
        <f t="shared" si="33"/>
        <v>43948</v>
      </c>
      <c r="Y132" s="385">
        <f t="shared" si="34"/>
        <v>19.497</v>
      </c>
      <c r="Z132" s="385">
        <f t="shared" si="35"/>
        <v>19.800398940740269</v>
      </c>
      <c r="AA132" s="386">
        <f t="shared" si="36"/>
        <v>21.325471462361609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7.1514129209898927E-2</v>
      </c>
      <c r="AD132" s="231">
        <f>(INDEX(Models!$BJ132:$BT132,,AH132)*(1-AF132)+INDEX(Models!$BJ132:$BT132,,AH132+1)*AF132-ERP_i)*AE132*Ramure*Pc/MaxiM</f>
        <v>3.7472048068498004E-4</v>
      </c>
      <c r="AE132" s="305">
        <f t="shared" si="38"/>
        <v>0.7</v>
      </c>
      <c r="AF132" s="177">
        <f t="shared" si="39"/>
        <v>7.2417460560235347E-2</v>
      </c>
      <c r="AG132" s="919">
        <f t="shared" si="47"/>
        <v>-1</v>
      </c>
      <c r="AH132" s="176">
        <f t="shared" si="40"/>
        <v>5</v>
      </c>
      <c r="AI132" s="225">
        <f t="shared" si="41"/>
        <v>-0.92758253943976465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8">
        <v>31.262</v>
      </c>
      <c r="C133" s="390"/>
      <c r="D133" s="393">
        <f t="shared" si="24"/>
        <v>31.749173189340347</v>
      </c>
      <c r="E133" s="385">
        <f t="shared" si="45"/>
        <v>34.197522119635146</v>
      </c>
      <c r="F133" s="385">
        <f t="shared" si="25"/>
        <v>34.203088788059816</v>
      </c>
      <c r="G133" s="110">
        <f t="shared" si="46"/>
        <v>0.57948128022752898</v>
      </c>
      <c r="H133" s="412" t="b">
        <f>Wh_hp&gt;='2019'!Maxi_hp</f>
        <v>0</v>
      </c>
      <c r="I133" s="380">
        <f>IF(H133,Wh_hp,'2019'!Maxi_hp)</f>
        <v>53.012856919854819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1.5344437048329551E-2</v>
      </c>
      <c r="M133" s="957"/>
      <c r="N133" s="957"/>
      <c r="O133" s="48">
        <f>IF(t&lt;Tnet,'2019'!Resal+('2019'!Salim-'2019'!Resal)*(1-EXP(('2019'!Tnet-t)/('2019'!Tau_j))),Resal+(Salim-Resal)*(1-EXP((Tnet-t)/(Tau_j))))*Salcycl</f>
        <v>7.1594337207520536E-2</v>
      </c>
      <c r="P133" s="169">
        <f>(INDEX(Models!$BJ133:$BT133,,T133)*(1-R133)+INDEX(Models!$BJ133:$BT133,,T133+1)*R133-ERP_i)*Q133*Ramure*Pc/MaxiM</f>
        <v>4.0743185518693481E-4</v>
      </c>
      <c r="Q133" s="305">
        <f t="shared" si="27"/>
        <v>0.7</v>
      </c>
      <c r="R133" s="177">
        <f t="shared" si="28"/>
        <v>7.5019930321367445E-2</v>
      </c>
      <c r="S133" s="919">
        <f t="shared" si="29"/>
        <v>-1</v>
      </c>
      <c r="T133" s="176">
        <f t="shared" si="30"/>
        <v>5</v>
      </c>
      <c r="U133" s="251">
        <f t="shared" si="31"/>
        <v>-0.92498006967863255</v>
      </c>
      <c r="V133" s="383">
        <f t="shared" si="32"/>
        <v>53.93504619203393</v>
      </c>
      <c r="W133" s="402"/>
      <c r="X133" s="157">
        <f t="shared" si="33"/>
        <v>43949</v>
      </c>
      <c r="Y133" s="385">
        <f t="shared" si="34"/>
        <v>31.262</v>
      </c>
      <c r="Z133" s="385">
        <f t="shared" si="35"/>
        <v>31.749173189340347</v>
      </c>
      <c r="AA133" s="386">
        <f t="shared" si="36"/>
        <v>34.197522119635146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7.1594337207520536E-2</v>
      </c>
      <c r="AD133" s="231">
        <f>(INDEX(Models!$BJ133:$BT133,,AH133)*(1-AF133)+INDEX(Models!$BJ133:$BT133,,AH133+1)*AF133-ERP_i)*AE133*Ramure*Pc/MaxiM</f>
        <v>4.0743185518693481E-4</v>
      </c>
      <c r="AE133" s="305">
        <f t="shared" si="38"/>
        <v>0.7</v>
      </c>
      <c r="AF133" s="177">
        <f t="shared" si="39"/>
        <v>7.5019930321367445E-2</v>
      </c>
      <c r="AG133" s="919">
        <f t="shared" si="47"/>
        <v>-1</v>
      </c>
      <c r="AH133" s="176">
        <f t="shared" si="40"/>
        <v>5</v>
      </c>
      <c r="AI133" s="225">
        <f t="shared" si="41"/>
        <v>-0.92498006967863255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8">
        <v>50.244999999999997</v>
      </c>
      <c r="C134" s="390"/>
      <c r="D134" s="393">
        <f t="shared" si="24"/>
        <v>51.02911353888404</v>
      </c>
      <c r="E134" s="385">
        <f t="shared" si="45"/>
        <v>54.969049179966895</v>
      </c>
      <c r="F134" s="385">
        <f t="shared" si="25"/>
        <v>54.990940741137251</v>
      </c>
      <c r="G134" s="110">
        <f t="shared" si="46"/>
        <v>0.93047277057761846</v>
      </c>
      <c r="H134" s="412" t="b">
        <f>Wh_hp&gt;='2019'!Maxi_hp</f>
        <v>0</v>
      </c>
      <c r="I134" s="380">
        <f>IF(H134,Wh_hp,'2019'!Maxi_hp)</f>
        <v>59.629748537925202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1.5366003532210071E-2</v>
      </c>
      <c r="M134" s="957"/>
      <c r="N134" s="957"/>
      <c r="O134" s="48">
        <f>IF(t&lt;Tnet,'2019'!Resal+('2019'!Salim-'2019'!Resal)*(1-EXP(('2019'!Tnet-t)/('2019'!Tau_j))),Resal+(Salim-Resal)*(1-EXP((Tnet-t)/(Tau_j))))*Salcycl</f>
        <v>7.1675528317465126E-2</v>
      </c>
      <c r="P134" s="169">
        <f>(INDEX(Models!$BJ134:$BT134,,T134)*(1-R134)+INDEX(Models!$BJ134:$BT134,,T134+1)*R134-ERP_i)*Q134*Ramure*Pc/MaxiM</f>
        <v>4.4196630307491772E-4</v>
      </c>
      <c r="Q134" s="305">
        <f t="shared" si="27"/>
        <v>0.7</v>
      </c>
      <c r="R134" s="177">
        <f t="shared" si="28"/>
        <v>7.769810597864657E-2</v>
      </c>
      <c r="S134" s="919">
        <f t="shared" si="29"/>
        <v>-1</v>
      </c>
      <c r="T134" s="176">
        <f t="shared" si="30"/>
        <v>5</v>
      </c>
      <c r="U134" s="251">
        <f t="shared" si="31"/>
        <v>-0.92230189402135343</v>
      </c>
      <c r="V134" s="383">
        <f t="shared" si="32"/>
        <v>53.997060789711767</v>
      </c>
      <c r="W134" s="402"/>
      <c r="X134" s="157">
        <f t="shared" si="33"/>
        <v>43950</v>
      </c>
      <c r="Y134" s="385">
        <f t="shared" si="34"/>
        <v>50.244999999999997</v>
      </c>
      <c r="Z134" s="385">
        <f t="shared" si="35"/>
        <v>51.02911353888404</v>
      </c>
      <c r="AA134" s="386">
        <f t="shared" si="36"/>
        <v>54.969049179966895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7.1675528317465126E-2</v>
      </c>
      <c r="AD134" s="231">
        <f>(INDEX(Models!$BJ134:$BT134,,AH134)*(1-AF134)+INDEX(Models!$BJ134:$BT134,,AH134+1)*AF134-ERP_i)*AE134*Ramure*Pc/MaxiM</f>
        <v>4.4196630307491772E-4</v>
      </c>
      <c r="AE134" s="305">
        <f t="shared" si="38"/>
        <v>0.7</v>
      </c>
      <c r="AF134" s="177">
        <f t="shared" si="39"/>
        <v>7.769810597864657E-2</v>
      </c>
      <c r="AG134" s="919">
        <f t="shared" si="47"/>
        <v>-1</v>
      </c>
      <c r="AH134" s="176">
        <f t="shared" si="40"/>
        <v>5</v>
      </c>
      <c r="AI134" s="225">
        <f t="shared" si="41"/>
        <v>-0.92230189402135343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8">
        <v>39.390999999999998</v>
      </c>
      <c r="C135" s="390"/>
      <c r="D135" s="393">
        <f t="shared" si="24"/>
        <v>40.006604407529316</v>
      </c>
      <c r="E135" s="385">
        <f t="shared" si="45"/>
        <v>43.099311590793064</v>
      </c>
      <c r="F135" s="385">
        <f t="shared" si="25"/>
        <v>43.111943367520247</v>
      </c>
      <c r="G135" s="110">
        <f t="shared" si="46"/>
        <v>0.72860026638505881</v>
      </c>
      <c r="H135" s="412" t="b">
        <f>Wh_hp&gt;='2019'!Maxi_hp</f>
        <v>0</v>
      </c>
      <c r="I135" s="380">
        <f>IF(H135,Wh_hp,'2019'!Maxi_hp)</f>
        <v>57.486763345827086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1.5387569543729218E-2</v>
      </c>
      <c r="M135" s="957"/>
      <c r="N135" s="957"/>
      <c r="O135" s="48">
        <f>IF(t&lt;Tnet,'2019'!Resal+('2019'!Salim-'2019'!Resal)*(1-EXP(('2019'!Tnet-t)/('2019'!Tau_j))),Resal+(Salim-Resal)*(1-EXP((Tnet-t)/(Tau_j))))*Salcycl</f>
        <v>7.1757693316020735E-2</v>
      </c>
      <c r="P135" s="169">
        <f>(INDEX(Models!$BJ135:$BT135,,T135)*(1-R135)+INDEX(Models!$BJ135:$BT135,,T135+1)*R135-ERP_i)*Q135*Ramure*Pc/MaxiM</f>
        <v>4.78382776671268E-4</v>
      </c>
      <c r="Q135" s="305">
        <f t="shared" si="27"/>
        <v>0.7</v>
      </c>
      <c r="R135" s="177">
        <f t="shared" si="28"/>
        <v>8.0452978736706537E-2</v>
      </c>
      <c r="S135" s="919">
        <f t="shared" si="29"/>
        <v>-1</v>
      </c>
      <c r="T135" s="176">
        <f t="shared" si="30"/>
        <v>5</v>
      </c>
      <c r="U135" s="251">
        <f t="shared" si="31"/>
        <v>-0.91954702126329346</v>
      </c>
      <c r="V135" s="383">
        <f t="shared" si="32"/>
        <v>54.053913020767176</v>
      </c>
      <c r="W135" s="402"/>
      <c r="X135" s="157">
        <f t="shared" si="33"/>
        <v>43951</v>
      </c>
      <c r="Y135" s="385">
        <f t="shared" si="34"/>
        <v>39.390999999999998</v>
      </c>
      <c r="Z135" s="385">
        <f t="shared" si="35"/>
        <v>40.006604407529316</v>
      </c>
      <c r="AA135" s="386">
        <f t="shared" si="36"/>
        <v>43.099311590793064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7.1757693316020735E-2</v>
      </c>
      <c r="AD135" s="231">
        <f>(INDEX(Models!$BJ135:$BT135,,AH135)*(1-AF135)+INDEX(Models!$BJ135:$BT135,,AH135+1)*AF135-ERP_i)*AE135*Ramure*Pc/MaxiM</f>
        <v>4.78382776671268E-4</v>
      </c>
      <c r="AE135" s="305">
        <f t="shared" si="38"/>
        <v>0.7</v>
      </c>
      <c r="AF135" s="177">
        <f t="shared" si="39"/>
        <v>8.0452978736706537E-2</v>
      </c>
      <c r="AG135" s="919">
        <f t="shared" si="47"/>
        <v>-1</v>
      </c>
      <c r="AH135" s="176">
        <f t="shared" si="40"/>
        <v>5</v>
      </c>
      <c r="AI135" s="225">
        <f t="shared" si="41"/>
        <v>-0.91954702126329346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8">
        <v>18.920000000000002</v>
      </c>
      <c r="C136" s="390"/>
      <c r="D136" s="393">
        <f t="shared" si="24"/>
        <v>19.216103535139915</v>
      </c>
      <c r="E136" s="385">
        <f t="shared" si="45"/>
        <v>20.703456871088338</v>
      </c>
      <c r="F136" s="385">
        <f t="shared" si="25"/>
        <v>20.704216938929225</v>
      </c>
      <c r="G136" s="110">
        <f t="shared" si="46"/>
        <v>0.34952014246921481</v>
      </c>
      <c r="H136" s="412" t="b">
        <f>Wh_hp&gt;='2019'!Maxi_hp</f>
        <v>0</v>
      </c>
      <c r="I136" s="380">
        <f>IF(H136,Wh_hp,'2019'!Maxi_hp)</f>
        <v>39.324532227972377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1.5409135082897429E-2</v>
      </c>
      <c r="M136" s="957"/>
      <c r="N136" s="957"/>
      <c r="O136" s="48">
        <f>IF(t&lt;Tnet,'2019'!Resal+('2019'!Salim-'2019'!Resal)*(1-EXP(('2019'!Tnet-t)/('2019'!Tau_j))),Resal+(Salim-Resal)*(1-EXP((Tnet-t)/(Tau_j))))*Salcycl</f>
        <v>7.1840820845018374E-2</v>
      </c>
      <c r="P136" s="169">
        <f>(INDEX(Models!$BJ136:$BT136,,T136)*(1-R136)+INDEX(Models!$BJ136:$BT136,,T136+1)*R136-ERP_i)*Q136*Ramure*Pc/MaxiM</f>
        <v>5.1717635135704963E-4</v>
      </c>
      <c r="Q136" s="305">
        <f t="shared" si="27"/>
        <v>0.7</v>
      </c>
      <c r="R136" s="177">
        <f t="shared" si="28"/>
        <v>8.3285464172141666E-2</v>
      </c>
      <c r="S136" s="919">
        <f t="shared" si="29"/>
        <v>-1</v>
      </c>
      <c r="T136" s="176">
        <f t="shared" si="30"/>
        <v>5</v>
      </c>
      <c r="U136" s="251">
        <f t="shared" si="31"/>
        <v>-0.91671453582785833</v>
      </c>
      <c r="V136" s="383">
        <f t="shared" si="32"/>
        <v>54.105348904819735</v>
      </c>
      <c r="W136" s="402"/>
      <c r="X136" s="157">
        <f t="shared" si="33"/>
        <v>43952</v>
      </c>
      <c r="Y136" s="385">
        <f t="shared" si="34"/>
        <v>18.920000000000002</v>
      </c>
      <c r="Z136" s="385">
        <f t="shared" si="35"/>
        <v>19.216103535139915</v>
      </c>
      <c r="AA136" s="386">
        <f t="shared" si="36"/>
        <v>20.703456871088338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7.1840820845018374E-2</v>
      </c>
      <c r="AD136" s="231">
        <f>(INDEX(Models!$BJ136:$BT136,,AH136)*(1-AF136)+INDEX(Models!$BJ136:$BT136,,AH136+1)*AF136-ERP_i)*AE136*Ramure*Pc/MaxiM</f>
        <v>5.1717635135704963E-4</v>
      </c>
      <c r="AE136" s="305">
        <f t="shared" si="38"/>
        <v>0.7</v>
      </c>
      <c r="AF136" s="177">
        <f t="shared" si="39"/>
        <v>8.3285464172141666E-2</v>
      </c>
      <c r="AG136" s="919">
        <f t="shared" si="47"/>
        <v>-1</v>
      </c>
      <c r="AH136" s="176">
        <f t="shared" si="40"/>
        <v>5</v>
      </c>
      <c r="AI136" s="225">
        <f t="shared" si="41"/>
        <v>-0.91671453582785833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8">
        <v>31.760999999999999</v>
      </c>
      <c r="C137" s="390"/>
      <c r="D137" s="393">
        <f t="shared" si="24"/>
        <v>32.258775491811434</v>
      </c>
      <c r="E137" s="385">
        <f t="shared" si="45"/>
        <v>34.758798506416205</v>
      </c>
      <c r="F137" s="385">
        <f t="shared" si="25"/>
        <v>34.766732601646204</v>
      </c>
      <c r="G137" s="110">
        <f t="shared" si="46"/>
        <v>0.58632567396301372</v>
      </c>
      <c r="H137" s="412" t="b">
        <f>Wh_hp&gt;='2019'!Maxi_hp</f>
        <v>1</v>
      </c>
      <c r="I137" s="380">
        <f>IF(H137,Wh_hp,'2019'!Maxi_hp)</f>
        <v>34.766732601646204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1.5430700149724919E-2</v>
      </c>
      <c r="M137" s="957"/>
      <c r="N137" s="957"/>
      <c r="O137" s="48">
        <f>IF(t&lt;Tnet,'2019'!Resal+('2019'!Salim-'2019'!Resal)*(1-EXP(('2019'!Tnet-t)/('2019'!Tau_j))),Resal+(Salim-Resal)*(1-EXP((Tnet-t)/(Tau_j))))*Salcycl</f>
        <v>7.1924897350617245E-2</v>
      </c>
      <c r="P137" s="169">
        <f>(INDEX(Models!$BJ137:$BT137,,T137)*(1-R137)+INDEX(Models!$BJ137:$BT137,,T137+1)*R137-ERP_i)*Q137*Ramure*Pc/MaxiM</f>
        <v>5.5754295060519781E-4</v>
      </c>
      <c r="Q137" s="305">
        <f t="shared" si="27"/>
        <v>0.7</v>
      </c>
      <c r="R137" s="177">
        <f t="shared" si="28"/>
        <v>8.6196395437705409E-2</v>
      </c>
      <c r="S137" s="919">
        <f t="shared" si="29"/>
        <v>-1</v>
      </c>
      <c r="T137" s="176">
        <f t="shared" si="30"/>
        <v>5</v>
      </c>
      <c r="U137" s="251">
        <f t="shared" si="31"/>
        <v>-0.91380360456229459</v>
      </c>
      <c r="V137" s="383">
        <f t="shared" si="32"/>
        <v>54.151709637628201</v>
      </c>
      <c r="W137" s="402"/>
      <c r="X137" s="157">
        <f t="shared" si="33"/>
        <v>43953</v>
      </c>
      <c r="Y137" s="385">
        <f t="shared" si="34"/>
        <v>31.760999999999996</v>
      </c>
      <c r="Z137" s="385">
        <f t="shared" si="35"/>
        <v>32.258775491811434</v>
      </c>
      <c r="AA137" s="386">
        <f t="shared" si="36"/>
        <v>34.758798506416205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7.1924897350617245E-2</v>
      </c>
      <c r="AD137" s="231">
        <f>(INDEX(Models!$BJ137:$BT137,,AH137)*(1-AF137)+INDEX(Models!$BJ137:$BT137,,AH137+1)*AF137-ERP_i)*AE137*Ramure*Pc/MaxiM</f>
        <v>5.5754295060519781E-4</v>
      </c>
      <c r="AE137" s="305">
        <f t="shared" si="38"/>
        <v>0.7</v>
      </c>
      <c r="AF137" s="177">
        <f t="shared" si="39"/>
        <v>8.6196395437705409E-2</v>
      </c>
      <c r="AG137" s="919">
        <f t="shared" si="47"/>
        <v>-1</v>
      </c>
      <c r="AH137" s="176">
        <f t="shared" si="40"/>
        <v>5</v>
      </c>
      <c r="AI137" s="225">
        <f t="shared" si="41"/>
        <v>-0.91380360456229459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8">
        <v>51.161000000000001</v>
      </c>
      <c r="C138" s="390"/>
      <c r="D138" s="393">
        <f t="shared" si="24"/>
        <v>51.963960880686777</v>
      </c>
      <c r="E138" s="385">
        <f t="shared" si="45"/>
        <v>55.996245298438652</v>
      </c>
      <c r="F138" s="385">
        <f t="shared" si="25"/>
        <v>56.02715044671482</v>
      </c>
      <c r="G138" s="110">
        <f t="shared" si="46"/>
        <v>0.94400149190421068</v>
      </c>
      <c r="H138" s="412" t="b">
        <f>Wh_hp&gt;='2019'!Maxi_hp</f>
        <v>1</v>
      </c>
      <c r="I138" s="380">
        <f>IF(H138,Wh_hp,'2019'!Maxi_hp)</f>
        <v>56.02715044671482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1.5452264744222122E-2</v>
      </c>
      <c r="M138" s="957"/>
      <c r="N138" s="957"/>
      <c r="O138" s="48">
        <f>IF(t&lt;Tnet,'2019'!Resal+('2019'!Salim-'2019'!Resal)*(1-EXP(('2019'!Tnet-t)/('2019'!Tau_j))),Resal+(Salim-Resal)*(1-EXP((Tnet-t)/(Tau_j))))*Salcycl</f>
        <v>7.2009907026110959E-2</v>
      </c>
      <c r="P138" s="169">
        <f>(INDEX(Models!$BJ138:$BT138,,T138)*(1-R138)+INDEX(Models!$BJ138:$BT138,,T138+1)*R138-ERP_i)*Q138*Ramure*Pc/MaxiM</f>
        <v>5.9953278678117413E-4</v>
      </c>
      <c r="Q138" s="305">
        <f t="shared" si="27"/>
        <v>0.7</v>
      </c>
      <c r="R138" s="177">
        <f t="shared" si="28"/>
        <v>8.9186516353995882E-2</v>
      </c>
      <c r="S138" s="919">
        <f t="shared" si="29"/>
        <v>-1</v>
      </c>
      <c r="T138" s="176">
        <f t="shared" si="30"/>
        <v>5</v>
      </c>
      <c r="U138" s="251">
        <f t="shared" si="31"/>
        <v>-0.91081348364600412</v>
      </c>
      <c r="V138" s="383">
        <f t="shared" si="32"/>
        <v>54.193290284675058</v>
      </c>
      <c r="W138" s="402"/>
      <c r="X138" s="157">
        <f t="shared" si="33"/>
        <v>43954</v>
      </c>
      <c r="Y138" s="385">
        <f t="shared" si="34"/>
        <v>51.161000000000001</v>
      </c>
      <c r="Z138" s="385">
        <f t="shared" si="35"/>
        <v>51.963960880686777</v>
      </c>
      <c r="AA138" s="386">
        <f t="shared" si="36"/>
        <v>55.996245298438652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7.2009907026110959E-2</v>
      </c>
      <c r="AD138" s="231">
        <f>(INDEX(Models!$BJ138:$BT138,,AH138)*(1-AF138)+INDEX(Models!$BJ138:$BT138,,AH138+1)*AF138-ERP_i)*AE138*Ramure*Pc/MaxiM</f>
        <v>5.9953278678117413E-4</v>
      </c>
      <c r="AE138" s="305">
        <f t="shared" si="38"/>
        <v>0.7</v>
      </c>
      <c r="AF138" s="177">
        <f t="shared" si="39"/>
        <v>8.9186516353995882E-2</v>
      </c>
      <c r="AG138" s="919">
        <f t="shared" si="47"/>
        <v>-1</v>
      </c>
      <c r="AH138" s="176">
        <f t="shared" si="40"/>
        <v>5</v>
      </c>
      <c r="AI138" s="225">
        <f t="shared" si="41"/>
        <v>-0.91081348364600412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8">
        <v>53.405999999999999</v>
      </c>
      <c r="C139" s="390"/>
      <c r="D139" s="393">
        <f t="shared" si="24"/>
        <v>54.245383785488812</v>
      </c>
      <c r="E139" s="385">
        <f t="shared" si="45"/>
        <v>58.46011435464802</v>
      </c>
      <c r="F139" s="385">
        <f t="shared" si="25"/>
        <v>58.496922298592779</v>
      </c>
      <c r="G139" s="110">
        <f t="shared" si="46"/>
        <v>0.98478468614724479</v>
      </c>
      <c r="H139" s="412" t="b">
        <f>Wh_hp&gt;='2019'!Maxi_hp</f>
        <v>1</v>
      </c>
      <c r="I139" s="380">
        <f>IF(H139,Wh_hp,'2019'!Maxi_hp)</f>
        <v>58.496922298592779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1.5473828866399475E-2</v>
      </c>
      <c r="M139" s="957"/>
      <c r="N139" s="957"/>
      <c r="O139" s="48">
        <f>IF(t&lt;Tnet,'2019'!Resal+('2019'!Salim-'2019'!Resal)*(1-EXP(('2019'!Tnet-t)/('2019'!Tau_j))),Resal+(Salim-Resal)*(1-EXP((Tnet-t)/(Tau_j))))*Salcycl</f>
        <v>7.2095831759591944E-2</v>
      </c>
      <c r="P139" s="169">
        <f>(INDEX(Models!$BJ139:$BT139,,T139)*(1-R139)+INDEX(Models!$BJ139:$BT139,,T139+1)*R139-ERP_i)*Q139*Ramure*Pc/MaxiM</f>
        <v>6.4319670777418568E-4</v>
      </c>
      <c r="Q139" s="305">
        <f t="shared" si="27"/>
        <v>0.7</v>
      </c>
      <c r="R139" s="177">
        <f t="shared" si="28"/>
        <v>9.2256474420572276E-2</v>
      </c>
      <c r="S139" s="919">
        <f t="shared" si="29"/>
        <v>-1</v>
      </c>
      <c r="T139" s="176">
        <f t="shared" si="30"/>
        <v>5</v>
      </c>
      <c r="U139" s="251">
        <f t="shared" si="31"/>
        <v>-0.90774352557942772</v>
      </c>
      <c r="V139" s="383">
        <f t="shared" si="32"/>
        <v>54.230385898124943</v>
      </c>
      <c r="W139" s="402"/>
      <c r="X139" s="157">
        <f t="shared" si="33"/>
        <v>43955</v>
      </c>
      <c r="Y139" s="385">
        <f t="shared" si="34"/>
        <v>53.405999999999999</v>
      </c>
      <c r="Z139" s="385">
        <f t="shared" si="35"/>
        <v>54.245383785488812</v>
      </c>
      <c r="AA139" s="386">
        <f t="shared" si="36"/>
        <v>58.46011435464802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7.2095831759591944E-2</v>
      </c>
      <c r="AD139" s="231">
        <f>(INDEX(Models!$BJ139:$BT139,,AH139)*(1-AF139)+INDEX(Models!$BJ139:$BT139,,AH139+1)*AF139-ERP_i)*AE139*Ramure*Pc/MaxiM</f>
        <v>6.4319670777418568E-4</v>
      </c>
      <c r="AE139" s="305">
        <f t="shared" si="38"/>
        <v>0.7</v>
      </c>
      <c r="AF139" s="177">
        <f t="shared" si="39"/>
        <v>9.2256474420572276E-2</v>
      </c>
      <c r="AG139" s="919">
        <f t="shared" si="47"/>
        <v>-1</v>
      </c>
      <c r="AH139" s="176">
        <f t="shared" si="40"/>
        <v>5</v>
      </c>
      <c r="AI139" s="225">
        <f t="shared" si="41"/>
        <v>-0.90774352557942772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8">
        <v>47.170999999999999</v>
      </c>
      <c r="C140" s="390"/>
      <c r="D140" s="393">
        <f t="shared" si="24"/>
        <v>47.913437521194545</v>
      </c>
      <c r="E140" s="385">
        <f t="shared" si="45"/>
        <v>51.64102350246548</v>
      </c>
      <c r="F140" s="385">
        <f t="shared" si="25"/>
        <v>51.669959493949307</v>
      </c>
      <c r="G140" s="110">
        <f t="shared" si="46"/>
        <v>0.86918670967637379</v>
      </c>
      <c r="H140" s="412" t="b">
        <f>Wh_hp&gt;='2019'!Maxi_hp</f>
        <v>0</v>
      </c>
      <c r="I140" s="380">
        <f>IF(H140,Wh_hp,'2019'!Maxi_hp)</f>
        <v>61.787025291973102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1.5495392516267081E-2</v>
      </c>
      <c r="M140" s="957"/>
      <c r="N140" s="957"/>
      <c r="O140" s="48">
        <f>IF(t&lt;Tnet,'2019'!Resal+('2019'!Salim-'2019'!Resal)*(1-EXP(('2019'!Tnet-t)/('2019'!Tau_j))),Resal+(Salim-Resal)*(1-EXP((Tnet-t)/(Tau_j))))*Salcycl</f>
        <v>7.218265108732734E-2</v>
      </c>
      <c r="P140" s="169">
        <f>(INDEX(Models!$BJ140:$BT140,,T140)*(1-R140)+INDEX(Models!$BJ140:$BT140,,T140+1)*R140-ERP_i)*Q140*Ramure*Pc/MaxiM</f>
        <v>6.8858604686187184E-4</v>
      </c>
      <c r="Q140" s="305">
        <f t="shared" si="27"/>
        <v>0.7</v>
      </c>
      <c r="R140" s="177">
        <f t="shared" si="28"/>
        <v>9.5406813781913624E-2</v>
      </c>
      <c r="S140" s="919">
        <f t="shared" si="29"/>
        <v>-1</v>
      </c>
      <c r="T140" s="176">
        <f t="shared" si="30"/>
        <v>5</v>
      </c>
      <c r="U140" s="251">
        <f t="shared" si="31"/>
        <v>-0.90459318621808638</v>
      </c>
      <c r="V140" s="383">
        <f t="shared" si="32"/>
        <v>54.263291520116219</v>
      </c>
      <c r="W140" s="402"/>
      <c r="X140" s="157">
        <f t="shared" si="33"/>
        <v>43956</v>
      </c>
      <c r="Y140" s="385">
        <f t="shared" si="34"/>
        <v>47.170999999999999</v>
      </c>
      <c r="Z140" s="385">
        <f t="shared" si="35"/>
        <v>47.913437521194545</v>
      </c>
      <c r="AA140" s="386">
        <f t="shared" si="36"/>
        <v>51.64102350246548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7.218265108732734E-2</v>
      </c>
      <c r="AD140" s="231">
        <f>(INDEX(Models!$BJ140:$BT140,,AH140)*(1-AF140)+INDEX(Models!$BJ140:$BT140,,AH140+1)*AF140-ERP_i)*AE140*Ramure*Pc/MaxiM</f>
        <v>6.8858604686187184E-4</v>
      </c>
      <c r="AE140" s="305">
        <f t="shared" si="38"/>
        <v>0.7</v>
      </c>
      <c r="AF140" s="177">
        <f t="shared" si="39"/>
        <v>9.5406813781913624E-2</v>
      </c>
      <c r="AG140" s="919">
        <f t="shared" si="47"/>
        <v>-1</v>
      </c>
      <c r="AH140" s="176">
        <f t="shared" si="40"/>
        <v>5</v>
      </c>
      <c r="AI140" s="225">
        <f t="shared" si="41"/>
        <v>-0.90459318621808638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8">
        <v>52.268999999999998</v>
      </c>
      <c r="C141" s="390"/>
      <c r="D141" s="393">
        <f t="shared" si="24"/>
        <v>53.09283923405475</v>
      </c>
      <c r="E141" s="385">
        <f t="shared" si="45"/>
        <v>57.228782959584173</v>
      </c>
      <c r="F141" s="385">
        <f t="shared" si="25"/>
        <v>57.268675300754929</v>
      </c>
      <c r="G141" s="110">
        <f t="shared" si="46"/>
        <v>0.96269542968892607</v>
      </c>
      <c r="H141" s="412" t="b">
        <f>Wh_hp&gt;='2019'!Maxi_hp</f>
        <v>1</v>
      </c>
      <c r="I141" s="380">
        <f>IF(H141,Wh_hp,'2019'!Maxi_hp)</f>
        <v>57.268675300754929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1.5516955693835377E-2</v>
      </c>
      <c r="M141" s="957"/>
      <c r="N141" s="957"/>
      <c r="O141" s="48">
        <f>IF(t&lt;Tnet,'2019'!Resal+('2019'!Salim-'2019'!Resal)*(1-EXP(('2019'!Tnet-t)/('2019'!Tau_j))),Resal+(Salim-Resal)*(1-EXP((Tnet-t)/(Tau_j))))*Salcycl</f>
        <v>7.2270342153707659E-2</v>
      </c>
      <c r="P141" s="169">
        <f>(INDEX(Models!$BJ141:$BT141,,T141)*(1-R141)+INDEX(Models!$BJ141:$BT141,,T141+1)*R141-ERP_i)*Q141*Ramure*Pc/MaxiM</f>
        <v>7.3575245821371502E-4</v>
      </c>
      <c r="Q141" s="305">
        <f t="shared" si="27"/>
        <v>0.7</v>
      </c>
      <c r="R141" s="177">
        <f t="shared" si="28"/>
        <v>9.8637968187065939E-2</v>
      </c>
      <c r="S141" s="919">
        <f t="shared" si="29"/>
        <v>-1</v>
      </c>
      <c r="T141" s="176">
        <f t="shared" si="30"/>
        <v>5</v>
      </c>
      <c r="U141" s="251">
        <f t="shared" si="31"/>
        <v>-0.90136203181293406</v>
      </c>
      <c r="V141" s="383">
        <f t="shared" si="32"/>
        <v>54.29230218815438</v>
      </c>
      <c r="W141" s="402"/>
      <c r="X141" s="157">
        <f t="shared" si="33"/>
        <v>43957</v>
      </c>
      <c r="Y141" s="385">
        <f t="shared" si="34"/>
        <v>52.268999999999998</v>
      </c>
      <c r="Z141" s="385">
        <f t="shared" si="35"/>
        <v>53.09283923405475</v>
      </c>
      <c r="AA141" s="386">
        <f t="shared" si="36"/>
        <v>57.228782959584173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7.2270342153707659E-2</v>
      </c>
      <c r="AD141" s="231">
        <f>(INDEX(Models!$BJ141:$BT141,,AH141)*(1-AF141)+INDEX(Models!$BJ141:$BT141,,AH141+1)*AF141-ERP_i)*AE141*Ramure*Pc/MaxiM</f>
        <v>7.3575245821371502E-4</v>
      </c>
      <c r="AE141" s="305">
        <f t="shared" si="38"/>
        <v>0.7</v>
      </c>
      <c r="AF141" s="177">
        <f t="shared" si="39"/>
        <v>9.8637968187065939E-2</v>
      </c>
      <c r="AG141" s="919">
        <f t="shared" si="47"/>
        <v>-1</v>
      </c>
      <c r="AH141" s="176">
        <f t="shared" si="40"/>
        <v>5</v>
      </c>
      <c r="AI141" s="225">
        <f t="shared" si="41"/>
        <v>-0.90136203181293406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8">
        <v>46.887</v>
      </c>
      <c r="C142" s="390"/>
      <c r="D142" s="393">
        <f t="shared" si="24"/>
        <v>47.627053852584012</v>
      </c>
      <c r="E142" s="385">
        <f t="shared" si="45"/>
        <v>51.342111522701778</v>
      </c>
      <c r="F142" s="385">
        <f t="shared" si="25"/>
        <v>51.374550954494154</v>
      </c>
      <c r="G142" s="110">
        <f t="shared" si="46"/>
        <v>0.8630666556209603</v>
      </c>
      <c r="H142" s="412" t="b">
        <f>Wh_hp&gt;='2019'!Maxi_hp</f>
        <v>1</v>
      </c>
      <c r="I142" s="380">
        <f>IF(H142,Wh_hp,'2019'!Maxi_hp)</f>
        <v>51.374550954494154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1.5538518399114909E-2</v>
      </c>
      <c r="M142" s="957"/>
      <c r="N142" s="957"/>
      <c r="O142" s="48">
        <f>IF(t&lt;Tnet,'2019'!Resal+('2019'!Salim-'2019'!Resal)*(1-EXP(('2019'!Tnet-t)/('2019'!Tau_j))),Resal+(Salim-Resal)*(1-EXP((Tnet-t)/(Tau_j))))*Salcycl</f>
        <v>7.2358879678625879E-2</v>
      </c>
      <c r="P142" s="169">
        <f>(INDEX(Models!$BJ142:$BT142,,T142)*(1-R142)+INDEX(Models!$BJ142:$BT142,,T142+1)*R142-ERP_i)*Q142*Ramure*Pc/MaxiM</f>
        <v>7.848040997384528E-4</v>
      </c>
      <c r="Q142" s="305">
        <f t="shared" si="27"/>
        <v>0.7</v>
      </c>
      <c r="R142" s="177">
        <f t="shared" si="28"/>
        <v>0.10195025398519886</v>
      </c>
      <c r="S142" s="919">
        <f t="shared" si="29"/>
        <v>-1</v>
      </c>
      <c r="T142" s="176">
        <f t="shared" si="30"/>
        <v>5</v>
      </c>
      <c r="U142" s="251">
        <f t="shared" si="31"/>
        <v>-0.89804974601480114</v>
      </c>
      <c r="V142" s="383">
        <f t="shared" si="32"/>
        <v>54.317709876508218</v>
      </c>
      <c r="W142" s="402"/>
      <c r="X142" s="157">
        <f t="shared" si="33"/>
        <v>43958</v>
      </c>
      <c r="Y142" s="385">
        <f t="shared" si="34"/>
        <v>46.887</v>
      </c>
      <c r="Z142" s="385">
        <f t="shared" si="35"/>
        <v>47.627053852584012</v>
      </c>
      <c r="AA142" s="386">
        <f t="shared" si="36"/>
        <v>51.342111522701778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7.2358879678625879E-2</v>
      </c>
      <c r="AD142" s="231">
        <f>(INDEX(Models!$BJ142:$BT142,,AH142)*(1-AF142)+INDEX(Models!$BJ142:$BT142,,AH142+1)*AF142-ERP_i)*AE142*Ramure*Pc/MaxiM</f>
        <v>7.848040997384528E-4</v>
      </c>
      <c r="AE142" s="305">
        <f t="shared" si="38"/>
        <v>0.7</v>
      </c>
      <c r="AF142" s="177">
        <f t="shared" si="39"/>
        <v>0.10195025398519886</v>
      </c>
      <c r="AG142" s="919">
        <f t="shared" si="47"/>
        <v>-1</v>
      </c>
      <c r="AH142" s="176">
        <f t="shared" si="40"/>
        <v>5</v>
      </c>
      <c r="AI142" s="225">
        <f t="shared" si="41"/>
        <v>-0.89804974601480114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8">
        <v>46.526000000000003</v>
      </c>
      <c r="C143" s="390"/>
      <c r="D143" s="393">
        <f t="shared" ref="D143:D206" si="48">Wh/(1-Ppv)</f>
        <v>47.261391055611263</v>
      </c>
      <c r="E143" s="385">
        <f t="shared" si="45"/>
        <v>50.952833994291346</v>
      </c>
      <c r="F143" s="385">
        <f t="shared" ref="F143:F206" si="49">Wh_sa/(1-Pvg*MEDIAN((-Sdif+Wh/Env_an)/Csdif,0,1))</f>
        <v>50.986674295665459</v>
      </c>
      <c r="G143" s="110">
        <f t="shared" si="46"/>
        <v>0.85605725570488822</v>
      </c>
      <c r="H143" s="412" t="b">
        <f>Wh_hp&gt;='2019'!Maxi_hp</f>
        <v>0</v>
      </c>
      <c r="I143" s="380">
        <f>IF(H143,Wh_hp,'2019'!Maxi_hp)</f>
        <v>51.928840969153235</v>
      </c>
      <c r="J143" s="85">
        <f>IF(H143,An,'2019'!An_max)</f>
        <v>2019</v>
      </c>
      <c r="K143" s="197">
        <f t="shared" ref="K143:K206" si="50">t</f>
        <v>43959</v>
      </c>
      <c r="L143" s="147">
        <f>IF(t&lt;Tvie,1-EXP((T0-t)*PertePVj)+'2019'!Pspv,1-EXP((T0-t)*PertePVj)+Pspv)</f>
        <v>1.5560080632115669E-2</v>
      </c>
      <c r="M143" s="957"/>
      <c r="N143" s="957"/>
      <c r="O143" s="48">
        <f>IF(t&lt;Tnet,'2019'!Resal+('2019'!Salim-'2019'!Resal)*(1-EXP(('2019'!Tnet-t)/('2019'!Tau_j))),Resal+(Salim-Resal)*(1-EXP((Tnet-t)/(Tau_j))))*Salcycl</f>
        <v>7.2448235933131114E-2</v>
      </c>
      <c r="P143" s="169">
        <f>(INDEX(Models!$BJ143:$BT143,,T143)*(1-R143)+INDEX(Models!$BJ143:$BT143,,T143+1)*R143-ERP_i)*Q143*Ramure*Pc/MaxiM</f>
        <v>8.3529764988877749E-4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0.1053438632025443</v>
      </c>
      <c r="S143" s="919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-0.8946561367974557</v>
      </c>
      <c r="V143" s="383">
        <f t="shared" ref="V143:V206" si="56">MaxiM*(1-Ppv)*(1-Pvg)*(1-Psa)</f>
        <v>54.339836549785943</v>
      </c>
      <c r="W143" s="402"/>
      <c r="X143" s="157">
        <f t="shared" ref="X143:X206" si="57">t</f>
        <v>43959</v>
      </c>
      <c r="Y143" s="385">
        <f t="shared" ref="Y143:Y206" si="58">Wh_pvt_s*(1-Ppv)</f>
        <v>46.526000000000003</v>
      </c>
      <c r="Z143" s="385">
        <f t="shared" ref="Z143:Z206" si="59">Wh_sa_s*(1-Psa_s)</f>
        <v>47.261391055611263</v>
      </c>
      <c r="AA143" s="386">
        <f t="shared" ref="AA143:AA206" si="60">Wh_hp*(1-Pvg_s*MEDIAN((-Sdif+Wh/Env_an)/Csdif,0,1))</f>
        <v>50.952833994291346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7.2448235933131114E-2</v>
      </c>
      <c r="AD143" s="231">
        <f>(INDEX(Models!$BJ143:$BT143,,AH143)*(1-AF143)+INDEX(Models!$BJ143:$BT143,,AH143+1)*AF143-ERP_i)*AE143*Ramure*Pc/MaxiM</f>
        <v>8.3529764988877749E-4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0.1053438632025443</v>
      </c>
      <c r="AG143" s="919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-0.8946561367974557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8">
        <v>44.570999999999998</v>
      </c>
      <c r="C144" s="390"/>
      <c r="D144" s="393">
        <f t="shared" si="48"/>
        <v>45.276481950559877</v>
      </c>
      <c r="E144" s="385">
        <f t="shared" ref="E144:E169" si="69">Wh_pvt/(1-Psa)</f>
        <v>48.817634077313649</v>
      </c>
      <c r="F144" s="385">
        <f t="shared" si="49"/>
        <v>48.84982797740755</v>
      </c>
      <c r="G144" s="110">
        <f t="shared" ref="G144:G169" si="70">+Wh_hp/MaxiM</f>
        <v>0.81975089188085259</v>
      </c>
      <c r="H144" s="412" t="b">
        <f>Wh_hp&gt;='2019'!Maxi_hp</f>
        <v>1</v>
      </c>
      <c r="I144" s="380">
        <f>IF(H144,Wh_hp,'2019'!Maxi_hp)</f>
        <v>48.84982797740755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1.5581642392848316E-2</v>
      </c>
      <c r="M144" s="957"/>
      <c r="N144" s="957"/>
      <c r="O144" s="48">
        <f>IF(t&lt;Tnet,'2019'!Resal+('2019'!Salim-'2019'!Resal)*(1-EXP(('2019'!Tnet-t)/('2019'!Tau_j))),Resal+(Salim-Resal)*(1-EXP((Tnet-t)/(Tau_j))))*Salcycl</f>
        <v>7.253838072417769E-2</v>
      </c>
      <c r="P144" s="169">
        <f>(INDEX(Models!$BJ144:$BT144,,T144)*(1-R144)+INDEX(Models!$BJ144:$BT144,,T144+1)*R144-ERP_i)*Q144*Ramure*Pc/MaxiM</f>
        <v>8.8727226468964806E-4</v>
      </c>
      <c r="Q144" s="305">
        <f t="shared" si="51"/>
        <v>0.7</v>
      </c>
      <c r="R144" s="177">
        <f t="shared" si="52"/>
        <v>0.1088188567492625</v>
      </c>
      <c r="S144" s="919">
        <f t="shared" si="53"/>
        <v>-1</v>
      </c>
      <c r="T144" s="176">
        <f t="shared" si="54"/>
        <v>5</v>
      </c>
      <c r="U144" s="251">
        <f t="shared" si="55"/>
        <v>-0.8911811432507375</v>
      </c>
      <c r="V144" s="383">
        <f t="shared" si="56"/>
        <v>54.358977965019896</v>
      </c>
      <c r="W144" s="402"/>
      <c r="X144" s="157">
        <f t="shared" si="57"/>
        <v>43960</v>
      </c>
      <c r="Y144" s="385">
        <f t="shared" si="58"/>
        <v>44.570999999999998</v>
      </c>
      <c r="Z144" s="385">
        <f t="shared" si="59"/>
        <v>45.276481950559877</v>
      </c>
      <c r="AA144" s="386">
        <f t="shared" si="60"/>
        <v>48.817634077313649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7.253838072417769E-2</v>
      </c>
      <c r="AD144" s="231">
        <f>(INDEX(Models!$BJ144:$BT144,,AH144)*(1-AF144)+INDEX(Models!$BJ144:$BT144,,AH144+1)*AF144-ERP_i)*AE144*Ramure*Pc/MaxiM</f>
        <v>8.8727226468964806E-4</v>
      </c>
      <c r="AE144" s="305">
        <f t="shared" si="62"/>
        <v>0.7</v>
      </c>
      <c r="AF144" s="177">
        <f t="shared" si="63"/>
        <v>0.1088188567492625</v>
      </c>
      <c r="AG144" s="919">
        <f t="shared" ref="AG144:AG207" si="71">INDEX(Echel_vg,AH144)</f>
        <v>-1</v>
      </c>
      <c r="AH144" s="176">
        <f t="shared" si="64"/>
        <v>5</v>
      </c>
      <c r="AI144" s="225">
        <f t="shared" si="65"/>
        <v>-0.8911811432507375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8">
        <v>11.074999999999999</v>
      </c>
      <c r="C145" s="390"/>
      <c r="D145" s="393">
        <f t="shared" si="48"/>
        <v>11.250544537951452</v>
      </c>
      <c r="E145" s="385">
        <f t="shared" si="69"/>
        <v>12.131658151559293</v>
      </c>
      <c r="F145" s="385">
        <f t="shared" si="49"/>
        <v>12.131658151559293</v>
      </c>
      <c r="G145" s="110">
        <f t="shared" si="70"/>
        <v>0.20348493856174271</v>
      </c>
      <c r="H145" s="412" t="b">
        <f>Wh_hp&gt;='2019'!Maxi_hp</f>
        <v>0</v>
      </c>
      <c r="I145" s="380">
        <f>IF(H145,Wh_hp,'2019'!Maxi_hp)</f>
        <v>38.038773139907207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1.5603203681323063E-2</v>
      </c>
      <c r="M145" s="957"/>
      <c r="N145" s="957"/>
      <c r="O145" s="48">
        <f>IF(t&lt;Tnet,'2019'!Resal+('2019'!Salim-'2019'!Resal)*(1-EXP(('2019'!Tnet-t)/('2019'!Tau_j))),Resal+(Salim-Resal)*(1-EXP((Tnet-t)/(Tau_j))))*Salcycl</f>
        <v>7.2629281389254438E-2</v>
      </c>
      <c r="P145" s="169">
        <f>(INDEX(Models!$BJ145:$BT145,,T145)*(1-R145)+INDEX(Models!$BJ145:$BT145,,T145+1)*R145-ERP_i)*Q145*Ramure*Pc/MaxiM</f>
        <v>9.4076592406037887E-4</v>
      </c>
      <c r="Q145" s="305">
        <f t="shared" si="51"/>
        <v>0.7</v>
      </c>
      <c r="R145" s="177">
        <f t="shared" si="52"/>
        <v>0.11237515780762675</v>
      </c>
      <c r="S145" s="919">
        <f t="shared" si="53"/>
        <v>-1</v>
      </c>
      <c r="T145" s="176">
        <f t="shared" si="54"/>
        <v>5</v>
      </c>
      <c r="U145" s="251">
        <f t="shared" si="55"/>
        <v>-0.88762484219237325</v>
      </c>
      <c r="V145" s="383">
        <f t="shared" si="56"/>
        <v>54.375429924184495</v>
      </c>
      <c r="W145" s="402"/>
      <c r="X145" s="157">
        <f t="shared" si="57"/>
        <v>43961</v>
      </c>
      <c r="Y145" s="385">
        <f t="shared" si="58"/>
        <v>11.074999999999999</v>
      </c>
      <c r="Z145" s="385">
        <f t="shared" si="59"/>
        <v>11.250544537951452</v>
      </c>
      <c r="AA145" s="386">
        <f t="shared" si="60"/>
        <v>12.131658151559293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7.2629281389254438E-2</v>
      </c>
      <c r="AD145" s="231">
        <f>(INDEX(Models!$BJ145:$BT145,,AH145)*(1-AF145)+INDEX(Models!$BJ145:$BT145,,AH145+1)*AF145-ERP_i)*AE145*Ramure*Pc/MaxiM</f>
        <v>9.4076592406037887E-4</v>
      </c>
      <c r="AE145" s="305">
        <f t="shared" si="62"/>
        <v>0.7</v>
      </c>
      <c r="AF145" s="177">
        <f t="shared" si="63"/>
        <v>0.11237515780762675</v>
      </c>
      <c r="AG145" s="919">
        <f t="shared" si="71"/>
        <v>-1</v>
      </c>
      <c r="AH145" s="176">
        <f t="shared" si="64"/>
        <v>5</v>
      </c>
      <c r="AI145" s="225">
        <f t="shared" si="65"/>
        <v>-0.88762484219237325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8">
        <v>5.359</v>
      </c>
      <c r="C146" s="390"/>
      <c r="D146" s="393">
        <f t="shared" si="48"/>
        <v>5.4440621896228754</v>
      </c>
      <c r="E146" s="385">
        <f t="shared" si="69"/>
        <v>5.871007128351426</v>
      </c>
      <c r="F146" s="385">
        <f t="shared" si="49"/>
        <v>5.871007128351426</v>
      </c>
      <c r="G146" s="110">
        <f t="shared" si="70"/>
        <v>9.8431950639539023E-2</v>
      </c>
      <c r="H146" s="412" t="b">
        <f>Wh_hp&gt;='2019'!Maxi_hp</f>
        <v>0</v>
      </c>
      <c r="I146" s="380">
        <f>IF(H146,Wh_hp,'2019'!Maxi_hp)</f>
        <v>54.342875304504368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1.5624764497550236E-2</v>
      </c>
      <c r="M146" s="957"/>
      <c r="N146" s="957"/>
      <c r="O146" s="48">
        <f>IF(t&lt;Tnet,'2019'!Resal+('2019'!Salim-'2019'!Resal)*(1-EXP(('2019'!Tnet-t)/('2019'!Tau_j))),Resal+(Salim-Resal)*(1-EXP((Tnet-t)/(Tau_j))))*Salcycl</f>
        <v>7.2720902801635026E-2</v>
      </c>
      <c r="P146" s="169">
        <f>(INDEX(Models!$BJ146:$BT146,,T146)*(1-R146)+INDEX(Models!$BJ146:$BT146,,T146+1)*R146-ERP_i)*Q146*Ramure*Pc/MaxiM</f>
        <v>9.9581522818043542E-4</v>
      </c>
      <c r="Q146" s="305">
        <f t="shared" si="51"/>
        <v>0.7</v>
      </c>
      <c r="R146" s="177">
        <f t="shared" si="52"/>
        <v>0.11601254545545547</v>
      </c>
      <c r="S146" s="919">
        <f t="shared" si="53"/>
        <v>-1</v>
      </c>
      <c r="T146" s="176">
        <f t="shared" si="54"/>
        <v>5</v>
      </c>
      <c r="U146" s="251">
        <f t="shared" si="55"/>
        <v>-0.88398745454454453</v>
      </c>
      <c r="V146" s="383">
        <f t="shared" si="56"/>
        <v>54.389488285134874</v>
      </c>
      <c r="W146" s="402"/>
      <c r="X146" s="157">
        <f t="shared" si="57"/>
        <v>43962</v>
      </c>
      <c r="Y146" s="385">
        <f t="shared" si="58"/>
        <v>5.359</v>
      </c>
      <c r="Z146" s="385">
        <f t="shared" si="59"/>
        <v>5.4440621896228754</v>
      </c>
      <c r="AA146" s="386">
        <f t="shared" si="60"/>
        <v>5.871007128351426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7.2720902801635026E-2</v>
      </c>
      <c r="AD146" s="231">
        <f>(INDEX(Models!$BJ146:$BT146,,AH146)*(1-AF146)+INDEX(Models!$BJ146:$BT146,,AH146+1)*AF146-ERP_i)*AE146*Ramure*Pc/MaxiM</f>
        <v>9.9581522818043542E-4</v>
      </c>
      <c r="AE146" s="305">
        <f t="shared" si="62"/>
        <v>0.7</v>
      </c>
      <c r="AF146" s="177">
        <f t="shared" si="63"/>
        <v>0.11601254545545547</v>
      </c>
      <c r="AG146" s="919">
        <f t="shared" si="71"/>
        <v>-1</v>
      </c>
      <c r="AH146" s="176">
        <f t="shared" si="64"/>
        <v>5</v>
      </c>
      <c r="AI146" s="225">
        <f t="shared" si="65"/>
        <v>-0.88398745454454453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8">
        <v>18.669</v>
      </c>
      <c r="C147" s="390"/>
      <c r="D147" s="393">
        <f t="shared" si="48"/>
        <v>18.965744194529158</v>
      </c>
      <c r="E147" s="385">
        <f t="shared" si="69"/>
        <v>20.455149216565619</v>
      </c>
      <c r="F147" s="385">
        <f t="shared" si="49"/>
        <v>20.456477004103952</v>
      </c>
      <c r="G147" s="110">
        <f t="shared" si="70"/>
        <v>0.34283208700650331</v>
      </c>
      <c r="H147" s="412" t="b">
        <f>Wh_hp&gt;='2019'!Maxi_hp</f>
        <v>0</v>
      </c>
      <c r="I147" s="380">
        <f>IF(H147,Wh_hp,'2019'!Maxi_hp)</f>
        <v>61.987907498178245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1.564632484154016E-2</v>
      </c>
      <c r="M147" s="957"/>
      <c r="N147" s="957"/>
      <c r="O147" s="48">
        <f>IF(t&lt;Tnet,'2019'!Resal+('2019'!Salim-'2019'!Resal)*(1-EXP(('2019'!Tnet-t)/('2019'!Tau_j))),Resal+(Salim-Resal)*(1-EXP((Tnet-t)/(Tau_j))))*Salcycl</f>
        <v>7.2813207386933379E-2</v>
      </c>
      <c r="P147" s="169">
        <f>(INDEX(Models!$BJ147:$BT147,,T147)*(1-R147)+INDEX(Models!$BJ147:$BT147,,T147+1)*R147-ERP_i)*Q147*Ramure*Pc/MaxiM</f>
        <v>1.0524551834720354E-3</v>
      </c>
      <c r="Q147" s="305">
        <f t="shared" si="51"/>
        <v>0.7</v>
      </c>
      <c r="R147" s="177">
        <f t="shared" si="52"/>
        <v>0.11973064858090765</v>
      </c>
      <c r="S147" s="919">
        <f t="shared" si="53"/>
        <v>-1</v>
      </c>
      <c r="T147" s="176">
        <f t="shared" si="54"/>
        <v>5</v>
      </c>
      <c r="U147" s="251">
        <f t="shared" si="55"/>
        <v>-0.88026935141909235</v>
      </c>
      <c r="V147" s="383">
        <f t="shared" si="56"/>
        <v>54.401448961168811</v>
      </c>
      <c r="W147" s="402"/>
      <c r="X147" s="157">
        <f t="shared" si="57"/>
        <v>43963</v>
      </c>
      <c r="Y147" s="385">
        <f t="shared" si="58"/>
        <v>18.669</v>
      </c>
      <c r="Z147" s="385">
        <f t="shared" si="59"/>
        <v>18.965744194529158</v>
      </c>
      <c r="AA147" s="386">
        <f t="shared" si="60"/>
        <v>20.455149216565619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7.2813207386933379E-2</v>
      </c>
      <c r="AD147" s="231">
        <f>(INDEX(Models!$BJ147:$BT147,,AH147)*(1-AF147)+INDEX(Models!$BJ147:$BT147,,AH147+1)*AF147-ERP_i)*AE147*Ramure*Pc/MaxiM</f>
        <v>1.0524551834720354E-3</v>
      </c>
      <c r="AE147" s="305">
        <f t="shared" si="62"/>
        <v>0.7</v>
      </c>
      <c r="AF147" s="177">
        <f t="shared" si="63"/>
        <v>0.11973064858090765</v>
      </c>
      <c r="AG147" s="919">
        <f t="shared" si="71"/>
        <v>-1</v>
      </c>
      <c r="AH147" s="176">
        <f t="shared" si="64"/>
        <v>5</v>
      </c>
      <c r="AI147" s="225">
        <f t="shared" si="65"/>
        <v>-0.88026935141909235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8">
        <v>29.655999999999999</v>
      </c>
      <c r="C148" s="390"/>
      <c r="D148" s="393">
        <f t="shared" si="48"/>
        <v>30.128042699655683</v>
      </c>
      <c r="E148" s="385">
        <f t="shared" si="69"/>
        <v>32.497295572684699</v>
      </c>
      <c r="F148" s="385">
        <f t="shared" si="49"/>
        <v>32.509935450218613</v>
      </c>
      <c r="G148" s="110">
        <f t="shared" si="70"/>
        <v>0.54463713876476527</v>
      </c>
      <c r="H148" s="412" t="b">
        <f>Wh_hp&gt;='2019'!Maxi_hp</f>
        <v>0</v>
      </c>
      <c r="I148" s="380">
        <f>IF(H148,Wh_hp,'2019'!Maxi_hp)</f>
        <v>60.924968033525275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1.5667884713303271E-2</v>
      </c>
      <c r="M148" s="957"/>
      <c r="N148" s="957"/>
      <c r="O148" s="48">
        <f>IF(t&lt;Tnet,'2019'!Resal+('2019'!Salim-'2019'!Resal)*(1-EXP(('2019'!Tnet-t)/('2019'!Tau_j))),Resal+(Salim-Resal)*(1-EXP((Tnet-t)/(Tau_j))))*Salcycl</f>
        <v>7.2906155151583496E-2</v>
      </c>
      <c r="P148" s="169">
        <f>(INDEX(Models!$BJ148:$BT148,,T148)*(1-R148)+INDEX(Models!$BJ148:$BT148,,T148+1)*R148-ERP_i)*Q148*Ramure*Pc/MaxiM</f>
        <v>1.1107189785671298E-3</v>
      </c>
      <c r="Q148" s="305">
        <f t="shared" si="51"/>
        <v>0.7</v>
      </c>
      <c r="R148" s="177">
        <f t="shared" si="52"/>
        <v>0.12352894014651006</v>
      </c>
      <c r="S148" s="919">
        <f t="shared" si="53"/>
        <v>-1</v>
      </c>
      <c r="T148" s="176">
        <f t="shared" si="54"/>
        <v>5</v>
      </c>
      <c r="U148" s="251">
        <f t="shared" si="55"/>
        <v>-0.87647105985348994</v>
      </c>
      <c r="V148" s="383">
        <f t="shared" si="56"/>
        <v>54.41160792702977</v>
      </c>
      <c r="W148" s="402"/>
      <c r="X148" s="157">
        <f t="shared" si="57"/>
        <v>43964</v>
      </c>
      <c r="Y148" s="385">
        <f t="shared" si="58"/>
        <v>29.655999999999995</v>
      </c>
      <c r="Z148" s="385">
        <f t="shared" si="59"/>
        <v>30.12804269965568</v>
      </c>
      <c r="AA148" s="386">
        <f t="shared" si="60"/>
        <v>32.497295572684699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7.2906155151583496E-2</v>
      </c>
      <c r="AD148" s="231">
        <f>(INDEX(Models!$BJ148:$BT148,,AH148)*(1-AF148)+INDEX(Models!$BJ148:$BT148,,AH148+1)*AF148-ERP_i)*AE148*Ramure*Pc/MaxiM</f>
        <v>1.1107189785671298E-3</v>
      </c>
      <c r="AE148" s="305">
        <f t="shared" si="62"/>
        <v>0.7</v>
      </c>
      <c r="AF148" s="177">
        <f t="shared" si="63"/>
        <v>0.12352894014651006</v>
      </c>
      <c r="AG148" s="919">
        <f t="shared" si="71"/>
        <v>-1</v>
      </c>
      <c r="AH148" s="176">
        <f t="shared" si="64"/>
        <v>5</v>
      </c>
      <c r="AI148" s="225">
        <f t="shared" si="65"/>
        <v>-0.87647105985348994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8">
        <v>17.96</v>
      </c>
      <c r="C149" s="390"/>
      <c r="D149" s="393">
        <f t="shared" si="48"/>
        <v>18.246273894536074</v>
      </c>
      <c r="E149" s="385">
        <f t="shared" si="69"/>
        <v>19.683137068922065</v>
      </c>
      <c r="F149" s="385">
        <f t="shared" si="49"/>
        <v>19.684125626800341</v>
      </c>
      <c r="G149" s="110">
        <f t="shared" si="70"/>
        <v>0.32966010580644206</v>
      </c>
      <c r="H149" s="412" t="b">
        <f>Wh_hp&gt;='2019'!Maxi_hp</f>
        <v>0</v>
      </c>
      <c r="I149" s="380">
        <f>IF(H149,Wh_hp,'2019'!Maxi_hp)</f>
        <v>61.115724809852011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1.5689444112849782E-2</v>
      </c>
      <c r="M149" s="957"/>
      <c r="N149" s="957"/>
      <c r="O149" s="48">
        <f>IF(t&lt;Tnet,'2019'!Resal+('2019'!Salim-'2019'!Resal)*(1-EXP(('2019'!Tnet-t)/('2019'!Tau_j))),Resal+(Salim-Resal)*(1-EXP((Tnet-t)/(Tau_j))))*Salcycl</f>
        <v>7.2999703723786474E-2</v>
      </c>
      <c r="P149" s="169">
        <f>(INDEX(Models!$BJ149:$BT149,,T149)*(1-R149)+INDEX(Models!$BJ149:$BT149,,T149+1)*R149-ERP_i)*Q149*Ramure*Pc/MaxiM</f>
        <v>1.1706581602854065E-3</v>
      </c>
      <c r="Q149" s="305">
        <f t="shared" si="51"/>
        <v>0.7</v>
      </c>
      <c r="R149" s="177">
        <f t="shared" si="52"/>
        <v>0.1274067318615496</v>
      </c>
      <c r="S149" s="919">
        <f t="shared" si="53"/>
        <v>-1</v>
      </c>
      <c r="T149" s="176">
        <f t="shared" si="54"/>
        <v>5</v>
      </c>
      <c r="U149" s="251">
        <f t="shared" si="55"/>
        <v>-0.8725932681384504</v>
      </c>
      <c r="V149" s="383">
        <f t="shared" si="56"/>
        <v>54.419311355086343</v>
      </c>
      <c r="W149" s="402"/>
      <c r="X149" s="157">
        <f t="shared" si="57"/>
        <v>43965</v>
      </c>
      <c r="Y149" s="385">
        <f t="shared" si="58"/>
        <v>17.96</v>
      </c>
      <c r="Z149" s="385">
        <f t="shared" si="59"/>
        <v>18.246273894536074</v>
      </c>
      <c r="AA149" s="386">
        <f t="shared" si="60"/>
        <v>19.683137068922065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7.2999703723786474E-2</v>
      </c>
      <c r="AD149" s="231">
        <f>(INDEX(Models!$BJ149:$BT149,,AH149)*(1-AF149)+INDEX(Models!$BJ149:$BT149,,AH149+1)*AF149-ERP_i)*AE149*Ramure*Pc/MaxiM</f>
        <v>1.1706581602854065E-3</v>
      </c>
      <c r="AE149" s="305">
        <f t="shared" si="62"/>
        <v>0.7</v>
      </c>
      <c r="AF149" s="177">
        <f t="shared" si="63"/>
        <v>0.1274067318615496</v>
      </c>
      <c r="AG149" s="919">
        <f t="shared" si="71"/>
        <v>-1</v>
      </c>
      <c r="AH149" s="176">
        <f t="shared" si="64"/>
        <v>5</v>
      </c>
      <c r="AI149" s="225">
        <f t="shared" si="65"/>
        <v>-0.8725932681384504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8">
        <v>15.401</v>
      </c>
      <c r="C150" s="390"/>
      <c r="D150" s="393">
        <f t="shared" si="48"/>
        <v>15.646827352098144</v>
      </c>
      <c r="E150" s="385">
        <f t="shared" si="69"/>
        <v>16.880702161686589</v>
      </c>
      <c r="F150" s="385">
        <f t="shared" si="49"/>
        <v>16.880702161686589</v>
      </c>
      <c r="G150" s="110">
        <f t="shared" si="70"/>
        <v>0.28263421472823025</v>
      </c>
      <c r="H150" s="412" t="b">
        <f>Wh_hp&gt;='2019'!Maxi_hp</f>
        <v>0</v>
      </c>
      <c r="I150" s="380">
        <f>IF(H150,Wh_hp,'2019'!Maxi_hp)</f>
        <v>53.059049152756259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1.571100304019013E-2</v>
      </c>
      <c r="M150" s="957"/>
      <c r="N150" s="957"/>
      <c r="O150" s="48">
        <f>IF(t&lt;Tnet,'2019'!Resal+('2019'!Salim-'2019'!Resal)*(1-EXP(('2019'!Tnet-t)/('2019'!Tau_j))),Resal+(Salim-Resal)*(1-EXP((Tnet-t)/(Tau_j))))*Salcycl</f>
        <v>7.3093808407384692E-2</v>
      </c>
      <c r="P150" s="169">
        <f>(INDEX(Models!$BJ150:$BT150,,T150)*(1-R150)+INDEX(Models!$BJ150:$BT150,,T150+1)*R150-ERP_i)*Q150*Ramure*Pc/MaxiM</f>
        <v>1.2322789533264252E-3</v>
      </c>
      <c r="Q150" s="305">
        <f t="shared" si="51"/>
        <v>0.7</v>
      </c>
      <c r="R150" s="177">
        <f t="shared" si="52"/>
        <v>0.13136316932267578</v>
      </c>
      <c r="S150" s="919">
        <f t="shared" si="53"/>
        <v>-1</v>
      </c>
      <c r="T150" s="176">
        <f t="shared" si="54"/>
        <v>5</v>
      </c>
      <c r="U150" s="251">
        <f t="shared" si="55"/>
        <v>-0.86863683067732422</v>
      </c>
      <c r="V150" s="383">
        <f t="shared" si="56"/>
        <v>54.423777696661951</v>
      </c>
      <c r="W150" s="402"/>
      <c r="X150" s="157">
        <f t="shared" si="57"/>
        <v>43966</v>
      </c>
      <c r="Y150" s="385">
        <f t="shared" si="58"/>
        <v>15.401</v>
      </c>
      <c r="Z150" s="385">
        <f t="shared" si="59"/>
        <v>15.646827352098144</v>
      </c>
      <c r="AA150" s="386">
        <f t="shared" si="60"/>
        <v>16.880702161686589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7.3093808407384692E-2</v>
      </c>
      <c r="AD150" s="231">
        <f>(INDEX(Models!$BJ150:$BT150,,AH150)*(1-AF150)+INDEX(Models!$BJ150:$BT150,,AH150+1)*AF150-ERP_i)*AE150*Ramure*Pc/MaxiM</f>
        <v>1.2322789533264252E-3</v>
      </c>
      <c r="AE150" s="305">
        <f t="shared" si="62"/>
        <v>0.7</v>
      </c>
      <c r="AF150" s="177">
        <f t="shared" si="63"/>
        <v>0.13136316932267578</v>
      </c>
      <c r="AG150" s="919">
        <f t="shared" si="71"/>
        <v>-1</v>
      </c>
      <c r="AH150" s="176">
        <f t="shared" si="64"/>
        <v>5</v>
      </c>
      <c r="AI150" s="225">
        <f t="shared" si="65"/>
        <v>-0.86863683067732422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8">
        <v>31.707000000000001</v>
      </c>
      <c r="C151" s="390"/>
      <c r="D151" s="393">
        <f t="shared" si="48"/>
        <v>32.213805678841126</v>
      </c>
      <c r="E151" s="385">
        <f t="shared" si="69"/>
        <v>34.757664289231379</v>
      </c>
      <c r="F151" s="385">
        <f t="shared" si="49"/>
        <v>34.775845846166014</v>
      </c>
      <c r="G151" s="110">
        <f t="shared" si="70"/>
        <v>0.58212993198592977</v>
      </c>
      <c r="H151" s="412" t="b">
        <f>Wh_hp&gt;='2019'!Maxi_hp</f>
        <v>1</v>
      </c>
      <c r="I151" s="380">
        <f>IF(H151,Wh_hp,'2019'!Maxi_hp)</f>
        <v>34.775845846166014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1.573256149533464E-2</v>
      </c>
      <c r="M151" s="957"/>
      <c r="N151" s="957"/>
      <c r="O151" s="48">
        <f>IF(t&lt;Tnet,'2019'!Resal+('2019'!Salim-'2019'!Resal)*(1-EXP(('2019'!Tnet-t)/('2019'!Tau_j))),Resal+(Salim-Resal)*(1-EXP((Tnet-t)/(Tau_j))))*Salcycl</f>
        <v>7.3188422249028759E-2</v>
      </c>
      <c r="P151" s="169">
        <f>(INDEX(Models!$BJ151:$BT151,,T151)*(1-R151)+INDEX(Models!$BJ151:$BT151,,T151+1)*R151-ERP_i)*Q151*Ramure*Pc/MaxiM</f>
        <v>1.2951195070411232E-3</v>
      </c>
      <c r="Q151" s="305">
        <f t="shared" si="51"/>
        <v>0.7</v>
      </c>
      <c r="R151" s="177">
        <f t="shared" si="52"/>
        <v>0.13539722768264961</v>
      </c>
      <c r="S151" s="919">
        <f t="shared" si="53"/>
        <v>-1</v>
      </c>
      <c r="T151" s="176">
        <f t="shared" si="54"/>
        <v>5</v>
      </c>
      <c r="U151" s="251">
        <f t="shared" si="55"/>
        <v>-0.86460277231735039</v>
      </c>
      <c r="V151" s="383">
        <f t="shared" si="56"/>
        <v>54.425134655340621</v>
      </c>
      <c r="W151" s="402"/>
      <c r="X151" s="157">
        <f t="shared" si="57"/>
        <v>43967</v>
      </c>
      <c r="Y151" s="385">
        <f t="shared" si="58"/>
        <v>31.706999999999997</v>
      </c>
      <c r="Z151" s="385">
        <f t="shared" si="59"/>
        <v>32.213805678841126</v>
      </c>
      <c r="AA151" s="386">
        <f t="shared" si="60"/>
        <v>34.757664289231379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7.3188422249028759E-2</v>
      </c>
      <c r="AD151" s="231">
        <f>(INDEX(Models!$BJ151:$BT151,,AH151)*(1-AF151)+INDEX(Models!$BJ151:$BT151,,AH151+1)*AF151-ERP_i)*AE151*Ramure*Pc/MaxiM</f>
        <v>1.2951195070411232E-3</v>
      </c>
      <c r="AE151" s="305">
        <f t="shared" si="62"/>
        <v>0.7</v>
      </c>
      <c r="AF151" s="177">
        <f t="shared" si="63"/>
        <v>0.13539722768264961</v>
      </c>
      <c r="AG151" s="919">
        <f t="shared" si="71"/>
        <v>-1</v>
      </c>
      <c r="AH151" s="176">
        <f t="shared" si="64"/>
        <v>5</v>
      </c>
      <c r="AI151" s="225">
        <f t="shared" si="65"/>
        <v>-0.86460277231735039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8">
        <v>54.311</v>
      </c>
      <c r="C152" s="390"/>
      <c r="D152" s="393">
        <f t="shared" si="48"/>
        <v>55.180317311779945</v>
      </c>
      <c r="E152" s="385">
        <f t="shared" si="69"/>
        <v>59.543902672159554</v>
      </c>
      <c r="F152" s="385">
        <f t="shared" si="49"/>
        <v>59.62470514235855</v>
      </c>
      <c r="G152" s="110">
        <f t="shared" si="70"/>
        <v>0.99792916314288138</v>
      </c>
      <c r="H152" s="412" t="b">
        <f>Wh_hp&gt;='2019'!Maxi_hp</f>
        <v>1</v>
      </c>
      <c r="I152" s="380">
        <f>IF(H152,Wh_hp,'2019'!Maxi_hp)</f>
        <v>59.62470514235855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1.5754119478293749E-2</v>
      </c>
      <c r="M152" s="957"/>
      <c r="N152" s="957"/>
      <c r="O152" s="48">
        <f>IF(t&lt;Tnet,'2019'!Resal+('2019'!Salim-'2019'!Resal)*(1-EXP(('2019'!Tnet-t)/('2019'!Tau_j))),Resal+(Salim-Resal)*(1-EXP((Tnet-t)/(Tau_j))))*Salcycl</f>
        <v>7.3283496118904168E-2</v>
      </c>
      <c r="P152" s="169">
        <f>(INDEX(Models!$BJ152:$BT152,,T152)*(1-R152)+INDEX(Models!$BJ152:$BT152,,T152+1)*R152-ERP_i)*Q152*Ramure*Pc/MaxiM</f>
        <v>1.3591975783816233E-3</v>
      </c>
      <c r="Q152" s="305">
        <f t="shared" si="51"/>
        <v>0.7</v>
      </c>
      <c r="R152" s="177">
        <f t="shared" si="52"/>
        <v>0.13950770790660671</v>
      </c>
      <c r="S152" s="919">
        <f t="shared" si="53"/>
        <v>-1</v>
      </c>
      <c r="T152" s="176">
        <f t="shared" si="54"/>
        <v>5</v>
      </c>
      <c r="U152" s="251">
        <f t="shared" si="55"/>
        <v>-0.86049229209339329</v>
      </c>
      <c r="V152" s="383">
        <f t="shared" si="56"/>
        <v>54.423483900788156</v>
      </c>
      <c r="W152" s="402"/>
      <c r="X152" s="157">
        <f t="shared" si="57"/>
        <v>43968</v>
      </c>
      <c r="Y152" s="385">
        <f t="shared" si="58"/>
        <v>54.311</v>
      </c>
      <c r="Z152" s="385">
        <f t="shared" si="59"/>
        <v>55.180317311779945</v>
      </c>
      <c r="AA152" s="386">
        <f t="shared" si="60"/>
        <v>59.543902672159554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7.3283496118904168E-2</v>
      </c>
      <c r="AD152" s="231">
        <f>(INDEX(Models!$BJ152:$BT152,,AH152)*(1-AF152)+INDEX(Models!$BJ152:$BT152,,AH152+1)*AF152-ERP_i)*AE152*Ramure*Pc/MaxiM</f>
        <v>1.3591975783816233E-3</v>
      </c>
      <c r="AE152" s="305">
        <f t="shared" si="62"/>
        <v>0.7</v>
      </c>
      <c r="AF152" s="177">
        <f t="shared" si="63"/>
        <v>0.13950770790660671</v>
      </c>
      <c r="AG152" s="919">
        <f t="shared" si="71"/>
        <v>-1</v>
      </c>
      <c r="AH152" s="176">
        <f t="shared" si="64"/>
        <v>5</v>
      </c>
      <c r="AI152" s="225">
        <f t="shared" si="65"/>
        <v>-0.86049229209339329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8">
        <v>54.438000000000002</v>
      </c>
      <c r="C153" s="390"/>
      <c r="D153" s="393">
        <f t="shared" si="48"/>
        <v>55.310561553146947</v>
      </c>
      <c r="E153" s="385">
        <f t="shared" si="69"/>
        <v>59.690596574020326</v>
      </c>
      <c r="F153" s="385">
        <f t="shared" si="49"/>
        <v>59.775748831066402</v>
      </c>
      <c r="G153" s="110">
        <f t="shared" si="70"/>
        <v>1.0003504789062494</v>
      </c>
      <c r="H153" s="412" t="b">
        <f>Wh_hp&gt;='2019'!Maxi_hp</f>
        <v>1</v>
      </c>
      <c r="I153" s="380">
        <f>IF(H153,Wh_hp,'2019'!Maxi_hp)</f>
        <v>59.775748831066402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1.5775676989077669E-2</v>
      </c>
      <c r="M153" s="957"/>
      <c r="N153" s="957"/>
      <c r="O153" s="48">
        <f>IF(t&lt;Tnet,'2019'!Resal+('2019'!Salim-'2019'!Resal)*(1-EXP(('2019'!Tnet-t)/('2019'!Tau_j))),Resal+(Salim-Resal)*(1-EXP((Tnet-t)/(Tau_j))))*Salcycl</f>
        <v>7.337897880517652E-2</v>
      </c>
      <c r="P153" s="169">
        <f>(INDEX(Models!$BJ153:$BT153,,T153)*(1-R153)+INDEX(Models!$BJ153:$BT153,,T153+1)*R153-ERP_i)*Q153*Ramure*Pc/MaxiM</f>
        <v>1.4245284870746688E-3</v>
      </c>
      <c r="Q153" s="305">
        <f t="shared" si="51"/>
        <v>0.7</v>
      </c>
      <c r="R153" s="177">
        <f t="shared" si="52"/>
        <v>0.14369323367390319</v>
      </c>
      <c r="S153" s="919">
        <f t="shared" si="53"/>
        <v>-1</v>
      </c>
      <c r="T153" s="176">
        <f t="shared" si="54"/>
        <v>5</v>
      </c>
      <c r="U153" s="251">
        <f t="shared" si="55"/>
        <v>-0.85630676632609681</v>
      </c>
      <c r="V153" s="383">
        <f t="shared" si="56"/>
        <v>54.418927313875777</v>
      </c>
      <c r="W153" s="402"/>
      <c r="X153" s="157">
        <f t="shared" si="57"/>
        <v>43969</v>
      </c>
      <c r="Y153" s="385">
        <f t="shared" si="58"/>
        <v>54.438000000000002</v>
      </c>
      <c r="Z153" s="385">
        <f t="shared" si="59"/>
        <v>55.310561553146947</v>
      </c>
      <c r="AA153" s="386">
        <f t="shared" si="60"/>
        <v>59.690596574020326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7.337897880517652E-2</v>
      </c>
      <c r="AD153" s="231">
        <f>(INDEX(Models!$BJ153:$BT153,,AH153)*(1-AF153)+INDEX(Models!$BJ153:$BT153,,AH153+1)*AF153-ERP_i)*AE153*Ramure*Pc/MaxiM</f>
        <v>1.4245284870746688E-3</v>
      </c>
      <c r="AE153" s="305">
        <f t="shared" si="62"/>
        <v>0.7</v>
      </c>
      <c r="AF153" s="177">
        <f t="shared" si="63"/>
        <v>0.14369323367390319</v>
      </c>
      <c r="AG153" s="919">
        <f t="shared" si="71"/>
        <v>-1</v>
      </c>
      <c r="AH153" s="176">
        <f t="shared" si="64"/>
        <v>5</v>
      </c>
      <c r="AI153" s="225">
        <f t="shared" si="65"/>
        <v>-0.85630676632609681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8">
        <v>51.847000000000001</v>
      </c>
      <c r="C154" s="390"/>
      <c r="D154" s="393">
        <f t="shared" si="48"/>
        <v>52.679185420475683</v>
      </c>
      <c r="E154" s="385">
        <f t="shared" si="69"/>
        <v>56.856722724851949</v>
      </c>
      <c r="F154" s="385">
        <f t="shared" si="49"/>
        <v>56.935904842427306</v>
      </c>
      <c r="G154" s="110">
        <f t="shared" si="70"/>
        <v>0.95277144406682701</v>
      </c>
      <c r="H154" s="412" t="b">
        <f>Wh_hp&gt;='2019'!Maxi_hp</f>
        <v>1</v>
      </c>
      <c r="I154" s="380">
        <f>IF(H154,Wh_hp,'2019'!Maxi_hp)</f>
        <v>56.935904842427306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1.5797234027696727E-2</v>
      </c>
      <c r="M154" s="957"/>
      <c r="N154" s="957"/>
      <c r="O154" s="48">
        <f>IF(t&lt;Tnet,'2019'!Resal+('2019'!Salim-'2019'!Resal)*(1-EXP(('2019'!Tnet-t)/('2019'!Tau_j))),Resal+(Salim-Resal)*(1-EXP((Tnet-t)/(Tau_j))))*Salcycl</f>
        <v>7.347481712220244E-2</v>
      </c>
      <c r="P154" s="169">
        <f>(INDEX(Models!$BJ154:$BT154,,T154)*(1-R154)+INDEX(Models!$BJ154:$BT154,,T154+1)*R154-ERP_i)*Q154*Ramure*Pc/MaxiM</f>
        <v>1.4911249738006102E-3</v>
      </c>
      <c r="Q154" s="305">
        <f t="shared" si="51"/>
        <v>0.7</v>
      </c>
      <c r="R154" s="177">
        <f t="shared" si="52"/>
        <v>0.14795224898156378</v>
      </c>
      <c r="S154" s="919">
        <f t="shared" si="53"/>
        <v>-1</v>
      </c>
      <c r="T154" s="176">
        <f t="shared" si="54"/>
        <v>5</v>
      </c>
      <c r="U154" s="251">
        <f t="shared" si="55"/>
        <v>-0.85204775101843622</v>
      </c>
      <c r="V154" s="383">
        <f t="shared" si="56"/>
        <v>54.411566985292652</v>
      </c>
      <c r="W154" s="402"/>
      <c r="X154" s="157">
        <f t="shared" si="57"/>
        <v>43970</v>
      </c>
      <c r="Y154" s="385">
        <f t="shared" si="58"/>
        <v>51.847000000000001</v>
      </c>
      <c r="Z154" s="385">
        <f t="shared" si="59"/>
        <v>52.679185420475683</v>
      </c>
      <c r="AA154" s="386">
        <f t="shared" si="60"/>
        <v>56.856722724851949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7.347481712220244E-2</v>
      </c>
      <c r="AD154" s="231">
        <f>(INDEX(Models!$BJ154:$BT154,,AH154)*(1-AF154)+INDEX(Models!$BJ154:$BT154,,AH154+1)*AF154-ERP_i)*AE154*Ramure*Pc/MaxiM</f>
        <v>1.4911249738006102E-3</v>
      </c>
      <c r="AE154" s="305">
        <f t="shared" si="62"/>
        <v>0.7</v>
      </c>
      <c r="AF154" s="177">
        <f t="shared" si="63"/>
        <v>0.14795224898156378</v>
      </c>
      <c r="AG154" s="919">
        <f t="shared" si="71"/>
        <v>-1</v>
      </c>
      <c r="AH154" s="176">
        <f t="shared" si="64"/>
        <v>5</v>
      </c>
      <c r="AI154" s="225">
        <f t="shared" si="65"/>
        <v>-0.85204775101843622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8">
        <v>53.027999999999999</v>
      </c>
      <c r="C155" s="390"/>
      <c r="D155" s="393">
        <f t="shared" si="48"/>
        <v>53.880321523323538</v>
      </c>
      <c r="E155" s="385">
        <f t="shared" si="69"/>
        <v>58.159145456594679</v>
      </c>
      <c r="F155" s="385">
        <f t="shared" si="49"/>
        <v>58.246676654523853</v>
      </c>
      <c r="G155" s="110">
        <f t="shared" si="70"/>
        <v>0.97469754828194655</v>
      </c>
      <c r="H155" s="412" t="b">
        <f>Wh_hp&gt;='2019'!Maxi_hp</f>
        <v>1</v>
      </c>
      <c r="I155" s="380">
        <f>IF(H155,Wh_hp,'2019'!Maxi_hp)</f>
        <v>58.246676654523853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1.5818790594161358E-2</v>
      </c>
      <c r="M155" s="957"/>
      <c r="N155" s="957"/>
      <c r="O155" s="48">
        <f>IF(t&lt;Tnet,'2019'!Resal+('2019'!Salim-'2019'!Resal)*(1-EXP(('2019'!Tnet-t)/('2019'!Tau_j))),Resal+(Salim-Resal)*(1-EXP((Tnet-t)/(Tau_j))))*Salcycl</f>
        <v>7.3570956032435297E-2</v>
      </c>
      <c r="P155" s="169">
        <f>(INDEX(Models!$BJ155:$BT155,,T155)*(1-R155)+INDEX(Models!$BJ155:$BT155,,T155+1)*R155-ERP_i)*Q155*Ramure*Pc/MaxiM</f>
        <v>1.5589970619986052E-3</v>
      </c>
      <c r="Q155" s="305">
        <f t="shared" si="51"/>
        <v>0.7</v>
      </c>
      <c r="R155" s="177">
        <f t="shared" si="52"/>
        <v>0.15228301650250664</v>
      </c>
      <c r="S155" s="919">
        <f t="shared" si="53"/>
        <v>-1</v>
      </c>
      <c r="T155" s="176">
        <f t="shared" si="54"/>
        <v>5</v>
      </c>
      <c r="U155" s="251">
        <f t="shared" si="55"/>
        <v>-0.84771698349749336</v>
      </c>
      <c r="V155" s="383">
        <f t="shared" si="56"/>
        <v>54.401505216888566</v>
      </c>
      <c r="W155" s="402"/>
      <c r="X155" s="157">
        <f t="shared" si="57"/>
        <v>43971</v>
      </c>
      <c r="Y155" s="385">
        <f t="shared" si="58"/>
        <v>53.027999999999999</v>
      </c>
      <c r="Z155" s="385">
        <f t="shared" si="59"/>
        <v>53.880321523323538</v>
      </c>
      <c r="AA155" s="386">
        <f t="shared" si="60"/>
        <v>58.159145456594679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7.3570956032435297E-2</v>
      </c>
      <c r="AD155" s="231">
        <f>(INDEX(Models!$BJ155:$BT155,,AH155)*(1-AF155)+INDEX(Models!$BJ155:$BT155,,AH155+1)*AF155-ERP_i)*AE155*Ramure*Pc/MaxiM</f>
        <v>1.5589970619986052E-3</v>
      </c>
      <c r="AE155" s="305">
        <f t="shared" si="62"/>
        <v>0.7</v>
      </c>
      <c r="AF155" s="177">
        <f t="shared" si="63"/>
        <v>0.15228301650250664</v>
      </c>
      <c r="AG155" s="919">
        <f t="shared" si="71"/>
        <v>-1</v>
      </c>
      <c r="AH155" s="176">
        <f t="shared" si="64"/>
        <v>5</v>
      </c>
      <c r="AI155" s="225">
        <f t="shared" si="65"/>
        <v>-0.84771698349749336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8">
        <v>49.594000000000001</v>
      </c>
      <c r="C156" s="390"/>
      <c r="D156" s="393">
        <f t="shared" si="48"/>
        <v>50.392230399940914</v>
      </c>
      <c r="E156" s="385">
        <f t="shared" si="69"/>
        <v>54.399712446361441</v>
      </c>
      <c r="F156" s="385">
        <f t="shared" si="49"/>
        <v>54.477243213747045</v>
      </c>
      <c r="G156" s="110">
        <f t="shared" si="70"/>
        <v>0.91165422682930752</v>
      </c>
      <c r="H156" s="412" t="b">
        <f>Wh_hp&gt;='2019'!Maxi_hp</f>
        <v>0</v>
      </c>
      <c r="I156" s="380">
        <f>IF(H156,Wh_hp,'2019'!Maxi_hp)</f>
        <v>58.677512490213942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1.5840346688481777E-2</v>
      </c>
      <c r="M156" s="957"/>
      <c r="N156" s="957"/>
      <c r="O156" s="48">
        <f>IF(t&lt;Tnet,'2019'!Resal+('2019'!Salim-'2019'!Resal)*(1-EXP(('2019'!Tnet-t)/('2019'!Tau_j))),Resal+(Salim-Resal)*(1-EXP((Tnet-t)/(Tau_j))))*Salcycl</f>
        <v>7.3667338781835304E-2</v>
      </c>
      <c r="P156" s="169">
        <f>(INDEX(Models!$BJ156:$BT156,,T156)*(1-R156)+INDEX(Models!$BJ156:$BT156,,T156+1)*R156-ERP_i)*Q156*Ramure*Pc/MaxiM</f>
        <v>1.6282387480151968E-3</v>
      </c>
      <c r="Q156" s="305">
        <f t="shared" si="51"/>
        <v>0.7</v>
      </c>
      <c r="R156" s="177">
        <f t="shared" si="52"/>
        <v>0.1566836167480623</v>
      </c>
      <c r="S156" s="919">
        <f t="shared" si="53"/>
        <v>-1</v>
      </c>
      <c r="T156" s="176">
        <f t="shared" si="54"/>
        <v>5</v>
      </c>
      <c r="U156" s="251">
        <f t="shared" si="55"/>
        <v>-0.8433163832519377</v>
      </c>
      <c r="V156" s="383">
        <f t="shared" si="56"/>
        <v>54.388839783201739</v>
      </c>
      <c r="W156" s="402"/>
      <c r="X156" s="157">
        <f t="shared" si="57"/>
        <v>43972</v>
      </c>
      <c r="Y156" s="385">
        <f t="shared" si="58"/>
        <v>49.594000000000001</v>
      </c>
      <c r="Z156" s="385">
        <f t="shared" si="59"/>
        <v>50.392230399940914</v>
      </c>
      <c r="AA156" s="386">
        <f t="shared" si="60"/>
        <v>54.399712446361441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7.3667338781835304E-2</v>
      </c>
      <c r="AD156" s="231">
        <f>(INDEX(Models!$BJ156:$BT156,,AH156)*(1-AF156)+INDEX(Models!$BJ156:$BT156,,AH156+1)*AF156-ERP_i)*AE156*Ramure*Pc/MaxiM</f>
        <v>1.6282387480151968E-3</v>
      </c>
      <c r="AE156" s="305">
        <f t="shared" si="62"/>
        <v>0.7</v>
      </c>
      <c r="AF156" s="177">
        <f t="shared" si="63"/>
        <v>0.1566836167480623</v>
      </c>
      <c r="AG156" s="919">
        <f t="shared" si="71"/>
        <v>-1</v>
      </c>
      <c r="AH156" s="176">
        <f t="shared" si="64"/>
        <v>5</v>
      </c>
      <c r="AI156" s="225">
        <f t="shared" si="65"/>
        <v>-0.8433163832519377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8">
        <v>49.110999999999997</v>
      </c>
      <c r="C157" s="390"/>
      <c r="D157" s="393">
        <f t="shared" si="48"/>
        <v>49.902549363050014</v>
      </c>
      <c r="E157" s="385">
        <f t="shared" si="69"/>
        <v>53.876705672342418</v>
      </c>
      <c r="F157" s="385">
        <f t="shared" si="49"/>
        <v>53.955691624579302</v>
      </c>
      <c r="G157" s="110">
        <f t="shared" si="70"/>
        <v>0.90300031943322123</v>
      </c>
      <c r="H157" s="412" t="b">
        <f>Wh_hp&gt;='2019'!Maxi_hp</f>
        <v>1</v>
      </c>
      <c r="I157" s="380">
        <f>IF(H157,Wh_hp,'2019'!Maxi_hp)</f>
        <v>53.955691624579302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1.586190231066853E-2</v>
      </c>
      <c r="M157" s="957"/>
      <c r="N157" s="957"/>
      <c r="O157" s="48">
        <f>IF(t&lt;Tnet,'2019'!Resal+('2019'!Salim-'2019'!Resal)*(1-EXP(('2019'!Tnet-t)/('2019'!Tau_j))),Resal+(Salim-Resal)*(1-EXP((Tnet-t)/(Tau_j))))*Salcycl</f>
        <v>7.376390704846926E-2</v>
      </c>
      <c r="P157" s="169">
        <f>(INDEX(Models!$BJ157:$BT157,,T157)*(1-R157)+INDEX(Models!$BJ157:$BT157,,T157+1)*R157-ERP_i)*Q157*Ramure*Pc/MaxiM</f>
        <v>1.6987915709066833E-3</v>
      </c>
      <c r="Q157" s="305">
        <f t="shared" si="51"/>
        <v>0.7</v>
      </c>
      <c r="R157" s="177">
        <f t="shared" si="52"/>
        <v>0.16115194807983457</v>
      </c>
      <c r="S157" s="919">
        <f t="shared" si="53"/>
        <v>-1</v>
      </c>
      <c r="T157" s="176">
        <f t="shared" si="54"/>
        <v>5</v>
      </c>
      <c r="U157" s="251">
        <f t="shared" si="55"/>
        <v>-0.83884805192016543</v>
      </c>
      <c r="V157" s="383">
        <f t="shared" si="56"/>
        <v>54.373676805676546</v>
      </c>
      <c r="W157" s="402"/>
      <c r="X157" s="157">
        <f t="shared" si="57"/>
        <v>43973</v>
      </c>
      <c r="Y157" s="385">
        <f t="shared" si="58"/>
        <v>49.110999999999997</v>
      </c>
      <c r="Z157" s="385">
        <f t="shared" si="59"/>
        <v>49.902549363050014</v>
      </c>
      <c r="AA157" s="386">
        <f t="shared" si="60"/>
        <v>53.876705672342418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7.376390704846926E-2</v>
      </c>
      <c r="AD157" s="231">
        <f>(INDEX(Models!$BJ157:$BT157,,AH157)*(1-AF157)+INDEX(Models!$BJ157:$BT157,,AH157+1)*AF157-ERP_i)*AE157*Ramure*Pc/MaxiM</f>
        <v>1.6987915709066833E-3</v>
      </c>
      <c r="AE157" s="305">
        <f t="shared" si="62"/>
        <v>0.7</v>
      </c>
      <c r="AF157" s="177">
        <f t="shared" si="63"/>
        <v>0.16115194807983457</v>
      </c>
      <c r="AG157" s="919">
        <f t="shared" si="71"/>
        <v>-1</v>
      </c>
      <c r="AH157" s="176">
        <f t="shared" si="64"/>
        <v>5</v>
      </c>
      <c r="AI157" s="225">
        <f t="shared" si="65"/>
        <v>-0.83884805192016543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8">
        <v>16.334</v>
      </c>
      <c r="C158" s="390"/>
      <c r="D158" s="393">
        <f t="shared" si="48"/>
        <v>16.597627713740255</v>
      </c>
      <c r="E158" s="385">
        <f t="shared" si="69"/>
        <v>17.921306159227122</v>
      </c>
      <c r="F158" s="385">
        <f t="shared" si="49"/>
        <v>17.921328813741351</v>
      </c>
      <c r="G158" s="110">
        <f t="shared" si="70"/>
        <v>0.29996804316942305</v>
      </c>
      <c r="H158" s="412" t="b">
        <f>Wh_hp&gt;='2019'!Maxi_hp</f>
        <v>1</v>
      </c>
      <c r="I158" s="380">
        <f>IF(H158,Wh_hp,'2019'!Maxi_hp)</f>
        <v>17.921328813741351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1.588345746073172E-2</v>
      </c>
      <c r="M158" s="957"/>
      <c r="N158" s="957"/>
      <c r="O158" s="48">
        <f>IF(t&lt;Tnet,'2019'!Resal+('2019'!Salim-'2019'!Resal)*(1-EXP(('2019'!Tnet-t)/('2019'!Tau_j))),Resal+(Salim-Resal)*(1-EXP((Tnet-t)/(Tau_j))))*Salcycl</f>
        <v>7.3860601103862333E-2</v>
      </c>
      <c r="P158" s="169">
        <f>(INDEX(Models!$BJ158:$BT158,,T158)*(1-R158)+INDEX(Models!$BJ158:$BT158,,T158+1)*R158-ERP_i)*Q158*Ramure*Pc/MaxiM</f>
        <v>1.77065474525546E-3</v>
      </c>
      <c r="Q158" s="305">
        <f t="shared" si="51"/>
        <v>0.7</v>
      </c>
      <c r="R158" s="177">
        <f t="shared" si="52"/>
        <v>0.16568572761066414</v>
      </c>
      <c r="S158" s="919">
        <f t="shared" si="53"/>
        <v>-1</v>
      </c>
      <c r="T158" s="176">
        <f t="shared" si="54"/>
        <v>5</v>
      </c>
      <c r="U158" s="251">
        <f t="shared" si="55"/>
        <v>-0.83431427238933586</v>
      </c>
      <c r="V158" s="383">
        <f t="shared" si="56"/>
        <v>54.356119287030033</v>
      </c>
      <c r="W158" s="402"/>
      <c r="X158" s="157">
        <f t="shared" si="57"/>
        <v>43974</v>
      </c>
      <c r="Y158" s="385">
        <f t="shared" si="58"/>
        <v>16.334</v>
      </c>
      <c r="Z158" s="385">
        <f t="shared" si="59"/>
        <v>16.597627713740255</v>
      </c>
      <c r="AA158" s="386">
        <f t="shared" si="60"/>
        <v>17.921306159227122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7.3860601103862333E-2</v>
      </c>
      <c r="AD158" s="231">
        <f>(INDEX(Models!$BJ158:$BT158,,AH158)*(1-AF158)+INDEX(Models!$BJ158:$BT158,,AH158+1)*AF158-ERP_i)*AE158*Ramure*Pc/MaxiM</f>
        <v>1.77065474525546E-3</v>
      </c>
      <c r="AE158" s="305">
        <f t="shared" si="62"/>
        <v>0.7</v>
      </c>
      <c r="AF158" s="177">
        <f t="shared" si="63"/>
        <v>0.16568572761066414</v>
      </c>
      <c r="AG158" s="919">
        <f t="shared" si="71"/>
        <v>-1</v>
      </c>
      <c r="AH158" s="176">
        <f t="shared" si="64"/>
        <v>5</v>
      </c>
      <c r="AI158" s="225">
        <f t="shared" si="65"/>
        <v>-0.83431427238933586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8">
        <v>49.579000000000001</v>
      </c>
      <c r="C159" s="390"/>
      <c r="D159" s="393">
        <f t="shared" si="48"/>
        <v>50.380299271463045</v>
      </c>
      <c r="E159" s="385">
        <f t="shared" si="69"/>
        <v>54.403865539853292</v>
      </c>
      <c r="F159" s="385">
        <f t="shared" si="49"/>
        <v>54.491772599953713</v>
      </c>
      <c r="G159" s="110">
        <f t="shared" si="70"/>
        <v>0.91223685158876455</v>
      </c>
      <c r="H159" s="412" t="b">
        <f>Wh_hp&gt;='2019'!Maxi_hp</f>
        <v>1</v>
      </c>
      <c r="I159" s="380">
        <f>IF(H159,Wh_hp,'2019'!Maxi_hp)</f>
        <v>54.491772599953713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1.5905012138681895E-2</v>
      </c>
      <c r="M159" s="957"/>
      <c r="N159" s="957"/>
      <c r="O159" s="48">
        <f>IF(t&lt;Tnet,'2019'!Resal+('2019'!Salim-'2019'!Resal)*(1-EXP(('2019'!Tnet-t)/('2019'!Tau_j))),Resal+(Salim-Resal)*(1-EXP((Tnet-t)/(Tau_j))))*Salcycl</f>
        <v>7.3957359986539961E-2</v>
      </c>
      <c r="P159" s="169">
        <f>(INDEX(Models!$BJ159:$BT159,,T159)*(1-R159)+INDEX(Models!$BJ159:$BT159,,T159+1)*R159-ERP_i)*Q159*Ramure*Pc/MaxiM</f>
        <v>1.8438343894606377E-3</v>
      </c>
      <c r="Q159" s="305">
        <f t="shared" si="51"/>
        <v>0.7</v>
      </c>
      <c r="R159" s="177">
        <f t="shared" si="52"/>
        <v>0.17028249302838117</v>
      </c>
      <c r="S159" s="919">
        <f t="shared" si="53"/>
        <v>-1</v>
      </c>
      <c r="T159" s="176">
        <f t="shared" si="54"/>
        <v>5</v>
      </c>
      <c r="U159" s="251">
        <f t="shared" si="55"/>
        <v>-0.82971750697161883</v>
      </c>
      <c r="V159" s="383">
        <f t="shared" si="56"/>
        <v>54.336269867612984</v>
      </c>
      <c r="W159" s="402"/>
      <c r="X159" s="157">
        <f t="shared" si="57"/>
        <v>43975</v>
      </c>
      <c r="Y159" s="385">
        <f t="shared" si="58"/>
        <v>49.579000000000001</v>
      </c>
      <c r="Z159" s="385">
        <f t="shared" si="59"/>
        <v>50.380299271463045</v>
      </c>
      <c r="AA159" s="386">
        <f t="shared" si="60"/>
        <v>54.403865539853292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7.3957359986539961E-2</v>
      </c>
      <c r="AD159" s="231">
        <f>(INDEX(Models!$BJ159:$BT159,,AH159)*(1-AF159)+INDEX(Models!$BJ159:$BT159,,AH159+1)*AF159-ERP_i)*AE159*Ramure*Pc/MaxiM</f>
        <v>1.8438343894606377E-3</v>
      </c>
      <c r="AE159" s="305">
        <f t="shared" si="62"/>
        <v>0.7</v>
      </c>
      <c r="AF159" s="177">
        <f t="shared" si="63"/>
        <v>0.17028249302838117</v>
      </c>
      <c r="AG159" s="919">
        <f t="shared" si="71"/>
        <v>-1</v>
      </c>
      <c r="AH159" s="176">
        <f t="shared" si="64"/>
        <v>5</v>
      </c>
      <c r="AI159" s="225">
        <f t="shared" si="65"/>
        <v>-0.82971750697161883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8">
        <v>53.499000000000002</v>
      </c>
      <c r="C160" s="390"/>
      <c r="D160" s="393">
        <f t="shared" si="48"/>
        <v>54.364845315731067</v>
      </c>
      <c r="E160" s="385">
        <f t="shared" si="69"/>
        <v>58.712767764336249</v>
      </c>
      <c r="F160" s="385">
        <f t="shared" si="49"/>
        <v>58.823190702914935</v>
      </c>
      <c r="G160" s="110">
        <f t="shared" si="70"/>
        <v>0.98494987349442176</v>
      </c>
      <c r="H160" s="412" t="b">
        <f>Wh_hp&gt;='2019'!Maxi_hp</f>
        <v>1</v>
      </c>
      <c r="I160" s="380">
        <f>IF(H160,Wh_hp,'2019'!Maxi_hp)</f>
        <v>58.823190702914935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1.5926566344529269E-2</v>
      </c>
      <c r="M160" s="957"/>
      <c r="N160" s="957"/>
      <c r="O160" s="48">
        <f>IF(t&lt;Tnet,'2019'!Resal+('2019'!Salim-'2019'!Resal)*(1-EXP(('2019'!Tnet-t)/('2019'!Tau_j))),Resal+(Salim-Resal)*(1-EXP((Tnet-t)/(Tau_j))))*Salcycl</f>
        <v>7.4054121687075786E-2</v>
      </c>
      <c r="P160" s="169">
        <f>(INDEX(Models!$BJ160:$BT160,,T160)*(1-R160)+INDEX(Models!$BJ160:$BT160,,T160+1)*R160-ERP_i)*Q160*Ramure*Pc/MaxiM</f>
        <v>1.9183340519450369E-3</v>
      </c>
      <c r="Q160" s="305">
        <f t="shared" si="51"/>
        <v>0.7</v>
      </c>
      <c r="R160" s="177">
        <f t="shared" si="52"/>
        <v>0.17493960536921349</v>
      </c>
      <c r="S160" s="919">
        <f t="shared" si="53"/>
        <v>-1</v>
      </c>
      <c r="T160" s="176">
        <f t="shared" si="54"/>
        <v>5</v>
      </c>
      <c r="U160" s="251">
        <f t="shared" si="55"/>
        <v>-0.82506039463078651</v>
      </c>
      <c r="V160" s="383">
        <f t="shared" si="56"/>
        <v>54.314231324036008</v>
      </c>
      <c r="W160" s="402"/>
      <c r="X160" s="157">
        <f t="shared" si="57"/>
        <v>43976</v>
      </c>
      <c r="Y160" s="385">
        <f t="shared" si="58"/>
        <v>53.499000000000002</v>
      </c>
      <c r="Z160" s="385">
        <f t="shared" si="59"/>
        <v>54.364845315731067</v>
      </c>
      <c r="AA160" s="386">
        <f t="shared" si="60"/>
        <v>58.712767764336249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7.4054121687075786E-2</v>
      </c>
      <c r="AD160" s="231">
        <f>(INDEX(Models!$BJ160:$BT160,,AH160)*(1-AF160)+INDEX(Models!$BJ160:$BT160,,AH160+1)*AF160-ERP_i)*AE160*Ramure*Pc/MaxiM</f>
        <v>1.9183340519450369E-3</v>
      </c>
      <c r="AE160" s="305">
        <f t="shared" si="62"/>
        <v>0.7</v>
      </c>
      <c r="AF160" s="177">
        <f t="shared" si="63"/>
        <v>0.17493960536921349</v>
      </c>
      <c r="AG160" s="919">
        <f t="shared" si="71"/>
        <v>-1</v>
      </c>
      <c r="AH160" s="176">
        <f t="shared" si="64"/>
        <v>5</v>
      </c>
      <c r="AI160" s="225">
        <f t="shared" si="65"/>
        <v>-0.82506039463078651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8">
        <v>53.119</v>
      </c>
      <c r="C161" s="390"/>
      <c r="D161" s="393">
        <f t="shared" si="48"/>
        <v>53.979877569286053</v>
      </c>
      <c r="E161" s="385">
        <f t="shared" si="69"/>
        <v>58.303100472846339</v>
      </c>
      <c r="F161" s="385">
        <f t="shared" si="49"/>
        <v>58.416001228197835</v>
      </c>
      <c r="G161" s="110">
        <f t="shared" si="70"/>
        <v>0.97836848679580912</v>
      </c>
      <c r="H161" s="412" t="b">
        <f>Wh_hp&gt;='2019'!Maxi_hp</f>
        <v>1</v>
      </c>
      <c r="I161" s="380">
        <f>IF(H161,Wh_hp,'2019'!Maxi_hp)</f>
        <v>58.416001228197835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1.5948120078284167E-2</v>
      </c>
      <c r="M161" s="957"/>
      <c r="N161" s="957"/>
      <c r="O161" s="48">
        <f>IF(t&lt;Tnet,'2019'!Resal+('2019'!Salim-'2019'!Resal)*(1-EXP(('2019'!Tnet-t)/('2019'!Tau_j))),Resal+(Salim-Resal)*(1-EXP((Tnet-t)/(Tau_j))))*Salcycl</f>
        <v>7.4150823343841737E-2</v>
      </c>
      <c r="P161" s="169">
        <f>(INDEX(Models!$BJ161:$BT161,,T161)*(1-R161)+INDEX(Models!$BJ161:$BT161,,T161+1)*R161-ERP_i)*Q161*Ramure*Pc/MaxiM</f>
        <v>1.9941546334461386E-3</v>
      </c>
      <c r="Q161" s="305">
        <f t="shared" si="51"/>
        <v>0.7</v>
      </c>
      <c r="R161" s="177">
        <f t="shared" si="52"/>
        <v>0.17965425276018943</v>
      </c>
      <c r="S161" s="919">
        <f t="shared" si="53"/>
        <v>-1</v>
      </c>
      <c r="T161" s="176">
        <f t="shared" si="54"/>
        <v>5</v>
      </c>
      <c r="U161" s="251">
        <f t="shared" si="55"/>
        <v>-0.82034574723981057</v>
      </c>
      <c r="V161" s="383">
        <f t="shared" si="56"/>
        <v>54.290106563421318</v>
      </c>
      <c r="W161" s="402"/>
      <c r="X161" s="157">
        <f t="shared" si="57"/>
        <v>43977</v>
      </c>
      <c r="Y161" s="385">
        <f t="shared" si="58"/>
        <v>53.119</v>
      </c>
      <c r="Z161" s="385">
        <f t="shared" si="59"/>
        <v>53.979877569286053</v>
      </c>
      <c r="AA161" s="386">
        <f t="shared" si="60"/>
        <v>58.303100472846339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7.4150823343841737E-2</v>
      </c>
      <c r="AD161" s="231">
        <f>(INDEX(Models!$BJ161:$BT161,,AH161)*(1-AF161)+INDEX(Models!$BJ161:$BT161,,AH161+1)*AF161-ERP_i)*AE161*Ramure*Pc/MaxiM</f>
        <v>1.9941546334461386E-3</v>
      </c>
      <c r="AE161" s="305">
        <f t="shared" si="62"/>
        <v>0.7</v>
      </c>
      <c r="AF161" s="177">
        <f t="shared" si="63"/>
        <v>0.17965425276018943</v>
      </c>
      <c r="AG161" s="919">
        <f t="shared" si="71"/>
        <v>-1</v>
      </c>
      <c r="AH161" s="176">
        <f t="shared" si="64"/>
        <v>5</v>
      </c>
      <c r="AI161" s="225">
        <f t="shared" si="65"/>
        <v>-0.82034574723981057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8">
        <v>52.438000000000002</v>
      </c>
      <c r="C162" s="390"/>
      <c r="D162" s="393">
        <f t="shared" si="48"/>
        <v>53.289008051187814</v>
      </c>
      <c r="E162" s="385">
        <f t="shared" si="69"/>
        <v>57.562904100480083</v>
      </c>
      <c r="F162" s="385">
        <f t="shared" si="49"/>
        <v>57.676626455771242</v>
      </c>
      <c r="G162" s="110">
        <f t="shared" si="70"/>
        <v>0.96625331214750776</v>
      </c>
      <c r="H162" s="412" t="b">
        <f>Wh_hp&gt;='2019'!Maxi_hp</f>
        <v>1</v>
      </c>
      <c r="I162" s="380">
        <f>IF(H162,Wh_hp,'2019'!Maxi_hp)</f>
        <v>57.676626455771242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1.5969673339957025E-2</v>
      </c>
      <c r="M162" s="957"/>
      <c r="N162" s="957"/>
      <c r="O162" s="48">
        <f>IF(t&lt;Tnet,'2019'!Resal+('2019'!Salim-'2019'!Resal)*(1-EXP(('2019'!Tnet-t)/('2019'!Tau_j))),Resal+(Salim-Resal)*(1-EXP((Tnet-t)/(Tau_j))))*Salcycl</f>
        <v>7.4247401448542055E-2</v>
      </c>
      <c r="P162" s="169">
        <f>(INDEX(Models!$BJ162:$BT162,,T162)*(1-R162)+INDEX(Models!$BJ162:$BT162,,T162+1)*R162-ERP_i)*Q162*Ramure*Pc/MaxiM</f>
        <v>2.0712943200335622E-3</v>
      </c>
      <c r="Q162" s="305">
        <f t="shared" si="51"/>
        <v>0.7</v>
      </c>
      <c r="R162" s="177">
        <f t="shared" si="52"/>
        <v>0.18442345514173175</v>
      </c>
      <c r="S162" s="919">
        <f t="shared" si="53"/>
        <v>-1</v>
      </c>
      <c r="T162" s="176">
        <f t="shared" si="54"/>
        <v>5</v>
      </c>
      <c r="U162" s="251">
        <f t="shared" si="55"/>
        <v>-0.81557654485826825</v>
      </c>
      <c r="V162" s="383">
        <f t="shared" si="56"/>
        <v>54.263998608632363</v>
      </c>
      <c r="W162" s="402"/>
      <c r="X162" s="157">
        <f t="shared" si="57"/>
        <v>43978</v>
      </c>
      <c r="Y162" s="385">
        <f t="shared" si="58"/>
        <v>52.438000000000002</v>
      </c>
      <c r="Z162" s="385">
        <f t="shared" si="59"/>
        <v>53.289008051187814</v>
      </c>
      <c r="AA162" s="386">
        <f t="shared" si="60"/>
        <v>57.562904100480083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7.4247401448542055E-2</v>
      </c>
      <c r="AD162" s="231">
        <f>(INDEX(Models!$BJ162:$BT162,,AH162)*(1-AF162)+INDEX(Models!$BJ162:$BT162,,AH162+1)*AF162-ERP_i)*AE162*Ramure*Pc/MaxiM</f>
        <v>2.0712943200335622E-3</v>
      </c>
      <c r="AE162" s="305">
        <f t="shared" si="62"/>
        <v>0.7</v>
      </c>
      <c r="AF162" s="177">
        <f t="shared" si="63"/>
        <v>0.18442345514173175</v>
      </c>
      <c r="AG162" s="919">
        <f t="shared" si="71"/>
        <v>-1</v>
      </c>
      <c r="AH162" s="176">
        <f t="shared" si="64"/>
        <v>5</v>
      </c>
      <c r="AI162" s="225">
        <f t="shared" si="65"/>
        <v>-0.81557654485826825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8">
        <v>52.661000000000001</v>
      </c>
      <c r="C163" s="390"/>
      <c r="D163" s="393">
        <f t="shared" si="48"/>
        <v>53.516799238350636</v>
      </c>
      <c r="E163" s="385">
        <f t="shared" si="69"/>
        <v>57.814984417895836</v>
      </c>
      <c r="F163" s="385">
        <f t="shared" si="49"/>
        <v>57.93436210419744</v>
      </c>
      <c r="G163" s="110">
        <f t="shared" si="70"/>
        <v>0.97087387268680969</v>
      </c>
      <c r="H163" s="412" t="b">
        <f>Wh_hp&gt;='2019'!Maxi_hp</f>
        <v>1</v>
      </c>
      <c r="I163" s="380">
        <f>IF(H163,Wh_hp,'2019'!Maxi_hp)</f>
        <v>57.93436210419744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1.5991226129558167E-2</v>
      </c>
      <c r="M163" s="957"/>
      <c r="N163" s="957"/>
      <c r="O163" s="48">
        <f>IF(t&lt;Tnet,'2019'!Resal+('2019'!Salim-'2019'!Resal)*(1-EXP(('2019'!Tnet-t)/('2019'!Tau_j))),Resal+(Salim-Resal)*(1-EXP((Tnet-t)/(Tau_j))))*Salcycl</f>
        <v>7.4343792060501748E-2</v>
      </c>
      <c r="P163" s="169">
        <f>(INDEX(Models!$BJ163:$BT163,,T163)*(1-R163)+INDEX(Models!$BJ163:$BT163,,T163+1)*R163-ERP_i)*Q163*Ramure*Pc/MaxiM</f>
        <v>2.1497498205945158E-3</v>
      </c>
      <c r="Q163" s="305">
        <f t="shared" si="51"/>
        <v>0.7</v>
      </c>
      <c r="R163" s="177">
        <f t="shared" si="52"/>
        <v>0.18924406997295373</v>
      </c>
      <c r="S163" s="919">
        <f t="shared" si="53"/>
        <v>-1</v>
      </c>
      <c r="T163" s="176">
        <f t="shared" si="54"/>
        <v>5</v>
      </c>
      <c r="U163" s="251">
        <f t="shared" si="55"/>
        <v>-0.81075593002704627</v>
      </c>
      <c r="V163" s="383">
        <f t="shared" si="56"/>
        <v>54.235977890102809</v>
      </c>
      <c r="W163" s="402"/>
      <c r="X163" s="157">
        <f t="shared" si="57"/>
        <v>43979</v>
      </c>
      <c r="Y163" s="385">
        <f t="shared" si="58"/>
        <v>52.661000000000001</v>
      </c>
      <c r="Z163" s="385">
        <f t="shared" si="59"/>
        <v>53.516799238350636</v>
      </c>
      <c r="AA163" s="386">
        <f t="shared" si="60"/>
        <v>57.814984417895836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7.4343792060501748E-2</v>
      </c>
      <c r="AD163" s="231">
        <f>(INDEX(Models!$BJ163:$BT163,,AH163)*(1-AF163)+INDEX(Models!$BJ163:$BT163,,AH163+1)*AF163-ERP_i)*AE163*Ramure*Pc/MaxiM</f>
        <v>2.1497498205945158E-3</v>
      </c>
      <c r="AE163" s="305">
        <f t="shared" si="62"/>
        <v>0.7</v>
      </c>
      <c r="AF163" s="177">
        <f t="shared" si="63"/>
        <v>0.18924406997295373</v>
      </c>
      <c r="AG163" s="919">
        <f t="shared" si="71"/>
        <v>-1</v>
      </c>
      <c r="AH163" s="176">
        <f t="shared" si="64"/>
        <v>5</v>
      </c>
      <c r="AI163" s="225">
        <f t="shared" si="65"/>
        <v>-0.81075593002704627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8">
        <v>51.375</v>
      </c>
      <c r="C164" s="390"/>
      <c r="D164" s="393">
        <f t="shared" si="48"/>
        <v>52.211043878111909</v>
      </c>
      <c r="E164" s="385">
        <f t="shared" si="69"/>
        <v>56.410216503974922</v>
      </c>
      <c r="F164" s="385">
        <f t="shared" si="49"/>
        <v>56.526793526416789</v>
      </c>
      <c r="G164" s="110">
        <f t="shared" si="70"/>
        <v>0.94761480162619582</v>
      </c>
      <c r="H164" s="412" t="b">
        <f>Wh_hp&gt;='2019'!Maxi_hp</f>
        <v>0</v>
      </c>
      <c r="I164" s="380">
        <f>IF(H164,Wh_hp,'2019'!Maxi_hp)</f>
        <v>58.524365554999449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1.6012778447097809E-2</v>
      </c>
      <c r="M164" s="957"/>
      <c r="N164" s="957"/>
      <c r="O164" s="48">
        <f>IF(t&lt;Tnet,'2019'!Resal+('2019'!Salim-'2019'!Resal)*(1-EXP(('2019'!Tnet-t)/('2019'!Tau_j))),Resal+(Salim-Resal)*(1-EXP((Tnet-t)/(Tau_j))))*Salcycl</f>
        <v>7.4439931028577544E-2</v>
      </c>
      <c r="P164" s="169">
        <f>(INDEX(Models!$BJ164:$BT164,,T164)*(1-R164)+INDEX(Models!$BJ164:$BT164,,T164+1)*R164-ERP_i)*Q164*Ramure*Pc/MaxiM</f>
        <v>2.2286095795075742E-3</v>
      </c>
      <c r="Q164" s="305">
        <f t="shared" si="51"/>
        <v>0.7</v>
      </c>
      <c r="R164" s="177">
        <f t="shared" si="52"/>
        <v>0.19411279891304134</v>
      </c>
      <c r="S164" s="919">
        <f t="shared" si="53"/>
        <v>-1</v>
      </c>
      <c r="T164" s="176">
        <f t="shared" si="54"/>
        <v>5</v>
      </c>
      <c r="U164" s="251">
        <f t="shared" si="55"/>
        <v>-0.80588720108695866</v>
      </c>
      <c r="V164" s="383">
        <f t="shared" si="56"/>
        <v>54.206033668896453</v>
      </c>
      <c r="W164" s="402"/>
      <c r="X164" s="157">
        <f t="shared" si="57"/>
        <v>43980</v>
      </c>
      <c r="Y164" s="385">
        <f t="shared" si="58"/>
        <v>51.375</v>
      </c>
      <c r="Z164" s="385">
        <f t="shared" si="59"/>
        <v>52.211043878111909</v>
      </c>
      <c r="AA164" s="386">
        <f t="shared" si="60"/>
        <v>56.410216503974922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7.4439931028577544E-2</v>
      </c>
      <c r="AD164" s="231">
        <f>(INDEX(Models!$BJ164:$BT164,,AH164)*(1-AF164)+INDEX(Models!$BJ164:$BT164,,AH164+1)*AF164-ERP_i)*AE164*Ramure*Pc/MaxiM</f>
        <v>2.2286095795075742E-3</v>
      </c>
      <c r="AE164" s="305">
        <f t="shared" si="62"/>
        <v>0.7</v>
      </c>
      <c r="AF164" s="177">
        <f t="shared" si="63"/>
        <v>0.19411279891304134</v>
      </c>
      <c r="AG164" s="919">
        <f t="shared" si="71"/>
        <v>-1</v>
      </c>
      <c r="AH164" s="176">
        <f t="shared" si="64"/>
        <v>5</v>
      </c>
      <c r="AI164" s="225">
        <f t="shared" si="65"/>
        <v>-0.80588720108695866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8">
        <v>53.113</v>
      </c>
      <c r="C165" s="390"/>
      <c r="D165" s="393">
        <f t="shared" si="48"/>
        <v>53.97850924595101</v>
      </c>
      <c r="E165" s="385">
        <f t="shared" si="69"/>
        <v>58.325872114514311</v>
      </c>
      <c r="F165" s="385">
        <f t="shared" si="49"/>
        <v>58.45701123497691</v>
      </c>
      <c r="G165" s="110">
        <f t="shared" si="70"/>
        <v>0.98035022807797478</v>
      </c>
      <c r="H165" s="412" t="b">
        <f>Wh_hp&gt;='2019'!Maxi_hp</f>
        <v>0</v>
      </c>
      <c r="I165" s="380">
        <f>IF(H165,Wh_hp,'2019'!Maxi_hp)</f>
        <v>59.313017833892296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1.6034330292586496E-2</v>
      </c>
      <c r="M165" s="957"/>
      <c r="N165" s="957"/>
      <c r="O165" s="48">
        <f>IF(t&lt;Tnet,'2019'!Resal+('2019'!Salim-'2019'!Resal)*(1-EXP(('2019'!Tnet-t)/('2019'!Tau_j))),Resal+(Salim-Resal)*(1-EXP((Tnet-t)/(Tau_j))))*Salcycl</f>
        <v>7.4535754219463624E-2</v>
      </c>
      <c r="P165" s="169">
        <f>(INDEX(Models!$BJ165:$BT165,,T165)*(1-R165)+INDEX(Models!$BJ165:$BT165,,T165+1)*R165-ERP_i)*Q165*Ramure*Pc/MaxiM</f>
        <v>2.3079195248927663E-3</v>
      </c>
      <c r="Q165" s="305">
        <f t="shared" si="51"/>
        <v>0.7</v>
      </c>
      <c r="R165" s="177">
        <f t="shared" si="52"/>
        <v>0.19902619546266798</v>
      </c>
      <c r="S165" s="919">
        <f t="shared" si="53"/>
        <v>-1</v>
      </c>
      <c r="T165" s="176">
        <f t="shared" si="54"/>
        <v>5</v>
      </c>
      <c r="U165" s="251">
        <f t="shared" si="55"/>
        <v>-0.80097380453733202</v>
      </c>
      <c r="V165" s="383">
        <f t="shared" si="56"/>
        <v>54.174070560078441</v>
      </c>
      <c r="W165" s="402"/>
      <c r="X165" s="157">
        <f t="shared" si="57"/>
        <v>43981</v>
      </c>
      <c r="Y165" s="385">
        <f t="shared" si="58"/>
        <v>53.113</v>
      </c>
      <c r="Z165" s="385">
        <f t="shared" si="59"/>
        <v>53.97850924595101</v>
      </c>
      <c r="AA165" s="386">
        <f t="shared" si="60"/>
        <v>58.325872114514311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7.4535754219463624E-2</v>
      </c>
      <c r="AD165" s="231">
        <f>(INDEX(Models!$BJ165:$BT165,,AH165)*(1-AF165)+INDEX(Models!$BJ165:$BT165,,AH165+1)*AF165-ERP_i)*AE165*Ramure*Pc/MaxiM</f>
        <v>2.3079195248927663E-3</v>
      </c>
      <c r="AE165" s="305">
        <f t="shared" si="62"/>
        <v>0.7</v>
      </c>
      <c r="AF165" s="177">
        <f t="shared" si="63"/>
        <v>0.19902619546266798</v>
      </c>
      <c r="AG165" s="919">
        <f t="shared" si="71"/>
        <v>-1</v>
      </c>
      <c r="AH165" s="176">
        <f t="shared" si="64"/>
        <v>5</v>
      </c>
      <c r="AI165" s="225">
        <f t="shared" si="65"/>
        <v>-0.80097380453733202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8">
        <v>54.371000000000002</v>
      </c>
      <c r="C166" s="390"/>
      <c r="D166" s="393">
        <f t="shared" si="48"/>
        <v>55.258219432280463</v>
      </c>
      <c r="E166" s="385">
        <f t="shared" si="69"/>
        <v>59.714807002339484</v>
      </c>
      <c r="F166" s="385">
        <f t="shared" si="49"/>
        <v>59.85772667252207</v>
      </c>
      <c r="G166" s="110">
        <f t="shared" si="70"/>
        <v>1.004266771399726</v>
      </c>
      <c r="H166" s="412" t="b">
        <f>Wh_hp&gt;='2019'!Maxi_hp</f>
        <v>0</v>
      </c>
      <c r="I166" s="380">
        <f>IF(H166,Wh_hp,'2019'!Maxi_hp)</f>
        <v>60.331915443766647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1.6055881666034444E-2</v>
      </c>
      <c r="M166" s="957"/>
      <c r="N166" s="957"/>
      <c r="O166" s="48">
        <f>IF(t&lt;Tnet,'2019'!Resal+('2019'!Salim-'2019'!Resal)*(1-EXP(('2019'!Tnet-t)/('2019'!Tau_j))),Resal+(Salim-Resal)*(1-EXP((Tnet-t)/(Tau_j))))*Salcycl</f>
        <v>7.463119775107746E-2</v>
      </c>
      <c r="P166" s="169">
        <f>(INDEX(Models!$BJ166:$BT166,,T166)*(1-R166)+INDEX(Models!$BJ166:$BT166,,T166+1)*R166-ERP_i)*Q166*Ramure*Pc/MaxiM</f>
        <v>2.3876561661703272E-3</v>
      </c>
      <c r="Q166" s="305">
        <f t="shared" si="51"/>
        <v>0.7</v>
      </c>
      <c r="R166" s="177">
        <f t="shared" si="52"/>
        <v>0.20398067353975025</v>
      </c>
      <c r="S166" s="919">
        <f t="shared" si="53"/>
        <v>-1</v>
      </c>
      <c r="T166" s="176">
        <f t="shared" si="54"/>
        <v>5</v>
      </c>
      <c r="U166" s="251">
        <f t="shared" si="55"/>
        <v>-0.79601932646024975</v>
      </c>
      <c r="V166" s="383">
        <f t="shared" si="56"/>
        <v>54.139997009179986</v>
      </c>
      <c r="W166" s="402"/>
      <c r="X166" s="157">
        <f t="shared" si="57"/>
        <v>43982</v>
      </c>
      <c r="Y166" s="385">
        <f t="shared" si="58"/>
        <v>54.371000000000002</v>
      </c>
      <c r="Z166" s="385">
        <f t="shared" si="59"/>
        <v>55.258219432280463</v>
      </c>
      <c r="AA166" s="386">
        <f t="shared" si="60"/>
        <v>59.714807002339484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7.463119775107746E-2</v>
      </c>
      <c r="AD166" s="231">
        <f>(INDEX(Models!$BJ166:$BT166,,AH166)*(1-AF166)+INDEX(Models!$BJ166:$BT166,,AH166+1)*AF166-ERP_i)*AE166*Ramure*Pc/MaxiM</f>
        <v>2.3876561661703272E-3</v>
      </c>
      <c r="AE166" s="305">
        <f t="shared" si="62"/>
        <v>0.7</v>
      </c>
      <c r="AF166" s="177">
        <f t="shared" si="63"/>
        <v>0.20398067353975025</v>
      </c>
      <c r="AG166" s="919">
        <f t="shared" si="71"/>
        <v>-1</v>
      </c>
      <c r="AH166" s="176">
        <f t="shared" si="64"/>
        <v>5</v>
      </c>
      <c r="AI166" s="225">
        <f t="shared" si="65"/>
        <v>-0.79601932646024975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8">
        <v>25.518999999999998</v>
      </c>
      <c r="C167" s="390"/>
      <c r="D167" s="393">
        <f t="shared" si="48"/>
        <v>25.935984034383306</v>
      </c>
      <c r="E167" s="385">
        <f t="shared" si="69"/>
        <v>28.030604546199083</v>
      </c>
      <c r="F167" s="385">
        <f t="shared" si="49"/>
        <v>28.047579005190382</v>
      </c>
      <c r="G167" s="110">
        <f t="shared" si="70"/>
        <v>0.47078905071983834</v>
      </c>
      <c r="H167" s="412" t="b">
        <f>Wh_hp&gt;='2019'!Maxi_hp</f>
        <v>0</v>
      </c>
      <c r="I167" s="380">
        <f>IF(H167,Wh_hp,'2019'!Maxi_hp)</f>
        <v>59.300139796564821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1.6077432567451977E-2</v>
      </c>
      <c r="M167" s="957"/>
      <c r="N167" s="957"/>
      <c r="O167" s="48">
        <f>IF(t&lt;Tnet,'2019'!Resal+('2019'!Salim-'2019'!Resal)*(1-EXP(('2019'!Tnet-t)/('2019'!Tau_j))),Resal+(Salim-Resal)*(1-EXP((Tnet-t)/(Tau_j))))*Salcycl</f>
        <v>7.4726198229634846E-2</v>
      </c>
      <c r="P167" s="169">
        <f>(INDEX(Models!$BJ167:$BT167,,T167)*(1-R167)+INDEX(Models!$BJ167:$BT167,,T167+1)*R167-ERP_i)*Q167*Ramure*Pc/MaxiM</f>
        <v>2.4677944351209099E-3</v>
      </c>
      <c r="Q167" s="305">
        <f t="shared" si="51"/>
        <v>0.7</v>
      </c>
      <c r="R167" s="177">
        <f t="shared" si="52"/>
        <v>0.20897251695416286</v>
      </c>
      <c r="S167" s="919">
        <f t="shared" si="53"/>
        <v>-1</v>
      </c>
      <c r="T167" s="176">
        <f t="shared" si="54"/>
        <v>5</v>
      </c>
      <c r="U167" s="251">
        <f t="shared" si="55"/>
        <v>-0.79102748304583714</v>
      </c>
      <c r="V167" s="383">
        <f t="shared" si="56"/>
        <v>54.103721589255279</v>
      </c>
      <c r="W167" s="402"/>
      <c r="X167" s="157">
        <f t="shared" si="57"/>
        <v>43983</v>
      </c>
      <c r="Y167" s="385">
        <f t="shared" si="58"/>
        <v>25.518999999999998</v>
      </c>
      <c r="Z167" s="385">
        <f t="shared" si="59"/>
        <v>25.935984034383306</v>
      </c>
      <c r="AA167" s="386">
        <f t="shared" si="60"/>
        <v>28.030604546199083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7.4726198229634846E-2</v>
      </c>
      <c r="AD167" s="231">
        <f>(INDEX(Models!$BJ167:$BT167,,AH167)*(1-AF167)+INDEX(Models!$BJ167:$BT167,,AH167+1)*AF167-ERP_i)*AE167*Ramure*Pc/MaxiM</f>
        <v>2.4677944351209099E-3</v>
      </c>
      <c r="AE167" s="305">
        <f t="shared" si="62"/>
        <v>0.7</v>
      </c>
      <c r="AF167" s="177">
        <f t="shared" si="63"/>
        <v>0.20897251695416286</v>
      </c>
      <c r="AG167" s="919">
        <f t="shared" si="71"/>
        <v>-1</v>
      </c>
      <c r="AH167" s="176">
        <f t="shared" si="64"/>
        <v>5</v>
      </c>
      <c r="AI167" s="225">
        <f t="shared" si="65"/>
        <v>-0.79102748304583714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8">
        <v>48.021000000000001</v>
      </c>
      <c r="C168" s="390"/>
      <c r="D168" s="393">
        <f t="shared" si="48"/>
        <v>48.806738859023085</v>
      </c>
      <c r="E168" s="385">
        <f t="shared" si="69"/>
        <v>52.753815924290365</v>
      </c>
      <c r="F168" s="385">
        <f t="shared" si="49"/>
        <v>52.867021607372699</v>
      </c>
      <c r="G168" s="110">
        <f t="shared" si="70"/>
        <v>0.88784386773591084</v>
      </c>
      <c r="H168" s="412" t="b">
        <f>Wh_hp&gt;='2019'!Maxi_hp</f>
        <v>1</v>
      </c>
      <c r="I168" s="380">
        <f>IF(H168,Wh_hp,'2019'!Maxi_hp)</f>
        <v>52.867021607372699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1.609898299684942E-2</v>
      </c>
      <c r="M168" s="957"/>
      <c r="N168" s="957"/>
      <c r="O168" s="48">
        <f>IF(t&lt;Tnet,'2019'!Resal+('2019'!Salim-'2019'!Resal)*(1-EXP(('2019'!Tnet-t)/('2019'!Tau_j))),Resal+(Salim-Resal)*(1-EXP((Tnet-t)/(Tau_j))))*Salcycl</f>
        <v>7.4820692988956938E-2</v>
      </c>
      <c r="P168" s="169">
        <f>(INDEX(Models!$BJ168:$BT168,,T168)*(1-R168)+INDEX(Models!$BJ168:$BT168,,T168+1)*R168-ERP_i)*Q168*Ramure*Pc/MaxiM</f>
        <v>2.5483077989038715E-3</v>
      </c>
      <c r="Q168" s="305">
        <f t="shared" si="51"/>
        <v>0.7</v>
      </c>
      <c r="R168" s="177">
        <f t="shared" si="52"/>
        <v>0.21399788973643474</v>
      </c>
      <c r="S168" s="919">
        <f t="shared" si="53"/>
        <v>-1</v>
      </c>
      <c r="T168" s="176">
        <f t="shared" si="54"/>
        <v>5</v>
      </c>
      <c r="U168" s="251">
        <f t="shared" si="55"/>
        <v>-0.78600211026356526</v>
      </c>
      <c r="V168" s="383">
        <f t="shared" si="56"/>
        <v>54.065152977241013</v>
      </c>
      <c r="W168" s="402"/>
      <c r="X168" s="157">
        <f t="shared" si="57"/>
        <v>43984</v>
      </c>
      <c r="Y168" s="385">
        <f t="shared" si="58"/>
        <v>48.021000000000001</v>
      </c>
      <c r="Z168" s="385">
        <f t="shared" si="59"/>
        <v>48.806738859023085</v>
      </c>
      <c r="AA168" s="386">
        <f t="shared" si="60"/>
        <v>52.753815924290365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7.4820692988956938E-2</v>
      </c>
      <c r="AD168" s="231">
        <f>(INDEX(Models!$BJ168:$BT168,,AH168)*(1-AF168)+INDEX(Models!$BJ168:$BT168,,AH168+1)*AF168-ERP_i)*AE168*Ramure*Pc/MaxiM</f>
        <v>2.5483077989038715E-3</v>
      </c>
      <c r="AE168" s="305">
        <f t="shared" si="62"/>
        <v>0.7</v>
      </c>
      <c r="AF168" s="177">
        <f t="shared" si="63"/>
        <v>0.21399788973643474</v>
      </c>
      <c r="AG168" s="919">
        <f t="shared" si="71"/>
        <v>-1</v>
      </c>
      <c r="AH168" s="176">
        <f t="shared" si="64"/>
        <v>5</v>
      </c>
      <c r="AI168" s="225">
        <f t="shared" si="65"/>
        <v>-0.78600211026356526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8">
        <v>24.585999999999999</v>
      </c>
      <c r="C169" s="390"/>
      <c r="D169" s="393">
        <f t="shared" si="48"/>
        <v>24.988833310875915</v>
      </c>
      <c r="E169" s="385">
        <f t="shared" si="69"/>
        <v>27.012461617114191</v>
      </c>
      <c r="F169" s="385">
        <f t="shared" si="49"/>
        <v>27.028206083808534</v>
      </c>
      <c r="G169" s="110">
        <f t="shared" si="70"/>
        <v>0.45416039111485196</v>
      </c>
      <c r="H169" s="412" t="b">
        <f>Wh_hp&gt;='2019'!Maxi_hp</f>
        <v>0</v>
      </c>
      <c r="I169" s="380">
        <f>IF(H169,Wh_hp,'2019'!Maxi_hp)</f>
        <v>57.111684044434135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1.612053295423721E-2</v>
      </c>
      <c r="M169" s="957"/>
      <c r="N169" s="957"/>
      <c r="O169" s="48">
        <f>IF(t&lt;Tnet,'2019'!Resal+('2019'!Salim-'2019'!Resal)*(1-EXP(('2019'!Tnet-t)/('2019'!Tau_j))),Resal+(Salim-Resal)*(1-EXP((Tnet-t)/(Tau_j))))*Salcycl</f>
        <v>7.4914620330498588E-2</v>
      </c>
      <c r="P169" s="169">
        <f>(INDEX(Models!$BJ169:$BT169,,T169)*(1-R169)+INDEX(Models!$BJ169:$BT169,,T169+1)*R169-ERP_i)*Q169*Ramure*Pc/MaxiM</f>
        <v>2.6291683869578554E-3</v>
      </c>
      <c r="Q169" s="305">
        <f t="shared" si="51"/>
        <v>0.7</v>
      </c>
      <c r="R169" s="177">
        <f t="shared" si="52"/>
        <v>0.21905284726609453</v>
      </c>
      <c r="S169" s="919">
        <f t="shared" si="53"/>
        <v>-1</v>
      </c>
      <c r="T169" s="176">
        <f t="shared" si="54"/>
        <v>5</v>
      </c>
      <c r="U169" s="251">
        <f t="shared" si="55"/>
        <v>-0.78094715273390547</v>
      </c>
      <c r="V169" s="383">
        <f t="shared" si="56"/>
        <v>54.024199931054874</v>
      </c>
      <c r="W169" s="402"/>
      <c r="X169" s="157">
        <f t="shared" si="57"/>
        <v>43985</v>
      </c>
      <c r="Y169" s="385">
        <f t="shared" si="58"/>
        <v>24.585999999999999</v>
      </c>
      <c r="Z169" s="385">
        <f t="shared" si="59"/>
        <v>24.988833310875915</v>
      </c>
      <c r="AA169" s="386">
        <f t="shared" si="60"/>
        <v>27.012461617114191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7.4914620330498588E-2</v>
      </c>
      <c r="AD169" s="231">
        <f>(INDEX(Models!$BJ169:$BT169,,AH169)*(1-AF169)+INDEX(Models!$BJ169:$BT169,,AH169+1)*AF169-ERP_i)*AE169*Ramure*Pc/MaxiM</f>
        <v>2.6291683869578554E-3</v>
      </c>
      <c r="AE169" s="305">
        <f t="shared" si="62"/>
        <v>0.7</v>
      </c>
      <c r="AF169" s="177">
        <f t="shared" si="63"/>
        <v>0.21905284726609453</v>
      </c>
      <c r="AG169" s="919">
        <f t="shared" si="71"/>
        <v>-1</v>
      </c>
      <c r="AH169" s="176">
        <f t="shared" si="64"/>
        <v>5</v>
      </c>
      <c r="AI169" s="225">
        <f t="shared" si="65"/>
        <v>-0.78094715273390547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8">
        <v>32.959000000000003</v>
      </c>
      <c r="C170" s="390"/>
      <c r="D170" s="393">
        <f t="shared" si="48"/>
        <v>33.499755820156295</v>
      </c>
      <c r="E170" s="385">
        <f t="shared" ref="E170:E232" si="72">Wh_pvt/(1-Psa)</f>
        <v>36.216262318220679</v>
      </c>
      <c r="F170" s="385">
        <f t="shared" si="49"/>
        <v>36.259832581231564</v>
      </c>
      <c r="G170" s="110">
        <f t="shared" ref="G170:G232" si="73">+Wh_hp/MaxiM</f>
        <v>0.60964697270177226</v>
      </c>
      <c r="H170" s="412" t="b">
        <f>Wh_hp&gt;='2019'!Maxi_hp</f>
        <v>1</v>
      </c>
      <c r="I170" s="380">
        <f>IF(H170,Wh_hp,'2019'!Maxi_hp)</f>
        <v>36.259832581231564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1.614208243962556E-2</v>
      </c>
      <c r="M170" s="957"/>
      <c r="N170" s="957"/>
      <c r="O170" s="48">
        <f>IF(t&lt;Tnet,'2019'!Resal+('2019'!Salim-'2019'!Resal)*(1-EXP(('2019'!Tnet-t)/('2019'!Tau_j))),Resal+(Salim-Resal)*(1-EXP((Tnet-t)/(Tau_j))))*Salcycl</f>
        <v>7.5007919762545186E-2</v>
      </c>
      <c r="P170" s="169">
        <f>(INDEX(Models!$BJ170:$BT170,,T170)*(1-R170)+INDEX(Models!$BJ170:$BT170,,T170+1)*R170-ERP_i)*Q170*Ramure*Pc/MaxiM</f>
        <v>2.708355401916929E-3</v>
      </c>
      <c r="Q170" s="305">
        <f t="shared" si="51"/>
        <v>0.7</v>
      </c>
      <c r="R170" s="177">
        <f t="shared" si="52"/>
        <v>0.22413334813636654</v>
      </c>
      <c r="S170" s="919">
        <f t="shared" si="53"/>
        <v>-1</v>
      </c>
      <c r="T170" s="176">
        <f t="shared" si="54"/>
        <v>5</v>
      </c>
      <c r="U170" s="251">
        <f t="shared" si="55"/>
        <v>-0.77586665186363346</v>
      </c>
      <c r="V170" s="383">
        <f t="shared" si="56"/>
        <v>53.98087907415097</v>
      </c>
      <c r="W170" s="402"/>
      <c r="X170" s="157">
        <f t="shared" si="57"/>
        <v>43986</v>
      </c>
      <c r="Y170" s="385">
        <f t="shared" si="58"/>
        <v>32.959000000000003</v>
      </c>
      <c r="Z170" s="385">
        <f t="shared" si="59"/>
        <v>33.499755820156295</v>
      </c>
      <c r="AA170" s="386">
        <f t="shared" si="60"/>
        <v>36.216262318220679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7.5007919762545186E-2</v>
      </c>
      <c r="AD170" s="231">
        <f>(INDEX(Models!$BJ170:$BT170,,AH170)*(1-AF170)+INDEX(Models!$BJ170:$BT170,,AH170+1)*AF170-ERP_i)*AE170*Ramure*Pc/MaxiM</f>
        <v>2.708355401916929E-3</v>
      </c>
      <c r="AE170" s="305">
        <f t="shared" si="62"/>
        <v>0.7</v>
      </c>
      <c r="AF170" s="177">
        <f t="shared" si="63"/>
        <v>0.22413334813636654</v>
      </c>
      <c r="AG170" s="919">
        <f t="shared" si="71"/>
        <v>-1</v>
      </c>
      <c r="AH170" s="176">
        <f t="shared" si="64"/>
        <v>5</v>
      </c>
      <c r="AI170" s="225">
        <f t="shared" si="65"/>
        <v>-0.77586665186363346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8">
        <v>19.620999999999999</v>
      </c>
      <c r="C171" s="390"/>
      <c r="D171" s="393">
        <f t="shared" si="48"/>
        <v>19.943357073674957</v>
      </c>
      <c r="E171" s="385">
        <f t="shared" si="72"/>
        <v>21.562729538498626</v>
      </c>
      <c r="F171" s="385">
        <f t="shared" si="49"/>
        <v>21.56820455859074</v>
      </c>
      <c r="G171" s="110">
        <f t="shared" si="73"/>
        <v>0.36286773425073193</v>
      </c>
      <c r="H171" s="412" t="b">
        <f>Wh_hp&gt;='2019'!Maxi_hp</f>
        <v>0</v>
      </c>
      <c r="I171" s="380">
        <f>IF(H171,Wh_hp,'2019'!Maxi_hp)</f>
        <v>56.000265625104696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1.6163631453024907E-2</v>
      </c>
      <c r="M171" s="957"/>
      <c r="N171" s="957"/>
      <c r="O171" s="48">
        <f>IF(t&lt;Tnet,'2019'!Resal+('2019'!Salim-'2019'!Resal)*(1-EXP(('2019'!Tnet-t)/('2019'!Tau_j))),Resal+(Salim-Resal)*(1-EXP((Tnet-t)/(Tau_j))))*Salcycl</f>
        <v>7.5100532236997267E-2</v>
      </c>
      <c r="P171" s="169">
        <f>(INDEX(Models!$BJ171:$BT171,,T171)*(1-R171)+INDEX(Models!$BJ171:$BT171,,T171+1)*R171-ERP_i)*Q171*Ramure*Pc/MaxiM</f>
        <v>2.7856332718444975E-3</v>
      </c>
      <c r="Q171" s="305">
        <f t="shared" si="51"/>
        <v>0.7</v>
      </c>
      <c r="R171" s="177">
        <f t="shared" si="52"/>
        <v>0.22923526668350647</v>
      </c>
      <c r="S171" s="919">
        <f t="shared" si="53"/>
        <v>-1</v>
      </c>
      <c r="T171" s="176">
        <f t="shared" si="54"/>
        <v>5</v>
      </c>
      <c r="U171" s="251">
        <f t="shared" si="55"/>
        <v>-0.77076473331649353</v>
      </c>
      <c r="V171" s="383">
        <f t="shared" si="56"/>
        <v>53.935110116786184</v>
      </c>
      <c r="W171" s="402"/>
      <c r="X171" s="157">
        <f t="shared" si="57"/>
        <v>43987</v>
      </c>
      <c r="Y171" s="385">
        <f t="shared" si="58"/>
        <v>19.620999999999999</v>
      </c>
      <c r="Z171" s="385">
        <f t="shared" si="59"/>
        <v>19.943357073674957</v>
      </c>
      <c r="AA171" s="386">
        <f t="shared" si="60"/>
        <v>21.562729538498626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7.5100532236997267E-2</v>
      </c>
      <c r="AD171" s="231">
        <f>(INDEX(Models!$BJ171:$BT171,,AH171)*(1-AF171)+INDEX(Models!$BJ171:$BT171,,AH171+1)*AF171-ERP_i)*AE171*Ramure*Pc/MaxiM</f>
        <v>2.7856332718444975E-3</v>
      </c>
      <c r="AE171" s="305">
        <f t="shared" si="62"/>
        <v>0.7</v>
      </c>
      <c r="AF171" s="177">
        <f t="shared" si="63"/>
        <v>0.22923526668350647</v>
      </c>
      <c r="AG171" s="919">
        <f t="shared" si="71"/>
        <v>-1</v>
      </c>
      <c r="AH171" s="176">
        <f t="shared" si="64"/>
        <v>5</v>
      </c>
      <c r="AI171" s="225">
        <f t="shared" si="65"/>
        <v>-0.77076473331649353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8">
        <v>23.69</v>
      </c>
      <c r="C172" s="390"/>
      <c r="D172" s="393">
        <f t="shared" si="48"/>
        <v>24.079734842646761</v>
      </c>
      <c r="E172" s="385">
        <f t="shared" si="72"/>
        <v>26.037561599403965</v>
      </c>
      <c r="F172" s="385">
        <f t="shared" si="49"/>
        <v>26.052428305840689</v>
      </c>
      <c r="G172" s="110">
        <f t="shared" si="73"/>
        <v>0.43861781566987063</v>
      </c>
      <c r="H172" s="412" t="b">
        <f>Wh_hp&gt;='2019'!Maxi_hp</f>
        <v>1</v>
      </c>
      <c r="I172" s="380">
        <f>IF(H172,Wh_hp,'2019'!Maxi_hp)</f>
        <v>26.052428305840689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1.6185179994445575E-2</v>
      </c>
      <c r="M172" s="957"/>
      <c r="N172" s="957"/>
      <c r="O172" s="48">
        <f>IF(t&lt;Tnet,'2019'!Resal+('2019'!Salim-'2019'!Resal)*(1-EXP(('2019'!Tnet-t)/('2019'!Tau_j))),Resal+(Salim-Resal)*(1-EXP((Tnet-t)/(Tau_j))))*Salcycl</f>
        <v>7.519240038214714E-2</v>
      </c>
      <c r="P172" s="169">
        <f>(INDEX(Models!$BJ172:$BT172,,T172)*(1-R172)+INDEX(Models!$BJ172:$BT172,,T172+1)*R172-ERP_i)*Q172*Ramure*Pc/MaxiM</f>
        <v>2.8608867673377233E-3</v>
      </c>
      <c r="Q172" s="305">
        <f t="shared" si="51"/>
        <v>0.7</v>
      </c>
      <c r="R172" s="177">
        <f t="shared" si="52"/>
        <v>0.23435440610133251</v>
      </c>
      <c r="S172" s="919">
        <f t="shared" si="53"/>
        <v>-1</v>
      </c>
      <c r="T172" s="176">
        <f t="shared" si="54"/>
        <v>5</v>
      </c>
      <c r="U172" s="251">
        <f t="shared" si="55"/>
        <v>-0.76564559389866749</v>
      </c>
      <c r="V172" s="383">
        <f t="shared" si="56"/>
        <v>53.886806158844841</v>
      </c>
      <c r="W172" s="402"/>
      <c r="X172" s="157">
        <f t="shared" si="57"/>
        <v>43988</v>
      </c>
      <c r="Y172" s="385">
        <f t="shared" si="58"/>
        <v>23.69</v>
      </c>
      <c r="Z172" s="385">
        <f t="shared" si="59"/>
        <v>24.079734842646761</v>
      </c>
      <c r="AA172" s="386">
        <f t="shared" si="60"/>
        <v>26.037561599403965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7.519240038214714E-2</v>
      </c>
      <c r="AD172" s="231">
        <f>(INDEX(Models!$BJ172:$BT172,,AH172)*(1-AF172)+INDEX(Models!$BJ172:$BT172,,AH172+1)*AF172-ERP_i)*AE172*Ramure*Pc/MaxiM</f>
        <v>2.8608867673377233E-3</v>
      </c>
      <c r="AE172" s="305">
        <f t="shared" si="62"/>
        <v>0.7</v>
      </c>
      <c r="AF172" s="177">
        <f t="shared" si="63"/>
        <v>0.23435440610133251</v>
      </c>
      <c r="AG172" s="919">
        <f t="shared" si="71"/>
        <v>-1</v>
      </c>
      <c r="AH172" s="176">
        <f t="shared" si="64"/>
        <v>5</v>
      </c>
      <c r="AI172" s="225">
        <f t="shared" si="65"/>
        <v>-0.76564559389866749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8">
        <v>33.296999999999997</v>
      </c>
      <c r="C173" s="390"/>
      <c r="D173" s="393">
        <f t="shared" si="48"/>
        <v>33.845525223476677</v>
      </c>
      <c r="E173" s="385">
        <f t="shared" si="72"/>
        <v>36.600973464795736</v>
      </c>
      <c r="F173" s="385">
        <f t="shared" si="49"/>
        <v>36.649898565477457</v>
      </c>
      <c r="G173" s="110">
        <f t="shared" si="73"/>
        <v>0.61750053128677673</v>
      </c>
      <c r="H173" s="412" t="b">
        <f>Wh_hp&gt;='2019'!Maxi_hp</f>
        <v>0</v>
      </c>
      <c r="I173" s="380">
        <f>IF(H173,Wh_hp,'2019'!Maxi_hp)</f>
        <v>61.487890344452325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1.6206728063897891E-2</v>
      </c>
      <c r="M173" s="957"/>
      <c r="N173" s="957"/>
      <c r="O173" s="48">
        <f>IF(t&lt;Tnet,'2019'!Resal+('2019'!Salim-'2019'!Resal)*(1-EXP(('2019'!Tnet-t)/('2019'!Tau_j))),Resal+(Salim-Resal)*(1-EXP((Tnet-t)/(Tau_j))))*Salcycl</f>
        <v>7.5283468729851172E-2</v>
      </c>
      <c r="P173" s="169">
        <f>(INDEX(Models!$BJ173:$BT173,,T173)*(1-R173)+INDEX(Models!$BJ173:$BT173,,T173+1)*R173-ERP_i)*Q173*Ramure*Pc/MaxiM</f>
        <v>2.9339993581404206E-3</v>
      </c>
      <c r="Q173" s="305">
        <f t="shared" si="51"/>
        <v>0.7</v>
      </c>
      <c r="R173" s="177">
        <f t="shared" si="52"/>
        <v>0.23948651205459892</v>
      </c>
      <c r="S173" s="919">
        <f t="shared" si="53"/>
        <v>-1</v>
      </c>
      <c r="T173" s="176">
        <f t="shared" si="54"/>
        <v>5</v>
      </c>
      <c r="U173" s="251">
        <f t="shared" si="55"/>
        <v>-0.76051348794540108</v>
      </c>
      <c r="V173" s="383">
        <f t="shared" si="56"/>
        <v>53.835880258852981</v>
      </c>
      <c r="W173" s="402"/>
      <c r="X173" s="157">
        <f t="shared" si="57"/>
        <v>43989</v>
      </c>
      <c r="Y173" s="385">
        <f t="shared" si="58"/>
        <v>33.296999999999997</v>
      </c>
      <c r="Z173" s="385">
        <f t="shared" si="59"/>
        <v>33.845525223476677</v>
      </c>
      <c r="AA173" s="386">
        <f t="shared" si="60"/>
        <v>36.600973464795736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7.5283468729851172E-2</v>
      </c>
      <c r="AD173" s="231">
        <f>(INDEX(Models!$BJ173:$BT173,,AH173)*(1-AF173)+INDEX(Models!$BJ173:$BT173,,AH173+1)*AF173-ERP_i)*AE173*Ramure*Pc/MaxiM</f>
        <v>2.9339993581404206E-3</v>
      </c>
      <c r="AE173" s="305">
        <f t="shared" si="62"/>
        <v>0.7</v>
      </c>
      <c r="AF173" s="177">
        <f t="shared" si="63"/>
        <v>0.23948651205459892</v>
      </c>
      <c r="AG173" s="919">
        <f t="shared" si="71"/>
        <v>-1</v>
      </c>
      <c r="AH173" s="176">
        <f t="shared" si="64"/>
        <v>5</v>
      </c>
      <c r="AI173" s="225">
        <f t="shared" si="65"/>
        <v>-0.76051348794540108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8">
        <v>40.067999999999998</v>
      </c>
      <c r="C174" s="390"/>
      <c r="D174" s="393">
        <f t="shared" si="48"/>
        <v>40.728960803318287</v>
      </c>
      <c r="E174" s="385">
        <f t="shared" si="72"/>
        <v>44.049104049595059</v>
      </c>
      <c r="F174" s="385">
        <f t="shared" si="49"/>
        <v>44.133409740584895</v>
      </c>
      <c r="G174" s="110">
        <f t="shared" si="73"/>
        <v>0.7441871763697494</v>
      </c>
      <c r="H174" s="412" t="b">
        <f>Wh_hp&gt;='2019'!Maxi_hp</f>
        <v>0</v>
      </c>
      <c r="I174" s="380">
        <f>IF(H174,Wh_hp,'2019'!Maxi_hp)</f>
        <v>46.409454246232372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1.6228275661392177E-2</v>
      </c>
      <c r="M174" s="957"/>
      <c r="N174" s="957"/>
      <c r="O174" s="48">
        <f>IF(t&lt;Tnet,'2019'!Resal+('2019'!Salim-'2019'!Resal)*(1-EXP(('2019'!Tnet-t)/('2019'!Tau_j))),Resal+(Salim-Resal)*(1-EXP((Tnet-t)/(Tau_j))))*Salcycl</f>
        <v>7.5373683935514635E-2</v>
      </c>
      <c r="P174" s="169">
        <f>(INDEX(Models!$BJ174:$BT174,,T174)*(1-R174)+INDEX(Models!$BJ174:$BT174,,T174+1)*R174-ERP_i)*Q174*Ramure*Pc/MaxiM</f>
        <v>3.0048535941937897E-3</v>
      </c>
      <c r="Q174" s="305">
        <f t="shared" si="51"/>
        <v>0.7</v>
      </c>
      <c r="R174" s="177">
        <f t="shared" si="52"/>
        <v>0.24462728669890477</v>
      </c>
      <c r="S174" s="919">
        <f t="shared" si="53"/>
        <v>-1</v>
      </c>
      <c r="T174" s="176">
        <f t="shared" si="54"/>
        <v>5</v>
      </c>
      <c r="U174" s="251">
        <f t="shared" si="55"/>
        <v>-0.75537271330109523</v>
      </c>
      <c r="V174" s="383">
        <f t="shared" si="56"/>
        <v>53.78224539749403</v>
      </c>
      <c r="W174" s="402"/>
      <c r="X174" s="157">
        <f t="shared" si="57"/>
        <v>43990</v>
      </c>
      <c r="Y174" s="385">
        <f t="shared" si="58"/>
        <v>40.067999999999998</v>
      </c>
      <c r="Z174" s="385">
        <f t="shared" si="59"/>
        <v>40.728960803318287</v>
      </c>
      <c r="AA174" s="386">
        <f t="shared" si="60"/>
        <v>44.049104049595059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7.5373683935514635E-2</v>
      </c>
      <c r="AD174" s="231">
        <f>(INDEX(Models!$BJ174:$BT174,,AH174)*(1-AF174)+INDEX(Models!$BJ174:$BT174,,AH174+1)*AF174-ERP_i)*AE174*Ramure*Pc/MaxiM</f>
        <v>3.0048535941937897E-3</v>
      </c>
      <c r="AE174" s="305">
        <f t="shared" si="62"/>
        <v>0.7</v>
      </c>
      <c r="AF174" s="177">
        <f t="shared" si="63"/>
        <v>0.24462728669890477</v>
      </c>
      <c r="AG174" s="919">
        <f t="shared" si="71"/>
        <v>-1</v>
      </c>
      <c r="AH174" s="176">
        <f t="shared" si="64"/>
        <v>5</v>
      </c>
      <c r="AI174" s="225">
        <f t="shared" si="65"/>
        <v>-0.75537271330109523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8">
        <v>27.266999999999999</v>
      </c>
      <c r="C175" s="390"/>
      <c r="D175" s="393">
        <f t="shared" si="48"/>
        <v>27.717402884995359</v>
      </c>
      <c r="E175" s="385">
        <f t="shared" si="72"/>
        <v>29.979765801451713</v>
      </c>
      <c r="F175" s="385">
        <f t="shared" si="49"/>
        <v>30.007105790884598</v>
      </c>
      <c r="G175" s="110">
        <f t="shared" si="73"/>
        <v>0.50642301886244412</v>
      </c>
      <c r="H175" s="412" t="b">
        <f>Wh_hp&gt;='2019'!Maxi_hp</f>
        <v>1</v>
      </c>
      <c r="I175" s="380">
        <f>IF(H175,Wh_hp,'2019'!Maxi_hp)</f>
        <v>30.007105790884598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1.6249822786938761E-2</v>
      </c>
      <c r="M175" s="957"/>
      <c r="N175" s="957"/>
      <c r="O175" s="48">
        <f>IF(t&lt;Tnet,'2019'!Resal+('2019'!Salim-'2019'!Resal)*(1-EXP(('2019'!Tnet-t)/('2019'!Tau_j))),Resal+(Salim-Resal)*(1-EXP((Tnet-t)/(Tau_j))))*Salcycl</f>
        <v>7.5462994989333856E-2</v>
      </c>
      <c r="P175" s="169">
        <f>(INDEX(Models!$BJ175:$BT175,,T175)*(1-R175)+INDEX(Models!$BJ175:$BT175,,T175+1)*R175-ERP_i)*Q175*Ramure*Pc/MaxiM</f>
        <v>3.0733314916271373E-3</v>
      </c>
      <c r="Q175" s="305">
        <f t="shared" si="51"/>
        <v>0.7</v>
      </c>
      <c r="R175" s="177">
        <f t="shared" si="52"/>
        <v>0.24977240300991632</v>
      </c>
      <c r="S175" s="919">
        <f t="shared" si="53"/>
        <v>-1</v>
      </c>
      <c r="T175" s="176">
        <f t="shared" si="54"/>
        <v>5</v>
      </c>
      <c r="U175" s="251">
        <f t="shared" si="55"/>
        <v>-0.75022759699008368</v>
      </c>
      <c r="V175" s="383">
        <f t="shared" si="56"/>
        <v>53.72581443377203</v>
      </c>
      <c r="W175" s="402"/>
      <c r="X175" s="157">
        <f t="shared" si="57"/>
        <v>43991</v>
      </c>
      <c r="Y175" s="385">
        <f t="shared" si="58"/>
        <v>27.266999999999999</v>
      </c>
      <c r="Z175" s="385">
        <f t="shared" si="59"/>
        <v>27.717402884995359</v>
      </c>
      <c r="AA175" s="386">
        <f t="shared" si="60"/>
        <v>29.979765801451713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7.5462994989333856E-2</v>
      </c>
      <c r="AD175" s="231">
        <f>(INDEX(Models!$BJ175:$BT175,,AH175)*(1-AF175)+INDEX(Models!$BJ175:$BT175,,AH175+1)*AF175-ERP_i)*AE175*Ramure*Pc/MaxiM</f>
        <v>3.0733314916271373E-3</v>
      </c>
      <c r="AE175" s="305">
        <f t="shared" si="62"/>
        <v>0.7</v>
      </c>
      <c r="AF175" s="177">
        <f t="shared" si="63"/>
        <v>0.24977240300991632</v>
      </c>
      <c r="AG175" s="919">
        <f t="shared" si="71"/>
        <v>-1</v>
      </c>
      <c r="AH175" s="176">
        <f t="shared" si="64"/>
        <v>5</v>
      </c>
      <c r="AI175" s="225">
        <f t="shared" si="65"/>
        <v>-0.75022759699008368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8">
        <v>39.584000000000003</v>
      </c>
      <c r="C176" s="390"/>
      <c r="D176" s="393">
        <f t="shared" si="48"/>
        <v>40.238739394510006</v>
      </c>
      <c r="E176" s="385">
        <f t="shared" si="72"/>
        <v>43.527284661246512</v>
      </c>
      <c r="F176" s="385">
        <f t="shared" si="49"/>
        <v>43.612874316425476</v>
      </c>
      <c r="G176" s="110">
        <f t="shared" si="73"/>
        <v>0.73672262499760099</v>
      </c>
      <c r="H176" s="412" t="b">
        <f>Wh_hp&gt;='2019'!Maxi_hp</f>
        <v>1</v>
      </c>
      <c r="I176" s="380">
        <f>IF(H176,Wh_hp,'2019'!Maxi_hp)</f>
        <v>43.612874316425476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1.6271369440547967E-2</v>
      </c>
      <c r="M176" s="957"/>
      <c r="N176" s="957"/>
      <c r="O176" s="48">
        <f>IF(t&lt;Tnet,'2019'!Resal+('2019'!Salim-'2019'!Resal)*(1-EXP(('2019'!Tnet-t)/('2019'!Tau_j))),Resal+(Salim-Resal)*(1-EXP((Tnet-t)/(Tau_j))))*Salcycl</f>
        <v>7.5551353417282696E-2</v>
      </c>
      <c r="P176" s="169">
        <f>(INDEX(Models!$BJ176:$BT176,,T176)*(1-R176)+INDEX(Models!$BJ176:$BT176,,T176+1)*R176-ERP_i)*Q176*Ramure*Pc/MaxiM</f>
        <v>3.1393149191100999E-3</v>
      </c>
      <c r="Q176" s="305">
        <f t="shared" si="51"/>
        <v>0.7</v>
      </c>
      <c r="R176" s="177">
        <f t="shared" si="52"/>
        <v>0.25491751932092788</v>
      </c>
      <c r="S176" s="919">
        <f t="shared" si="53"/>
        <v>-1</v>
      </c>
      <c r="T176" s="176">
        <f t="shared" si="54"/>
        <v>5</v>
      </c>
      <c r="U176" s="251">
        <f t="shared" si="55"/>
        <v>-0.74508248067907212</v>
      </c>
      <c r="V176" s="383">
        <f t="shared" si="56"/>
        <v>53.66650006805267</v>
      </c>
      <c r="W176" s="402"/>
      <c r="X176" s="157">
        <f t="shared" si="57"/>
        <v>43992</v>
      </c>
      <c r="Y176" s="385">
        <f t="shared" si="58"/>
        <v>39.584000000000003</v>
      </c>
      <c r="Z176" s="385">
        <f t="shared" si="59"/>
        <v>40.238739394510006</v>
      </c>
      <c r="AA176" s="386">
        <f t="shared" si="60"/>
        <v>43.527284661246512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7.5551353417282696E-2</v>
      </c>
      <c r="AD176" s="231">
        <f>(INDEX(Models!$BJ176:$BT176,,AH176)*(1-AF176)+INDEX(Models!$BJ176:$BT176,,AH176+1)*AF176-ERP_i)*AE176*Ramure*Pc/MaxiM</f>
        <v>3.1393149191100999E-3</v>
      </c>
      <c r="AE176" s="305">
        <f t="shared" si="62"/>
        <v>0.7</v>
      </c>
      <c r="AF176" s="177">
        <f t="shared" si="63"/>
        <v>0.25491751932092788</v>
      </c>
      <c r="AG176" s="919">
        <f t="shared" si="71"/>
        <v>-1</v>
      </c>
      <c r="AH176" s="176">
        <f t="shared" si="64"/>
        <v>5</v>
      </c>
      <c r="AI176" s="225">
        <f t="shared" si="65"/>
        <v>-0.74508248067907212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8">
        <v>23.728999999999999</v>
      </c>
      <c r="C177" s="390"/>
      <c r="D177" s="393">
        <f t="shared" si="48"/>
        <v>24.122018003976709</v>
      </c>
      <c r="E177" s="385">
        <f t="shared" si="72"/>
        <v>26.095876531717881</v>
      </c>
      <c r="F177" s="385">
        <f t="shared" si="49"/>
        <v>26.11292266114415</v>
      </c>
      <c r="G177" s="110">
        <f t="shared" si="73"/>
        <v>0.44154586995288919</v>
      </c>
      <c r="H177" s="412" t="b">
        <f>Wh_hp&gt;='2019'!Maxi_hp</f>
        <v>0</v>
      </c>
      <c r="I177" s="380">
        <f>IF(H177,Wh_hp,'2019'!Maxi_hp)</f>
        <v>53.061432092137871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1.6292915622230231E-2</v>
      </c>
      <c r="M177" s="957"/>
      <c r="N177" s="957"/>
      <c r="O177" s="48">
        <f>IF(t&lt;Tnet,'2019'!Resal+('2019'!Salim-'2019'!Resal)*(1-EXP(('2019'!Tnet-t)/('2019'!Tau_j))),Resal+(Salim-Resal)*(1-EXP((Tnet-t)/(Tau_j))))*Salcycl</f>
        <v>7.5638713470385741E-2</v>
      </c>
      <c r="P177" s="169">
        <f>(INDEX(Models!$BJ177:$BT177,,T177)*(1-R177)+INDEX(Models!$BJ177:$BT177,,T177+1)*R177-ERP_i)*Q177*Ramure*Pc/MaxiM</f>
        <v>3.2027219447838466E-3</v>
      </c>
      <c r="Q177" s="305">
        <f t="shared" si="51"/>
        <v>0.7</v>
      </c>
      <c r="R177" s="177">
        <f t="shared" si="52"/>
        <v>0.26005829396523383</v>
      </c>
      <c r="S177" s="919">
        <f t="shared" si="53"/>
        <v>-1</v>
      </c>
      <c r="T177" s="176">
        <f t="shared" si="54"/>
        <v>5</v>
      </c>
      <c r="U177" s="251">
        <f t="shared" si="55"/>
        <v>-0.73994170603476617</v>
      </c>
      <c r="V177" s="383">
        <f t="shared" si="56"/>
        <v>53.603610943810025</v>
      </c>
      <c r="W177" s="402"/>
      <c r="X177" s="157">
        <f t="shared" si="57"/>
        <v>43993</v>
      </c>
      <c r="Y177" s="385">
        <f t="shared" si="58"/>
        <v>23.728999999999999</v>
      </c>
      <c r="Z177" s="385">
        <f t="shared" si="59"/>
        <v>24.122018003976709</v>
      </c>
      <c r="AA177" s="386">
        <f t="shared" si="60"/>
        <v>26.095876531717881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7.5638713470385741E-2</v>
      </c>
      <c r="AD177" s="231">
        <f>(INDEX(Models!$BJ177:$BT177,,AH177)*(1-AF177)+INDEX(Models!$BJ177:$BT177,,AH177+1)*AF177-ERP_i)*AE177*Ramure*Pc/MaxiM</f>
        <v>3.2027219447838466E-3</v>
      </c>
      <c r="AE177" s="305">
        <f t="shared" si="62"/>
        <v>0.7</v>
      </c>
      <c r="AF177" s="177">
        <f t="shared" si="63"/>
        <v>0.26005829396523383</v>
      </c>
      <c r="AG177" s="919">
        <f t="shared" si="71"/>
        <v>-1</v>
      </c>
      <c r="AH177" s="176">
        <f t="shared" si="64"/>
        <v>5</v>
      </c>
      <c r="AI177" s="225">
        <f t="shared" si="65"/>
        <v>-0.73994170603476617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8">
        <v>47.293999999999997</v>
      </c>
      <c r="C178" s="390"/>
      <c r="D178" s="393">
        <f t="shared" si="48"/>
        <v>48.078372753187146</v>
      </c>
      <c r="E178" s="385">
        <f t="shared" si="72"/>
        <v>52.017391396927593</v>
      </c>
      <c r="F178" s="385">
        <f t="shared" si="49"/>
        <v>52.159201000992717</v>
      </c>
      <c r="G178" s="110">
        <f t="shared" si="73"/>
        <v>0.88291018379756403</v>
      </c>
      <c r="H178" s="412" t="b">
        <f>Wh_hp&gt;='2019'!Maxi_hp</f>
        <v>0</v>
      </c>
      <c r="I178" s="380">
        <f>IF(H178,Wh_hp,'2019'!Maxi_hp)</f>
        <v>61.924411785677407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1.6314461331995767E-2</v>
      </c>
      <c r="M178" s="957"/>
      <c r="N178" s="957"/>
      <c r="O178" s="48">
        <f>IF(t&lt;Tnet,'2019'!Resal+('2019'!Salim-'2019'!Resal)*(1-EXP(('2019'!Tnet-t)/('2019'!Tau_j))),Resal+(Salim-Resal)*(1-EXP((Tnet-t)/(Tau_j))))*Salcycl</f>
        <v>7.572503230089124E-2</v>
      </c>
      <c r="P178" s="169">
        <f>(INDEX(Models!$BJ178:$BT178,,T178)*(1-R178)+INDEX(Models!$BJ178:$BT178,,T178+1)*R178-ERP_i)*Q178*Ramure*Pc/MaxiM</f>
        <v>3.2622152698954408E-3</v>
      </c>
      <c r="Q178" s="305">
        <f t="shared" si="51"/>
        <v>0.7</v>
      </c>
      <c r="R178" s="177">
        <f t="shared" si="52"/>
        <v>0.26519039991850035</v>
      </c>
      <c r="S178" s="919">
        <f t="shared" si="53"/>
        <v>-1</v>
      </c>
      <c r="T178" s="176">
        <f t="shared" si="54"/>
        <v>5</v>
      </c>
      <c r="U178" s="251">
        <f t="shared" si="55"/>
        <v>-0.73480960008149965</v>
      </c>
      <c r="V178" s="383">
        <f t="shared" si="56"/>
        <v>53.536848668806272</v>
      </c>
      <c r="W178" s="402"/>
      <c r="X178" s="157">
        <f t="shared" si="57"/>
        <v>43994</v>
      </c>
      <c r="Y178" s="385">
        <f t="shared" si="58"/>
        <v>47.293999999999997</v>
      </c>
      <c r="Z178" s="385">
        <f t="shared" si="59"/>
        <v>48.078372753187146</v>
      </c>
      <c r="AA178" s="386">
        <f t="shared" si="60"/>
        <v>52.017391396927593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7.572503230089124E-2</v>
      </c>
      <c r="AD178" s="231">
        <f>(INDEX(Models!$BJ178:$BT178,,AH178)*(1-AF178)+INDEX(Models!$BJ178:$BT178,,AH178+1)*AF178-ERP_i)*AE178*Ramure*Pc/MaxiM</f>
        <v>3.2622152698954408E-3</v>
      </c>
      <c r="AE178" s="305">
        <f t="shared" si="62"/>
        <v>0.7</v>
      </c>
      <c r="AF178" s="177">
        <f t="shared" si="63"/>
        <v>0.26519039991850035</v>
      </c>
      <c r="AG178" s="919">
        <f t="shared" si="71"/>
        <v>-1</v>
      </c>
      <c r="AH178" s="176">
        <f t="shared" si="64"/>
        <v>5</v>
      </c>
      <c r="AI178" s="225">
        <f t="shared" si="65"/>
        <v>-0.73480960008149965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8">
        <v>39.32</v>
      </c>
      <c r="C179" s="390"/>
      <c r="D179" s="393">
        <f t="shared" si="48"/>
        <v>39.97299917717514</v>
      </c>
      <c r="E179" s="385">
        <f t="shared" si="72"/>
        <v>43.251940467397375</v>
      </c>
      <c r="F179" s="385">
        <f t="shared" si="49"/>
        <v>43.341409101653419</v>
      </c>
      <c r="G179" s="110">
        <f t="shared" si="73"/>
        <v>0.73448853102812106</v>
      </c>
      <c r="H179" s="412" t="b">
        <f>Wh_hp&gt;='2019'!Maxi_hp</f>
        <v>1</v>
      </c>
      <c r="I179" s="380">
        <f>IF(H179,Wh_hp,'2019'!Maxi_hp)</f>
        <v>43.341409101653419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1.6336006569855011E-2</v>
      </c>
      <c r="M179" s="957"/>
      <c r="N179" s="957"/>
      <c r="O179" s="48">
        <f>IF(t&lt;Tnet,'2019'!Resal+('2019'!Salim-'2019'!Resal)*(1-EXP(('2019'!Tnet-t)/('2019'!Tau_j))),Resal+(Salim-Resal)*(1-EXP((Tnet-t)/(Tau_j))))*Salcycl</f>
        <v>7.5810270124038723E-2</v>
      </c>
      <c r="P179" s="169">
        <f>(INDEX(Models!$BJ179:$BT179,,T179)*(1-R179)+INDEX(Models!$BJ179:$BT179,,T179+1)*R179-ERP_i)*Q179*Ramure*Pc/MaxiM</f>
        <v>3.3186732154871445E-3</v>
      </c>
      <c r="Q179" s="305">
        <f t="shared" si="51"/>
        <v>0.7</v>
      </c>
      <c r="R179" s="177">
        <f t="shared" si="52"/>
        <v>0.27030953933632618</v>
      </c>
      <c r="S179" s="919">
        <f t="shared" si="53"/>
        <v>-1</v>
      </c>
      <c r="T179" s="176">
        <f t="shared" si="54"/>
        <v>5</v>
      </c>
      <c r="U179" s="251">
        <f t="shared" si="55"/>
        <v>-0.72969046066367382</v>
      </c>
      <c r="V179" s="383">
        <f t="shared" si="56"/>
        <v>53.466559951775132</v>
      </c>
      <c r="W179" s="402"/>
      <c r="X179" s="157">
        <f t="shared" si="57"/>
        <v>43995</v>
      </c>
      <c r="Y179" s="385">
        <f t="shared" si="58"/>
        <v>39.32</v>
      </c>
      <c r="Z179" s="385">
        <f t="shared" si="59"/>
        <v>39.97299917717514</v>
      </c>
      <c r="AA179" s="386">
        <f t="shared" si="60"/>
        <v>43.251940467397375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7.5810270124038723E-2</v>
      </c>
      <c r="AD179" s="231">
        <f>(INDEX(Models!$BJ179:$BT179,,AH179)*(1-AF179)+INDEX(Models!$BJ179:$BT179,,AH179+1)*AF179-ERP_i)*AE179*Ramure*Pc/MaxiM</f>
        <v>3.3186732154871445E-3</v>
      </c>
      <c r="AE179" s="305">
        <f t="shared" si="62"/>
        <v>0.7</v>
      </c>
      <c r="AF179" s="177">
        <f t="shared" si="63"/>
        <v>0.27030953933632618</v>
      </c>
      <c r="AG179" s="919">
        <f t="shared" si="71"/>
        <v>-1</v>
      </c>
      <c r="AH179" s="176">
        <f t="shared" si="64"/>
        <v>5</v>
      </c>
      <c r="AI179" s="225">
        <f t="shared" si="65"/>
        <v>-0.72969046066367382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8">
        <v>42.286000000000001</v>
      </c>
      <c r="C180" s="390"/>
      <c r="D180" s="393">
        <f t="shared" si="48"/>
        <v>42.989198013389675</v>
      </c>
      <c r="E180" s="385">
        <f t="shared" si="72"/>
        <v>46.519789042653656</v>
      </c>
      <c r="F180" s="385">
        <f t="shared" si="49"/>
        <v>46.630297293944871</v>
      </c>
      <c r="G180" s="110">
        <f t="shared" si="73"/>
        <v>0.7911788119411115</v>
      </c>
      <c r="H180" s="412" t="b">
        <f>Wh_hp&gt;='2019'!Maxi_hp</f>
        <v>1</v>
      </c>
      <c r="I180" s="380">
        <f>IF(H180,Wh_hp,'2019'!Maxi_hp)</f>
        <v>46.630297293944871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1.6357551335818177E-2</v>
      </c>
      <c r="M180" s="957"/>
      <c r="N180" s="957"/>
      <c r="O180" s="48">
        <f>IF(t&lt;Tnet,'2019'!Resal+('2019'!Salim-'2019'!Resal)*(1-EXP(('2019'!Tnet-t)/('2019'!Tau_j))),Resal+(Salim-Resal)*(1-EXP((Tnet-t)/(Tau_j))))*Salcycl</f>
        <v>7.5894390364212694E-2</v>
      </c>
      <c r="P180" s="169">
        <f>(INDEX(Models!$BJ180:$BT180,,T180)*(1-R180)+INDEX(Models!$BJ180:$BT180,,T180+1)*R180-ERP_i)*Q180*Ramure*Pc/MaxiM</f>
        <v>3.3719578043903734E-3</v>
      </c>
      <c r="Q180" s="305">
        <f t="shared" si="51"/>
        <v>0.7</v>
      </c>
      <c r="R180" s="177">
        <f t="shared" si="52"/>
        <v>0.27541145788346633</v>
      </c>
      <c r="S180" s="919">
        <f t="shared" si="53"/>
        <v>-1</v>
      </c>
      <c r="T180" s="176">
        <f t="shared" si="54"/>
        <v>5</v>
      </c>
      <c r="U180" s="251">
        <f t="shared" si="55"/>
        <v>-0.72458854211653367</v>
      </c>
      <c r="V180" s="383">
        <f t="shared" si="56"/>
        <v>53.393145619320286</v>
      </c>
      <c r="W180" s="402"/>
      <c r="X180" s="157">
        <f t="shared" si="57"/>
        <v>43996</v>
      </c>
      <c r="Y180" s="385">
        <f t="shared" si="58"/>
        <v>42.286000000000001</v>
      </c>
      <c r="Z180" s="385">
        <f t="shared" si="59"/>
        <v>42.989198013389675</v>
      </c>
      <c r="AA180" s="386">
        <f t="shared" si="60"/>
        <v>46.519789042653656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7.5894390364212694E-2</v>
      </c>
      <c r="AD180" s="231">
        <f>(INDEX(Models!$BJ180:$BT180,,AH180)*(1-AF180)+INDEX(Models!$BJ180:$BT180,,AH180+1)*AF180-ERP_i)*AE180*Ramure*Pc/MaxiM</f>
        <v>3.3719578043903734E-3</v>
      </c>
      <c r="AE180" s="305">
        <f t="shared" si="62"/>
        <v>0.7</v>
      </c>
      <c r="AF180" s="177">
        <f t="shared" si="63"/>
        <v>0.27541145788346633</v>
      </c>
      <c r="AG180" s="919">
        <f t="shared" si="71"/>
        <v>-1</v>
      </c>
      <c r="AH180" s="176">
        <f t="shared" si="64"/>
        <v>5</v>
      </c>
      <c r="AI180" s="225">
        <f t="shared" si="65"/>
        <v>-0.72458854211653367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8">
        <v>43.646999999999998</v>
      </c>
      <c r="C181" s="390"/>
      <c r="D181" s="393">
        <f t="shared" si="48"/>
        <v>44.373802758849322</v>
      </c>
      <c r="E181" s="385">
        <f t="shared" si="72"/>
        <v>48.022419394934666</v>
      </c>
      <c r="F181" s="385">
        <f t="shared" si="49"/>
        <v>48.144480946151901</v>
      </c>
      <c r="G181" s="110">
        <f t="shared" si="73"/>
        <v>0.81790421056677243</v>
      </c>
      <c r="H181" s="412" t="b">
        <f>Wh_hp&gt;='2019'!Maxi_hp</f>
        <v>0</v>
      </c>
      <c r="I181" s="380">
        <f>IF(H181,Wh_hp,'2019'!Maxi_hp)</f>
        <v>59.636866753529013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1.6379095629895701E-2</v>
      </c>
      <c r="M181" s="957"/>
      <c r="N181" s="957"/>
      <c r="O181" s="48">
        <f>IF(t&lt;Tnet,'2019'!Resal+('2019'!Salim-'2019'!Resal)*(1-EXP(('2019'!Tnet-t)/('2019'!Tau_j))),Resal+(Salim-Resal)*(1-EXP((Tnet-t)/(Tau_j))))*Salcycl</f>
        <v>7.5977359784380166E-2</v>
      </c>
      <c r="P181" s="169">
        <f>(INDEX(Models!$BJ181:$BT181,,T181)*(1-R181)+INDEX(Models!$BJ181:$BT181,,T181+1)*R181-ERP_i)*Q181*Ramure*Pc/MaxiM</f>
        <v>3.4219307731138716E-3</v>
      </c>
      <c r="Q181" s="305">
        <f t="shared" si="51"/>
        <v>0.7</v>
      </c>
      <c r="R181" s="177">
        <f t="shared" si="52"/>
        <v>0.28049195875373822</v>
      </c>
      <c r="S181" s="919">
        <f t="shared" si="53"/>
        <v>-1</v>
      </c>
      <c r="T181" s="176">
        <f t="shared" si="54"/>
        <v>5</v>
      </c>
      <c r="U181" s="251">
        <f t="shared" si="55"/>
        <v>-0.71950804124626178</v>
      </c>
      <c r="V181" s="383">
        <f t="shared" si="56"/>
        <v>53.317005917738747</v>
      </c>
      <c r="W181" s="402"/>
      <c r="X181" s="157">
        <f t="shared" si="57"/>
        <v>43997</v>
      </c>
      <c r="Y181" s="385">
        <f t="shared" si="58"/>
        <v>43.646999999999998</v>
      </c>
      <c r="Z181" s="385">
        <f t="shared" si="59"/>
        <v>44.373802758849322</v>
      </c>
      <c r="AA181" s="386">
        <f t="shared" si="60"/>
        <v>48.022419394934666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7.5977359784380166E-2</v>
      </c>
      <c r="AD181" s="231">
        <f>(INDEX(Models!$BJ181:$BT181,,AH181)*(1-AF181)+INDEX(Models!$BJ181:$BT181,,AH181+1)*AF181-ERP_i)*AE181*Ramure*Pc/MaxiM</f>
        <v>3.4219307731138716E-3</v>
      </c>
      <c r="AE181" s="305">
        <f t="shared" si="62"/>
        <v>0.7</v>
      </c>
      <c r="AF181" s="177">
        <f t="shared" si="63"/>
        <v>0.28049195875373822</v>
      </c>
      <c r="AG181" s="919">
        <f t="shared" si="71"/>
        <v>-1</v>
      </c>
      <c r="AH181" s="176">
        <f t="shared" si="64"/>
        <v>5</v>
      </c>
      <c r="AI181" s="225">
        <f t="shared" si="65"/>
        <v>-0.71950804124626178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8">
        <v>28.311</v>
      </c>
      <c r="C182" s="390"/>
      <c r="D182" s="393">
        <f t="shared" si="48"/>
        <v>28.78306059921562</v>
      </c>
      <c r="E182" s="385">
        <f t="shared" si="72"/>
        <v>31.152492668263864</v>
      </c>
      <c r="F182" s="385">
        <f t="shared" si="49"/>
        <v>31.18831047558507</v>
      </c>
      <c r="G182" s="110">
        <f t="shared" si="73"/>
        <v>0.53054126222634534</v>
      </c>
      <c r="H182" s="412" t="b">
        <f>Wh_hp&gt;='2019'!Maxi_hp</f>
        <v>0</v>
      </c>
      <c r="I182" s="380">
        <f>IF(H182,Wh_hp,'2019'!Maxi_hp)</f>
        <v>58.647204437041879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1.6400639452097909E-2</v>
      </c>
      <c r="M182" s="957"/>
      <c r="N182" s="957"/>
      <c r="O182" s="48">
        <f>IF(t&lt;Tnet,'2019'!Resal+('2019'!Salim-'2019'!Resal)*(1-EXP(('2019'!Tnet-t)/('2019'!Tau_j))),Resal+(Salim-Resal)*(1-EXP((Tnet-t)/(Tau_j))))*Salcycl</f>
        <v>7.6059148597828516E-2</v>
      </c>
      <c r="P182" s="169">
        <f>(INDEX(Models!$BJ182:$BT182,,T182)*(1-R182)+INDEX(Models!$BJ182:$BT182,,T182+1)*R182-ERP_i)*Q182*Ramure*Pc/MaxiM</f>
        <v>3.4684541118297544E-3</v>
      </c>
      <c r="Q182" s="305">
        <f t="shared" si="51"/>
        <v>0.7</v>
      </c>
      <c r="R182" s="177">
        <f t="shared" si="52"/>
        <v>0.2855469162833979</v>
      </c>
      <c r="S182" s="919">
        <f t="shared" si="53"/>
        <v>-1</v>
      </c>
      <c r="T182" s="176">
        <f t="shared" si="54"/>
        <v>5</v>
      </c>
      <c r="U182" s="251">
        <f t="shared" si="55"/>
        <v>-0.7144530837166021</v>
      </c>
      <c r="V182" s="383">
        <f t="shared" si="56"/>
        <v>53.238540498197196</v>
      </c>
      <c r="W182" s="402"/>
      <c r="X182" s="157">
        <f t="shared" si="57"/>
        <v>43998</v>
      </c>
      <c r="Y182" s="385">
        <f t="shared" si="58"/>
        <v>28.311</v>
      </c>
      <c r="Z182" s="385">
        <f t="shared" si="59"/>
        <v>28.78306059921562</v>
      </c>
      <c r="AA182" s="386">
        <f t="shared" si="60"/>
        <v>31.152492668263864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7.6059148597828516E-2</v>
      </c>
      <c r="AD182" s="231">
        <f>(INDEX(Models!$BJ182:$BT182,,AH182)*(1-AF182)+INDEX(Models!$BJ182:$BT182,,AH182+1)*AF182-ERP_i)*AE182*Ramure*Pc/MaxiM</f>
        <v>3.4684541118297544E-3</v>
      </c>
      <c r="AE182" s="305">
        <f t="shared" si="62"/>
        <v>0.7</v>
      </c>
      <c r="AF182" s="177">
        <f t="shared" si="63"/>
        <v>0.2855469162833979</v>
      </c>
      <c r="AG182" s="919">
        <f t="shared" si="71"/>
        <v>-1</v>
      </c>
      <c r="AH182" s="176">
        <f t="shared" si="64"/>
        <v>5</v>
      </c>
      <c r="AI182" s="225">
        <f t="shared" si="65"/>
        <v>-0.7144530837166021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8">
        <v>47.500999999999998</v>
      </c>
      <c r="C183" s="390"/>
      <c r="D183" s="393">
        <f t="shared" si="48"/>
        <v>48.294094447291485</v>
      </c>
      <c r="E183" s="385">
        <f t="shared" si="72"/>
        <v>52.274241078291553</v>
      </c>
      <c r="F183" s="385">
        <f t="shared" si="49"/>
        <v>52.430355261343962</v>
      </c>
      <c r="G183" s="110">
        <f t="shared" si="73"/>
        <v>0.89310045415227979</v>
      </c>
      <c r="H183" s="412" t="b">
        <f>Wh_hp&gt;='2019'!Maxi_hp</f>
        <v>0</v>
      </c>
      <c r="I183" s="380">
        <f>IF(H183,Wh_hp,'2019'!Maxi_hp)</f>
        <v>56.677985927992459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1.6422182802435126E-2</v>
      </c>
      <c r="M183" s="957"/>
      <c r="N183" s="957"/>
      <c r="O183" s="48">
        <f>IF(t&lt;Tnet,'2019'!Resal+('2019'!Salim-'2019'!Resal)*(1-EXP(('2019'!Tnet-t)/('2019'!Tau_j))),Resal+(Salim-Resal)*(1-EXP((Tnet-t)/(Tau_j))))*Salcycl</f>
        <v>7.6139730561347915E-2</v>
      </c>
      <c r="P183" s="169">
        <f>(INDEX(Models!$BJ183:$BT183,,T183)*(1-R183)+INDEX(Models!$BJ183:$BT183,,T183+1)*R183-ERP_i)*Q183*Ramure*Pc/MaxiM</f>
        <v>3.5113906018362038E-3</v>
      </c>
      <c r="Q183" s="305">
        <f t="shared" si="51"/>
        <v>0.7</v>
      </c>
      <c r="R183" s="177">
        <f t="shared" si="52"/>
        <v>0.2905722890656699</v>
      </c>
      <c r="S183" s="919">
        <f t="shared" si="53"/>
        <v>-1</v>
      </c>
      <c r="T183" s="176">
        <f t="shared" si="54"/>
        <v>5</v>
      </c>
      <c r="U183" s="251">
        <f t="shared" si="55"/>
        <v>-0.7094277109343301</v>
      </c>
      <c r="V183" s="383">
        <f t="shared" si="56"/>
        <v>53.158148390910732</v>
      </c>
      <c r="W183" s="402"/>
      <c r="X183" s="157">
        <f t="shared" si="57"/>
        <v>43999</v>
      </c>
      <c r="Y183" s="385">
        <f t="shared" si="58"/>
        <v>47.500999999999998</v>
      </c>
      <c r="Z183" s="385">
        <f t="shared" si="59"/>
        <v>48.294094447291485</v>
      </c>
      <c r="AA183" s="386">
        <f t="shared" si="60"/>
        <v>52.274241078291553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7.6139730561347915E-2</v>
      </c>
      <c r="AD183" s="231">
        <f>(INDEX(Models!$BJ183:$BT183,,AH183)*(1-AF183)+INDEX(Models!$BJ183:$BT183,,AH183+1)*AF183-ERP_i)*AE183*Ramure*Pc/MaxiM</f>
        <v>3.5113906018362038E-3</v>
      </c>
      <c r="AE183" s="305">
        <f t="shared" si="62"/>
        <v>0.7</v>
      </c>
      <c r="AF183" s="177">
        <f t="shared" si="63"/>
        <v>0.2905722890656699</v>
      </c>
      <c r="AG183" s="919">
        <f t="shared" si="71"/>
        <v>-1</v>
      </c>
      <c r="AH183" s="176">
        <f t="shared" si="64"/>
        <v>5</v>
      </c>
      <c r="AI183" s="225">
        <f t="shared" si="65"/>
        <v>-0.7094277109343301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8">
        <v>35.881</v>
      </c>
      <c r="C184" s="390"/>
      <c r="D184" s="393">
        <f t="shared" si="48"/>
        <v>36.480881609789414</v>
      </c>
      <c r="E184" s="385">
        <f t="shared" si="72"/>
        <v>39.490836994341137</v>
      </c>
      <c r="F184" s="385">
        <f t="shared" si="49"/>
        <v>39.5662753214582</v>
      </c>
      <c r="G184" s="110">
        <f t="shared" si="73"/>
        <v>0.67491419982758138</v>
      </c>
      <c r="H184" s="412" t="b">
        <f>Wh_hp&gt;='2019'!Maxi_hp</f>
        <v>0</v>
      </c>
      <c r="I184" s="380">
        <f>IF(H184,Wh_hp,'2019'!Maxi_hp)</f>
        <v>49.581737815799464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1.6443725680917676E-2</v>
      </c>
      <c r="M184" s="957"/>
      <c r="N184" s="957"/>
      <c r="O184" s="48">
        <f>IF(t&lt;Tnet,'2019'!Resal+('2019'!Salim-'2019'!Resal)*(1-EXP(('2019'!Tnet-t)/('2019'!Tau_j))),Resal+(Salim-Resal)*(1-EXP((Tnet-t)/(Tau_j))))*Salcycl</f>
        <v>7.6219083049139602E-2</v>
      </c>
      <c r="P184" s="169">
        <f>(INDEX(Models!$BJ184:$BT184,,T184)*(1-R184)+INDEX(Models!$BJ184:$BT184,,T184+1)*R184-ERP_i)*Q184*Ramure*Pc/MaxiM</f>
        <v>3.5493276294617762E-3</v>
      </c>
      <c r="Q184" s="305">
        <f t="shared" si="51"/>
        <v>0.7</v>
      </c>
      <c r="R184" s="177">
        <f t="shared" si="52"/>
        <v>0.2955641324800824</v>
      </c>
      <c r="S184" s="919">
        <f t="shared" si="53"/>
        <v>-1</v>
      </c>
      <c r="T184" s="176">
        <f t="shared" si="54"/>
        <v>5</v>
      </c>
      <c r="U184" s="251">
        <f t="shared" si="55"/>
        <v>-0.7044358675199176</v>
      </c>
      <c r="V184" s="383">
        <f t="shared" si="56"/>
        <v>53.076295999033803</v>
      </c>
      <c r="W184" s="402"/>
      <c r="X184" s="157">
        <f t="shared" si="57"/>
        <v>44000</v>
      </c>
      <c r="Y184" s="385">
        <f t="shared" si="58"/>
        <v>35.881</v>
      </c>
      <c r="Z184" s="385">
        <f t="shared" si="59"/>
        <v>36.480881609789414</v>
      </c>
      <c r="AA184" s="386">
        <f t="shared" si="60"/>
        <v>39.490836994341137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7.6219083049139602E-2</v>
      </c>
      <c r="AD184" s="231">
        <f>(INDEX(Models!$BJ184:$BT184,,AH184)*(1-AF184)+INDEX(Models!$BJ184:$BT184,,AH184+1)*AF184-ERP_i)*AE184*Ramure*Pc/MaxiM</f>
        <v>3.5493276294617762E-3</v>
      </c>
      <c r="AE184" s="305">
        <f t="shared" si="62"/>
        <v>0.7</v>
      </c>
      <c r="AF184" s="177">
        <f t="shared" si="63"/>
        <v>0.2955641324800824</v>
      </c>
      <c r="AG184" s="919">
        <f t="shared" si="71"/>
        <v>-1</v>
      </c>
      <c r="AH184" s="176">
        <f t="shared" si="64"/>
        <v>5</v>
      </c>
      <c r="AI184" s="225">
        <f t="shared" si="65"/>
        <v>-0.7044358675199176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8">
        <v>45.969000000000001</v>
      </c>
      <c r="C185" s="390"/>
      <c r="D185" s="393">
        <f t="shared" si="48"/>
        <v>46.738562969316924</v>
      </c>
      <c r="E185" s="385">
        <f t="shared" si="72"/>
        <v>50.599134610110475</v>
      </c>
      <c r="F185" s="385">
        <f t="shared" si="49"/>
        <v>50.746590499850917</v>
      </c>
      <c r="G185" s="110">
        <f t="shared" si="73"/>
        <v>0.86685950664329636</v>
      </c>
      <c r="H185" s="412" t="b">
        <f>Wh_hp&gt;='2019'!Maxi_hp</f>
        <v>1</v>
      </c>
      <c r="I185" s="380">
        <f>IF(H185,Wh_hp,'2019'!Maxi_hp)</f>
        <v>50.746590499850917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1.6465268087555995E-2</v>
      </c>
      <c r="M185" s="957"/>
      <c r="N185" s="957"/>
      <c r="O185" s="48">
        <f>IF(t&lt;Tnet,'2019'!Resal+('2019'!Salim-'2019'!Resal)*(1-EXP(('2019'!Tnet-t)/('2019'!Tau_j))),Resal+(Salim-Resal)*(1-EXP((Tnet-t)/(Tau_j))))*Salcycl</f>
        <v>7.62971871068749E-2</v>
      </c>
      <c r="P185" s="169">
        <f>(INDEX(Models!$BJ185:$BT185,,T185)*(1-R185)+INDEX(Models!$BJ185:$BT185,,T185+1)*R185-ERP_i)*Q185*Ramure*Pc/MaxiM</f>
        <v>3.5844761438040794E-3</v>
      </c>
      <c r="Q185" s="305">
        <f t="shared" si="51"/>
        <v>0.7</v>
      </c>
      <c r="R185" s="177">
        <f t="shared" si="52"/>
        <v>0.30051861055716467</v>
      </c>
      <c r="S185" s="919">
        <f t="shared" si="53"/>
        <v>-1</v>
      </c>
      <c r="T185" s="176">
        <f t="shared" si="54"/>
        <v>5</v>
      </c>
      <c r="U185" s="251">
        <f t="shared" si="55"/>
        <v>-0.69948138944283533</v>
      </c>
      <c r="V185" s="383">
        <f t="shared" si="56"/>
        <v>52.993256045699141</v>
      </c>
      <c r="W185" s="402"/>
      <c r="X185" s="157">
        <f t="shared" si="57"/>
        <v>44001</v>
      </c>
      <c r="Y185" s="385">
        <f t="shared" si="58"/>
        <v>45.969000000000001</v>
      </c>
      <c r="Z185" s="385">
        <f t="shared" si="59"/>
        <v>46.738562969316924</v>
      </c>
      <c r="AA185" s="386">
        <f t="shared" si="60"/>
        <v>50.599134610110475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7.62971871068749E-2</v>
      </c>
      <c r="AD185" s="231">
        <f>(INDEX(Models!$BJ185:$BT185,,AH185)*(1-AF185)+INDEX(Models!$BJ185:$BT185,,AH185+1)*AF185-ERP_i)*AE185*Ramure*Pc/MaxiM</f>
        <v>3.5844761438040794E-3</v>
      </c>
      <c r="AE185" s="305">
        <f t="shared" si="62"/>
        <v>0.7</v>
      </c>
      <c r="AF185" s="177">
        <f t="shared" si="63"/>
        <v>0.30051861055716467</v>
      </c>
      <c r="AG185" s="919">
        <f t="shared" si="71"/>
        <v>-1</v>
      </c>
      <c r="AH185" s="176">
        <f t="shared" si="64"/>
        <v>5</v>
      </c>
      <c r="AI185" s="225">
        <f t="shared" si="65"/>
        <v>-0.69948138944283533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8">
        <v>45.533999999999999</v>
      </c>
      <c r="C186" s="390"/>
      <c r="D186" s="393">
        <f t="shared" si="48"/>
        <v>46.297294702306147</v>
      </c>
      <c r="E186" s="385">
        <f t="shared" si="72"/>
        <v>50.125587716274836</v>
      </c>
      <c r="F186" s="385">
        <f t="shared" si="49"/>
        <v>50.271199376554243</v>
      </c>
      <c r="G186" s="110">
        <f t="shared" si="73"/>
        <v>0.85998120772133302</v>
      </c>
      <c r="H186" s="412" t="b">
        <f>Wh_hp&gt;='2019'!Maxi_hp</f>
        <v>1</v>
      </c>
      <c r="I186" s="380">
        <f>IF(H186,Wh_hp,'2019'!Maxi_hp)</f>
        <v>50.271199376554243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1.6486810022360188E-2</v>
      </c>
      <c r="M186" s="957"/>
      <c r="N186" s="957"/>
      <c r="O186" s="48">
        <f>IF(t&lt;Tnet,'2019'!Resal+('2019'!Salim-'2019'!Resal)*(1-EXP(('2019'!Tnet-t)/('2019'!Tau_j))),Resal+(Salim-Resal)*(1-EXP((Tnet-t)/(Tau_j))))*Salcycl</f>
        <v>7.6374027485481513E-2</v>
      </c>
      <c r="P186" s="169">
        <f>(INDEX(Models!$BJ186:$BT186,,T186)*(1-R186)+INDEX(Models!$BJ186:$BT186,,T186+1)*R186-ERP_i)*Q186*Ramure*Pc/MaxiM</f>
        <v>3.6167596461598559E-3</v>
      </c>
      <c r="Q186" s="305">
        <f t="shared" si="51"/>
        <v>0.7</v>
      </c>
      <c r="R186" s="177">
        <f t="shared" si="52"/>
        <v>0.30543200710679141</v>
      </c>
      <c r="S186" s="919">
        <f t="shared" si="53"/>
        <v>-1</v>
      </c>
      <c r="T186" s="176">
        <f t="shared" si="54"/>
        <v>5</v>
      </c>
      <c r="U186" s="251">
        <f t="shared" si="55"/>
        <v>-0.69456799289320859</v>
      </c>
      <c r="V186" s="383">
        <f t="shared" si="56"/>
        <v>52.909422956239126</v>
      </c>
      <c r="W186" s="402"/>
      <c r="X186" s="157">
        <f t="shared" si="57"/>
        <v>44002</v>
      </c>
      <c r="Y186" s="385">
        <f t="shared" si="58"/>
        <v>45.533999999999999</v>
      </c>
      <c r="Z186" s="385">
        <f t="shared" si="59"/>
        <v>46.297294702306147</v>
      </c>
      <c r="AA186" s="386">
        <f t="shared" si="60"/>
        <v>50.125587716274836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7.6374027485481513E-2</v>
      </c>
      <c r="AD186" s="231">
        <f>(INDEX(Models!$BJ186:$BT186,,AH186)*(1-AF186)+INDEX(Models!$BJ186:$BT186,,AH186+1)*AF186-ERP_i)*AE186*Ramure*Pc/MaxiM</f>
        <v>3.6167596461598559E-3</v>
      </c>
      <c r="AE186" s="305">
        <f t="shared" si="62"/>
        <v>0.7</v>
      </c>
      <c r="AF186" s="177">
        <f t="shared" si="63"/>
        <v>0.30543200710679141</v>
      </c>
      <c r="AG186" s="919">
        <f t="shared" si="71"/>
        <v>-1</v>
      </c>
      <c r="AH186" s="176">
        <f t="shared" si="64"/>
        <v>5</v>
      </c>
      <c r="AI186" s="225">
        <f t="shared" si="65"/>
        <v>-0.69456799289320859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8">
        <v>53.079000000000001</v>
      </c>
      <c r="C187" s="390"/>
      <c r="D187" s="393">
        <f t="shared" si="48"/>
        <v>53.969954986566258</v>
      </c>
      <c r="E187" s="385">
        <f t="shared" si="72"/>
        <v>58.437476240936299</v>
      </c>
      <c r="F187" s="385">
        <f t="shared" si="49"/>
        <v>58.651325061036623</v>
      </c>
      <c r="G187" s="110">
        <f t="shared" si="73"/>
        <v>1.0048047047680615</v>
      </c>
      <c r="H187" s="412" t="b">
        <f>Wh_hp&gt;='2019'!Maxi_hp</f>
        <v>1</v>
      </c>
      <c r="I187" s="380">
        <f>IF(H187,Wh_hp,'2019'!Maxi_hp)</f>
        <v>58.651325061036623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1.65083514853408E-2</v>
      </c>
      <c r="M187" s="957"/>
      <c r="N187" s="957"/>
      <c r="O187" s="48">
        <f>IF(t&lt;Tnet,'2019'!Resal+('2019'!Salim-'2019'!Resal)*(1-EXP(('2019'!Tnet-t)/('2019'!Tau_j))),Resal+(Salim-Resal)*(1-EXP((Tnet-t)/(Tau_j))))*Salcycl</f>
        <v>7.6449592654387735E-2</v>
      </c>
      <c r="P187" s="169">
        <f>(INDEX(Models!$BJ187:$BT187,,T187)*(1-R187)+INDEX(Models!$BJ187:$BT187,,T187+1)*R187-ERP_i)*Q187*Ramure*Pc/MaxiM</f>
        <v>3.6461038156901074E-3</v>
      </c>
      <c r="Q187" s="305">
        <f t="shared" si="51"/>
        <v>0.7</v>
      </c>
      <c r="R187" s="177">
        <f t="shared" si="52"/>
        <v>0.31030073604687902</v>
      </c>
      <c r="S187" s="919">
        <f t="shared" si="53"/>
        <v>-1</v>
      </c>
      <c r="T187" s="176">
        <f t="shared" si="54"/>
        <v>5</v>
      </c>
      <c r="U187" s="251">
        <f t="shared" si="55"/>
        <v>-0.68969926395312098</v>
      </c>
      <c r="V187" s="383">
        <f t="shared" si="56"/>
        <v>52.825190555066314</v>
      </c>
      <c r="W187" s="402"/>
      <c r="X187" s="157">
        <f t="shared" si="57"/>
        <v>44003</v>
      </c>
      <c r="Y187" s="385">
        <f t="shared" si="58"/>
        <v>53.079000000000001</v>
      </c>
      <c r="Z187" s="385">
        <f t="shared" si="59"/>
        <v>53.969954986566258</v>
      </c>
      <c r="AA187" s="386">
        <f t="shared" si="60"/>
        <v>58.437476240936299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7.6449592654387735E-2</v>
      </c>
      <c r="AD187" s="231">
        <f>(INDEX(Models!$BJ187:$BT187,,AH187)*(1-AF187)+INDEX(Models!$BJ187:$BT187,,AH187+1)*AF187-ERP_i)*AE187*Ramure*Pc/MaxiM</f>
        <v>3.6461038156901074E-3</v>
      </c>
      <c r="AE187" s="305">
        <f t="shared" si="62"/>
        <v>0.7</v>
      </c>
      <c r="AF187" s="177">
        <f t="shared" si="63"/>
        <v>0.31030073604687902</v>
      </c>
      <c r="AG187" s="919">
        <f t="shared" si="71"/>
        <v>-1</v>
      </c>
      <c r="AH187" s="176">
        <f t="shared" si="64"/>
        <v>5</v>
      </c>
      <c r="AI187" s="225">
        <f t="shared" si="65"/>
        <v>-0.68969926395312098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8">
        <v>44.581000000000003</v>
      </c>
      <c r="C188" s="390"/>
      <c r="D188" s="393">
        <f t="shared" si="48"/>
        <v>45.330305068713137</v>
      </c>
      <c r="E188" s="385">
        <f t="shared" si="72"/>
        <v>49.08660205872345</v>
      </c>
      <c r="F188" s="385">
        <f t="shared" si="49"/>
        <v>49.227427285992064</v>
      </c>
      <c r="G188" s="110">
        <f t="shared" si="73"/>
        <v>0.84459431787523254</v>
      </c>
      <c r="H188" s="412" t="b">
        <f>Wh_hp&gt;='2019'!Maxi_hp</f>
        <v>0</v>
      </c>
      <c r="I188" s="380">
        <f>IF(H188,Wh_hp,'2019'!Maxi_hp)</f>
        <v>52.717054573900171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1.6529892476508046E-2</v>
      </c>
      <c r="M188" s="957"/>
      <c r="N188" s="957"/>
      <c r="O188" s="48">
        <f>IF(t&lt;Tnet,'2019'!Resal+('2019'!Salim-'2019'!Resal)*(1-EXP(('2019'!Tnet-t)/('2019'!Tau_j))),Resal+(Salim-Resal)*(1-EXP((Tnet-t)/(Tau_j))))*Salcycl</f>
        <v>7.6523874794115238E-2</v>
      </c>
      <c r="P188" s="169">
        <f>(INDEX(Models!$BJ188:$BT188,,T188)*(1-R188)+INDEX(Models!$BJ188:$BT188,,T188+1)*R188-ERP_i)*Q188*Ramure*Pc/MaxiM</f>
        <v>3.6723992041870425E-3</v>
      </c>
      <c r="Q188" s="305">
        <f t="shared" si="51"/>
        <v>0.7</v>
      </c>
      <c r="R188" s="177">
        <f t="shared" si="52"/>
        <v>0.315121350878101</v>
      </c>
      <c r="S188" s="919">
        <f t="shared" si="53"/>
        <v>-1</v>
      </c>
      <c r="T188" s="176">
        <f t="shared" si="54"/>
        <v>5</v>
      </c>
      <c r="U188" s="251">
        <f t="shared" si="55"/>
        <v>-0.684878649121899</v>
      </c>
      <c r="V188" s="383">
        <f t="shared" si="56"/>
        <v>52.7409540599255</v>
      </c>
      <c r="W188" s="402"/>
      <c r="X188" s="157">
        <f t="shared" si="57"/>
        <v>44004</v>
      </c>
      <c r="Y188" s="385">
        <f t="shared" si="58"/>
        <v>44.581000000000003</v>
      </c>
      <c r="Z188" s="385">
        <f t="shared" si="59"/>
        <v>45.330305068713137</v>
      </c>
      <c r="AA188" s="386">
        <f t="shared" si="60"/>
        <v>49.08660205872345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7.6523874794115238E-2</v>
      </c>
      <c r="AD188" s="231">
        <f>(INDEX(Models!$BJ188:$BT188,,AH188)*(1-AF188)+INDEX(Models!$BJ188:$BT188,,AH188+1)*AF188-ERP_i)*AE188*Ramure*Pc/MaxiM</f>
        <v>3.6723992041870425E-3</v>
      </c>
      <c r="AE188" s="305">
        <f t="shared" si="62"/>
        <v>0.7</v>
      </c>
      <c r="AF188" s="177">
        <f t="shared" si="63"/>
        <v>0.315121350878101</v>
      </c>
      <c r="AG188" s="919">
        <f t="shared" si="71"/>
        <v>-1</v>
      </c>
      <c r="AH188" s="176">
        <f t="shared" si="64"/>
        <v>5</v>
      </c>
      <c r="AI188" s="225">
        <f t="shared" si="65"/>
        <v>-0.684878649121899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8">
        <v>52.369</v>
      </c>
      <c r="C189" s="390"/>
      <c r="D189" s="393">
        <f t="shared" si="48"/>
        <v>53.250369929900152</v>
      </c>
      <c r="E189" s="385">
        <f t="shared" si="72"/>
        <v>57.667521569411299</v>
      </c>
      <c r="F189" s="385">
        <f t="shared" si="49"/>
        <v>57.879746381610467</v>
      </c>
      <c r="G189" s="110">
        <f t="shared" si="73"/>
        <v>0.99449976423691944</v>
      </c>
      <c r="H189" s="412" t="b">
        <f>Wh_hp&gt;='2019'!Maxi_hp</f>
        <v>1</v>
      </c>
      <c r="I189" s="380">
        <f>IF(H189,Wh_hp,'2019'!Maxi_hp)</f>
        <v>57.879746381610467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1.6551432995872251E-2</v>
      </c>
      <c r="M189" s="957"/>
      <c r="N189" s="957"/>
      <c r="O189" s="48">
        <f>IF(t&lt;Tnet,'2019'!Resal+('2019'!Salim-'2019'!Resal)*(1-EXP(('2019'!Tnet-t)/('2019'!Tau_j))),Resal+(Salim-Resal)*(1-EXP((Tnet-t)/(Tau_j))))*Salcycl</f>
        <v>7.659686976827082E-2</v>
      </c>
      <c r="P189" s="169">
        <f>(INDEX(Models!$BJ189:$BT189,,T189)*(1-R189)+INDEX(Models!$BJ189:$BT189,,T189+1)*R189-ERP_i)*Q189*Ramure*Pc/MaxiM</f>
        <v>3.695536073419394E-3</v>
      </c>
      <c r="Q189" s="305">
        <f t="shared" si="51"/>
        <v>0.7</v>
      </c>
      <c r="R189" s="177">
        <f t="shared" si="52"/>
        <v>0.31989055325964333</v>
      </c>
      <c r="S189" s="919">
        <f t="shared" si="53"/>
        <v>-1</v>
      </c>
      <c r="T189" s="176">
        <f t="shared" si="54"/>
        <v>5</v>
      </c>
      <c r="U189" s="251">
        <f t="shared" si="55"/>
        <v>-0.68010944674035667</v>
      </c>
      <c r="V189" s="383">
        <f t="shared" si="56"/>
        <v>52.657108244527436</v>
      </c>
      <c r="W189" s="402"/>
      <c r="X189" s="157">
        <f t="shared" si="57"/>
        <v>44005</v>
      </c>
      <c r="Y189" s="385">
        <f t="shared" si="58"/>
        <v>52.369</v>
      </c>
      <c r="Z189" s="385">
        <f t="shared" si="59"/>
        <v>53.250369929900152</v>
      </c>
      <c r="AA189" s="386">
        <f t="shared" si="60"/>
        <v>57.667521569411299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7.659686976827082E-2</v>
      </c>
      <c r="AD189" s="231">
        <f>(INDEX(Models!$BJ189:$BT189,,AH189)*(1-AF189)+INDEX(Models!$BJ189:$BT189,,AH189+1)*AF189-ERP_i)*AE189*Ramure*Pc/MaxiM</f>
        <v>3.695536073419394E-3</v>
      </c>
      <c r="AE189" s="305">
        <f t="shared" si="62"/>
        <v>0.7</v>
      </c>
      <c r="AF189" s="177">
        <f t="shared" si="63"/>
        <v>0.31989055325964333</v>
      </c>
      <c r="AG189" s="919">
        <f t="shared" si="71"/>
        <v>-1</v>
      </c>
      <c r="AH189" s="176">
        <f t="shared" si="64"/>
        <v>5</v>
      </c>
      <c r="AI189" s="225">
        <f t="shared" si="65"/>
        <v>-0.68010944674035667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8">
        <v>50.929000000000002</v>
      </c>
      <c r="C190" s="390"/>
      <c r="D190" s="393">
        <f t="shared" si="48"/>
        <v>51.78726901335186</v>
      </c>
      <c r="E190" s="385">
        <f t="shared" si="72"/>
        <v>56.087411007094879</v>
      </c>
      <c r="F190" s="385">
        <f t="shared" si="49"/>
        <v>56.287194704165557</v>
      </c>
      <c r="G190" s="110">
        <f t="shared" si="73"/>
        <v>0.9685484763711586</v>
      </c>
      <c r="H190" s="412" t="b">
        <f>Wh_hp&gt;='2019'!Maxi_hp</f>
        <v>1</v>
      </c>
      <c r="I190" s="380">
        <f>IF(H190,Wh_hp,'2019'!Maxi_hp)</f>
        <v>56.287194704165557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1.657297304344385E-2</v>
      </c>
      <c r="M190" s="957"/>
      <c r="N190" s="957"/>
      <c r="O190" s="48">
        <f>IF(t&lt;Tnet,'2019'!Resal+('2019'!Salim-'2019'!Resal)*(1-EXP(('2019'!Tnet-t)/('2019'!Tau_j))),Resal+(Salim-Resal)*(1-EXP((Tnet-t)/(Tau_j))))*Salcycl</f>
        <v>7.6668577075149041E-2</v>
      </c>
      <c r="P190" s="169">
        <f>(INDEX(Models!$BJ190:$BT190,,T190)*(1-R190)+INDEX(Models!$BJ190:$BT190,,T190+1)*R190-ERP_i)*Q190*Ramure*Pc/MaxiM</f>
        <v>3.7154438870514038E-3</v>
      </c>
      <c r="Q190" s="305">
        <f t="shared" si="51"/>
        <v>0.7</v>
      </c>
      <c r="R190" s="177">
        <f t="shared" si="52"/>
        <v>0.32460520065061926</v>
      </c>
      <c r="S190" s="919">
        <f t="shared" si="53"/>
        <v>-1</v>
      </c>
      <c r="T190" s="176">
        <f t="shared" si="54"/>
        <v>5</v>
      </c>
      <c r="U190" s="251">
        <f t="shared" si="55"/>
        <v>-0.67539479934938074</v>
      </c>
      <c r="V190" s="383">
        <f t="shared" si="56"/>
        <v>52.574045378162729</v>
      </c>
      <c r="W190" s="402"/>
      <c r="X190" s="157">
        <f t="shared" si="57"/>
        <v>44006</v>
      </c>
      <c r="Y190" s="385">
        <f t="shared" si="58"/>
        <v>50.929000000000002</v>
      </c>
      <c r="Z190" s="385">
        <f t="shared" si="59"/>
        <v>51.78726901335186</v>
      </c>
      <c r="AA190" s="386">
        <f t="shared" si="60"/>
        <v>56.087411007094879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7.6668577075149041E-2</v>
      </c>
      <c r="AD190" s="231">
        <f>(INDEX(Models!$BJ190:$BT190,,AH190)*(1-AF190)+INDEX(Models!$BJ190:$BT190,,AH190+1)*AF190-ERP_i)*AE190*Ramure*Pc/MaxiM</f>
        <v>3.7154438870514038E-3</v>
      </c>
      <c r="AE190" s="305">
        <f t="shared" si="62"/>
        <v>0.7</v>
      </c>
      <c r="AF190" s="177">
        <f t="shared" si="63"/>
        <v>0.32460520065061926</v>
      </c>
      <c r="AG190" s="919">
        <f t="shared" si="71"/>
        <v>-1</v>
      </c>
      <c r="AH190" s="176">
        <f t="shared" si="64"/>
        <v>5</v>
      </c>
      <c r="AI190" s="225">
        <f t="shared" si="65"/>
        <v>-0.67539479934938074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8">
        <v>44.982999999999997</v>
      </c>
      <c r="C191" s="390"/>
      <c r="D191" s="393">
        <f t="shared" si="48"/>
        <v>45.742067313259696</v>
      </c>
      <c r="E191" s="385">
        <f t="shared" si="72"/>
        <v>49.54402633960084</v>
      </c>
      <c r="F191" s="385">
        <f t="shared" si="49"/>
        <v>49.691585896486579</v>
      </c>
      <c r="G191" s="110">
        <f t="shared" si="73"/>
        <v>0.85630754637736228</v>
      </c>
      <c r="H191" s="412" t="b">
        <f>Wh_hp&gt;='2019'!Maxi_hp</f>
        <v>0</v>
      </c>
      <c r="I191" s="380">
        <f>IF(H191,Wh_hp,'2019'!Maxi_hp)</f>
        <v>57.789981596859789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1.659451261923317E-2</v>
      </c>
      <c r="M191" s="957"/>
      <c r="N191" s="957"/>
      <c r="O191" s="48">
        <f>IF(t&lt;Tnet,'2019'!Resal+('2019'!Salim-'2019'!Resal)*(1-EXP(('2019'!Tnet-t)/('2019'!Tau_j))),Resal+(Salim-Resal)*(1-EXP((Tnet-t)/(Tau_j))))*Salcycl</f>
        <v>7.6738999779317807E-2</v>
      </c>
      <c r="P191" s="169">
        <f>(INDEX(Models!$BJ191:$BT191,,T191)*(1-R191)+INDEX(Models!$BJ191:$BT191,,T191+1)*R191-ERP_i)*Q191*Ramure*Pc/MaxiM</f>
        <v>3.732124805517541E-3</v>
      </c>
      <c r="Q191" s="305">
        <f t="shared" si="51"/>
        <v>0.7</v>
      </c>
      <c r="R191" s="177">
        <f t="shared" si="52"/>
        <v>0.32926231299145148</v>
      </c>
      <c r="S191" s="919">
        <f t="shared" si="53"/>
        <v>-1</v>
      </c>
      <c r="T191" s="176">
        <f t="shared" si="54"/>
        <v>5</v>
      </c>
      <c r="U191" s="251">
        <f t="shared" si="55"/>
        <v>-0.67073768700854852</v>
      </c>
      <c r="V191" s="383">
        <f t="shared" si="56"/>
        <v>52.491179392421124</v>
      </c>
      <c r="W191" s="402"/>
      <c r="X191" s="157">
        <f t="shared" si="57"/>
        <v>44007</v>
      </c>
      <c r="Y191" s="385">
        <f t="shared" si="58"/>
        <v>44.982999999999997</v>
      </c>
      <c r="Z191" s="385">
        <f t="shared" si="59"/>
        <v>45.742067313259696</v>
      </c>
      <c r="AA191" s="386">
        <f t="shared" si="60"/>
        <v>49.54402633960084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7.6738999779317807E-2</v>
      </c>
      <c r="AD191" s="231">
        <f>(INDEX(Models!$BJ191:$BT191,,AH191)*(1-AF191)+INDEX(Models!$BJ191:$BT191,,AH191+1)*AF191-ERP_i)*AE191*Ramure*Pc/MaxiM</f>
        <v>3.732124805517541E-3</v>
      </c>
      <c r="AE191" s="305">
        <f t="shared" si="62"/>
        <v>0.7</v>
      </c>
      <c r="AF191" s="177">
        <f t="shared" si="63"/>
        <v>0.32926231299145148</v>
      </c>
      <c r="AG191" s="919">
        <f t="shared" si="71"/>
        <v>-1</v>
      </c>
      <c r="AH191" s="176">
        <f t="shared" si="64"/>
        <v>5</v>
      </c>
      <c r="AI191" s="225">
        <f t="shared" si="65"/>
        <v>-0.67073768700854852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8">
        <v>45.64</v>
      </c>
      <c r="C192" s="390"/>
      <c r="D192" s="393">
        <f t="shared" si="48"/>
        <v>46.411170408036526</v>
      </c>
      <c r="E192" s="385">
        <f t="shared" si="72"/>
        <v>50.272508501567408</v>
      </c>
      <c r="F192" s="385">
        <f t="shared" si="49"/>
        <v>50.426437745583883</v>
      </c>
      <c r="G192" s="110">
        <f t="shared" si="73"/>
        <v>0.87025960070473574</v>
      </c>
      <c r="H192" s="412" t="b">
        <f>Wh_hp&gt;='2019'!Maxi_hp</f>
        <v>0</v>
      </c>
      <c r="I192" s="380">
        <f>IF(H192,Wh_hp,'2019'!Maxi_hp)</f>
        <v>57.199547222334189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1.6616051723250425E-2</v>
      </c>
      <c r="M192" s="957"/>
      <c r="N192" s="957"/>
      <c r="O192" s="48">
        <f>IF(t&lt;Tnet,'2019'!Resal+('2019'!Salim-'2019'!Resal)*(1-EXP(('2019'!Tnet-t)/('2019'!Tau_j))),Resal+(Salim-Resal)*(1-EXP((Tnet-t)/(Tau_j))))*Salcycl</f>
        <v>7.6808144423716029E-2</v>
      </c>
      <c r="P192" s="169">
        <f>(INDEX(Models!$BJ192:$BT192,,T192)*(1-R192)+INDEX(Models!$BJ192:$BT192,,T192+1)*R192-ERP_i)*Q192*Ramure*Pc/MaxiM</f>
        <v>3.7430803035226356E-3</v>
      </c>
      <c r="Q192" s="305">
        <f t="shared" si="51"/>
        <v>0.7</v>
      </c>
      <c r="R192" s="177">
        <f t="shared" si="52"/>
        <v>0.33385907840916862</v>
      </c>
      <c r="S192" s="919">
        <f t="shared" si="53"/>
        <v>-1</v>
      </c>
      <c r="T192" s="176">
        <f t="shared" si="54"/>
        <v>5</v>
      </c>
      <c r="U192" s="251">
        <f t="shared" si="55"/>
        <v>-0.66614092159083138</v>
      </c>
      <c r="V192" s="383">
        <f t="shared" si="56"/>
        <v>52.407796112065071</v>
      </c>
      <c r="W192" s="402"/>
      <c r="X192" s="157">
        <f t="shared" si="57"/>
        <v>44008</v>
      </c>
      <c r="Y192" s="385">
        <f t="shared" si="58"/>
        <v>45.64</v>
      </c>
      <c r="Z192" s="385">
        <f t="shared" si="59"/>
        <v>46.411170408036526</v>
      </c>
      <c r="AA192" s="386">
        <f t="shared" si="60"/>
        <v>50.272508501567408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7.6808144423716029E-2</v>
      </c>
      <c r="AD192" s="231">
        <f>(INDEX(Models!$BJ192:$BT192,,AH192)*(1-AF192)+INDEX(Models!$BJ192:$BT192,,AH192+1)*AF192-ERP_i)*AE192*Ramure*Pc/MaxiM</f>
        <v>3.7430803035226356E-3</v>
      </c>
      <c r="AE192" s="305">
        <f t="shared" si="62"/>
        <v>0.7</v>
      </c>
      <c r="AF192" s="177">
        <f t="shared" si="63"/>
        <v>0.33385907840916862</v>
      </c>
      <c r="AG192" s="919">
        <f t="shared" si="71"/>
        <v>-1</v>
      </c>
      <c r="AH192" s="176">
        <f t="shared" si="64"/>
        <v>5</v>
      </c>
      <c r="AI192" s="225">
        <f t="shared" si="65"/>
        <v>-0.66614092159083138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8">
        <v>34.853999999999999</v>
      </c>
      <c r="C193" s="390"/>
      <c r="D193" s="393">
        <f t="shared" si="48"/>
        <v>35.443697723406416</v>
      </c>
      <c r="E193" s="385">
        <f t="shared" si="72"/>
        <v>38.395381906169604</v>
      </c>
      <c r="F193" s="385">
        <f t="shared" si="49"/>
        <v>38.470827886485161</v>
      </c>
      <c r="G193" s="110">
        <f t="shared" si="73"/>
        <v>0.66492733235671653</v>
      </c>
      <c r="H193" s="412" t="b">
        <f>Wh_hp&gt;='2019'!Maxi_hp</f>
        <v>0</v>
      </c>
      <c r="I193" s="380">
        <f>IF(H193,Wh_hp,'2019'!Maxi_hp)</f>
        <v>52.776466913247475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1.6637590355506049E-2</v>
      </c>
      <c r="M193" s="957"/>
      <c r="N193" s="957"/>
      <c r="O193" s="48">
        <f>IF(t&lt;Tnet,'2019'!Resal+('2019'!Salim-'2019'!Resal)*(1-EXP(('2019'!Tnet-t)/('2019'!Tau_j))),Resal+(Salim-Resal)*(1-EXP((Tnet-t)/(Tau_j))))*Salcycl</f>
        <v>7.6876020922945709E-2</v>
      </c>
      <c r="P193" s="169">
        <f>(INDEX(Models!$BJ193:$BT193,,T193)*(1-R193)+INDEX(Models!$BJ193:$BT193,,T193+1)*R193-ERP_i)*Q193*Ramure*Pc/MaxiM</f>
        <v>3.7495400949508336E-3</v>
      </c>
      <c r="Q193" s="305">
        <f t="shared" si="51"/>
        <v>0.7</v>
      </c>
      <c r="R193" s="177">
        <f t="shared" si="52"/>
        <v>0.33839285793999818</v>
      </c>
      <c r="S193" s="919">
        <f t="shared" si="53"/>
        <v>-1</v>
      </c>
      <c r="T193" s="176">
        <f t="shared" si="54"/>
        <v>5</v>
      </c>
      <c r="U193" s="251">
        <f t="shared" si="55"/>
        <v>-0.66160714206000182</v>
      </c>
      <c r="V193" s="383">
        <f t="shared" si="56"/>
        <v>52.323828925131153</v>
      </c>
      <c r="W193" s="402"/>
      <c r="X193" s="157">
        <f t="shared" si="57"/>
        <v>44009</v>
      </c>
      <c r="Y193" s="385">
        <f t="shared" si="58"/>
        <v>34.853999999999999</v>
      </c>
      <c r="Z193" s="385">
        <f t="shared" si="59"/>
        <v>35.443697723406416</v>
      </c>
      <c r="AA193" s="386">
        <f t="shared" si="60"/>
        <v>38.395381906169604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7.6876020922945709E-2</v>
      </c>
      <c r="AD193" s="231">
        <f>(INDEX(Models!$BJ193:$BT193,,AH193)*(1-AF193)+INDEX(Models!$BJ193:$BT193,,AH193+1)*AF193-ERP_i)*AE193*Ramure*Pc/MaxiM</f>
        <v>3.7495400949508336E-3</v>
      </c>
      <c r="AE193" s="305">
        <f t="shared" si="62"/>
        <v>0.7</v>
      </c>
      <c r="AF193" s="177">
        <f t="shared" si="63"/>
        <v>0.33839285793999818</v>
      </c>
      <c r="AG193" s="919">
        <f t="shared" si="71"/>
        <v>-1</v>
      </c>
      <c r="AH193" s="176">
        <f t="shared" si="64"/>
        <v>5</v>
      </c>
      <c r="AI193" s="225">
        <f t="shared" si="65"/>
        <v>-0.66160714206000182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8">
        <v>48.006</v>
      </c>
      <c r="C194" s="390"/>
      <c r="D194" s="393">
        <f t="shared" si="48"/>
        <v>48.819286772401398</v>
      </c>
      <c r="E194" s="385">
        <f t="shared" si="72"/>
        <v>52.888681697283843</v>
      </c>
      <c r="F194" s="385">
        <f t="shared" si="49"/>
        <v>53.064704761429915</v>
      </c>
      <c r="G194" s="110">
        <f t="shared" si="73"/>
        <v>0.91856323992366462</v>
      </c>
      <c r="H194" s="412" t="b">
        <f>Wh_hp&gt;='2019'!Maxi_hp</f>
        <v>0</v>
      </c>
      <c r="I194" s="380">
        <f>IF(H194,Wh_hp,'2019'!Maxi_hp)</f>
        <v>54.714006796227508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1.6659128516010369E-2</v>
      </c>
      <c r="M194" s="957"/>
      <c r="N194" s="957"/>
      <c r="O194" s="48">
        <f>IF(t&lt;Tnet,'2019'!Resal+('2019'!Salim-'2019'!Resal)*(1-EXP(('2019'!Tnet-t)/('2019'!Tau_j))),Resal+(Salim-Resal)*(1-EXP((Tnet-t)/(Tau_j))))*Salcycl</f>
        <v>7.6942642438588699E-2</v>
      </c>
      <c r="P194" s="169">
        <f>(INDEX(Models!$BJ194:$BT194,,T194)*(1-R194)+INDEX(Models!$BJ194:$BT194,,T194+1)*R194-ERP_i)*Q194*Ramure*Pc/MaxiM</f>
        <v>3.7514288159848524E-3</v>
      </c>
      <c r="Q194" s="305">
        <f t="shared" si="51"/>
        <v>0.7</v>
      </c>
      <c r="R194" s="177">
        <f t="shared" si="52"/>
        <v>0.34286118927177045</v>
      </c>
      <c r="S194" s="919">
        <f t="shared" si="53"/>
        <v>-1</v>
      </c>
      <c r="T194" s="176">
        <f t="shared" si="54"/>
        <v>5</v>
      </c>
      <c r="U194" s="251">
        <f t="shared" si="55"/>
        <v>-0.65713881072822955</v>
      </c>
      <c r="V194" s="383">
        <f t="shared" si="56"/>
        <v>52.239279852035331</v>
      </c>
      <c r="W194" s="402"/>
      <c r="X194" s="157">
        <f t="shared" si="57"/>
        <v>44010</v>
      </c>
      <c r="Y194" s="385">
        <f t="shared" si="58"/>
        <v>48.006</v>
      </c>
      <c r="Z194" s="385">
        <f t="shared" si="59"/>
        <v>48.819286772401398</v>
      </c>
      <c r="AA194" s="386">
        <f t="shared" si="60"/>
        <v>52.888681697283843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7.6942642438588699E-2</v>
      </c>
      <c r="AD194" s="231">
        <f>(INDEX(Models!$BJ194:$BT194,,AH194)*(1-AF194)+INDEX(Models!$BJ194:$BT194,,AH194+1)*AF194-ERP_i)*AE194*Ramure*Pc/MaxiM</f>
        <v>3.7514288159848524E-3</v>
      </c>
      <c r="AE194" s="305">
        <f t="shared" si="62"/>
        <v>0.7</v>
      </c>
      <c r="AF194" s="177">
        <f t="shared" si="63"/>
        <v>0.34286118927177045</v>
      </c>
      <c r="AG194" s="919">
        <f t="shared" si="71"/>
        <v>-1</v>
      </c>
      <c r="AH194" s="176">
        <f t="shared" si="64"/>
        <v>5</v>
      </c>
      <c r="AI194" s="225">
        <f t="shared" si="65"/>
        <v>-0.65713881072822955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8">
        <v>13.175000000000001</v>
      </c>
      <c r="C195" s="390"/>
      <c r="D195" s="393">
        <f t="shared" si="48"/>
        <v>13.398495836698011</v>
      </c>
      <c r="E195" s="385">
        <f t="shared" si="72"/>
        <v>14.516373059631331</v>
      </c>
      <c r="F195" s="385">
        <f t="shared" si="49"/>
        <v>14.516373059631331</v>
      </c>
      <c r="G195" s="110">
        <f t="shared" si="73"/>
        <v>0.25166954278804343</v>
      </c>
      <c r="H195" s="412" t="b">
        <f>Wh_hp&gt;='2019'!Maxi_hp</f>
        <v>0</v>
      </c>
      <c r="I195" s="380">
        <f>IF(H195,Wh_hp,'2019'!Maxi_hp)</f>
        <v>50.628885436696059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1.6680666204773709E-2</v>
      </c>
      <c r="M195" s="957"/>
      <c r="N195" s="957"/>
      <c r="O195" s="48">
        <f>IF(t&lt;Tnet,'2019'!Resal+('2019'!Salim-'2019'!Resal)*(1-EXP(('2019'!Tnet-t)/('2019'!Tau_j))),Resal+(Salim-Resal)*(1-EXP((Tnet-t)/(Tau_j))))*Salcycl</f>
        <v>7.7008025237518207E-2</v>
      </c>
      <c r="P195" s="169">
        <f>(INDEX(Models!$BJ195:$BT195,,T195)*(1-R195)+INDEX(Models!$BJ195:$BT195,,T195+1)*R195-ERP_i)*Q195*Ramure*Pc/MaxiM</f>
        <v>3.7486760107679389E-3</v>
      </c>
      <c r="Q195" s="305">
        <f t="shared" si="51"/>
        <v>0.7</v>
      </c>
      <c r="R195" s="177">
        <f t="shared" si="52"/>
        <v>0.347261789517326</v>
      </c>
      <c r="S195" s="919">
        <f t="shared" si="53"/>
        <v>-1</v>
      </c>
      <c r="T195" s="176">
        <f t="shared" si="54"/>
        <v>5</v>
      </c>
      <c r="U195" s="251">
        <f t="shared" si="55"/>
        <v>-0.652738210482674</v>
      </c>
      <c r="V195" s="383">
        <f t="shared" si="56"/>
        <v>52.154150431355731</v>
      </c>
      <c r="W195" s="402"/>
      <c r="X195" s="157">
        <f t="shared" si="57"/>
        <v>44011</v>
      </c>
      <c r="Y195" s="385">
        <f t="shared" si="58"/>
        <v>13.175000000000001</v>
      </c>
      <c r="Z195" s="385">
        <f t="shared" si="59"/>
        <v>13.398495836698011</v>
      </c>
      <c r="AA195" s="386">
        <f t="shared" si="60"/>
        <v>14.516373059631331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7.7008025237518207E-2</v>
      </c>
      <c r="AD195" s="231">
        <f>(INDEX(Models!$BJ195:$BT195,,AH195)*(1-AF195)+INDEX(Models!$BJ195:$BT195,,AH195+1)*AF195-ERP_i)*AE195*Ramure*Pc/MaxiM</f>
        <v>3.7486760107679389E-3</v>
      </c>
      <c r="AE195" s="305">
        <f t="shared" si="62"/>
        <v>0.7</v>
      </c>
      <c r="AF195" s="177">
        <f t="shared" si="63"/>
        <v>0.347261789517326</v>
      </c>
      <c r="AG195" s="919">
        <f t="shared" si="71"/>
        <v>-1</v>
      </c>
      <c r="AH195" s="176">
        <f t="shared" si="64"/>
        <v>5</v>
      </c>
      <c r="AI195" s="225">
        <f t="shared" si="65"/>
        <v>-0.652738210482674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8">
        <v>1.2999999999999999E-2</v>
      </c>
      <c r="C196" s="390"/>
      <c r="D196" s="393">
        <f t="shared" si="48"/>
        <v>1.3220816771113569E-2</v>
      </c>
      <c r="E196" s="385">
        <f t="shared" si="72"/>
        <v>1.4324865506130676E-2</v>
      </c>
      <c r="F196" s="385">
        <f t="shared" si="49"/>
        <v>1.4324865506130676E-2</v>
      </c>
      <c r="G196" s="110">
        <f t="shared" si="73"/>
        <v>2.4873731112463817E-4</v>
      </c>
      <c r="H196" s="412" t="b">
        <f>Wh_hp&gt;='2019'!Maxi_hp</f>
        <v>0</v>
      </c>
      <c r="I196" s="380">
        <f>IF(H196,Wh_hp,'2019'!Maxi_hp)</f>
        <v>20.320779461884474</v>
      </c>
      <c r="J196" s="85">
        <f>IF(H196,An,'2019'!An_max)</f>
        <v>2019</v>
      </c>
      <c r="K196" s="197">
        <f t="shared" si="50"/>
        <v>44012</v>
      </c>
      <c r="L196" s="147">
        <f>IF(t&lt;Tvie,1-EXP((T0-t)*PertePVj)+'2019'!Pspv,1-EXP((T0-t)*PertePVj)+Pspv)</f>
        <v>1.6702203421806394E-2</v>
      </c>
      <c r="M196" s="957"/>
      <c r="N196" s="957"/>
      <c r="O196" s="48">
        <f>IF(t&lt;Tnet,'2019'!Resal+('2019'!Salim-'2019'!Resal)*(1-EXP(('2019'!Tnet-t)/('2019'!Tau_j))),Resal+(Salim-Resal)*(1-EXP((Tnet-t)/(Tau_j))))*Salcycl</f>
        <v>7.7072188534308028E-2</v>
      </c>
      <c r="P196" s="169">
        <f>(INDEX(Models!$BJ196:$BT196,,T196)*(1-R196)+INDEX(Models!$BJ196:$BT196,,T196+1)*R196-ERP_i)*Q196*Ramure*Pc/MaxiM</f>
        <v>3.7412160746000209E-3</v>
      </c>
      <c r="Q196" s="305">
        <f t="shared" si="51"/>
        <v>0.7</v>
      </c>
      <c r="R196" s="177">
        <f t="shared" si="52"/>
        <v>0.35159255703826897</v>
      </c>
      <c r="S196" s="919">
        <f t="shared" si="53"/>
        <v>-1</v>
      </c>
      <c r="T196" s="176">
        <f t="shared" si="54"/>
        <v>5</v>
      </c>
      <c r="U196" s="251">
        <f t="shared" si="55"/>
        <v>-0.64840744296173103</v>
      </c>
      <c r="V196" s="383">
        <f t="shared" si="56"/>
        <v>52.068441732653781</v>
      </c>
      <c r="W196" s="402"/>
      <c r="X196" s="157">
        <f t="shared" si="57"/>
        <v>44012</v>
      </c>
      <c r="Y196" s="385">
        <f t="shared" si="58"/>
        <v>1.2999999999999999E-2</v>
      </c>
      <c r="Z196" s="385">
        <f t="shared" si="59"/>
        <v>1.3220816771113569E-2</v>
      </c>
      <c r="AA196" s="386">
        <f t="shared" si="60"/>
        <v>1.4324865506130676E-2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7.7072188534308028E-2</v>
      </c>
      <c r="AD196" s="231">
        <f>(INDEX(Models!$BJ196:$BT196,,AH196)*(1-AF196)+INDEX(Models!$BJ196:$BT196,,AH196+1)*AF196-ERP_i)*AE196*Ramure*Pc/MaxiM</f>
        <v>3.7412160746000209E-3</v>
      </c>
      <c r="AE196" s="305">
        <f t="shared" si="62"/>
        <v>0.7</v>
      </c>
      <c r="AF196" s="177">
        <f t="shared" si="63"/>
        <v>0.35159255703826897</v>
      </c>
      <c r="AG196" s="919">
        <f t="shared" si="71"/>
        <v>-1</v>
      </c>
      <c r="AH196" s="176">
        <f t="shared" si="64"/>
        <v>5</v>
      </c>
      <c r="AI196" s="225">
        <f t="shared" si="65"/>
        <v>-0.64840744296173103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8">
        <v>39.552</v>
      </c>
      <c r="C197" s="390"/>
      <c r="D197" s="393">
        <f t="shared" si="48"/>
        <v>40.224707557489793</v>
      </c>
      <c r="E197" s="385">
        <f t="shared" si="72"/>
        <v>43.586780605783758</v>
      </c>
      <c r="F197" s="385">
        <f t="shared" si="49"/>
        <v>43.694055944513167</v>
      </c>
      <c r="G197" s="110">
        <f t="shared" si="73"/>
        <v>0.75990488495841269</v>
      </c>
      <c r="H197" s="412" t="b">
        <f>Wh_hp&gt;='2019'!Maxi_hp</f>
        <v>1</v>
      </c>
      <c r="I197" s="380">
        <f>IF(H197,Wh_hp,'2019'!Maxi_hp)</f>
        <v>43.694055944513167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1.672374016711875E-2</v>
      </c>
      <c r="M197" s="957"/>
      <c r="N197" s="957"/>
      <c r="O197" s="48">
        <f>IF(t&lt;Tnet,'2019'!Resal+('2019'!Salim-'2019'!Resal)*(1-EXP(('2019'!Tnet-t)/('2019'!Tau_j))),Resal+(Salim-Resal)*(1-EXP((Tnet-t)/(Tau_j))))*Salcycl</f>
        <v>7.7135154318964116E-2</v>
      </c>
      <c r="P197" s="169">
        <f>(INDEX(Models!$BJ197:$BT197,,T197)*(1-R197)+INDEX(Models!$BJ197:$BT197,,T197+1)*R197-ERP_i)*Q197*Ramure*Pc/MaxiM</f>
        <v>3.7289881588444831E-3</v>
      </c>
      <c r="Q197" s="305">
        <f t="shared" si="51"/>
        <v>0.7</v>
      </c>
      <c r="R197" s="177">
        <f t="shared" si="52"/>
        <v>0.35585157234592957</v>
      </c>
      <c r="S197" s="919">
        <f t="shared" si="53"/>
        <v>-1</v>
      </c>
      <c r="T197" s="176">
        <f t="shared" si="54"/>
        <v>5</v>
      </c>
      <c r="U197" s="251">
        <f t="shared" si="55"/>
        <v>-0.64414842765407043</v>
      </c>
      <c r="V197" s="383">
        <f t="shared" si="56"/>
        <v>51.982154374745512</v>
      </c>
      <c r="W197" s="402"/>
      <c r="X197" s="157">
        <f t="shared" si="57"/>
        <v>44013</v>
      </c>
      <c r="Y197" s="385">
        <f t="shared" si="58"/>
        <v>39.552</v>
      </c>
      <c r="Z197" s="385">
        <f t="shared" si="59"/>
        <v>40.224707557489793</v>
      </c>
      <c r="AA197" s="386">
        <f t="shared" si="60"/>
        <v>43.586780605783758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7.7135154318964116E-2</v>
      </c>
      <c r="AD197" s="231">
        <f>(INDEX(Models!$BJ197:$BT197,,AH197)*(1-AF197)+INDEX(Models!$BJ197:$BT197,,AH197+1)*AF197-ERP_i)*AE197*Ramure*Pc/MaxiM</f>
        <v>3.7289881588444831E-3</v>
      </c>
      <c r="AE197" s="305">
        <f t="shared" si="62"/>
        <v>0.7</v>
      </c>
      <c r="AF197" s="177">
        <f t="shared" si="63"/>
        <v>0.35585157234592957</v>
      </c>
      <c r="AG197" s="919">
        <f t="shared" si="71"/>
        <v>-1</v>
      </c>
      <c r="AH197" s="176">
        <f t="shared" si="64"/>
        <v>5</v>
      </c>
      <c r="AI197" s="225">
        <f t="shared" si="65"/>
        <v>-0.64414842765407043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8">
        <v>15.797000000000001</v>
      </c>
      <c r="C198" s="390"/>
      <c r="D198" s="393">
        <f t="shared" si="48"/>
        <v>16.066030115590511</v>
      </c>
      <c r="E198" s="385">
        <f t="shared" si="72"/>
        <v>17.410031388976243</v>
      </c>
      <c r="F198" s="385">
        <f t="shared" si="49"/>
        <v>17.410437580863551</v>
      </c>
      <c r="G198" s="110">
        <f t="shared" si="73"/>
        <v>0.30327858612510467</v>
      </c>
      <c r="H198" s="412" t="b">
        <f>Wh_hp&gt;='2019'!Maxi_hp</f>
        <v>0</v>
      </c>
      <c r="I198" s="380">
        <f>IF(H198,Wh_hp,'2019'!Maxi_hp)</f>
        <v>49.441031489628365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1.6745276440720991E-2</v>
      </c>
      <c r="M198" s="957"/>
      <c r="N198" s="957"/>
      <c r="O198" s="48">
        <f>IF(t&lt;Tnet,'2019'!Resal+('2019'!Salim-'2019'!Resal)*(1-EXP(('2019'!Tnet-t)/('2019'!Tau_j))),Resal+(Salim-Resal)*(1-EXP((Tnet-t)/(Tau_j))))*Salcycl</f>
        <v>7.7196947171314811E-2</v>
      </c>
      <c r="P198" s="169">
        <f>(INDEX(Models!$BJ198:$BT198,,T198)*(1-R198)+INDEX(Models!$BJ198:$BT198,,T198+1)*R198-ERP_i)*Q198*Ramure*Pc/MaxiM</f>
        <v>3.7107496185560672E-3</v>
      </c>
      <c r="Q198" s="305">
        <f t="shared" si="51"/>
        <v>0.7</v>
      </c>
      <c r="R198" s="177">
        <f t="shared" si="52"/>
        <v>0.36003709811322604</v>
      </c>
      <c r="S198" s="919">
        <f t="shared" si="53"/>
        <v>-1</v>
      </c>
      <c r="T198" s="176">
        <f t="shared" si="54"/>
        <v>5</v>
      </c>
      <c r="U198" s="251">
        <f t="shared" si="55"/>
        <v>-0.63996290188677396</v>
      </c>
      <c r="V198" s="383">
        <f t="shared" si="56"/>
        <v>51.895350344819391</v>
      </c>
      <c r="W198" s="402"/>
      <c r="X198" s="157">
        <f t="shared" si="57"/>
        <v>44014</v>
      </c>
      <c r="Y198" s="385">
        <f t="shared" si="58"/>
        <v>15.796999999999999</v>
      </c>
      <c r="Z198" s="385">
        <f t="shared" si="59"/>
        <v>16.066030115590511</v>
      </c>
      <c r="AA198" s="386">
        <f t="shared" si="60"/>
        <v>17.410031388976243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7.7196947171314811E-2</v>
      </c>
      <c r="AD198" s="231">
        <f>(INDEX(Models!$BJ198:$BT198,,AH198)*(1-AF198)+INDEX(Models!$BJ198:$BT198,,AH198+1)*AF198-ERP_i)*AE198*Ramure*Pc/MaxiM</f>
        <v>3.7107496185560672E-3</v>
      </c>
      <c r="AE198" s="305">
        <f t="shared" si="62"/>
        <v>0.7</v>
      </c>
      <c r="AF198" s="177">
        <f t="shared" si="63"/>
        <v>0.36003709811322604</v>
      </c>
      <c r="AG198" s="919">
        <f t="shared" si="71"/>
        <v>-1</v>
      </c>
      <c r="AH198" s="176">
        <f t="shared" si="64"/>
        <v>5</v>
      </c>
      <c r="AI198" s="225">
        <f t="shared" si="65"/>
        <v>-0.63996290188677396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8">
        <v>40.162999999999997</v>
      </c>
      <c r="C199" s="390"/>
      <c r="D199" s="393">
        <f t="shared" si="48"/>
        <v>40.847888883415784</v>
      </c>
      <c r="E199" s="385">
        <f t="shared" si="72"/>
        <v>44.267922033949105</v>
      </c>
      <c r="F199" s="385">
        <f t="shared" si="49"/>
        <v>44.379030476754444</v>
      </c>
      <c r="G199" s="110">
        <f t="shared" si="73"/>
        <v>0.77430806965974552</v>
      </c>
      <c r="H199" s="412" t="b">
        <f>Wh_hp&gt;='2019'!Maxi_hp</f>
        <v>0</v>
      </c>
      <c r="I199" s="380">
        <f>IF(H199,Wh_hp,'2019'!Maxi_hp)</f>
        <v>55.745011407918014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1.6766812242623663E-2</v>
      </c>
      <c r="M199" s="957"/>
      <c r="N199" s="957"/>
      <c r="O199" s="48">
        <f>IF(t&lt;Tnet,'2019'!Resal+('2019'!Salim-'2019'!Resal)*(1-EXP(('2019'!Tnet-t)/('2019'!Tau_j))),Resal+(Salim-Resal)*(1-EXP((Tnet-t)/(Tau_j))))*Salcycl</f>
        <v>7.7257594063495708E-2</v>
      </c>
      <c r="P199" s="169">
        <f>(INDEX(Models!$BJ199:$BT199,,T199)*(1-R199)+INDEX(Models!$BJ199:$BT199,,T199+1)*R199-ERP_i)*Q199*Ramure*Pc/MaxiM</f>
        <v>3.6877794269654708E-3</v>
      </c>
      <c r="Q199" s="305">
        <f t="shared" si="51"/>
        <v>0.7</v>
      </c>
      <c r="R199" s="177">
        <f t="shared" si="52"/>
        <v>0.36414757833718314</v>
      </c>
      <c r="S199" s="919">
        <f t="shared" si="53"/>
        <v>-1</v>
      </c>
      <c r="T199" s="176">
        <f t="shared" si="54"/>
        <v>5</v>
      </c>
      <c r="U199" s="251">
        <f t="shared" si="55"/>
        <v>-0.63585242166281686</v>
      </c>
      <c r="V199" s="383">
        <f t="shared" si="56"/>
        <v>51.807959908584792</v>
      </c>
      <c r="W199" s="402"/>
      <c r="X199" s="157">
        <f t="shared" si="57"/>
        <v>44015</v>
      </c>
      <c r="Y199" s="385">
        <f t="shared" si="58"/>
        <v>40.162999999999997</v>
      </c>
      <c r="Z199" s="385">
        <f t="shared" si="59"/>
        <v>40.847888883415784</v>
      </c>
      <c r="AA199" s="386">
        <f t="shared" si="60"/>
        <v>44.267922033949105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7.7257594063495708E-2</v>
      </c>
      <c r="AD199" s="231">
        <f>(INDEX(Models!$BJ199:$BT199,,AH199)*(1-AF199)+INDEX(Models!$BJ199:$BT199,,AH199+1)*AF199-ERP_i)*AE199*Ramure*Pc/MaxiM</f>
        <v>3.6877794269654708E-3</v>
      </c>
      <c r="AE199" s="305">
        <f t="shared" si="62"/>
        <v>0.7</v>
      </c>
      <c r="AF199" s="177">
        <f t="shared" si="63"/>
        <v>0.36414757833718314</v>
      </c>
      <c r="AG199" s="919">
        <f t="shared" si="71"/>
        <v>-1</v>
      </c>
      <c r="AH199" s="176">
        <f t="shared" si="64"/>
        <v>5</v>
      </c>
      <c r="AI199" s="225">
        <f t="shared" si="65"/>
        <v>-0.63585242166281686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8">
        <v>51.14</v>
      </c>
      <c r="C200" s="390"/>
      <c r="D200" s="393">
        <f t="shared" si="48"/>
        <v>52.01321594771121</v>
      </c>
      <c r="E200" s="385">
        <f t="shared" si="72"/>
        <v>56.371714821206439</v>
      </c>
      <c r="F200" s="385">
        <f t="shared" si="49"/>
        <v>56.575465157822379</v>
      </c>
      <c r="G200" s="110">
        <f t="shared" si="73"/>
        <v>0.98872791244270219</v>
      </c>
      <c r="H200" s="412" t="b">
        <f>Wh_hp&gt;='2019'!Maxi_hp</f>
        <v>1</v>
      </c>
      <c r="I200" s="380">
        <f>IF(H200,Wh_hp,'2019'!Maxi_hp)</f>
        <v>56.575465157822379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1.6788347572837092E-2</v>
      </c>
      <c r="M200" s="957"/>
      <c r="N200" s="957"/>
      <c r="O200" s="48">
        <f>IF(t&lt;Tnet,'2019'!Resal+('2019'!Salim-'2019'!Resal)*(1-EXP(('2019'!Tnet-t)/('2019'!Tau_j))),Resal+(Salim-Resal)*(1-EXP((Tnet-t)/(Tau_j))))*Salcycl</f>
        <v>7.7317124152050956E-2</v>
      </c>
      <c r="P200" s="169">
        <f>(INDEX(Models!$BJ200:$BT200,,T200)*(1-R200)+INDEX(Models!$BJ200:$BT200,,T200+1)*R200-ERP_i)*Q200*Ramure*Pc/MaxiM</f>
        <v>3.660023457267533E-3</v>
      </c>
      <c r="Q200" s="305">
        <f t="shared" si="51"/>
        <v>0.7</v>
      </c>
      <c r="R200" s="177">
        <f t="shared" si="52"/>
        <v>0.36818163669715698</v>
      </c>
      <c r="S200" s="919">
        <f t="shared" si="53"/>
        <v>-1</v>
      </c>
      <c r="T200" s="176">
        <f t="shared" si="54"/>
        <v>5</v>
      </c>
      <c r="U200" s="251">
        <f t="shared" si="55"/>
        <v>-0.63181836330284302</v>
      </c>
      <c r="V200" s="383">
        <f t="shared" si="56"/>
        <v>51.719982842296588</v>
      </c>
      <c r="W200" s="402"/>
      <c r="X200" s="157">
        <f t="shared" si="57"/>
        <v>44016</v>
      </c>
      <c r="Y200" s="385">
        <f t="shared" si="58"/>
        <v>51.14</v>
      </c>
      <c r="Z200" s="385">
        <f t="shared" si="59"/>
        <v>52.01321594771121</v>
      </c>
      <c r="AA200" s="386">
        <f t="shared" si="60"/>
        <v>56.371714821206439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7.7317124152050956E-2</v>
      </c>
      <c r="AD200" s="231">
        <f>(INDEX(Models!$BJ200:$BT200,,AH200)*(1-AF200)+INDEX(Models!$BJ200:$BT200,,AH200+1)*AF200-ERP_i)*AE200*Ramure*Pc/MaxiM</f>
        <v>3.660023457267533E-3</v>
      </c>
      <c r="AE200" s="305">
        <f t="shared" si="62"/>
        <v>0.7</v>
      </c>
      <c r="AF200" s="177">
        <f t="shared" si="63"/>
        <v>0.36818163669715698</v>
      </c>
      <c r="AG200" s="919">
        <f t="shared" si="71"/>
        <v>-1</v>
      </c>
      <c r="AH200" s="176">
        <f t="shared" si="64"/>
        <v>5</v>
      </c>
      <c r="AI200" s="225">
        <f t="shared" si="65"/>
        <v>-0.63181836330284302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8">
        <v>50.902999999999999</v>
      </c>
      <c r="C201" s="390"/>
      <c r="D201" s="393">
        <f t="shared" si="48"/>
        <v>51.77330313884778</v>
      </c>
      <c r="E201" s="385">
        <f t="shared" si="72"/>
        <v>56.115252723268718</v>
      </c>
      <c r="F201" s="385">
        <f t="shared" si="49"/>
        <v>56.315415913154332</v>
      </c>
      <c r="G201" s="110">
        <f t="shared" si="73"/>
        <v>0.98581961727519885</v>
      </c>
      <c r="H201" s="412" t="b">
        <f>Wh_hp&gt;='2019'!Maxi_hp</f>
        <v>1</v>
      </c>
      <c r="I201" s="380">
        <f>IF(H201,Wh_hp,'2019'!Maxi_hp)</f>
        <v>56.315415913154332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1.6809882431371381E-2</v>
      </c>
      <c r="M201" s="957"/>
      <c r="N201" s="957"/>
      <c r="O201" s="48">
        <f>IF(t&lt;Tnet,'2019'!Resal+('2019'!Salim-'2019'!Resal)*(1-EXP(('2019'!Tnet-t)/('2019'!Tau_j))),Resal+(Salim-Resal)*(1-EXP((Tnet-t)/(Tau_j))))*Salcycl</f>
        <v>7.7375568561246263E-2</v>
      </c>
      <c r="P201" s="169">
        <f>(INDEX(Models!$BJ201:$BT201,,T201)*(1-R201)+INDEX(Models!$BJ201:$BT201,,T201+1)*R201-ERP_i)*Q201*Ramure*Pc/MaxiM</f>
        <v>3.6274317578086864E-3</v>
      </c>
      <c r="Q201" s="305">
        <f t="shared" si="51"/>
        <v>0.7</v>
      </c>
      <c r="R201" s="177">
        <f t="shared" si="52"/>
        <v>0.37213807415828315</v>
      </c>
      <c r="S201" s="919">
        <f t="shared" si="53"/>
        <v>-1</v>
      </c>
      <c r="T201" s="176">
        <f t="shared" si="54"/>
        <v>5</v>
      </c>
      <c r="U201" s="251">
        <f t="shared" si="55"/>
        <v>-0.62786192584171685</v>
      </c>
      <c r="V201" s="383">
        <f t="shared" si="56"/>
        <v>51.631418556977891</v>
      </c>
      <c r="W201" s="402"/>
      <c r="X201" s="157">
        <f t="shared" si="57"/>
        <v>44017</v>
      </c>
      <c r="Y201" s="385">
        <f t="shared" si="58"/>
        <v>50.902999999999999</v>
      </c>
      <c r="Z201" s="385">
        <f t="shared" si="59"/>
        <v>51.77330313884778</v>
      </c>
      <c r="AA201" s="386">
        <f t="shared" si="60"/>
        <v>56.115252723268718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7.7375568561246263E-2</v>
      </c>
      <c r="AD201" s="231">
        <f>(INDEX(Models!$BJ201:$BT201,,AH201)*(1-AF201)+INDEX(Models!$BJ201:$BT201,,AH201+1)*AF201-ERP_i)*AE201*Ramure*Pc/MaxiM</f>
        <v>3.6274317578086864E-3</v>
      </c>
      <c r="AE201" s="305">
        <f t="shared" si="62"/>
        <v>0.7</v>
      </c>
      <c r="AF201" s="177">
        <f t="shared" si="63"/>
        <v>0.37213807415828315</v>
      </c>
      <c r="AG201" s="919">
        <f t="shared" si="71"/>
        <v>-1</v>
      </c>
      <c r="AH201" s="176">
        <f t="shared" si="64"/>
        <v>5</v>
      </c>
      <c r="AI201" s="225">
        <f t="shared" si="65"/>
        <v>-0.62786192584171685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8">
        <v>28.934000000000001</v>
      </c>
      <c r="C202" s="390"/>
      <c r="D202" s="393">
        <f t="shared" si="48"/>
        <v>29.429337445225137</v>
      </c>
      <c r="E202" s="385">
        <f t="shared" si="72"/>
        <v>31.899402617185402</v>
      </c>
      <c r="F202" s="385">
        <f t="shared" si="49"/>
        <v>31.942218321186189</v>
      </c>
      <c r="G202" s="110">
        <f t="shared" si="73"/>
        <v>0.56010001905038165</v>
      </c>
      <c r="H202" s="412" t="b">
        <f>Wh_hp&gt;='2019'!Maxi_hp</f>
        <v>0</v>
      </c>
      <c r="I202" s="380">
        <f>IF(H202,Wh_hp,'2019'!Maxi_hp)</f>
        <v>56.989181729783134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1.6831416818237077E-2</v>
      </c>
      <c r="M202" s="957"/>
      <c r="N202" s="957"/>
      <c r="O202" s="48">
        <f>IF(t&lt;Tnet,'2019'!Resal+('2019'!Salim-'2019'!Resal)*(1-EXP(('2019'!Tnet-t)/('2019'!Tau_j))),Resal+(Salim-Resal)*(1-EXP((Tnet-t)/(Tau_j))))*Salcycl</f>
        <v>7.7432960159245945E-2</v>
      </c>
      <c r="P202" s="169">
        <f>(INDEX(Models!$BJ202:$BT202,,T202)*(1-R202)+INDEX(Models!$BJ202:$BT202,,T202+1)*R202-ERP_i)*Q202*Ramure*Pc/MaxiM</f>
        <v>3.5899583236193278E-3</v>
      </c>
      <c r="Q202" s="305">
        <f t="shared" si="51"/>
        <v>0.7</v>
      </c>
      <c r="R202" s="177">
        <f t="shared" si="52"/>
        <v>0.3760158658733227</v>
      </c>
      <c r="S202" s="919">
        <f t="shared" si="53"/>
        <v>-1</v>
      </c>
      <c r="T202" s="176">
        <f t="shared" si="54"/>
        <v>5</v>
      </c>
      <c r="U202" s="251">
        <f t="shared" si="55"/>
        <v>-0.6239841341266773</v>
      </c>
      <c r="V202" s="383">
        <f t="shared" si="56"/>
        <v>51.542266124659122</v>
      </c>
      <c r="W202" s="402"/>
      <c r="X202" s="157">
        <f t="shared" si="57"/>
        <v>44018</v>
      </c>
      <c r="Y202" s="385">
        <f t="shared" si="58"/>
        <v>28.934000000000001</v>
      </c>
      <c r="Z202" s="385">
        <f t="shared" si="59"/>
        <v>29.429337445225137</v>
      </c>
      <c r="AA202" s="386">
        <f t="shared" si="60"/>
        <v>31.899402617185402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7.7432960159245945E-2</v>
      </c>
      <c r="AD202" s="231">
        <f>(INDEX(Models!$BJ202:$BT202,,AH202)*(1-AF202)+INDEX(Models!$BJ202:$BT202,,AH202+1)*AF202-ERP_i)*AE202*Ramure*Pc/MaxiM</f>
        <v>3.5899583236193278E-3</v>
      </c>
      <c r="AE202" s="305">
        <f t="shared" si="62"/>
        <v>0.7</v>
      </c>
      <c r="AF202" s="177">
        <f t="shared" si="63"/>
        <v>0.3760158658733227</v>
      </c>
      <c r="AG202" s="919">
        <f t="shared" si="71"/>
        <v>-1</v>
      </c>
      <c r="AH202" s="176">
        <f t="shared" si="64"/>
        <v>5</v>
      </c>
      <c r="AI202" s="225">
        <f t="shared" si="65"/>
        <v>-0.6239841341266773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8">
        <v>53.869</v>
      </c>
      <c r="C203" s="390"/>
      <c r="D203" s="393">
        <f t="shared" si="48"/>
        <v>54.792413851200784</v>
      </c>
      <c r="E203" s="385">
        <f t="shared" si="72"/>
        <v>59.394883800007925</v>
      </c>
      <c r="F203" s="385">
        <f t="shared" si="49"/>
        <v>59.606340921073496</v>
      </c>
      <c r="G203" s="110">
        <f t="shared" si="73"/>
        <v>1.0469651533282573</v>
      </c>
      <c r="H203" s="412" t="b">
        <f>Wh_hp&gt;='2019'!Maxi_hp</f>
        <v>1</v>
      </c>
      <c r="I203" s="380">
        <f>IF(H203,Wh_hp,'2019'!Maxi_hp)</f>
        <v>59.606340921073496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1.6852950733444394E-2</v>
      </c>
      <c r="M203" s="957"/>
      <c r="N203" s="957"/>
      <c r="O203" s="48">
        <f>IF(t&lt;Tnet,'2019'!Resal+('2019'!Salim-'2019'!Resal)*(1-EXP(('2019'!Tnet-t)/('2019'!Tau_j))),Resal+(Salim-Resal)*(1-EXP((Tnet-t)/(Tau_j))))*Salcycl</f>
        <v>7.7489333328850232E-2</v>
      </c>
      <c r="P203" s="169">
        <f>(INDEX(Models!$BJ203:$BT203,,T203)*(1-R203)+INDEX(Models!$BJ203:$BT203,,T203+1)*R203-ERP_i)*Q203*Ramure*Pc/MaxiM</f>
        <v>3.5475608433265166E-3</v>
      </c>
      <c r="Q203" s="305">
        <f t="shared" si="51"/>
        <v>0.7</v>
      </c>
      <c r="R203" s="177">
        <f t="shared" si="52"/>
        <v>0.3798141574389251</v>
      </c>
      <c r="S203" s="919">
        <f t="shared" si="53"/>
        <v>-1</v>
      </c>
      <c r="T203" s="176">
        <f t="shared" si="54"/>
        <v>5</v>
      </c>
      <c r="U203" s="251">
        <f t="shared" si="55"/>
        <v>-0.6201858425610749</v>
      </c>
      <c r="V203" s="383">
        <f t="shared" si="56"/>
        <v>51.452524306805017</v>
      </c>
      <c r="W203" s="402"/>
      <c r="X203" s="157">
        <f t="shared" si="57"/>
        <v>44019</v>
      </c>
      <c r="Y203" s="385">
        <f t="shared" si="58"/>
        <v>53.869</v>
      </c>
      <c r="Z203" s="385">
        <f t="shared" si="59"/>
        <v>54.792413851200784</v>
      </c>
      <c r="AA203" s="386">
        <f t="shared" si="60"/>
        <v>59.394883800007925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7.7489333328850232E-2</v>
      </c>
      <c r="AD203" s="231">
        <f>(INDEX(Models!$BJ203:$BT203,,AH203)*(1-AF203)+INDEX(Models!$BJ203:$BT203,,AH203+1)*AF203-ERP_i)*AE203*Ramure*Pc/MaxiM</f>
        <v>3.5475608433265166E-3</v>
      </c>
      <c r="AE203" s="305">
        <f t="shared" si="62"/>
        <v>0.7</v>
      </c>
      <c r="AF203" s="177">
        <f t="shared" si="63"/>
        <v>0.3798141574389251</v>
      </c>
      <c r="AG203" s="919">
        <f t="shared" si="71"/>
        <v>-1</v>
      </c>
      <c r="AH203" s="176">
        <f t="shared" si="64"/>
        <v>5</v>
      </c>
      <c r="AI203" s="225">
        <f t="shared" si="65"/>
        <v>-0.6201858425610749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8">
        <v>51.737000000000002</v>
      </c>
      <c r="C204" s="390"/>
      <c r="D204" s="393">
        <f t="shared" si="48"/>
        <v>52.625020068459733</v>
      </c>
      <c r="E204" s="385">
        <f t="shared" si="72"/>
        <v>57.048858001560362</v>
      </c>
      <c r="F204" s="385">
        <f t="shared" si="49"/>
        <v>57.249241822105077</v>
      </c>
      <c r="G204" s="110">
        <f t="shared" si="73"/>
        <v>1.0072973602659923</v>
      </c>
      <c r="H204" s="412" t="b">
        <f>Wh_hp&gt;='2019'!Maxi_hp</f>
        <v>1</v>
      </c>
      <c r="I204" s="380">
        <f>IF(H204,Wh_hp,'2019'!Maxi_hp)</f>
        <v>57.249241822105077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1.6874484177003768E-2</v>
      </c>
      <c r="M204" s="957"/>
      <c r="N204" s="957"/>
      <c r="O204" s="48">
        <f>IF(t&lt;Tnet,'2019'!Resal+('2019'!Salim-'2019'!Resal)*(1-EXP(('2019'!Tnet-t)/('2019'!Tau_j))),Resal+(Salim-Resal)*(1-EXP((Tnet-t)/(Tau_j))))*Salcycl</f>
        <v>7.7544723734515916E-2</v>
      </c>
      <c r="P204" s="169">
        <f>(INDEX(Models!$BJ204:$BT204,,T204)*(1-R204)+INDEX(Models!$BJ204:$BT204,,T204+1)*R204-ERP_i)*Q204*Ramure*Pc/MaxiM</f>
        <v>3.5002004247914088E-3</v>
      </c>
      <c r="Q204" s="305">
        <f t="shared" si="51"/>
        <v>0.7</v>
      </c>
      <c r="R204" s="177">
        <f t="shared" si="52"/>
        <v>0.38353226056437717</v>
      </c>
      <c r="S204" s="919">
        <f t="shared" si="53"/>
        <v>-1</v>
      </c>
      <c r="T204" s="176">
        <f t="shared" si="54"/>
        <v>5</v>
      </c>
      <c r="U204" s="251">
        <f t="shared" si="55"/>
        <v>-0.61646773943562283</v>
      </c>
      <c r="V204" s="383">
        <f t="shared" si="56"/>
        <v>51.362191583960929</v>
      </c>
      <c r="W204" s="402"/>
      <c r="X204" s="157">
        <f t="shared" si="57"/>
        <v>44020</v>
      </c>
      <c r="Y204" s="385">
        <f t="shared" si="58"/>
        <v>51.737000000000002</v>
      </c>
      <c r="Z204" s="385">
        <f t="shared" si="59"/>
        <v>52.625020068459733</v>
      </c>
      <c r="AA204" s="386">
        <f t="shared" si="60"/>
        <v>57.048858001560362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7.7544723734515916E-2</v>
      </c>
      <c r="AD204" s="231">
        <f>(INDEX(Models!$BJ204:$BT204,,AH204)*(1-AF204)+INDEX(Models!$BJ204:$BT204,,AH204+1)*AF204-ERP_i)*AE204*Ramure*Pc/MaxiM</f>
        <v>3.5002004247914088E-3</v>
      </c>
      <c r="AE204" s="305">
        <f t="shared" si="62"/>
        <v>0.7</v>
      </c>
      <c r="AF204" s="177">
        <f t="shared" si="63"/>
        <v>0.38353226056437717</v>
      </c>
      <c r="AG204" s="919">
        <f t="shared" si="71"/>
        <v>-1</v>
      </c>
      <c r="AH204" s="176">
        <f t="shared" si="64"/>
        <v>5</v>
      </c>
      <c r="AI204" s="225">
        <f t="shared" si="65"/>
        <v>-0.61646773943562283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8">
        <v>48.845999999999997</v>
      </c>
      <c r="C205" s="390"/>
      <c r="D205" s="393">
        <f t="shared" si="48"/>
        <v>49.685486837661841</v>
      </c>
      <c r="E205" s="385">
        <f t="shared" si="72"/>
        <v>53.865396819556871</v>
      </c>
      <c r="F205" s="385">
        <f t="shared" si="49"/>
        <v>54.03912818094409</v>
      </c>
      <c r="G205" s="110">
        <f t="shared" si="73"/>
        <v>0.95248257423882221</v>
      </c>
      <c r="H205" s="412" t="b">
        <f>Wh_hp&gt;='2019'!Maxi_hp</f>
        <v>0</v>
      </c>
      <c r="I205" s="380">
        <f>IF(H205,Wh_hp,'2019'!Maxi_hp)</f>
        <v>57.125082544615957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1.6896017148925413E-2</v>
      </c>
      <c r="M205" s="957"/>
      <c r="N205" s="957"/>
      <c r="O205" s="48">
        <f>IF(t&lt;Tnet,'2019'!Resal+('2019'!Salim-'2019'!Resal)*(1-EXP(('2019'!Tnet-t)/('2019'!Tau_j))),Resal+(Salim-Resal)*(1-EXP((Tnet-t)/(Tau_j))))*Salcycl</f>
        <v>7.7599168087395073E-2</v>
      </c>
      <c r="P205" s="169">
        <f>(INDEX(Models!$BJ205:$BT205,,T205)*(1-R205)+INDEX(Models!$BJ205:$BT205,,T205+1)*R205-ERP_i)*Q205*Ramure*Pc/MaxiM</f>
        <v>3.4478696623704511E-3</v>
      </c>
      <c r="Q205" s="305">
        <f t="shared" si="51"/>
        <v>0.7</v>
      </c>
      <c r="R205" s="177">
        <f t="shared" si="52"/>
        <v>0.3871696482122059</v>
      </c>
      <c r="S205" s="919">
        <f t="shared" si="53"/>
        <v>-1</v>
      </c>
      <c r="T205" s="176">
        <f t="shared" si="54"/>
        <v>5</v>
      </c>
      <c r="U205" s="251">
        <f t="shared" si="55"/>
        <v>-0.6128303517877941</v>
      </c>
      <c r="V205" s="383">
        <f t="shared" si="56"/>
        <v>51.270843015982557</v>
      </c>
      <c r="W205" s="402"/>
      <c r="X205" s="157">
        <f t="shared" si="57"/>
        <v>44021</v>
      </c>
      <c r="Y205" s="385">
        <f t="shared" si="58"/>
        <v>48.845999999999997</v>
      </c>
      <c r="Z205" s="385">
        <f t="shared" si="59"/>
        <v>49.685486837661841</v>
      </c>
      <c r="AA205" s="386">
        <f t="shared" si="60"/>
        <v>53.865396819556871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7.7599168087395073E-2</v>
      </c>
      <c r="AD205" s="231">
        <f>(INDEX(Models!$BJ205:$BT205,,AH205)*(1-AF205)+INDEX(Models!$BJ205:$BT205,,AH205+1)*AF205-ERP_i)*AE205*Ramure*Pc/MaxiM</f>
        <v>3.4478696623704511E-3</v>
      </c>
      <c r="AE205" s="305">
        <f t="shared" si="62"/>
        <v>0.7</v>
      </c>
      <c r="AF205" s="177">
        <f t="shared" si="63"/>
        <v>0.3871696482122059</v>
      </c>
      <c r="AG205" s="919">
        <f t="shared" si="71"/>
        <v>-1</v>
      </c>
      <c r="AH205" s="176">
        <f t="shared" si="64"/>
        <v>5</v>
      </c>
      <c r="AI205" s="225">
        <f t="shared" si="65"/>
        <v>-0.6128303517877941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8">
        <v>42.402999999999999</v>
      </c>
      <c r="C206" s="390"/>
      <c r="D206" s="393">
        <f t="shared" si="48"/>
        <v>43.132699586763955</v>
      </c>
      <c r="E206" s="385">
        <f t="shared" si="72"/>
        <v>46.764054895175761</v>
      </c>
      <c r="F206" s="385">
        <f t="shared" si="49"/>
        <v>46.884089041524106</v>
      </c>
      <c r="G206" s="110">
        <f t="shared" si="73"/>
        <v>0.82784691395786825</v>
      </c>
      <c r="H206" s="412" t="b">
        <f>Wh_hp&gt;='2019'!Maxi_hp</f>
        <v>0</v>
      </c>
      <c r="I206" s="380">
        <f>IF(H206,Wh_hp,'2019'!Maxi_hp)</f>
        <v>56.244702289420005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1.6917549649219654E-2</v>
      </c>
      <c r="M206" s="957"/>
      <c r="N206" s="957"/>
      <c r="O206" s="48">
        <f>IF(t&lt;Tnet,'2019'!Resal+('2019'!Salim-'2019'!Resal)*(1-EXP(('2019'!Tnet-t)/('2019'!Tau_j))),Resal+(Salim-Resal)*(1-EXP((Tnet-t)/(Tau_j))))*Salcycl</f>
        <v>7.7652703910122675E-2</v>
      </c>
      <c r="P206" s="169">
        <f>(INDEX(Models!$BJ206:$BT206,,T206)*(1-R206)+INDEX(Models!$BJ206:$BT206,,T206+1)*R206-ERP_i)*Q206*Ramure*Pc/MaxiM</f>
        <v>3.390799462082881E-3</v>
      </c>
      <c r="Q206" s="305">
        <f t="shared" si="51"/>
        <v>0.7</v>
      </c>
      <c r="R206" s="177">
        <f t="shared" si="52"/>
        <v>0.39072594927057014</v>
      </c>
      <c r="S206" s="919">
        <f t="shared" si="53"/>
        <v>-1</v>
      </c>
      <c r="T206" s="176">
        <f t="shared" si="54"/>
        <v>5</v>
      </c>
      <c r="U206" s="251">
        <f t="shared" si="55"/>
        <v>-0.60927405072942986</v>
      </c>
      <c r="V206" s="383">
        <f t="shared" si="56"/>
        <v>51.178171151733693</v>
      </c>
      <c r="W206" s="402"/>
      <c r="X206" s="157">
        <f t="shared" si="57"/>
        <v>44022</v>
      </c>
      <c r="Y206" s="385">
        <f t="shared" si="58"/>
        <v>42.402999999999999</v>
      </c>
      <c r="Z206" s="385">
        <f t="shared" si="59"/>
        <v>43.132699586763955</v>
      </c>
      <c r="AA206" s="386">
        <f t="shared" si="60"/>
        <v>46.764054895175761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7.7652703910122675E-2</v>
      </c>
      <c r="AD206" s="231">
        <f>(INDEX(Models!$BJ206:$BT206,,AH206)*(1-AF206)+INDEX(Models!$BJ206:$BT206,,AH206+1)*AF206-ERP_i)*AE206*Ramure*Pc/MaxiM</f>
        <v>3.390799462082881E-3</v>
      </c>
      <c r="AE206" s="305">
        <f t="shared" si="62"/>
        <v>0.7</v>
      </c>
      <c r="AF206" s="177">
        <f t="shared" si="63"/>
        <v>0.39072594927057014</v>
      </c>
      <c r="AG206" s="919">
        <f t="shared" si="71"/>
        <v>-1</v>
      </c>
      <c r="AH206" s="176">
        <f t="shared" si="64"/>
        <v>5</v>
      </c>
      <c r="AI206" s="225">
        <f t="shared" si="65"/>
        <v>-0.60927405072942986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8">
        <v>36.786999999999999</v>
      </c>
      <c r="C207" s="390"/>
      <c r="D207" s="393">
        <f t="shared" ref="D207:D270" si="74">Wh/(1-Ppv)</f>
        <v>37.420875262530394</v>
      </c>
      <c r="E207" s="385">
        <f t="shared" si="72"/>
        <v>40.57366704417776</v>
      </c>
      <c r="F207" s="385">
        <f t="shared" ref="F207:F270" si="75">Wh_sa/(1-Pvg*MEDIAN((-Sdif+Wh/Env_an)/Csdif,0,1))</f>
        <v>40.654962696087715</v>
      </c>
      <c r="G207" s="110">
        <f t="shared" si="73"/>
        <v>0.71916325317034435</v>
      </c>
      <c r="H207" s="412" t="b">
        <f>Wh_hp&gt;='2019'!Maxi_hp</f>
        <v>0</v>
      </c>
      <c r="I207" s="380">
        <f>IF(H207,Wh_hp,'2019'!Maxi_hp)</f>
        <v>57.631675116560842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1.6939081677896928E-2</v>
      </c>
      <c r="M207" s="957"/>
      <c r="N207" s="957"/>
      <c r="O207" s="48">
        <f>IF(t&lt;Tnet,'2019'!Resal+('2019'!Salim-'2019'!Resal)*(1-EXP(('2019'!Tnet-t)/('2019'!Tau_j))),Resal+(Salim-Resal)*(1-EXP((Tnet-t)/(Tau_j))))*Salcycl</f>
        <v>7.7705369303063404E-2</v>
      </c>
      <c r="P207" s="169">
        <f>(INDEX(Models!$BJ207:$BT207,,T207)*(1-R207)+INDEX(Models!$BJ207:$BT207,,T207+1)*R207-ERP_i)*Q207*Ramure*Pc/MaxiM</f>
        <v>3.3317608612529583E-3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0.39420094281728835</v>
      </c>
      <c r="S207" s="919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-0.60579905718271165</v>
      </c>
      <c r="V207" s="383">
        <f t="shared" ref="V207:V270" si="82">MaxiM*(1-Ppv)*(1-Pvg)*(1-Psa)</f>
        <v>51.084224962573742</v>
      </c>
      <c r="W207" s="402"/>
      <c r="X207" s="157">
        <f t="shared" ref="X207:X270" si="83">t</f>
        <v>44023</v>
      </c>
      <c r="Y207" s="385">
        <f t="shared" ref="Y207:Y270" si="84">Wh_pvt_s*(1-Ppv)</f>
        <v>36.786999999999999</v>
      </c>
      <c r="Z207" s="385">
        <f t="shared" ref="Z207:Z270" si="85">Wh_sa_s*(1-Psa_s)</f>
        <v>37.420875262530394</v>
      </c>
      <c r="AA207" s="386">
        <f t="shared" ref="AA207:AA270" si="86">Wh_hp*(1-Pvg_s*MEDIAN((-Sdif+Wh/Env_an)/Csdif,0,1))</f>
        <v>40.57366704417776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7.7705369303063404E-2</v>
      </c>
      <c r="AD207" s="231">
        <f>(INDEX(Models!$BJ207:$BT207,,AH207)*(1-AF207)+INDEX(Models!$BJ207:$BT207,,AH207+1)*AF207-ERP_i)*AE207*Ramure*Pc/MaxiM</f>
        <v>3.3317608612529583E-3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0.39420094281728835</v>
      </c>
      <c r="AG207" s="919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-0.60579905718271165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8">
        <v>33.01</v>
      </c>
      <c r="C208" s="390"/>
      <c r="D208" s="393">
        <f t="shared" si="74"/>
        <v>33.579529410951359</v>
      </c>
      <c r="E208" s="385">
        <f t="shared" si="72"/>
        <v>36.410725580897861</v>
      </c>
      <c r="F208" s="385">
        <f t="shared" si="75"/>
        <v>36.469923478777488</v>
      </c>
      <c r="G208" s="110">
        <f t="shared" si="73"/>
        <v>0.64632369611139051</v>
      </c>
      <c r="H208" s="412" t="b">
        <f>Wh_hp&gt;='2019'!Maxi_hp</f>
        <v>0</v>
      </c>
      <c r="I208" s="380">
        <f>IF(H208,Wh_hp,'2019'!Maxi_hp)</f>
        <v>54.575416488787674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1.6960613234967559E-2</v>
      </c>
      <c r="M208" s="957"/>
      <c r="N208" s="957"/>
      <c r="O208" s="48">
        <f>IF(t&lt;Tnet,'2019'!Resal+('2019'!Salim-'2019'!Resal)*(1-EXP(('2019'!Tnet-t)/('2019'!Tau_j))),Resal+(Salim-Resal)*(1-EXP((Tnet-t)/(Tau_j))))*Salcycl</f>
        <v>7.7757202713692491E-2</v>
      </c>
      <c r="P208" s="169">
        <f>(INDEX(Models!$BJ208:$BT208,,T208)*(1-R208)+INDEX(Models!$BJ208:$BT208,,T208+1)*R208-ERP_i)*Q208*Ramure*Pc/MaxiM</f>
        <v>3.270766894547558E-3</v>
      </c>
      <c r="Q208" s="305">
        <f t="shared" si="77"/>
        <v>0.7</v>
      </c>
      <c r="R208" s="177">
        <f t="shared" si="78"/>
        <v>0.39759455203463379</v>
      </c>
      <c r="S208" s="919">
        <f t="shared" si="79"/>
        <v>-1</v>
      </c>
      <c r="T208" s="176">
        <f t="shared" si="80"/>
        <v>5</v>
      </c>
      <c r="U208" s="251">
        <f t="shared" si="81"/>
        <v>-0.60240544796536621</v>
      </c>
      <c r="V208" s="383">
        <f t="shared" si="82"/>
        <v>50.989195534325653</v>
      </c>
      <c r="W208" s="402"/>
      <c r="X208" s="157">
        <f t="shared" si="83"/>
        <v>44024</v>
      </c>
      <c r="Y208" s="385">
        <f t="shared" si="84"/>
        <v>33.01</v>
      </c>
      <c r="Z208" s="385">
        <f t="shared" si="85"/>
        <v>33.579529410951359</v>
      </c>
      <c r="AA208" s="386">
        <f t="shared" si="86"/>
        <v>36.410725580897861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7.7757202713692491E-2</v>
      </c>
      <c r="AD208" s="231">
        <f>(INDEX(Models!$BJ208:$BT208,,AH208)*(1-AF208)+INDEX(Models!$BJ208:$BT208,,AH208+1)*AF208-ERP_i)*AE208*Ramure*Pc/MaxiM</f>
        <v>3.270766894547558E-3</v>
      </c>
      <c r="AE208" s="305">
        <f t="shared" si="88"/>
        <v>0.7</v>
      </c>
      <c r="AF208" s="177">
        <f t="shared" si="89"/>
        <v>0.39759455203463379</v>
      </c>
      <c r="AG208" s="919">
        <f t="shared" ref="AG208:AG271" si="95">INDEX(Echel_vg,AH208)</f>
        <v>-1</v>
      </c>
      <c r="AH208" s="176">
        <f t="shared" si="90"/>
        <v>5</v>
      </c>
      <c r="AI208" s="225">
        <f t="shared" si="91"/>
        <v>-0.60240544796536621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8">
        <v>50.264000000000003</v>
      </c>
      <c r="C209" s="390"/>
      <c r="D209" s="393">
        <f t="shared" si="74"/>
        <v>51.132336721648464</v>
      </c>
      <c r="E209" s="385">
        <f t="shared" si="72"/>
        <v>55.446534104739015</v>
      </c>
      <c r="F209" s="385">
        <f t="shared" si="75"/>
        <v>55.621807813947854</v>
      </c>
      <c r="G209" s="110">
        <f t="shared" si="73"/>
        <v>0.98757928246206339</v>
      </c>
      <c r="H209" s="412" t="b">
        <f>Wh_hp&gt;='2019'!Maxi_hp</f>
        <v>0</v>
      </c>
      <c r="I209" s="380">
        <f>IF(H209,Wh_hp,'2019'!Maxi_hp)</f>
        <v>56.367501147703905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1.6982144320441761E-2</v>
      </c>
      <c r="M209" s="957"/>
      <c r="N209" s="957"/>
      <c r="O209" s="48">
        <f>IF(t&lt;Tnet,'2019'!Resal+('2019'!Salim-'2019'!Resal)*(1-EXP(('2019'!Tnet-t)/('2019'!Tau_j))),Resal+(Salim-Resal)*(1-EXP((Tnet-t)/(Tau_j))))*Salcycl</f>
        <v>7.7808242710734526E-2</v>
      </c>
      <c r="P209" s="169">
        <f>(INDEX(Models!$BJ209:$BT209,,T209)*(1-R209)+INDEX(Models!$BJ209:$BT209,,T209+1)*R209-ERP_i)*Q209*Ramure*Pc/MaxiM</f>
        <v>3.2078309830857426E-3</v>
      </c>
      <c r="Q209" s="305">
        <f t="shared" si="77"/>
        <v>0.7</v>
      </c>
      <c r="R209" s="177">
        <f t="shared" si="78"/>
        <v>0.4009068378327667</v>
      </c>
      <c r="S209" s="919">
        <f t="shared" si="79"/>
        <v>-1</v>
      </c>
      <c r="T209" s="176">
        <f t="shared" si="80"/>
        <v>5</v>
      </c>
      <c r="U209" s="251">
        <f t="shared" si="81"/>
        <v>-0.5990931621672333</v>
      </c>
      <c r="V209" s="383">
        <f t="shared" si="82"/>
        <v>50.893273912228878</v>
      </c>
      <c r="W209" s="402"/>
      <c r="X209" s="157">
        <f t="shared" si="83"/>
        <v>44025</v>
      </c>
      <c r="Y209" s="385">
        <f t="shared" si="84"/>
        <v>50.264000000000003</v>
      </c>
      <c r="Z209" s="385">
        <f t="shared" si="85"/>
        <v>51.132336721648464</v>
      </c>
      <c r="AA209" s="386">
        <f t="shared" si="86"/>
        <v>55.446534104739015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7.7808242710734526E-2</v>
      </c>
      <c r="AD209" s="231">
        <f>(INDEX(Models!$BJ209:$BT209,,AH209)*(1-AF209)+INDEX(Models!$BJ209:$BT209,,AH209+1)*AF209-ERP_i)*AE209*Ramure*Pc/MaxiM</f>
        <v>3.2078309830857426E-3</v>
      </c>
      <c r="AE209" s="305">
        <f t="shared" si="88"/>
        <v>0.7</v>
      </c>
      <c r="AF209" s="177">
        <f t="shared" si="89"/>
        <v>0.4009068378327667</v>
      </c>
      <c r="AG209" s="919">
        <f t="shared" si="95"/>
        <v>-1</v>
      </c>
      <c r="AH209" s="176">
        <f t="shared" si="90"/>
        <v>5</v>
      </c>
      <c r="AI209" s="225">
        <f t="shared" si="91"/>
        <v>-0.5990931621672333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8">
        <v>42.417000000000002</v>
      </c>
      <c r="C210" s="390"/>
      <c r="D210" s="393">
        <f t="shared" si="74"/>
        <v>43.150720830178379</v>
      </c>
      <c r="E210" s="385">
        <f t="shared" si="72"/>
        <v>46.794035545951353</v>
      </c>
      <c r="F210" s="385">
        <f t="shared" si="75"/>
        <v>46.906718778458689</v>
      </c>
      <c r="G210" s="110">
        <f t="shared" si="73"/>
        <v>0.83441537656667286</v>
      </c>
      <c r="H210" s="412" t="b">
        <f>Wh_hp&gt;='2019'!Maxi_hp</f>
        <v>0</v>
      </c>
      <c r="I210" s="380">
        <f>IF(H210,Wh_hp,'2019'!Maxi_hp)</f>
        <v>57.830639820469678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1.7003674934329971E-2</v>
      </c>
      <c r="M210" s="957"/>
      <c r="N210" s="957"/>
      <c r="O210" s="48">
        <f>IF(t&lt;Tnet,'2019'!Resal+('2019'!Salim-'2019'!Resal)*(1-EXP(('2019'!Tnet-t)/('2019'!Tau_j))),Resal+(Salim-Resal)*(1-EXP((Tnet-t)/(Tau_j))))*Salcycl</f>
        <v>7.7858527764618032E-2</v>
      </c>
      <c r="P210" s="169">
        <f>(INDEX(Models!$BJ210:$BT210,,T210)*(1-R210)+INDEX(Models!$BJ210:$BT210,,T210+1)*R210-ERP_i)*Q210*Ramure*Pc/MaxiM</f>
        <v>3.1429668139513513E-3</v>
      </c>
      <c r="Q210" s="305">
        <f t="shared" si="77"/>
        <v>0.7</v>
      </c>
      <c r="R210" s="177">
        <f t="shared" si="78"/>
        <v>0.40413799223791913</v>
      </c>
      <c r="S210" s="919">
        <f t="shared" si="79"/>
        <v>-1</v>
      </c>
      <c r="T210" s="176">
        <f t="shared" si="80"/>
        <v>5</v>
      </c>
      <c r="U210" s="251">
        <f t="shared" si="81"/>
        <v>-0.59586200776208087</v>
      </c>
      <c r="V210" s="383">
        <f t="shared" si="82"/>
        <v>50.796651124719205</v>
      </c>
      <c r="W210" s="402"/>
      <c r="X210" s="157">
        <f t="shared" si="83"/>
        <v>44026</v>
      </c>
      <c r="Y210" s="385">
        <f t="shared" si="84"/>
        <v>42.417000000000002</v>
      </c>
      <c r="Z210" s="385">
        <f t="shared" si="85"/>
        <v>43.150720830178379</v>
      </c>
      <c r="AA210" s="386">
        <f t="shared" si="86"/>
        <v>46.794035545951353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7.7858527764618032E-2</v>
      </c>
      <c r="AD210" s="231">
        <f>(INDEX(Models!$BJ210:$BT210,,AH210)*(1-AF210)+INDEX(Models!$BJ210:$BT210,,AH210+1)*AF210-ERP_i)*AE210*Ramure*Pc/MaxiM</f>
        <v>3.1429668139513513E-3</v>
      </c>
      <c r="AE210" s="305">
        <f t="shared" si="88"/>
        <v>0.7</v>
      </c>
      <c r="AF210" s="177">
        <f t="shared" si="89"/>
        <v>0.40413799223791913</v>
      </c>
      <c r="AG210" s="919">
        <f t="shared" si="95"/>
        <v>-1</v>
      </c>
      <c r="AH210" s="176">
        <f t="shared" si="90"/>
        <v>5</v>
      </c>
      <c r="AI210" s="225">
        <f t="shared" si="91"/>
        <v>-0.59586200776208087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8">
        <v>18.670999999999999</v>
      </c>
      <c r="C211" s="390"/>
      <c r="D211" s="393">
        <f t="shared" si="74"/>
        <v>18.994383270484342</v>
      </c>
      <c r="E211" s="385">
        <f t="shared" si="72"/>
        <v>20.599230064620805</v>
      </c>
      <c r="F211" s="385">
        <f t="shared" si="75"/>
        <v>20.605411823608687</v>
      </c>
      <c r="G211" s="110">
        <f t="shared" si="73"/>
        <v>0.36724511425760525</v>
      </c>
      <c r="H211" s="412" t="b">
        <f>Wh_hp&gt;='2019'!Maxi_hp</f>
        <v>0</v>
      </c>
      <c r="I211" s="380">
        <f>IF(H211,Wh_hp,'2019'!Maxi_hp)</f>
        <v>57.203978991704709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1.7025205076642513E-2</v>
      </c>
      <c r="M211" s="957"/>
      <c r="N211" s="957"/>
      <c r="O211" s="48">
        <f>IF(t&lt;Tnet,'2019'!Resal+('2019'!Salim-'2019'!Resal)*(1-EXP(('2019'!Tnet-t)/('2019'!Tau_j))),Resal+(Salim-Resal)*(1-EXP((Tnet-t)/(Tau_j))))*Salcycl</f>
        <v>7.7908096035724642E-2</v>
      </c>
      <c r="P211" s="169">
        <f>(INDEX(Models!$BJ211:$BT211,,T211)*(1-R211)+INDEX(Models!$BJ211:$BT211,,T211+1)*R211-ERP_i)*Q211*Ramure*Pc/MaxiM</f>
        <v>3.076188233022525E-3</v>
      </c>
      <c r="Q211" s="305">
        <f t="shared" si="77"/>
        <v>0.7</v>
      </c>
      <c r="R211" s="177">
        <f t="shared" si="78"/>
        <v>0.40728833159926059</v>
      </c>
      <c r="S211" s="919">
        <f t="shared" si="79"/>
        <v>-1</v>
      </c>
      <c r="T211" s="176">
        <f t="shared" si="80"/>
        <v>5</v>
      </c>
      <c r="U211" s="251">
        <f t="shared" si="81"/>
        <v>-0.59271166840073941</v>
      </c>
      <c r="V211" s="383">
        <f t="shared" si="82"/>
        <v>50.699518207702653</v>
      </c>
      <c r="W211" s="402"/>
      <c r="X211" s="157">
        <f t="shared" si="83"/>
        <v>44027</v>
      </c>
      <c r="Y211" s="385">
        <f t="shared" si="84"/>
        <v>18.670999999999999</v>
      </c>
      <c r="Z211" s="385">
        <f t="shared" si="85"/>
        <v>18.994383270484342</v>
      </c>
      <c r="AA211" s="386">
        <f t="shared" si="86"/>
        <v>20.599230064620805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7.7908096035724642E-2</v>
      </c>
      <c r="AD211" s="231">
        <f>(INDEX(Models!$BJ211:$BT211,,AH211)*(1-AF211)+INDEX(Models!$BJ211:$BT211,,AH211+1)*AF211-ERP_i)*AE211*Ramure*Pc/MaxiM</f>
        <v>3.076188233022525E-3</v>
      </c>
      <c r="AE211" s="305">
        <f t="shared" si="88"/>
        <v>0.7</v>
      </c>
      <c r="AF211" s="177">
        <f t="shared" si="89"/>
        <v>0.40728833159926059</v>
      </c>
      <c r="AG211" s="919">
        <f t="shared" si="95"/>
        <v>-1</v>
      </c>
      <c r="AH211" s="176">
        <f t="shared" si="90"/>
        <v>5</v>
      </c>
      <c r="AI211" s="225">
        <f t="shared" si="91"/>
        <v>-0.59271166840073941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8">
        <v>23.024000000000001</v>
      </c>
      <c r="C212" s="390"/>
      <c r="D212" s="393">
        <f t="shared" si="74"/>
        <v>23.423290622146755</v>
      </c>
      <c r="E212" s="385">
        <f t="shared" si="72"/>
        <v>25.403685343803154</v>
      </c>
      <c r="F212" s="385">
        <f t="shared" si="75"/>
        <v>25.420613416099968</v>
      </c>
      <c r="G212" s="110">
        <f t="shared" si="73"/>
        <v>0.45393504690934244</v>
      </c>
      <c r="H212" s="412" t="b">
        <f>Wh_hp&gt;='2019'!Maxi_hp</f>
        <v>0</v>
      </c>
      <c r="I212" s="380">
        <f>IF(H212,Wh_hp,'2019'!Maxi_hp)</f>
        <v>50.0231298336127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1.7046734747389602E-2</v>
      </c>
      <c r="M212" s="957"/>
      <c r="N212" s="957"/>
      <c r="O212" s="48">
        <f>IF(t&lt;Tnet,'2019'!Resal+('2019'!Salim-'2019'!Resal)*(1-EXP(('2019'!Tnet-t)/('2019'!Tau_j))),Resal+(Salim-Resal)*(1-EXP((Tnet-t)/(Tau_j))))*Salcycl</f>
        <v>7.7956985171818205E-2</v>
      </c>
      <c r="P212" s="169">
        <f>(INDEX(Models!$BJ212:$BT212,,T212)*(1-R212)+INDEX(Models!$BJ212:$BT212,,T212+1)*R212-ERP_i)*Q212*Ramure*Pc/MaxiM</f>
        <v>3.0073550416263328E-3</v>
      </c>
      <c r="Q212" s="305">
        <f t="shared" si="77"/>
        <v>0.7</v>
      </c>
      <c r="R212" s="177">
        <f t="shared" si="78"/>
        <v>0.41035828966583687</v>
      </c>
      <c r="S212" s="919">
        <f t="shared" si="79"/>
        <v>-1</v>
      </c>
      <c r="T212" s="176">
        <f t="shared" si="80"/>
        <v>5</v>
      </c>
      <c r="U212" s="251">
        <f t="shared" si="81"/>
        <v>-0.58964171033416313</v>
      </c>
      <c r="V212" s="383">
        <f t="shared" si="82"/>
        <v>50.602074046569854</v>
      </c>
      <c r="W212" s="402"/>
      <c r="X212" s="157">
        <f t="shared" si="83"/>
        <v>44028</v>
      </c>
      <c r="Y212" s="385">
        <f t="shared" si="84"/>
        <v>23.024000000000001</v>
      </c>
      <c r="Z212" s="385">
        <f t="shared" si="85"/>
        <v>23.423290622146755</v>
      </c>
      <c r="AA212" s="386">
        <f t="shared" si="86"/>
        <v>25.403685343803154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7.7956985171818205E-2</v>
      </c>
      <c r="AD212" s="231">
        <f>(INDEX(Models!$BJ212:$BT212,,AH212)*(1-AF212)+INDEX(Models!$BJ212:$BT212,,AH212+1)*AF212-ERP_i)*AE212*Ramure*Pc/MaxiM</f>
        <v>3.0073550416263328E-3</v>
      </c>
      <c r="AE212" s="305">
        <f t="shared" si="88"/>
        <v>0.7</v>
      </c>
      <c r="AF212" s="177">
        <f t="shared" si="89"/>
        <v>0.41035828966583687</v>
      </c>
      <c r="AG212" s="919">
        <f t="shared" si="95"/>
        <v>-1</v>
      </c>
      <c r="AH212" s="176">
        <f t="shared" si="90"/>
        <v>5</v>
      </c>
      <c r="AI212" s="225">
        <f t="shared" si="91"/>
        <v>-0.58964171033416313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8">
        <v>24.11</v>
      </c>
      <c r="C213" s="390"/>
      <c r="D213" s="393">
        <f t="shared" si="74"/>
        <v>24.528661671668438</v>
      </c>
      <c r="E213" s="385">
        <f t="shared" si="72"/>
        <v>26.603905494995981</v>
      </c>
      <c r="F213" s="385">
        <f t="shared" si="75"/>
        <v>26.623725260897761</v>
      </c>
      <c r="G213" s="110">
        <f t="shared" si="73"/>
        <v>0.47633588871147498</v>
      </c>
      <c r="H213" s="412" t="b">
        <f>Wh_hp&gt;='2019'!Maxi_hp</f>
        <v>0</v>
      </c>
      <c r="I213" s="380">
        <f>IF(H213,Wh_hp,'2019'!Maxi_hp)</f>
        <v>43.68377735688307</v>
      </c>
      <c r="J213" s="85">
        <f>IF(H213,An,'2019'!An_max)</f>
        <v>2018</v>
      </c>
      <c r="K213" s="197">
        <f t="shared" si="76"/>
        <v>44029</v>
      </c>
      <c r="L213" s="147">
        <f>IF(t&lt;Tvie,1-EXP((T0-t)*PertePVj)+'2019'!Pspv,1-EXP((T0-t)*PertePVj)+Pspv)</f>
        <v>1.7068263946581674E-2</v>
      </c>
      <c r="M213" s="957"/>
      <c r="N213" s="957"/>
      <c r="O213" s="48">
        <f>IF(t&lt;Tnet,'2019'!Resal+('2019'!Salim-'2019'!Resal)*(1-EXP(('2019'!Tnet-t)/('2019'!Tau_j))),Resal+(Salim-Resal)*(1-EXP((Tnet-t)/(Tau_j))))*Salcycl</f>
        <v>7.8005232115934381E-2</v>
      </c>
      <c r="P213" s="169">
        <f>(INDEX(Models!$BJ213:$BT213,,T213)*(1-R213)+INDEX(Models!$BJ213:$BT213,,T213+1)*R213-ERP_i)*Q213*Ramure*Pc/MaxiM</f>
        <v>2.9377442688659819E-3</v>
      </c>
      <c r="Q213" s="305">
        <f t="shared" si="77"/>
        <v>0.7</v>
      </c>
      <c r="R213" s="177">
        <f t="shared" si="78"/>
        <v>0.41334841058212723</v>
      </c>
      <c r="S213" s="919">
        <f t="shared" si="79"/>
        <v>-1</v>
      </c>
      <c r="T213" s="176">
        <f t="shared" si="80"/>
        <v>5</v>
      </c>
      <c r="U213" s="251">
        <f t="shared" si="81"/>
        <v>-0.58665158941787277</v>
      </c>
      <c r="V213" s="383">
        <f t="shared" si="82"/>
        <v>50.50444572484087</v>
      </c>
      <c r="W213" s="402"/>
      <c r="X213" s="157">
        <f t="shared" si="83"/>
        <v>44029</v>
      </c>
      <c r="Y213" s="385">
        <f t="shared" si="84"/>
        <v>24.11</v>
      </c>
      <c r="Z213" s="385">
        <f t="shared" si="85"/>
        <v>24.528661671668438</v>
      </c>
      <c r="AA213" s="386">
        <f t="shared" si="86"/>
        <v>26.603905494995981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7.8005232115934381E-2</v>
      </c>
      <c r="AD213" s="231">
        <f>(INDEX(Models!$BJ213:$BT213,,AH213)*(1-AF213)+INDEX(Models!$BJ213:$BT213,,AH213+1)*AF213-ERP_i)*AE213*Ramure*Pc/MaxiM</f>
        <v>2.9377442688659819E-3</v>
      </c>
      <c r="AE213" s="305">
        <f t="shared" si="88"/>
        <v>0.7</v>
      </c>
      <c r="AF213" s="177">
        <f t="shared" si="89"/>
        <v>0.41334841058212723</v>
      </c>
      <c r="AG213" s="919">
        <f t="shared" si="95"/>
        <v>-1</v>
      </c>
      <c r="AH213" s="176">
        <f t="shared" si="90"/>
        <v>5</v>
      </c>
      <c r="AI213" s="225">
        <f t="shared" si="91"/>
        <v>-0.58665158941787277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8">
        <v>51.207999999999998</v>
      </c>
      <c r="C214" s="390"/>
      <c r="D214" s="393">
        <f t="shared" si="74"/>
        <v>52.098350000172367</v>
      </c>
      <c r="E214" s="385">
        <f t="shared" si="72"/>
        <v>56.509043165535843</v>
      </c>
      <c r="F214" s="385">
        <f t="shared" si="75"/>
        <v>56.671542000850792</v>
      </c>
      <c r="G214" s="110">
        <f t="shared" si="73"/>
        <v>1.0158941921774756</v>
      </c>
      <c r="H214" s="412" t="b">
        <f>Wh_hp&gt;='2019'!Maxi_hp</f>
        <v>1</v>
      </c>
      <c r="I214" s="380">
        <f>IF(H214,Wh_hp,'2019'!Maxi_hp)</f>
        <v>56.671542000850792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1.7089792674229054E-2</v>
      </c>
      <c r="M214" s="957"/>
      <c r="N214" s="957"/>
      <c r="O214" s="48">
        <f>IF(t&lt;Tnet,'2019'!Resal+('2019'!Salim-'2019'!Resal)*(1-EXP(('2019'!Tnet-t)/('2019'!Tau_j))),Resal+(Salim-Resal)*(1-EXP((Tnet-t)/(Tau_j))))*Salcycl</f>
        <v>7.8052872925894787E-2</v>
      </c>
      <c r="P214" s="169">
        <f>(INDEX(Models!$BJ214:$BT214,,T214)*(1-R214)+INDEX(Models!$BJ214:$BT214,,T214+1)*R214-ERP_i)*Q214*Ramure*Pc/MaxiM</f>
        <v>2.8673798096496002E-3</v>
      </c>
      <c r="Q214" s="305">
        <f t="shared" si="77"/>
        <v>0.7</v>
      </c>
      <c r="R214" s="177">
        <f t="shared" si="78"/>
        <v>0.41625934184769098</v>
      </c>
      <c r="S214" s="919">
        <f t="shared" si="79"/>
        <v>-1</v>
      </c>
      <c r="T214" s="176">
        <f t="shared" si="80"/>
        <v>5</v>
      </c>
      <c r="U214" s="251">
        <f t="shared" si="81"/>
        <v>-0.58374065815230902</v>
      </c>
      <c r="V214" s="383">
        <f t="shared" si="82"/>
        <v>50.406824248340641</v>
      </c>
      <c r="W214" s="402"/>
      <c r="X214" s="157">
        <f t="shared" si="83"/>
        <v>44030</v>
      </c>
      <c r="Y214" s="385">
        <f t="shared" si="84"/>
        <v>51.207999999999998</v>
      </c>
      <c r="Z214" s="385">
        <f t="shared" si="85"/>
        <v>52.098350000172367</v>
      </c>
      <c r="AA214" s="386">
        <f t="shared" si="86"/>
        <v>56.509043165535843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7.8052872925894787E-2</v>
      </c>
      <c r="AD214" s="231">
        <f>(INDEX(Models!$BJ214:$BT214,,AH214)*(1-AF214)+INDEX(Models!$BJ214:$BT214,,AH214+1)*AF214-ERP_i)*AE214*Ramure*Pc/MaxiM</f>
        <v>2.8673798096496002E-3</v>
      </c>
      <c r="AE214" s="305">
        <f t="shared" si="88"/>
        <v>0.7</v>
      </c>
      <c r="AF214" s="177">
        <f t="shared" si="89"/>
        <v>0.41625934184769098</v>
      </c>
      <c r="AG214" s="919">
        <f t="shared" si="95"/>
        <v>-1</v>
      </c>
      <c r="AH214" s="176">
        <f t="shared" si="90"/>
        <v>5</v>
      </c>
      <c r="AI214" s="225">
        <f t="shared" si="91"/>
        <v>-0.58374065815230902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8">
        <v>50.314</v>
      </c>
      <c r="C215" s="390"/>
      <c r="D215" s="393">
        <f t="shared" si="74"/>
        <v>51.189927273986044</v>
      </c>
      <c r="E215" s="385">
        <f t="shared" si="72"/>
        <v>55.526547442371459</v>
      </c>
      <c r="F215" s="385">
        <f t="shared" si="75"/>
        <v>55.682250887635263</v>
      </c>
      <c r="G215" s="110">
        <f t="shared" si="73"/>
        <v>1.0000914197315955</v>
      </c>
      <c r="H215" s="412" t="b">
        <f>Wh_hp&gt;='2019'!Maxi_hp</f>
        <v>1</v>
      </c>
      <c r="I215" s="380">
        <f>IF(H215,Wh_hp,'2019'!Maxi_hp)</f>
        <v>55.682250887635263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1.7111320930342067E-2</v>
      </c>
      <c r="M215" s="957"/>
      <c r="N215" s="957"/>
      <c r="O215" s="48">
        <f>IF(t&lt;Tnet,'2019'!Resal+('2019'!Salim-'2019'!Resal)*(1-EXP(('2019'!Tnet-t)/('2019'!Tau_j))),Resal+(Salim-Resal)*(1-EXP((Tnet-t)/(Tau_j))))*Salcycl</f>
        <v>7.8099942606483883E-2</v>
      </c>
      <c r="P215" s="169">
        <f>(INDEX(Models!$BJ215:$BT215,,T215)*(1-R215)+INDEX(Models!$BJ215:$BT215,,T215+1)*R215-ERP_i)*Q215*Ramure*Pc/MaxiM</f>
        <v>2.7962850420327123E-3</v>
      </c>
      <c r="Q215" s="305">
        <f t="shared" si="77"/>
        <v>0.7</v>
      </c>
      <c r="R215" s="177">
        <f t="shared" si="78"/>
        <v>0.41909182728312611</v>
      </c>
      <c r="S215" s="919">
        <f t="shared" si="79"/>
        <v>-1</v>
      </c>
      <c r="T215" s="176">
        <f t="shared" si="80"/>
        <v>5</v>
      </c>
      <c r="U215" s="251">
        <f t="shared" si="81"/>
        <v>-0.58090817271687389</v>
      </c>
      <c r="V215" s="383">
        <f t="shared" si="82"/>
        <v>50.309400728088697</v>
      </c>
      <c r="W215" s="402"/>
      <c r="X215" s="157">
        <f t="shared" si="83"/>
        <v>44031</v>
      </c>
      <c r="Y215" s="385">
        <f t="shared" si="84"/>
        <v>50.314</v>
      </c>
      <c r="Z215" s="385">
        <f t="shared" si="85"/>
        <v>51.189927273986044</v>
      </c>
      <c r="AA215" s="386">
        <f t="shared" si="86"/>
        <v>55.526547442371459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7.8099942606483883E-2</v>
      </c>
      <c r="AD215" s="231">
        <f>(INDEX(Models!$BJ215:$BT215,,AH215)*(1-AF215)+INDEX(Models!$BJ215:$BT215,,AH215+1)*AF215-ERP_i)*AE215*Ramure*Pc/MaxiM</f>
        <v>2.7962850420327123E-3</v>
      </c>
      <c r="AE215" s="305">
        <f t="shared" si="88"/>
        <v>0.7</v>
      </c>
      <c r="AF215" s="177">
        <f t="shared" si="89"/>
        <v>0.41909182728312611</v>
      </c>
      <c r="AG215" s="919">
        <f t="shared" si="95"/>
        <v>-1</v>
      </c>
      <c r="AH215" s="176">
        <f t="shared" si="90"/>
        <v>5</v>
      </c>
      <c r="AI215" s="225">
        <f t="shared" si="91"/>
        <v>-0.58090817271687389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8">
        <v>45.688000000000002</v>
      </c>
      <c r="C216" s="390"/>
      <c r="D216" s="393">
        <f t="shared" si="74"/>
        <v>46.484410370480212</v>
      </c>
      <c r="E216" s="385">
        <f t="shared" si="72"/>
        <v>50.424941823833407</v>
      </c>
      <c r="F216" s="385">
        <f t="shared" si="75"/>
        <v>50.544924605053268</v>
      </c>
      <c r="G216" s="110">
        <f t="shared" si="73"/>
        <v>0.90957551842010054</v>
      </c>
      <c r="H216" s="412" t="b">
        <f>Wh_hp&gt;='2019'!Maxi_hp</f>
        <v>1</v>
      </c>
      <c r="I216" s="380">
        <f>IF(H216,Wh_hp,'2019'!Maxi_hp)</f>
        <v>50.544924605053268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1.7132848714931037E-2</v>
      </c>
      <c r="M216" s="957"/>
      <c r="N216" s="957"/>
      <c r="O216" s="48">
        <f>IF(t&lt;Tnet,'2019'!Resal+('2019'!Salim-'2019'!Resal)*(1-EXP(('2019'!Tnet-t)/('2019'!Tau_j))),Resal+(Salim-Resal)*(1-EXP((Tnet-t)/(Tau_j))))*Salcycl</f>
        <v>7.8146474955191655E-2</v>
      </c>
      <c r="P216" s="169">
        <f>(INDEX(Models!$BJ216:$BT216,,T216)*(1-R216)+INDEX(Models!$BJ216:$BT216,,T216+1)*R216-ERP_i)*Q216*Ramure*Pc/MaxiM</f>
        <v>2.724482802750808E-3</v>
      </c>
      <c r="Q216" s="305">
        <f t="shared" si="77"/>
        <v>0.7</v>
      </c>
      <c r="R216" s="177">
        <f t="shared" si="78"/>
        <v>0.42184670004118607</v>
      </c>
      <c r="S216" s="919">
        <f t="shared" si="79"/>
        <v>-1</v>
      </c>
      <c r="T216" s="176">
        <f t="shared" si="80"/>
        <v>5</v>
      </c>
      <c r="U216" s="251">
        <f t="shared" si="81"/>
        <v>-0.57815329995881393</v>
      </c>
      <c r="V216" s="383">
        <f t="shared" si="82"/>
        <v>50.212366391338549</v>
      </c>
      <c r="W216" s="402"/>
      <c r="X216" s="157">
        <f t="shared" si="83"/>
        <v>44032</v>
      </c>
      <c r="Y216" s="385">
        <f t="shared" si="84"/>
        <v>45.688000000000002</v>
      </c>
      <c r="Z216" s="385">
        <f t="shared" si="85"/>
        <v>46.484410370480212</v>
      </c>
      <c r="AA216" s="386">
        <f t="shared" si="86"/>
        <v>50.424941823833407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7.8146474955191655E-2</v>
      </c>
      <c r="AD216" s="231">
        <f>(INDEX(Models!$BJ216:$BT216,,AH216)*(1-AF216)+INDEX(Models!$BJ216:$BT216,,AH216+1)*AF216-ERP_i)*AE216*Ramure*Pc/MaxiM</f>
        <v>2.724482802750808E-3</v>
      </c>
      <c r="AE216" s="305">
        <f t="shared" si="88"/>
        <v>0.7</v>
      </c>
      <c r="AF216" s="177">
        <f t="shared" si="89"/>
        <v>0.42184670004118607</v>
      </c>
      <c r="AG216" s="919">
        <f t="shared" si="95"/>
        <v>-1</v>
      </c>
      <c r="AH216" s="176">
        <f t="shared" si="90"/>
        <v>5</v>
      </c>
      <c r="AI216" s="225">
        <f t="shared" si="91"/>
        <v>-0.57815329995881393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8">
        <v>47.591999999999999</v>
      </c>
      <c r="C217" s="390"/>
      <c r="D217" s="393">
        <f t="shared" si="74"/>
        <v>48.422660526955895</v>
      </c>
      <c r="E217" s="385">
        <f t="shared" si="72"/>
        <v>52.530122237233627</v>
      </c>
      <c r="F217" s="385">
        <f t="shared" si="75"/>
        <v>52.659728232140381</v>
      </c>
      <c r="G217" s="110">
        <f t="shared" si="73"/>
        <v>0.94945686282855069</v>
      </c>
      <c r="H217" s="412" t="b">
        <f>Wh_hp&gt;='2019'!Maxi_hp</f>
        <v>1</v>
      </c>
      <c r="I217" s="380">
        <f>IF(H217,Wh_hp,'2019'!Maxi_hp)</f>
        <v>52.659728232140381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1.715437602800618E-2</v>
      </c>
      <c r="M217" s="957"/>
      <c r="N217" s="957"/>
      <c r="O217" s="48">
        <f>IF(t&lt;Tnet,'2019'!Resal+('2019'!Salim-'2019'!Resal)*(1-EXP(('2019'!Tnet-t)/('2019'!Tau_j))),Resal+(Salim-Resal)*(1-EXP((Tnet-t)/(Tau_j))))*Salcycl</f>
        <v>7.8192502422283414E-2</v>
      </c>
      <c r="P217" s="169">
        <f>(INDEX(Models!$BJ217:$BT217,,T217)*(1-R217)+INDEX(Models!$BJ217:$BT217,,T217+1)*R217-ERP_i)*Q217*Ramure*Pc/MaxiM</f>
        <v>2.6519953770344864E-3</v>
      </c>
      <c r="Q217" s="305">
        <f t="shared" si="77"/>
        <v>0.7</v>
      </c>
      <c r="R217" s="177">
        <f t="shared" si="78"/>
        <v>0.4245248756984652</v>
      </c>
      <c r="S217" s="919">
        <f t="shared" si="79"/>
        <v>-1</v>
      </c>
      <c r="T217" s="176">
        <f t="shared" si="80"/>
        <v>5</v>
      </c>
      <c r="U217" s="251">
        <f t="shared" si="81"/>
        <v>-0.5754751243015348</v>
      </c>
      <c r="V217" s="383">
        <f t="shared" si="82"/>
        <v>50.115912591185165</v>
      </c>
      <c r="W217" s="402"/>
      <c r="X217" s="157">
        <f t="shared" si="83"/>
        <v>44033</v>
      </c>
      <c r="Y217" s="385">
        <f t="shared" si="84"/>
        <v>47.591999999999999</v>
      </c>
      <c r="Z217" s="385">
        <f t="shared" si="85"/>
        <v>48.422660526955895</v>
      </c>
      <c r="AA217" s="386">
        <f t="shared" si="86"/>
        <v>52.530122237233627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7.8192502422283414E-2</v>
      </c>
      <c r="AD217" s="231">
        <f>(INDEX(Models!$BJ217:$BT217,,AH217)*(1-AF217)+INDEX(Models!$BJ217:$BT217,,AH217+1)*AF217-ERP_i)*AE217*Ramure*Pc/MaxiM</f>
        <v>2.6519953770344864E-3</v>
      </c>
      <c r="AE217" s="305">
        <f t="shared" si="88"/>
        <v>0.7</v>
      </c>
      <c r="AF217" s="177">
        <f t="shared" si="89"/>
        <v>0.4245248756984652</v>
      </c>
      <c r="AG217" s="919">
        <f t="shared" si="95"/>
        <v>-1</v>
      </c>
      <c r="AH217" s="176">
        <f t="shared" si="90"/>
        <v>5</v>
      </c>
      <c r="AI217" s="225">
        <f t="shared" si="91"/>
        <v>-0.5754751243015348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8">
        <v>45.164999999999999</v>
      </c>
      <c r="C218" s="390"/>
      <c r="D218" s="393">
        <f t="shared" si="74"/>
        <v>45.954306708463356</v>
      </c>
      <c r="E218" s="385">
        <f t="shared" si="72"/>
        <v>49.854853530116998</v>
      </c>
      <c r="F218" s="385">
        <f t="shared" si="75"/>
        <v>49.965840133085216</v>
      </c>
      <c r="G218" s="110">
        <f t="shared" si="73"/>
        <v>0.90261105430361543</v>
      </c>
      <c r="H218" s="412" t="b">
        <f>Wh_hp&gt;='2019'!Maxi_hp</f>
        <v>0</v>
      </c>
      <c r="I218" s="380">
        <f>IF(H218,Wh_hp,'2019'!Maxi_hp)</f>
        <v>56.297408043792899</v>
      </c>
      <c r="J218" s="85">
        <f>IF(H218,An,'2019'!An_max)</f>
        <v>2018</v>
      </c>
      <c r="K218" s="197">
        <f t="shared" si="76"/>
        <v>44034</v>
      </c>
      <c r="L218" s="147">
        <f>IF(t&lt;Tvie,1-EXP((T0-t)*PertePVj)+'2019'!Pspv,1-EXP((T0-t)*PertePVj)+Pspv)</f>
        <v>1.717590286957793E-2</v>
      </c>
      <c r="M218" s="957"/>
      <c r="N218" s="957"/>
      <c r="O218" s="48">
        <f>IF(t&lt;Tnet,'2019'!Resal+('2019'!Salim-'2019'!Resal)*(1-EXP(('2019'!Tnet-t)/('2019'!Tau_j))),Resal+(Salim-Resal)*(1-EXP((Tnet-t)/(Tau_j))))*Salcycl</f>
        <v>7.8238055985809768E-2</v>
      </c>
      <c r="P218" s="169">
        <f>(INDEX(Models!$BJ218:$BT218,,T218)*(1-R218)+INDEX(Models!$BJ218:$BT218,,T218+1)*R218-ERP_i)*Q218*Ramure*Pc/MaxiM</f>
        <v>2.5788445022749871E-3</v>
      </c>
      <c r="Q218" s="305">
        <f t="shared" si="77"/>
        <v>0.7</v>
      </c>
      <c r="R218" s="177">
        <f t="shared" si="78"/>
        <v>0.42712734545959741</v>
      </c>
      <c r="S218" s="919">
        <f t="shared" si="79"/>
        <v>-1</v>
      </c>
      <c r="T218" s="176">
        <f t="shared" si="80"/>
        <v>5</v>
      </c>
      <c r="U218" s="251">
        <f t="shared" si="81"/>
        <v>-0.57287265454040259</v>
      </c>
      <c r="V218" s="383">
        <f t="shared" si="82"/>
        <v>50.020230814494049</v>
      </c>
      <c r="W218" s="402"/>
      <c r="X218" s="157">
        <f t="shared" si="83"/>
        <v>44034</v>
      </c>
      <c r="Y218" s="385">
        <f t="shared" si="84"/>
        <v>45.164999999999999</v>
      </c>
      <c r="Z218" s="385">
        <f t="shared" si="85"/>
        <v>45.954306708463356</v>
      </c>
      <c r="AA218" s="386">
        <f t="shared" si="86"/>
        <v>49.854853530116998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7.8238055985809768E-2</v>
      </c>
      <c r="AD218" s="231">
        <f>(INDEX(Models!$BJ218:$BT218,,AH218)*(1-AF218)+INDEX(Models!$BJ218:$BT218,,AH218+1)*AF218-ERP_i)*AE218*Ramure*Pc/MaxiM</f>
        <v>2.5788445022749871E-3</v>
      </c>
      <c r="AE218" s="305">
        <f t="shared" si="88"/>
        <v>0.7</v>
      </c>
      <c r="AF218" s="177">
        <f t="shared" si="89"/>
        <v>0.42712734545959741</v>
      </c>
      <c r="AG218" s="919">
        <f t="shared" si="95"/>
        <v>-1</v>
      </c>
      <c r="AH218" s="176">
        <f t="shared" si="90"/>
        <v>5</v>
      </c>
      <c r="AI218" s="225">
        <f t="shared" si="91"/>
        <v>-0.57287265454040259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8">
        <v>44.866999999999997</v>
      </c>
      <c r="C219" s="390"/>
      <c r="D219" s="393">
        <f t="shared" si="74"/>
        <v>45.652098737683126</v>
      </c>
      <c r="E219" s="385">
        <f t="shared" si="72"/>
        <v>49.529418370409033</v>
      </c>
      <c r="F219" s="385">
        <f t="shared" si="75"/>
        <v>49.635762245059325</v>
      </c>
      <c r="G219" s="110">
        <f t="shared" si="73"/>
        <v>0.89835723406645163</v>
      </c>
      <c r="H219" s="412" t="b">
        <f>Wh_hp&gt;='2019'!Maxi_hp</f>
        <v>0</v>
      </c>
      <c r="I219" s="380">
        <f>IF(H219,Wh_hp,'2019'!Maxi_hp)</f>
        <v>53.622135078221874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1.7197429239656725E-2</v>
      </c>
      <c r="M219" s="957"/>
      <c r="N219" s="957"/>
      <c r="O219" s="48">
        <f>IF(t&lt;Tnet,'2019'!Resal+('2019'!Salim-'2019'!Resal)*(1-EXP(('2019'!Tnet-t)/('2019'!Tau_j))),Resal+(Salim-Resal)*(1-EXP((Tnet-t)/(Tau_j))))*Salcycl</f>
        <v>7.8283165042018391E-2</v>
      </c>
      <c r="P219" s="169">
        <f>(INDEX(Models!$BJ219:$BT219,,T219)*(1-R219)+INDEX(Models!$BJ219:$BT219,,T219+1)*R219-ERP_i)*Q219*Ramure*Pc/MaxiM</f>
        <v>2.5050611733439259E-3</v>
      </c>
      <c r="Q219" s="305">
        <f t="shared" si="77"/>
        <v>0.7</v>
      </c>
      <c r="R219" s="177">
        <f t="shared" si="78"/>
        <v>0.42965516950247462</v>
      </c>
      <c r="S219" s="919">
        <f t="shared" si="79"/>
        <v>-1</v>
      </c>
      <c r="T219" s="176">
        <f t="shared" si="80"/>
        <v>5</v>
      </c>
      <c r="U219" s="251">
        <f t="shared" si="81"/>
        <v>-0.57034483049752538</v>
      </c>
      <c r="V219" s="383">
        <f t="shared" si="82"/>
        <v>49.925236492364853</v>
      </c>
      <c r="W219" s="402"/>
      <c r="X219" s="157">
        <f t="shared" si="83"/>
        <v>44035</v>
      </c>
      <c r="Y219" s="385">
        <f t="shared" si="84"/>
        <v>44.866999999999997</v>
      </c>
      <c r="Z219" s="385">
        <f t="shared" si="85"/>
        <v>45.652098737683126</v>
      </c>
      <c r="AA219" s="386">
        <f t="shared" si="86"/>
        <v>49.529418370409033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7.8283165042018391E-2</v>
      </c>
      <c r="AD219" s="231">
        <f>(INDEX(Models!$BJ219:$BT219,,AH219)*(1-AF219)+INDEX(Models!$BJ219:$BT219,,AH219+1)*AF219-ERP_i)*AE219*Ramure*Pc/MaxiM</f>
        <v>2.5050611733439259E-3</v>
      </c>
      <c r="AE219" s="305">
        <f t="shared" si="88"/>
        <v>0.7</v>
      </c>
      <c r="AF219" s="177">
        <f t="shared" si="89"/>
        <v>0.42965516950247462</v>
      </c>
      <c r="AG219" s="919">
        <f t="shared" si="95"/>
        <v>-1</v>
      </c>
      <c r="AH219" s="176">
        <f t="shared" si="90"/>
        <v>5</v>
      </c>
      <c r="AI219" s="225">
        <f t="shared" si="91"/>
        <v>-0.57034483049752538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8">
        <v>49.183</v>
      </c>
      <c r="C220" s="390"/>
      <c r="D220" s="393">
        <f t="shared" si="74"/>
        <v>50.044717749841027</v>
      </c>
      <c r="E220" s="385">
        <f t="shared" si="72"/>
        <v>54.297743668220392</v>
      </c>
      <c r="F220" s="385">
        <f t="shared" si="75"/>
        <v>54.427587484557968</v>
      </c>
      <c r="G220" s="110">
        <f t="shared" si="73"/>
        <v>0.98695839591464574</v>
      </c>
      <c r="H220" s="412" t="b">
        <f>Wh_hp&gt;='2019'!Maxi_hp</f>
        <v>0</v>
      </c>
      <c r="I220" s="380">
        <f>IF(H220,Wh_hp,'2019'!Maxi_hp)</f>
        <v>54.530894378058939</v>
      </c>
      <c r="J220" s="85">
        <f>IF(H220,An,'2019'!An_max)</f>
        <v>2018</v>
      </c>
      <c r="K220" s="197">
        <f t="shared" si="76"/>
        <v>44036</v>
      </c>
      <c r="L220" s="147">
        <f>IF(t&lt;Tvie,1-EXP((T0-t)*PertePVj)+'2019'!Pspv,1-EXP((T0-t)*PertePVj)+Pspv)</f>
        <v>1.7218955138252667E-2</v>
      </c>
      <c r="M220" s="957"/>
      <c r="N220" s="957"/>
      <c r="O220" s="48">
        <f>IF(t&lt;Tnet,'2019'!Resal+('2019'!Salim-'2019'!Resal)*(1-EXP(('2019'!Tnet-t)/('2019'!Tau_j))),Resal+(Salim-Resal)*(1-EXP((Tnet-t)/(Tau_j))))*Salcycl</f>
        <v>7.8327857311474181E-2</v>
      </c>
      <c r="P220" s="169">
        <f>(INDEX(Models!$BJ220:$BT220,,T220)*(1-R220)+INDEX(Models!$BJ220:$BT220,,T220+1)*R220-ERP_i)*Q220*Ramure*Pc/MaxiM</f>
        <v>2.4307571021136704E-3</v>
      </c>
      <c r="Q220" s="305">
        <f t="shared" si="77"/>
        <v>0.7</v>
      </c>
      <c r="R220" s="177">
        <f t="shared" si="78"/>
        <v>0.43210947048960957</v>
      </c>
      <c r="S220" s="919">
        <f t="shared" si="79"/>
        <v>-1</v>
      </c>
      <c r="T220" s="176">
        <f t="shared" si="80"/>
        <v>5</v>
      </c>
      <c r="U220" s="251">
        <f t="shared" si="81"/>
        <v>-0.56789052951039043</v>
      </c>
      <c r="V220" s="383">
        <f t="shared" si="82"/>
        <v>49.830646525682397</v>
      </c>
      <c r="W220" s="402"/>
      <c r="X220" s="157">
        <f t="shared" si="83"/>
        <v>44036</v>
      </c>
      <c r="Y220" s="385">
        <f t="shared" si="84"/>
        <v>49.183</v>
      </c>
      <c r="Z220" s="385">
        <f t="shared" si="85"/>
        <v>50.044717749841027</v>
      </c>
      <c r="AA220" s="386">
        <f t="shared" si="86"/>
        <v>54.297743668220392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7.8327857311474181E-2</v>
      </c>
      <c r="AD220" s="231">
        <f>(INDEX(Models!$BJ220:$BT220,,AH220)*(1-AF220)+INDEX(Models!$BJ220:$BT220,,AH220+1)*AF220-ERP_i)*AE220*Ramure*Pc/MaxiM</f>
        <v>2.4307571021136704E-3</v>
      </c>
      <c r="AE220" s="305">
        <f t="shared" si="88"/>
        <v>0.7</v>
      </c>
      <c r="AF220" s="177">
        <f t="shared" si="89"/>
        <v>0.43210947048960957</v>
      </c>
      <c r="AG220" s="919">
        <f t="shared" si="95"/>
        <v>-1</v>
      </c>
      <c r="AH220" s="176">
        <f t="shared" si="90"/>
        <v>5</v>
      </c>
      <c r="AI220" s="225">
        <f t="shared" si="91"/>
        <v>-0.56789052951039043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8">
        <v>49.463999999999999</v>
      </c>
      <c r="C221" s="390"/>
      <c r="D221" s="393">
        <f t="shared" si="74"/>
        <v>50.331743444679496</v>
      </c>
      <c r="E221" s="385">
        <f t="shared" si="72"/>
        <v>54.611787092952405</v>
      </c>
      <c r="F221" s="385">
        <f t="shared" si="75"/>
        <v>54.739727703954557</v>
      </c>
      <c r="G221" s="110">
        <f t="shared" si="73"/>
        <v>0.99450526693500252</v>
      </c>
      <c r="H221" s="412" t="b">
        <f>Wh_hp&gt;='2019'!Maxi_hp</f>
        <v>1</v>
      </c>
      <c r="I221" s="380">
        <f>IF(H221,Wh_hp,'2019'!Maxi_hp)</f>
        <v>54.739727703954557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1.7240480565376193E-2</v>
      </c>
      <c r="M221" s="957"/>
      <c r="N221" s="957"/>
      <c r="O221" s="48">
        <f>IF(t&lt;Tnet,'2019'!Resal+('2019'!Salim-'2019'!Resal)*(1-EXP(('2019'!Tnet-t)/('2019'!Tau_j))),Resal+(Salim-Resal)*(1-EXP((Tnet-t)/(Tau_j))))*Salcycl</f>
        <v>7.8372158761038591E-2</v>
      </c>
      <c r="P221" s="169">
        <f>(INDEX(Models!$BJ221:$BT221,,T221)*(1-R221)+INDEX(Models!$BJ221:$BT221,,T221+1)*R221-ERP_i)*Q221*Ramure*Pc/MaxiM</f>
        <v>2.3556827190940803E-3</v>
      </c>
      <c r="Q221" s="305">
        <f t="shared" si="77"/>
        <v>0.7</v>
      </c>
      <c r="R221" s="177">
        <f t="shared" si="78"/>
        <v>0.43449142726746848</v>
      </c>
      <c r="S221" s="919">
        <f t="shared" si="79"/>
        <v>-1</v>
      </c>
      <c r="T221" s="176">
        <f t="shared" si="80"/>
        <v>5</v>
      </c>
      <c r="U221" s="251">
        <f t="shared" si="81"/>
        <v>-0.56550857273253152</v>
      </c>
      <c r="V221" s="383">
        <f t="shared" si="82"/>
        <v>49.736374374021942</v>
      </c>
      <c r="W221" s="402"/>
      <c r="X221" s="157">
        <f t="shared" si="83"/>
        <v>44037</v>
      </c>
      <c r="Y221" s="385">
        <f t="shared" si="84"/>
        <v>49.463999999999999</v>
      </c>
      <c r="Z221" s="385">
        <f t="shared" si="85"/>
        <v>50.331743444679496</v>
      </c>
      <c r="AA221" s="386">
        <f t="shared" si="86"/>
        <v>54.611787092952405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7.8372158761038591E-2</v>
      </c>
      <c r="AD221" s="231">
        <f>(INDEX(Models!$BJ221:$BT221,,AH221)*(1-AF221)+INDEX(Models!$BJ221:$BT221,,AH221+1)*AF221-ERP_i)*AE221*Ramure*Pc/MaxiM</f>
        <v>2.3556827190940803E-3</v>
      </c>
      <c r="AE221" s="305">
        <f t="shared" si="88"/>
        <v>0.7</v>
      </c>
      <c r="AF221" s="177">
        <f t="shared" si="89"/>
        <v>0.43449142726746848</v>
      </c>
      <c r="AG221" s="919">
        <f t="shared" si="95"/>
        <v>-1</v>
      </c>
      <c r="AH221" s="176">
        <f t="shared" si="90"/>
        <v>5</v>
      </c>
      <c r="AI221" s="225">
        <f t="shared" si="91"/>
        <v>-0.56550857273253152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8">
        <v>39.548000000000002</v>
      </c>
      <c r="C222" s="390"/>
      <c r="D222" s="393">
        <f t="shared" si="74"/>
        <v>40.242669177523709</v>
      </c>
      <c r="E222" s="385">
        <f t="shared" si="72"/>
        <v>43.666853224660564</v>
      </c>
      <c r="F222" s="385">
        <f t="shared" si="75"/>
        <v>43.737602742818794</v>
      </c>
      <c r="G222" s="110">
        <f t="shared" si="73"/>
        <v>0.7961305217392336</v>
      </c>
      <c r="H222" s="412" t="b">
        <f>Wh_hp&gt;='2019'!Maxi_hp</f>
        <v>0</v>
      </c>
      <c r="I222" s="380">
        <f>IF(H222,Wh_hp,'2019'!Maxi_hp)</f>
        <v>50.176872336007754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1.7262005521037627E-2</v>
      </c>
      <c r="M222" s="957"/>
      <c r="N222" s="957"/>
      <c r="O222" s="48">
        <f>IF(t&lt;Tnet,'2019'!Resal+('2019'!Salim-'2019'!Resal)*(1-EXP(('2019'!Tnet-t)/('2019'!Tau_j))),Resal+(Salim-Resal)*(1-EXP((Tnet-t)/(Tau_j))))*Salcycl</f>
        <v>7.8416093541704285E-2</v>
      </c>
      <c r="P222" s="169">
        <f>(INDEX(Models!$BJ222:$BT222,,T222)*(1-R222)+INDEX(Models!$BJ222:$BT222,,T222+1)*R222-ERP_i)*Q222*Ramure*Pc/MaxiM</f>
        <v>2.2798604170513165E-3</v>
      </c>
      <c r="Q222" s="305">
        <f t="shared" si="77"/>
        <v>0.7</v>
      </c>
      <c r="R222" s="177">
        <f t="shared" si="78"/>
        <v>0.43680226877243444</v>
      </c>
      <c r="S222" s="919">
        <f t="shared" si="79"/>
        <v>-1</v>
      </c>
      <c r="T222" s="176">
        <f t="shared" si="80"/>
        <v>5</v>
      </c>
      <c r="U222" s="251">
        <f t="shared" si="81"/>
        <v>-0.56319773122756556</v>
      </c>
      <c r="V222" s="383">
        <f t="shared" si="82"/>
        <v>49.642319975314756</v>
      </c>
      <c r="W222" s="402"/>
      <c r="X222" s="157">
        <f t="shared" si="83"/>
        <v>44038</v>
      </c>
      <c r="Y222" s="385">
        <f t="shared" si="84"/>
        <v>39.548000000000002</v>
      </c>
      <c r="Z222" s="385">
        <f t="shared" si="85"/>
        <v>40.242669177523709</v>
      </c>
      <c r="AA222" s="386">
        <f t="shared" si="86"/>
        <v>43.666853224660564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7.8416093541704285E-2</v>
      </c>
      <c r="AD222" s="231">
        <f>(INDEX(Models!$BJ222:$BT222,,AH222)*(1-AF222)+INDEX(Models!$BJ222:$BT222,,AH222+1)*AF222-ERP_i)*AE222*Ramure*Pc/MaxiM</f>
        <v>2.2798604170513165E-3</v>
      </c>
      <c r="AE222" s="305">
        <f t="shared" si="88"/>
        <v>0.7</v>
      </c>
      <c r="AF222" s="177">
        <f t="shared" si="89"/>
        <v>0.43680226877243444</v>
      </c>
      <c r="AG222" s="919">
        <f t="shared" si="95"/>
        <v>-1</v>
      </c>
      <c r="AH222" s="176">
        <f t="shared" si="90"/>
        <v>5</v>
      </c>
      <c r="AI222" s="225">
        <f t="shared" si="91"/>
        <v>-0.56319773122756556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8">
        <v>47.476999999999997</v>
      </c>
      <c r="C223" s="390"/>
      <c r="D223" s="393">
        <f t="shared" si="74"/>
        <v>48.312001935058142</v>
      </c>
      <c r="E223" s="385">
        <f t="shared" si="72"/>
        <v>52.425272224361549</v>
      </c>
      <c r="F223" s="385">
        <f t="shared" si="75"/>
        <v>52.534108463708804</v>
      </c>
      <c r="G223" s="110">
        <f t="shared" si="73"/>
        <v>0.95806838518998405</v>
      </c>
      <c r="H223" s="412" t="b">
        <f>Wh_hp&gt;='2019'!Maxi_hp</f>
        <v>1</v>
      </c>
      <c r="I223" s="380">
        <f>IF(H223,Wh_hp,'2019'!Maxi_hp)</f>
        <v>52.534108463708804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1.7283530005247294E-2</v>
      </c>
      <c r="M223" s="957"/>
      <c r="N223" s="957"/>
      <c r="O223" s="48">
        <f>IF(t&lt;Tnet,'2019'!Resal+('2019'!Salim-'2019'!Resal)*(1-EXP(('2019'!Tnet-t)/('2019'!Tau_j))),Resal+(Salim-Resal)*(1-EXP((Tnet-t)/(Tau_j))))*Salcycl</f>
        <v>7.8459683942127559E-2</v>
      </c>
      <c r="P223" s="169">
        <f>(INDEX(Models!$BJ223:$BT223,,T223)*(1-R223)+INDEX(Models!$BJ223:$BT223,,T223+1)*R223-ERP_i)*Q223*Ramure*Pc/MaxiM</f>
        <v>2.2033109806640829E-3</v>
      </c>
      <c r="Q223" s="305">
        <f t="shared" si="77"/>
        <v>0.7</v>
      </c>
      <c r="R223" s="177">
        <f t="shared" si="78"/>
        <v>0.43904326815901595</v>
      </c>
      <c r="S223" s="919">
        <f t="shared" si="79"/>
        <v>-1</v>
      </c>
      <c r="T223" s="176">
        <f t="shared" si="80"/>
        <v>5</v>
      </c>
      <c r="U223" s="251">
        <f t="shared" si="81"/>
        <v>-0.56095673184098405</v>
      </c>
      <c r="V223" s="383">
        <f t="shared" si="82"/>
        <v>49.548383464949879</v>
      </c>
      <c r="W223" s="402"/>
      <c r="X223" s="157">
        <f t="shared" si="83"/>
        <v>44039</v>
      </c>
      <c r="Y223" s="385">
        <f t="shared" si="84"/>
        <v>47.476999999999997</v>
      </c>
      <c r="Z223" s="385">
        <f t="shared" si="85"/>
        <v>48.312001935058142</v>
      </c>
      <c r="AA223" s="386">
        <f t="shared" si="86"/>
        <v>52.425272224361549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7.8459683942127559E-2</v>
      </c>
      <c r="AD223" s="231">
        <f>(INDEX(Models!$BJ223:$BT223,,AH223)*(1-AF223)+INDEX(Models!$BJ223:$BT223,,AH223+1)*AF223-ERP_i)*AE223*Ramure*Pc/MaxiM</f>
        <v>2.2033109806640829E-3</v>
      </c>
      <c r="AE223" s="305">
        <f t="shared" si="88"/>
        <v>0.7</v>
      </c>
      <c r="AF223" s="177">
        <f t="shared" si="89"/>
        <v>0.43904326815901595</v>
      </c>
      <c r="AG223" s="919">
        <f t="shared" si="95"/>
        <v>-1</v>
      </c>
      <c r="AH223" s="176">
        <f t="shared" si="90"/>
        <v>5</v>
      </c>
      <c r="AI223" s="225">
        <f t="shared" si="91"/>
        <v>-0.56095673184098405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8">
        <v>30.087</v>
      </c>
      <c r="C224" s="390"/>
      <c r="D224" s="393">
        <f t="shared" si="74"/>
        <v>30.616825824757601</v>
      </c>
      <c r="E224" s="385">
        <f t="shared" si="72"/>
        <v>33.225093706634567</v>
      </c>
      <c r="F224" s="385">
        <f t="shared" si="75"/>
        <v>33.256241872744368</v>
      </c>
      <c r="G224" s="110">
        <f t="shared" si="73"/>
        <v>0.60765351700764902</v>
      </c>
      <c r="H224" s="412" t="b">
        <f>Wh_hp&gt;='2019'!Maxi_hp</f>
        <v>0</v>
      </c>
      <c r="I224" s="380">
        <f>IF(H224,Wh_hp,'2019'!Maxi_hp)</f>
        <v>55.721551124095164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1.730505401801552E-2</v>
      </c>
      <c r="M224" s="957"/>
      <c r="N224" s="957"/>
      <c r="O224" s="48">
        <f>IF(t&lt;Tnet,'2019'!Resal+('2019'!Salim-'2019'!Resal)*(1-EXP(('2019'!Tnet-t)/('2019'!Tau_j))),Resal+(Salim-Resal)*(1-EXP((Tnet-t)/(Tau_j))))*Salcycl</f>
        <v>7.8502950357552601E-2</v>
      </c>
      <c r="P224" s="169">
        <f>(INDEX(Models!$BJ224:$BT224,,T224)*(1-R224)+INDEX(Models!$BJ224:$BT224,,T224+1)*R224-ERP_i)*Q224*Ramure*Pc/MaxiM</f>
        <v>2.1260536021029557E-3</v>
      </c>
      <c r="Q224" s="305">
        <f t="shared" si="77"/>
        <v>0.7</v>
      </c>
      <c r="R224" s="177">
        <f t="shared" si="78"/>
        <v>0.44121573716304929</v>
      </c>
      <c r="S224" s="919">
        <f t="shared" si="79"/>
        <v>-1</v>
      </c>
      <c r="T224" s="176">
        <f t="shared" si="80"/>
        <v>5</v>
      </c>
      <c r="U224" s="251">
        <f t="shared" si="81"/>
        <v>-0.55878426283695071</v>
      </c>
      <c r="V224" s="383">
        <f t="shared" si="82"/>
        <v>49.454465173634389</v>
      </c>
      <c r="W224" s="402"/>
      <c r="X224" s="157">
        <f t="shared" si="83"/>
        <v>44040</v>
      </c>
      <c r="Y224" s="385">
        <f t="shared" si="84"/>
        <v>30.087</v>
      </c>
      <c r="Z224" s="385">
        <f t="shared" si="85"/>
        <v>30.616825824757601</v>
      </c>
      <c r="AA224" s="386">
        <f t="shared" si="86"/>
        <v>33.225093706634567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7.8502950357552601E-2</v>
      </c>
      <c r="AD224" s="231">
        <f>(INDEX(Models!$BJ224:$BT224,,AH224)*(1-AF224)+INDEX(Models!$BJ224:$BT224,,AH224+1)*AF224-ERP_i)*AE224*Ramure*Pc/MaxiM</f>
        <v>2.1260536021029557E-3</v>
      </c>
      <c r="AE224" s="305">
        <f t="shared" si="88"/>
        <v>0.7</v>
      </c>
      <c r="AF224" s="177">
        <f t="shared" si="89"/>
        <v>0.44121573716304929</v>
      </c>
      <c r="AG224" s="919">
        <f t="shared" si="95"/>
        <v>-1</v>
      </c>
      <c r="AH224" s="176">
        <f t="shared" si="90"/>
        <v>5</v>
      </c>
      <c r="AI224" s="225">
        <f t="shared" si="91"/>
        <v>-0.55878426283695071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8">
        <v>43.015000000000001</v>
      </c>
      <c r="C225" s="390"/>
      <c r="D225" s="393">
        <f t="shared" si="74"/>
        <v>43.773443972021205</v>
      </c>
      <c r="E225" s="385">
        <f t="shared" si="72"/>
        <v>47.504747667381793</v>
      </c>
      <c r="F225" s="385">
        <f t="shared" si="75"/>
        <v>47.584307456397582</v>
      </c>
      <c r="G225" s="110">
        <f t="shared" si="73"/>
        <v>0.87111807199692859</v>
      </c>
      <c r="H225" s="412" t="b">
        <f>Wh_hp&gt;='2019'!Maxi_hp</f>
        <v>0</v>
      </c>
      <c r="I225" s="380">
        <f>IF(H225,Wh_hp,'2019'!Maxi_hp)</f>
        <v>53.533900381500366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1.7326577559352629E-2</v>
      </c>
      <c r="M225" s="957"/>
      <c r="N225" s="957"/>
      <c r="O225" s="48">
        <f>IF(t&lt;Tnet,'2019'!Resal+('2019'!Salim-'2019'!Resal)*(1-EXP(('2019'!Tnet-t)/('2019'!Tau_j))),Resal+(Salim-Resal)*(1-EXP((Tnet-t)/(Tau_j))))*Salcycl</f>
        <v>7.8545911273676994E-2</v>
      </c>
      <c r="P225" s="169">
        <f>(INDEX(Models!$BJ225:$BT225,,T225)*(1-R225)+INDEX(Models!$BJ225:$BT225,,T225+1)*R225-ERP_i)*Q225*Ramure*Pc/MaxiM</f>
        <v>2.0481059054428975E-3</v>
      </c>
      <c r="Q225" s="305">
        <f t="shared" si="77"/>
        <v>0.7</v>
      </c>
      <c r="R225" s="177">
        <f t="shared" si="78"/>
        <v>0.44332102070993173</v>
      </c>
      <c r="S225" s="919">
        <f t="shared" si="79"/>
        <v>-1</v>
      </c>
      <c r="T225" s="176">
        <f t="shared" si="80"/>
        <v>5</v>
      </c>
      <c r="U225" s="251">
        <f t="shared" si="81"/>
        <v>-0.55667897929006827</v>
      </c>
      <c r="V225" s="383">
        <f t="shared" si="82"/>
        <v>49.360465624226627</v>
      </c>
      <c r="W225" s="402"/>
      <c r="X225" s="157">
        <f t="shared" si="83"/>
        <v>44041</v>
      </c>
      <c r="Y225" s="385">
        <f t="shared" si="84"/>
        <v>43.015000000000001</v>
      </c>
      <c r="Z225" s="385">
        <f t="shared" si="85"/>
        <v>43.773443972021205</v>
      </c>
      <c r="AA225" s="386">
        <f t="shared" si="86"/>
        <v>47.504747667381793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7.8545911273676994E-2</v>
      </c>
      <c r="AD225" s="231">
        <f>(INDEX(Models!$BJ225:$BT225,,AH225)*(1-AF225)+INDEX(Models!$BJ225:$BT225,,AH225+1)*AF225-ERP_i)*AE225*Ramure*Pc/MaxiM</f>
        <v>2.0481059054428975E-3</v>
      </c>
      <c r="AE225" s="305">
        <f t="shared" si="88"/>
        <v>0.7</v>
      </c>
      <c r="AF225" s="177">
        <f t="shared" si="89"/>
        <v>0.44332102070993173</v>
      </c>
      <c r="AG225" s="919">
        <f t="shared" si="95"/>
        <v>-1</v>
      </c>
      <c r="AH225" s="176">
        <f t="shared" si="90"/>
        <v>5</v>
      </c>
      <c r="AI225" s="225">
        <f t="shared" si="91"/>
        <v>-0.55667897929006827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8">
        <v>47.421999999999997</v>
      </c>
      <c r="C226" s="390"/>
      <c r="D226" s="393">
        <f t="shared" si="74"/>
        <v>48.259205554243593</v>
      </c>
      <c r="E226" s="385">
        <f t="shared" si="72"/>
        <v>52.375306706359517</v>
      </c>
      <c r="F226" s="385">
        <f t="shared" si="75"/>
        <v>52.473167307668568</v>
      </c>
      <c r="G226" s="110">
        <f t="shared" si="73"/>
        <v>0.96246416214515074</v>
      </c>
      <c r="H226" s="412" t="b">
        <f>Wh_hp&gt;='2019'!Maxi_hp</f>
        <v>0</v>
      </c>
      <c r="I226" s="380">
        <f>IF(H226,Wh_hp,'2019'!Maxi_hp)</f>
        <v>54.478591093372515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1.7348100629268948E-2</v>
      </c>
      <c r="M226" s="957"/>
      <c r="N226" s="957"/>
      <c r="O226" s="48">
        <f>IF(t&lt;Tnet,'2019'!Resal+('2019'!Salim-'2019'!Resal)*(1-EXP(('2019'!Tnet-t)/('2019'!Tau_j))),Resal+(Salim-Resal)*(1-EXP((Tnet-t)/(Tau_j))))*Salcycl</f>
        <v>7.8588583264871559E-2</v>
      </c>
      <c r="P226" s="169">
        <f>(INDEX(Models!$BJ226:$BT226,,T226)*(1-R226)+INDEX(Models!$BJ226:$BT226,,T226+1)*R226-ERP_i)*Q226*Ramure*Pc/MaxiM</f>
        <v>1.9703330481853822E-3</v>
      </c>
      <c r="Q226" s="305">
        <f t="shared" si="77"/>
        <v>0.7</v>
      </c>
      <c r="R226" s="177">
        <f t="shared" si="78"/>
        <v>0.44536049177540482</v>
      </c>
      <c r="S226" s="919">
        <f t="shared" si="79"/>
        <v>-1</v>
      </c>
      <c r="T226" s="176">
        <f t="shared" si="80"/>
        <v>5</v>
      </c>
      <c r="U226" s="251">
        <f t="shared" si="81"/>
        <v>-0.55463950822459518</v>
      </c>
      <c r="V226" s="383">
        <f t="shared" si="82"/>
        <v>49.266243614920072</v>
      </c>
      <c r="W226" s="402"/>
      <c r="X226" s="157">
        <f t="shared" si="83"/>
        <v>44042</v>
      </c>
      <c r="Y226" s="385">
        <f t="shared" si="84"/>
        <v>47.421999999999997</v>
      </c>
      <c r="Z226" s="385">
        <f t="shared" si="85"/>
        <v>48.259205554243593</v>
      </c>
      <c r="AA226" s="386">
        <f t="shared" si="86"/>
        <v>52.375306706359517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7.8588583264871559E-2</v>
      </c>
      <c r="AD226" s="231">
        <f>(INDEX(Models!$BJ226:$BT226,,AH226)*(1-AF226)+INDEX(Models!$BJ226:$BT226,,AH226+1)*AF226-ERP_i)*AE226*Ramure*Pc/MaxiM</f>
        <v>1.9703330481853822E-3</v>
      </c>
      <c r="AE226" s="305">
        <f t="shared" si="88"/>
        <v>0.7</v>
      </c>
      <c r="AF226" s="177">
        <f t="shared" si="89"/>
        <v>0.44536049177540482</v>
      </c>
      <c r="AG226" s="919">
        <f t="shared" si="95"/>
        <v>-1</v>
      </c>
      <c r="AH226" s="176">
        <f t="shared" si="90"/>
        <v>5</v>
      </c>
      <c r="AI226" s="225">
        <f t="shared" si="91"/>
        <v>-0.55463950822459518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8">
        <v>46.23</v>
      </c>
      <c r="C227" s="390"/>
      <c r="D227" s="393">
        <f t="shared" si="74"/>
        <v>47.047191998946481</v>
      </c>
      <c r="E227" s="385">
        <f t="shared" si="72"/>
        <v>51.062268243311522</v>
      </c>
      <c r="F227" s="385">
        <f t="shared" si="75"/>
        <v>51.150817979647158</v>
      </c>
      <c r="G227" s="110">
        <f t="shared" si="73"/>
        <v>0.940022737039513</v>
      </c>
      <c r="H227" s="412" t="b">
        <f>Wh_hp&gt;='2019'!Maxi_hp</f>
        <v>0</v>
      </c>
      <c r="I227" s="380">
        <f>IF(H227,Wh_hp,'2019'!Maxi_hp)</f>
        <v>52.564784252265206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1.73696232277748E-2</v>
      </c>
      <c r="M227" s="957"/>
      <c r="N227" s="957"/>
      <c r="O227" s="48">
        <f>IF(t&lt;Tnet,'2019'!Resal+('2019'!Salim-'2019'!Resal)*(1-EXP(('2019'!Tnet-t)/('2019'!Tau_j))),Resal+(Salim-Resal)*(1-EXP((Tnet-t)/(Tau_j))))*Salcycl</f>
        <v>7.8630981006037937E-2</v>
      </c>
      <c r="P227" s="169">
        <f>(INDEX(Models!$BJ227:$BT227,,T227)*(1-R227)+INDEX(Models!$BJ227:$BT227,,T227+1)*R227-ERP_i)*Q227*Ramure*Pc/MaxiM</f>
        <v>1.8929273724438483E-3</v>
      </c>
      <c r="Q227" s="305">
        <f t="shared" si="77"/>
        <v>0.7</v>
      </c>
      <c r="R227" s="177">
        <f t="shared" si="78"/>
        <v>0.44733554650407403</v>
      </c>
      <c r="S227" s="919">
        <f t="shared" si="79"/>
        <v>-1</v>
      </c>
      <c r="T227" s="176">
        <f t="shared" si="80"/>
        <v>5</v>
      </c>
      <c r="U227" s="251">
        <f t="shared" si="81"/>
        <v>-0.55266445349592597</v>
      </c>
      <c r="V227" s="383">
        <f t="shared" si="82"/>
        <v>49.171691533734524</v>
      </c>
      <c r="W227" s="402"/>
      <c r="X227" s="157">
        <f t="shared" si="83"/>
        <v>44043</v>
      </c>
      <c r="Y227" s="385">
        <f t="shared" si="84"/>
        <v>46.23</v>
      </c>
      <c r="Z227" s="385">
        <f t="shared" si="85"/>
        <v>47.047191998946481</v>
      </c>
      <c r="AA227" s="386">
        <f t="shared" si="86"/>
        <v>51.062268243311522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7.8630981006037937E-2</v>
      </c>
      <c r="AD227" s="231">
        <f>(INDEX(Models!$BJ227:$BT227,,AH227)*(1-AF227)+INDEX(Models!$BJ227:$BT227,,AH227+1)*AF227-ERP_i)*AE227*Ramure*Pc/MaxiM</f>
        <v>1.8929273724438483E-3</v>
      </c>
      <c r="AE227" s="305">
        <f t="shared" si="88"/>
        <v>0.7</v>
      </c>
      <c r="AF227" s="177">
        <f t="shared" si="89"/>
        <v>0.44733554650407403</v>
      </c>
      <c r="AG227" s="919">
        <f t="shared" si="95"/>
        <v>-1</v>
      </c>
      <c r="AH227" s="176">
        <f t="shared" si="90"/>
        <v>5</v>
      </c>
      <c r="AI227" s="225">
        <f t="shared" si="91"/>
        <v>-0.55266445349592597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8">
        <v>38.340000000000003</v>
      </c>
      <c r="C228" s="390"/>
      <c r="D228" s="393">
        <f t="shared" si="74"/>
        <v>39.018577757318226</v>
      </c>
      <c r="E228" s="385">
        <f t="shared" si="72"/>
        <v>42.350417088510902</v>
      </c>
      <c r="F228" s="385">
        <f t="shared" si="75"/>
        <v>42.40335246731167</v>
      </c>
      <c r="G228" s="110">
        <f t="shared" si="73"/>
        <v>0.78078203103715704</v>
      </c>
      <c r="H228" s="412" t="b">
        <f>Wh_hp&gt;='2019'!Maxi_hp</f>
        <v>0</v>
      </c>
      <c r="I228" s="380">
        <f>IF(H228,Wh_hp,'2019'!Maxi_hp)</f>
        <v>52.775979801874328</v>
      </c>
      <c r="J228" s="85">
        <f>IF(H228,An,'2019'!An_max)</f>
        <v>2018</v>
      </c>
      <c r="K228" s="197">
        <f t="shared" si="76"/>
        <v>44044</v>
      </c>
      <c r="L228" s="147">
        <f>IF(t&lt;Tvie,1-EXP((T0-t)*PertePVj)+'2019'!Pspv,1-EXP((T0-t)*PertePVj)+Pspv)</f>
        <v>1.73911453548804E-2</v>
      </c>
      <c r="M228" s="957"/>
      <c r="N228" s="957"/>
      <c r="O228" s="48">
        <f>IF(t&lt;Tnet,'2019'!Resal+('2019'!Salim-'2019'!Resal)*(1-EXP(('2019'!Tnet-t)/('2019'!Tau_j))),Resal+(Salim-Resal)*(1-EXP((Tnet-t)/(Tau_j))))*Salcycl</f>
        <v>7.8673117297268738E-2</v>
      </c>
      <c r="P228" s="169">
        <f>(INDEX(Models!$BJ228:$BT228,,T228)*(1-R228)+INDEX(Models!$BJ228:$BT228,,T228+1)*R228-ERP_i)*Q228*Ramure*Pc/MaxiM</f>
        <v>1.8159121121565014E-3</v>
      </c>
      <c r="Q228" s="305">
        <f t="shared" si="77"/>
        <v>0.7</v>
      </c>
      <c r="R228" s="177">
        <f t="shared" si="78"/>
        <v>0.44924759958871086</v>
      </c>
      <c r="S228" s="919">
        <f t="shared" si="79"/>
        <v>-1</v>
      </c>
      <c r="T228" s="176">
        <f t="shared" si="80"/>
        <v>5</v>
      </c>
      <c r="U228" s="251">
        <f t="shared" si="81"/>
        <v>-0.55075240041128914</v>
      </c>
      <c r="V228" s="383">
        <f t="shared" si="82"/>
        <v>49.076710260808682</v>
      </c>
      <c r="W228" s="402"/>
      <c r="X228" s="157">
        <f t="shared" si="83"/>
        <v>44044</v>
      </c>
      <c r="Y228" s="385">
        <f t="shared" si="84"/>
        <v>38.340000000000003</v>
      </c>
      <c r="Z228" s="385">
        <f t="shared" si="85"/>
        <v>39.018577757318226</v>
      </c>
      <c r="AA228" s="386">
        <f t="shared" si="86"/>
        <v>42.350417088510902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7.8673117297268738E-2</v>
      </c>
      <c r="AD228" s="231">
        <f>(INDEX(Models!$BJ228:$BT228,,AH228)*(1-AF228)+INDEX(Models!$BJ228:$BT228,,AH228+1)*AF228-ERP_i)*AE228*Ramure*Pc/MaxiM</f>
        <v>1.8159121121565014E-3</v>
      </c>
      <c r="AE228" s="305">
        <f t="shared" si="88"/>
        <v>0.7</v>
      </c>
      <c r="AF228" s="177">
        <f t="shared" si="89"/>
        <v>0.44924759958871086</v>
      </c>
      <c r="AG228" s="919">
        <f t="shared" si="95"/>
        <v>-1</v>
      </c>
      <c r="AH228" s="176">
        <f t="shared" si="90"/>
        <v>5</v>
      </c>
      <c r="AI228" s="225">
        <f t="shared" si="91"/>
        <v>-0.55075240041128914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8">
        <v>31.388000000000002</v>
      </c>
      <c r="C229" s="390"/>
      <c r="D229" s="393">
        <f t="shared" si="74"/>
        <v>31.944234315036191</v>
      </c>
      <c r="E229" s="385">
        <f t="shared" si="72"/>
        <v>34.673564013890299</v>
      </c>
      <c r="F229" s="385">
        <f t="shared" si="75"/>
        <v>34.702951788117268</v>
      </c>
      <c r="G229" s="110">
        <f t="shared" si="73"/>
        <v>0.64024488629125909</v>
      </c>
      <c r="H229" s="412" t="b">
        <f>Wh_hp&gt;='2019'!Maxi_hp</f>
        <v>0</v>
      </c>
      <c r="I229" s="380">
        <f>IF(H229,Wh_hp,'2019'!Maxi_hp)</f>
        <v>53.74274506897126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1.7412667010596294E-2</v>
      </c>
      <c r="M229" s="957"/>
      <c r="N229" s="957"/>
      <c r="O229" s="48">
        <f>IF(t&lt;Tnet,'2019'!Resal+('2019'!Salim-'2019'!Resal)*(1-EXP(('2019'!Tnet-t)/('2019'!Tau_j))),Resal+(Salim-Resal)*(1-EXP((Tnet-t)/(Tau_j))))*Salcycl</f>
        <v>7.8715003100365874E-2</v>
      </c>
      <c r="P229" s="169">
        <f>(INDEX(Models!$BJ229:$BT229,,T229)*(1-R229)+INDEX(Models!$BJ229:$BT229,,T229+1)*R229-ERP_i)*Q229*Ramure*Pc/MaxiM</f>
        <v>1.7393088604873914E-3</v>
      </c>
      <c r="Q229" s="305">
        <f t="shared" si="77"/>
        <v>0.7</v>
      </c>
      <c r="R229" s="177">
        <f t="shared" si="78"/>
        <v>0.4510980799114338</v>
      </c>
      <c r="S229" s="919">
        <f t="shared" si="79"/>
        <v>-1</v>
      </c>
      <c r="T229" s="176">
        <f t="shared" si="80"/>
        <v>5</v>
      </c>
      <c r="U229" s="251">
        <f t="shared" si="81"/>
        <v>-0.5489019200885662</v>
      </c>
      <c r="V229" s="383">
        <f t="shared" si="82"/>
        <v>48.98120086541384</v>
      </c>
      <c r="W229" s="402"/>
      <c r="X229" s="157">
        <f t="shared" si="83"/>
        <v>44045</v>
      </c>
      <c r="Y229" s="385">
        <f t="shared" si="84"/>
        <v>31.388000000000002</v>
      </c>
      <c r="Z229" s="385">
        <f t="shared" si="85"/>
        <v>31.944234315036191</v>
      </c>
      <c r="AA229" s="386">
        <f t="shared" si="86"/>
        <v>34.673564013890299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7.8715003100365874E-2</v>
      </c>
      <c r="AD229" s="231">
        <f>(INDEX(Models!$BJ229:$BT229,,AH229)*(1-AF229)+INDEX(Models!$BJ229:$BT229,,AH229+1)*AF229-ERP_i)*AE229*Ramure*Pc/MaxiM</f>
        <v>1.7393088604873914E-3</v>
      </c>
      <c r="AE229" s="305">
        <f t="shared" si="88"/>
        <v>0.7</v>
      </c>
      <c r="AF229" s="177">
        <f t="shared" si="89"/>
        <v>0.4510980799114338</v>
      </c>
      <c r="AG229" s="919">
        <f t="shared" si="95"/>
        <v>-1</v>
      </c>
      <c r="AH229" s="176">
        <f t="shared" si="90"/>
        <v>5</v>
      </c>
      <c r="AI229" s="225">
        <f t="shared" si="91"/>
        <v>-0.5489019200885662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8">
        <v>42.819000000000003</v>
      </c>
      <c r="C230" s="390"/>
      <c r="D230" s="393">
        <f t="shared" si="74"/>
        <v>43.578760308520614</v>
      </c>
      <c r="E230" s="385">
        <f t="shared" si="72"/>
        <v>47.304287400648718</v>
      </c>
      <c r="F230" s="385">
        <f t="shared" si="75"/>
        <v>47.369103250802318</v>
      </c>
      <c r="G230" s="110">
        <f t="shared" si="73"/>
        <v>0.87565310671934027</v>
      </c>
      <c r="H230" s="412" t="b">
        <f>Wh_hp&gt;='2019'!Maxi_hp</f>
        <v>0</v>
      </c>
      <c r="I230" s="380">
        <f>IF(H230,Wh_hp,'2019'!Maxi_hp)</f>
        <v>52.072907124529117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1.7434188194932698E-2</v>
      </c>
      <c r="M230" s="957"/>
      <c r="N230" s="957"/>
      <c r="O230" s="48">
        <f>IF(t&lt;Tnet,'2019'!Resal+('2019'!Salim-'2019'!Resal)*(1-EXP(('2019'!Tnet-t)/('2019'!Tau_j))),Resal+(Salim-Resal)*(1-EXP((Tnet-t)/(Tau_j))))*Salcycl</f>
        <v>7.8756647586176606E-2</v>
      </c>
      <c r="P230" s="169">
        <f>(INDEX(Models!$BJ230:$BT230,,T230)*(1-R230)+INDEX(Models!$BJ230:$BT230,,T230+1)*R230-ERP_i)*Q230*Ramure*Pc/MaxiM</f>
        <v>1.6631376594670624E-3</v>
      </c>
      <c r="Q230" s="305">
        <f t="shared" si="77"/>
        <v>0.7</v>
      </c>
      <c r="R230" s="177">
        <f t="shared" si="78"/>
        <v>0.4528884264461106</v>
      </c>
      <c r="S230" s="919">
        <f t="shared" si="79"/>
        <v>-1</v>
      </c>
      <c r="T230" s="176">
        <f t="shared" si="80"/>
        <v>5</v>
      </c>
      <c r="U230" s="251">
        <f t="shared" si="81"/>
        <v>-0.5471115735538894</v>
      </c>
      <c r="V230" s="383">
        <f t="shared" si="82"/>
        <v>48.885064597875761</v>
      </c>
      <c r="W230" s="402"/>
      <c r="X230" s="157">
        <f t="shared" si="83"/>
        <v>44046</v>
      </c>
      <c r="Y230" s="385">
        <f t="shared" si="84"/>
        <v>42.819000000000003</v>
      </c>
      <c r="Z230" s="385">
        <f t="shared" si="85"/>
        <v>43.578760308520614</v>
      </c>
      <c r="AA230" s="386">
        <f t="shared" si="86"/>
        <v>47.304287400648718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7.8756647586176606E-2</v>
      </c>
      <c r="AD230" s="231">
        <f>(INDEX(Models!$BJ230:$BT230,,AH230)*(1-AF230)+INDEX(Models!$BJ230:$BT230,,AH230+1)*AF230-ERP_i)*AE230*Ramure*Pc/MaxiM</f>
        <v>1.6631376594670624E-3</v>
      </c>
      <c r="AE230" s="305">
        <f t="shared" si="88"/>
        <v>0.7</v>
      </c>
      <c r="AF230" s="177">
        <f t="shared" si="89"/>
        <v>0.4528884264461106</v>
      </c>
      <c r="AG230" s="919">
        <f t="shared" si="95"/>
        <v>-1</v>
      </c>
      <c r="AH230" s="176">
        <f t="shared" si="90"/>
        <v>5</v>
      </c>
      <c r="AI230" s="225">
        <f t="shared" si="91"/>
        <v>-0.5471115735538894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8">
        <v>48.222000000000001</v>
      </c>
      <c r="C231" s="390"/>
      <c r="D231" s="393">
        <f t="shared" si="74"/>
        <v>49.078703562972358</v>
      </c>
      <c r="E231" s="385">
        <f t="shared" si="72"/>
        <v>53.276812971787443</v>
      </c>
      <c r="F231" s="385">
        <f t="shared" si="75"/>
        <v>53.36011340472448</v>
      </c>
      <c r="G231" s="110">
        <f t="shared" si="73"/>
        <v>0.98836862336540154</v>
      </c>
      <c r="H231" s="412" t="b">
        <f>Wh_hp&gt;='2019'!Maxi_hp</f>
        <v>1</v>
      </c>
      <c r="I231" s="380">
        <f>IF(H231,Wh_hp,'2019'!Maxi_hp)</f>
        <v>53.36011340472448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1.7455708907899936E-2</v>
      </c>
      <c r="M231" s="957"/>
      <c r="N231" s="957"/>
      <c r="O231" s="48">
        <f>IF(t&lt;Tnet,'2019'!Resal+('2019'!Salim-'2019'!Resal)*(1-EXP(('2019'!Tnet-t)/('2019'!Tau_j))),Resal+(Salim-Resal)*(1-EXP((Tnet-t)/(Tau_j))))*Salcycl</f>
        <v>7.8798058191622319E-2</v>
      </c>
      <c r="P231" s="169">
        <f>(INDEX(Models!$BJ231:$BT231,,T231)*(1-R231)+INDEX(Models!$BJ231:$BT231,,T231+1)*R231-ERP_i)*Q231*Ramure*Pc/MaxiM</f>
        <v>1.5874170898549081E-3</v>
      </c>
      <c r="Q231" s="305">
        <f t="shared" si="77"/>
        <v>0.7</v>
      </c>
      <c r="R231" s="177">
        <f t="shared" si="78"/>
        <v>0.45462008441975299</v>
      </c>
      <c r="S231" s="919">
        <f t="shared" si="79"/>
        <v>-1</v>
      </c>
      <c r="T231" s="176">
        <f t="shared" si="80"/>
        <v>5</v>
      </c>
      <c r="U231" s="251">
        <f t="shared" si="81"/>
        <v>-0.54537991558024701</v>
      </c>
      <c r="V231" s="383">
        <f t="shared" si="82"/>
        <v>48.788202879788066</v>
      </c>
      <c r="W231" s="402"/>
      <c r="X231" s="157">
        <f t="shared" si="83"/>
        <v>44047</v>
      </c>
      <c r="Y231" s="385">
        <f t="shared" si="84"/>
        <v>48.222000000000001</v>
      </c>
      <c r="Z231" s="385">
        <f t="shared" si="85"/>
        <v>49.078703562972358</v>
      </c>
      <c r="AA231" s="386">
        <f t="shared" si="86"/>
        <v>53.276812971787443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7.8798058191622319E-2</v>
      </c>
      <c r="AD231" s="231">
        <f>(INDEX(Models!$BJ231:$BT231,,AH231)*(1-AF231)+INDEX(Models!$BJ231:$BT231,,AH231+1)*AF231-ERP_i)*AE231*Ramure*Pc/MaxiM</f>
        <v>1.5874170898549081E-3</v>
      </c>
      <c r="AE231" s="305">
        <f t="shared" si="88"/>
        <v>0.7</v>
      </c>
      <c r="AF231" s="177">
        <f t="shared" si="89"/>
        <v>0.45462008441975299</v>
      </c>
      <c r="AG231" s="919">
        <f t="shared" si="95"/>
        <v>-1</v>
      </c>
      <c r="AH231" s="176">
        <f t="shared" si="90"/>
        <v>5</v>
      </c>
      <c r="AI231" s="225">
        <f t="shared" si="91"/>
        <v>-0.54537991558024701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8">
        <v>48.982999999999997</v>
      </c>
      <c r="C232" s="390"/>
      <c r="D232" s="393">
        <f t="shared" si="74"/>
        <v>49.854315292458125</v>
      </c>
      <c r="E232" s="385">
        <f t="shared" si="72"/>
        <v>54.121188715793053</v>
      </c>
      <c r="F232" s="385">
        <f t="shared" si="75"/>
        <v>54.203152791652954</v>
      </c>
      <c r="G232" s="110">
        <f t="shared" si="73"/>
        <v>1.0060069746704061</v>
      </c>
      <c r="H232" s="412" t="b">
        <f>Wh_hp&gt;='2019'!Maxi_hp</f>
        <v>1</v>
      </c>
      <c r="I232" s="380">
        <f>IF(H232,Wh_hp,'2019'!Maxi_hp)</f>
        <v>54.203152791652954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1.7477229149508333E-2</v>
      </c>
      <c r="M232" s="957"/>
      <c r="N232" s="957"/>
      <c r="O232" s="48">
        <f>IF(t&lt;Tnet,'2019'!Resal+('2019'!Salim-'2019'!Resal)*(1-EXP(('2019'!Tnet-t)/('2019'!Tau_j))),Resal+(Salim-Resal)*(1-EXP((Tnet-t)/(Tau_j))))*Salcycl</f>
        <v>7.8839240685225659E-2</v>
      </c>
      <c r="P232" s="169">
        <f>(INDEX(Models!$BJ232:$BT232,,T232)*(1-R232)+INDEX(Models!$BJ232:$BT232,,T232+1)*R232-ERP_i)*Q232*Ramure*Pc/MaxiM</f>
        <v>1.5121643601609654E-3</v>
      </c>
      <c r="Q232" s="305">
        <f t="shared" si="77"/>
        <v>0.7</v>
      </c>
      <c r="R232" s="177">
        <f t="shared" si="78"/>
        <v>0.45629450172928454</v>
      </c>
      <c r="S232" s="919">
        <f t="shared" si="79"/>
        <v>-1</v>
      </c>
      <c r="T232" s="176">
        <f t="shared" si="80"/>
        <v>5</v>
      </c>
      <c r="U232" s="251">
        <f t="shared" si="81"/>
        <v>-0.54370549827071546</v>
      </c>
      <c r="V232" s="383">
        <f t="shared" si="82"/>
        <v>48.690517295914475</v>
      </c>
      <c r="W232" s="402"/>
      <c r="X232" s="157">
        <f t="shared" si="83"/>
        <v>44048</v>
      </c>
      <c r="Y232" s="385">
        <f t="shared" si="84"/>
        <v>48.982999999999997</v>
      </c>
      <c r="Z232" s="385">
        <f t="shared" si="85"/>
        <v>49.854315292458125</v>
      </c>
      <c r="AA232" s="386">
        <f t="shared" si="86"/>
        <v>54.121188715793053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7.8839240685225659E-2</v>
      </c>
      <c r="AD232" s="231">
        <f>(INDEX(Models!$BJ232:$BT232,,AH232)*(1-AF232)+INDEX(Models!$BJ232:$BT232,,AH232+1)*AF232-ERP_i)*AE232*Ramure*Pc/MaxiM</f>
        <v>1.5121643601609654E-3</v>
      </c>
      <c r="AE232" s="305">
        <f t="shared" si="88"/>
        <v>0.7</v>
      </c>
      <c r="AF232" s="177">
        <f t="shared" si="89"/>
        <v>0.45629450172928454</v>
      </c>
      <c r="AG232" s="919">
        <f t="shared" si="95"/>
        <v>-1</v>
      </c>
      <c r="AH232" s="176">
        <f t="shared" si="90"/>
        <v>5</v>
      </c>
      <c r="AI232" s="225">
        <f t="shared" si="91"/>
        <v>-0.54370549827071546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8">
        <v>47.804000000000002</v>
      </c>
      <c r="C233" s="390"/>
      <c r="D233" s="393">
        <f t="shared" si="74"/>
        <v>48.655408781862491</v>
      </c>
      <c r="E233" s="385">
        <f t="shared" ref="E233:E296" si="96">Wh_pvt/(1-Psa)</f>
        <v>52.822020264586314</v>
      </c>
      <c r="F233" s="385">
        <f t="shared" si="75"/>
        <v>52.896291663476283</v>
      </c>
      <c r="G233" s="110">
        <f t="shared" ref="G233:G296" si="97">+Wh_hp/MaxiM</f>
        <v>0.98375096236308324</v>
      </c>
      <c r="H233" s="412" t="b">
        <f>Wh_hp&gt;='2019'!Maxi_hp</f>
        <v>1</v>
      </c>
      <c r="I233" s="380">
        <f>IF(H233,Wh_hp,'2019'!Maxi_hp)</f>
        <v>52.896291663476283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1.7498748919768103E-2</v>
      </c>
      <c r="M233" s="957"/>
      <c r="N233" s="957"/>
      <c r="O233" s="48">
        <f>IF(t&lt;Tnet,'2019'!Resal+('2019'!Salim-'2019'!Resal)*(1-EXP(('2019'!Tnet-t)/('2019'!Tau_j))),Resal+(Salim-Resal)*(1-EXP((Tnet-t)/(Tau_j))))*Salcycl</f>
        <v>7.8880199239885221E-2</v>
      </c>
      <c r="P233" s="169">
        <f>(INDEX(Models!$BJ233:$BT233,,T233)*(1-R233)+INDEX(Models!$BJ233:$BT233,,T233+1)*R233-ERP_i)*Q233*Ramure*Pc/MaxiM</f>
        <v>1.4373933482946907E-3</v>
      </c>
      <c r="Q233" s="305">
        <f t="shared" si="77"/>
        <v>0.7</v>
      </c>
      <c r="R233" s="177">
        <f t="shared" si="78"/>
        <v>0.457913125608848</v>
      </c>
      <c r="S233" s="919">
        <f t="shared" si="79"/>
        <v>-1</v>
      </c>
      <c r="T233" s="176">
        <f t="shared" si="80"/>
        <v>5</v>
      </c>
      <c r="U233" s="251">
        <f t="shared" si="81"/>
        <v>-0.542086874391152</v>
      </c>
      <c r="V233" s="383">
        <f t="shared" si="82"/>
        <v>48.5919788427776</v>
      </c>
      <c r="W233" s="402"/>
      <c r="X233" s="157">
        <f t="shared" si="83"/>
        <v>44049</v>
      </c>
      <c r="Y233" s="385">
        <f t="shared" si="84"/>
        <v>47.804000000000002</v>
      </c>
      <c r="Z233" s="385">
        <f t="shared" si="85"/>
        <v>48.655408781862491</v>
      </c>
      <c r="AA233" s="386">
        <f t="shared" si="86"/>
        <v>52.822020264586314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7.8880199239885221E-2</v>
      </c>
      <c r="AD233" s="231">
        <f>(INDEX(Models!$BJ233:$BT233,,AH233)*(1-AF233)+INDEX(Models!$BJ233:$BT233,,AH233+1)*AF233-ERP_i)*AE233*Ramure*Pc/MaxiM</f>
        <v>1.4373933482946907E-3</v>
      </c>
      <c r="AE233" s="305">
        <f t="shared" si="88"/>
        <v>0.7</v>
      </c>
      <c r="AF233" s="177">
        <f t="shared" si="89"/>
        <v>0.457913125608848</v>
      </c>
      <c r="AG233" s="919">
        <f t="shared" si="95"/>
        <v>-1</v>
      </c>
      <c r="AH233" s="176">
        <f t="shared" si="90"/>
        <v>5</v>
      </c>
      <c r="AI233" s="225">
        <f t="shared" si="91"/>
        <v>-0.542086874391152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8">
        <v>46.445999999999998</v>
      </c>
      <c r="C234" s="390"/>
      <c r="D234" s="393">
        <f t="shared" si="74"/>
        <v>47.274257674293068</v>
      </c>
      <c r="E234" s="385">
        <f t="shared" si="96"/>
        <v>51.324864008146875</v>
      </c>
      <c r="F234" s="385">
        <f t="shared" si="75"/>
        <v>51.390736849058023</v>
      </c>
      <c r="G234" s="110">
        <f t="shared" si="97"/>
        <v>0.95771611810404478</v>
      </c>
      <c r="H234" s="412" t="b">
        <f>Wh_hp&gt;='2019'!Maxi_hp</f>
        <v>0</v>
      </c>
      <c r="I234" s="380">
        <f>IF(H234,Wh_hp,'2019'!Maxi_hp)</f>
        <v>51.803831793657018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1.7520268218689794E-2</v>
      </c>
      <c r="M234" s="957"/>
      <c r="N234" s="957"/>
      <c r="O234" s="48">
        <f>IF(t&lt;Tnet,'2019'!Resal+('2019'!Salim-'2019'!Resal)*(1-EXP(('2019'!Tnet-t)/('2019'!Tau_j))),Resal+(Salim-Resal)*(1-EXP((Tnet-t)/(Tau_j))))*Salcycl</f>
        <v>7.8920936511606712E-2</v>
      </c>
      <c r="P234" s="169">
        <f>(INDEX(Models!$BJ234:$BT234,,T234)*(1-R234)+INDEX(Models!$BJ234:$BT234,,T234+1)*R234-ERP_i)*Q234*Ramure*Pc/MaxiM</f>
        <v>1.3640460344973495E-3</v>
      </c>
      <c r="Q234" s="305">
        <f t="shared" si="77"/>
        <v>0.7</v>
      </c>
      <c r="R234" s="177">
        <f t="shared" si="78"/>
        <v>0.45947739954176958</v>
      </c>
      <c r="S234" s="919">
        <f t="shared" si="79"/>
        <v>-1</v>
      </c>
      <c r="T234" s="176">
        <f t="shared" si="80"/>
        <v>5</v>
      </c>
      <c r="U234" s="251">
        <f t="shared" si="81"/>
        <v>-0.54052260045823042</v>
      </c>
      <c r="V234" s="383">
        <f t="shared" si="82"/>
        <v>48.492631998075339</v>
      </c>
      <c r="W234" s="402"/>
      <c r="X234" s="157">
        <f t="shared" si="83"/>
        <v>44050</v>
      </c>
      <c r="Y234" s="385">
        <f t="shared" si="84"/>
        <v>46.445999999999998</v>
      </c>
      <c r="Z234" s="385">
        <f t="shared" si="85"/>
        <v>47.274257674293068</v>
      </c>
      <c r="AA234" s="386">
        <f t="shared" si="86"/>
        <v>51.324864008146875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7.8920936511606712E-2</v>
      </c>
      <c r="AD234" s="231">
        <f>(INDEX(Models!$BJ234:$BT234,,AH234)*(1-AF234)+INDEX(Models!$BJ234:$BT234,,AH234+1)*AF234-ERP_i)*AE234*Ramure*Pc/MaxiM</f>
        <v>1.3640460344973495E-3</v>
      </c>
      <c r="AE234" s="305">
        <f t="shared" si="88"/>
        <v>0.7</v>
      </c>
      <c r="AF234" s="177">
        <f t="shared" si="89"/>
        <v>0.45947739954176958</v>
      </c>
      <c r="AG234" s="919">
        <f t="shared" si="95"/>
        <v>-1</v>
      </c>
      <c r="AH234" s="176">
        <f t="shared" si="90"/>
        <v>5</v>
      </c>
      <c r="AI234" s="225">
        <f t="shared" si="91"/>
        <v>-0.54052260045823042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8">
        <v>45.225999999999999</v>
      </c>
      <c r="C235" s="390"/>
      <c r="D235" s="393">
        <f t="shared" si="74"/>
        <v>46.033510029938128</v>
      </c>
      <c r="E235" s="385">
        <f t="shared" si="96"/>
        <v>49.980003785951595</v>
      </c>
      <c r="F235" s="385">
        <f t="shared" si="75"/>
        <v>50.038613229390634</v>
      </c>
      <c r="G235" s="110">
        <f t="shared" si="97"/>
        <v>0.93445213422994322</v>
      </c>
      <c r="H235" s="412" t="b">
        <f>Wh_hp&gt;='2019'!Maxi_hp</f>
        <v>0</v>
      </c>
      <c r="I235" s="380">
        <f>IF(H235,Wh_hp,'2019'!Maxi_hp)</f>
        <v>50.584200043559008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1.7541787046283508E-2</v>
      </c>
      <c r="M235" s="957"/>
      <c r="N235" s="957"/>
      <c r="O235" s="48">
        <f>IF(t&lt;Tnet,'2019'!Resal+('2019'!Salim-'2019'!Resal)*(1-EXP(('2019'!Tnet-t)/('2019'!Tau_j))),Resal+(Salim-Resal)*(1-EXP((Tnet-t)/(Tau_j))))*Salcycl</f>
        <v>7.8961453722873651E-2</v>
      </c>
      <c r="P235" s="169">
        <f>(INDEX(Models!$BJ235:$BT235,,T235)*(1-R235)+INDEX(Models!$BJ235:$BT235,,T235+1)*R235-ERP_i)*Q235*Ramure*Pc/MaxiM</f>
        <v>1.2920643966005283E-3</v>
      </c>
      <c r="Q235" s="305">
        <f t="shared" si="77"/>
        <v>0.7</v>
      </c>
      <c r="R235" s="177">
        <f t="shared" si="78"/>
        <v>0.46098876041039794</v>
      </c>
      <c r="S235" s="919">
        <f t="shared" si="79"/>
        <v>-1</v>
      </c>
      <c r="T235" s="176">
        <f t="shared" si="80"/>
        <v>5</v>
      </c>
      <c r="U235" s="251">
        <f t="shared" si="81"/>
        <v>-0.53901123958960206</v>
      </c>
      <c r="V235" s="383">
        <f t="shared" si="82"/>
        <v>48.392560237800303</v>
      </c>
      <c r="W235" s="402"/>
      <c r="X235" s="157">
        <f t="shared" si="83"/>
        <v>44051</v>
      </c>
      <c r="Y235" s="385">
        <f t="shared" si="84"/>
        <v>45.225999999999999</v>
      </c>
      <c r="Z235" s="385">
        <f t="shared" si="85"/>
        <v>46.033510029938128</v>
      </c>
      <c r="AA235" s="386">
        <f t="shared" si="86"/>
        <v>49.980003785951595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7.8961453722873651E-2</v>
      </c>
      <c r="AD235" s="231">
        <f>(INDEX(Models!$BJ235:$BT235,,AH235)*(1-AF235)+INDEX(Models!$BJ235:$BT235,,AH235+1)*AF235-ERP_i)*AE235*Ramure*Pc/MaxiM</f>
        <v>1.2920643966005283E-3</v>
      </c>
      <c r="AE235" s="305">
        <f t="shared" si="88"/>
        <v>0.7</v>
      </c>
      <c r="AF235" s="177">
        <f t="shared" si="89"/>
        <v>0.46098876041039794</v>
      </c>
      <c r="AG235" s="919">
        <f t="shared" si="95"/>
        <v>-1</v>
      </c>
      <c r="AH235" s="176">
        <f t="shared" si="90"/>
        <v>5</v>
      </c>
      <c r="AI235" s="225">
        <f t="shared" si="91"/>
        <v>-0.53901123958960206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8">
        <v>37.572000000000003</v>
      </c>
      <c r="C236" s="390"/>
      <c r="D236" s="393">
        <f t="shared" si="74"/>
        <v>38.243685528659306</v>
      </c>
      <c r="E236" s="385">
        <f t="shared" si="96"/>
        <v>41.524167456099583</v>
      </c>
      <c r="F236" s="385">
        <f t="shared" si="75"/>
        <v>41.558832537647987</v>
      </c>
      <c r="G236" s="110">
        <f t="shared" si="97"/>
        <v>0.77771797137613274</v>
      </c>
      <c r="H236" s="412" t="b">
        <f>Wh_hp&gt;='2019'!Maxi_hp</f>
        <v>0</v>
      </c>
      <c r="I236" s="380">
        <f>IF(H236,Wh_hp,'2019'!Maxi_hp)</f>
        <v>49.139217090165502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1.7563305402559792E-2</v>
      </c>
      <c r="M236" s="957"/>
      <c r="N236" s="957"/>
      <c r="O236" s="48">
        <f>IF(t&lt;Tnet,'2019'!Resal+('2019'!Salim-'2019'!Resal)*(1-EXP(('2019'!Tnet-t)/('2019'!Tau_j))),Resal+(Salim-Resal)*(1-EXP((Tnet-t)/(Tau_j))))*Salcycl</f>
        <v>7.9001750749331454E-2</v>
      </c>
      <c r="P236" s="169">
        <f>(INDEX(Models!$BJ236:$BT236,,T236)*(1-R236)+INDEX(Models!$BJ236:$BT236,,T236+1)*R236-ERP_i)*Q236*Ramure*Pc/MaxiM</f>
        <v>1.2214655897867504E-3</v>
      </c>
      <c r="Q236" s="305">
        <f t="shared" si="77"/>
        <v>0.7</v>
      </c>
      <c r="R236" s="177">
        <f t="shared" si="78"/>
        <v>0.46244863587629503</v>
      </c>
      <c r="S236" s="919">
        <f t="shared" si="79"/>
        <v>-1</v>
      </c>
      <c r="T236" s="176">
        <f t="shared" si="80"/>
        <v>5</v>
      </c>
      <c r="U236" s="251">
        <f t="shared" si="81"/>
        <v>-0.53755136412370497</v>
      </c>
      <c r="V236" s="383">
        <f t="shared" si="82"/>
        <v>48.291843457255133</v>
      </c>
      <c r="W236" s="402"/>
      <c r="X236" s="157">
        <f t="shared" si="83"/>
        <v>44052</v>
      </c>
      <c r="Y236" s="385">
        <f t="shared" si="84"/>
        <v>37.572000000000003</v>
      </c>
      <c r="Z236" s="385">
        <f t="shared" si="85"/>
        <v>38.243685528659306</v>
      </c>
      <c r="AA236" s="386">
        <f t="shared" si="86"/>
        <v>41.524167456099583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7.9001750749331454E-2</v>
      </c>
      <c r="AD236" s="231">
        <f>(INDEX(Models!$BJ236:$BT236,,AH236)*(1-AF236)+INDEX(Models!$BJ236:$BT236,,AH236+1)*AF236-ERP_i)*AE236*Ramure*Pc/MaxiM</f>
        <v>1.2214655897867504E-3</v>
      </c>
      <c r="AE236" s="305">
        <f t="shared" si="88"/>
        <v>0.7</v>
      </c>
      <c r="AF236" s="177">
        <f t="shared" si="89"/>
        <v>0.46244863587629503</v>
      </c>
      <c r="AG236" s="919">
        <f t="shared" si="95"/>
        <v>-1</v>
      </c>
      <c r="AH236" s="176">
        <f t="shared" si="90"/>
        <v>5</v>
      </c>
      <c r="AI236" s="225">
        <f t="shared" si="91"/>
        <v>-0.53755136412370497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8">
        <v>35.747999999999998</v>
      </c>
      <c r="C237" s="390"/>
      <c r="D237" s="393">
        <f t="shared" si="74"/>
        <v>36.387874340079087</v>
      </c>
      <c r="E237" s="385">
        <f t="shared" si="96"/>
        <v>39.510887003990746</v>
      </c>
      <c r="F237" s="385">
        <f t="shared" si="75"/>
        <v>39.539642333041762</v>
      </c>
      <c r="G237" s="110">
        <f t="shared" si="97"/>
        <v>0.74148950223472654</v>
      </c>
      <c r="H237" s="412" t="b">
        <f>Wh_hp&gt;='2019'!Maxi_hp</f>
        <v>0</v>
      </c>
      <c r="I237" s="380">
        <f>IF(H237,Wh_hp,'2019'!Maxi_hp)</f>
        <v>52.879735063277003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1.758482328752875E-2</v>
      </c>
      <c r="M237" s="957"/>
      <c r="N237" s="957"/>
      <c r="O237" s="48">
        <f>IF(t&lt;Tnet,'2019'!Resal+('2019'!Salim-'2019'!Resal)*(1-EXP(('2019'!Tnet-t)/('2019'!Tau_j))),Resal+(Salim-Resal)*(1-EXP((Tnet-t)/(Tau_j))))*Salcycl</f>
        <v>7.9041826208462979E-2</v>
      </c>
      <c r="P237" s="169">
        <f>(INDEX(Models!$BJ237:$BT237,,T237)*(1-R237)+INDEX(Models!$BJ237:$BT237,,T237+1)*R237-ERP_i)*Q237*Ramure*Pc/MaxiM</f>
        <v>1.1522666967328805E-3</v>
      </c>
      <c r="Q237" s="305">
        <f t="shared" si="77"/>
        <v>0.7</v>
      </c>
      <c r="R237" s="177">
        <f t="shared" si="78"/>
        <v>0.46385844198263748</v>
      </c>
      <c r="S237" s="919">
        <f t="shared" si="79"/>
        <v>-1</v>
      </c>
      <c r="T237" s="176">
        <f t="shared" si="80"/>
        <v>5</v>
      </c>
      <c r="U237" s="251">
        <f t="shared" si="81"/>
        <v>-0.53614155801736252</v>
      </c>
      <c r="V237" s="383">
        <f t="shared" si="82"/>
        <v>48.19056163332295</v>
      </c>
      <c r="W237" s="402"/>
      <c r="X237" s="157">
        <f t="shared" si="83"/>
        <v>44053</v>
      </c>
      <c r="Y237" s="385">
        <f t="shared" si="84"/>
        <v>35.747999999999998</v>
      </c>
      <c r="Z237" s="385">
        <f t="shared" si="85"/>
        <v>36.387874340079087</v>
      </c>
      <c r="AA237" s="386">
        <f t="shared" si="86"/>
        <v>39.510887003990746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7.9041826208462979E-2</v>
      </c>
      <c r="AD237" s="231">
        <f>(INDEX(Models!$BJ237:$BT237,,AH237)*(1-AF237)+INDEX(Models!$BJ237:$BT237,,AH237+1)*AF237-ERP_i)*AE237*Ramure*Pc/MaxiM</f>
        <v>1.1522666967328805E-3</v>
      </c>
      <c r="AE237" s="305">
        <f t="shared" si="88"/>
        <v>0.7</v>
      </c>
      <c r="AF237" s="177">
        <f t="shared" si="89"/>
        <v>0.46385844198263748</v>
      </c>
      <c r="AG237" s="919">
        <f t="shared" si="95"/>
        <v>-1</v>
      </c>
      <c r="AH237" s="176">
        <f t="shared" si="90"/>
        <v>5</v>
      </c>
      <c r="AI237" s="225">
        <f t="shared" si="91"/>
        <v>-0.53614155801736252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8">
        <v>40.353999999999999</v>
      </c>
      <c r="C238" s="390"/>
      <c r="D238" s="393">
        <f t="shared" si="74"/>
        <v>41.077219521961673</v>
      </c>
      <c r="E238" s="385">
        <f t="shared" si="96"/>
        <v>44.604628359042522</v>
      </c>
      <c r="F238" s="385">
        <f t="shared" si="75"/>
        <v>44.641917526842974</v>
      </c>
      <c r="G238" s="110">
        <f t="shared" si="97"/>
        <v>0.83894670142700234</v>
      </c>
      <c r="H238" s="412" t="b">
        <f>Wh_hp&gt;='2019'!Maxi_hp</f>
        <v>0</v>
      </c>
      <c r="I238" s="380">
        <f>IF(H238,Wh_hp,'2019'!Maxi_hp)</f>
        <v>51.227825043986797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1.7606340701200818E-2</v>
      </c>
      <c r="M238" s="957"/>
      <c r="N238" s="957"/>
      <c r="O238" s="48">
        <f>IF(t&lt;Tnet,'2019'!Resal+('2019'!Salim-'2019'!Resal)*(1-EXP(('2019'!Tnet-t)/('2019'!Tau_j))),Resal+(Salim-Resal)*(1-EXP((Tnet-t)/(Tau_j))))*Salcycl</f>
        <v>7.908167754895673E-2</v>
      </c>
      <c r="P238" s="169">
        <f>(INDEX(Models!$BJ238:$BT238,,T238)*(1-R238)+INDEX(Models!$BJ238:$BT238,,T238+1)*R238-ERP_i)*Q238*Ramure*Pc/MaxiM</f>
        <v>1.0844847753024417E-3</v>
      </c>
      <c r="Q238" s="305">
        <f t="shared" si="77"/>
        <v>0.7</v>
      </c>
      <c r="R238" s="177">
        <f t="shared" si="78"/>
        <v>0.46521958097020355</v>
      </c>
      <c r="S238" s="919">
        <f t="shared" si="79"/>
        <v>-1</v>
      </c>
      <c r="T238" s="176">
        <f t="shared" si="80"/>
        <v>5</v>
      </c>
      <c r="U238" s="251">
        <f t="shared" si="81"/>
        <v>-0.53478041902979645</v>
      </c>
      <c r="V238" s="383">
        <f t="shared" si="82"/>
        <v>48.088794816354209</v>
      </c>
      <c r="W238" s="402"/>
      <c r="X238" s="157">
        <f t="shared" si="83"/>
        <v>44054</v>
      </c>
      <c r="Y238" s="385">
        <f t="shared" si="84"/>
        <v>40.353999999999999</v>
      </c>
      <c r="Z238" s="385">
        <f t="shared" si="85"/>
        <v>41.077219521961673</v>
      </c>
      <c r="AA238" s="386">
        <f t="shared" si="86"/>
        <v>44.604628359042522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7.908167754895673E-2</v>
      </c>
      <c r="AD238" s="231">
        <f>(INDEX(Models!$BJ238:$BT238,,AH238)*(1-AF238)+INDEX(Models!$BJ238:$BT238,,AH238+1)*AF238-ERP_i)*AE238*Ramure*Pc/MaxiM</f>
        <v>1.0844847753024417E-3</v>
      </c>
      <c r="AE238" s="305">
        <f t="shared" si="88"/>
        <v>0.7</v>
      </c>
      <c r="AF238" s="177">
        <f t="shared" si="89"/>
        <v>0.46521958097020355</v>
      </c>
      <c r="AG238" s="919">
        <f t="shared" si="95"/>
        <v>-1</v>
      </c>
      <c r="AH238" s="176">
        <f t="shared" si="90"/>
        <v>5</v>
      </c>
      <c r="AI238" s="225">
        <f t="shared" si="91"/>
        <v>-0.53478041902979645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8">
        <v>23.923999999999999</v>
      </c>
      <c r="C239" s="390"/>
      <c r="D239" s="393">
        <f t="shared" si="74"/>
        <v>24.353296442846556</v>
      </c>
      <c r="E239" s="385">
        <f t="shared" si="96"/>
        <v>26.445715893940797</v>
      </c>
      <c r="F239" s="385">
        <f t="shared" si="75"/>
        <v>26.453355501687415</v>
      </c>
      <c r="G239" s="110">
        <f t="shared" si="97"/>
        <v>0.49819188427980249</v>
      </c>
      <c r="H239" s="412" t="b">
        <f>Wh_hp&gt;='2019'!Maxi_hp</f>
        <v>0</v>
      </c>
      <c r="I239" s="380">
        <f>IF(H239,Wh_hp,'2019'!Maxi_hp)</f>
        <v>48.536022746732414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1.762785764358632E-2</v>
      </c>
      <c r="M239" s="957"/>
      <c r="N239" s="957"/>
      <c r="O239" s="48">
        <f>IF(t&lt;Tnet,'2019'!Resal+('2019'!Salim-'2019'!Resal)*(1-EXP(('2019'!Tnet-t)/('2019'!Tau_j))),Resal+(Salim-Resal)*(1-EXP((Tnet-t)/(Tau_j))))*Salcycl</f>
        <v>7.9121301139503275E-2</v>
      </c>
      <c r="P239" s="169">
        <f>(INDEX(Models!$BJ239:$BT239,,T239)*(1-R239)+INDEX(Models!$BJ239:$BT239,,T239+1)*R239-ERP_i)*Q239*Ramure*Pc/MaxiM</f>
        <v>1.0181368990970243E-3</v>
      </c>
      <c r="Q239" s="305">
        <f t="shared" si="77"/>
        <v>0.7</v>
      </c>
      <c r="R239" s="177">
        <f t="shared" si="78"/>
        <v>0.46653343929794722</v>
      </c>
      <c r="S239" s="919">
        <f t="shared" si="79"/>
        <v>-1</v>
      </c>
      <c r="T239" s="176">
        <f t="shared" si="80"/>
        <v>5</v>
      </c>
      <c r="U239" s="251">
        <f t="shared" si="81"/>
        <v>-0.53346656070205278</v>
      </c>
      <c r="V239" s="383">
        <f t="shared" si="82"/>
        <v>47.986623122704387</v>
      </c>
      <c r="W239" s="402"/>
      <c r="X239" s="157">
        <f t="shared" si="83"/>
        <v>44055</v>
      </c>
      <c r="Y239" s="385">
        <f t="shared" si="84"/>
        <v>23.923999999999999</v>
      </c>
      <c r="Z239" s="385">
        <f t="shared" si="85"/>
        <v>24.353296442846556</v>
      </c>
      <c r="AA239" s="386">
        <f t="shared" si="86"/>
        <v>26.445715893940797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7.9121301139503275E-2</v>
      </c>
      <c r="AD239" s="231">
        <f>(INDEX(Models!$BJ239:$BT239,,AH239)*(1-AF239)+INDEX(Models!$BJ239:$BT239,,AH239+1)*AF239-ERP_i)*AE239*Ramure*Pc/MaxiM</f>
        <v>1.0181368990970243E-3</v>
      </c>
      <c r="AE239" s="305">
        <f t="shared" si="88"/>
        <v>0.7</v>
      </c>
      <c r="AF239" s="177">
        <f t="shared" si="89"/>
        <v>0.46653343929794722</v>
      </c>
      <c r="AG239" s="919">
        <f t="shared" si="95"/>
        <v>-1</v>
      </c>
      <c r="AH239" s="176">
        <f t="shared" si="90"/>
        <v>5</v>
      </c>
      <c r="AI239" s="225">
        <f t="shared" si="91"/>
        <v>-0.53346656070205278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8">
        <v>15.898999999999999</v>
      </c>
      <c r="C240" s="390"/>
      <c r="D240" s="393">
        <f t="shared" si="74"/>
        <v>16.184648923770631</v>
      </c>
      <c r="E240" s="385">
        <f t="shared" si="96"/>
        <v>17.575975297119157</v>
      </c>
      <c r="F240" s="385">
        <f t="shared" si="75"/>
        <v>17.576743378582584</v>
      </c>
      <c r="G240" s="110">
        <f t="shared" si="97"/>
        <v>0.33172868870203986</v>
      </c>
      <c r="H240" s="412" t="b">
        <f>Wh_hp&gt;='2019'!Maxi_hp</f>
        <v>0</v>
      </c>
      <c r="I240" s="380">
        <f>IF(H240,Wh_hp,'2019'!Maxi_hp)</f>
        <v>53.538915966622881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1.7649374114695582E-2</v>
      </c>
      <c r="M240" s="957"/>
      <c r="N240" s="957"/>
      <c r="O240" s="48">
        <f>IF(t&lt;Tnet,'2019'!Resal+('2019'!Salim-'2019'!Resal)*(1-EXP(('2019'!Tnet-t)/('2019'!Tau_j))),Resal+(Salim-Resal)*(1-EXP((Tnet-t)/(Tau_j))))*Salcycl</f>
        <v>7.9160692355807777E-2</v>
      </c>
      <c r="P240" s="169">
        <f>(INDEX(Models!$BJ240:$BT240,,T240)*(1-R240)+INDEX(Models!$BJ240:$BT240,,T240+1)*R240-ERP_i)*Q240*Ramure*Pc/MaxiM</f>
        <v>9.5497651372495446E-4</v>
      </c>
      <c r="Q240" s="305">
        <f t="shared" si="77"/>
        <v>0.7</v>
      </c>
      <c r="R240" s="177">
        <f t="shared" si="78"/>
        <v>0.46780138585889608</v>
      </c>
      <c r="S240" s="919">
        <f t="shared" si="79"/>
        <v>-1</v>
      </c>
      <c r="T240" s="176">
        <f t="shared" si="80"/>
        <v>5</v>
      </c>
      <c r="U240" s="251">
        <f t="shared" si="81"/>
        <v>-0.53219861414110392</v>
      </c>
      <c r="V240" s="383">
        <f t="shared" si="82"/>
        <v>47.884043504365401</v>
      </c>
      <c r="W240" s="402"/>
      <c r="X240" s="157">
        <f t="shared" si="83"/>
        <v>44056</v>
      </c>
      <c r="Y240" s="385">
        <f t="shared" si="84"/>
        <v>15.898999999999997</v>
      </c>
      <c r="Z240" s="385">
        <f t="shared" si="85"/>
        <v>16.184648923770631</v>
      </c>
      <c r="AA240" s="386">
        <f t="shared" si="86"/>
        <v>17.575975297119157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7.9160692355807777E-2</v>
      </c>
      <c r="AD240" s="231">
        <f>(INDEX(Models!$BJ240:$BT240,,AH240)*(1-AF240)+INDEX(Models!$BJ240:$BT240,,AH240+1)*AF240-ERP_i)*AE240*Ramure*Pc/MaxiM</f>
        <v>9.5497651372495446E-4</v>
      </c>
      <c r="AE240" s="305">
        <f t="shared" si="88"/>
        <v>0.7</v>
      </c>
      <c r="AF240" s="177">
        <f t="shared" si="89"/>
        <v>0.46780138585889608</v>
      </c>
      <c r="AG240" s="919">
        <f t="shared" si="95"/>
        <v>-1</v>
      </c>
      <c r="AH240" s="176">
        <f t="shared" si="90"/>
        <v>5</v>
      </c>
      <c r="AI240" s="225">
        <f t="shared" si="91"/>
        <v>-0.53219861414110392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8">
        <v>43.780999999999999</v>
      </c>
      <c r="C241" s="390"/>
      <c r="D241" s="393">
        <f t="shared" si="74"/>
        <v>44.568566236528241</v>
      </c>
      <c r="E241" s="385">
        <f t="shared" si="96"/>
        <v>48.401996922665198</v>
      </c>
      <c r="F241" s="385">
        <f t="shared" si="75"/>
        <v>48.44012950383668</v>
      </c>
      <c r="G241" s="110">
        <f t="shared" si="97"/>
        <v>0.91618323107000055</v>
      </c>
      <c r="H241" s="412" t="b">
        <f>Wh_hp&gt;='2019'!Maxi_hp</f>
        <v>0</v>
      </c>
      <c r="I241" s="380">
        <f>IF(H241,Wh_hp,'2019'!Maxi_hp)</f>
        <v>53.803189402990363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1.7670890114538929E-2</v>
      </c>
      <c r="M241" s="957"/>
      <c r="N241" s="957"/>
      <c r="O241" s="48">
        <f>IF(t&lt;Tnet,'2019'!Resal+('2019'!Salim-'2019'!Resal)*(1-EXP(('2019'!Tnet-t)/('2019'!Tau_j))),Resal+(Salim-Resal)*(1-EXP((Tnet-t)/(Tau_j))))*Salcycl</f>
        <v>7.9199845664670893E-2</v>
      </c>
      <c r="P241" s="169">
        <f>(INDEX(Models!$BJ241:$BT241,,T241)*(1-R241)+INDEX(Models!$BJ241:$BT241,,T241+1)*R241-ERP_i)*Q241*Ramure*Pc/MaxiM</f>
        <v>8.9414913761669962E-4</v>
      </c>
      <c r="Q241" s="305">
        <f t="shared" si="77"/>
        <v>0.7</v>
      </c>
      <c r="R241" s="177">
        <f t="shared" si="78"/>
        <v>0.46902477038193635</v>
      </c>
      <c r="S241" s="919">
        <f t="shared" si="79"/>
        <v>-1</v>
      </c>
      <c r="T241" s="176">
        <f t="shared" si="80"/>
        <v>5</v>
      </c>
      <c r="U241" s="251">
        <f t="shared" si="81"/>
        <v>-0.53097522961806365</v>
      </c>
      <c r="V241" s="383">
        <f t="shared" si="82"/>
        <v>47.781178424546439</v>
      </c>
      <c r="W241" s="402"/>
      <c r="X241" s="157">
        <f t="shared" si="83"/>
        <v>44057</v>
      </c>
      <c r="Y241" s="385">
        <f t="shared" si="84"/>
        <v>43.780999999999999</v>
      </c>
      <c r="Z241" s="385">
        <f t="shared" si="85"/>
        <v>44.568566236528241</v>
      </c>
      <c r="AA241" s="386">
        <f t="shared" si="86"/>
        <v>48.401996922665198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7.9199845664670893E-2</v>
      </c>
      <c r="AD241" s="231">
        <f>(INDEX(Models!$BJ241:$BT241,,AH241)*(1-AF241)+INDEX(Models!$BJ241:$BT241,,AH241+1)*AF241-ERP_i)*AE241*Ramure*Pc/MaxiM</f>
        <v>8.9414913761669962E-4</v>
      </c>
      <c r="AE241" s="305">
        <f t="shared" si="88"/>
        <v>0.7</v>
      </c>
      <c r="AF241" s="177">
        <f t="shared" si="89"/>
        <v>0.46902477038193635</v>
      </c>
      <c r="AG241" s="919">
        <f t="shared" si="95"/>
        <v>-1</v>
      </c>
      <c r="AH241" s="176">
        <f t="shared" si="90"/>
        <v>5</v>
      </c>
      <c r="AI241" s="225">
        <f t="shared" si="91"/>
        <v>-0.53097522961806365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8">
        <v>43.356999999999999</v>
      </c>
      <c r="C242" s="390"/>
      <c r="D242" s="393">
        <f t="shared" si="74"/>
        <v>44.137905732456709</v>
      </c>
      <c r="E242" s="385">
        <f t="shared" si="96"/>
        <v>47.936320037308775</v>
      </c>
      <c r="F242" s="385">
        <f t="shared" si="75"/>
        <v>47.971218174459807</v>
      </c>
      <c r="G242" s="110">
        <f t="shared" si="97"/>
        <v>0.90927067292801644</v>
      </c>
      <c r="H242" s="412" t="b">
        <f>Wh_hp&gt;='2019'!Maxi_hp</f>
        <v>0</v>
      </c>
      <c r="I242" s="380">
        <f>IF(H242,Wh_hp,'2019'!Maxi_hp)</f>
        <v>53.769916943030935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1.7692405643126574E-2</v>
      </c>
      <c r="M242" s="957"/>
      <c r="N242" s="957"/>
      <c r="O242" s="48">
        <f>IF(t&lt;Tnet,'2019'!Resal+('2019'!Salim-'2019'!Resal)*(1-EXP(('2019'!Tnet-t)/('2019'!Tau_j))),Resal+(Salim-Resal)*(1-EXP((Tnet-t)/(Tau_j))))*Salcycl</f>
        <v>7.92387547040692E-2</v>
      </c>
      <c r="P242" s="169">
        <f>(INDEX(Models!$BJ242:$BT242,,T242)*(1-R242)+INDEX(Models!$BJ242:$BT242,,T242+1)*R242-ERP_i)*Q242*Ramure*Pc/MaxiM</f>
        <v>8.3567822160181867E-4</v>
      </c>
      <c r="Q242" s="305">
        <f t="shared" si="77"/>
        <v>0.7</v>
      </c>
      <c r="R242" s="177">
        <f t="shared" si="78"/>
        <v>0.47020492200995512</v>
      </c>
      <c r="S242" s="919">
        <f t="shared" si="79"/>
        <v>-1</v>
      </c>
      <c r="T242" s="176">
        <f t="shared" si="80"/>
        <v>5</v>
      </c>
      <c r="U242" s="251">
        <f t="shared" si="81"/>
        <v>-0.52979507799004488</v>
      </c>
      <c r="V242" s="383">
        <f t="shared" si="82"/>
        <v>47.678108133493353</v>
      </c>
      <c r="W242" s="402"/>
      <c r="X242" s="157">
        <f t="shared" si="83"/>
        <v>44058</v>
      </c>
      <c r="Y242" s="385">
        <f t="shared" si="84"/>
        <v>43.356999999999999</v>
      </c>
      <c r="Z242" s="385">
        <f t="shared" si="85"/>
        <v>44.137905732456709</v>
      </c>
      <c r="AA242" s="386">
        <f t="shared" si="86"/>
        <v>47.936320037308775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7.92387547040692E-2</v>
      </c>
      <c r="AD242" s="231">
        <f>(INDEX(Models!$BJ242:$BT242,,AH242)*(1-AF242)+INDEX(Models!$BJ242:$BT242,,AH242+1)*AF242-ERP_i)*AE242*Ramure*Pc/MaxiM</f>
        <v>8.3567822160181867E-4</v>
      </c>
      <c r="AE242" s="305">
        <f t="shared" si="88"/>
        <v>0.7</v>
      </c>
      <c r="AF242" s="177">
        <f t="shared" si="89"/>
        <v>0.47020492200995512</v>
      </c>
      <c r="AG242" s="919">
        <f t="shared" si="95"/>
        <v>-1</v>
      </c>
      <c r="AH242" s="176">
        <f t="shared" si="90"/>
        <v>5</v>
      </c>
      <c r="AI242" s="225">
        <f t="shared" si="91"/>
        <v>-0.52979507799004488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8">
        <v>18.72</v>
      </c>
      <c r="C243" s="390"/>
      <c r="D243" s="393">
        <f t="shared" si="74"/>
        <v>19.0575845413072</v>
      </c>
      <c r="E243" s="385">
        <f t="shared" si="96"/>
        <v>20.698508755085061</v>
      </c>
      <c r="F243" s="385">
        <f t="shared" si="75"/>
        <v>20.70066397414373</v>
      </c>
      <c r="G243" s="110">
        <f t="shared" si="97"/>
        <v>0.39321887660574473</v>
      </c>
      <c r="H243" s="412" t="b">
        <f>Wh_hp&gt;='2019'!Maxi_hp</f>
        <v>0</v>
      </c>
      <c r="I243" s="380">
        <f>IF(H243,Wh_hp,'2019'!Maxi_hp)</f>
        <v>51.890414604753857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1.7713920700469066E-2</v>
      </c>
      <c r="M243" s="957"/>
      <c r="N243" s="957"/>
      <c r="O243" s="48">
        <f>IF(t&lt;Tnet,'2019'!Resal+('2019'!Salim-'2019'!Resal)*(1-EXP(('2019'!Tnet-t)/('2019'!Tau_j))),Resal+(Salim-Resal)*(1-EXP((Tnet-t)/(Tau_j))))*Salcycl</f>
        <v>7.9277412358256499E-2</v>
      </c>
      <c r="P243" s="169">
        <f>(INDEX(Models!$BJ243:$BT243,,T243)*(1-R243)+INDEX(Models!$BJ243:$BT243,,T243+1)*R243-ERP_i)*Q243*Ramure*Pc/MaxiM</f>
        <v>7.7958716057838272E-4</v>
      </c>
      <c r="Q243" s="305">
        <f t="shared" si="77"/>
        <v>0.7</v>
      </c>
      <c r="R243" s="177">
        <f t="shared" si="78"/>
        <v>0.47134314804480781</v>
      </c>
      <c r="S243" s="919">
        <f t="shared" si="79"/>
        <v>-1</v>
      </c>
      <c r="T243" s="176">
        <f t="shared" si="80"/>
        <v>5</v>
      </c>
      <c r="U243" s="251">
        <f t="shared" si="81"/>
        <v>-0.52865685195519219</v>
      </c>
      <c r="V243" s="383">
        <f t="shared" si="82"/>
        <v>47.574912929793101</v>
      </c>
      <c r="W243" s="402"/>
      <c r="X243" s="157">
        <f t="shared" si="83"/>
        <v>44059</v>
      </c>
      <c r="Y243" s="385">
        <f t="shared" si="84"/>
        <v>18.72</v>
      </c>
      <c r="Z243" s="385">
        <f t="shared" si="85"/>
        <v>19.0575845413072</v>
      </c>
      <c r="AA243" s="386">
        <f t="shared" si="86"/>
        <v>20.698508755085061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7.9277412358256499E-2</v>
      </c>
      <c r="AD243" s="231">
        <f>(INDEX(Models!$BJ243:$BT243,,AH243)*(1-AF243)+INDEX(Models!$BJ243:$BT243,,AH243+1)*AF243-ERP_i)*AE243*Ramure*Pc/MaxiM</f>
        <v>7.7958716057838272E-4</v>
      </c>
      <c r="AE243" s="305">
        <f t="shared" si="88"/>
        <v>0.7</v>
      </c>
      <c r="AF243" s="177">
        <f t="shared" si="89"/>
        <v>0.47134314804480781</v>
      </c>
      <c r="AG243" s="919">
        <f t="shared" si="95"/>
        <v>-1</v>
      </c>
      <c r="AH243" s="176">
        <f t="shared" si="90"/>
        <v>5</v>
      </c>
      <c r="AI243" s="225">
        <f t="shared" si="91"/>
        <v>-0.52865685195519219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8">
        <v>39.917000000000002</v>
      </c>
      <c r="C244" s="390"/>
      <c r="D244" s="393">
        <f t="shared" si="74"/>
        <v>40.637727791438564</v>
      </c>
      <c r="E244" s="385">
        <f t="shared" si="96"/>
        <v>44.138618072654914</v>
      </c>
      <c r="F244" s="385">
        <f t="shared" si="75"/>
        <v>44.1633880179076</v>
      </c>
      <c r="G244" s="110">
        <f t="shared" si="97"/>
        <v>0.84072050130795073</v>
      </c>
      <c r="H244" s="412" t="b">
        <f>Wh_hp&gt;='2019'!Maxi_hp</f>
        <v>1</v>
      </c>
      <c r="I244" s="380">
        <f>IF(H244,Wh_hp,'2019'!Maxi_hp)</f>
        <v>44.1633880179076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1.7735435286576395E-2</v>
      </c>
      <c r="M244" s="957"/>
      <c r="N244" s="957"/>
      <c r="O244" s="48">
        <f>IF(t&lt;Tnet,'2019'!Resal+('2019'!Salim-'2019'!Resal)*(1-EXP(('2019'!Tnet-t)/('2019'!Tau_j))),Resal+(Salim-Resal)*(1-EXP((Tnet-t)/(Tau_j))))*Salcycl</f>
        <v>7.9315810827010225E-2</v>
      </c>
      <c r="P244" s="169">
        <f>(INDEX(Models!$BJ244:$BT244,,T244)*(1-R244)+INDEX(Models!$BJ244:$BT244,,T244+1)*R244-ERP_i)*Q244*Ramure*Pc/MaxiM</f>
        <v>7.258992799707109E-4</v>
      </c>
      <c r="Q244" s="305">
        <f t="shared" si="77"/>
        <v>0.7</v>
      </c>
      <c r="R244" s="177">
        <f t="shared" si="78"/>
        <v>0.4724407328496214</v>
      </c>
      <c r="S244" s="919">
        <f t="shared" si="79"/>
        <v>-1</v>
      </c>
      <c r="T244" s="176">
        <f t="shared" si="80"/>
        <v>5</v>
      </c>
      <c r="U244" s="251">
        <f t="shared" si="81"/>
        <v>-0.5275592671503786</v>
      </c>
      <c r="V244" s="383">
        <f t="shared" si="82"/>
        <v>47.471673154982092</v>
      </c>
      <c r="W244" s="402"/>
      <c r="X244" s="157">
        <f t="shared" si="83"/>
        <v>44060</v>
      </c>
      <c r="Y244" s="385">
        <f t="shared" si="84"/>
        <v>39.917000000000002</v>
      </c>
      <c r="Z244" s="385">
        <f t="shared" si="85"/>
        <v>40.637727791438564</v>
      </c>
      <c r="AA244" s="386">
        <f t="shared" si="86"/>
        <v>44.138618072654914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7.9315810827010225E-2</v>
      </c>
      <c r="AD244" s="231">
        <f>(INDEX(Models!$BJ244:$BT244,,AH244)*(1-AF244)+INDEX(Models!$BJ244:$BT244,,AH244+1)*AF244-ERP_i)*AE244*Ramure*Pc/MaxiM</f>
        <v>7.258992799707109E-4</v>
      </c>
      <c r="AE244" s="305">
        <f t="shared" si="88"/>
        <v>0.7</v>
      </c>
      <c r="AF244" s="177">
        <f t="shared" si="89"/>
        <v>0.4724407328496214</v>
      </c>
      <c r="AG244" s="919">
        <f t="shared" si="95"/>
        <v>-1</v>
      </c>
      <c r="AH244" s="176">
        <f t="shared" si="90"/>
        <v>5</v>
      </c>
      <c r="AI244" s="225">
        <f t="shared" si="91"/>
        <v>-0.5275592671503786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8">
        <v>34.932000000000002</v>
      </c>
      <c r="C245" s="390"/>
      <c r="D245" s="393">
        <f t="shared" si="74"/>
        <v>35.56349925684259</v>
      </c>
      <c r="E245" s="385">
        <f t="shared" si="96"/>
        <v>38.628850833357269</v>
      </c>
      <c r="F245" s="385">
        <f t="shared" si="75"/>
        <v>38.64514373942508</v>
      </c>
      <c r="G245" s="110">
        <f t="shared" si="97"/>
        <v>0.73726590398634817</v>
      </c>
      <c r="H245" s="412" t="b">
        <f>Wh_hp&gt;='2019'!Maxi_hp</f>
        <v>0</v>
      </c>
      <c r="I245" s="380">
        <f>IF(H245,Wh_hp,'2019'!Maxi_hp)</f>
        <v>49.967163493960541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1.7756949401459221E-2</v>
      </c>
      <c r="M245" s="957"/>
      <c r="N245" s="957"/>
      <c r="O245" s="48">
        <f>IF(t&lt;Tnet,'2019'!Resal+('2019'!Salim-'2019'!Resal)*(1-EXP(('2019'!Tnet-t)/('2019'!Tau_j))),Resal+(Salim-Resal)*(1-EXP((Tnet-t)/(Tau_j))))*Salcycl</f>
        <v>7.9353941688258711E-2</v>
      </c>
      <c r="P245" s="169">
        <f>(INDEX(Models!$BJ245:$BT245,,T245)*(1-R245)+INDEX(Models!$BJ245:$BT245,,T245+1)*R245-ERP_i)*Q245*Ramure*Pc/MaxiM</f>
        <v>6.7463781480222478E-4</v>
      </c>
      <c r="Q245" s="305">
        <f t="shared" si="77"/>
        <v>0.7</v>
      </c>
      <c r="R245" s="177">
        <f t="shared" si="78"/>
        <v>0.47349893689906075</v>
      </c>
      <c r="S245" s="919">
        <f t="shared" si="79"/>
        <v>-1</v>
      </c>
      <c r="T245" s="176">
        <f t="shared" si="80"/>
        <v>5</v>
      </c>
      <c r="U245" s="251">
        <f t="shared" si="81"/>
        <v>-0.52650106310093925</v>
      </c>
      <c r="V245" s="383">
        <f t="shared" si="82"/>
        <v>47.368469189562276</v>
      </c>
      <c r="W245" s="402"/>
      <c r="X245" s="157">
        <f t="shared" si="83"/>
        <v>44061</v>
      </c>
      <c r="Y245" s="385">
        <f t="shared" si="84"/>
        <v>34.932000000000002</v>
      </c>
      <c r="Z245" s="385">
        <f t="shared" si="85"/>
        <v>35.56349925684259</v>
      </c>
      <c r="AA245" s="386">
        <f t="shared" si="86"/>
        <v>38.628850833357269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7.9353941688258711E-2</v>
      </c>
      <c r="AD245" s="231">
        <f>(INDEX(Models!$BJ245:$BT245,,AH245)*(1-AF245)+INDEX(Models!$BJ245:$BT245,,AH245+1)*AF245-ERP_i)*AE245*Ramure*Pc/MaxiM</f>
        <v>6.7463781480222478E-4</v>
      </c>
      <c r="AE245" s="305">
        <f t="shared" si="88"/>
        <v>0.7</v>
      </c>
      <c r="AF245" s="177">
        <f t="shared" si="89"/>
        <v>0.47349893689906075</v>
      </c>
      <c r="AG245" s="919">
        <f t="shared" si="95"/>
        <v>-1</v>
      </c>
      <c r="AH245" s="176">
        <f t="shared" si="90"/>
        <v>5</v>
      </c>
      <c r="AI245" s="225">
        <f t="shared" si="91"/>
        <v>-0.52650106310093925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8">
        <v>45.94</v>
      </c>
      <c r="C246" s="390"/>
      <c r="D246" s="393">
        <f t="shared" si="74"/>
        <v>46.771525843777837</v>
      </c>
      <c r="E246" s="385">
        <f t="shared" si="96"/>
        <v>50.805028282599039</v>
      </c>
      <c r="F246" s="385">
        <f t="shared" si="75"/>
        <v>50.835568052439349</v>
      </c>
      <c r="G246" s="110">
        <f t="shared" si="97"/>
        <v>0.97193434574024429</v>
      </c>
      <c r="H246" s="412" t="b">
        <f>Wh_hp&gt;='2019'!Maxi_hp</f>
        <v>0</v>
      </c>
      <c r="I246" s="380">
        <f>IF(H246,Wh_hp,'2019'!Maxi_hp)</f>
        <v>51.550510278445401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1.7778463045127646E-2</v>
      </c>
      <c r="M246" s="957"/>
      <c r="N246" s="957"/>
      <c r="O246" s="48">
        <f>IF(t&lt;Tnet,'2019'!Resal+('2019'!Salim-'2019'!Resal)*(1-EXP(('2019'!Tnet-t)/('2019'!Tau_j))),Resal+(Salim-Resal)*(1-EXP((Tnet-t)/(Tau_j))))*Salcycl</f>
        <v>7.9391795953446934E-2</v>
      </c>
      <c r="P246" s="169">
        <f>(INDEX(Models!$BJ246:$BT246,,T246)*(1-R246)+INDEX(Models!$BJ246:$BT246,,T246+1)*R246-ERP_i)*Q246*Ramure*Pc/MaxiM</f>
        <v>6.2582588183615628E-4</v>
      </c>
      <c r="Q246" s="305">
        <f t="shared" si="77"/>
        <v>0.7</v>
      </c>
      <c r="R246" s="177">
        <f t="shared" si="78"/>
        <v>0.47451899596834601</v>
      </c>
      <c r="S246" s="919">
        <f t="shared" si="79"/>
        <v>-1</v>
      </c>
      <c r="T246" s="176">
        <f t="shared" si="80"/>
        <v>5</v>
      </c>
      <c r="U246" s="251">
        <f t="shared" si="81"/>
        <v>-0.52548100403165399</v>
      </c>
      <c r="V246" s="383">
        <f t="shared" si="82"/>
        <v>47.265381449097617</v>
      </c>
      <c r="W246" s="402"/>
      <c r="X246" s="157">
        <f t="shared" si="83"/>
        <v>44062</v>
      </c>
      <c r="Y246" s="385">
        <f t="shared" si="84"/>
        <v>45.94</v>
      </c>
      <c r="Z246" s="385">
        <f t="shared" si="85"/>
        <v>46.771525843777837</v>
      </c>
      <c r="AA246" s="386">
        <f t="shared" si="86"/>
        <v>50.805028282599039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7.9391795953446934E-2</v>
      </c>
      <c r="AD246" s="231">
        <f>(INDEX(Models!$BJ246:$BT246,,AH246)*(1-AF246)+INDEX(Models!$BJ246:$BT246,,AH246+1)*AF246-ERP_i)*AE246*Ramure*Pc/MaxiM</f>
        <v>6.2582588183615628E-4</v>
      </c>
      <c r="AE246" s="305">
        <f t="shared" si="88"/>
        <v>0.7</v>
      </c>
      <c r="AF246" s="177">
        <f t="shared" si="89"/>
        <v>0.47451899596834601</v>
      </c>
      <c r="AG246" s="919">
        <f t="shared" si="95"/>
        <v>-1</v>
      </c>
      <c r="AH246" s="176">
        <f t="shared" si="90"/>
        <v>5</v>
      </c>
      <c r="AI246" s="225">
        <f t="shared" si="91"/>
        <v>-0.52548100403165399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8">
        <v>46.786000000000001</v>
      </c>
      <c r="C247" s="390"/>
      <c r="D247" s="393">
        <f t="shared" si="74"/>
        <v>47.63388196614904</v>
      </c>
      <c r="E247" s="385">
        <f t="shared" si="96"/>
        <v>51.743864196105093</v>
      </c>
      <c r="F247" s="385">
        <f t="shared" si="75"/>
        <v>51.773522913939907</v>
      </c>
      <c r="G247" s="110">
        <f t="shared" si="97"/>
        <v>0.99199420549839756</v>
      </c>
      <c r="H247" s="412" t="b">
        <f>Wh_hp&gt;='2019'!Maxi_hp</f>
        <v>1</v>
      </c>
      <c r="I247" s="380">
        <f>IF(H247,Wh_hp,'2019'!Maxi_hp)</f>
        <v>51.773522913939907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1.7799976217592106E-2</v>
      </c>
      <c r="M247" s="957"/>
      <c r="N247" s="957"/>
      <c r="O247" s="48">
        <f>IF(t&lt;Tnet,'2019'!Resal+('2019'!Salim-'2019'!Resal)*(1-EXP(('2019'!Tnet-t)/('2019'!Tau_j))),Resal+(Salim-Resal)*(1-EXP((Tnet-t)/(Tau_j))))*Salcycl</f>
        <v>7.9429364115125828E-2</v>
      </c>
      <c r="P247" s="169">
        <f>(INDEX(Models!$BJ247:$BT247,,T247)*(1-R247)+INDEX(Models!$BJ247:$BT247,,T247+1)*R247-ERP_i)*Q247*Ramure*Pc/MaxiM</f>
        <v>5.794768784579083E-4</v>
      </c>
      <c r="Q247" s="305">
        <f t="shared" si="77"/>
        <v>0.7</v>
      </c>
      <c r="R247" s="177">
        <f t="shared" si="78"/>
        <v>0.47550212045201024</v>
      </c>
      <c r="S247" s="919">
        <f t="shared" si="79"/>
        <v>-1</v>
      </c>
      <c r="T247" s="176">
        <f t="shared" si="80"/>
        <v>5</v>
      </c>
      <c r="U247" s="251">
        <f t="shared" si="81"/>
        <v>-0.52449787954798976</v>
      </c>
      <c r="V247" s="383">
        <f t="shared" si="82"/>
        <v>47.163269451179865</v>
      </c>
      <c r="W247" s="402"/>
      <c r="X247" s="157">
        <f t="shared" si="83"/>
        <v>44063</v>
      </c>
      <c r="Y247" s="385">
        <f t="shared" si="84"/>
        <v>46.786000000000001</v>
      </c>
      <c r="Z247" s="385">
        <f t="shared" si="85"/>
        <v>47.63388196614904</v>
      </c>
      <c r="AA247" s="386">
        <f t="shared" si="86"/>
        <v>51.743864196105093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7.9429364115125828E-2</v>
      </c>
      <c r="AD247" s="231">
        <f>(INDEX(Models!$BJ247:$BT247,,AH247)*(1-AF247)+INDEX(Models!$BJ247:$BT247,,AH247+1)*AF247-ERP_i)*AE247*Ramure*Pc/MaxiM</f>
        <v>5.794768784579083E-4</v>
      </c>
      <c r="AE247" s="305">
        <f t="shared" si="88"/>
        <v>0.7</v>
      </c>
      <c r="AF247" s="177">
        <f t="shared" si="89"/>
        <v>0.47550212045201024</v>
      </c>
      <c r="AG247" s="919">
        <f t="shared" si="95"/>
        <v>-1</v>
      </c>
      <c r="AH247" s="176">
        <f t="shared" si="90"/>
        <v>5</v>
      </c>
      <c r="AI247" s="225">
        <f t="shared" si="91"/>
        <v>-0.52449787954798976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8">
        <v>41.898000000000003</v>
      </c>
      <c r="C248" s="390"/>
      <c r="D248" s="393">
        <f t="shared" si="74"/>
        <v>42.658233230821352</v>
      </c>
      <c r="E248" s="385">
        <f t="shared" si="96"/>
        <v>46.340779061060346</v>
      </c>
      <c r="F248" s="385">
        <f t="shared" si="75"/>
        <v>46.361787741362164</v>
      </c>
      <c r="G248" s="110">
        <f t="shared" si="97"/>
        <v>0.89018690119696198</v>
      </c>
      <c r="H248" s="412" t="b">
        <f>Wh_hp&gt;='2019'!Maxi_hp</f>
        <v>0</v>
      </c>
      <c r="I248" s="380">
        <f>IF(H248,Wh_hp,'2019'!Maxi_hp)</f>
        <v>53.717329476513434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1.7821488918862816E-2</v>
      </c>
      <c r="M248" s="957"/>
      <c r="N248" s="957"/>
      <c r="O248" s="48">
        <f>IF(t&lt;Tnet,'2019'!Resal+('2019'!Salim-'2019'!Resal)*(1-EXP(('2019'!Tnet-t)/('2019'!Tau_j))),Resal+(Salim-Resal)*(1-EXP((Tnet-t)/(Tau_j))))*Salcycl</f>
        <v>7.9466636186386344E-2</v>
      </c>
      <c r="P248" s="169">
        <f>(INDEX(Models!$BJ248:$BT248,,T248)*(1-R248)+INDEX(Models!$BJ248:$BT248,,T248+1)*R248-ERP_i)*Q248*Ramure*Pc/MaxiM</f>
        <v>5.3739282006458452E-4</v>
      </c>
      <c r="Q248" s="305">
        <f t="shared" si="77"/>
        <v>0.7</v>
      </c>
      <c r="R248" s="177">
        <f t="shared" si="78"/>
        <v>0.47644949480362864</v>
      </c>
      <c r="S248" s="919">
        <f t="shared" si="79"/>
        <v>-1</v>
      </c>
      <c r="T248" s="176">
        <f t="shared" si="80"/>
        <v>5</v>
      </c>
      <c r="U248" s="251">
        <f t="shared" si="81"/>
        <v>-0.52355050519637136</v>
      </c>
      <c r="V248" s="383">
        <f t="shared" si="82"/>
        <v>47.062553481444517</v>
      </c>
      <c r="W248" s="402"/>
      <c r="X248" s="157">
        <f t="shared" si="83"/>
        <v>44064</v>
      </c>
      <c r="Y248" s="385">
        <f t="shared" si="84"/>
        <v>41.898000000000003</v>
      </c>
      <c r="Z248" s="385">
        <f t="shared" si="85"/>
        <v>42.658233230821352</v>
      </c>
      <c r="AA248" s="386">
        <f t="shared" si="86"/>
        <v>46.340779061060346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7.9466636186386344E-2</v>
      </c>
      <c r="AD248" s="231">
        <f>(INDEX(Models!$BJ248:$BT248,,AH248)*(1-AF248)+INDEX(Models!$BJ248:$BT248,,AH248+1)*AF248-ERP_i)*AE248*Ramure*Pc/MaxiM</f>
        <v>5.3739282006458452E-4</v>
      </c>
      <c r="AE248" s="305">
        <f t="shared" si="88"/>
        <v>0.7</v>
      </c>
      <c r="AF248" s="177">
        <f t="shared" si="89"/>
        <v>0.47644949480362864</v>
      </c>
      <c r="AG248" s="919">
        <f t="shared" si="95"/>
        <v>-1</v>
      </c>
      <c r="AH248" s="176">
        <f t="shared" si="90"/>
        <v>5</v>
      </c>
      <c r="AI248" s="225">
        <f t="shared" si="91"/>
        <v>-0.52355050519637136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8">
        <v>31.678999999999998</v>
      </c>
      <c r="C249" s="390"/>
      <c r="D249" s="393">
        <f t="shared" si="74"/>
        <v>32.254517390864017</v>
      </c>
      <c r="E249" s="385">
        <f t="shared" si="96"/>
        <v>35.040351544612527</v>
      </c>
      <c r="F249" s="385">
        <f t="shared" si="75"/>
        <v>35.04970337015331</v>
      </c>
      <c r="G249" s="110">
        <f t="shared" si="97"/>
        <v>0.67439837248069745</v>
      </c>
      <c r="H249" s="412" t="b">
        <f>Wh_hp&gt;='2019'!Maxi_hp</f>
        <v>0</v>
      </c>
      <c r="I249" s="380">
        <f>IF(H249,Wh_hp,'2019'!Maxi_hp)</f>
        <v>51.339633290441888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1.784300114895021E-2</v>
      </c>
      <c r="M249" s="957"/>
      <c r="N249" s="957"/>
      <c r="O249" s="48">
        <f>IF(t&lt;Tnet,'2019'!Resal+('2019'!Salim-'2019'!Resal)*(1-EXP(('2019'!Tnet-t)/('2019'!Tau_j))),Resal+(Salim-Resal)*(1-EXP((Tnet-t)/(Tau_j))))*Salcycl</f>
        <v>7.9503601731896328E-2</v>
      </c>
      <c r="P249" s="169">
        <f>(INDEX(Models!$BJ249:$BT249,,T249)*(1-R249)+INDEX(Models!$BJ249:$BT249,,T249+1)*R249-ERP_i)*Q249*Ramure*Pc/MaxiM</f>
        <v>4.9864873871619084E-4</v>
      </c>
      <c r="Q249" s="305">
        <f t="shared" si="77"/>
        <v>0.7</v>
      </c>
      <c r="R249" s="177">
        <f t="shared" si="78"/>
        <v>0.47736227708801482</v>
      </c>
      <c r="S249" s="919">
        <f t="shared" si="79"/>
        <v>-1</v>
      </c>
      <c r="T249" s="176">
        <f t="shared" si="80"/>
        <v>5</v>
      </c>
      <c r="U249" s="251">
        <f t="shared" si="81"/>
        <v>-0.52263772291198518</v>
      </c>
      <c r="V249" s="383">
        <f t="shared" si="82"/>
        <v>46.962826582160197</v>
      </c>
      <c r="W249" s="402"/>
      <c r="X249" s="157">
        <f t="shared" si="83"/>
        <v>44065</v>
      </c>
      <c r="Y249" s="385">
        <f t="shared" si="84"/>
        <v>31.678999999999995</v>
      </c>
      <c r="Z249" s="385">
        <f t="shared" si="85"/>
        <v>32.254517390864017</v>
      </c>
      <c r="AA249" s="386">
        <f t="shared" si="86"/>
        <v>35.040351544612527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7.9503601731896328E-2</v>
      </c>
      <c r="AD249" s="231">
        <f>(INDEX(Models!$BJ249:$BT249,,AH249)*(1-AF249)+INDEX(Models!$BJ249:$BT249,,AH249+1)*AF249-ERP_i)*AE249*Ramure*Pc/MaxiM</f>
        <v>4.9864873871619084E-4</v>
      </c>
      <c r="AE249" s="305">
        <f t="shared" si="88"/>
        <v>0.7</v>
      </c>
      <c r="AF249" s="177">
        <f t="shared" si="89"/>
        <v>0.47736227708801482</v>
      </c>
      <c r="AG249" s="919">
        <f t="shared" si="95"/>
        <v>-1</v>
      </c>
      <c r="AH249" s="176">
        <f t="shared" si="90"/>
        <v>5</v>
      </c>
      <c r="AI249" s="225">
        <f t="shared" si="91"/>
        <v>-0.52263772291198518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8">
        <v>36.780999999999999</v>
      </c>
      <c r="C250" s="390"/>
      <c r="D250" s="393">
        <f t="shared" si="74"/>
        <v>37.450026481478233</v>
      </c>
      <c r="E250" s="385">
        <f t="shared" si="96"/>
        <v>40.68621846530575</v>
      </c>
      <c r="F250" s="385">
        <f t="shared" si="75"/>
        <v>40.699278359125465</v>
      </c>
      <c r="G250" s="110">
        <f t="shared" si="97"/>
        <v>0.78473980655096864</v>
      </c>
      <c r="H250" s="412" t="b">
        <f>Wh_hp&gt;='2019'!Maxi_hp</f>
        <v>0</v>
      </c>
      <c r="I250" s="380">
        <f>IF(H250,Wh_hp,'2019'!Maxi_hp)</f>
        <v>51.228164501997107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1.7864512907864505E-2</v>
      </c>
      <c r="M250" s="957"/>
      <c r="N250" s="957"/>
      <c r="O250" s="48">
        <f>IF(t&lt;Tnet,'2019'!Resal+('2019'!Salim-'2019'!Resal)*(1-EXP(('2019'!Tnet-t)/('2019'!Tau_j))),Resal+(Salim-Resal)*(1-EXP((Tnet-t)/(Tau_j))))*Salcycl</f>
        <v>7.9540249890441644E-2</v>
      </c>
      <c r="P250" s="169">
        <f>(INDEX(Models!$BJ250:$BT250,,T250)*(1-R250)+INDEX(Models!$BJ250:$BT250,,T250+1)*R250-ERP_i)*Q250*Ramure*Pc/MaxiM</f>
        <v>4.6327850002268907E-4</v>
      </c>
      <c r="Q250" s="305">
        <f t="shared" si="77"/>
        <v>0.7</v>
      </c>
      <c r="R250" s="177">
        <f t="shared" si="78"/>
        <v>0.47824159863767912</v>
      </c>
      <c r="S250" s="919">
        <f t="shared" si="79"/>
        <v>-1</v>
      </c>
      <c r="T250" s="176">
        <f t="shared" si="80"/>
        <v>5</v>
      </c>
      <c r="U250" s="251">
        <f t="shared" si="81"/>
        <v>-0.52175840136232088</v>
      </c>
      <c r="V250" s="383">
        <f t="shared" si="82"/>
        <v>46.863636497404016</v>
      </c>
      <c r="W250" s="402"/>
      <c r="X250" s="157">
        <f t="shared" si="83"/>
        <v>44066</v>
      </c>
      <c r="Y250" s="385">
        <f t="shared" si="84"/>
        <v>36.780999999999999</v>
      </c>
      <c r="Z250" s="385">
        <f t="shared" si="85"/>
        <v>37.450026481478233</v>
      </c>
      <c r="AA250" s="386">
        <f t="shared" si="86"/>
        <v>40.68621846530575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7.9540249890441644E-2</v>
      </c>
      <c r="AD250" s="231">
        <f>(INDEX(Models!$BJ250:$BT250,,AH250)*(1-AF250)+INDEX(Models!$BJ250:$BT250,,AH250+1)*AF250-ERP_i)*AE250*Ramure*Pc/MaxiM</f>
        <v>4.6327850002268907E-4</v>
      </c>
      <c r="AE250" s="305">
        <f t="shared" si="88"/>
        <v>0.7</v>
      </c>
      <c r="AF250" s="177">
        <f t="shared" si="89"/>
        <v>0.47824159863767912</v>
      </c>
      <c r="AG250" s="919">
        <f t="shared" si="95"/>
        <v>-1</v>
      </c>
      <c r="AH250" s="176">
        <f t="shared" si="90"/>
        <v>5</v>
      </c>
      <c r="AI250" s="225">
        <f t="shared" si="91"/>
        <v>-0.52175840136232088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8">
        <v>43.128999999999998</v>
      </c>
      <c r="C251" s="390"/>
      <c r="D251" s="393">
        <f t="shared" si="74"/>
        <v>43.914455004752291</v>
      </c>
      <c r="E251" s="385">
        <f t="shared" si="96"/>
        <v>47.711144180240481</v>
      </c>
      <c r="F251" s="385">
        <f t="shared" si="75"/>
        <v>47.729444245142325</v>
      </c>
      <c r="G251" s="110">
        <f t="shared" si="97"/>
        <v>0.92221459780345638</v>
      </c>
      <c r="H251" s="412" t="b">
        <f>Wh_hp&gt;='2019'!Maxi_hp</f>
        <v>1</v>
      </c>
      <c r="I251" s="380">
        <f>IF(H251,Wh_hp,'2019'!Maxi_hp)</f>
        <v>47.729444245142325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1.7886024195616135E-2</v>
      </c>
      <c r="M251" s="957"/>
      <c r="N251" s="957"/>
      <c r="O251" s="48">
        <f>IF(t&lt;Tnet,'2019'!Resal+('2019'!Salim-'2019'!Resal)*(1-EXP(('2019'!Tnet-t)/('2019'!Tau_j))),Resal+(Salim-Resal)*(1-EXP((Tnet-t)/(Tau_j))))*Salcycl</f>
        <v>7.9576569389014737E-2</v>
      </c>
      <c r="P251" s="169">
        <f>(INDEX(Models!$BJ251:$BT251,,T251)*(1-R251)+INDEX(Models!$BJ251:$BT251,,T251+1)*R251-ERP_i)*Q251*Ramure*Pc/MaxiM</f>
        <v>4.3131369783893021E-4</v>
      </c>
      <c r="Q251" s="305">
        <f t="shared" si="77"/>
        <v>0.7</v>
      </c>
      <c r="R251" s="177">
        <f t="shared" si="78"/>
        <v>0.47908856380564369</v>
      </c>
      <c r="S251" s="919">
        <f t="shared" si="79"/>
        <v>-1</v>
      </c>
      <c r="T251" s="176">
        <f t="shared" si="80"/>
        <v>5</v>
      </c>
      <c r="U251" s="251">
        <f t="shared" si="81"/>
        <v>-0.52091143619435631</v>
      </c>
      <c r="V251" s="383">
        <f t="shared" si="82"/>
        <v>46.764531139468957</v>
      </c>
      <c r="W251" s="402"/>
      <c r="X251" s="157">
        <f t="shared" si="83"/>
        <v>44067</v>
      </c>
      <c r="Y251" s="385">
        <f t="shared" si="84"/>
        <v>43.128999999999998</v>
      </c>
      <c r="Z251" s="385">
        <f t="shared" si="85"/>
        <v>43.914455004752291</v>
      </c>
      <c r="AA251" s="386">
        <f t="shared" si="86"/>
        <v>47.711144180240481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7.9576569389014737E-2</v>
      </c>
      <c r="AD251" s="231">
        <f>(INDEX(Models!$BJ251:$BT251,,AH251)*(1-AF251)+INDEX(Models!$BJ251:$BT251,,AH251+1)*AF251-ERP_i)*AE251*Ramure*Pc/MaxiM</f>
        <v>4.3131369783893021E-4</v>
      </c>
      <c r="AE251" s="305">
        <f t="shared" si="88"/>
        <v>0.7</v>
      </c>
      <c r="AF251" s="177">
        <f t="shared" si="89"/>
        <v>0.47908856380564369</v>
      </c>
      <c r="AG251" s="919">
        <f t="shared" si="95"/>
        <v>-1</v>
      </c>
      <c r="AH251" s="176">
        <f t="shared" si="90"/>
        <v>5</v>
      </c>
      <c r="AI251" s="225">
        <f t="shared" si="91"/>
        <v>-0.52091143619435631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8">
        <v>45.765000000000001</v>
      </c>
      <c r="C252" s="390"/>
      <c r="D252" s="393">
        <f t="shared" si="74"/>
        <v>46.599481852830657</v>
      </c>
      <c r="E252" s="385">
        <f t="shared" si="96"/>
        <v>50.630288124145643</v>
      </c>
      <c r="F252" s="385">
        <f t="shared" si="75"/>
        <v>50.650127035639308</v>
      </c>
      <c r="G252" s="110">
        <f t="shared" si="97"/>
        <v>0.98070147683089581</v>
      </c>
      <c r="H252" s="412" t="b">
        <f>Wh_hp&gt;='2019'!Maxi_hp</f>
        <v>0</v>
      </c>
      <c r="I252" s="380">
        <f>IF(H252,Wh_hp,'2019'!Maxi_hp)</f>
        <v>53.637175533284911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1.7907535012215314E-2</v>
      </c>
      <c r="M252" s="957"/>
      <c r="N252" s="957"/>
      <c r="O252" s="48">
        <f>IF(t&lt;Tnet,'2019'!Resal+('2019'!Salim-'2019'!Resal)*(1-EXP(('2019'!Tnet-t)/('2019'!Tau_j))),Resal+(Salim-Resal)*(1-EXP((Tnet-t)/(Tau_j))))*Salcycl</f>
        <v>7.961254854863628E-2</v>
      </c>
      <c r="P252" s="169">
        <f>(INDEX(Models!$BJ252:$BT252,,T252)*(1-R252)+INDEX(Models!$BJ252:$BT252,,T252+1)*R252-ERP_i)*Q252*Ramure*Pc/MaxiM</f>
        <v>4.0278352772529574E-4</v>
      </c>
      <c r="Q252" s="305">
        <f t="shared" si="77"/>
        <v>0.7</v>
      </c>
      <c r="R252" s="177">
        <f t="shared" si="78"/>
        <v>0.47990424980704738</v>
      </c>
      <c r="S252" s="919">
        <f t="shared" si="79"/>
        <v>-1</v>
      </c>
      <c r="T252" s="176">
        <f t="shared" si="80"/>
        <v>5</v>
      </c>
      <c r="U252" s="251">
        <f t="shared" si="81"/>
        <v>-0.52009575019295262</v>
      </c>
      <c r="V252" s="383">
        <f t="shared" si="82"/>
        <v>46.665058606460171</v>
      </c>
      <c r="W252" s="402"/>
      <c r="X252" s="157">
        <f t="shared" si="83"/>
        <v>44068</v>
      </c>
      <c r="Y252" s="385">
        <f t="shared" si="84"/>
        <v>45.765000000000001</v>
      </c>
      <c r="Z252" s="385">
        <f t="shared" si="85"/>
        <v>46.599481852830657</v>
      </c>
      <c r="AA252" s="386">
        <f t="shared" si="86"/>
        <v>50.630288124145643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7.961254854863628E-2</v>
      </c>
      <c r="AD252" s="231">
        <f>(INDEX(Models!$BJ252:$BT252,,AH252)*(1-AF252)+INDEX(Models!$BJ252:$BT252,,AH252+1)*AF252-ERP_i)*AE252*Ramure*Pc/MaxiM</f>
        <v>4.0278352772529574E-4</v>
      </c>
      <c r="AE252" s="305">
        <f t="shared" si="88"/>
        <v>0.7</v>
      </c>
      <c r="AF252" s="177">
        <f t="shared" si="89"/>
        <v>0.47990424980704738</v>
      </c>
      <c r="AG252" s="919">
        <f t="shared" si="95"/>
        <v>-1</v>
      </c>
      <c r="AH252" s="176">
        <f t="shared" si="90"/>
        <v>5</v>
      </c>
      <c r="AI252" s="225">
        <f t="shared" si="91"/>
        <v>-0.52009575019295262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8">
        <v>21.742999999999999</v>
      </c>
      <c r="C253" s="390"/>
      <c r="D253" s="393">
        <f t="shared" si="74"/>
        <v>22.139948134316679</v>
      </c>
      <c r="E253" s="385">
        <f t="shared" si="96"/>
        <v>24.055961578721401</v>
      </c>
      <c r="F253" s="385">
        <f t="shared" si="75"/>
        <v>24.058128741889782</v>
      </c>
      <c r="G253" s="110">
        <f t="shared" si="97"/>
        <v>0.46680670190067053</v>
      </c>
      <c r="H253" s="412" t="b">
        <f>Wh_hp&gt;='2019'!Maxi_hp</f>
        <v>0</v>
      </c>
      <c r="I253" s="380">
        <f>IF(H253,Wh_hp,'2019'!Maxi_hp)</f>
        <v>51.403994258295555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1.792904535767248E-2</v>
      </c>
      <c r="M253" s="957"/>
      <c r="N253" s="957"/>
      <c r="O253" s="48">
        <f>IF(t&lt;Tnet,'2019'!Resal+('2019'!Salim-'2019'!Resal)*(1-EXP(('2019'!Tnet-t)/('2019'!Tau_j))),Resal+(Salim-Resal)*(1-EXP((Tnet-t)/(Tau_j))))*Salcycl</f>
        <v>7.9648175282235473E-2</v>
      </c>
      <c r="P253" s="169">
        <f>(INDEX(Models!$BJ253:$BT253,,T253)*(1-R253)+INDEX(Models!$BJ253:$BT253,,T253+1)*R253-ERP_i)*Q253*Ramure*Pc/MaxiM</f>
        <v>3.7771543909959619E-4</v>
      </c>
      <c r="Q253" s="305">
        <f t="shared" si="77"/>
        <v>0.7</v>
      </c>
      <c r="R253" s="177">
        <f t="shared" si="78"/>
        <v>0.4806897066422946</v>
      </c>
      <c r="S253" s="919">
        <f t="shared" si="79"/>
        <v>-1</v>
      </c>
      <c r="T253" s="176">
        <f t="shared" si="80"/>
        <v>5</v>
      </c>
      <c r="U253" s="251">
        <f t="shared" si="81"/>
        <v>-0.5193102933577054</v>
      </c>
      <c r="V253" s="383">
        <f t="shared" si="82"/>
        <v>46.564767165917296</v>
      </c>
      <c r="W253" s="402"/>
      <c r="X253" s="157">
        <f t="shared" si="83"/>
        <v>44069</v>
      </c>
      <c r="Y253" s="385">
        <f t="shared" si="84"/>
        <v>21.742999999999999</v>
      </c>
      <c r="Z253" s="385">
        <f t="shared" si="85"/>
        <v>22.139948134316679</v>
      </c>
      <c r="AA253" s="386">
        <f t="shared" si="86"/>
        <v>24.055961578721401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7.9648175282235473E-2</v>
      </c>
      <c r="AD253" s="231">
        <f>(INDEX(Models!$BJ253:$BT253,,AH253)*(1-AF253)+INDEX(Models!$BJ253:$BT253,,AH253+1)*AF253-ERP_i)*AE253*Ramure*Pc/MaxiM</f>
        <v>3.7771543909959619E-4</v>
      </c>
      <c r="AE253" s="305">
        <f t="shared" si="88"/>
        <v>0.7</v>
      </c>
      <c r="AF253" s="177">
        <f t="shared" si="89"/>
        <v>0.4806897066422946</v>
      </c>
      <c r="AG253" s="919">
        <f t="shared" si="95"/>
        <v>-1</v>
      </c>
      <c r="AH253" s="176">
        <f t="shared" si="90"/>
        <v>5</v>
      </c>
      <c r="AI253" s="225">
        <f t="shared" si="91"/>
        <v>-0.5193102933577054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8">
        <v>44.64</v>
      </c>
      <c r="C254" s="390"/>
      <c r="D254" s="393">
        <f t="shared" si="74"/>
        <v>45.455959715496483</v>
      </c>
      <c r="E254" s="385">
        <f t="shared" si="96"/>
        <v>49.391656683350675</v>
      </c>
      <c r="F254" s="385">
        <f t="shared" si="75"/>
        <v>49.408305965280356</v>
      </c>
      <c r="G254" s="110">
        <f t="shared" si="97"/>
        <v>0.96074181868525765</v>
      </c>
      <c r="H254" s="412" t="b">
        <f>Wh_hp&gt;='2019'!Maxi_hp</f>
        <v>1</v>
      </c>
      <c r="I254" s="380">
        <f>IF(H254,Wh_hp,'2019'!Maxi_hp)</f>
        <v>49.408305965280356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1.7950555231997734E-2</v>
      </c>
      <c r="M254" s="957"/>
      <c r="N254" s="957"/>
      <c r="O254" s="48">
        <f>IF(t&lt;Tnet,'2019'!Resal+('2019'!Salim-'2019'!Resal)*(1-EXP(('2019'!Tnet-t)/('2019'!Tau_j))),Resal+(Salim-Resal)*(1-EXP((Tnet-t)/(Tau_j))))*Salcycl</f>
        <v>7.9683437085050587E-2</v>
      </c>
      <c r="P254" s="169">
        <f>(INDEX(Models!$BJ254:$BT254,,T254)*(1-R254)+INDEX(Models!$BJ254:$BT254,,T254+1)*R254-ERP_i)*Q254*Ramure*Pc/MaxiM</f>
        <v>3.569843263292971E-4</v>
      </c>
      <c r="Q254" s="305">
        <f t="shared" si="77"/>
        <v>0.7</v>
      </c>
      <c r="R254" s="177">
        <f t="shared" si="78"/>
        <v>0.48144595709485438</v>
      </c>
      <c r="S254" s="919">
        <f t="shared" si="79"/>
        <v>-1</v>
      </c>
      <c r="T254" s="176">
        <f t="shared" si="80"/>
        <v>5</v>
      </c>
      <c r="U254" s="251">
        <f t="shared" si="81"/>
        <v>-0.51855404290514562</v>
      </c>
      <c r="V254" s="383">
        <f t="shared" si="82"/>
        <v>46.463165795761171</v>
      </c>
      <c r="W254" s="402"/>
      <c r="X254" s="157">
        <f t="shared" si="83"/>
        <v>44070</v>
      </c>
      <c r="Y254" s="385">
        <f t="shared" si="84"/>
        <v>44.64</v>
      </c>
      <c r="Z254" s="385">
        <f t="shared" si="85"/>
        <v>45.455959715496483</v>
      </c>
      <c r="AA254" s="386">
        <f t="shared" si="86"/>
        <v>49.391656683350675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7.9683437085050587E-2</v>
      </c>
      <c r="AD254" s="231">
        <f>(INDEX(Models!$BJ254:$BT254,,AH254)*(1-AF254)+INDEX(Models!$BJ254:$BT254,,AH254+1)*AF254-ERP_i)*AE254*Ramure*Pc/MaxiM</f>
        <v>3.569843263292971E-4</v>
      </c>
      <c r="AE254" s="305">
        <f t="shared" si="88"/>
        <v>0.7</v>
      </c>
      <c r="AF254" s="177">
        <f t="shared" si="89"/>
        <v>0.48144595709485438</v>
      </c>
      <c r="AG254" s="919">
        <f t="shared" si="95"/>
        <v>-1</v>
      </c>
      <c r="AH254" s="176">
        <f t="shared" si="90"/>
        <v>5</v>
      </c>
      <c r="AI254" s="225">
        <f t="shared" si="91"/>
        <v>-0.51855404290514562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8">
        <v>8.5340000000000007</v>
      </c>
      <c r="C255" s="390"/>
      <c r="D255" s="393">
        <f t="shared" si="74"/>
        <v>8.6901804853747233</v>
      </c>
      <c r="E255" s="385">
        <f t="shared" si="96"/>
        <v>9.4429571769688998</v>
      </c>
      <c r="F255" s="385">
        <f t="shared" si="75"/>
        <v>9.4429571769688998</v>
      </c>
      <c r="G255" s="110">
        <f t="shared" si="97"/>
        <v>0.18401918412516277</v>
      </c>
      <c r="H255" s="412" t="b">
        <f>Wh_hp&gt;='2019'!Maxi_hp</f>
        <v>0</v>
      </c>
      <c r="I255" s="380">
        <f>IF(H255,Wh_hp,'2019'!Maxi_hp)</f>
        <v>49.189574840738644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1.7972064635201623E-2</v>
      </c>
      <c r="M255" s="957"/>
      <c r="N255" s="957"/>
      <c r="O255" s="48">
        <f>IF(t&lt;Tnet,'2019'!Resal+('2019'!Salim-'2019'!Resal)*(1-EXP(('2019'!Tnet-t)/('2019'!Tau_j))),Resal+(Salim-Resal)*(1-EXP((Tnet-t)/(Tau_j))))*Salcycl</f>
        <v>7.9718321018142205E-2</v>
      </c>
      <c r="P255" s="169">
        <f>(INDEX(Models!$BJ255:$BT255,,T255)*(1-R255)+INDEX(Models!$BJ255:$BT255,,T255+1)*R255-ERP_i)*Q255*Ramure*Pc/MaxiM</f>
        <v>3.3882530838216779E-4</v>
      </c>
      <c r="Q255" s="305">
        <f t="shared" si="77"/>
        <v>0.7</v>
      </c>
      <c r="R255" s="177">
        <f t="shared" si="78"/>
        <v>0.48217399679714901</v>
      </c>
      <c r="S255" s="919">
        <f t="shared" si="79"/>
        <v>-1</v>
      </c>
      <c r="T255" s="176">
        <f t="shared" si="80"/>
        <v>5</v>
      </c>
      <c r="U255" s="251">
        <f t="shared" si="81"/>
        <v>-0.51782600320285099</v>
      </c>
      <c r="V255" s="383">
        <f t="shared" si="82"/>
        <v>46.359886363889842</v>
      </c>
      <c r="W255" s="402"/>
      <c r="X255" s="157">
        <f t="shared" si="83"/>
        <v>44071</v>
      </c>
      <c r="Y255" s="385">
        <f t="shared" si="84"/>
        <v>8.5340000000000007</v>
      </c>
      <c r="Z255" s="385">
        <f t="shared" si="85"/>
        <v>8.6901804853747233</v>
      </c>
      <c r="AA255" s="386">
        <f t="shared" si="86"/>
        <v>9.4429571769688998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7.9718321018142205E-2</v>
      </c>
      <c r="AD255" s="231">
        <f>(INDEX(Models!$BJ255:$BT255,,AH255)*(1-AF255)+INDEX(Models!$BJ255:$BT255,,AH255+1)*AF255-ERP_i)*AE255*Ramure*Pc/MaxiM</f>
        <v>3.3882530838216779E-4</v>
      </c>
      <c r="AE255" s="305">
        <f t="shared" si="88"/>
        <v>0.7</v>
      </c>
      <c r="AF255" s="177">
        <f t="shared" si="89"/>
        <v>0.48217399679714901</v>
      </c>
      <c r="AG255" s="919">
        <f t="shared" si="95"/>
        <v>-1</v>
      </c>
      <c r="AH255" s="176">
        <f t="shared" si="90"/>
        <v>5</v>
      </c>
      <c r="AI255" s="225">
        <f t="shared" si="91"/>
        <v>-0.51782600320285099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8">
        <v>22.512</v>
      </c>
      <c r="C256" s="390"/>
      <c r="D256" s="393">
        <f t="shared" si="74"/>
        <v>22.924493561389834</v>
      </c>
      <c r="E256" s="385">
        <f t="shared" si="96"/>
        <v>24.911234614262749</v>
      </c>
      <c r="F256" s="385">
        <f t="shared" si="75"/>
        <v>24.913382563923061</v>
      </c>
      <c r="G256" s="110">
        <f t="shared" si="97"/>
        <v>0.48658345004430054</v>
      </c>
      <c r="H256" s="412" t="b">
        <f>Wh_hp&gt;='2019'!Maxi_hp</f>
        <v>0</v>
      </c>
      <c r="I256" s="380">
        <f>IF(H256,Wh_hp,'2019'!Maxi_hp)</f>
        <v>48.713897156166894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1.7993573567294363E-2</v>
      </c>
      <c r="M256" s="957"/>
      <c r="N256" s="957"/>
      <c r="O256" s="48">
        <f>IF(t&lt;Tnet,'2019'!Resal+('2019'!Salim-'2019'!Resal)*(1-EXP(('2019'!Tnet-t)/('2019'!Tau_j))),Resal+(Salim-Resal)*(1-EXP((Tnet-t)/(Tau_j))))*Salcycl</f>
        <v>7.9752813685734406E-2</v>
      </c>
      <c r="P256" s="169">
        <f>(INDEX(Models!$BJ256:$BT256,,T256)*(1-R256)+INDEX(Models!$BJ256:$BT256,,T256+1)*R256-ERP_i)*Q256*Ramure*Pc/MaxiM</f>
        <v>3.2325693601883526E-4</v>
      </c>
      <c r="Q256" s="305">
        <f t="shared" si="77"/>
        <v>0.7</v>
      </c>
      <c r="R256" s="177">
        <f t="shared" si="78"/>
        <v>0.48287479435832381</v>
      </c>
      <c r="S256" s="919">
        <f t="shared" si="79"/>
        <v>-1</v>
      </c>
      <c r="T256" s="176">
        <f t="shared" si="80"/>
        <v>5</v>
      </c>
      <c r="U256" s="251">
        <f t="shared" si="81"/>
        <v>-0.51712520564167619</v>
      </c>
      <c r="V256" s="383">
        <f t="shared" si="82"/>
        <v>46.254477599003955</v>
      </c>
      <c r="W256" s="402"/>
      <c r="X256" s="157">
        <f t="shared" si="83"/>
        <v>44072</v>
      </c>
      <c r="Y256" s="385">
        <f t="shared" si="84"/>
        <v>22.512</v>
      </c>
      <c r="Z256" s="385">
        <f t="shared" si="85"/>
        <v>22.924493561389834</v>
      </c>
      <c r="AA256" s="386">
        <f t="shared" si="86"/>
        <v>24.911234614262749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7.9752813685734406E-2</v>
      </c>
      <c r="AD256" s="231">
        <f>(INDEX(Models!$BJ256:$BT256,,AH256)*(1-AF256)+INDEX(Models!$BJ256:$BT256,,AH256+1)*AF256-ERP_i)*AE256*Ramure*Pc/MaxiM</f>
        <v>3.2325693601883526E-4</v>
      </c>
      <c r="AE256" s="305">
        <f t="shared" si="88"/>
        <v>0.7</v>
      </c>
      <c r="AF256" s="177">
        <f t="shared" si="89"/>
        <v>0.48287479435832381</v>
      </c>
      <c r="AG256" s="919">
        <f t="shared" si="95"/>
        <v>-1</v>
      </c>
      <c r="AH256" s="176">
        <f t="shared" si="90"/>
        <v>5</v>
      </c>
      <c r="AI256" s="225">
        <f t="shared" si="91"/>
        <v>-0.51712520564167619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8">
        <v>24.390999999999998</v>
      </c>
      <c r="C257" s="390"/>
      <c r="D257" s="393">
        <f t="shared" si="74"/>
        <v>24.838467020837264</v>
      </c>
      <c r="E257" s="385">
        <f t="shared" si="96"/>
        <v>26.992081566131265</v>
      </c>
      <c r="F257" s="385">
        <f t="shared" si="75"/>
        <v>26.994816537246599</v>
      </c>
      <c r="G257" s="110">
        <f t="shared" si="97"/>
        <v>0.52844545802956067</v>
      </c>
      <c r="H257" s="412" t="b">
        <f>Wh_hp&gt;='2019'!Maxi_hp</f>
        <v>0</v>
      </c>
      <c r="I257" s="380">
        <f>IF(H257,Wh_hp,'2019'!Maxi_hp)</f>
        <v>47.557915907198883</v>
      </c>
      <c r="J257" s="85">
        <f>IF(H257,An,'2019'!An_max)</f>
        <v>2018</v>
      </c>
      <c r="K257" s="197">
        <f t="shared" si="76"/>
        <v>44073</v>
      </c>
      <c r="L257" s="147">
        <f>IF(t&lt;Tvie,1-EXP((T0-t)*PertePVj)+'2019'!Pspv,1-EXP((T0-t)*PertePVj)+Pspv)</f>
        <v>1.8015082028286278E-2</v>
      </c>
      <c r="M257" s="957"/>
      <c r="N257" s="957"/>
      <c r="O257" s="48">
        <f>IF(t&lt;Tnet,'2019'!Resal+('2019'!Salim-'2019'!Resal)*(1-EXP(('2019'!Tnet-t)/('2019'!Tau_j))),Resal+(Salim-Resal)*(1-EXP((Tnet-t)/(Tau_j))))*Salcycl</f>
        <v>7.9786901207214905E-2</v>
      </c>
      <c r="P257" s="169">
        <f>(INDEX(Models!$BJ257:$BT257,,T257)*(1-R257)+INDEX(Models!$BJ257:$BT257,,T257+1)*R257-ERP_i)*Q257*Ramure*Pc/MaxiM</f>
        <v>3.1029724053678143E-4</v>
      </c>
      <c r="Q257" s="305">
        <f t="shared" si="77"/>
        <v>0.7</v>
      </c>
      <c r="R257" s="177">
        <f t="shared" si="78"/>
        <v>0.48354929154802395</v>
      </c>
      <c r="S257" s="919">
        <f t="shared" si="79"/>
        <v>-1</v>
      </c>
      <c r="T257" s="176">
        <f t="shared" si="80"/>
        <v>5</v>
      </c>
      <c r="U257" s="251">
        <f t="shared" si="81"/>
        <v>-0.51645070845197605</v>
      </c>
      <c r="V257" s="383">
        <f t="shared" si="82"/>
        <v>46.146488382615871</v>
      </c>
      <c r="W257" s="402"/>
      <c r="X257" s="157">
        <f t="shared" si="83"/>
        <v>44073</v>
      </c>
      <c r="Y257" s="385">
        <f t="shared" si="84"/>
        <v>24.390999999999998</v>
      </c>
      <c r="Z257" s="385">
        <f t="shared" si="85"/>
        <v>24.838467020837264</v>
      </c>
      <c r="AA257" s="386">
        <f t="shared" si="86"/>
        <v>26.992081566131265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7.9786901207214905E-2</v>
      </c>
      <c r="AD257" s="231">
        <f>(INDEX(Models!$BJ257:$BT257,,AH257)*(1-AF257)+INDEX(Models!$BJ257:$BT257,,AH257+1)*AF257-ERP_i)*AE257*Ramure*Pc/MaxiM</f>
        <v>3.1029724053678143E-4</v>
      </c>
      <c r="AE257" s="305">
        <f t="shared" si="88"/>
        <v>0.7</v>
      </c>
      <c r="AF257" s="177">
        <f t="shared" si="89"/>
        <v>0.48354929154802395</v>
      </c>
      <c r="AG257" s="919">
        <f t="shared" si="95"/>
        <v>-1</v>
      </c>
      <c r="AH257" s="176">
        <f t="shared" si="90"/>
        <v>5</v>
      </c>
      <c r="AI257" s="225">
        <f t="shared" si="91"/>
        <v>-0.51645070845197605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8">
        <v>38.948999999999998</v>
      </c>
      <c r="C258" s="390"/>
      <c r="D258" s="393">
        <f t="shared" si="74"/>
        <v>39.664410714368067</v>
      </c>
      <c r="E258" s="385">
        <f t="shared" si="96"/>
        <v>43.105082971943588</v>
      </c>
      <c r="F258" s="385">
        <f t="shared" si="75"/>
        <v>43.115171912437802</v>
      </c>
      <c r="G258" s="110">
        <f t="shared" si="97"/>
        <v>0.84600921988996325</v>
      </c>
      <c r="H258" s="412" t="b">
        <f>Wh_hp&gt;='2019'!Maxi_hp</f>
        <v>0</v>
      </c>
      <c r="I258" s="380">
        <f>IF(H258,Wh_hp,'2019'!Maxi_hp)</f>
        <v>52.083506608695828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1.8036590018187804E-2</v>
      </c>
      <c r="M258" s="957"/>
      <c r="N258" s="957"/>
      <c r="O258" s="48">
        <f>IF(t&lt;Tnet,'2019'!Resal+('2019'!Salim-'2019'!Resal)*(1-EXP(('2019'!Tnet-t)/('2019'!Tau_j))),Resal+(Salim-Resal)*(1-EXP((Tnet-t)/(Tau_j))))*Salcycl</f>
        <v>7.9820569184729392E-2</v>
      </c>
      <c r="P258" s="169">
        <f>(INDEX(Models!$BJ258:$BT258,,T258)*(1-R258)+INDEX(Models!$BJ258:$BT258,,T258+1)*R258-ERP_i)*Q258*Ramure*Pc/MaxiM</f>
        <v>2.9996397697752177E-4</v>
      </c>
      <c r="Q258" s="305">
        <f t="shared" si="77"/>
        <v>0.7</v>
      </c>
      <c r="R258" s="177">
        <f t="shared" si="78"/>
        <v>0.48419840353064547</v>
      </c>
      <c r="S258" s="919">
        <f t="shared" si="79"/>
        <v>-1</v>
      </c>
      <c r="T258" s="176">
        <f t="shared" si="80"/>
        <v>5</v>
      </c>
      <c r="U258" s="251">
        <f t="shared" si="81"/>
        <v>-0.51580159646935453</v>
      </c>
      <c r="V258" s="383">
        <f t="shared" si="82"/>
        <v>46.035467750565743</v>
      </c>
      <c r="W258" s="402"/>
      <c r="X258" s="157">
        <f t="shared" si="83"/>
        <v>44074</v>
      </c>
      <c r="Y258" s="385">
        <f t="shared" si="84"/>
        <v>38.948999999999998</v>
      </c>
      <c r="Z258" s="385">
        <f t="shared" si="85"/>
        <v>39.664410714368067</v>
      </c>
      <c r="AA258" s="386">
        <f t="shared" si="86"/>
        <v>43.105082971943588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7.9820569184729392E-2</v>
      </c>
      <c r="AD258" s="231">
        <f>(INDEX(Models!$BJ258:$BT258,,AH258)*(1-AF258)+INDEX(Models!$BJ258:$BT258,,AH258+1)*AF258-ERP_i)*AE258*Ramure*Pc/MaxiM</f>
        <v>2.9996397697752177E-4</v>
      </c>
      <c r="AE258" s="305">
        <f t="shared" si="88"/>
        <v>0.7</v>
      </c>
      <c r="AF258" s="177">
        <f t="shared" si="89"/>
        <v>0.48419840353064547</v>
      </c>
      <c r="AG258" s="919">
        <f t="shared" si="95"/>
        <v>-1</v>
      </c>
      <c r="AH258" s="176">
        <f t="shared" si="90"/>
        <v>5</v>
      </c>
      <c r="AI258" s="225">
        <f t="shared" si="91"/>
        <v>-0.51580159646935453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8">
        <v>39.341999999999999</v>
      </c>
      <c r="C259" s="390"/>
      <c r="D259" s="393">
        <f t="shared" si="74"/>
        <v>40.065506830209628</v>
      </c>
      <c r="E259" s="385">
        <f t="shared" si="96"/>
        <v>43.542544593842784</v>
      </c>
      <c r="F259" s="385">
        <f t="shared" si="75"/>
        <v>43.552668662267315</v>
      </c>
      <c r="G259" s="110">
        <f t="shared" si="97"/>
        <v>0.85668160812999961</v>
      </c>
      <c r="H259" s="412" t="b">
        <f>Wh_hp&gt;='2019'!Maxi_hp</f>
        <v>0</v>
      </c>
      <c r="I259" s="380">
        <f>IF(H259,Wh_hp,'2019'!Maxi_hp)</f>
        <v>50.502495754224739</v>
      </c>
      <c r="J259" s="85">
        <f>IF(H259,An,'2019'!An_max)</f>
        <v>2018</v>
      </c>
      <c r="K259" s="197">
        <f t="shared" si="76"/>
        <v>44075</v>
      </c>
      <c r="L259" s="147">
        <f>IF(t&lt;Tvie,1-EXP((T0-t)*PertePVj)+'2019'!Pspv,1-EXP((T0-t)*PertePVj)+Pspv)</f>
        <v>1.8058097537009044E-2</v>
      </c>
      <c r="M259" s="957"/>
      <c r="N259" s="957"/>
      <c r="O259" s="48">
        <f>IF(t&lt;Tnet,'2019'!Resal+('2019'!Salim-'2019'!Resal)*(1-EXP(('2019'!Tnet-t)/('2019'!Tau_j))),Resal+(Salim-Resal)*(1-EXP((Tnet-t)/(Tau_j))))*Salcycl</f>
        <v>7.985380266739929E-2</v>
      </c>
      <c r="P259" s="169">
        <f>(INDEX(Models!$BJ259:$BT259,,T259)*(1-R259)+INDEX(Models!$BJ259:$BT259,,T259+1)*R259-ERP_i)*Q259*Ramure*Pc/MaxiM</f>
        <v>2.9227487133629123E-4</v>
      </c>
      <c r="Q259" s="305">
        <f t="shared" si="77"/>
        <v>0.7</v>
      </c>
      <c r="R259" s="177">
        <f t="shared" si="78"/>
        <v>0.48482301914485204</v>
      </c>
      <c r="S259" s="919">
        <f t="shared" si="79"/>
        <v>-1</v>
      </c>
      <c r="T259" s="176">
        <f t="shared" si="80"/>
        <v>5</v>
      </c>
      <c r="U259" s="251">
        <f t="shared" si="81"/>
        <v>-0.51517698085514796</v>
      </c>
      <c r="V259" s="383">
        <f t="shared" si="82"/>
        <v>45.920964890283166</v>
      </c>
      <c r="W259" s="402"/>
      <c r="X259" s="157">
        <f t="shared" si="83"/>
        <v>44075</v>
      </c>
      <c r="Y259" s="385">
        <f t="shared" si="84"/>
        <v>39.341999999999999</v>
      </c>
      <c r="Z259" s="385">
        <f t="shared" si="85"/>
        <v>40.065506830209628</v>
      </c>
      <c r="AA259" s="386">
        <f t="shared" si="86"/>
        <v>43.542544593842784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7.985380266739929E-2</v>
      </c>
      <c r="AD259" s="231">
        <f>(INDEX(Models!$BJ259:$BT259,,AH259)*(1-AF259)+INDEX(Models!$BJ259:$BT259,,AH259+1)*AF259-ERP_i)*AE259*Ramure*Pc/MaxiM</f>
        <v>2.9227487133629123E-4</v>
      </c>
      <c r="AE259" s="305">
        <f t="shared" si="88"/>
        <v>0.7</v>
      </c>
      <c r="AF259" s="177">
        <f t="shared" si="89"/>
        <v>0.48482301914485204</v>
      </c>
      <c r="AG259" s="919">
        <f t="shared" si="95"/>
        <v>-1</v>
      </c>
      <c r="AH259" s="176">
        <f t="shared" si="90"/>
        <v>5</v>
      </c>
      <c r="AI259" s="225">
        <f t="shared" si="91"/>
        <v>-0.51517698085514796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8">
        <v>47.180999999999997</v>
      </c>
      <c r="C260" s="390"/>
      <c r="D260" s="393">
        <f t="shared" si="74"/>
        <v>48.049719936867035</v>
      </c>
      <c r="E260" s="385">
        <f t="shared" si="96"/>
        <v>52.22151879505406</v>
      </c>
      <c r="F260" s="385">
        <f t="shared" si="75"/>
        <v>52.236523625300045</v>
      </c>
      <c r="G260" s="110">
        <f t="shared" si="97"/>
        <v>1.0300959550205322</v>
      </c>
      <c r="H260" s="412" t="b">
        <f>Wh_hp&gt;='2019'!Maxi_hp</f>
        <v>1</v>
      </c>
      <c r="I260" s="380">
        <f>IF(H260,Wh_hp,'2019'!Maxi_hp)</f>
        <v>52.236523625300045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1.8079604584760434E-2</v>
      </c>
      <c r="M260" s="957"/>
      <c r="N260" s="957"/>
      <c r="O260" s="48">
        <f>IF(t&lt;Tnet,'2019'!Resal+('2019'!Salim-'2019'!Resal)*(1-EXP(('2019'!Tnet-t)/('2019'!Tau_j))),Resal+(Salim-Resal)*(1-EXP((Tnet-t)/(Tau_j))))*Salcycl</f>
        <v>7.9886586113273539E-2</v>
      </c>
      <c r="P260" s="169">
        <f>(INDEX(Models!$BJ260:$BT260,,T260)*(1-R260)+INDEX(Models!$BJ260:$BT260,,T260+1)*R260-ERP_i)*Q260*Ramure*Pc/MaxiM</f>
        <v>2.8724787188397661E-4</v>
      </c>
      <c r="Q260" s="305">
        <f t="shared" si="77"/>
        <v>0.7</v>
      </c>
      <c r="R260" s="177">
        <f t="shared" si="78"/>
        <v>0.48542400122347751</v>
      </c>
      <c r="S260" s="919">
        <f t="shared" si="79"/>
        <v>-1</v>
      </c>
      <c r="T260" s="176">
        <f t="shared" si="80"/>
        <v>5</v>
      </c>
      <c r="U260" s="251">
        <f t="shared" si="81"/>
        <v>-0.51457599877652249</v>
      </c>
      <c r="V260" s="383">
        <f t="shared" si="82"/>
        <v>45.802529143083156</v>
      </c>
      <c r="W260" s="402"/>
      <c r="X260" s="157">
        <f t="shared" si="83"/>
        <v>44076</v>
      </c>
      <c r="Y260" s="385">
        <f t="shared" si="84"/>
        <v>47.180999999999997</v>
      </c>
      <c r="Z260" s="385">
        <f t="shared" si="85"/>
        <v>48.049719936867035</v>
      </c>
      <c r="AA260" s="386">
        <f t="shared" si="86"/>
        <v>52.22151879505406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7.9886586113273539E-2</v>
      </c>
      <c r="AD260" s="231">
        <f>(INDEX(Models!$BJ260:$BT260,,AH260)*(1-AF260)+INDEX(Models!$BJ260:$BT260,,AH260+1)*AF260-ERP_i)*AE260*Ramure*Pc/MaxiM</f>
        <v>2.8724787188397661E-4</v>
      </c>
      <c r="AE260" s="305">
        <f t="shared" si="88"/>
        <v>0.7</v>
      </c>
      <c r="AF260" s="177">
        <f t="shared" si="89"/>
        <v>0.48542400122347751</v>
      </c>
      <c r="AG260" s="919">
        <f t="shared" si="95"/>
        <v>-1</v>
      </c>
      <c r="AH260" s="176">
        <f t="shared" si="90"/>
        <v>5</v>
      </c>
      <c r="AI260" s="225">
        <f t="shared" si="91"/>
        <v>-0.51457599877652249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8">
        <v>45.472000000000001</v>
      </c>
      <c r="C261" s="390"/>
      <c r="D261" s="393">
        <f t="shared" si="74"/>
        <v>46.310267296245918</v>
      </c>
      <c r="E261" s="385">
        <f t="shared" si="96"/>
        <v>50.332810297777549</v>
      </c>
      <c r="F261" s="385">
        <f t="shared" si="75"/>
        <v>50.347059730277273</v>
      </c>
      <c r="G261" s="110">
        <f t="shared" si="97"/>
        <v>0.99541256014330393</v>
      </c>
      <c r="H261" s="412" t="b">
        <f>Wh_hp&gt;='2019'!Maxi_hp</f>
        <v>0</v>
      </c>
      <c r="I261" s="380">
        <f>IF(H261,Wh_hp,'2019'!Maxi_hp)</f>
        <v>51.364733019215166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1.8101111161452299E-2</v>
      </c>
      <c r="M261" s="957"/>
      <c r="N261" s="957"/>
      <c r="O261" s="48">
        <f>IF(t&lt;Tnet,'2019'!Resal+('2019'!Salim-'2019'!Resal)*(1-EXP(('2019'!Tnet-t)/('2019'!Tau_j))),Resal+(Salim-Resal)*(1-EXP((Tnet-t)/(Tau_j))))*Salcycl</f>
        <v>7.9918903350191875E-2</v>
      </c>
      <c r="P261" s="169">
        <f>(INDEX(Models!$BJ261:$BT261,,T261)*(1-R261)+INDEX(Models!$BJ261:$BT261,,T261+1)*R261-ERP_i)*Q261*Ramure*Pc/MaxiM</f>
        <v>2.8489039325563871E-4</v>
      </c>
      <c r="Q261" s="305">
        <f t="shared" si="77"/>
        <v>0.7</v>
      </c>
      <c r="R261" s="177">
        <f t="shared" si="78"/>
        <v>0.48600218694924169</v>
      </c>
      <c r="S261" s="919">
        <f t="shared" si="79"/>
        <v>-1</v>
      </c>
      <c r="T261" s="176">
        <f t="shared" si="80"/>
        <v>5</v>
      </c>
      <c r="U261" s="251">
        <f t="shared" si="81"/>
        <v>-0.51399781305075831</v>
      </c>
      <c r="V261" s="383">
        <f t="shared" si="82"/>
        <v>45.681476137345818</v>
      </c>
      <c r="W261" s="402"/>
      <c r="X261" s="157">
        <f t="shared" si="83"/>
        <v>44077</v>
      </c>
      <c r="Y261" s="385">
        <f t="shared" si="84"/>
        <v>45.472000000000001</v>
      </c>
      <c r="Z261" s="385">
        <f t="shared" si="85"/>
        <v>46.310267296245918</v>
      </c>
      <c r="AA261" s="386">
        <f t="shared" si="86"/>
        <v>50.332810297777549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7.9918903350191875E-2</v>
      </c>
      <c r="AD261" s="231">
        <f>(INDEX(Models!$BJ261:$BT261,,AH261)*(1-AF261)+INDEX(Models!$BJ261:$BT261,,AH261+1)*AF261-ERP_i)*AE261*Ramure*Pc/MaxiM</f>
        <v>2.8489039325563871E-4</v>
      </c>
      <c r="AE261" s="305">
        <f t="shared" si="88"/>
        <v>0.7</v>
      </c>
      <c r="AF261" s="177">
        <f t="shared" si="89"/>
        <v>0.48600218694924169</v>
      </c>
      <c r="AG261" s="919">
        <f t="shared" si="95"/>
        <v>-1</v>
      </c>
      <c r="AH261" s="176">
        <f t="shared" si="90"/>
        <v>5</v>
      </c>
      <c r="AI261" s="225">
        <f t="shared" si="91"/>
        <v>-0.51399781305075831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8">
        <v>46.045000000000002</v>
      </c>
      <c r="C262" s="390"/>
      <c r="D262" s="393">
        <f t="shared" si="74"/>
        <v>46.894857555269077</v>
      </c>
      <c r="E262" s="385">
        <f t="shared" si="96"/>
        <v>50.969942011278249</v>
      </c>
      <c r="F262" s="385">
        <f t="shared" si="75"/>
        <v>50.98450100113412</v>
      </c>
      <c r="G262" s="110">
        <f t="shared" si="97"/>
        <v>1.0106628057359599</v>
      </c>
      <c r="H262" s="412" t="b">
        <f>Wh_hp&gt;='2019'!Maxi_hp</f>
        <v>1</v>
      </c>
      <c r="I262" s="380">
        <f>IF(H262,Wh_hp,'2019'!Maxi_hp)</f>
        <v>50.98450100113412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1.8122617267094965E-2</v>
      </c>
      <c r="M262" s="957"/>
      <c r="N262" s="957"/>
      <c r="O262" s="48">
        <f>IF(t&lt;Tnet,'2019'!Resal+('2019'!Salim-'2019'!Resal)*(1-EXP(('2019'!Tnet-t)/('2019'!Tau_j))),Resal+(Salim-Resal)*(1-EXP((Tnet-t)/(Tau_j))))*Salcycl</f>
        <v>7.9950737536791175E-2</v>
      </c>
      <c r="P262" s="169">
        <f>(INDEX(Models!$BJ262:$BT262,,T262)*(1-R262)+INDEX(Models!$BJ262:$BT262,,T262+1)*R262-ERP_i)*Q262*Ramure*Pc/MaxiM</f>
        <v>2.8555717070855697E-4</v>
      </c>
      <c r="Q262" s="305">
        <f t="shared" si="77"/>
        <v>0.7</v>
      </c>
      <c r="R262" s="177">
        <f t="shared" si="78"/>
        <v>0.4865583882420137</v>
      </c>
      <c r="S262" s="919">
        <f t="shared" si="79"/>
        <v>-1</v>
      </c>
      <c r="T262" s="176">
        <f t="shared" si="80"/>
        <v>5</v>
      </c>
      <c r="U262" s="251">
        <f t="shared" si="81"/>
        <v>-0.5134416117579863</v>
      </c>
      <c r="V262" s="383">
        <f t="shared" si="82"/>
        <v>45.559210983796163</v>
      </c>
      <c r="W262" s="402"/>
      <c r="X262" s="157">
        <f t="shared" si="83"/>
        <v>44078</v>
      </c>
      <c r="Y262" s="385">
        <f t="shared" si="84"/>
        <v>46.045000000000002</v>
      </c>
      <c r="Z262" s="385">
        <f t="shared" si="85"/>
        <v>46.894857555269077</v>
      </c>
      <c r="AA262" s="386">
        <f t="shared" si="86"/>
        <v>50.969942011278249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7.9950737536791175E-2</v>
      </c>
      <c r="AD262" s="231">
        <f>(INDEX(Models!$BJ262:$BT262,,AH262)*(1-AF262)+INDEX(Models!$BJ262:$BT262,,AH262+1)*AF262-ERP_i)*AE262*Ramure*Pc/MaxiM</f>
        <v>2.8555717070855697E-4</v>
      </c>
      <c r="AE262" s="305">
        <f t="shared" si="88"/>
        <v>0.7</v>
      </c>
      <c r="AF262" s="177">
        <f t="shared" si="89"/>
        <v>0.4865583882420137</v>
      </c>
      <c r="AG262" s="919">
        <f t="shared" si="95"/>
        <v>-1</v>
      </c>
      <c r="AH262" s="176">
        <f t="shared" si="90"/>
        <v>5</v>
      </c>
      <c r="AI262" s="225">
        <f t="shared" si="91"/>
        <v>-0.5134416117579863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8">
        <v>41.213000000000001</v>
      </c>
      <c r="C263" s="390"/>
      <c r="D263" s="393">
        <f t="shared" si="74"/>
        <v>41.974592158879382</v>
      </c>
      <c r="E263" s="385">
        <f t="shared" si="96"/>
        <v>45.623667584611667</v>
      </c>
      <c r="F263" s="385">
        <f t="shared" si="75"/>
        <v>45.635043105642033</v>
      </c>
      <c r="G263" s="110">
        <f t="shared" si="97"/>
        <v>0.90703094507704707</v>
      </c>
      <c r="H263" s="412" t="b">
        <f>Wh_hp&gt;='2019'!Maxi_hp</f>
        <v>0</v>
      </c>
      <c r="I263" s="380">
        <f>IF(H263,Wh_hp,'2019'!Maxi_hp)</f>
        <v>50.093779259666192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1.8144122901698645E-2</v>
      </c>
      <c r="M263" s="957"/>
      <c r="N263" s="957"/>
      <c r="O263" s="48">
        <f>IF(t&lt;Tnet,'2019'!Resal+('2019'!Salim-'2019'!Resal)*(1-EXP(('2019'!Tnet-t)/('2019'!Tau_j))),Resal+(Salim-Resal)*(1-EXP((Tnet-t)/(Tau_j))))*Salcycl</f>
        <v>7.9982071124923768E-2</v>
      </c>
      <c r="P263" s="169">
        <f>(INDEX(Models!$BJ263:$BT263,,T263)*(1-R263)+INDEX(Models!$BJ263:$BT263,,T263+1)*R263-ERP_i)*Q263*Ramure*Pc/MaxiM</f>
        <v>2.8743210261348309E-4</v>
      </c>
      <c r="Q263" s="305">
        <f t="shared" si="77"/>
        <v>0.7</v>
      </c>
      <c r="R263" s="177">
        <f t="shared" si="78"/>
        <v>0.48709339217364533</v>
      </c>
      <c r="S263" s="919">
        <f t="shared" si="79"/>
        <v>-1</v>
      </c>
      <c r="T263" s="176">
        <f t="shared" si="80"/>
        <v>5</v>
      </c>
      <c r="U263" s="251">
        <f t="shared" si="81"/>
        <v>-0.51290660782635467</v>
      </c>
      <c r="V263" s="383">
        <f t="shared" si="82"/>
        <v>45.435524690192175</v>
      </c>
      <c r="W263" s="402"/>
      <c r="X263" s="157">
        <f t="shared" si="83"/>
        <v>44079</v>
      </c>
      <c r="Y263" s="385">
        <f t="shared" si="84"/>
        <v>41.213000000000001</v>
      </c>
      <c r="Z263" s="385">
        <f t="shared" si="85"/>
        <v>41.974592158879382</v>
      </c>
      <c r="AA263" s="386">
        <f t="shared" si="86"/>
        <v>45.623667584611667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7.9982071124923768E-2</v>
      </c>
      <c r="AD263" s="231">
        <f>(INDEX(Models!$BJ263:$BT263,,AH263)*(1-AF263)+INDEX(Models!$BJ263:$BT263,,AH263+1)*AF263-ERP_i)*AE263*Ramure*Pc/MaxiM</f>
        <v>2.8743210261348309E-4</v>
      </c>
      <c r="AE263" s="305">
        <f t="shared" si="88"/>
        <v>0.7</v>
      </c>
      <c r="AF263" s="177">
        <f t="shared" si="89"/>
        <v>0.48709339217364533</v>
      </c>
      <c r="AG263" s="919">
        <f t="shared" si="95"/>
        <v>-1</v>
      </c>
      <c r="AH263" s="176">
        <f t="shared" si="90"/>
        <v>5</v>
      </c>
      <c r="AI263" s="225">
        <f t="shared" si="91"/>
        <v>-0.51290660782635467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8">
        <v>24.533000000000001</v>
      </c>
      <c r="C264" s="390"/>
      <c r="D264" s="393">
        <f t="shared" si="74"/>
        <v>24.986902782449125</v>
      </c>
      <c r="E264" s="385">
        <f t="shared" si="96"/>
        <v>27.160057350205573</v>
      </c>
      <c r="F264" s="385">
        <f t="shared" si="75"/>
        <v>27.16277929317209</v>
      </c>
      <c r="G264" s="110">
        <f t="shared" si="97"/>
        <v>0.54134325726669041</v>
      </c>
      <c r="H264" s="412" t="b">
        <f>Wh_hp&gt;='2019'!Maxi_hp</f>
        <v>0</v>
      </c>
      <c r="I264" s="380">
        <f>IF(H264,Wh_hp,'2019'!Maxi_hp)</f>
        <v>51.37719632099251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1.8165628065273776E-2</v>
      </c>
      <c r="M264" s="957"/>
      <c r="N264" s="957"/>
      <c r="O264" s="48">
        <f>IF(t&lt;Tnet,'2019'!Resal+('2019'!Salim-'2019'!Resal)*(1-EXP(('2019'!Tnet-t)/('2019'!Tau_j))),Resal+(Salim-Resal)*(1-EXP((Tnet-t)/(Tau_j))))*Salcycl</f>
        <v>8.0012885824778932E-2</v>
      </c>
      <c r="P264" s="169">
        <f>(INDEX(Models!$BJ264:$BT264,,T264)*(1-R264)+INDEX(Models!$BJ264:$BT264,,T264+1)*R264-ERP_i)*Q264*Ramure*Pc/MaxiM</f>
        <v>2.9052417583150274E-4</v>
      </c>
      <c r="Q264" s="305">
        <f t="shared" si="77"/>
        <v>0.7</v>
      </c>
      <c r="R264" s="177">
        <f t="shared" si="78"/>
        <v>0.48760796140668283</v>
      </c>
      <c r="S264" s="919">
        <f t="shared" si="79"/>
        <v>-1</v>
      </c>
      <c r="T264" s="176">
        <f t="shared" si="80"/>
        <v>5</v>
      </c>
      <c r="U264" s="251">
        <f t="shared" si="81"/>
        <v>-0.51239203859331717</v>
      </c>
      <c r="V264" s="383">
        <f t="shared" si="82"/>
        <v>45.310124749484274</v>
      </c>
      <c r="W264" s="402"/>
      <c r="X264" s="157">
        <f t="shared" si="83"/>
        <v>44080</v>
      </c>
      <c r="Y264" s="385">
        <f t="shared" si="84"/>
        <v>24.533000000000001</v>
      </c>
      <c r="Z264" s="385">
        <f t="shared" si="85"/>
        <v>24.986902782449125</v>
      </c>
      <c r="AA264" s="386">
        <f t="shared" si="86"/>
        <v>27.160057350205573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8.0012885824778932E-2</v>
      </c>
      <c r="AD264" s="231">
        <f>(INDEX(Models!$BJ264:$BT264,,AH264)*(1-AF264)+INDEX(Models!$BJ264:$BT264,,AH264+1)*AF264-ERP_i)*AE264*Ramure*Pc/MaxiM</f>
        <v>2.9052417583150274E-4</v>
      </c>
      <c r="AE264" s="305">
        <f t="shared" si="88"/>
        <v>0.7</v>
      </c>
      <c r="AF264" s="177">
        <f t="shared" si="89"/>
        <v>0.48760796140668283</v>
      </c>
      <c r="AG264" s="919">
        <f t="shared" si="95"/>
        <v>-1</v>
      </c>
      <c r="AH264" s="176">
        <f t="shared" si="90"/>
        <v>5</v>
      </c>
      <c r="AI264" s="225">
        <f t="shared" si="91"/>
        <v>-0.51239203859331717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8">
        <v>40.334000000000003</v>
      </c>
      <c r="C265" s="390"/>
      <c r="D265" s="393">
        <f t="shared" si="74"/>
        <v>41.081148297938746</v>
      </c>
      <c r="E265" s="385">
        <f t="shared" si="96"/>
        <v>44.655517114131413</v>
      </c>
      <c r="F265" s="385">
        <f t="shared" si="75"/>
        <v>44.666667769271925</v>
      </c>
      <c r="G265" s="110">
        <f t="shared" si="97"/>
        <v>0.89264607171835764</v>
      </c>
      <c r="H265" s="412" t="b">
        <f>Wh_hp&gt;='2019'!Maxi_hp</f>
        <v>0</v>
      </c>
      <c r="I265" s="380">
        <f>IF(H265,Wh_hp,'2019'!Maxi_hp)</f>
        <v>49.21838095853591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1.8187132757830682E-2</v>
      </c>
      <c r="M265" s="957"/>
      <c r="N265" s="957"/>
      <c r="O265" s="48">
        <f>IF(t&lt;Tnet,'2019'!Resal+('2019'!Salim-'2019'!Resal)*(1-EXP(('2019'!Tnet-t)/('2019'!Tau_j))),Resal+(Salim-Resal)*(1-EXP((Tnet-t)/(Tau_j))))*Salcycl</f>
        <v>8.004316257400472E-2</v>
      </c>
      <c r="P265" s="169">
        <f>(INDEX(Models!$BJ265:$BT265,,T265)*(1-R265)+INDEX(Models!$BJ265:$BT265,,T265+1)*R265-ERP_i)*Q265*Ramure*Pc/MaxiM</f>
        <v>2.9484236412087789E-4</v>
      </c>
      <c r="Q265" s="305">
        <f t="shared" si="77"/>
        <v>0.7</v>
      </c>
      <c r="R265" s="177">
        <f t="shared" si="78"/>
        <v>0.48810283465352877</v>
      </c>
      <c r="S265" s="919">
        <f t="shared" si="79"/>
        <v>-1</v>
      </c>
      <c r="T265" s="176">
        <f t="shared" si="80"/>
        <v>5</v>
      </c>
      <c r="U265" s="251">
        <f t="shared" si="81"/>
        <v>-0.51189716534647123</v>
      </c>
      <c r="V265" s="383">
        <f t="shared" si="82"/>
        <v>45.182718763939725</v>
      </c>
      <c r="W265" s="402"/>
      <c r="X265" s="157">
        <f t="shared" si="83"/>
        <v>44081</v>
      </c>
      <c r="Y265" s="385">
        <f t="shared" si="84"/>
        <v>40.334000000000003</v>
      </c>
      <c r="Z265" s="385">
        <f t="shared" si="85"/>
        <v>41.081148297938746</v>
      </c>
      <c r="AA265" s="386">
        <f t="shared" si="86"/>
        <v>44.655517114131413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8.004316257400472E-2</v>
      </c>
      <c r="AD265" s="231">
        <f>(INDEX(Models!$BJ265:$BT265,,AH265)*(1-AF265)+INDEX(Models!$BJ265:$BT265,,AH265+1)*AF265-ERP_i)*AE265*Ramure*Pc/MaxiM</f>
        <v>2.9484236412087789E-4</v>
      </c>
      <c r="AE265" s="305">
        <f t="shared" si="88"/>
        <v>0.7</v>
      </c>
      <c r="AF265" s="177">
        <f t="shared" si="89"/>
        <v>0.48810283465352877</v>
      </c>
      <c r="AG265" s="919">
        <f t="shared" si="95"/>
        <v>-1</v>
      </c>
      <c r="AH265" s="176">
        <f t="shared" si="90"/>
        <v>5</v>
      </c>
      <c r="AI265" s="225">
        <f t="shared" si="91"/>
        <v>-0.51189716534647123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8">
        <v>44.106999999999999</v>
      </c>
      <c r="C266" s="390"/>
      <c r="D266" s="393">
        <f t="shared" si="74"/>
        <v>44.925023443166737</v>
      </c>
      <c r="E266" s="385">
        <f t="shared" si="96"/>
        <v>48.835415915351625</v>
      </c>
      <c r="F266" s="385">
        <f t="shared" si="75"/>
        <v>48.849649959056784</v>
      </c>
      <c r="G266" s="110">
        <f t="shared" si="97"/>
        <v>0.97899337006613074</v>
      </c>
      <c r="H266" s="412" t="b">
        <f>Wh_hp&gt;='2019'!Maxi_hp</f>
        <v>1</v>
      </c>
      <c r="I266" s="380">
        <f>IF(H266,Wh_hp,'2019'!Maxi_hp)</f>
        <v>48.849649959056784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1.8208636979379578E-2</v>
      </c>
      <c r="M266" s="957"/>
      <c r="N266" s="957"/>
      <c r="O266" s="48">
        <f>IF(t&lt;Tnet,'2019'!Resal+('2019'!Salim-'2019'!Resal)*(1-EXP(('2019'!Tnet-t)/('2019'!Tau_j))),Resal+(Salim-Resal)*(1-EXP((Tnet-t)/(Tau_j))))*Salcycl</f>
        <v>8.0072881512116695E-2</v>
      </c>
      <c r="P266" s="169">
        <f>(INDEX(Models!$BJ266:$BT266,,T266)*(1-R266)+INDEX(Models!$BJ266:$BT266,,T266+1)*R266-ERP_i)*Q266*Ramure*Pc/MaxiM</f>
        <v>3.0039569269990754E-4</v>
      </c>
      <c r="Q266" s="305">
        <f t="shared" si="77"/>
        <v>0.7</v>
      </c>
      <c r="R266" s="177">
        <f t="shared" si="78"/>
        <v>0.48857872715288386</v>
      </c>
      <c r="S266" s="919">
        <f t="shared" si="79"/>
        <v>-1</v>
      </c>
      <c r="T266" s="176">
        <f t="shared" si="80"/>
        <v>5</v>
      </c>
      <c r="U266" s="251">
        <f t="shared" si="81"/>
        <v>-0.51142127284711614</v>
      </c>
      <c r="V266" s="383">
        <f t="shared" si="82"/>
        <v>45.053014440871564</v>
      </c>
      <c r="W266" s="402"/>
      <c r="X266" s="157">
        <f t="shared" si="83"/>
        <v>44082</v>
      </c>
      <c r="Y266" s="385">
        <f t="shared" si="84"/>
        <v>44.106999999999999</v>
      </c>
      <c r="Z266" s="385">
        <f t="shared" si="85"/>
        <v>44.925023443166737</v>
      </c>
      <c r="AA266" s="386">
        <f t="shared" si="86"/>
        <v>48.835415915351625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8.0072881512116695E-2</v>
      </c>
      <c r="AD266" s="231">
        <f>(INDEX(Models!$BJ266:$BT266,,AH266)*(1-AF266)+INDEX(Models!$BJ266:$BT266,,AH266+1)*AF266-ERP_i)*AE266*Ramure*Pc/MaxiM</f>
        <v>3.0039569269990754E-4</v>
      </c>
      <c r="AE266" s="305">
        <f t="shared" si="88"/>
        <v>0.7</v>
      </c>
      <c r="AF266" s="177">
        <f t="shared" si="89"/>
        <v>0.48857872715288386</v>
      </c>
      <c r="AG266" s="919">
        <f t="shared" si="95"/>
        <v>-1</v>
      </c>
      <c r="AH266" s="176">
        <f t="shared" si="90"/>
        <v>5</v>
      </c>
      <c r="AI266" s="225">
        <f t="shared" si="91"/>
        <v>-0.51142127284711614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8">
        <v>21.669</v>
      </c>
      <c r="C267" s="390"/>
      <c r="D267" s="393">
        <f t="shared" si="74"/>
        <v>22.071364073155156</v>
      </c>
      <c r="E267" s="385">
        <f t="shared" si="96"/>
        <v>23.99327381957815</v>
      </c>
      <c r="F267" s="385">
        <f t="shared" si="75"/>
        <v>23.995194357038926</v>
      </c>
      <c r="G267" s="110">
        <f t="shared" si="97"/>
        <v>0.48227360517546758</v>
      </c>
      <c r="H267" s="412" t="b">
        <f>Wh_hp&gt;='2019'!Maxi_hp</f>
        <v>0</v>
      </c>
      <c r="I267" s="380">
        <f>IF(H267,Wh_hp,'2019'!Maxi_hp)</f>
        <v>38.182108050968154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1.8230140729930788E-2</v>
      </c>
      <c r="M267" s="957"/>
      <c r="N267" s="957"/>
      <c r="O267" s="48">
        <f>IF(t&lt;Tnet,'2019'!Resal+('2019'!Salim-'2019'!Resal)*(1-EXP(('2019'!Tnet-t)/('2019'!Tau_j))),Resal+(Salim-Resal)*(1-EXP((Tnet-t)/(Tau_j))))*Salcycl</f>
        <v>8.0102021961452496E-2</v>
      </c>
      <c r="P267" s="169">
        <f>(INDEX(Models!$BJ267:$BT267,,T267)*(1-R267)+INDEX(Models!$BJ267:$BT267,,T267+1)*R267-ERP_i)*Q267*Ramure*Pc/MaxiM</f>
        <v>3.0719330329211726E-4</v>
      </c>
      <c r="Q267" s="305">
        <f t="shared" si="77"/>
        <v>0.7</v>
      </c>
      <c r="R267" s="177">
        <f t="shared" si="78"/>
        <v>0.48903633116054879</v>
      </c>
      <c r="S267" s="919">
        <f t="shared" si="79"/>
        <v>-1</v>
      </c>
      <c r="T267" s="176">
        <f t="shared" si="80"/>
        <v>5</v>
      </c>
      <c r="U267" s="251">
        <f t="shared" si="81"/>
        <v>-0.51096366883945121</v>
      </c>
      <c r="V267" s="383">
        <f t="shared" si="82"/>
        <v>44.920719596439127</v>
      </c>
      <c r="W267" s="402"/>
      <c r="X267" s="157">
        <f t="shared" si="83"/>
        <v>44083</v>
      </c>
      <c r="Y267" s="385">
        <f t="shared" si="84"/>
        <v>21.669</v>
      </c>
      <c r="Z267" s="385">
        <f t="shared" si="85"/>
        <v>22.071364073155156</v>
      </c>
      <c r="AA267" s="386">
        <f t="shared" si="86"/>
        <v>23.99327381957815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8.0102021961452496E-2</v>
      </c>
      <c r="AD267" s="231">
        <f>(INDEX(Models!$BJ267:$BT267,,AH267)*(1-AF267)+INDEX(Models!$BJ267:$BT267,,AH267+1)*AF267-ERP_i)*AE267*Ramure*Pc/MaxiM</f>
        <v>3.0719330329211726E-4</v>
      </c>
      <c r="AE267" s="305">
        <f t="shared" si="88"/>
        <v>0.7</v>
      </c>
      <c r="AF267" s="177">
        <f t="shared" si="89"/>
        <v>0.48903633116054879</v>
      </c>
      <c r="AG267" s="919">
        <f t="shared" si="95"/>
        <v>-1</v>
      </c>
      <c r="AH267" s="176">
        <f t="shared" si="90"/>
        <v>5</v>
      </c>
      <c r="AI267" s="225">
        <f t="shared" si="91"/>
        <v>-0.51096366883945121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8">
        <v>30.875</v>
      </c>
      <c r="C268" s="390"/>
      <c r="D268" s="393">
        <f t="shared" si="74"/>
        <v>31.448995877206848</v>
      </c>
      <c r="E268" s="385">
        <f t="shared" si="96"/>
        <v>34.188543060852801</v>
      </c>
      <c r="F268" s="385">
        <f t="shared" si="75"/>
        <v>34.194544587012047</v>
      </c>
      <c r="G268" s="110">
        <f t="shared" si="97"/>
        <v>0.68930024052293637</v>
      </c>
      <c r="H268" s="412" t="b">
        <f>Wh_hp&gt;='2019'!Maxi_hp</f>
        <v>0</v>
      </c>
      <c r="I268" s="380">
        <f>IF(H268,Wh_hp,'2019'!Maxi_hp)</f>
        <v>48.02648130757494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1.825164400949475E-2</v>
      </c>
      <c r="M268" s="957"/>
      <c r="N268" s="957"/>
      <c r="O268" s="48">
        <f>IF(t&lt;Tnet,'2019'!Resal+('2019'!Salim-'2019'!Resal)*(1-EXP(('2019'!Tnet-t)/('2019'!Tau_j))),Resal+(Salim-Resal)*(1-EXP((Tnet-t)/(Tau_j))))*Salcycl</f>
        <v>8.0130562415888368E-2</v>
      </c>
      <c r="P268" s="169">
        <f>(INDEX(Models!$BJ268:$BT268,,T268)*(1-R268)+INDEX(Models!$BJ268:$BT268,,T268+1)*R268-ERP_i)*Q268*Ramure*Pc/MaxiM</f>
        <v>3.1550814381346091E-4</v>
      </c>
      <c r="Q268" s="305">
        <f t="shared" si="77"/>
        <v>0.7</v>
      </c>
      <c r="R268" s="177">
        <f t="shared" si="78"/>
        <v>0.4894763164518855</v>
      </c>
      <c r="S268" s="919">
        <f t="shared" si="79"/>
        <v>-1</v>
      </c>
      <c r="T268" s="176">
        <f t="shared" si="80"/>
        <v>5</v>
      </c>
      <c r="U268" s="251">
        <f t="shared" si="81"/>
        <v>-0.5105236835481145</v>
      </c>
      <c r="V268" s="383">
        <f t="shared" si="82"/>
        <v>44.785530341208919</v>
      </c>
      <c r="W268" s="402"/>
      <c r="X268" s="157">
        <f t="shared" si="83"/>
        <v>44084</v>
      </c>
      <c r="Y268" s="385">
        <f t="shared" si="84"/>
        <v>30.875000000000004</v>
      </c>
      <c r="Z268" s="385">
        <f t="shared" si="85"/>
        <v>31.448995877206851</v>
      </c>
      <c r="AA268" s="386">
        <f t="shared" si="86"/>
        <v>34.188543060852801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8.0130562415888368E-2</v>
      </c>
      <c r="AD268" s="231">
        <f>(INDEX(Models!$BJ268:$BT268,,AH268)*(1-AF268)+INDEX(Models!$BJ268:$BT268,,AH268+1)*AF268-ERP_i)*AE268*Ramure*Pc/MaxiM</f>
        <v>3.1550814381346091E-4</v>
      </c>
      <c r="AE268" s="305">
        <f t="shared" si="88"/>
        <v>0.7</v>
      </c>
      <c r="AF268" s="177">
        <f t="shared" si="89"/>
        <v>0.4894763164518855</v>
      </c>
      <c r="AG268" s="919">
        <f t="shared" si="95"/>
        <v>-1</v>
      </c>
      <c r="AH268" s="176">
        <f t="shared" si="90"/>
        <v>5</v>
      </c>
      <c r="AI268" s="225">
        <f t="shared" si="91"/>
        <v>-0.5105236835481145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8">
        <v>39.103000000000002</v>
      </c>
      <c r="C269" s="390"/>
      <c r="D269" s="393">
        <f t="shared" si="74"/>
        <v>39.83083469018041</v>
      </c>
      <c r="E269" s="385">
        <f t="shared" si="96"/>
        <v>43.301844771583355</v>
      </c>
      <c r="F269" s="385">
        <f t="shared" si="75"/>
        <v>43.313405805413645</v>
      </c>
      <c r="G269" s="110">
        <f t="shared" si="97"/>
        <v>0.87577169512659181</v>
      </c>
      <c r="H269" s="412" t="b">
        <f>Wh_hp&gt;='2019'!Maxi_hp</f>
        <v>0</v>
      </c>
      <c r="I269" s="380">
        <f>IF(H269,Wh_hp,'2019'!Maxi_hp)</f>
        <v>49.547587041399964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1.8273146818081676E-2</v>
      </c>
      <c r="M269" s="957"/>
      <c r="N269" s="957"/>
      <c r="O269" s="48">
        <f>IF(t&lt;Tnet,'2019'!Resal+('2019'!Salim-'2019'!Resal)*(1-EXP(('2019'!Tnet-t)/('2019'!Tau_j))),Resal+(Salim-Resal)*(1-EXP((Tnet-t)/(Tau_j))))*Salcycl</f>
        <v>8.0158480538472951E-2</v>
      </c>
      <c r="P269" s="169">
        <f>(INDEX(Models!$BJ269:$BT269,,T269)*(1-R269)+INDEX(Models!$BJ269:$BT269,,T269+1)*R269-ERP_i)*Q269*Ramure*Pc/MaxiM</f>
        <v>3.2447708519950814E-4</v>
      </c>
      <c r="Q269" s="305">
        <f t="shared" si="77"/>
        <v>0.7</v>
      </c>
      <c r="R269" s="177">
        <f t="shared" si="78"/>
        <v>0.48989933083347248</v>
      </c>
      <c r="S269" s="919">
        <f t="shared" si="79"/>
        <v>-1</v>
      </c>
      <c r="T269" s="176">
        <f t="shared" si="80"/>
        <v>5</v>
      </c>
      <c r="U269" s="251">
        <f t="shared" si="81"/>
        <v>-0.51010066916652752</v>
      </c>
      <c r="V269" s="383">
        <f t="shared" si="82"/>
        <v>44.64719378239306</v>
      </c>
      <c r="W269" s="402"/>
      <c r="X269" s="157">
        <f t="shared" si="83"/>
        <v>44085</v>
      </c>
      <c r="Y269" s="385">
        <f t="shared" si="84"/>
        <v>39.103000000000002</v>
      </c>
      <c r="Z269" s="385">
        <f t="shared" si="85"/>
        <v>39.83083469018041</v>
      </c>
      <c r="AA269" s="386">
        <f t="shared" si="86"/>
        <v>43.301844771583355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8.0158480538472951E-2</v>
      </c>
      <c r="AD269" s="231">
        <f>(INDEX(Models!$BJ269:$BT269,,AH269)*(1-AF269)+INDEX(Models!$BJ269:$BT269,,AH269+1)*AF269-ERP_i)*AE269*Ramure*Pc/MaxiM</f>
        <v>3.2447708519950814E-4</v>
      </c>
      <c r="AE269" s="305">
        <f t="shared" si="88"/>
        <v>0.7</v>
      </c>
      <c r="AF269" s="177">
        <f t="shared" si="89"/>
        <v>0.48989933083347248</v>
      </c>
      <c r="AG269" s="919">
        <f t="shared" si="95"/>
        <v>-1</v>
      </c>
      <c r="AH269" s="176">
        <f t="shared" si="90"/>
        <v>5</v>
      </c>
      <c r="AI269" s="225">
        <f t="shared" si="91"/>
        <v>-0.51010066916652752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8">
        <v>42.926000000000002</v>
      </c>
      <c r="C270" s="390"/>
      <c r="D270" s="393">
        <f t="shared" si="74"/>
        <v>43.725950931287343</v>
      </c>
      <c r="E270" s="385">
        <f t="shared" si="96"/>
        <v>47.537805684068751</v>
      </c>
      <c r="F270" s="385">
        <f t="shared" si="75"/>
        <v>47.552887947991515</v>
      </c>
      <c r="G270" s="110">
        <f t="shared" si="97"/>
        <v>0.96449544027597967</v>
      </c>
      <c r="H270" s="412" t="b">
        <f>Wh_hp&gt;='2019'!Maxi_hp</f>
        <v>1</v>
      </c>
      <c r="I270" s="380">
        <f>IF(H270,Wh_hp,'2019'!Maxi_hp)</f>
        <v>47.552887947991515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1.8294649155701892E-2</v>
      </c>
      <c r="M270" s="957"/>
      <c r="N270" s="957"/>
      <c r="O270" s="48">
        <f>IF(t&lt;Tnet,'2019'!Resal+('2019'!Salim-'2019'!Resal)*(1-EXP(('2019'!Tnet-t)/('2019'!Tau_j))),Resal+(Salim-Resal)*(1-EXP((Tnet-t)/(Tau_j))))*Salcycl</f>
        <v>8.0185753169058571E-2</v>
      </c>
      <c r="P270" s="169">
        <f>(INDEX(Models!$BJ270:$BT270,,T270)*(1-R270)+INDEX(Models!$BJ270:$BT270,,T270+1)*R270-ERP_i)*Q270*Ramure*Pc/MaxiM</f>
        <v>3.3410655232856578E-4</v>
      </c>
      <c r="Q270" s="305">
        <f t="shared" si="77"/>
        <v>0.7</v>
      </c>
      <c r="R270" s="177">
        <f t="shared" si="78"/>
        <v>0.49030600066168262</v>
      </c>
      <c r="S270" s="919">
        <f t="shared" si="79"/>
        <v>-1</v>
      </c>
      <c r="T270" s="176">
        <f t="shared" si="80"/>
        <v>5</v>
      </c>
      <c r="U270" s="251">
        <f t="shared" si="81"/>
        <v>-0.50969399933831738</v>
      </c>
      <c r="V270" s="383">
        <f t="shared" si="82"/>
        <v>44.505417943047448</v>
      </c>
      <c r="W270" s="402"/>
      <c r="X270" s="157">
        <f t="shared" si="83"/>
        <v>44086</v>
      </c>
      <c r="Y270" s="385">
        <f t="shared" si="84"/>
        <v>42.926000000000002</v>
      </c>
      <c r="Z270" s="385">
        <f t="shared" si="85"/>
        <v>43.725950931287343</v>
      </c>
      <c r="AA270" s="386">
        <f t="shared" si="86"/>
        <v>47.537805684068751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8.0185753169058571E-2</v>
      </c>
      <c r="AD270" s="231">
        <f>(INDEX(Models!$BJ270:$BT270,,AH270)*(1-AF270)+INDEX(Models!$BJ270:$BT270,,AH270+1)*AF270-ERP_i)*AE270*Ramure*Pc/MaxiM</f>
        <v>3.3410655232856578E-4</v>
      </c>
      <c r="AE270" s="305">
        <f t="shared" si="88"/>
        <v>0.7</v>
      </c>
      <c r="AF270" s="177">
        <f t="shared" si="89"/>
        <v>0.49030600066168262</v>
      </c>
      <c r="AG270" s="919">
        <f t="shared" si="95"/>
        <v>-1</v>
      </c>
      <c r="AH270" s="176">
        <f t="shared" si="90"/>
        <v>5</v>
      </c>
      <c r="AI270" s="225">
        <f t="shared" si="91"/>
        <v>-0.50969399933831738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8">
        <v>42.625999999999998</v>
      </c>
      <c r="C271" s="390"/>
      <c r="D271" s="393">
        <f t="shared" ref="D271:D334" si="98">Wh/(1-Ppv)</f>
        <v>43.421311295273377</v>
      </c>
      <c r="E271" s="385">
        <f t="shared" si="96"/>
        <v>47.207974139150252</v>
      </c>
      <c r="F271" s="385">
        <f t="shared" ref="F271:F334" si="99">Wh_sa/(1-Pvg*MEDIAN((-Sdif+Wh/Env_an)/Csdif,0,1))</f>
        <v>47.223329847400791</v>
      </c>
      <c r="G271" s="110">
        <f t="shared" si="97"/>
        <v>0.96089417423131973</v>
      </c>
      <c r="H271" s="412" t="b">
        <f>Wh_hp&gt;='2019'!Maxi_hp</f>
        <v>1</v>
      </c>
      <c r="I271" s="380">
        <f>IF(H271,Wh_hp,'2019'!Maxi_hp)</f>
        <v>47.223329847400791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1.8316151022365723E-2</v>
      </c>
      <c r="M271" s="957"/>
      <c r="N271" s="957"/>
      <c r="O271" s="48">
        <f>IF(t&lt;Tnet,'2019'!Resal+('2019'!Salim-'2019'!Resal)*(1-EXP(('2019'!Tnet-t)/('2019'!Tau_j))),Resal+(Salim-Resal)*(1-EXP((Tnet-t)/(Tau_j))))*Salcycl</f>
        <v>8.021235634292001E-2</v>
      </c>
      <c r="P271" s="169">
        <f>(INDEX(Models!$BJ271:$BT271,,T271)*(1-R271)+INDEX(Models!$BJ271:$BT271,,T271+1)*R271-ERP_i)*Q271*Ramure*Pc/MaxiM</f>
        <v>3.4440322874328778E-4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0.49069693136611814</v>
      </c>
      <c r="S271" s="919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-0.50930306863388186</v>
      </c>
      <c r="V271" s="383">
        <f t="shared" ref="V271:V334" si="106">MaxiM*(1-Ppv)*(1-Pvg)*(1-Psa)</f>
        <v>44.359910934395977</v>
      </c>
      <c r="W271" s="402"/>
      <c r="X271" s="157">
        <f t="shared" ref="X271:X334" si="107">t</f>
        <v>44087</v>
      </c>
      <c r="Y271" s="385">
        <f t="shared" ref="Y271:Y334" si="108">Wh_pvt_s*(1-Ppv)</f>
        <v>42.625999999999998</v>
      </c>
      <c r="Z271" s="385">
        <f t="shared" ref="Z271:Z334" si="109">Wh_sa_s*(1-Psa_s)</f>
        <v>43.421311295273377</v>
      </c>
      <c r="AA271" s="386">
        <f t="shared" ref="AA271:AA334" si="110">Wh_hp*(1-Pvg_s*MEDIAN((-Sdif+Wh/Env_an)/Csdif,0,1))</f>
        <v>47.207974139150252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8.021235634292001E-2</v>
      </c>
      <c r="AD271" s="231">
        <f>(INDEX(Models!$BJ271:$BT271,,AH271)*(1-AF271)+INDEX(Models!$BJ271:$BT271,,AH271+1)*AF271-ERP_i)*AE271*Ramure*Pc/MaxiM</f>
        <v>3.4440322874328778E-4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0.49069693136611814</v>
      </c>
      <c r="AG271" s="919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-0.50930306863388186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8">
        <v>43.338999999999999</v>
      </c>
      <c r="C272" s="390"/>
      <c r="D272" s="393">
        <f t="shared" si="98"/>
        <v>44.148581339352539</v>
      </c>
      <c r="E272" s="385">
        <f t="shared" si="96"/>
        <v>48.000019651581056</v>
      </c>
      <c r="F272" s="385">
        <f t="shared" si="99"/>
        <v>48.01660304214726</v>
      </c>
      <c r="G272" s="110">
        <f t="shared" si="97"/>
        <v>0.98028031562074436</v>
      </c>
      <c r="H272" s="412" t="b">
        <f>Wh_hp&gt;='2019'!Maxi_hp</f>
        <v>1</v>
      </c>
      <c r="I272" s="380">
        <f>IF(H272,Wh_hp,'2019'!Maxi_hp)</f>
        <v>48.01660304214726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1.8337652418083605E-2</v>
      </c>
      <c r="M272" s="957"/>
      <c r="N272" s="957"/>
      <c r="O272" s="48">
        <f>IF(t&lt;Tnet,'2019'!Resal+('2019'!Salim-'2019'!Resal)*(1-EXP(('2019'!Tnet-t)/('2019'!Tau_j))),Resal+(Salim-Resal)*(1-EXP((Tnet-t)/(Tau_j))))*Salcycl</f>
        <v>8.0238265321244576E-2</v>
      </c>
      <c r="P272" s="169">
        <f>(INDEX(Models!$BJ272:$BT272,,T272)*(1-R272)+INDEX(Models!$BJ272:$BT272,,T272+1)*R272-ERP_i)*Q272*Ramure*Pc/MaxiM</f>
        <v>3.5537409604817299E-4</v>
      </c>
      <c r="Q272" s="305">
        <f t="shared" si="101"/>
        <v>0.7</v>
      </c>
      <c r="R272" s="177">
        <f t="shared" si="102"/>
        <v>0.49107270797601621</v>
      </c>
      <c r="S272" s="919">
        <f t="shared" si="103"/>
        <v>-1</v>
      </c>
      <c r="T272" s="176">
        <f t="shared" si="104"/>
        <v>5</v>
      </c>
      <c r="U272" s="251">
        <f t="shared" si="105"/>
        <v>-0.50892729202398379</v>
      </c>
      <c r="V272" s="383">
        <f t="shared" si="106"/>
        <v>44.21038094770082</v>
      </c>
      <c r="W272" s="402"/>
      <c r="X272" s="157">
        <f t="shared" si="107"/>
        <v>44088</v>
      </c>
      <c r="Y272" s="385">
        <f t="shared" si="108"/>
        <v>43.338999999999999</v>
      </c>
      <c r="Z272" s="385">
        <f t="shared" si="109"/>
        <v>44.148581339352539</v>
      </c>
      <c r="AA272" s="386">
        <f t="shared" si="110"/>
        <v>48.000019651581056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8.0238265321244576E-2</v>
      </c>
      <c r="AD272" s="231">
        <f>(INDEX(Models!$BJ272:$BT272,,AH272)*(1-AF272)+INDEX(Models!$BJ272:$BT272,,AH272+1)*AF272-ERP_i)*AE272*Ramure*Pc/MaxiM</f>
        <v>3.5537409604817299E-4</v>
      </c>
      <c r="AE272" s="305">
        <f t="shared" si="112"/>
        <v>0.7</v>
      </c>
      <c r="AF272" s="177">
        <f t="shared" si="113"/>
        <v>0.49107270797601621</v>
      </c>
      <c r="AG272" s="919">
        <f t="shared" ref="AG272:AG335" si="119">INDEX(Echel_vg,AH272)</f>
        <v>-1</v>
      </c>
      <c r="AH272" s="176">
        <f t="shared" si="114"/>
        <v>5</v>
      </c>
      <c r="AI272" s="225">
        <f t="shared" si="115"/>
        <v>-0.50892729202398379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8">
        <v>37.43</v>
      </c>
      <c r="C273" s="390"/>
      <c r="D273" s="393">
        <f t="shared" si="98"/>
        <v>38.130035162517515</v>
      </c>
      <c r="E273" s="385">
        <f t="shared" si="96"/>
        <v>41.457562336348026</v>
      </c>
      <c r="F273" s="385">
        <f t="shared" si="99"/>
        <v>41.469512317895763</v>
      </c>
      <c r="G273" s="110">
        <f t="shared" si="97"/>
        <v>0.84952314621451719</v>
      </c>
      <c r="H273" s="412" t="b">
        <f>Wh_hp&gt;='2019'!Maxi_hp</f>
        <v>0</v>
      </c>
      <c r="I273" s="380">
        <f>IF(H273,Wh_hp,'2019'!Maxi_hp)</f>
        <v>47.259197332077989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1.8359153342865642E-2</v>
      </c>
      <c r="M273" s="957"/>
      <c r="N273" s="957"/>
      <c r="O273" s="48">
        <f>IF(t&lt;Tnet,'2019'!Resal+('2019'!Salim-'2019'!Resal)*(1-EXP(('2019'!Tnet-t)/('2019'!Tau_j))),Resal+(Salim-Resal)*(1-EXP((Tnet-t)/(Tau_j))))*Salcycl</f>
        <v>8.0263454634260878E-2</v>
      </c>
      <c r="P273" s="169">
        <f>(INDEX(Models!$BJ273:$BT273,,T273)*(1-R273)+INDEX(Models!$BJ273:$BT273,,T273+1)*R273-ERP_i)*Q273*Ramure*Pc/MaxiM</f>
        <v>3.6702647492525045E-4</v>
      </c>
      <c r="Q273" s="305">
        <f t="shared" si="101"/>
        <v>0.7</v>
      </c>
      <c r="R273" s="177">
        <f t="shared" si="102"/>
        <v>0.49143389564791184</v>
      </c>
      <c r="S273" s="919">
        <f t="shared" si="103"/>
        <v>-1</v>
      </c>
      <c r="T273" s="176">
        <f t="shared" si="104"/>
        <v>5</v>
      </c>
      <c r="U273" s="251">
        <f t="shared" si="105"/>
        <v>-0.50856610435208816</v>
      </c>
      <c r="V273" s="383">
        <f t="shared" si="106"/>
        <v>44.056536255988313</v>
      </c>
      <c r="W273" s="402"/>
      <c r="X273" s="157">
        <f t="shared" si="107"/>
        <v>44089</v>
      </c>
      <c r="Y273" s="385">
        <f t="shared" si="108"/>
        <v>37.43</v>
      </c>
      <c r="Z273" s="385">
        <f t="shared" si="109"/>
        <v>38.130035162517515</v>
      </c>
      <c r="AA273" s="386">
        <f t="shared" si="110"/>
        <v>41.457562336348026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8.0263454634260878E-2</v>
      </c>
      <c r="AD273" s="231">
        <f>(INDEX(Models!$BJ273:$BT273,,AH273)*(1-AF273)+INDEX(Models!$BJ273:$BT273,,AH273+1)*AF273-ERP_i)*AE273*Ramure*Pc/MaxiM</f>
        <v>3.6702647492525045E-4</v>
      </c>
      <c r="AE273" s="305">
        <f t="shared" si="112"/>
        <v>0.7</v>
      </c>
      <c r="AF273" s="177">
        <f t="shared" si="113"/>
        <v>0.49143389564791184</v>
      </c>
      <c r="AG273" s="919">
        <f t="shared" si="119"/>
        <v>-1</v>
      </c>
      <c r="AH273" s="176">
        <f t="shared" si="114"/>
        <v>5</v>
      </c>
      <c r="AI273" s="225">
        <f t="shared" si="115"/>
        <v>-0.50856610435208816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8">
        <v>38.506</v>
      </c>
      <c r="C274" s="390"/>
      <c r="D274" s="393">
        <f t="shared" si="98"/>
        <v>39.227018241779867</v>
      </c>
      <c r="E274" s="385">
        <f t="shared" si="96"/>
        <v>42.651410329762605</v>
      </c>
      <c r="F274" s="385">
        <f t="shared" si="99"/>
        <v>42.664755813409514</v>
      </c>
      <c r="G274" s="110">
        <f t="shared" si="97"/>
        <v>0.87710968953536428</v>
      </c>
      <c r="H274" s="412" t="b">
        <f>Wh_hp&gt;='2019'!Maxi_hp</f>
        <v>0</v>
      </c>
      <c r="I274" s="380">
        <f>IF(H274,Wh_hp,'2019'!Maxi_hp)</f>
        <v>45.090850708314242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1.8380653796722268E-2</v>
      </c>
      <c r="M274" s="957"/>
      <c r="N274" s="957"/>
      <c r="O274" s="48">
        <f>IF(t&lt;Tnet,'2019'!Resal+('2019'!Salim-'2019'!Resal)*(1-EXP(('2019'!Tnet-t)/('2019'!Tau_j))),Resal+(Salim-Resal)*(1-EXP((Tnet-t)/(Tau_j))))*Salcycl</f>
        <v>8.0287898137641686E-2</v>
      </c>
      <c r="P274" s="169">
        <f>(INDEX(Models!$BJ274:$BT274,,T274)*(1-R274)+INDEX(Models!$BJ274:$BT274,,T274+1)*R274-ERP_i)*Q274*Ramure*Pc/MaxiM</f>
        <v>3.7936806834090394E-4</v>
      </c>
      <c r="Q274" s="305">
        <f t="shared" si="101"/>
        <v>0.7</v>
      </c>
      <c r="R274" s="177">
        <f t="shared" si="102"/>
        <v>0.49178104019301017</v>
      </c>
      <c r="S274" s="919">
        <f t="shared" si="103"/>
        <v>-1</v>
      </c>
      <c r="T274" s="176">
        <f t="shared" si="104"/>
        <v>5</v>
      </c>
      <c r="U274" s="251">
        <f t="shared" si="105"/>
        <v>-0.50821895980698983</v>
      </c>
      <c r="V274" s="383">
        <f t="shared" si="106"/>
        <v>43.898085200037173</v>
      </c>
      <c r="W274" s="402"/>
      <c r="X274" s="157">
        <f t="shared" si="107"/>
        <v>44090</v>
      </c>
      <c r="Y274" s="385">
        <f t="shared" si="108"/>
        <v>38.506</v>
      </c>
      <c r="Z274" s="385">
        <f t="shared" si="109"/>
        <v>39.227018241779867</v>
      </c>
      <c r="AA274" s="386">
        <f t="shared" si="110"/>
        <v>42.651410329762605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8.0287898137641686E-2</v>
      </c>
      <c r="AD274" s="231">
        <f>(INDEX(Models!$BJ274:$BT274,,AH274)*(1-AF274)+INDEX(Models!$BJ274:$BT274,,AH274+1)*AF274-ERP_i)*AE274*Ramure*Pc/MaxiM</f>
        <v>3.7936806834090394E-4</v>
      </c>
      <c r="AE274" s="305">
        <f t="shared" si="112"/>
        <v>0.7</v>
      </c>
      <c r="AF274" s="177">
        <f t="shared" si="113"/>
        <v>0.49178104019301017</v>
      </c>
      <c r="AG274" s="919">
        <f t="shared" si="119"/>
        <v>-1</v>
      </c>
      <c r="AH274" s="176">
        <f t="shared" si="114"/>
        <v>5</v>
      </c>
      <c r="AI274" s="225">
        <f t="shared" si="115"/>
        <v>-0.50821895980698983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8">
        <v>39.256</v>
      </c>
      <c r="C275" s="390"/>
      <c r="D275" s="393">
        <f t="shared" si="98"/>
        <v>39.991937789142547</v>
      </c>
      <c r="E275" s="385">
        <f t="shared" si="96"/>
        <v>43.484224053197501</v>
      </c>
      <c r="F275" s="385">
        <f t="shared" si="99"/>
        <v>43.498795639954182</v>
      </c>
      <c r="G275" s="110">
        <f t="shared" si="97"/>
        <v>0.89752944930890033</v>
      </c>
      <c r="H275" s="412" t="b">
        <f>Wh_hp&gt;='2019'!Maxi_hp</f>
        <v>1</v>
      </c>
      <c r="I275" s="380">
        <f>IF(H275,Wh_hp,'2019'!Maxi_hp)</f>
        <v>43.498795639954182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1.8402153779663699E-2</v>
      </c>
      <c r="M275" s="957"/>
      <c r="N275" s="957"/>
      <c r="O275" s="48">
        <f>IF(t&lt;Tnet,'2019'!Resal+('2019'!Salim-'2019'!Resal)*(1-EXP(('2019'!Tnet-t)/('2019'!Tau_j))),Resal+(Salim-Resal)*(1-EXP((Tnet-t)/(Tau_j))))*Salcycl</f>
        <v>8.0311569082676573E-2</v>
      </c>
      <c r="P275" s="169">
        <f>(INDEX(Models!$BJ275:$BT275,,T275)*(1-R275)+INDEX(Models!$BJ275:$BT275,,T275+1)*R275-ERP_i)*Q275*Ramure*Pc/MaxiM</f>
        <v>3.9240169360258369E-4</v>
      </c>
      <c r="Q275" s="305">
        <f t="shared" si="101"/>
        <v>0.7</v>
      </c>
      <c r="R275" s="177">
        <f t="shared" si="102"/>
        <v>0.49211466860286801</v>
      </c>
      <c r="S275" s="919">
        <f t="shared" si="103"/>
        <v>-1</v>
      </c>
      <c r="T275" s="176">
        <f t="shared" si="104"/>
        <v>5</v>
      </c>
      <c r="U275" s="251">
        <f t="shared" si="105"/>
        <v>-0.50788533139713199</v>
      </c>
      <c r="V275" s="383">
        <f t="shared" si="106"/>
        <v>43.735328633534429</v>
      </c>
      <c r="W275" s="402"/>
      <c r="X275" s="157">
        <f t="shared" si="107"/>
        <v>44091</v>
      </c>
      <c r="Y275" s="385">
        <f t="shared" si="108"/>
        <v>39.256</v>
      </c>
      <c r="Z275" s="385">
        <f t="shared" si="109"/>
        <v>39.991937789142547</v>
      </c>
      <c r="AA275" s="386">
        <f t="shared" si="110"/>
        <v>43.484224053197501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8.0311569082676573E-2</v>
      </c>
      <c r="AD275" s="231">
        <f>(INDEX(Models!$BJ275:$BT275,,AH275)*(1-AF275)+INDEX(Models!$BJ275:$BT275,,AH275+1)*AF275-ERP_i)*AE275*Ramure*Pc/MaxiM</f>
        <v>3.9240169360258369E-4</v>
      </c>
      <c r="AE275" s="305">
        <f t="shared" si="112"/>
        <v>0.7</v>
      </c>
      <c r="AF275" s="177">
        <f t="shared" si="113"/>
        <v>0.49211466860286801</v>
      </c>
      <c r="AG275" s="919">
        <f t="shared" si="119"/>
        <v>-1</v>
      </c>
      <c r="AH275" s="176">
        <f t="shared" si="114"/>
        <v>5</v>
      </c>
      <c r="AI275" s="225">
        <f t="shared" si="115"/>
        <v>-0.50788533139713199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8">
        <v>17.954000000000001</v>
      </c>
      <c r="C276" s="390"/>
      <c r="D276" s="393">
        <f t="shared" si="98"/>
        <v>18.29098679915062</v>
      </c>
      <c r="E276" s="385">
        <f t="shared" si="96"/>
        <v>19.888737383119437</v>
      </c>
      <c r="F276" s="385">
        <f t="shared" si="99"/>
        <v>19.890033402685379</v>
      </c>
      <c r="G276" s="110">
        <f t="shared" si="97"/>
        <v>0.41194329967092852</v>
      </c>
      <c r="H276" s="412" t="b">
        <f>Wh_hp&gt;='2019'!Maxi_hp</f>
        <v>0</v>
      </c>
      <c r="I276" s="380">
        <f>IF(H276,Wh_hp,'2019'!Maxi_hp)</f>
        <v>42.121990012430572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1.842365329170037E-2</v>
      </c>
      <c r="M276" s="957"/>
      <c r="N276" s="957"/>
      <c r="O276" s="48">
        <f>IF(t&lt;Tnet,'2019'!Resal+('2019'!Salim-'2019'!Resal)*(1-EXP(('2019'!Tnet-t)/('2019'!Tau_j))),Resal+(Salim-Resal)*(1-EXP((Tnet-t)/(Tau_j))))*Salcycl</f>
        <v>8.0334440200558341E-2</v>
      </c>
      <c r="P276" s="169">
        <f>(INDEX(Models!$BJ276:$BT276,,T276)*(1-R276)+INDEX(Models!$BJ276:$BT276,,T276+1)*R276-ERP_i)*Q276*Ramure*Pc/MaxiM</f>
        <v>4.0693952965534008E-4</v>
      </c>
      <c r="Q276" s="305">
        <f t="shared" si="101"/>
        <v>0.7</v>
      </c>
      <c r="R276" s="177">
        <f t="shared" si="102"/>
        <v>0.49243528957212956</v>
      </c>
      <c r="S276" s="919">
        <f t="shared" si="103"/>
        <v>-1</v>
      </c>
      <c r="T276" s="176">
        <f t="shared" si="104"/>
        <v>5</v>
      </c>
      <c r="U276" s="251">
        <f t="shared" si="105"/>
        <v>-0.50756471042787044</v>
      </c>
      <c r="V276" s="383">
        <f t="shared" si="106"/>
        <v>43.568770972238333</v>
      </c>
      <c r="W276" s="402"/>
      <c r="X276" s="157">
        <f t="shared" si="107"/>
        <v>44092</v>
      </c>
      <c r="Y276" s="385">
        <f t="shared" si="108"/>
        <v>17.954000000000001</v>
      </c>
      <c r="Z276" s="385">
        <f t="shared" si="109"/>
        <v>18.29098679915062</v>
      </c>
      <c r="AA276" s="386">
        <f t="shared" si="110"/>
        <v>19.888737383119437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8.0334440200558341E-2</v>
      </c>
      <c r="AD276" s="231">
        <f>(INDEX(Models!$BJ276:$BT276,,AH276)*(1-AF276)+INDEX(Models!$BJ276:$BT276,,AH276+1)*AF276-ERP_i)*AE276*Ramure*Pc/MaxiM</f>
        <v>4.0693952965534008E-4</v>
      </c>
      <c r="AE276" s="305">
        <f t="shared" si="112"/>
        <v>0.7</v>
      </c>
      <c r="AF276" s="177">
        <f t="shared" si="113"/>
        <v>0.49243528957212956</v>
      </c>
      <c r="AG276" s="919">
        <f t="shared" si="119"/>
        <v>-1</v>
      </c>
      <c r="AH276" s="176">
        <f t="shared" si="114"/>
        <v>5</v>
      </c>
      <c r="AI276" s="225">
        <f t="shared" si="115"/>
        <v>-0.50756471042787044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8">
        <v>30.042000000000002</v>
      </c>
      <c r="C277" s="390"/>
      <c r="D277" s="393">
        <f t="shared" si="98"/>
        <v>30.606542335764779</v>
      </c>
      <c r="E277" s="385">
        <f t="shared" si="96"/>
        <v>33.280876553411019</v>
      </c>
      <c r="F277" s="385">
        <f t="shared" si="99"/>
        <v>33.288759870174204</v>
      </c>
      <c r="G277" s="110">
        <f t="shared" si="97"/>
        <v>0.69210733094937338</v>
      </c>
      <c r="H277" s="412" t="b">
        <f>Wh_hp&gt;='2019'!Maxi_hp</f>
        <v>0</v>
      </c>
      <c r="I277" s="380">
        <f>IF(H277,Wh_hp,'2019'!Maxi_hp)</f>
        <v>46.992391841113573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1.8445152332842607E-2</v>
      </c>
      <c r="M277" s="957"/>
      <c r="N277" s="957"/>
      <c r="O277" s="48">
        <f>IF(t&lt;Tnet,'2019'!Resal+('2019'!Salim-'2019'!Resal)*(1-EXP(('2019'!Tnet-t)/('2019'!Tau_j))),Resal+(Salim-Resal)*(1-EXP((Tnet-t)/(Tau_j))))*Salcycl</f>
        <v>8.0356483800969561E-2</v>
      </c>
      <c r="P277" s="169">
        <f>(INDEX(Models!$BJ277:$BT277,,T277)*(1-R277)+INDEX(Models!$BJ277:$BT277,,T277+1)*R277-ERP_i)*Q277*Ramure*Pc/MaxiM</f>
        <v>4.2263159553235588E-4</v>
      </c>
      <c r="Q277" s="305">
        <f t="shared" si="101"/>
        <v>0.7</v>
      </c>
      <c r="R277" s="177">
        <f t="shared" si="102"/>
        <v>0.49274339401718836</v>
      </c>
      <c r="S277" s="919">
        <f t="shared" si="103"/>
        <v>-1</v>
      </c>
      <c r="T277" s="176">
        <f t="shared" si="104"/>
        <v>5</v>
      </c>
      <c r="U277" s="251">
        <f t="shared" si="105"/>
        <v>-0.50725660598281164</v>
      </c>
      <c r="V277" s="383">
        <f t="shared" si="106"/>
        <v>43.398494810960798</v>
      </c>
      <c r="W277" s="402"/>
      <c r="X277" s="157">
        <f t="shared" si="107"/>
        <v>44093</v>
      </c>
      <c r="Y277" s="385">
        <f t="shared" si="108"/>
        <v>30.042000000000002</v>
      </c>
      <c r="Z277" s="385">
        <f t="shared" si="109"/>
        <v>30.606542335764779</v>
      </c>
      <c r="AA277" s="386">
        <f t="shared" si="110"/>
        <v>33.280876553411019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8.0356483800969561E-2</v>
      </c>
      <c r="AD277" s="231">
        <f>(INDEX(Models!$BJ277:$BT277,,AH277)*(1-AF277)+INDEX(Models!$BJ277:$BT277,,AH277+1)*AF277-ERP_i)*AE277*Ramure*Pc/MaxiM</f>
        <v>4.2263159553235588E-4</v>
      </c>
      <c r="AE277" s="305">
        <f t="shared" si="112"/>
        <v>0.7</v>
      </c>
      <c r="AF277" s="177">
        <f t="shared" si="113"/>
        <v>0.49274339401718836</v>
      </c>
      <c r="AG277" s="919">
        <f t="shared" si="119"/>
        <v>-1</v>
      </c>
      <c r="AH277" s="176">
        <f t="shared" si="114"/>
        <v>5</v>
      </c>
      <c r="AI277" s="225">
        <f t="shared" si="115"/>
        <v>-0.50725660598281164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8">
        <v>27.881</v>
      </c>
      <c r="C278" s="390"/>
      <c r="D278" s="393">
        <f t="shared" si="98"/>
        <v>28.405555476696819</v>
      </c>
      <c r="E278" s="385">
        <f t="shared" si="96"/>
        <v>30.888283818555077</v>
      </c>
      <c r="F278" s="385">
        <f t="shared" si="99"/>
        <v>30.894976285550207</v>
      </c>
      <c r="G278" s="110">
        <f t="shared" si="97"/>
        <v>0.64488291846070589</v>
      </c>
      <c r="H278" s="412" t="b">
        <f>Wh_hp&gt;='2019'!Maxi_hp</f>
        <v>0</v>
      </c>
      <c r="I278" s="380">
        <f>IF(H278,Wh_hp,'2019'!Maxi_hp)</f>
        <v>34.570937857482065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1.8466650903100623E-2</v>
      </c>
      <c r="M278" s="957"/>
      <c r="N278" s="957"/>
      <c r="O278" s="48">
        <f>IF(t&lt;Tnet,'2019'!Resal+('2019'!Salim-'2019'!Resal)*(1-EXP(('2019'!Tnet-t)/('2019'!Tau_j))),Resal+(Salim-Resal)*(1-EXP((Tnet-t)/(Tau_j))))*Salcycl</f>
        <v>8.0377671884989788E-2</v>
      </c>
      <c r="P278" s="169">
        <f>(INDEX(Models!$BJ278:$BT278,,T278)*(1-R278)+INDEX(Models!$BJ278:$BT278,,T278+1)*R278-ERP_i)*Q278*Ramure*Pc/MaxiM</f>
        <v>4.3948464229815994E-4</v>
      </c>
      <c r="Q278" s="305">
        <f t="shared" si="101"/>
        <v>0.7</v>
      </c>
      <c r="R278" s="177">
        <f t="shared" si="102"/>
        <v>0.49303945558977602</v>
      </c>
      <c r="S278" s="919">
        <f t="shared" si="103"/>
        <v>-1</v>
      </c>
      <c r="T278" s="176">
        <f t="shared" si="104"/>
        <v>5</v>
      </c>
      <c r="U278" s="251">
        <f t="shared" si="105"/>
        <v>-0.50696054441022398</v>
      </c>
      <c r="V278" s="383">
        <f t="shared" si="106"/>
        <v>43.224567071251684</v>
      </c>
      <c r="W278" s="402"/>
      <c r="X278" s="157">
        <f t="shared" si="107"/>
        <v>44094</v>
      </c>
      <c r="Y278" s="385">
        <f t="shared" si="108"/>
        <v>27.881</v>
      </c>
      <c r="Z278" s="385">
        <f t="shared" si="109"/>
        <v>28.405555476696819</v>
      </c>
      <c r="AA278" s="386">
        <f t="shared" si="110"/>
        <v>30.888283818555077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8.0377671884989788E-2</v>
      </c>
      <c r="AD278" s="231">
        <f>(INDEX(Models!$BJ278:$BT278,,AH278)*(1-AF278)+INDEX(Models!$BJ278:$BT278,,AH278+1)*AF278-ERP_i)*AE278*Ramure*Pc/MaxiM</f>
        <v>4.3948464229815994E-4</v>
      </c>
      <c r="AE278" s="305">
        <f t="shared" si="112"/>
        <v>0.7</v>
      </c>
      <c r="AF278" s="177">
        <f t="shared" si="113"/>
        <v>0.49303945558977602</v>
      </c>
      <c r="AG278" s="919">
        <f t="shared" si="119"/>
        <v>-1</v>
      </c>
      <c r="AH278" s="176">
        <f t="shared" si="114"/>
        <v>5</v>
      </c>
      <c r="AI278" s="225">
        <f t="shared" si="115"/>
        <v>-0.50696054441022398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8">
        <v>26.396999999999998</v>
      </c>
      <c r="C279" s="390"/>
      <c r="D279" s="393">
        <f t="shared" si="98"/>
        <v>26.894224428541133</v>
      </c>
      <c r="E279" s="385">
        <f t="shared" si="96"/>
        <v>29.245503744673197</v>
      </c>
      <c r="F279" s="385">
        <f t="shared" si="99"/>
        <v>29.251491795411297</v>
      </c>
      <c r="G279" s="110">
        <f t="shared" si="97"/>
        <v>0.61305763622449438</v>
      </c>
      <c r="H279" s="412" t="b">
        <f>Wh_hp&gt;='2019'!Maxi_hp</f>
        <v>0</v>
      </c>
      <c r="I279" s="380">
        <f>IF(H279,Wh_hp,'2019'!Maxi_hp)</f>
        <v>45.830234564690414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1.8488149002484744E-2</v>
      </c>
      <c r="M279" s="957"/>
      <c r="N279" s="957"/>
      <c r="O279" s="48">
        <f>IF(t&lt;Tnet,'2019'!Resal+('2019'!Salim-'2019'!Resal)*(1-EXP(('2019'!Tnet-t)/('2019'!Tau_j))),Resal+(Salim-Resal)*(1-EXP((Tnet-t)/(Tau_j))))*Salcycl</f>
        <v>8.0397976272175861E-2</v>
      </c>
      <c r="P279" s="169">
        <f>(INDEX(Models!$BJ279:$BT279,,T279)*(1-R279)+INDEX(Models!$BJ279:$BT279,,T279+1)*R279-ERP_i)*Q279*Ramure*Pc/MaxiM</f>
        <v>4.5750531998135828E-4</v>
      </c>
      <c r="Q279" s="305">
        <f t="shared" si="101"/>
        <v>0.7</v>
      </c>
      <c r="R279" s="177">
        <f t="shared" si="102"/>
        <v>0.49332393118458617</v>
      </c>
      <c r="S279" s="919">
        <f t="shared" si="103"/>
        <v>-1</v>
      </c>
      <c r="T279" s="176">
        <f t="shared" si="104"/>
        <v>5</v>
      </c>
      <c r="U279" s="251">
        <f t="shared" si="105"/>
        <v>-0.50667606881541383</v>
      </c>
      <c r="V279" s="383">
        <f t="shared" si="106"/>
        <v>43.047054658939395</v>
      </c>
      <c r="W279" s="402"/>
      <c r="X279" s="157">
        <f t="shared" si="107"/>
        <v>44095</v>
      </c>
      <c r="Y279" s="385">
        <f t="shared" si="108"/>
        <v>26.396999999999998</v>
      </c>
      <c r="Z279" s="385">
        <f t="shared" si="109"/>
        <v>26.894224428541133</v>
      </c>
      <c r="AA279" s="386">
        <f t="shared" si="110"/>
        <v>29.245503744673197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8.0397976272175861E-2</v>
      </c>
      <c r="AD279" s="231">
        <f>(INDEX(Models!$BJ279:$BT279,,AH279)*(1-AF279)+INDEX(Models!$BJ279:$BT279,,AH279+1)*AF279-ERP_i)*AE279*Ramure*Pc/MaxiM</f>
        <v>4.5750531998135828E-4</v>
      </c>
      <c r="AE279" s="305">
        <f t="shared" si="112"/>
        <v>0.7</v>
      </c>
      <c r="AF279" s="177">
        <f t="shared" si="113"/>
        <v>0.49332393118458617</v>
      </c>
      <c r="AG279" s="919">
        <f t="shared" si="119"/>
        <v>-1</v>
      </c>
      <c r="AH279" s="176">
        <f t="shared" si="114"/>
        <v>5</v>
      </c>
      <c r="AI279" s="225">
        <f t="shared" si="115"/>
        <v>-0.50667606881541383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8">
        <v>21.440999999999999</v>
      </c>
      <c r="C280" s="390"/>
      <c r="D280" s="393">
        <f t="shared" si="98"/>
        <v>21.845349703543324</v>
      </c>
      <c r="E280" s="385">
        <f t="shared" si="96"/>
        <v>23.755722390761782</v>
      </c>
      <c r="F280" s="385">
        <f t="shared" si="99"/>
        <v>23.758961394494001</v>
      </c>
      <c r="G280" s="110">
        <f t="shared" si="97"/>
        <v>0.50001606986306091</v>
      </c>
      <c r="H280" s="412" t="b">
        <f>Wh_hp&gt;='2019'!Maxi_hp</f>
        <v>0</v>
      </c>
      <c r="I280" s="380">
        <f>IF(H280,Wh_hp,'2019'!Maxi_hp)</f>
        <v>46.242324699542912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1.8509646631005405E-2</v>
      </c>
      <c r="M280" s="957"/>
      <c r="N280" s="957"/>
      <c r="O280" s="48">
        <f>IF(t&lt;Tnet,'2019'!Resal+('2019'!Salim-'2019'!Resal)*(1-EXP(('2019'!Tnet-t)/('2019'!Tau_j))),Resal+(Salim-Resal)*(1-EXP((Tnet-t)/(Tau_j))))*Salcycl</f>
        <v>8.041736874149423E-2</v>
      </c>
      <c r="P280" s="169">
        <f>(INDEX(Models!$BJ280:$BT280,,T280)*(1-R280)+INDEX(Models!$BJ280:$BT280,,T280+1)*R280-ERP_i)*Q280*Ramure*Pc/MaxiM</f>
        <v>4.7670267443151949E-4</v>
      </c>
      <c r="Q280" s="305">
        <f t="shared" si="101"/>
        <v>0.7</v>
      </c>
      <c r="R280" s="177">
        <f t="shared" si="102"/>
        <v>0.49359726144015137</v>
      </c>
      <c r="S280" s="919">
        <f t="shared" si="103"/>
        <v>-1</v>
      </c>
      <c r="T280" s="176">
        <f t="shared" si="104"/>
        <v>5</v>
      </c>
      <c r="U280" s="251">
        <f t="shared" si="105"/>
        <v>-0.50640273855984863</v>
      </c>
      <c r="V280" s="383">
        <f t="shared" si="106"/>
        <v>42.866024346462993</v>
      </c>
      <c r="W280" s="402"/>
      <c r="X280" s="157">
        <f t="shared" si="107"/>
        <v>44096</v>
      </c>
      <c r="Y280" s="385">
        <f t="shared" si="108"/>
        <v>21.440999999999999</v>
      </c>
      <c r="Z280" s="385">
        <f t="shared" si="109"/>
        <v>21.845349703543324</v>
      </c>
      <c r="AA280" s="386">
        <f t="shared" si="110"/>
        <v>23.755722390761782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8.041736874149423E-2</v>
      </c>
      <c r="AD280" s="231">
        <f>(INDEX(Models!$BJ280:$BT280,,AH280)*(1-AF280)+INDEX(Models!$BJ280:$BT280,,AH280+1)*AF280-ERP_i)*AE280*Ramure*Pc/MaxiM</f>
        <v>4.7670267443151949E-4</v>
      </c>
      <c r="AE280" s="305">
        <f t="shared" si="112"/>
        <v>0.7</v>
      </c>
      <c r="AF280" s="177">
        <f t="shared" si="113"/>
        <v>0.49359726144015137</v>
      </c>
      <c r="AG280" s="919">
        <f t="shared" si="119"/>
        <v>-1</v>
      </c>
      <c r="AH280" s="176">
        <f t="shared" si="114"/>
        <v>5</v>
      </c>
      <c r="AI280" s="225">
        <f t="shared" si="115"/>
        <v>-0.50640273855984863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8">
        <v>35.042000000000002</v>
      </c>
      <c r="C281" s="390"/>
      <c r="D281" s="393">
        <f t="shared" si="98"/>
        <v>35.703629084339333</v>
      </c>
      <c r="E281" s="385">
        <f t="shared" si="96"/>
        <v>38.82668540913884</v>
      </c>
      <c r="F281" s="385">
        <f t="shared" si="99"/>
        <v>38.841055845125936</v>
      </c>
      <c r="G281" s="110">
        <f t="shared" si="97"/>
        <v>0.82090622711971173</v>
      </c>
      <c r="H281" s="412" t="b">
        <f>Wh_hp&gt;='2019'!Maxi_hp</f>
        <v>1</v>
      </c>
      <c r="I281" s="380">
        <f>IF(H281,Wh_hp,'2019'!Maxi_hp)</f>
        <v>38.841055845125936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1.853114378867271E-2</v>
      </c>
      <c r="M281" s="957"/>
      <c r="N281" s="957"/>
      <c r="O281" s="48">
        <f>IF(t&lt;Tnet,'2019'!Resal+('2019'!Salim-'2019'!Resal)*(1-EXP(('2019'!Tnet-t)/('2019'!Tau_j))),Resal+(Salim-Resal)*(1-EXP((Tnet-t)/(Tau_j))))*Salcycl</f>
        <v>8.0435821185612058E-2</v>
      </c>
      <c r="P281" s="169">
        <f>(INDEX(Models!$BJ281:$BT281,,T281)*(1-R281)+INDEX(Models!$BJ281:$BT281,,T281+1)*R281-ERP_i)*Q281*Ramure*Pc/MaxiM</f>
        <v>4.9708468384770498E-4</v>
      </c>
      <c r="Q281" s="305">
        <f t="shared" si="101"/>
        <v>0.7</v>
      </c>
      <c r="R281" s="177">
        <f t="shared" si="102"/>
        <v>0.49385987123228747</v>
      </c>
      <c r="S281" s="919">
        <f t="shared" si="103"/>
        <v>-1</v>
      </c>
      <c r="T281" s="176">
        <f t="shared" si="104"/>
        <v>5</v>
      </c>
      <c r="U281" s="251">
        <f t="shared" si="105"/>
        <v>-0.50614012876771253</v>
      </c>
      <c r="V281" s="383">
        <f t="shared" si="106"/>
        <v>42.681542923710523</v>
      </c>
      <c r="W281" s="402"/>
      <c r="X281" s="157">
        <f t="shared" si="107"/>
        <v>44097</v>
      </c>
      <c r="Y281" s="385">
        <f t="shared" si="108"/>
        <v>35.042000000000002</v>
      </c>
      <c r="Z281" s="385">
        <f t="shared" si="109"/>
        <v>35.703629084339333</v>
      </c>
      <c r="AA281" s="386">
        <f t="shared" si="110"/>
        <v>38.82668540913884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8.0435821185612058E-2</v>
      </c>
      <c r="AD281" s="231">
        <f>(INDEX(Models!$BJ281:$BT281,,AH281)*(1-AF281)+INDEX(Models!$BJ281:$BT281,,AH281+1)*AF281-ERP_i)*AE281*Ramure*Pc/MaxiM</f>
        <v>4.9708468384770498E-4</v>
      </c>
      <c r="AE281" s="305">
        <f t="shared" si="112"/>
        <v>0.7</v>
      </c>
      <c r="AF281" s="177">
        <f t="shared" si="113"/>
        <v>0.49385987123228747</v>
      </c>
      <c r="AG281" s="919">
        <f t="shared" si="119"/>
        <v>-1</v>
      </c>
      <c r="AH281" s="176">
        <f t="shared" si="114"/>
        <v>5</v>
      </c>
      <c r="AI281" s="225">
        <f t="shared" si="115"/>
        <v>-0.50614012876771253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8">
        <v>20.484999999999999</v>
      </c>
      <c r="C282" s="390"/>
      <c r="D282" s="393">
        <f t="shared" si="98"/>
        <v>20.872235073233767</v>
      </c>
      <c r="E282" s="385">
        <f t="shared" si="96"/>
        <v>22.698396073176482</v>
      </c>
      <c r="F282" s="385">
        <f t="shared" si="99"/>
        <v>22.701457179177428</v>
      </c>
      <c r="G282" s="110">
        <f t="shared" si="97"/>
        <v>0.48188666687963749</v>
      </c>
      <c r="H282" s="412" t="b">
        <f>Wh_hp&gt;='2019'!Maxi_hp</f>
        <v>0</v>
      </c>
      <c r="I282" s="380">
        <f>IF(H282,Wh_hp,'2019'!Maxi_hp)</f>
        <v>48.914209724554347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1.8552640475497206E-2</v>
      </c>
      <c r="M282" s="957"/>
      <c r="N282" s="957"/>
      <c r="O282" s="48">
        <f>IF(t&lt;Tnet,'2019'!Resal+('2019'!Salim-'2019'!Resal)*(1-EXP(('2019'!Tnet-t)/('2019'!Tau_j))),Resal+(Salim-Resal)*(1-EXP((Tnet-t)/(Tau_j))))*Salcycl</f>
        <v>8.0453305777880665E-2</v>
      </c>
      <c r="P282" s="169">
        <f>(INDEX(Models!$BJ282:$BT282,,T282)*(1-R282)+INDEX(Models!$BJ282:$BT282,,T282+1)*R282-ERP_i)*Q282*Ramure*Pc/MaxiM</f>
        <v>5.1841845979703702E-4</v>
      </c>
      <c r="Q282" s="305">
        <f t="shared" si="101"/>
        <v>0.7</v>
      </c>
      <c r="R282" s="177">
        <f t="shared" si="102"/>
        <v>0.4941121701595057</v>
      </c>
      <c r="S282" s="919">
        <f t="shared" si="103"/>
        <v>-1</v>
      </c>
      <c r="T282" s="176">
        <f t="shared" si="104"/>
        <v>5</v>
      </c>
      <c r="U282" s="251">
        <f t="shared" si="105"/>
        <v>-0.5058878298404943</v>
      </c>
      <c r="V282" s="383">
        <f t="shared" si="106"/>
        <v>42.493687375989737</v>
      </c>
      <c r="W282" s="402"/>
      <c r="X282" s="157">
        <f t="shared" si="107"/>
        <v>44098</v>
      </c>
      <c r="Y282" s="385">
        <f t="shared" si="108"/>
        <v>20.484999999999999</v>
      </c>
      <c r="Z282" s="385">
        <f t="shared" si="109"/>
        <v>20.872235073233767</v>
      </c>
      <c r="AA282" s="386">
        <f t="shared" si="110"/>
        <v>22.698396073176482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8.0453305777880665E-2</v>
      </c>
      <c r="AD282" s="231">
        <f>(INDEX(Models!$BJ282:$BT282,,AH282)*(1-AF282)+INDEX(Models!$BJ282:$BT282,,AH282+1)*AF282-ERP_i)*AE282*Ramure*Pc/MaxiM</f>
        <v>5.1841845979703702E-4</v>
      </c>
      <c r="AE282" s="305">
        <f t="shared" si="112"/>
        <v>0.7</v>
      </c>
      <c r="AF282" s="177">
        <f t="shared" si="113"/>
        <v>0.4941121701595057</v>
      </c>
      <c r="AG282" s="919">
        <f t="shared" si="119"/>
        <v>-1</v>
      </c>
      <c r="AH282" s="176">
        <f t="shared" si="114"/>
        <v>5</v>
      </c>
      <c r="AI282" s="225">
        <f t="shared" si="115"/>
        <v>-0.5058878298404943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8">
        <v>15.157</v>
      </c>
      <c r="C283" s="390"/>
      <c r="D283" s="393">
        <f t="shared" si="98"/>
        <v>15.443856297921304</v>
      </c>
      <c r="E283" s="385">
        <f t="shared" si="96"/>
        <v>16.795376830998574</v>
      </c>
      <c r="F283" s="385">
        <f t="shared" si="99"/>
        <v>16.796132832610951</v>
      </c>
      <c r="G283" s="110">
        <f t="shared" si="97"/>
        <v>0.35812251347825497</v>
      </c>
      <c r="H283" s="412" t="b">
        <f>Wh_hp&gt;='2019'!Maxi_hp</f>
        <v>0</v>
      </c>
      <c r="I283" s="380">
        <f>IF(H283,Wh_hp,'2019'!Maxi_hp)</f>
        <v>47.979649608380406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1.8574136691488996E-2</v>
      </c>
      <c r="M283" s="957"/>
      <c r="N283" s="957"/>
      <c r="O283" s="48">
        <f>IF(t&lt;Tnet,'2019'!Resal+('2019'!Salim-'2019'!Resal)*(1-EXP(('2019'!Tnet-t)/('2019'!Tau_j))),Resal+(Salim-Resal)*(1-EXP((Tnet-t)/(Tau_j))))*Salcycl</f>
        <v>8.0469795151176332E-2</v>
      </c>
      <c r="P283" s="169">
        <f>(INDEX(Models!$BJ283:$BT283,,T283)*(1-R283)+INDEX(Models!$BJ283:$BT283,,T283+1)*R283-ERP_i)*Q283*Ramure*Pc/MaxiM</f>
        <v>5.4043400774501634E-4</v>
      </c>
      <c r="Q283" s="305">
        <f t="shared" si="101"/>
        <v>0.7</v>
      </c>
      <c r="R283" s="177">
        <f t="shared" si="102"/>
        <v>0.49435455301988362</v>
      </c>
      <c r="S283" s="919">
        <f t="shared" si="103"/>
        <v>-1</v>
      </c>
      <c r="T283" s="176">
        <f t="shared" si="104"/>
        <v>5</v>
      </c>
      <c r="U283" s="251">
        <f t="shared" si="105"/>
        <v>-0.50564544698011638</v>
      </c>
      <c r="V283" s="383">
        <f t="shared" si="106"/>
        <v>42.302536023484024</v>
      </c>
      <c r="W283" s="402"/>
      <c r="X283" s="157">
        <f t="shared" si="107"/>
        <v>44099</v>
      </c>
      <c r="Y283" s="385">
        <f t="shared" si="108"/>
        <v>15.157000000000002</v>
      </c>
      <c r="Z283" s="385">
        <f t="shared" si="109"/>
        <v>15.443856297921306</v>
      </c>
      <c r="AA283" s="386">
        <f t="shared" si="110"/>
        <v>16.795376830998574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8.0469795151176332E-2</v>
      </c>
      <c r="AD283" s="231">
        <f>(INDEX(Models!$BJ283:$BT283,,AH283)*(1-AF283)+INDEX(Models!$BJ283:$BT283,,AH283+1)*AF283-ERP_i)*AE283*Ramure*Pc/MaxiM</f>
        <v>5.4043400774501634E-4</v>
      </c>
      <c r="AE283" s="305">
        <f t="shared" si="112"/>
        <v>0.7</v>
      </c>
      <c r="AF283" s="177">
        <f t="shared" si="113"/>
        <v>0.49435455301988362</v>
      </c>
      <c r="AG283" s="919">
        <f t="shared" si="119"/>
        <v>-1</v>
      </c>
      <c r="AH283" s="176">
        <f t="shared" si="114"/>
        <v>5</v>
      </c>
      <c r="AI283" s="225">
        <f t="shared" si="115"/>
        <v>-0.50564544698011638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8">
        <v>13.584</v>
      </c>
      <c r="C284" s="390"/>
      <c r="D284" s="393">
        <f t="shared" si="98"/>
        <v>13.841389389499804</v>
      </c>
      <c r="E284" s="385">
        <f t="shared" si="96"/>
        <v>15.052928274375166</v>
      </c>
      <c r="F284" s="385">
        <f t="shared" si="99"/>
        <v>15.053201932529964</v>
      </c>
      <c r="G284" s="110">
        <f t="shared" si="97"/>
        <v>0.32242203598161356</v>
      </c>
      <c r="H284" s="412" t="b">
        <f>Wh_hp&gt;='2019'!Maxi_hp</f>
        <v>0</v>
      </c>
      <c r="I284" s="380">
        <f>IF(H284,Wh_hp,'2019'!Maxi_hp)</f>
        <v>46.988763169188566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1.8595632436658627E-2</v>
      </c>
      <c r="M284" s="957"/>
      <c r="N284" s="957"/>
      <c r="O284" s="48">
        <f>IF(t&lt;Tnet,'2019'!Resal+('2019'!Salim-'2019'!Resal)*(1-EXP(('2019'!Tnet-t)/('2019'!Tau_j))),Resal+(Salim-Resal)*(1-EXP((Tnet-t)/(Tau_j))))*Salcycl</f>
        <v>8.0485262587597819E-2</v>
      </c>
      <c r="P284" s="169">
        <f>(INDEX(Models!$BJ284:$BT284,,T284)*(1-R284)+INDEX(Models!$BJ284:$BT284,,T284+1)*R284-ERP_i)*Q284*Ramure*Pc/MaxiM</f>
        <v>5.6313253527394977E-4</v>
      </c>
      <c r="Q284" s="305">
        <f t="shared" si="101"/>
        <v>0.7</v>
      </c>
      <c r="R284" s="177">
        <f t="shared" si="102"/>
        <v>0.49458740027895298</v>
      </c>
      <c r="S284" s="919">
        <f t="shared" si="103"/>
        <v>-1</v>
      </c>
      <c r="T284" s="176">
        <f t="shared" si="104"/>
        <v>5</v>
      </c>
      <c r="U284" s="251">
        <f t="shared" si="105"/>
        <v>-0.50541259972104702</v>
      </c>
      <c r="V284" s="383">
        <f t="shared" si="106"/>
        <v>42.108155482228192</v>
      </c>
      <c r="W284" s="402"/>
      <c r="X284" s="157">
        <f t="shared" si="107"/>
        <v>44100</v>
      </c>
      <c r="Y284" s="385">
        <f t="shared" si="108"/>
        <v>13.584</v>
      </c>
      <c r="Z284" s="385">
        <f t="shared" si="109"/>
        <v>13.841389389499804</v>
      </c>
      <c r="AA284" s="386">
        <f t="shared" si="110"/>
        <v>15.052928274375166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8.0485262587597819E-2</v>
      </c>
      <c r="AD284" s="231">
        <f>(INDEX(Models!$BJ284:$BT284,,AH284)*(1-AF284)+INDEX(Models!$BJ284:$BT284,,AH284+1)*AF284-ERP_i)*AE284*Ramure*Pc/MaxiM</f>
        <v>5.6313253527394977E-4</v>
      </c>
      <c r="AE284" s="305">
        <f t="shared" si="112"/>
        <v>0.7</v>
      </c>
      <c r="AF284" s="177">
        <f t="shared" si="113"/>
        <v>0.49458740027895298</v>
      </c>
      <c r="AG284" s="919">
        <f t="shared" si="119"/>
        <v>-1</v>
      </c>
      <c r="AH284" s="176">
        <f t="shared" si="114"/>
        <v>5</v>
      </c>
      <c r="AI284" s="225">
        <f t="shared" si="115"/>
        <v>-0.50541259972104702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8">
        <v>11.923</v>
      </c>
      <c r="C285" s="390"/>
      <c r="D285" s="393">
        <f t="shared" si="98"/>
        <v>12.149182889437142</v>
      </c>
      <c r="E285" s="385">
        <f t="shared" si="96"/>
        <v>13.212809886505882</v>
      </c>
      <c r="F285" s="385">
        <f t="shared" si="99"/>
        <v>13.212809886505882</v>
      </c>
      <c r="G285" s="110">
        <f t="shared" si="97"/>
        <v>0.28431956322689322</v>
      </c>
      <c r="H285" s="412" t="b">
        <f>Wh_hp&gt;='2019'!Maxi_hp</f>
        <v>0</v>
      </c>
      <c r="I285" s="380">
        <f>IF(H285,Wh_hp,'2019'!Maxi_hp)</f>
        <v>44.138858996476266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1.861712771101609E-2</v>
      </c>
      <c r="M285" s="957"/>
      <c r="N285" s="957"/>
      <c r="O285" s="48">
        <f>IF(t&lt;Tnet,'2019'!Resal+('2019'!Salim-'2019'!Resal)*(1-EXP(('2019'!Tnet-t)/('2019'!Tau_j))),Resal+(Salim-Resal)*(1-EXP((Tnet-t)/(Tau_j))))*Salcycl</f>
        <v>8.0499682217861343E-2</v>
      </c>
      <c r="P285" s="169">
        <f>(INDEX(Models!$BJ285:$BT285,,T285)*(1-R285)+INDEX(Models!$BJ285:$BT285,,T285+1)*R285-ERP_i)*Q285*Ramure*Pc/MaxiM</f>
        <v>5.8651486948413367E-4</v>
      </c>
      <c r="Q285" s="305">
        <f t="shared" si="101"/>
        <v>0.7</v>
      </c>
      <c r="R285" s="177">
        <f t="shared" si="102"/>
        <v>0.49481107852823958</v>
      </c>
      <c r="S285" s="919">
        <f t="shared" si="103"/>
        <v>-1</v>
      </c>
      <c r="T285" s="176">
        <f t="shared" si="104"/>
        <v>5</v>
      </c>
      <c r="U285" s="251">
        <f t="shared" si="105"/>
        <v>-0.50518892147176042</v>
      </c>
      <c r="V285" s="383">
        <f t="shared" si="106"/>
        <v>41.91061229825366</v>
      </c>
      <c r="W285" s="402"/>
      <c r="X285" s="157">
        <f t="shared" si="107"/>
        <v>44101</v>
      </c>
      <c r="Y285" s="385">
        <f t="shared" si="108"/>
        <v>11.923</v>
      </c>
      <c r="Z285" s="385">
        <f t="shared" si="109"/>
        <v>12.149182889437142</v>
      </c>
      <c r="AA285" s="386">
        <f t="shared" si="110"/>
        <v>13.212809886505882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8.0499682217861343E-2</v>
      </c>
      <c r="AD285" s="231">
        <f>(INDEX(Models!$BJ285:$BT285,,AH285)*(1-AF285)+INDEX(Models!$BJ285:$BT285,,AH285+1)*AF285-ERP_i)*AE285*Ramure*Pc/MaxiM</f>
        <v>5.8651486948413367E-4</v>
      </c>
      <c r="AE285" s="305">
        <f t="shared" si="112"/>
        <v>0.7</v>
      </c>
      <c r="AF285" s="177">
        <f t="shared" si="113"/>
        <v>0.49481107852823958</v>
      </c>
      <c r="AG285" s="919">
        <f t="shared" si="119"/>
        <v>-1</v>
      </c>
      <c r="AH285" s="176">
        <f t="shared" si="114"/>
        <v>5</v>
      </c>
      <c r="AI285" s="225">
        <f t="shared" si="115"/>
        <v>-0.50518892147176042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8">
        <v>29.321999999999999</v>
      </c>
      <c r="C286" s="390"/>
      <c r="D286" s="393">
        <f t="shared" si="98"/>
        <v>29.878901567466055</v>
      </c>
      <c r="E286" s="385">
        <f t="shared" si="96"/>
        <v>32.495187552701275</v>
      </c>
      <c r="F286" s="385">
        <f t="shared" si="99"/>
        <v>32.506614217110652</v>
      </c>
      <c r="G286" s="110">
        <f t="shared" si="97"/>
        <v>0.70281515449459275</v>
      </c>
      <c r="H286" s="412" t="b">
        <f>Wh_hp&gt;='2019'!Maxi_hp</f>
        <v>0</v>
      </c>
      <c r="I286" s="380">
        <f>IF(H286,Wh_hp,'2019'!Maxi_hp)</f>
        <v>45.467806820564945</v>
      </c>
      <c r="J286" s="85">
        <f>IF(H286,An,'2019'!An_max)</f>
        <v>2018</v>
      </c>
      <c r="K286" s="197">
        <f t="shared" si="100"/>
        <v>44102</v>
      </c>
      <c r="L286" s="147">
        <f>IF(t&lt;Tvie,1-EXP((T0-t)*PertePVj)+'2019'!Pspv,1-EXP((T0-t)*PertePVj)+Pspv)</f>
        <v>1.8638622514572045E-2</v>
      </c>
      <c r="M286" s="957"/>
      <c r="N286" s="957"/>
      <c r="O286" s="48">
        <f>IF(t&lt;Tnet,'2019'!Resal+('2019'!Salim-'2019'!Resal)*(1-EXP(('2019'!Tnet-t)/('2019'!Tau_j))),Resal+(Salim-Resal)*(1-EXP((Tnet-t)/(Tau_j))))*Salcycl</f>
        <v>8.0513029229084571E-2</v>
      </c>
      <c r="P286" s="169">
        <f>(INDEX(Models!$BJ286:$BT286,,T286)*(1-R286)+INDEX(Models!$BJ286:$BT286,,T286+1)*R286-ERP_i)*Q286*Ramure*Pc/MaxiM</f>
        <v>6.1058143708221115E-4</v>
      </c>
      <c r="Q286" s="305">
        <f t="shared" si="101"/>
        <v>0.7</v>
      </c>
      <c r="R286" s="177">
        <f t="shared" si="102"/>
        <v>0.49502594093414976</v>
      </c>
      <c r="S286" s="919">
        <f t="shared" si="103"/>
        <v>-1</v>
      </c>
      <c r="T286" s="176">
        <f t="shared" si="104"/>
        <v>5</v>
      </c>
      <c r="U286" s="251">
        <f t="shared" si="105"/>
        <v>-0.50497405906585024</v>
      </c>
      <c r="V286" s="383">
        <f t="shared" si="106"/>
        <v>41.709972938447777</v>
      </c>
      <c r="W286" s="402"/>
      <c r="X286" s="157">
        <f t="shared" si="107"/>
        <v>44102</v>
      </c>
      <c r="Y286" s="385">
        <f t="shared" si="108"/>
        <v>29.321999999999996</v>
      </c>
      <c r="Z286" s="385">
        <f t="shared" si="109"/>
        <v>29.878901567466052</v>
      </c>
      <c r="AA286" s="386">
        <f t="shared" si="110"/>
        <v>32.495187552701275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8.0513029229084571E-2</v>
      </c>
      <c r="AD286" s="231">
        <f>(INDEX(Models!$BJ286:$BT286,,AH286)*(1-AF286)+INDEX(Models!$BJ286:$BT286,,AH286+1)*AF286-ERP_i)*AE286*Ramure*Pc/MaxiM</f>
        <v>6.1058143708221115E-4</v>
      </c>
      <c r="AE286" s="305">
        <f t="shared" si="112"/>
        <v>0.7</v>
      </c>
      <c r="AF286" s="177">
        <f t="shared" si="113"/>
        <v>0.49502594093414976</v>
      </c>
      <c r="AG286" s="919">
        <f t="shared" si="119"/>
        <v>-1</v>
      </c>
      <c r="AH286" s="176">
        <f t="shared" si="114"/>
        <v>5</v>
      </c>
      <c r="AI286" s="225">
        <f t="shared" si="115"/>
        <v>-0.50497405906585024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8">
        <v>31.73</v>
      </c>
      <c r="C287" s="390"/>
      <c r="D287" s="393">
        <f t="shared" si="98"/>
        <v>32.333343976669781</v>
      </c>
      <c r="E287" s="385">
        <f t="shared" si="96"/>
        <v>35.165016803796135</v>
      </c>
      <c r="F287" s="385">
        <f t="shared" si="99"/>
        <v>35.179847009476589</v>
      </c>
      <c r="G287" s="110">
        <f t="shared" si="97"/>
        <v>0.76429869831305752</v>
      </c>
      <c r="H287" s="412" t="b">
        <f>Wh_hp&gt;='2019'!Maxi_hp</f>
        <v>0</v>
      </c>
      <c r="I287" s="380">
        <f>IF(H287,Wh_hp,'2019'!Maxi_hp)</f>
        <v>41.385817820684117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1.8660116847336483E-2</v>
      </c>
      <c r="M287" s="957"/>
      <c r="N287" s="957"/>
      <c r="O287" s="48">
        <f>IF(t&lt;Tnet,'2019'!Resal+('2019'!Salim-'2019'!Resal)*(1-EXP(('2019'!Tnet-t)/('2019'!Tau_j))),Resal+(Salim-Resal)*(1-EXP((Tnet-t)/(Tau_j))))*Salcycl</f>
        <v>8.0525280079509737E-2</v>
      </c>
      <c r="P287" s="169">
        <f>(INDEX(Models!$BJ287:$BT287,,T287)*(1-R287)+INDEX(Models!$BJ287:$BT287,,T287+1)*R287-ERP_i)*Q287*Ramure*Pc/MaxiM</f>
        <v>6.3533224820254419E-4</v>
      </c>
      <c r="Q287" s="305">
        <f t="shared" si="101"/>
        <v>0.7</v>
      </c>
      <c r="R287" s="177">
        <f t="shared" si="102"/>
        <v>0.49523232767695879</v>
      </c>
      <c r="S287" s="919">
        <f t="shared" si="103"/>
        <v>-1</v>
      </c>
      <c r="T287" s="176">
        <f t="shared" si="104"/>
        <v>5</v>
      </c>
      <c r="U287" s="251">
        <f t="shared" si="105"/>
        <v>-0.50476767232304121</v>
      </c>
      <c r="V287" s="383">
        <f t="shared" si="106"/>
        <v>41.506303786633211</v>
      </c>
      <c r="W287" s="402"/>
      <c r="X287" s="157">
        <f t="shared" si="107"/>
        <v>44103</v>
      </c>
      <c r="Y287" s="385">
        <f t="shared" si="108"/>
        <v>31.73</v>
      </c>
      <c r="Z287" s="385">
        <f t="shared" si="109"/>
        <v>32.333343976669781</v>
      </c>
      <c r="AA287" s="386">
        <f t="shared" si="110"/>
        <v>35.165016803796135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8.0525280079509737E-2</v>
      </c>
      <c r="AD287" s="231">
        <f>(INDEX(Models!$BJ287:$BT287,,AH287)*(1-AF287)+INDEX(Models!$BJ287:$BT287,,AH287+1)*AF287-ERP_i)*AE287*Ramure*Pc/MaxiM</f>
        <v>6.3533224820254419E-4</v>
      </c>
      <c r="AE287" s="305">
        <f t="shared" si="112"/>
        <v>0.7</v>
      </c>
      <c r="AF287" s="177">
        <f t="shared" si="113"/>
        <v>0.49523232767695879</v>
      </c>
      <c r="AG287" s="919">
        <f t="shared" si="119"/>
        <v>-1</v>
      </c>
      <c r="AH287" s="176">
        <f t="shared" si="114"/>
        <v>5</v>
      </c>
      <c r="AI287" s="225">
        <f t="shared" si="115"/>
        <v>-0.50476767232304121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8">
        <v>39.658999999999999</v>
      </c>
      <c r="C288" s="390"/>
      <c r="D288" s="393">
        <f t="shared" si="98"/>
        <v>40.413998588843782</v>
      </c>
      <c r="E288" s="385">
        <f t="shared" si="96"/>
        <v>43.953886970484909</v>
      </c>
      <c r="F288" s="385">
        <f t="shared" si="99"/>
        <v>43.981299080889379</v>
      </c>
      <c r="G288" s="110">
        <f t="shared" si="97"/>
        <v>0.96023795818135693</v>
      </c>
      <c r="H288" s="412" t="b">
        <f>Wh_hp&gt;='2019'!Maxi_hp</f>
        <v>1</v>
      </c>
      <c r="I288" s="380">
        <f>IF(H288,Wh_hp,'2019'!Maxi_hp)</f>
        <v>43.981299080889379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1.8681610709319951E-2</v>
      </c>
      <c r="M288" s="957"/>
      <c r="N288" s="957"/>
      <c r="O288" s="48">
        <f>IF(t&lt;Tnet,'2019'!Resal+('2019'!Salim-'2019'!Resal)*(1-EXP(('2019'!Tnet-t)/('2019'!Tau_j))),Resal+(Salim-Resal)*(1-EXP((Tnet-t)/(Tau_j))))*Salcycl</f>
        <v>8.0536412718587747E-2</v>
      </c>
      <c r="P288" s="169">
        <f>(INDEX(Models!$BJ288:$BT288,,T288)*(1-R288)+INDEX(Models!$BJ288:$BT288,,T288+1)*R288-ERP_i)*Q288*Ramure*Pc/MaxiM</f>
        <v>6.6076688456734843E-4</v>
      </c>
      <c r="Q288" s="305">
        <f t="shared" si="101"/>
        <v>0.7</v>
      </c>
      <c r="R288" s="177">
        <f t="shared" si="102"/>
        <v>0.49543056637970706</v>
      </c>
      <c r="S288" s="919">
        <f t="shared" si="103"/>
        <v>-1</v>
      </c>
      <c r="T288" s="176">
        <f t="shared" si="104"/>
        <v>5</v>
      </c>
      <c r="U288" s="251">
        <f t="shared" si="105"/>
        <v>-0.50456943362029294</v>
      </c>
      <c r="V288" s="383">
        <f t="shared" si="106"/>
        <v>41.299671131503182</v>
      </c>
      <c r="W288" s="402"/>
      <c r="X288" s="157">
        <f t="shared" si="107"/>
        <v>44104</v>
      </c>
      <c r="Y288" s="385">
        <f t="shared" si="108"/>
        <v>39.658999999999999</v>
      </c>
      <c r="Z288" s="385">
        <f t="shared" si="109"/>
        <v>40.413998588843782</v>
      </c>
      <c r="AA288" s="386">
        <f t="shared" si="110"/>
        <v>43.953886970484909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8.0536412718587747E-2</v>
      </c>
      <c r="AD288" s="231">
        <f>(INDEX(Models!$BJ288:$BT288,,AH288)*(1-AF288)+INDEX(Models!$BJ288:$BT288,,AH288+1)*AF288-ERP_i)*AE288*Ramure*Pc/MaxiM</f>
        <v>6.6076688456734843E-4</v>
      </c>
      <c r="AE288" s="305">
        <f t="shared" si="112"/>
        <v>0.7</v>
      </c>
      <c r="AF288" s="177">
        <f t="shared" si="113"/>
        <v>0.49543056637970706</v>
      </c>
      <c r="AG288" s="919">
        <f t="shared" si="119"/>
        <v>-1</v>
      </c>
      <c r="AH288" s="176">
        <f t="shared" si="114"/>
        <v>5</v>
      </c>
      <c r="AI288" s="225">
        <f t="shared" si="115"/>
        <v>-0.50456943362029294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8">
        <v>7.5350000000000001</v>
      </c>
      <c r="C289" s="390"/>
      <c r="D289" s="393">
        <f t="shared" si="98"/>
        <v>7.6786139154076682</v>
      </c>
      <c r="E289" s="385">
        <f t="shared" si="96"/>
        <v>8.3512794688997687</v>
      </c>
      <c r="F289" s="385">
        <f t="shared" si="99"/>
        <v>8.3512794688997687</v>
      </c>
      <c r="G289" s="110">
        <f t="shared" si="97"/>
        <v>0.18325412117354789</v>
      </c>
      <c r="H289" s="412" t="b">
        <f>Wh_hp&gt;='2019'!Maxi_hp</f>
        <v>0</v>
      </c>
      <c r="I289" s="380">
        <f>IF(H289,Wh_hp,'2019'!Maxi_hp)</f>
        <v>47.647904130278036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1.8703104100532664E-2</v>
      </c>
      <c r="M289" s="957"/>
      <c r="N289" s="957"/>
      <c r="O289" s="48">
        <f>IF(t&lt;Tnet,'2019'!Resal+('2019'!Salim-'2019'!Resal)*(1-EXP(('2019'!Tnet-t)/('2019'!Tau_j))),Resal+(Salim-Resal)*(1-EXP((Tnet-t)/(Tau_j))))*Salcycl</f>
        <v>8.0546406810730192E-2</v>
      </c>
      <c r="P289" s="169">
        <f>(INDEX(Models!$BJ289:$BT289,,T289)*(1-R289)+INDEX(Models!$BJ289:$BT289,,T289+1)*R289-ERP_i)*Q289*Ramure*Pc/MaxiM</f>
        <v>6.8689483514852766E-4</v>
      </c>
      <c r="Q289" s="305">
        <f t="shared" si="101"/>
        <v>0.7</v>
      </c>
      <c r="R289" s="177">
        <f t="shared" si="102"/>
        <v>0.49562097252686343</v>
      </c>
      <c r="S289" s="919">
        <f t="shared" si="103"/>
        <v>-1</v>
      </c>
      <c r="T289" s="176">
        <f t="shared" si="104"/>
        <v>5</v>
      </c>
      <c r="U289" s="251">
        <f t="shared" si="105"/>
        <v>-0.50437902747313657</v>
      </c>
      <c r="V289" s="383">
        <f t="shared" si="106"/>
        <v>41.089522021096357</v>
      </c>
      <c r="W289" s="402"/>
      <c r="X289" s="157">
        <f t="shared" si="107"/>
        <v>44105</v>
      </c>
      <c r="Y289" s="385">
        <f t="shared" si="108"/>
        <v>7.535000000000001</v>
      </c>
      <c r="Z289" s="385">
        <f t="shared" si="109"/>
        <v>7.6786139154076691</v>
      </c>
      <c r="AA289" s="386">
        <f t="shared" si="110"/>
        <v>8.3512794688997687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8.0546406810730192E-2</v>
      </c>
      <c r="AD289" s="231">
        <f>(INDEX(Models!$BJ289:$BT289,,AH289)*(1-AF289)+INDEX(Models!$BJ289:$BT289,,AH289+1)*AF289-ERP_i)*AE289*Ramure*Pc/MaxiM</f>
        <v>6.8689483514852766E-4</v>
      </c>
      <c r="AE289" s="305">
        <f t="shared" si="112"/>
        <v>0.7</v>
      </c>
      <c r="AF289" s="177">
        <f t="shared" si="113"/>
        <v>0.49562097252686343</v>
      </c>
      <c r="AG289" s="919">
        <f t="shared" si="119"/>
        <v>-1</v>
      </c>
      <c r="AH289" s="176">
        <f t="shared" si="114"/>
        <v>5</v>
      </c>
      <c r="AI289" s="225">
        <f t="shared" si="115"/>
        <v>-0.50437902747313657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8">
        <v>4.8609999999999998</v>
      </c>
      <c r="C290" s="390"/>
      <c r="D290" s="393">
        <f t="shared" si="98"/>
        <v>4.953757105541098</v>
      </c>
      <c r="E290" s="385">
        <f t="shared" si="96"/>
        <v>5.3877702526486759</v>
      </c>
      <c r="F290" s="385">
        <f t="shared" si="99"/>
        <v>5.3877702526486759</v>
      </c>
      <c r="G290" s="110">
        <f t="shared" si="97"/>
        <v>0.11883750418964328</v>
      </c>
      <c r="H290" s="412" t="b">
        <f>Wh_hp&gt;='2019'!Maxi_hp</f>
        <v>0</v>
      </c>
      <c r="I290" s="380">
        <f>IF(H290,Wh_hp,'2019'!Maxi_hp)</f>
        <v>43.351504842538631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1.8724597020985057E-2</v>
      </c>
      <c r="M290" s="957"/>
      <c r="N290" s="957"/>
      <c r="O290" s="48">
        <f>IF(t&lt;Tnet,'2019'!Resal+('2019'!Salim-'2019'!Resal)*(1-EXP(('2019'!Tnet-t)/('2019'!Tau_j))),Resal+(Salim-Resal)*(1-EXP((Tnet-t)/(Tau_j))))*Salcycl</f>
        <v>8.055524396093415E-2</v>
      </c>
      <c r="P290" s="169">
        <f>(INDEX(Models!$BJ290:$BT290,,T290)*(1-R290)+INDEX(Models!$BJ290:$BT290,,T290+1)*R290-ERP_i)*Q290*Ramure*Pc/MaxiM</f>
        <v>7.1224782952311833E-4</v>
      </c>
      <c r="Q290" s="305">
        <f t="shared" si="101"/>
        <v>0.7</v>
      </c>
      <c r="R290" s="177">
        <f t="shared" si="102"/>
        <v>0.49580384987265158</v>
      </c>
      <c r="S290" s="919">
        <f t="shared" si="103"/>
        <v>-1</v>
      </c>
      <c r="T290" s="176">
        <f t="shared" si="104"/>
        <v>5</v>
      </c>
      <c r="U290" s="251">
        <f t="shared" si="105"/>
        <v>-0.50419615012734842</v>
      </c>
      <c r="V290" s="383">
        <f t="shared" si="106"/>
        <v>40.875460961793088</v>
      </c>
      <c r="W290" s="402"/>
      <c r="X290" s="157">
        <f t="shared" si="107"/>
        <v>44106</v>
      </c>
      <c r="Y290" s="385">
        <f t="shared" si="108"/>
        <v>4.8609999999999998</v>
      </c>
      <c r="Z290" s="385">
        <f t="shared" si="109"/>
        <v>4.953757105541098</v>
      </c>
      <c r="AA290" s="386">
        <f t="shared" si="110"/>
        <v>5.3877702526486759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8.055524396093415E-2</v>
      </c>
      <c r="AD290" s="231">
        <f>(INDEX(Models!$BJ290:$BT290,,AH290)*(1-AF290)+INDEX(Models!$BJ290:$BT290,,AH290+1)*AF290-ERP_i)*AE290*Ramure*Pc/MaxiM</f>
        <v>7.1224782952311833E-4</v>
      </c>
      <c r="AE290" s="305">
        <f t="shared" si="112"/>
        <v>0.7</v>
      </c>
      <c r="AF290" s="177">
        <f t="shared" si="113"/>
        <v>0.49580384987265158</v>
      </c>
      <c r="AG290" s="919">
        <f t="shared" si="119"/>
        <v>-1</v>
      </c>
      <c r="AH290" s="176">
        <f t="shared" si="114"/>
        <v>5</v>
      </c>
      <c r="AI290" s="225">
        <f t="shared" si="115"/>
        <v>-0.50419615012734842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8">
        <v>15.76</v>
      </c>
      <c r="C291" s="390"/>
      <c r="D291" s="393">
        <f t="shared" si="98"/>
        <v>16.061082489341281</v>
      </c>
      <c r="E291" s="385">
        <f t="shared" si="96"/>
        <v>17.468386503054163</v>
      </c>
      <c r="F291" s="385">
        <f t="shared" si="99"/>
        <v>17.469996005065152</v>
      </c>
      <c r="G291" s="110">
        <f t="shared" si="97"/>
        <v>0.38737654151728546</v>
      </c>
      <c r="H291" s="412" t="b">
        <f>Wh_hp&gt;='2019'!Maxi_hp</f>
        <v>0</v>
      </c>
      <c r="I291" s="380">
        <f>IF(H291,Wh_hp,'2019'!Maxi_hp)</f>
        <v>44.844605022343991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1.8746089470687233E-2</v>
      </c>
      <c r="M291" s="957"/>
      <c r="N291" s="957"/>
      <c r="O291" s="48">
        <f>IF(t&lt;Tnet,'2019'!Resal+('2019'!Salim-'2019'!Resal)*(1-EXP(('2019'!Tnet-t)/('2019'!Tau_j))),Resal+(Salim-Resal)*(1-EXP((Tnet-t)/(Tau_j))))*Salcycl</f>
        <v>8.0562907940400205E-2</v>
      </c>
      <c r="P291" s="169">
        <f>(INDEX(Models!$BJ291:$BT291,,T291)*(1-R291)+INDEX(Models!$BJ291:$BT291,,T291+1)*R291-ERP_i)*Q291*Ramure*Pc/MaxiM</f>
        <v>7.3597505945190676E-4</v>
      </c>
      <c r="Q291" s="305">
        <f t="shared" si="101"/>
        <v>0.7</v>
      </c>
      <c r="R291" s="177">
        <f t="shared" si="102"/>
        <v>0.49597949083898196</v>
      </c>
      <c r="S291" s="919">
        <f t="shared" si="103"/>
        <v>-1</v>
      </c>
      <c r="T291" s="176">
        <f t="shared" si="104"/>
        <v>5</v>
      </c>
      <c r="U291" s="251">
        <f t="shared" si="105"/>
        <v>-0.50402050916101804</v>
      </c>
      <c r="V291" s="383">
        <f t="shared" si="106"/>
        <v>40.657733164175582</v>
      </c>
      <c r="W291" s="402"/>
      <c r="X291" s="157">
        <f t="shared" si="107"/>
        <v>44107</v>
      </c>
      <c r="Y291" s="385">
        <f t="shared" si="108"/>
        <v>15.760000000000002</v>
      </c>
      <c r="Z291" s="385">
        <f t="shared" si="109"/>
        <v>16.061082489341281</v>
      </c>
      <c r="AA291" s="386">
        <f t="shared" si="110"/>
        <v>17.468386503054163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8.0562907940400205E-2</v>
      </c>
      <c r="AD291" s="231">
        <f>(INDEX(Models!$BJ291:$BT291,,AH291)*(1-AF291)+INDEX(Models!$BJ291:$BT291,,AH291+1)*AF291-ERP_i)*AE291*Ramure*Pc/MaxiM</f>
        <v>7.3597505945190676E-4</v>
      </c>
      <c r="AE291" s="305">
        <f t="shared" si="112"/>
        <v>0.7</v>
      </c>
      <c r="AF291" s="177">
        <f t="shared" si="113"/>
        <v>0.49597949083898196</v>
      </c>
      <c r="AG291" s="919">
        <f t="shared" si="119"/>
        <v>-1</v>
      </c>
      <c r="AH291" s="176">
        <f t="shared" si="114"/>
        <v>5</v>
      </c>
      <c r="AI291" s="225">
        <f t="shared" si="115"/>
        <v>-0.50402050916101804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8">
        <v>16.981000000000002</v>
      </c>
      <c r="C292" s="390"/>
      <c r="D292" s="393">
        <f t="shared" si="98"/>
        <v>17.305787781744236</v>
      </c>
      <c r="E292" s="385">
        <f t="shared" si="96"/>
        <v>18.822287943994471</v>
      </c>
      <c r="F292" s="385">
        <f t="shared" si="99"/>
        <v>18.824733089123789</v>
      </c>
      <c r="G292" s="110">
        <f t="shared" si="97"/>
        <v>0.41967803957576111</v>
      </c>
      <c r="H292" s="412" t="b">
        <f>Wh_hp&gt;='2019'!Maxi_hp</f>
        <v>0</v>
      </c>
      <c r="I292" s="380">
        <f>IF(H292,Wh_hp,'2019'!Maxi_hp)</f>
        <v>44.683643039833356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1.8767581449649517E-2</v>
      </c>
      <c r="M292" s="957"/>
      <c r="N292" s="957"/>
      <c r="O292" s="48">
        <f>IF(t&lt;Tnet,'2019'!Resal+('2019'!Salim-'2019'!Resal)*(1-EXP(('2019'!Tnet-t)/('2019'!Tau_j))),Resal+(Salim-Resal)*(1-EXP((Tnet-t)/(Tau_j))))*Salcycl</f>
        <v>8.0569384910196148E-2</v>
      </c>
      <c r="P292" s="169">
        <f>(INDEX(Models!$BJ292:$BT292,,T292)*(1-R292)+INDEX(Models!$BJ292:$BT292,,T292+1)*R292-ERP_i)*Q292*Ramure*Pc/MaxiM</f>
        <v>7.5805906363659106E-4</v>
      </c>
      <c r="Q292" s="305">
        <f t="shared" si="101"/>
        <v>0.7</v>
      </c>
      <c r="R292" s="177">
        <f t="shared" si="102"/>
        <v>0.49614817690296364</v>
      </c>
      <c r="S292" s="919">
        <f t="shared" si="103"/>
        <v>-1</v>
      </c>
      <c r="T292" s="176">
        <f t="shared" si="104"/>
        <v>5</v>
      </c>
      <c r="U292" s="251">
        <f t="shared" si="105"/>
        <v>-0.50385182309703636</v>
      </c>
      <c r="V292" s="383">
        <f t="shared" si="106"/>
        <v>40.436549153419804</v>
      </c>
      <c r="W292" s="402"/>
      <c r="X292" s="157">
        <f t="shared" si="107"/>
        <v>44108</v>
      </c>
      <c r="Y292" s="385">
        <f t="shared" si="108"/>
        <v>16.981000000000002</v>
      </c>
      <c r="Z292" s="385">
        <f t="shared" si="109"/>
        <v>17.305787781744236</v>
      </c>
      <c r="AA292" s="386">
        <f t="shared" si="110"/>
        <v>18.822287943994471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8.0569384910196148E-2</v>
      </c>
      <c r="AD292" s="231">
        <f>(INDEX(Models!$BJ292:$BT292,,AH292)*(1-AF292)+INDEX(Models!$BJ292:$BT292,,AH292+1)*AF292-ERP_i)*AE292*Ramure*Pc/MaxiM</f>
        <v>7.5805906363659106E-4</v>
      </c>
      <c r="AE292" s="305">
        <f t="shared" si="112"/>
        <v>0.7</v>
      </c>
      <c r="AF292" s="177">
        <f t="shared" si="113"/>
        <v>0.49614817690296364</v>
      </c>
      <c r="AG292" s="919">
        <f t="shared" si="119"/>
        <v>-1</v>
      </c>
      <c r="AH292" s="176">
        <f t="shared" si="114"/>
        <v>5</v>
      </c>
      <c r="AI292" s="225">
        <f t="shared" si="115"/>
        <v>-0.50385182309703636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8">
        <v>27.521999999999998</v>
      </c>
      <c r="C293" s="390"/>
      <c r="D293" s="393">
        <f t="shared" si="98"/>
        <v>28.049014989025537</v>
      </c>
      <c r="E293" s="385">
        <f t="shared" si="96"/>
        <v>30.507115564272947</v>
      </c>
      <c r="F293" s="385">
        <f t="shared" si="99"/>
        <v>30.520163564468987</v>
      </c>
      <c r="G293" s="110">
        <f t="shared" si="97"/>
        <v>0.68418022341948848</v>
      </c>
      <c r="H293" s="412" t="b">
        <f>Wh_hp&gt;='2019'!Maxi_hp</f>
        <v>0</v>
      </c>
      <c r="I293" s="380">
        <f>IF(H293,Wh_hp,'2019'!Maxi_hp)</f>
        <v>42.282942542755286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1.8789072957882458E-2</v>
      </c>
      <c r="M293" s="957"/>
      <c r="N293" s="957"/>
      <c r="O293" s="48">
        <f>IF(t&lt;Tnet,'2019'!Resal+('2019'!Salim-'2019'!Resal)*(1-EXP(('2019'!Tnet-t)/('2019'!Tau_j))),Resal+(Salim-Resal)*(1-EXP((Tnet-t)/(Tau_j))))*Salcycl</f>
        <v>8.0574663640967367E-2</v>
      </c>
      <c r="P293" s="169">
        <f>(INDEX(Models!$BJ293:$BT293,,T293)*(1-R293)+INDEX(Models!$BJ293:$BT293,,T293+1)*R293-ERP_i)*Q293*Ramure*Pc/MaxiM</f>
        <v>7.7848197831720625E-4</v>
      </c>
      <c r="Q293" s="305">
        <f t="shared" si="101"/>
        <v>0.7</v>
      </c>
      <c r="R293" s="177">
        <f t="shared" si="102"/>
        <v>0.49631017897400276</v>
      </c>
      <c r="S293" s="919">
        <f t="shared" si="103"/>
        <v>-1</v>
      </c>
      <c r="T293" s="176">
        <f t="shared" si="104"/>
        <v>5</v>
      </c>
      <c r="U293" s="251">
        <f t="shared" si="105"/>
        <v>-0.50368982102599724</v>
      </c>
      <c r="V293" s="383">
        <f t="shared" si="106"/>
        <v>40.212119218514424</v>
      </c>
      <c r="W293" s="402"/>
      <c r="X293" s="157">
        <f t="shared" si="107"/>
        <v>44109</v>
      </c>
      <c r="Y293" s="385">
        <f t="shared" si="108"/>
        <v>27.521999999999998</v>
      </c>
      <c r="Z293" s="385">
        <f t="shared" si="109"/>
        <v>28.049014989025537</v>
      </c>
      <c r="AA293" s="386">
        <f t="shared" si="110"/>
        <v>30.507115564272947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8.0574663640967367E-2</v>
      </c>
      <c r="AD293" s="231">
        <f>(INDEX(Models!$BJ293:$BT293,,AH293)*(1-AF293)+INDEX(Models!$BJ293:$BT293,,AH293+1)*AF293-ERP_i)*AE293*Ramure*Pc/MaxiM</f>
        <v>7.7848197831720625E-4</v>
      </c>
      <c r="AE293" s="305">
        <f t="shared" si="112"/>
        <v>0.7</v>
      </c>
      <c r="AF293" s="177">
        <f t="shared" si="113"/>
        <v>0.49631017897400276</v>
      </c>
      <c r="AG293" s="919">
        <f t="shared" si="119"/>
        <v>-1</v>
      </c>
      <c r="AH293" s="176">
        <f t="shared" si="114"/>
        <v>5</v>
      </c>
      <c r="AI293" s="225">
        <f t="shared" si="115"/>
        <v>-0.50368982102599724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8">
        <v>5.82</v>
      </c>
      <c r="C294" s="390"/>
      <c r="D294" s="393">
        <f t="shared" si="98"/>
        <v>5.9315762955000784</v>
      </c>
      <c r="E294" s="385">
        <f t="shared" si="96"/>
        <v>6.4514238749830364</v>
      </c>
      <c r="F294" s="385">
        <f t="shared" si="99"/>
        <v>6.4514238749830364</v>
      </c>
      <c r="G294" s="110">
        <f t="shared" si="97"/>
        <v>0.14543980378726823</v>
      </c>
      <c r="H294" s="412" t="b">
        <f>Wh_hp&gt;='2019'!Maxi_hp</f>
        <v>0</v>
      </c>
      <c r="I294" s="380">
        <f>IF(H294,Wh_hp,'2019'!Maxi_hp)</f>
        <v>33.185430353119671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1.8810563995396046E-2</v>
      </c>
      <c r="M294" s="957"/>
      <c r="N294" s="957"/>
      <c r="O294" s="48">
        <f>IF(t&lt;Tnet,'2019'!Resal+('2019'!Salim-'2019'!Resal)*(1-EXP(('2019'!Tnet-t)/('2019'!Tau_j))),Resal+(Salim-Resal)*(1-EXP((Tnet-t)/(Tau_j))))*Salcycl</f>
        <v>8.0578735726665449E-2</v>
      </c>
      <c r="P294" s="169">
        <f>(INDEX(Models!$BJ294:$BT294,,T294)*(1-R294)+INDEX(Models!$BJ294:$BT294,,T294+1)*R294-ERP_i)*Q294*Ramure*Pc/MaxiM</f>
        <v>7.9722568830482713E-4</v>
      </c>
      <c r="Q294" s="305">
        <f t="shared" si="101"/>
        <v>0.7</v>
      </c>
      <c r="R294" s="177">
        <f t="shared" si="102"/>
        <v>0.49646575776052559</v>
      </c>
      <c r="S294" s="919">
        <f t="shared" si="103"/>
        <v>-1</v>
      </c>
      <c r="T294" s="176">
        <f t="shared" si="104"/>
        <v>5</v>
      </c>
      <c r="U294" s="251">
        <f t="shared" si="105"/>
        <v>-0.50353424223947441</v>
      </c>
      <c r="V294" s="383">
        <f t="shared" si="106"/>
        <v>39.984653410286995</v>
      </c>
      <c r="W294" s="402"/>
      <c r="X294" s="157">
        <f t="shared" si="107"/>
        <v>44110</v>
      </c>
      <c r="Y294" s="385">
        <f t="shared" si="108"/>
        <v>5.82</v>
      </c>
      <c r="Z294" s="385">
        <f t="shared" si="109"/>
        <v>5.9315762955000784</v>
      </c>
      <c r="AA294" s="386">
        <f t="shared" si="110"/>
        <v>6.4514238749830364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8.0578735726665449E-2</v>
      </c>
      <c r="AD294" s="231">
        <f>(INDEX(Models!$BJ294:$BT294,,AH294)*(1-AF294)+INDEX(Models!$BJ294:$BT294,,AH294+1)*AF294-ERP_i)*AE294*Ramure*Pc/MaxiM</f>
        <v>7.9722568830482713E-4</v>
      </c>
      <c r="AE294" s="305">
        <f t="shared" si="112"/>
        <v>0.7</v>
      </c>
      <c r="AF294" s="177">
        <f t="shared" si="113"/>
        <v>0.49646575776052559</v>
      </c>
      <c r="AG294" s="919">
        <f t="shared" si="119"/>
        <v>-1</v>
      </c>
      <c r="AH294" s="176">
        <f t="shared" si="114"/>
        <v>5</v>
      </c>
      <c r="AI294" s="225">
        <f t="shared" si="115"/>
        <v>-0.50353424223947441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8">
        <v>30.757000000000001</v>
      </c>
      <c r="C295" s="390"/>
      <c r="D295" s="393">
        <f t="shared" si="98"/>
        <v>31.347334717784904</v>
      </c>
      <c r="E295" s="385">
        <f t="shared" si="96"/>
        <v>34.094743562076438</v>
      </c>
      <c r="F295" s="385">
        <f t="shared" si="99"/>
        <v>34.113540180599081</v>
      </c>
      <c r="G295" s="110">
        <f t="shared" si="97"/>
        <v>0.77347231718226028</v>
      </c>
      <c r="H295" s="412" t="b">
        <f>Wh_hp&gt;='2019'!Maxi_hp</f>
        <v>0</v>
      </c>
      <c r="I295" s="380">
        <f>IF(H295,Wh_hp,'2019'!Maxi_hp)</f>
        <v>40.898092427700632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1.8832054562200939E-2</v>
      </c>
      <c r="M295" s="957"/>
      <c r="N295" s="957"/>
      <c r="O295" s="48">
        <f>IF(t&lt;Tnet,'2019'!Resal+('2019'!Salim-'2019'!Resal)*(1-EXP(('2019'!Tnet-t)/('2019'!Tau_j))),Resal+(Salim-Resal)*(1-EXP((Tnet-t)/(Tau_j))))*Salcycl</f>
        <v>8.0581595790251967E-2</v>
      </c>
      <c r="P295" s="169">
        <f>(INDEX(Models!$BJ295:$BT295,,T295)*(1-R295)+INDEX(Models!$BJ295:$BT295,,T295+1)*R295-ERP_i)*Q295*Ramure*Pc/MaxiM</f>
        <v>8.1427197868283051E-4</v>
      </c>
      <c r="Q295" s="305">
        <f t="shared" si="101"/>
        <v>0.7</v>
      </c>
      <c r="R295" s="177">
        <f t="shared" si="102"/>
        <v>0.49661516412638684</v>
      </c>
      <c r="S295" s="919">
        <f t="shared" si="103"/>
        <v>-1</v>
      </c>
      <c r="T295" s="176">
        <f t="shared" si="104"/>
        <v>5</v>
      </c>
      <c r="U295" s="251">
        <f t="shared" si="105"/>
        <v>-0.50338483587361316</v>
      </c>
      <c r="V295" s="383">
        <f t="shared" si="106"/>
        <v>39.754361531403987</v>
      </c>
      <c r="W295" s="402"/>
      <c r="X295" s="157">
        <f t="shared" si="107"/>
        <v>44111</v>
      </c>
      <c r="Y295" s="385">
        <f t="shared" si="108"/>
        <v>30.756999999999998</v>
      </c>
      <c r="Z295" s="385">
        <f t="shared" si="109"/>
        <v>31.3473347177849</v>
      </c>
      <c r="AA295" s="386">
        <f t="shared" si="110"/>
        <v>34.094743562076438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8.0581595790251967E-2</v>
      </c>
      <c r="AD295" s="231">
        <f>(INDEX(Models!$BJ295:$BT295,,AH295)*(1-AF295)+INDEX(Models!$BJ295:$BT295,,AH295+1)*AF295-ERP_i)*AE295*Ramure*Pc/MaxiM</f>
        <v>8.1427197868283051E-4</v>
      </c>
      <c r="AE295" s="305">
        <f t="shared" si="112"/>
        <v>0.7</v>
      </c>
      <c r="AF295" s="177">
        <f t="shared" si="113"/>
        <v>0.49661516412638684</v>
      </c>
      <c r="AG295" s="919">
        <f t="shared" si="119"/>
        <v>-1</v>
      </c>
      <c r="AH295" s="176">
        <f t="shared" si="114"/>
        <v>5</v>
      </c>
      <c r="AI295" s="225">
        <f t="shared" si="115"/>
        <v>-0.50338483587361316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8">
        <v>33.713999999999999</v>
      </c>
      <c r="C296" s="390"/>
      <c r="D296" s="393">
        <f t="shared" si="98"/>
        <v>34.361842532732588</v>
      </c>
      <c r="E296" s="385">
        <f t="shared" si="96"/>
        <v>37.373522096220654</v>
      </c>
      <c r="F296" s="385">
        <f t="shared" si="99"/>
        <v>37.398017587935655</v>
      </c>
      <c r="G296" s="110">
        <f t="shared" si="97"/>
        <v>0.85290662984811183</v>
      </c>
      <c r="H296" s="412" t="b">
        <f>Wh_hp&gt;='2019'!Maxi_hp</f>
        <v>1</v>
      </c>
      <c r="I296" s="380">
        <f>IF(H296,Wh_hp,'2019'!Maxi_hp)</f>
        <v>37.398017587935655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1.8853544658307131E-2</v>
      </c>
      <c r="M296" s="957"/>
      <c r="N296" s="957"/>
      <c r="O296" s="48">
        <f>IF(t&lt;Tnet,'2019'!Resal+('2019'!Salim-'2019'!Resal)*(1-EXP(('2019'!Tnet-t)/('2019'!Tau_j))),Resal+(Salim-Resal)*(1-EXP((Tnet-t)/(Tau_j))))*Salcycl</f>
        <v>8.0583241679344331E-2</v>
      </c>
      <c r="P296" s="169">
        <f>(INDEX(Models!$BJ296:$BT296,,T296)*(1-R296)+INDEX(Models!$BJ296:$BT296,,T296+1)*R296-ERP_i)*Q296*Ramure*Pc/MaxiM</f>
        <v>8.2902409406317081E-4</v>
      </c>
      <c r="Q296" s="305">
        <f t="shared" si="101"/>
        <v>0.7</v>
      </c>
      <c r="R296" s="177">
        <f t="shared" si="102"/>
        <v>0.49675863943704934</v>
      </c>
      <c r="S296" s="919">
        <f t="shared" si="103"/>
        <v>-1</v>
      </c>
      <c r="T296" s="176">
        <f t="shared" si="104"/>
        <v>5</v>
      </c>
      <c r="U296" s="251">
        <f t="shared" si="105"/>
        <v>-0.50324136056295066</v>
      </c>
      <c r="V296" s="383">
        <f t="shared" si="106"/>
        <v>39.521476017875067</v>
      </c>
      <c r="W296" s="402"/>
      <c r="X296" s="157">
        <f t="shared" si="107"/>
        <v>44112</v>
      </c>
      <c r="Y296" s="385">
        <f t="shared" si="108"/>
        <v>33.713999999999999</v>
      </c>
      <c r="Z296" s="385">
        <f t="shared" si="109"/>
        <v>34.361842532732588</v>
      </c>
      <c r="AA296" s="386">
        <f t="shared" si="110"/>
        <v>37.373522096220654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8.0583241679344331E-2</v>
      </c>
      <c r="AD296" s="231">
        <f>(INDEX(Models!$BJ296:$BT296,,AH296)*(1-AF296)+INDEX(Models!$BJ296:$BT296,,AH296+1)*AF296-ERP_i)*AE296*Ramure*Pc/MaxiM</f>
        <v>8.2902409406317081E-4</v>
      </c>
      <c r="AE296" s="305">
        <f t="shared" si="112"/>
        <v>0.7</v>
      </c>
      <c r="AF296" s="177">
        <f t="shared" si="113"/>
        <v>0.49675863943704934</v>
      </c>
      <c r="AG296" s="919">
        <f t="shared" si="119"/>
        <v>-1</v>
      </c>
      <c r="AH296" s="176">
        <f t="shared" si="114"/>
        <v>5</v>
      </c>
      <c r="AI296" s="225">
        <f t="shared" si="115"/>
        <v>-0.50324136056295066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8">
        <v>23.231999999999999</v>
      </c>
      <c r="C297" s="390"/>
      <c r="D297" s="393">
        <f t="shared" si="98"/>
        <v>23.678940819775562</v>
      </c>
      <c r="E297" s="385">
        <f t="shared" ref="E297:E360" si="120">Wh_pvt/(1-Psa)</f>
        <v>25.75431843757648</v>
      </c>
      <c r="F297" s="385">
        <f t="shared" si="99"/>
        <v>25.763344224756818</v>
      </c>
      <c r="G297" s="110">
        <f t="shared" ref="G297:G360" si="121">+Wh_hp/MaxiM</f>
        <v>0.59106206952240981</v>
      </c>
      <c r="H297" s="412" t="b">
        <f>Wh_hp&gt;='2019'!Maxi_hp</f>
        <v>0</v>
      </c>
      <c r="I297" s="380">
        <f>IF(H297,Wh_hp,'2019'!Maxi_hp)</f>
        <v>31.816976703345219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1.8875034283725167E-2</v>
      </c>
      <c r="M297" s="957"/>
      <c r="N297" s="957"/>
      <c r="O297" s="48">
        <f>IF(t&lt;Tnet,'2019'!Resal+('2019'!Salim-'2019'!Resal)*(1-EXP(('2019'!Tnet-t)/('2019'!Tau_j))),Resal+(Salim-Resal)*(1-EXP((Tnet-t)/(Tau_j))))*Salcycl</f>
        <v>8.0583674649796419E-2</v>
      </c>
      <c r="P297" s="169">
        <f>(INDEX(Models!$BJ297:$BT297,,T297)*(1-R297)+INDEX(Models!$BJ297:$BT297,,T297+1)*R297-ERP_i)*Q297*Ramure*Pc/MaxiM</f>
        <v>8.4170862222855767E-4</v>
      </c>
      <c r="Q297" s="305">
        <f t="shared" si="101"/>
        <v>0.7</v>
      </c>
      <c r="R297" s="177">
        <f t="shared" si="102"/>
        <v>0.49689641589564049</v>
      </c>
      <c r="S297" s="919">
        <f t="shared" si="103"/>
        <v>-1</v>
      </c>
      <c r="T297" s="176">
        <f t="shared" si="104"/>
        <v>5</v>
      </c>
      <c r="U297" s="251">
        <f t="shared" si="105"/>
        <v>-0.50310358410435951</v>
      </c>
      <c r="V297" s="383">
        <f t="shared" si="106"/>
        <v>39.286196140869968</v>
      </c>
      <c r="W297" s="402"/>
      <c r="X297" s="157">
        <f t="shared" si="107"/>
        <v>44113</v>
      </c>
      <c r="Y297" s="385">
        <f t="shared" si="108"/>
        <v>23.231999999999999</v>
      </c>
      <c r="Z297" s="385">
        <f t="shared" si="109"/>
        <v>23.678940819775562</v>
      </c>
      <c r="AA297" s="386">
        <f t="shared" si="110"/>
        <v>25.75431843757648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8.0583674649796419E-2</v>
      </c>
      <c r="AD297" s="231">
        <f>(INDEX(Models!$BJ297:$BT297,,AH297)*(1-AF297)+INDEX(Models!$BJ297:$BT297,,AH297+1)*AF297-ERP_i)*AE297*Ramure*Pc/MaxiM</f>
        <v>8.4170862222855767E-4</v>
      </c>
      <c r="AE297" s="305">
        <f t="shared" si="112"/>
        <v>0.7</v>
      </c>
      <c r="AF297" s="177">
        <f t="shared" si="113"/>
        <v>0.49689641589564049</v>
      </c>
      <c r="AG297" s="919">
        <f t="shared" si="119"/>
        <v>-1</v>
      </c>
      <c r="AH297" s="176">
        <f t="shared" si="114"/>
        <v>5</v>
      </c>
      <c r="AI297" s="225">
        <f t="shared" si="115"/>
        <v>-0.50310358410435951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8">
        <v>20.503</v>
      </c>
      <c r="C298" s="390"/>
      <c r="D298" s="393">
        <f t="shared" si="98"/>
        <v>20.89789761204057</v>
      </c>
      <c r="E298" s="385">
        <f t="shared" si="120"/>
        <v>22.7295072078572</v>
      </c>
      <c r="F298" s="385">
        <f t="shared" si="99"/>
        <v>22.735737503467213</v>
      </c>
      <c r="G298" s="110">
        <f t="shared" si="121"/>
        <v>0.52475816682521514</v>
      </c>
      <c r="H298" s="412" t="b">
        <f>Wh_hp&gt;='2019'!Maxi_hp</f>
        <v>0</v>
      </c>
      <c r="I298" s="380">
        <f>IF(H298,Wh_hp,'2019'!Maxi_hp)</f>
        <v>42.965935977053093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1.8896523438465151E-2</v>
      </c>
      <c r="M298" s="957"/>
      <c r="N298" s="957"/>
      <c r="O298" s="48">
        <f>IF(t&lt;Tnet,'2019'!Resal+('2019'!Salim-'2019'!Resal)*(1-EXP(('2019'!Tnet-t)/('2019'!Tau_j))),Resal+(Salim-Resal)*(1-EXP((Tnet-t)/(Tau_j))))*Salcycl</f>
        <v>8.0582899535255714E-2</v>
      </c>
      <c r="P298" s="169">
        <f>(INDEX(Models!$BJ298:$BT298,,T298)*(1-R298)+INDEX(Models!$BJ298:$BT298,,T298+1)*R298-ERP_i)*Q298*Ramure*Pc/MaxiM</f>
        <v>8.5230630988242999E-4</v>
      </c>
      <c r="Q298" s="305">
        <f t="shared" si="101"/>
        <v>0.7</v>
      </c>
      <c r="R298" s="177">
        <f t="shared" si="102"/>
        <v>0.49702871686900685</v>
      </c>
      <c r="S298" s="919">
        <f t="shared" si="103"/>
        <v>-1</v>
      </c>
      <c r="T298" s="176">
        <f t="shared" si="104"/>
        <v>5</v>
      </c>
      <c r="U298" s="251">
        <f t="shared" si="105"/>
        <v>-0.50297128313099315</v>
      </c>
      <c r="V298" s="383">
        <f t="shared" si="106"/>
        <v>39.048730759615545</v>
      </c>
      <c r="W298" s="402"/>
      <c r="X298" s="157">
        <f t="shared" si="107"/>
        <v>44114</v>
      </c>
      <c r="Y298" s="385">
        <f t="shared" si="108"/>
        <v>20.503</v>
      </c>
      <c r="Z298" s="385">
        <f t="shared" si="109"/>
        <v>20.89789761204057</v>
      </c>
      <c r="AA298" s="386">
        <f t="shared" si="110"/>
        <v>22.7295072078572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8.0582899535255714E-2</v>
      </c>
      <c r="AD298" s="231">
        <f>(INDEX(Models!$BJ298:$BT298,,AH298)*(1-AF298)+INDEX(Models!$BJ298:$BT298,,AH298+1)*AF298-ERP_i)*AE298*Ramure*Pc/MaxiM</f>
        <v>8.5230630988242999E-4</v>
      </c>
      <c r="AE298" s="305">
        <f t="shared" si="112"/>
        <v>0.7</v>
      </c>
      <c r="AF298" s="177">
        <f t="shared" si="113"/>
        <v>0.49702871686900685</v>
      </c>
      <c r="AG298" s="919">
        <f t="shared" si="119"/>
        <v>-1</v>
      </c>
      <c r="AH298" s="176">
        <f t="shared" si="114"/>
        <v>5</v>
      </c>
      <c r="AI298" s="225">
        <f t="shared" si="115"/>
        <v>-0.50297128313099315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8">
        <v>14.680999999999999</v>
      </c>
      <c r="C299" s="390"/>
      <c r="D299" s="393">
        <f t="shared" si="98"/>
        <v>14.964090852143604</v>
      </c>
      <c r="E299" s="385">
        <f t="shared" si="120"/>
        <v>16.275593205991672</v>
      </c>
      <c r="F299" s="385">
        <f t="shared" si="99"/>
        <v>16.277160190525223</v>
      </c>
      <c r="G299" s="110">
        <f t="shared" si="121"/>
        <v>0.37799649108383315</v>
      </c>
      <c r="H299" s="412" t="b">
        <f>Wh_hp&gt;='2019'!Maxi_hp</f>
        <v>0</v>
      </c>
      <c r="I299" s="380">
        <f>IF(H299,Wh_hp,'2019'!Maxi_hp)</f>
        <v>40.471947544594585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1.891801212253752E-2</v>
      </c>
      <c r="M299" s="957"/>
      <c r="N299" s="957"/>
      <c r="O299" s="48">
        <f>IF(t&lt;Tnet,'2019'!Resal+('2019'!Salim-'2019'!Resal)*(1-EXP(('2019'!Tnet-t)/('2019'!Tau_j))),Resal+(Salim-Resal)*(1-EXP((Tnet-t)/(Tau_j))))*Salcycl</f>
        <v>8.0580924900805193E-2</v>
      </c>
      <c r="P299" s="169">
        <f>(INDEX(Models!$BJ299:$BT299,,T299)*(1-R299)+INDEX(Models!$BJ299:$BT299,,T299+1)*R299-ERP_i)*Q299*Ramure*Pc/MaxiM</f>
        <v>8.6079851500853145E-4</v>
      </c>
      <c r="Q299" s="305">
        <f t="shared" si="101"/>
        <v>0.7</v>
      </c>
      <c r="R299" s="177">
        <f t="shared" si="102"/>
        <v>0.49715575720390826</v>
      </c>
      <c r="S299" s="919">
        <f t="shared" si="103"/>
        <v>-1</v>
      </c>
      <c r="T299" s="176">
        <f t="shared" si="104"/>
        <v>5</v>
      </c>
      <c r="U299" s="251">
        <f t="shared" si="105"/>
        <v>-0.50284424279609174</v>
      </c>
      <c r="V299" s="383">
        <f t="shared" si="106"/>
        <v>38.809288462524854</v>
      </c>
      <c r="W299" s="402"/>
      <c r="X299" s="157">
        <f t="shared" si="107"/>
        <v>44115</v>
      </c>
      <c r="Y299" s="385">
        <f t="shared" si="108"/>
        <v>14.680999999999997</v>
      </c>
      <c r="Z299" s="385">
        <f t="shared" si="109"/>
        <v>14.964090852143602</v>
      </c>
      <c r="AA299" s="386">
        <f t="shared" si="110"/>
        <v>16.275593205991672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8.0580924900805193E-2</v>
      </c>
      <c r="AD299" s="231">
        <f>(INDEX(Models!$BJ299:$BT299,,AH299)*(1-AF299)+INDEX(Models!$BJ299:$BT299,,AH299+1)*AF299-ERP_i)*AE299*Ramure*Pc/MaxiM</f>
        <v>8.6079851500853145E-4</v>
      </c>
      <c r="AE299" s="305">
        <f t="shared" si="112"/>
        <v>0.7</v>
      </c>
      <c r="AF299" s="177">
        <f t="shared" si="113"/>
        <v>0.49715575720390826</v>
      </c>
      <c r="AG299" s="919">
        <f t="shared" si="119"/>
        <v>-1</v>
      </c>
      <c r="AH299" s="176">
        <f t="shared" si="114"/>
        <v>5</v>
      </c>
      <c r="AI299" s="225">
        <f t="shared" si="115"/>
        <v>-0.50284424279609174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8">
        <v>23.178999999999998</v>
      </c>
      <c r="C300" s="390"/>
      <c r="D300" s="393">
        <f t="shared" si="98"/>
        <v>23.626473604775011</v>
      </c>
      <c r="E300" s="385">
        <f t="shared" si="120"/>
        <v>25.697087430105153</v>
      </c>
      <c r="F300" s="385">
        <f t="shared" si="99"/>
        <v>25.706672642415015</v>
      </c>
      <c r="G300" s="110">
        <f t="shared" si="121"/>
        <v>0.60069207065367813</v>
      </c>
      <c r="H300" s="412" t="b">
        <f>Wh_hp&gt;='2019'!Maxi_hp</f>
        <v>0</v>
      </c>
      <c r="I300" s="380">
        <f>IF(H300,Wh_hp,'2019'!Maxi_hp)</f>
        <v>41.038729599738197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1.8939500335952597E-2</v>
      </c>
      <c r="M300" s="957"/>
      <c r="N300" s="957"/>
      <c r="O300" s="48">
        <f>IF(t&lt;Tnet,'2019'!Resal+('2019'!Salim-'2019'!Resal)*(1-EXP(('2019'!Tnet-t)/('2019'!Tau_j))),Resal+(Salim-Resal)*(1-EXP((Tnet-t)/(Tau_j))))*Salcycl</f>
        <v>8.0577763178886042E-2</v>
      </c>
      <c r="P300" s="169">
        <f>(INDEX(Models!$BJ300:$BT300,,T300)*(1-R300)+INDEX(Models!$BJ300:$BT300,,T300+1)*R300-ERP_i)*Q300*Ramure*Pc/MaxiM</f>
        <v>8.67167365248756E-4</v>
      </c>
      <c r="Q300" s="305">
        <f t="shared" si="101"/>
        <v>0.7</v>
      </c>
      <c r="R300" s="177">
        <f t="shared" si="102"/>
        <v>0.4972777435335024</v>
      </c>
      <c r="S300" s="919">
        <f t="shared" si="103"/>
        <v>-1</v>
      </c>
      <c r="T300" s="176">
        <f t="shared" si="104"/>
        <v>5</v>
      </c>
      <c r="U300" s="251">
        <f t="shared" si="105"/>
        <v>-0.5027222564664976</v>
      </c>
      <c r="V300" s="383">
        <f t="shared" si="106"/>
        <v>38.568077569552607</v>
      </c>
      <c r="W300" s="402"/>
      <c r="X300" s="157">
        <f t="shared" si="107"/>
        <v>44116</v>
      </c>
      <c r="Y300" s="385">
        <f t="shared" si="108"/>
        <v>23.178999999999998</v>
      </c>
      <c r="Z300" s="385">
        <f t="shared" si="109"/>
        <v>23.626473604775011</v>
      </c>
      <c r="AA300" s="386">
        <f t="shared" si="110"/>
        <v>25.697087430105153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8.0577763178886042E-2</v>
      </c>
      <c r="AD300" s="231">
        <f>(INDEX(Models!$BJ300:$BT300,,AH300)*(1-AF300)+INDEX(Models!$BJ300:$BT300,,AH300+1)*AF300-ERP_i)*AE300*Ramure*Pc/MaxiM</f>
        <v>8.67167365248756E-4</v>
      </c>
      <c r="AE300" s="305">
        <f t="shared" si="112"/>
        <v>0.7</v>
      </c>
      <c r="AF300" s="177">
        <f t="shared" si="113"/>
        <v>0.4972777435335024</v>
      </c>
      <c r="AG300" s="919">
        <f t="shared" si="119"/>
        <v>-1</v>
      </c>
      <c r="AH300" s="176">
        <f t="shared" si="114"/>
        <v>5</v>
      </c>
      <c r="AI300" s="225">
        <f t="shared" si="115"/>
        <v>-0.5027222564664976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8">
        <v>19.251999999999999</v>
      </c>
      <c r="C301" s="390"/>
      <c r="D301" s="393">
        <f t="shared" si="98"/>
        <v>19.624092177839735</v>
      </c>
      <c r="E301" s="385">
        <f t="shared" si="120"/>
        <v>21.343838469462312</v>
      </c>
      <c r="F301" s="385">
        <f t="shared" si="99"/>
        <v>21.349215746684269</v>
      </c>
      <c r="G301" s="110">
        <f t="shared" si="121"/>
        <v>0.50201999326071634</v>
      </c>
      <c r="H301" s="412" t="b">
        <f>Wh_hp&gt;='2019'!Maxi_hp</f>
        <v>0</v>
      </c>
      <c r="I301" s="380">
        <f>IF(H301,Wh_hp,'2019'!Maxi_hp)</f>
        <v>35.424353260670031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1.8960988078720709E-2</v>
      </c>
      <c r="M301" s="957"/>
      <c r="N301" s="957"/>
      <c r="O301" s="48">
        <f>IF(t&lt;Tnet,'2019'!Resal+('2019'!Salim-'2019'!Resal)*(1-EXP(('2019'!Tnet-t)/('2019'!Tau_j))),Resal+(Salim-Resal)*(1-EXP((Tnet-t)/(Tau_j))))*Salcycl</f>
        <v>8.0573430785802869E-2</v>
      </c>
      <c r="P301" s="169">
        <f>(INDEX(Models!$BJ301:$BT301,,T301)*(1-R301)+INDEX(Models!$BJ301:$BT301,,T301+1)*R301-ERP_i)*Q301*Ramure*Pc/MaxiM</f>
        <v>8.7139590895390451E-4</v>
      </c>
      <c r="Q301" s="305">
        <f t="shared" si="101"/>
        <v>0.7</v>
      </c>
      <c r="R301" s="177">
        <f t="shared" si="102"/>
        <v>0.49739487457428322</v>
      </c>
      <c r="S301" s="919">
        <f t="shared" si="103"/>
        <v>-1</v>
      </c>
      <c r="T301" s="176">
        <f t="shared" si="104"/>
        <v>5</v>
      </c>
      <c r="U301" s="251">
        <f t="shared" si="105"/>
        <v>-0.50260512542571678</v>
      </c>
      <c r="V301" s="383">
        <f t="shared" si="106"/>
        <v>38.32530613510604</v>
      </c>
      <c r="W301" s="402"/>
      <c r="X301" s="157">
        <f t="shared" si="107"/>
        <v>44117</v>
      </c>
      <c r="Y301" s="385">
        <f t="shared" si="108"/>
        <v>19.251999999999999</v>
      </c>
      <c r="Z301" s="385">
        <f t="shared" si="109"/>
        <v>19.624092177839735</v>
      </c>
      <c r="AA301" s="386">
        <f t="shared" si="110"/>
        <v>21.343838469462312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8.0573430785802869E-2</v>
      </c>
      <c r="AD301" s="231">
        <f>(INDEX(Models!$BJ301:$BT301,,AH301)*(1-AF301)+INDEX(Models!$BJ301:$BT301,,AH301+1)*AF301-ERP_i)*AE301*Ramure*Pc/MaxiM</f>
        <v>8.7139590895390451E-4</v>
      </c>
      <c r="AE301" s="305">
        <f t="shared" si="112"/>
        <v>0.7</v>
      </c>
      <c r="AF301" s="177">
        <f t="shared" si="113"/>
        <v>0.49739487457428322</v>
      </c>
      <c r="AG301" s="919">
        <f t="shared" si="119"/>
        <v>-1</v>
      </c>
      <c r="AH301" s="176">
        <f t="shared" si="114"/>
        <v>5</v>
      </c>
      <c r="AI301" s="225">
        <f t="shared" si="115"/>
        <v>-0.50260512542571678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8">
        <v>14.426</v>
      </c>
      <c r="C302" s="390"/>
      <c r="D302" s="393">
        <f t="shared" si="98"/>
        <v>14.705139956760025</v>
      </c>
      <c r="E302" s="385">
        <f t="shared" si="120"/>
        <v>15.993721263302723</v>
      </c>
      <c r="F302" s="385">
        <f t="shared" si="99"/>
        <v>15.995294486333208</v>
      </c>
      <c r="G302" s="110">
        <f t="shared" si="121"/>
        <v>0.37852861657454934</v>
      </c>
      <c r="H302" s="412" t="b">
        <f>Wh_hp&gt;='2019'!Maxi_hp</f>
        <v>0</v>
      </c>
      <c r="I302" s="380">
        <f>IF(H302,Wh_hp,'2019'!Maxi_hp)</f>
        <v>31.401193648979611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1.8982475350851957E-2</v>
      </c>
      <c r="M302" s="957"/>
      <c r="N302" s="957"/>
      <c r="O302" s="48">
        <f>IF(t&lt;Tnet,'2019'!Resal+('2019'!Salim-'2019'!Resal)*(1-EXP(('2019'!Tnet-t)/('2019'!Tau_j))),Resal+(Salim-Resal)*(1-EXP((Tnet-t)/(Tau_j))))*Salcycl</f>
        <v>8.0567948217237159E-2</v>
      </c>
      <c r="P302" s="169">
        <f>(INDEX(Models!$BJ302:$BT302,,T302)*(1-R302)+INDEX(Models!$BJ302:$BT302,,T302+1)*R302-ERP_i)*Q302*Ramure*Pc/MaxiM</f>
        <v>8.7346825761878012E-4</v>
      </c>
      <c r="Q302" s="305">
        <f t="shared" si="101"/>
        <v>0.7</v>
      </c>
      <c r="R302" s="177">
        <f t="shared" si="102"/>
        <v>0.49750734141364927</v>
      </c>
      <c r="S302" s="919">
        <f t="shared" si="103"/>
        <v>-1</v>
      </c>
      <c r="T302" s="176">
        <f t="shared" si="104"/>
        <v>5</v>
      </c>
      <c r="U302" s="251">
        <f t="shared" si="105"/>
        <v>-0.50249265858635073</v>
      </c>
      <c r="V302" s="383">
        <f t="shared" si="106"/>
        <v>38.081181951216529</v>
      </c>
      <c r="W302" s="402"/>
      <c r="X302" s="157">
        <f t="shared" si="107"/>
        <v>44118</v>
      </c>
      <c r="Y302" s="385">
        <f t="shared" si="108"/>
        <v>14.426</v>
      </c>
      <c r="Z302" s="385">
        <f t="shared" si="109"/>
        <v>14.705139956760025</v>
      </c>
      <c r="AA302" s="386">
        <f t="shared" si="110"/>
        <v>15.993721263302723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8.0567948217237159E-2</v>
      </c>
      <c r="AD302" s="231">
        <f>(INDEX(Models!$BJ302:$BT302,,AH302)*(1-AF302)+INDEX(Models!$BJ302:$BT302,,AH302+1)*AF302-ERP_i)*AE302*Ramure*Pc/MaxiM</f>
        <v>8.7346825761878012E-4</v>
      </c>
      <c r="AE302" s="305">
        <f t="shared" si="112"/>
        <v>0.7</v>
      </c>
      <c r="AF302" s="177">
        <f t="shared" si="113"/>
        <v>0.49750734141364927</v>
      </c>
      <c r="AG302" s="919">
        <f t="shared" si="119"/>
        <v>-1</v>
      </c>
      <c r="AH302" s="176">
        <f t="shared" si="114"/>
        <v>5</v>
      </c>
      <c r="AI302" s="225">
        <f t="shared" si="115"/>
        <v>-0.50249265858635073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8">
        <v>15.44</v>
      </c>
      <c r="C303" s="390"/>
      <c r="D303" s="393">
        <f t="shared" si="98"/>
        <v>15.739105362623249</v>
      </c>
      <c r="E303" s="385">
        <f t="shared" si="120"/>
        <v>17.118167909863942</v>
      </c>
      <c r="F303" s="385">
        <f t="shared" si="99"/>
        <v>17.120476624133556</v>
      </c>
      <c r="G303" s="110">
        <f t="shared" si="121"/>
        <v>0.40777989618327548</v>
      </c>
      <c r="H303" s="412" t="b">
        <f>Wh_hp&gt;='2019'!Maxi_hp</f>
        <v>0</v>
      </c>
      <c r="I303" s="380">
        <f>IF(H303,Wh_hp,'2019'!Maxi_hp)</f>
        <v>35.848445208152498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1.900396215235689E-2</v>
      </c>
      <c r="M303" s="957"/>
      <c r="N303" s="957"/>
      <c r="O303" s="48">
        <f>IF(t&lt;Tnet,'2019'!Resal+('2019'!Salim-'2019'!Resal)*(1-EXP(('2019'!Tnet-t)/('2019'!Tau_j))),Resal+(Salim-Resal)*(1-EXP((Tnet-t)/(Tau_j))))*Salcycl</f>
        <v>8.0561340121336186E-2</v>
      </c>
      <c r="P303" s="169">
        <f>(INDEX(Models!$BJ303:$BT303,,T303)*(1-R303)+INDEX(Models!$BJ303:$BT303,,T303+1)*R303-ERP_i)*Q303*Ramure*Pc/MaxiM</f>
        <v>8.7337700710182374E-4</v>
      </c>
      <c r="Q303" s="305">
        <f t="shared" si="101"/>
        <v>0.7</v>
      </c>
      <c r="R303" s="177">
        <f t="shared" si="102"/>
        <v>0.49761532778828221</v>
      </c>
      <c r="S303" s="919">
        <f t="shared" si="103"/>
        <v>-1</v>
      </c>
      <c r="T303" s="176">
        <f t="shared" si="104"/>
        <v>5</v>
      </c>
      <c r="U303" s="251">
        <f t="shared" si="105"/>
        <v>-0.50238467221171779</v>
      </c>
      <c r="V303" s="383">
        <f t="shared" si="106"/>
        <v>37.83559652095726</v>
      </c>
      <c r="W303" s="402"/>
      <c r="X303" s="157">
        <f t="shared" si="107"/>
        <v>44119</v>
      </c>
      <c r="Y303" s="385">
        <f t="shared" si="108"/>
        <v>15.440000000000001</v>
      </c>
      <c r="Z303" s="385">
        <f t="shared" si="109"/>
        <v>15.739105362623251</v>
      </c>
      <c r="AA303" s="386">
        <f t="shared" si="110"/>
        <v>17.118167909863942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8.0561340121336186E-2</v>
      </c>
      <c r="AD303" s="231">
        <f>(INDEX(Models!$BJ303:$BT303,,AH303)*(1-AF303)+INDEX(Models!$BJ303:$BT303,,AH303+1)*AF303-ERP_i)*AE303*Ramure*Pc/MaxiM</f>
        <v>8.7337700710182374E-4</v>
      </c>
      <c r="AE303" s="305">
        <f t="shared" si="112"/>
        <v>0.7</v>
      </c>
      <c r="AF303" s="177">
        <f t="shared" si="113"/>
        <v>0.49761532778828221</v>
      </c>
      <c r="AG303" s="919">
        <f t="shared" si="119"/>
        <v>-1</v>
      </c>
      <c r="AH303" s="176">
        <f t="shared" si="114"/>
        <v>5</v>
      </c>
      <c r="AI303" s="225">
        <f t="shared" si="115"/>
        <v>-0.50238467221171779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8">
        <v>9.7420000000000009</v>
      </c>
      <c r="C304" s="390"/>
      <c r="D304" s="393">
        <f t="shared" si="98"/>
        <v>9.9309405987517252</v>
      </c>
      <c r="E304" s="385">
        <f t="shared" si="120"/>
        <v>10.801000450430383</v>
      </c>
      <c r="F304" s="385">
        <f t="shared" si="99"/>
        <v>10.801000450430383</v>
      </c>
      <c r="G304" s="110">
        <f t="shared" si="121"/>
        <v>0.25895105978790145</v>
      </c>
      <c r="H304" s="412" t="b">
        <f>Wh_hp&gt;='2019'!Maxi_hp</f>
        <v>0</v>
      </c>
      <c r="I304" s="380">
        <f>IF(H304,Wh_hp,'2019'!Maxi_hp)</f>
        <v>23.477802408188175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1.9025448483245722E-2</v>
      </c>
      <c r="M304" s="957"/>
      <c r="N304" s="957"/>
      <c r="O304" s="48">
        <f>IF(t&lt;Tnet,'2019'!Resal+('2019'!Salim-'2019'!Resal)*(1-EXP(('2019'!Tnet-t)/('2019'!Tau_j))),Resal+(Salim-Resal)*(1-EXP((Tnet-t)/(Tau_j))))*Salcycl</f>
        <v>8.0553635348102254E-2</v>
      </c>
      <c r="P304" s="169">
        <f>(INDEX(Models!$BJ304:$BT304,,T304)*(1-R304)+INDEX(Models!$BJ304:$BT304,,T304+1)*R304-ERP_i)*Q304*Ramure*Pc/MaxiM</f>
        <v>8.7113965131645156E-4</v>
      </c>
      <c r="Q304" s="305">
        <f t="shared" si="101"/>
        <v>0.7</v>
      </c>
      <c r="R304" s="177">
        <f t="shared" si="102"/>
        <v>0.49771901035352706</v>
      </c>
      <c r="S304" s="919">
        <f t="shared" si="103"/>
        <v>-1</v>
      </c>
      <c r="T304" s="176">
        <f t="shared" si="104"/>
        <v>5</v>
      </c>
      <c r="U304" s="251">
        <f t="shared" si="105"/>
        <v>-0.50228098964647294</v>
      </c>
      <c r="V304" s="383">
        <f t="shared" si="106"/>
        <v>37.58823526534043</v>
      </c>
      <c r="W304" s="402"/>
      <c r="X304" s="157">
        <f t="shared" si="107"/>
        <v>44120</v>
      </c>
      <c r="Y304" s="385">
        <f t="shared" si="108"/>
        <v>9.7420000000000009</v>
      </c>
      <c r="Z304" s="385">
        <f t="shared" si="109"/>
        <v>9.9309405987517252</v>
      </c>
      <c r="AA304" s="386">
        <f t="shared" si="110"/>
        <v>10.801000450430383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8.0553635348102254E-2</v>
      </c>
      <c r="AD304" s="231">
        <f>(INDEX(Models!$BJ304:$BT304,,AH304)*(1-AF304)+INDEX(Models!$BJ304:$BT304,,AH304+1)*AF304-ERP_i)*AE304*Ramure*Pc/MaxiM</f>
        <v>8.7113965131645156E-4</v>
      </c>
      <c r="AE304" s="305">
        <f t="shared" si="112"/>
        <v>0.7</v>
      </c>
      <c r="AF304" s="177">
        <f t="shared" si="113"/>
        <v>0.49771901035352706</v>
      </c>
      <c r="AG304" s="919">
        <f t="shared" si="119"/>
        <v>-1</v>
      </c>
      <c r="AH304" s="176">
        <f t="shared" si="114"/>
        <v>5</v>
      </c>
      <c r="AI304" s="225">
        <f t="shared" si="115"/>
        <v>-0.50228098964647294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8">
        <v>36.621000000000002</v>
      </c>
      <c r="C305" s="390"/>
      <c r="D305" s="393">
        <f t="shared" si="98"/>
        <v>37.33206132088754</v>
      </c>
      <c r="E305" s="385">
        <f t="shared" si="120"/>
        <v>40.602374145243921</v>
      </c>
      <c r="F305" s="385">
        <f t="shared" si="99"/>
        <v>40.636688636439388</v>
      </c>
      <c r="G305" s="110">
        <f t="shared" si="121"/>
        <v>0.98074892092461274</v>
      </c>
      <c r="H305" s="412" t="b">
        <f>Wh_hp&gt;='2019'!Maxi_hp</f>
        <v>1</v>
      </c>
      <c r="I305" s="380">
        <f>IF(H305,Wh_hp,'2019'!Maxi_hp)</f>
        <v>40.636688636439388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1.9046934343528776E-2</v>
      </c>
      <c r="M305" s="957"/>
      <c r="N305" s="957"/>
      <c r="O305" s="48">
        <f>IF(t&lt;Tnet,'2019'!Resal+('2019'!Salim-'2019'!Resal)*(1-EXP(('2019'!Tnet-t)/('2019'!Tau_j))),Resal+(Salim-Resal)*(1-EXP((Tnet-t)/(Tau_j))))*Salcycl</f>
        <v>8.0544866973978571E-2</v>
      </c>
      <c r="P305" s="169">
        <f>(INDEX(Models!$BJ305:$BT305,,T305)*(1-R305)+INDEX(Models!$BJ305:$BT305,,T305+1)*R305-ERP_i)*Q305*Ramure*Pc/MaxiM</f>
        <v>8.6827119928493089E-4</v>
      </c>
      <c r="Q305" s="305">
        <f t="shared" si="101"/>
        <v>0.7</v>
      </c>
      <c r="R305" s="177">
        <f t="shared" si="102"/>
        <v>0.49781855894396754</v>
      </c>
      <c r="S305" s="919">
        <f t="shared" si="103"/>
        <v>-1</v>
      </c>
      <c r="T305" s="176">
        <f t="shared" si="104"/>
        <v>5</v>
      </c>
      <c r="U305" s="251">
        <f t="shared" si="105"/>
        <v>-0.50218144105603246</v>
      </c>
      <c r="V305" s="383">
        <f t="shared" si="106"/>
        <v>37.338940761059227</v>
      </c>
      <c r="W305" s="402"/>
      <c r="X305" s="157">
        <f t="shared" si="107"/>
        <v>44121</v>
      </c>
      <c r="Y305" s="385">
        <f t="shared" si="108"/>
        <v>36.621000000000002</v>
      </c>
      <c r="Z305" s="385">
        <f t="shared" si="109"/>
        <v>37.33206132088754</v>
      </c>
      <c r="AA305" s="386">
        <f t="shared" si="110"/>
        <v>40.602374145243921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8.0544866973978571E-2</v>
      </c>
      <c r="AD305" s="231">
        <f>(INDEX(Models!$BJ305:$BT305,,AH305)*(1-AF305)+INDEX(Models!$BJ305:$BT305,,AH305+1)*AF305-ERP_i)*AE305*Ramure*Pc/MaxiM</f>
        <v>8.6827119928493089E-4</v>
      </c>
      <c r="AE305" s="305">
        <f t="shared" si="112"/>
        <v>0.7</v>
      </c>
      <c r="AF305" s="177">
        <f t="shared" si="113"/>
        <v>0.49781855894396754</v>
      </c>
      <c r="AG305" s="919">
        <f t="shared" si="119"/>
        <v>-1</v>
      </c>
      <c r="AH305" s="176">
        <f t="shared" si="114"/>
        <v>5</v>
      </c>
      <c r="AI305" s="225">
        <f t="shared" si="115"/>
        <v>-0.50218144105603246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8">
        <v>35.646999999999998</v>
      </c>
      <c r="C306" s="390"/>
      <c r="D306" s="393">
        <f t="shared" si="98"/>
        <v>36.339945330646913</v>
      </c>
      <c r="E306" s="385">
        <f t="shared" si="120"/>
        <v>39.522927124124109</v>
      </c>
      <c r="F306" s="385">
        <f t="shared" si="99"/>
        <v>39.555235344496339</v>
      </c>
      <c r="G306" s="110">
        <f t="shared" si="121"/>
        <v>0.96111032919835193</v>
      </c>
      <c r="H306" s="412" t="b">
        <f>Wh_hp&gt;='2019'!Maxi_hp</f>
        <v>1</v>
      </c>
      <c r="I306" s="380">
        <f>IF(H306,Wh_hp,'2019'!Maxi_hp)</f>
        <v>39.555235344496339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1.906841973321638E-2</v>
      </c>
      <c r="M306" s="957"/>
      <c r="N306" s="957"/>
      <c r="O306" s="48">
        <f>IF(t&lt;Tnet,'2019'!Resal+('2019'!Salim-'2019'!Resal)*(1-EXP(('2019'!Tnet-t)/('2019'!Tau_j))),Resal+(Salim-Resal)*(1-EXP((Tnet-t)/(Tau_j))))*Salcycl</f>
        <v>8.0535072300714342E-2</v>
      </c>
      <c r="P306" s="169">
        <f>(INDEX(Models!$BJ306:$BT306,,T306)*(1-R306)+INDEX(Models!$BJ306:$BT306,,T306+1)*R306-ERP_i)*Q306*Ramure*Pc/MaxiM</f>
        <v>8.6477442735228313E-4</v>
      </c>
      <c r="Q306" s="305">
        <f t="shared" si="101"/>
        <v>0.7</v>
      </c>
      <c r="R306" s="177">
        <f t="shared" si="102"/>
        <v>0.49791413682539765</v>
      </c>
      <c r="S306" s="919">
        <f t="shared" si="103"/>
        <v>-1</v>
      </c>
      <c r="T306" s="176">
        <f t="shared" si="104"/>
        <v>5</v>
      </c>
      <c r="U306" s="251">
        <f t="shared" si="105"/>
        <v>-0.50208586317460235</v>
      </c>
      <c r="V306" s="383">
        <f t="shared" si="106"/>
        <v>37.087613073645251</v>
      </c>
      <c r="W306" s="402"/>
      <c r="X306" s="157">
        <f t="shared" si="107"/>
        <v>44122</v>
      </c>
      <c r="Y306" s="385">
        <f t="shared" si="108"/>
        <v>35.646999999999998</v>
      </c>
      <c r="Z306" s="385">
        <f t="shared" si="109"/>
        <v>36.339945330646913</v>
      </c>
      <c r="AA306" s="386">
        <f t="shared" si="110"/>
        <v>39.522927124124109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8.0535072300714342E-2</v>
      </c>
      <c r="AD306" s="231">
        <f>(INDEX(Models!$BJ306:$BT306,,AH306)*(1-AF306)+INDEX(Models!$BJ306:$BT306,,AH306+1)*AF306-ERP_i)*AE306*Ramure*Pc/MaxiM</f>
        <v>8.6477442735228313E-4</v>
      </c>
      <c r="AE306" s="305">
        <f t="shared" si="112"/>
        <v>0.7</v>
      </c>
      <c r="AF306" s="177">
        <f t="shared" si="113"/>
        <v>0.49791413682539765</v>
      </c>
      <c r="AG306" s="919">
        <f t="shared" si="119"/>
        <v>-1</v>
      </c>
      <c r="AH306" s="176">
        <f t="shared" si="114"/>
        <v>5</v>
      </c>
      <c r="AI306" s="225">
        <f t="shared" si="115"/>
        <v>-0.50208586317460235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8">
        <v>29.523</v>
      </c>
      <c r="C307" s="390"/>
      <c r="D307" s="393">
        <f t="shared" si="98"/>
        <v>30.097559541922791</v>
      </c>
      <c r="E307" s="385">
        <f t="shared" si="120"/>
        <v>32.733392853287988</v>
      </c>
      <c r="F307" s="385">
        <f t="shared" si="99"/>
        <v>32.753589060137877</v>
      </c>
      <c r="G307" s="110">
        <f t="shared" si="121"/>
        <v>0.80131587156806305</v>
      </c>
      <c r="H307" s="412" t="b">
        <f>Wh_hp&gt;='2019'!Maxi_hp</f>
        <v>1</v>
      </c>
      <c r="I307" s="380">
        <f>IF(H307,Wh_hp,'2019'!Maxi_hp)</f>
        <v>32.753589060137877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1.9089904652318745E-2</v>
      </c>
      <c r="M307" s="957"/>
      <c r="N307" s="957"/>
      <c r="O307" s="48">
        <f>IF(t&lt;Tnet,'2019'!Resal+('2019'!Salim-'2019'!Resal)*(1-EXP(('2019'!Tnet-t)/('2019'!Tau_j))),Resal+(Salim-Resal)*(1-EXP((Tnet-t)/(Tau_j))))*Salcycl</f>
        <v>8.0524292827788349E-2</v>
      </c>
      <c r="P307" s="169">
        <f>(INDEX(Models!$BJ307:$BT307,,T307)*(1-R307)+INDEX(Models!$BJ307:$BT307,,T307+1)*R307-ERP_i)*Q307*Ramure*Pc/MaxiM</f>
        <v>8.6065277986744097E-4</v>
      </c>
      <c r="Q307" s="305">
        <f t="shared" si="101"/>
        <v>0.7</v>
      </c>
      <c r="R307" s="177">
        <f t="shared" si="102"/>
        <v>0.49800590093839103</v>
      </c>
      <c r="S307" s="919">
        <f t="shared" si="103"/>
        <v>-1</v>
      </c>
      <c r="T307" s="176">
        <f t="shared" si="104"/>
        <v>5</v>
      </c>
      <c r="U307" s="251">
        <f t="shared" si="105"/>
        <v>-0.50199409906160897</v>
      </c>
      <c r="V307" s="383">
        <f t="shared" si="106"/>
        <v>36.834152101105914</v>
      </c>
      <c r="W307" s="402"/>
      <c r="X307" s="157">
        <f t="shared" si="107"/>
        <v>44123</v>
      </c>
      <c r="Y307" s="385">
        <f t="shared" si="108"/>
        <v>29.523</v>
      </c>
      <c r="Z307" s="385">
        <f t="shared" si="109"/>
        <v>30.097559541922791</v>
      </c>
      <c r="AA307" s="386">
        <f t="shared" si="110"/>
        <v>32.733392853287988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8.0524292827788349E-2</v>
      </c>
      <c r="AD307" s="231">
        <f>(INDEX(Models!$BJ307:$BT307,,AH307)*(1-AF307)+INDEX(Models!$BJ307:$BT307,,AH307+1)*AF307-ERP_i)*AE307*Ramure*Pc/MaxiM</f>
        <v>8.6065277986744097E-4</v>
      </c>
      <c r="AE307" s="305">
        <f t="shared" si="112"/>
        <v>0.7</v>
      </c>
      <c r="AF307" s="177">
        <f t="shared" si="113"/>
        <v>0.49800590093839103</v>
      </c>
      <c r="AG307" s="919">
        <f t="shared" si="119"/>
        <v>-1</v>
      </c>
      <c r="AH307" s="176">
        <f t="shared" si="114"/>
        <v>5</v>
      </c>
      <c r="AI307" s="225">
        <f t="shared" si="115"/>
        <v>-0.50199409906160897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8">
        <v>5.8380000000000001</v>
      </c>
      <c r="C308" s="390"/>
      <c r="D308" s="393">
        <f t="shared" si="98"/>
        <v>5.951746136239124</v>
      </c>
      <c r="E308" s="385">
        <f t="shared" si="120"/>
        <v>6.472895625567765</v>
      </c>
      <c r="F308" s="385">
        <f t="shared" si="99"/>
        <v>6.472895625567765</v>
      </c>
      <c r="G308" s="110">
        <f t="shared" si="121"/>
        <v>0.15946553192224341</v>
      </c>
      <c r="H308" s="412" t="b">
        <f>Wh_hp&gt;='2019'!Maxi_hp</f>
        <v>0</v>
      </c>
      <c r="I308" s="380">
        <f>IF(H308,Wh_hp,'2019'!Maxi_hp)</f>
        <v>25.301063614108177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1.9111389100846199E-2</v>
      </c>
      <c r="M308" s="957"/>
      <c r="N308" s="957"/>
      <c r="O308" s="48">
        <f>IF(t&lt;Tnet,'2019'!Resal+('2019'!Salim-'2019'!Resal)*(1-EXP(('2019'!Tnet-t)/('2019'!Tau_j))),Resal+(Salim-Resal)*(1-EXP((Tnet-t)/(Tau_j))))*Salcycl</f>
        <v>8.0512574197877357E-2</v>
      </c>
      <c r="P308" s="169">
        <f>(INDEX(Models!$BJ308:$BT308,,T308)*(1-R308)+INDEX(Models!$BJ308:$BT308,,T308+1)*R308-ERP_i)*Q308*Ramure*Pc/MaxiM</f>
        <v>8.559103360238358E-4</v>
      </c>
      <c r="Q308" s="305">
        <f t="shared" si="101"/>
        <v>0.7</v>
      </c>
      <c r="R308" s="177">
        <f t="shared" si="102"/>
        <v>0.49809400213367638</v>
      </c>
      <c r="S308" s="919">
        <f t="shared" si="103"/>
        <v>-1</v>
      </c>
      <c r="T308" s="176">
        <f t="shared" si="104"/>
        <v>5</v>
      </c>
      <c r="U308" s="251">
        <f t="shared" si="105"/>
        <v>-0.50190599786632362</v>
      </c>
      <c r="V308" s="383">
        <f t="shared" si="106"/>
        <v>36.578457583564266</v>
      </c>
      <c r="W308" s="402"/>
      <c r="X308" s="157">
        <f t="shared" si="107"/>
        <v>44124</v>
      </c>
      <c r="Y308" s="385">
        <f t="shared" si="108"/>
        <v>5.8380000000000001</v>
      </c>
      <c r="Z308" s="385">
        <f t="shared" si="109"/>
        <v>5.951746136239124</v>
      </c>
      <c r="AA308" s="386">
        <f t="shared" si="110"/>
        <v>6.472895625567765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8.0512574197877357E-2</v>
      </c>
      <c r="AD308" s="231">
        <f>(INDEX(Models!$BJ308:$BT308,,AH308)*(1-AF308)+INDEX(Models!$BJ308:$BT308,,AH308+1)*AF308-ERP_i)*AE308*Ramure*Pc/MaxiM</f>
        <v>8.559103360238358E-4</v>
      </c>
      <c r="AE308" s="305">
        <f t="shared" si="112"/>
        <v>0.7</v>
      </c>
      <c r="AF308" s="177">
        <f t="shared" si="113"/>
        <v>0.49809400213367638</v>
      </c>
      <c r="AG308" s="919">
        <f t="shared" si="119"/>
        <v>-1</v>
      </c>
      <c r="AH308" s="176">
        <f t="shared" si="114"/>
        <v>5</v>
      </c>
      <c r="AI308" s="225">
        <f t="shared" si="115"/>
        <v>-0.50190599786632362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8">
        <v>25.201000000000001</v>
      </c>
      <c r="C309" s="390"/>
      <c r="D309" s="393">
        <f t="shared" si="98"/>
        <v>25.692572733171851</v>
      </c>
      <c r="E309" s="385">
        <f t="shared" si="120"/>
        <v>27.941894275544055</v>
      </c>
      <c r="F309" s="385">
        <f t="shared" si="99"/>
        <v>27.955272529178899</v>
      </c>
      <c r="G309" s="110">
        <f t="shared" si="121"/>
        <v>0.69359370312434054</v>
      </c>
      <c r="H309" s="412" t="b">
        <f>Wh_hp&gt;='2019'!Maxi_hp</f>
        <v>1</v>
      </c>
      <c r="I309" s="380">
        <f>IF(H309,Wh_hp,'2019'!Maxi_hp)</f>
        <v>27.955272529178899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1.9132873078809176E-2</v>
      </c>
      <c r="M309" s="957"/>
      <c r="N309" s="957"/>
      <c r="O309" s="48">
        <f>IF(t&lt;Tnet,'2019'!Resal+('2019'!Salim-'2019'!Resal)*(1-EXP(('2019'!Tnet-t)/('2019'!Tau_j))),Resal+(Salim-Resal)*(1-EXP((Tnet-t)/(Tau_j))))*Salcycl</f>
        <v>8.0499966115071389E-2</v>
      </c>
      <c r="P309" s="169">
        <f>(INDEX(Models!$BJ309:$BT309,,T309)*(1-R309)+INDEX(Models!$BJ309:$BT309,,T309+1)*R309-ERP_i)*Q309*Ramure*Pc/MaxiM</f>
        <v>8.5055176874665646E-4</v>
      </c>
      <c r="Q309" s="305">
        <f t="shared" si="101"/>
        <v>0.7</v>
      </c>
      <c r="R309" s="177">
        <f t="shared" si="102"/>
        <v>0.4981785853995222</v>
      </c>
      <c r="S309" s="919">
        <f t="shared" si="103"/>
        <v>-1</v>
      </c>
      <c r="T309" s="176">
        <f t="shared" si="104"/>
        <v>5</v>
      </c>
      <c r="U309" s="251">
        <f t="shared" si="105"/>
        <v>-0.5018214146004778</v>
      </c>
      <c r="V309" s="383">
        <f t="shared" si="106"/>
        <v>36.320429112976157</v>
      </c>
      <c r="W309" s="402"/>
      <c r="X309" s="157">
        <f t="shared" si="107"/>
        <v>44125</v>
      </c>
      <c r="Y309" s="385">
        <f t="shared" si="108"/>
        <v>25.201000000000001</v>
      </c>
      <c r="Z309" s="385">
        <f t="shared" si="109"/>
        <v>25.692572733171851</v>
      </c>
      <c r="AA309" s="386">
        <f t="shared" si="110"/>
        <v>27.941894275544055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8.0499966115071389E-2</v>
      </c>
      <c r="AD309" s="231">
        <f>(INDEX(Models!$BJ309:$BT309,,AH309)*(1-AF309)+INDEX(Models!$BJ309:$BT309,,AH309+1)*AF309-ERP_i)*AE309*Ramure*Pc/MaxiM</f>
        <v>8.5055176874665646E-4</v>
      </c>
      <c r="AE309" s="305">
        <f t="shared" si="112"/>
        <v>0.7</v>
      </c>
      <c r="AF309" s="177">
        <f t="shared" si="113"/>
        <v>0.4981785853995222</v>
      </c>
      <c r="AG309" s="919">
        <f t="shared" si="119"/>
        <v>-1</v>
      </c>
      <c r="AH309" s="176">
        <f t="shared" si="114"/>
        <v>5</v>
      </c>
      <c r="AI309" s="225">
        <f t="shared" si="115"/>
        <v>-0.5018214146004778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8">
        <v>5.2770000000000001</v>
      </c>
      <c r="C310" s="390"/>
      <c r="D310" s="393">
        <f t="shared" si="98"/>
        <v>5.3800514234163055</v>
      </c>
      <c r="E310" s="385">
        <f t="shared" si="120"/>
        <v>5.8509761450127682</v>
      </c>
      <c r="F310" s="385">
        <f t="shared" si="99"/>
        <v>5.8509761450127682</v>
      </c>
      <c r="G310" s="110">
        <f t="shared" si="121"/>
        <v>0.14621597585054216</v>
      </c>
      <c r="H310" s="412" t="b">
        <f>Wh_hp&gt;='2019'!Maxi_hp</f>
        <v>0</v>
      </c>
      <c r="I310" s="380">
        <f>IF(H310,Wh_hp,'2019'!Maxi_hp)</f>
        <v>39.836073518385142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1.9154356586217891E-2</v>
      </c>
      <c r="M310" s="957"/>
      <c r="N310" s="957"/>
      <c r="O310" s="48">
        <f>IF(t&lt;Tnet,'2019'!Resal+('2019'!Salim-'2019'!Resal)*(1-EXP(('2019'!Tnet-t)/('2019'!Tau_j))),Resal+(Salim-Resal)*(1-EXP((Tnet-t)/(Tau_j))))*Salcycl</f>
        <v>8.0486522235758529E-2</v>
      </c>
      <c r="P310" s="169">
        <f>(INDEX(Models!$BJ310:$BT310,,T310)*(1-R310)+INDEX(Models!$BJ310:$BT310,,T310+1)*R310-ERP_i)*Q310*Ramure*Pc/MaxiM</f>
        <v>8.4469041764561204E-4</v>
      </c>
      <c r="Q310" s="305">
        <f t="shared" si="101"/>
        <v>0.7</v>
      </c>
      <c r="R310" s="177">
        <f t="shared" si="102"/>
        <v>0.49825979008134402</v>
      </c>
      <c r="S310" s="919">
        <f t="shared" si="103"/>
        <v>-1</v>
      </c>
      <c r="T310" s="176">
        <f t="shared" si="104"/>
        <v>5</v>
      </c>
      <c r="U310" s="251">
        <f t="shared" si="105"/>
        <v>-0.50174020991865598</v>
      </c>
      <c r="V310" s="383">
        <f t="shared" si="106"/>
        <v>36.059962244177271</v>
      </c>
      <c r="W310" s="402"/>
      <c r="X310" s="157">
        <f t="shared" si="107"/>
        <v>44126</v>
      </c>
      <c r="Y310" s="385">
        <f t="shared" si="108"/>
        <v>5.2770000000000001</v>
      </c>
      <c r="Z310" s="385">
        <f t="shared" si="109"/>
        <v>5.3800514234163055</v>
      </c>
      <c r="AA310" s="386">
        <f t="shared" si="110"/>
        <v>5.8509761450127682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8.0486522235758529E-2</v>
      </c>
      <c r="AD310" s="231">
        <f>(INDEX(Models!$BJ310:$BT310,,AH310)*(1-AF310)+INDEX(Models!$BJ310:$BT310,,AH310+1)*AF310-ERP_i)*AE310*Ramure*Pc/MaxiM</f>
        <v>8.4469041764561204E-4</v>
      </c>
      <c r="AE310" s="305">
        <f t="shared" si="112"/>
        <v>0.7</v>
      </c>
      <c r="AF310" s="177">
        <f t="shared" si="113"/>
        <v>0.49825979008134402</v>
      </c>
      <c r="AG310" s="919">
        <f t="shared" si="119"/>
        <v>-1</v>
      </c>
      <c r="AH310" s="176">
        <f t="shared" si="114"/>
        <v>5</v>
      </c>
      <c r="AI310" s="225">
        <f t="shared" si="115"/>
        <v>-0.50174020991865598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8">
        <v>9.8379999999999992</v>
      </c>
      <c r="C311" s="390"/>
      <c r="D311" s="393">
        <f t="shared" si="98"/>
        <v>10.030340194943189</v>
      </c>
      <c r="E311" s="385">
        <f t="shared" si="120"/>
        <v>10.908143599475936</v>
      </c>
      <c r="F311" s="385">
        <f t="shared" si="99"/>
        <v>10.908143599475936</v>
      </c>
      <c r="G311" s="110">
        <f t="shared" si="121"/>
        <v>0.2745974373053825</v>
      </c>
      <c r="H311" s="412" t="b">
        <f>Wh_hp&gt;='2019'!Maxi_hp</f>
        <v>0</v>
      </c>
      <c r="I311" s="380">
        <f>IF(H311,Wh_hp,'2019'!Maxi_hp)</f>
        <v>36.762198666415699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1.9175839623082669E-2</v>
      </c>
      <c r="M311" s="957"/>
      <c r="N311" s="957"/>
      <c r="O311" s="48">
        <f>IF(t&lt;Tnet,'2019'!Resal+('2019'!Salim-'2019'!Resal)*(1-EXP(('2019'!Tnet-t)/('2019'!Tau_j))),Resal+(Salim-Resal)*(1-EXP((Tnet-t)/(Tau_j))))*Salcycl</f>
        <v>8.0472300032328095E-2</v>
      </c>
      <c r="P311" s="169">
        <f>(INDEX(Models!$BJ311:$BT311,,T311)*(1-R311)+INDEX(Models!$BJ311:$BT311,,T311+1)*R311-ERP_i)*Q311*Ramure*Pc/MaxiM</f>
        <v>8.3893468372012853E-4</v>
      </c>
      <c r="Q311" s="305">
        <f t="shared" si="101"/>
        <v>0.7</v>
      </c>
      <c r="R311" s="177">
        <f t="shared" si="102"/>
        <v>0.49833775009373671</v>
      </c>
      <c r="S311" s="919">
        <f t="shared" si="103"/>
        <v>-1</v>
      </c>
      <c r="T311" s="176">
        <f t="shared" si="104"/>
        <v>5</v>
      </c>
      <c r="U311" s="251">
        <f t="shared" si="105"/>
        <v>-0.50166224990626329</v>
      </c>
      <c r="V311" s="383">
        <f t="shared" si="106"/>
        <v>35.796934804055745</v>
      </c>
      <c r="W311" s="402"/>
      <c r="X311" s="157">
        <f t="shared" si="107"/>
        <v>44127</v>
      </c>
      <c r="Y311" s="385">
        <f t="shared" si="108"/>
        <v>9.8379999999999992</v>
      </c>
      <c r="Z311" s="385">
        <f t="shared" si="109"/>
        <v>10.030340194943189</v>
      </c>
      <c r="AA311" s="386">
        <f t="shared" si="110"/>
        <v>10.908143599475936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8.0472300032328095E-2</v>
      </c>
      <c r="AD311" s="231">
        <f>(INDEX(Models!$BJ311:$BT311,,AH311)*(1-AF311)+INDEX(Models!$BJ311:$BT311,,AH311+1)*AF311-ERP_i)*AE311*Ramure*Pc/MaxiM</f>
        <v>8.3893468372012853E-4</v>
      </c>
      <c r="AE311" s="305">
        <f t="shared" si="112"/>
        <v>0.7</v>
      </c>
      <c r="AF311" s="177">
        <f t="shared" si="113"/>
        <v>0.49833775009373671</v>
      </c>
      <c r="AG311" s="919">
        <f t="shared" si="119"/>
        <v>-1</v>
      </c>
      <c r="AH311" s="176">
        <f t="shared" si="114"/>
        <v>5</v>
      </c>
      <c r="AI311" s="225">
        <f t="shared" si="115"/>
        <v>-0.50166224990626329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8">
        <v>30.231000000000002</v>
      </c>
      <c r="C312" s="390"/>
      <c r="D312" s="393">
        <f t="shared" si="98"/>
        <v>30.822713563021335</v>
      </c>
      <c r="E312" s="385">
        <f t="shared" si="120"/>
        <v>33.519613167847204</v>
      </c>
      <c r="F312" s="385">
        <f t="shared" si="99"/>
        <v>33.541607141532367</v>
      </c>
      <c r="G312" s="110">
        <f t="shared" si="121"/>
        <v>0.85067739812772758</v>
      </c>
      <c r="H312" s="412" t="b">
        <f>Wh_hp&gt;='2019'!Maxi_hp</f>
        <v>0</v>
      </c>
      <c r="I312" s="380">
        <f>IF(H312,Wh_hp,'2019'!Maxi_hp)</f>
        <v>39.380465592356508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1.9197322189413724E-2</v>
      </c>
      <c r="M312" s="957"/>
      <c r="N312" s="957"/>
      <c r="O312" s="48">
        <f>IF(t&lt;Tnet,'2019'!Resal+('2019'!Salim-'2019'!Resal)*(1-EXP(('2019'!Tnet-t)/('2019'!Tau_j))),Resal+(Salim-Resal)*(1-EXP((Tnet-t)/(Tau_j))))*Salcycl</f>
        <v>8.0457360630068295E-2</v>
      </c>
      <c r="P312" s="169">
        <f>(INDEX(Models!$BJ312:$BT312,,T312)*(1-R312)+INDEX(Models!$BJ312:$BT312,,T312+1)*R312-ERP_i)*Q312*Ramure*Pc/MaxiM</f>
        <v>8.3330004063038722E-4</v>
      </c>
      <c r="Q312" s="305">
        <f t="shared" si="101"/>
        <v>0.7</v>
      </c>
      <c r="R312" s="177">
        <f t="shared" si="102"/>
        <v>0.49841259412514494</v>
      </c>
      <c r="S312" s="919">
        <f t="shared" si="103"/>
        <v>-1</v>
      </c>
      <c r="T312" s="176">
        <f t="shared" si="104"/>
        <v>5</v>
      </c>
      <c r="U312" s="251">
        <f t="shared" si="105"/>
        <v>-0.50158740587485506</v>
      </c>
      <c r="V312" s="383">
        <f t="shared" si="106"/>
        <v>35.531246258443538</v>
      </c>
      <c r="W312" s="402"/>
      <c r="X312" s="157">
        <f t="shared" si="107"/>
        <v>44128</v>
      </c>
      <c r="Y312" s="385">
        <f t="shared" si="108"/>
        <v>30.231000000000005</v>
      </c>
      <c r="Z312" s="385">
        <f t="shared" si="109"/>
        <v>30.822713563021338</v>
      </c>
      <c r="AA312" s="386">
        <f t="shared" si="110"/>
        <v>33.519613167847204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8.0457360630068295E-2</v>
      </c>
      <c r="AD312" s="231">
        <f>(INDEX(Models!$BJ312:$BT312,,AH312)*(1-AF312)+INDEX(Models!$BJ312:$BT312,,AH312+1)*AF312-ERP_i)*AE312*Ramure*Pc/MaxiM</f>
        <v>8.3330004063038722E-4</v>
      </c>
      <c r="AE312" s="305">
        <f t="shared" si="112"/>
        <v>0.7</v>
      </c>
      <c r="AF312" s="177">
        <f t="shared" si="113"/>
        <v>0.49841259412514494</v>
      </c>
      <c r="AG312" s="919">
        <f t="shared" si="119"/>
        <v>-1</v>
      </c>
      <c r="AH312" s="176">
        <f t="shared" si="114"/>
        <v>5</v>
      </c>
      <c r="AI312" s="225">
        <f t="shared" si="115"/>
        <v>-0.50158740587485506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8">
        <v>21.856000000000002</v>
      </c>
      <c r="C313" s="390"/>
      <c r="D313" s="393">
        <f t="shared" si="98"/>
        <v>22.284277161402631</v>
      </c>
      <c r="E313" s="385">
        <f t="shared" si="120"/>
        <v>24.233676999343849</v>
      </c>
      <c r="F313" s="385">
        <f t="shared" si="99"/>
        <v>24.242845357027431</v>
      </c>
      <c r="G313" s="110">
        <f t="shared" si="121"/>
        <v>0.61952459796905068</v>
      </c>
      <c r="H313" s="412" t="b">
        <f>Wh_hp&gt;='2019'!Maxi_hp</f>
        <v>0</v>
      </c>
      <c r="I313" s="380">
        <f>IF(H313,Wh_hp,'2019'!Maxi_hp)</f>
        <v>38.95254653773808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1.9218804285221491E-2</v>
      </c>
      <c r="M313" s="957"/>
      <c r="N313" s="957"/>
      <c r="O313" s="48">
        <f>IF(t&lt;Tnet,'2019'!Resal+('2019'!Salim-'2019'!Resal)*(1-EXP(('2019'!Tnet-t)/('2019'!Tau_j))),Resal+(Salim-Resal)*(1-EXP((Tnet-t)/(Tau_j))))*Salcycl</f>
        <v>8.0441768617861772E-2</v>
      </c>
      <c r="P313" s="169">
        <f>(INDEX(Models!$BJ313:$BT313,,T313)*(1-R313)+INDEX(Models!$BJ313:$BT313,,T313+1)*R313-ERP_i)*Q313*Ramure*Pc/MaxiM</f>
        <v>8.2779530528376494E-4</v>
      </c>
      <c r="Q313" s="305">
        <f t="shared" si="101"/>
        <v>0.7</v>
      </c>
      <c r="R313" s="177">
        <f t="shared" si="102"/>
        <v>0.49848444583537443</v>
      </c>
      <c r="S313" s="919">
        <f t="shared" si="103"/>
        <v>-1</v>
      </c>
      <c r="T313" s="176">
        <f t="shared" si="104"/>
        <v>5</v>
      </c>
      <c r="U313" s="251">
        <f t="shared" si="105"/>
        <v>-0.50151555416462557</v>
      </c>
      <c r="V313" s="383">
        <f t="shared" si="106"/>
        <v>35.262796248413565</v>
      </c>
      <c r="W313" s="402"/>
      <c r="X313" s="157">
        <f t="shared" si="107"/>
        <v>44129</v>
      </c>
      <c r="Y313" s="385">
        <f t="shared" si="108"/>
        <v>21.856000000000002</v>
      </c>
      <c r="Z313" s="385">
        <f t="shared" si="109"/>
        <v>22.284277161402631</v>
      </c>
      <c r="AA313" s="386">
        <f t="shared" si="110"/>
        <v>24.233676999343849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8.0441768617861772E-2</v>
      </c>
      <c r="AD313" s="231">
        <f>(INDEX(Models!$BJ313:$BT313,,AH313)*(1-AF313)+INDEX(Models!$BJ313:$BT313,,AH313+1)*AF313-ERP_i)*AE313*Ramure*Pc/MaxiM</f>
        <v>8.2779530528376494E-4</v>
      </c>
      <c r="AE313" s="305">
        <f t="shared" si="112"/>
        <v>0.7</v>
      </c>
      <c r="AF313" s="177">
        <f t="shared" si="113"/>
        <v>0.49848444583537443</v>
      </c>
      <c r="AG313" s="919">
        <f t="shared" si="119"/>
        <v>-1</v>
      </c>
      <c r="AH313" s="176">
        <f t="shared" si="114"/>
        <v>5</v>
      </c>
      <c r="AI313" s="225">
        <f t="shared" si="115"/>
        <v>-0.50151555416462557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8">
        <v>22.600999999999999</v>
      </c>
      <c r="C314" s="390"/>
      <c r="D314" s="393">
        <f t="shared" si="98"/>
        <v>23.044380468851415</v>
      </c>
      <c r="E314" s="385">
        <f t="shared" si="120"/>
        <v>25.059832313949258</v>
      </c>
      <c r="F314" s="385">
        <f t="shared" si="99"/>
        <v>25.070020714140696</v>
      </c>
      <c r="G314" s="110">
        <f t="shared" si="121"/>
        <v>0.64563118300550737</v>
      </c>
      <c r="H314" s="412" t="b">
        <f>Wh_hp&gt;='2019'!Maxi_hp</f>
        <v>0</v>
      </c>
      <c r="I314" s="380">
        <f>IF(H314,Wh_hp,'2019'!Maxi_hp)</f>
        <v>26.35824722290937</v>
      </c>
      <c r="J314" s="85">
        <f>IF(H314,An,'2019'!An_max)</f>
        <v>2019</v>
      </c>
      <c r="K314" s="197">
        <f t="shared" si="100"/>
        <v>44130</v>
      </c>
      <c r="L314" s="147">
        <f>IF(t&lt;Tvie,1-EXP((T0-t)*PertePVj)+'2019'!Pspv,1-EXP((T0-t)*PertePVj)+Pspv)</f>
        <v>1.9240285910516186E-2</v>
      </c>
      <c r="M314" s="957"/>
      <c r="N314" s="957"/>
      <c r="O314" s="48">
        <f>IF(t&lt;Tnet,'2019'!Resal+('2019'!Salim-'2019'!Resal)*(1-EXP(('2019'!Tnet-t)/('2019'!Tau_j))),Resal+(Salim-Resal)*(1-EXP((Tnet-t)/(Tau_j))))*Salcycl</f>
        <v>8.0425591833508309E-2</v>
      </c>
      <c r="P314" s="169">
        <f>(INDEX(Models!$BJ314:$BT314,,T314)*(1-R314)+INDEX(Models!$BJ314:$BT314,,T314+1)*R314-ERP_i)*Q314*Ramure*Pc/MaxiM</f>
        <v>8.2242967350586367E-4</v>
      </c>
      <c r="Q314" s="305">
        <f t="shared" si="101"/>
        <v>0.7</v>
      </c>
      <c r="R314" s="177">
        <f t="shared" si="102"/>
        <v>0.49855342404615177</v>
      </c>
      <c r="S314" s="919">
        <f t="shared" si="103"/>
        <v>-1</v>
      </c>
      <c r="T314" s="176">
        <f t="shared" si="104"/>
        <v>5</v>
      </c>
      <c r="U314" s="251">
        <f t="shared" si="105"/>
        <v>-0.50144657595384823</v>
      </c>
      <c r="V314" s="383">
        <f t="shared" si="106"/>
        <v>34.991484355956423</v>
      </c>
      <c r="W314" s="402"/>
      <c r="X314" s="157">
        <f t="shared" si="107"/>
        <v>44130</v>
      </c>
      <c r="Y314" s="385">
        <f t="shared" si="108"/>
        <v>22.600999999999999</v>
      </c>
      <c r="Z314" s="385">
        <f t="shared" si="109"/>
        <v>23.044380468851415</v>
      </c>
      <c r="AA314" s="386">
        <f t="shared" si="110"/>
        <v>25.059832313949258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8.0425591833508309E-2</v>
      </c>
      <c r="AD314" s="231">
        <f>(INDEX(Models!$BJ314:$BT314,,AH314)*(1-AF314)+INDEX(Models!$BJ314:$BT314,,AH314+1)*AF314-ERP_i)*AE314*Ramure*Pc/MaxiM</f>
        <v>8.2242967350586367E-4</v>
      </c>
      <c r="AE314" s="305">
        <f t="shared" si="112"/>
        <v>0.7</v>
      </c>
      <c r="AF314" s="177">
        <f t="shared" si="113"/>
        <v>0.49855342404615177</v>
      </c>
      <c r="AG314" s="919">
        <f t="shared" si="119"/>
        <v>-1</v>
      </c>
      <c r="AH314" s="176">
        <f t="shared" si="114"/>
        <v>5</v>
      </c>
      <c r="AI314" s="225">
        <f t="shared" si="115"/>
        <v>-0.50144657595384823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8">
        <v>21.984999999999999</v>
      </c>
      <c r="C315" s="390"/>
      <c r="D315" s="393">
        <f t="shared" si="98"/>
        <v>22.416786928162921</v>
      </c>
      <c r="E315" s="385">
        <f t="shared" si="120"/>
        <v>24.376907253213112</v>
      </c>
      <c r="F315" s="385">
        <f t="shared" si="99"/>
        <v>24.386395087776009</v>
      </c>
      <c r="G315" s="110">
        <f t="shared" si="121"/>
        <v>0.6329881745421353</v>
      </c>
      <c r="H315" s="412" t="b">
        <f>Wh_hp&gt;='2019'!Maxi_hp</f>
        <v>1</v>
      </c>
      <c r="I315" s="380">
        <f>IF(H315,Wh_hp,'2019'!Maxi_hp)</f>
        <v>24.386395087776009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1.9261767065308244E-2</v>
      </c>
      <c r="M315" s="957"/>
      <c r="N315" s="957"/>
      <c r="O315" s="48">
        <f>IF(t&lt;Tnet,'2019'!Resal+('2019'!Salim-'2019'!Resal)*(1-EXP(('2019'!Tnet-t)/('2019'!Tau_j))),Resal+(Salim-Resal)*(1-EXP((Tnet-t)/(Tau_j))))*Salcycl</f>
        <v>8.0408901124724402E-2</v>
      </c>
      <c r="P315" s="169">
        <f>(INDEX(Models!$BJ315:$BT315,,T315)*(1-R315)+INDEX(Models!$BJ315:$BT315,,T315+1)*R315-ERP_i)*Q315*Ramure*Pc/MaxiM</f>
        <v>8.1721271746729325E-4</v>
      </c>
      <c r="Q315" s="305">
        <f t="shared" si="101"/>
        <v>0.7</v>
      </c>
      <c r="R315" s="177">
        <f t="shared" si="102"/>
        <v>0.49861964292493388</v>
      </c>
      <c r="S315" s="919">
        <f t="shared" si="103"/>
        <v>-1</v>
      </c>
      <c r="T315" s="176">
        <f t="shared" si="104"/>
        <v>5</v>
      </c>
      <c r="U315" s="251">
        <f t="shared" si="105"/>
        <v>-0.50138035707506612</v>
      </c>
      <c r="V315" s="383">
        <f t="shared" si="106"/>
        <v>34.717210115647887</v>
      </c>
      <c r="W315" s="402"/>
      <c r="X315" s="157">
        <f t="shared" si="107"/>
        <v>44131</v>
      </c>
      <c r="Y315" s="385">
        <f t="shared" si="108"/>
        <v>21.984999999999999</v>
      </c>
      <c r="Z315" s="385">
        <f t="shared" si="109"/>
        <v>22.416786928162921</v>
      </c>
      <c r="AA315" s="386">
        <f t="shared" si="110"/>
        <v>24.376907253213112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8.0408901124724402E-2</v>
      </c>
      <c r="AD315" s="231">
        <f>(INDEX(Models!$BJ315:$BT315,,AH315)*(1-AF315)+INDEX(Models!$BJ315:$BT315,,AH315+1)*AF315-ERP_i)*AE315*Ramure*Pc/MaxiM</f>
        <v>8.1721271746729325E-4</v>
      </c>
      <c r="AE315" s="305">
        <f t="shared" si="112"/>
        <v>0.7</v>
      </c>
      <c r="AF315" s="177">
        <f t="shared" si="113"/>
        <v>0.49861964292493388</v>
      </c>
      <c r="AG315" s="919">
        <f t="shared" si="119"/>
        <v>-1</v>
      </c>
      <c r="AH315" s="176">
        <f t="shared" si="114"/>
        <v>5</v>
      </c>
      <c r="AI315" s="225">
        <f t="shared" si="115"/>
        <v>-0.50138035707506612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8">
        <v>11.914</v>
      </c>
      <c r="C316" s="390"/>
      <c r="D316" s="393">
        <f t="shared" si="98"/>
        <v>12.148257866159272</v>
      </c>
      <c r="E316" s="385">
        <f t="shared" si="120"/>
        <v>13.21025353079939</v>
      </c>
      <c r="F316" s="385">
        <f t="shared" si="99"/>
        <v>13.210957624154963</v>
      </c>
      <c r="G316" s="110">
        <f t="shared" si="121"/>
        <v>0.34567370413291082</v>
      </c>
      <c r="H316" s="412" t="b">
        <f>Wh_hp&gt;='2019'!Maxi_hp</f>
        <v>0</v>
      </c>
      <c r="I316" s="380">
        <f>IF(H316,Wh_hp,'2019'!Maxi_hp)</f>
        <v>30.720187323726929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1.9283247749607879E-2</v>
      </c>
      <c r="M316" s="957"/>
      <c r="N316" s="957"/>
      <c r="O316" s="48">
        <f>IF(t&lt;Tnet,'2019'!Resal+('2019'!Salim-'2019'!Resal)*(1-EXP(('2019'!Tnet-t)/('2019'!Tau_j))),Resal+(Salim-Resal)*(1-EXP((Tnet-t)/(Tau_j))))*Salcycl</f>
        <v>8.0391770087084313E-2</v>
      </c>
      <c r="P316" s="169">
        <f>(INDEX(Models!$BJ316:$BT316,,T316)*(1-R316)+INDEX(Models!$BJ316:$BT316,,T316+1)*R316-ERP_i)*Q316*Ramure*Pc/MaxiM</f>
        <v>8.1215438327145748E-4</v>
      </c>
      <c r="Q316" s="305">
        <f t="shared" si="101"/>
        <v>0.7</v>
      </c>
      <c r="R316" s="177">
        <f t="shared" si="102"/>
        <v>0.49868321216217004</v>
      </c>
      <c r="S316" s="919">
        <f t="shared" si="103"/>
        <v>-1</v>
      </c>
      <c r="T316" s="176">
        <f t="shared" si="104"/>
        <v>5</v>
      </c>
      <c r="U316" s="251">
        <f t="shared" si="105"/>
        <v>-0.50131678783782996</v>
      </c>
      <c r="V316" s="383">
        <f t="shared" si="106"/>
        <v>34.439873033304814</v>
      </c>
      <c r="W316" s="402"/>
      <c r="X316" s="157">
        <f t="shared" si="107"/>
        <v>44132</v>
      </c>
      <c r="Y316" s="385">
        <f t="shared" si="108"/>
        <v>11.914</v>
      </c>
      <c r="Z316" s="385">
        <f t="shared" si="109"/>
        <v>12.148257866159272</v>
      </c>
      <c r="AA316" s="386">
        <f t="shared" si="110"/>
        <v>13.21025353079939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8.0391770087084313E-2</v>
      </c>
      <c r="AD316" s="231">
        <f>(INDEX(Models!$BJ316:$BT316,,AH316)*(1-AF316)+INDEX(Models!$BJ316:$BT316,,AH316+1)*AF316-ERP_i)*AE316*Ramure*Pc/MaxiM</f>
        <v>8.1215438327145748E-4</v>
      </c>
      <c r="AE316" s="305">
        <f t="shared" si="112"/>
        <v>0.7</v>
      </c>
      <c r="AF316" s="177">
        <f t="shared" si="113"/>
        <v>0.49868321216217004</v>
      </c>
      <c r="AG316" s="919">
        <f t="shared" si="119"/>
        <v>-1</v>
      </c>
      <c r="AH316" s="176">
        <f t="shared" si="114"/>
        <v>5</v>
      </c>
      <c r="AI316" s="225">
        <f t="shared" si="115"/>
        <v>-0.50131678783782996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8">
        <v>28.870999999999999</v>
      </c>
      <c r="C317" s="390"/>
      <c r="D317" s="393">
        <f t="shared" si="98"/>
        <v>29.439318025919132</v>
      </c>
      <c r="E317" s="385">
        <f t="shared" si="120"/>
        <v>32.012281973613092</v>
      </c>
      <c r="F317" s="385">
        <f t="shared" si="99"/>
        <v>32.032425693569863</v>
      </c>
      <c r="G317" s="110">
        <f t="shared" si="121"/>
        <v>0.84510125091950028</v>
      </c>
      <c r="H317" s="412" t="b">
        <f>Wh_hp&gt;='2019'!Maxi_hp</f>
        <v>0</v>
      </c>
      <c r="I317" s="380">
        <f>IF(H317,Wh_hp,'2019'!Maxi_hp)</f>
        <v>35.207799824990232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1.9304727963425306E-2</v>
      </c>
      <c r="M317" s="957"/>
      <c r="N317" s="957"/>
      <c r="O317" s="48">
        <f>IF(t&lt;Tnet,'2019'!Resal+('2019'!Salim-'2019'!Resal)*(1-EXP(('2019'!Tnet-t)/('2019'!Tau_j))),Resal+(Salim-Resal)*(1-EXP((Tnet-t)/(Tau_j))))*Salcycl</f>
        <v>8.037427478037304E-2</v>
      </c>
      <c r="P317" s="169">
        <f>(INDEX(Models!$BJ317:$BT317,,T317)*(1-R317)+INDEX(Models!$BJ317:$BT317,,T317+1)*R317-ERP_i)*Q317*Ramure*Pc/MaxiM</f>
        <v>8.0732882627870199E-4</v>
      </c>
      <c r="Q317" s="305">
        <f t="shared" si="101"/>
        <v>0.7</v>
      </c>
      <c r="R317" s="177">
        <f t="shared" si="102"/>
        <v>0.49874423714221261</v>
      </c>
      <c r="S317" s="919">
        <f t="shared" si="103"/>
        <v>-1</v>
      </c>
      <c r="T317" s="176">
        <f t="shared" si="104"/>
        <v>5</v>
      </c>
      <c r="U317" s="251">
        <f t="shared" si="105"/>
        <v>-0.50125576285778739</v>
      </c>
      <c r="V317" s="383">
        <f t="shared" si="106"/>
        <v>34.156669369921502</v>
      </c>
      <c r="W317" s="402"/>
      <c r="X317" s="157">
        <f t="shared" si="107"/>
        <v>44133</v>
      </c>
      <c r="Y317" s="385">
        <f t="shared" si="108"/>
        <v>28.870999999999995</v>
      </c>
      <c r="Z317" s="385">
        <f t="shared" si="109"/>
        <v>29.439318025919128</v>
      </c>
      <c r="AA317" s="386">
        <f t="shared" si="110"/>
        <v>32.012281973613092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8.037427478037304E-2</v>
      </c>
      <c r="AD317" s="231">
        <f>(INDEX(Models!$BJ317:$BT317,,AH317)*(1-AF317)+INDEX(Models!$BJ317:$BT317,,AH317+1)*AF317-ERP_i)*AE317*Ramure*Pc/MaxiM</f>
        <v>8.0732882627870199E-4</v>
      </c>
      <c r="AE317" s="305">
        <f t="shared" si="112"/>
        <v>0.7</v>
      </c>
      <c r="AF317" s="177">
        <f t="shared" si="113"/>
        <v>0.49874423714221261</v>
      </c>
      <c r="AG317" s="919">
        <f t="shared" si="119"/>
        <v>-1</v>
      </c>
      <c r="AH317" s="176">
        <f t="shared" si="114"/>
        <v>5</v>
      </c>
      <c r="AI317" s="225">
        <f t="shared" si="115"/>
        <v>-0.50125576285778739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8">
        <v>32.325000000000003</v>
      </c>
      <c r="C318" s="390"/>
      <c r="D318" s="393">
        <f t="shared" si="98"/>
        <v>32.962031058677027</v>
      </c>
      <c r="E318" s="385">
        <f t="shared" si="120"/>
        <v>35.842183218840034</v>
      </c>
      <c r="F318" s="385">
        <f t="shared" si="99"/>
        <v>35.869115091380415</v>
      </c>
      <c r="G318" s="110">
        <f t="shared" si="121"/>
        <v>0.95445408841561696</v>
      </c>
      <c r="H318" s="412" t="b">
        <f>Wh_hp&gt;='2019'!Maxi_hp</f>
        <v>1</v>
      </c>
      <c r="I318" s="380">
        <f>IF(H318,Wh_hp,'2019'!Maxi_hp)</f>
        <v>35.869115091380415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1.9326207706770959E-2</v>
      </c>
      <c r="M318" s="957"/>
      <c r="N318" s="957"/>
      <c r="O318" s="48">
        <f>IF(t&lt;Tnet,'2019'!Resal+('2019'!Salim-'2019'!Resal)*(1-EXP(('2019'!Tnet-t)/('2019'!Tau_j))),Resal+(Salim-Resal)*(1-EXP((Tnet-t)/(Tau_j))))*Salcycl</f>
        <v>8.0356493425017911E-2</v>
      </c>
      <c r="P318" s="169">
        <f>(INDEX(Models!$BJ318:$BT318,,T318)*(1-R318)+INDEX(Models!$BJ318:$BT318,,T318+1)*R318-ERP_i)*Q318*Ramure*Pc/MaxiM</f>
        <v>8.0302979657367098E-4</v>
      </c>
      <c r="Q318" s="305">
        <f t="shared" si="101"/>
        <v>0.7</v>
      </c>
      <c r="R318" s="177">
        <f t="shared" si="102"/>
        <v>0.49880281910807356</v>
      </c>
      <c r="S318" s="919">
        <f t="shared" si="103"/>
        <v>-1</v>
      </c>
      <c r="T318" s="176">
        <f t="shared" si="104"/>
        <v>5</v>
      </c>
      <c r="U318" s="251">
        <f t="shared" si="105"/>
        <v>-0.50119718089192644</v>
      </c>
      <c r="V318" s="383">
        <f t="shared" si="106"/>
        <v>33.865758452786743</v>
      </c>
      <c r="W318" s="402"/>
      <c r="X318" s="157">
        <f t="shared" si="107"/>
        <v>44134</v>
      </c>
      <c r="Y318" s="385">
        <f t="shared" si="108"/>
        <v>32.325000000000003</v>
      </c>
      <c r="Z318" s="385">
        <f t="shared" si="109"/>
        <v>32.962031058677027</v>
      </c>
      <c r="AA318" s="386">
        <f t="shared" si="110"/>
        <v>35.842183218840034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8.0356493425017911E-2</v>
      </c>
      <c r="AD318" s="231">
        <f>(INDEX(Models!$BJ318:$BT318,,AH318)*(1-AF318)+INDEX(Models!$BJ318:$BT318,,AH318+1)*AF318-ERP_i)*AE318*Ramure*Pc/MaxiM</f>
        <v>8.0302979657367098E-4</v>
      </c>
      <c r="AE318" s="305">
        <f t="shared" si="112"/>
        <v>0.7</v>
      </c>
      <c r="AF318" s="177">
        <f t="shared" si="113"/>
        <v>0.49880281910807356</v>
      </c>
      <c r="AG318" s="919">
        <f t="shared" si="119"/>
        <v>-1</v>
      </c>
      <c r="AH318" s="176">
        <f t="shared" si="114"/>
        <v>5</v>
      </c>
      <c r="AI318" s="225">
        <f t="shared" si="115"/>
        <v>-0.50119718089192644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8">
        <v>28.981999999999999</v>
      </c>
      <c r="C319" s="390"/>
      <c r="D319" s="393">
        <f t="shared" si="98"/>
        <v>29.553797625518609</v>
      </c>
      <c r="E319" s="385">
        <f t="shared" si="120"/>
        <v>32.135517058088155</v>
      </c>
      <c r="F319" s="385">
        <f t="shared" si="99"/>
        <v>32.156200585342432</v>
      </c>
      <c r="G319" s="110">
        <f t="shared" si="121"/>
        <v>0.86323422778634384</v>
      </c>
      <c r="H319" s="412" t="b">
        <f>Wh_hp&gt;='2019'!Maxi_hp</f>
        <v>1</v>
      </c>
      <c r="I319" s="380">
        <f>IF(H319,Wh_hp,'2019'!Maxi_hp)</f>
        <v>32.156200585342432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1.9347686979655165E-2</v>
      </c>
      <c r="M319" s="957"/>
      <c r="N319" s="957"/>
      <c r="O319" s="48">
        <f>IF(t&lt;Tnet,'2019'!Resal+('2019'!Salim-'2019'!Resal)*(1-EXP(('2019'!Tnet-t)/('2019'!Tau_j))),Resal+(Salim-Resal)*(1-EXP((Tnet-t)/(Tau_j))))*Salcycl</f>
        <v>8.0338506080447805E-2</v>
      </c>
      <c r="P319" s="169">
        <f>(INDEX(Models!$BJ319:$BT319,,T319)*(1-R319)+INDEX(Models!$BJ319:$BT319,,T319+1)*R319-ERP_i)*Q319*Ramure*Pc/MaxiM</f>
        <v>7.9921747287991542E-4</v>
      </c>
      <c r="Q319" s="305">
        <f t="shared" si="101"/>
        <v>0.7</v>
      </c>
      <c r="R319" s="177">
        <f t="shared" si="102"/>
        <v>0.49885905532021524</v>
      </c>
      <c r="S319" s="919">
        <f t="shared" si="103"/>
        <v>-1</v>
      </c>
      <c r="T319" s="176">
        <f t="shared" si="104"/>
        <v>5</v>
      </c>
      <c r="U319" s="251">
        <f t="shared" si="105"/>
        <v>-0.50114094467978476</v>
      </c>
      <c r="V319" s="383">
        <f t="shared" si="106"/>
        <v>33.568497463260051</v>
      </c>
      <c r="W319" s="402"/>
      <c r="X319" s="157">
        <f t="shared" si="107"/>
        <v>44135</v>
      </c>
      <c r="Y319" s="385">
        <f t="shared" si="108"/>
        <v>28.981999999999996</v>
      </c>
      <c r="Z319" s="385">
        <f t="shared" si="109"/>
        <v>29.553797625518605</v>
      </c>
      <c r="AA319" s="386">
        <f t="shared" si="110"/>
        <v>32.135517058088155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8.0338506080447805E-2</v>
      </c>
      <c r="AD319" s="231">
        <f>(INDEX(Models!$BJ319:$BT319,,AH319)*(1-AF319)+INDEX(Models!$BJ319:$BT319,,AH319+1)*AF319-ERP_i)*AE319*Ramure*Pc/MaxiM</f>
        <v>7.9921747287991542E-4</v>
      </c>
      <c r="AE319" s="305">
        <f t="shared" si="112"/>
        <v>0.7</v>
      </c>
      <c r="AF319" s="177">
        <f t="shared" si="113"/>
        <v>0.49885905532021524</v>
      </c>
      <c r="AG319" s="919">
        <f t="shared" si="119"/>
        <v>-1</v>
      </c>
      <c r="AH319" s="176">
        <f t="shared" si="114"/>
        <v>5</v>
      </c>
      <c r="AI319" s="225">
        <f t="shared" si="115"/>
        <v>-0.50114094467978476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8">
        <v>28.224</v>
      </c>
      <c r="C320" s="390"/>
      <c r="D320" s="393">
        <f t="shared" si="98"/>
        <v>28.781473124399202</v>
      </c>
      <c r="E320" s="385">
        <f t="shared" si="120"/>
        <v>31.295108585912573</v>
      </c>
      <c r="F320" s="385">
        <f t="shared" si="99"/>
        <v>31.314634502139715</v>
      </c>
      <c r="G320" s="110">
        <f t="shared" si="121"/>
        <v>0.84828133759356306</v>
      </c>
      <c r="H320" s="412" t="b">
        <f>Wh_hp&gt;='2019'!Maxi_hp</f>
        <v>1</v>
      </c>
      <c r="I320" s="380">
        <f>IF(H320,Wh_hp,'2019'!Maxi_hp)</f>
        <v>31.314634502139715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1.9369165782088138E-2</v>
      </c>
      <c r="M320" s="957"/>
      <c r="N320" s="957"/>
      <c r="O320" s="48">
        <f>IF(t&lt;Tnet,'2019'!Resal+('2019'!Salim-'2019'!Resal)*(1-EXP(('2019'!Tnet-t)/('2019'!Tau_j))),Resal+(Salim-Resal)*(1-EXP((Tnet-t)/(Tau_j))))*Salcycl</f>
        <v>8.0320394307399082E-2</v>
      </c>
      <c r="P320" s="169">
        <f>(INDEX(Models!$BJ320:$BT320,,T320)*(1-R320)+INDEX(Models!$BJ320:$BT320,,T320+1)*R320-ERP_i)*Q320*Ramure*Pc/MaxiM</f>
        <v>7.9587118374682762E-4</v>
      </c>
      <c r="Q320" s="305">
        <f t="shared" si="101"/>
        <v>0.7</v>
      </c>
      <c r="R320" s="177">
        <f t="shared" si="102"/>
        <v>0.49891303920956931</v>
      </c>
      <c r="S320" s="919">
        <f t="shared" si="103"/>
        <v>-1</v>
      </c>
      <c r="T320" s="176">
        <f t="shared" si="104"/>
        <v>5</v>
      </c>
      <c r="U320" s="251">
        <f t="shared" si="105"/>
        <v>-0.50108696079043069</v>
      </c>
      <c r="V320" s="383">
        <f t="shared" si="106"/>
        <v>33.266242966181366</v>
      </c>
      <c r="W320" s="402"/>
      <c r="X320" s="157">
        <f t="shared" si="107"/>
        <v>44136</v>
      </c>
      <c r="Y320" s="385">
        <f t="shared" si="108"/>
        <v>28.224</v>
      </c>
      <c r="Z320" s="385">
        <f t="shared" si="109"/>
        <v>28.781473124399202</v>
      </c>
      <c r="AA320" s="386">
        <f t="shared" si="110"/>
        <v>31.295108585912573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8.0320394307399082E-2</v>
      </c>
      <c r="AD320" s="231">
        <f>(INDEX(Models!$BJ320:$BT320,,AH320)*(1-AF320)+INDEX(Models!$BJ320:$BT320,,AH320+1)*AF320-ERP_i)*AE320*Ramure*Pc/MaxiM</f>
        <v>7.9587118374682762E-4</v>
      </c>
      <c r="AE320" s="305">
        <f t="shared" si="112"/>
        <v>0.7</v>
      </c>
      <c r="AF320" s="177">
        <f t="shared" si="113"/>
        <v>0.49891303920956931</v>
      </c>
      <c r="AG320" s="919">
        <f t="shared" si="119"/>
        <v>-1</v>
      </c>
      <c r="AH320" s="176">
        <f t="shared" si="114"/>
        <v>5</v>
      </c>
      <c r="AI320" s="225">
        <f t="shared" si="115"/>
        <v>-0.50108696079043069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8">
        <v>27.805</v>
      </c>
      <c r="C321" s="390"/>
      <c r="D321" s="393">
        <f t="shared" si="98"/>
        <v>28.354818188410924</v>
      </c>
      <c r="E321" s="385">
        <f t="shared" si="120"/>
        <v>30.830583096754701</v>
      </c>
      <c r="F321" s="385">
        <f t="shared" si="99"/>
        <v>30.849579837745754</v>
      </c>
      <c r="G321" s="110">
        <f t="shared" si="121"/>
        <v>0.84343973966313868</v>
      </c>
      <c r="H321" s="412" t="b">
        <f>Wh_hp&gt;='2019'!Maxi_hp</f>
        <v>0</v>
      </c>
      <c r="I321" s="380">
        <f>IF(H321,Wh_hp,'2019'!Maxi_hp)</f>
        <v>31.18806335046073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1.9390644114080202E-2</v>
      </c>
      <c r="M321" s="957"/>
      <c r="N321" s="957"/>
      <c r="O321" s="48">
        <f>IF(t&lt;Tnet,'2019'!Resal+('2019'!Salim-'2019'!Resal)*(1-EXP(('2019'!Tnet-t)/('2019'!Tau_j))),Resal+(Salim-Resal)*(1-EXP((Tnet-t)/(Tau_j))))*Salcycl</f>
        <v>8.0302240816339993E-2</v>
      </c>
      <c r="P321" s="169">
        <f>(INDEX(Models!$BJ321:$BT321,,T321)*(1-R321)+INDEX(Models!$BJ321:$BT321,,T321+1)*R321-ERP_i)*Q321*Ramure*Pc/MaxiM</f>
        <v>7.9297041851962102E-4</v>
      </c>
      <c r="Q321" s="305">
        <f t="shared" si="101"/>
        <v>0.7</v>
      </c>
      <c r="R321" s="177">
        <f t="shared" si="102"/>
        <v>0.49896486052496258</v>
      </c>
      <c r="S321" s="919">
        <f t="shared" si="103"/>
        <v>-1</v>
      </c>
      <c r="T321" s="176">
        <f t="shared" si="104"/>
        <v>5</v>
      </c>
      <c r="U321" s="251">
        <f t="shared" si="105"/>
        <v>-0.50103513947503742</v>
      </c>
      <c r="V321" s="383">
        <f t="shared" si="106"/>
        <v>32.96035157674622</v>
      </c>
      <c r="W321" s="402"/>
      <c r="X321" s="157">
        <f t="shared" si="107"/>
        <v>44137</v>
      </c>
      <c r="Y321" s="385">
        <f t="shared" si="108"/>
        <v>27.805</v>
      </c>
      <c r="Z321" s="385">
        <f t="shared" si="109"/>
        <v>28.354818188410924</v>
      </c>
      <c r="AA321" s="386">
        <f t="shared" si="110"/>
        <v>30.830583096754701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8.0302240816339993E-2</v>
      </c>
      <c r="AD321" s="231">
        <f>(INDEX(Models!$BJ321:$BT321,,AH321)*(1-AF321)+INDEX(Models!$BJ321:$BT321,,AH321+1)*AF321-ERP_i)*AE321*Ramure*Pc/MaxiM</f>
        <v>7.9297041851962102E-4</v>
      </c>
      <c r="AE321" s="305">
        <f t="shared" si="112"/>
        <v>0.7</v>
      </c>
      <c r="AF321" s="177">
        <f t="shared" si="113"/>
        <v>0.49896486052496258</v>
      </c>
      <c r="AG321" s="919">
        <f t="shared" si="119"/>
        <v>-1</v>
      </c>
      <c r="AH321" s="176">
        <f t="shared" si="114"/>
        <v>5</v>
      </c>
      <c r="AI321" s="225">
        <f t="shared" si="115"/>
        <v>-0.50103513947503742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8">
        <v>4.8410000000000002</v>
      </c>
      <c r="C322" s="390"/>
      <c r="D322" s="393">
        <f t="shared" si="98"/>
        <v>4.9368344321708486</v>
      </c>
      <c r="E322" s="385">
        <f t="shared" si="120"/>
        <v>5.3677821470700993</v>
      </c>
      <c r="F322" s="385">
        <f t="shared" si="99"/>
        <v>5.3677821470700993</v>
      </c>
      <c r="G322" s="110">
        <f t="shared" si="121"/>
        <v>0.14814242779530706</v>
      </c>
      <c r="H322" s="412" t="b">
        <f>Wh_hp&gt;='2019'!Maxi_hp</f>
        <v>0</v>
      </c>
      <c r="I322" s="380">
        <f>IF(H322,Wh_hp,'2019'!Maxi_hp)</f>
        <v>29.822160701304174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1.9412121975641683E-2</v>
      </c>
      <c r="M322" s="957"/>
      <c r="N322" s="957"/>
      <c r="O322" s="48">
        <f>IF(t&lt;Tnet,'2019'!Resal+('2019'!Salim-'2019'!Resal)*(1-EXP(('2019'!Tnet-t)/('2019'!Tau_j))),Resal+(Salim-Resal)*(1-EXP((Tnet-t)/(Tau_j))))*Salcycl</f>
        <v>8.0284129104322019E-2</v>
      </c>
      <c r="P322" s="169">
        <f>(INDEX(Models!$BJ322:$BT322,,T322)*(1-R322)+INDEX(Models!$BJ322:$BT322,,T322+1)*R322-ERP_i)*Q322*Ramure*Pc/MaxiM</f>
        <v>7.9049461136251572E-4</v>
      </c>
      <c r="Q322" s="305">
        <f t="shared" si="101"/>
        <v>0.7</v>
      </c>
      <c r="R322" s="177">
        <f t="shared" si="102"/>
        <v>0.49901460547513499</v>
      </c>
      <c r="S322" s="919">
        <f t="shared" si="103"/>
        <v>-1</v>
      </c>
      <c r="T322" s="176">
        <f t="shared" si="104"/>
        <v>5</v>
      </c>
      <c r="U322" s="251">
        <f t="shared" si="105"/>
        <v>-0.50098539452486501</v>
      </c>
      <c r="V322" s="383">
        <f t="shared" si="106"/>
        <v>32.652179983644288</v>
      </c>
      <c r="W322" s="402"/>
      <c r="X322" s="157">
        <f t="shared" si="107"/>
        <v>44138</v>
      </c>
      <c r="Y322" s="385">
        <f t="shared" si="108"/>
        <v>4.8410000000000002</v>
      </c>
      <c r="Z322" s="385">
        <f t="shared" si="109"/>
        <v>4.9368344321708486</v>
      </c>
      <c r="AA322" s="386">
        <f t="shared" si="110"/>
        <v>5.3677821470700993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8.0284129104322019E-2</v>
      </c>
      <c r="AD322" s="231">
        <f>(INDEX(Models!$BJ322:$BT322,,AH322)*(1-AF322)+INDEX(Models!$BJ322:$BT322,,AH322+1)*AF322-ERP_i)*AE322*Ramure*Pc/MaxiM</f>
        <v>7.9049461136251572E-4</v>
      </c>
      <c r="AE322" s="305">
        <f t="shared" si="112"/>
        <v>0.7</v>
      </c>
      <c r="AF322" s="177">
        <f t="shared" si="113"/>
        <v>0.49901460547513499</v>
      </c>
      <c r="AG322" s="919">
        <f t="shared" si="119"/>
        <v>-1</v>
      </c>
      <c r="AH322" s="176">
        <f t="shared" si="114"/>
        <v>5</v>
      </c>
      <c r="AI322" s="225">
        <f t="shared" si="115"/>
        <v>-0.50098539452486501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8">
        <v>13.96</v>
      </c>
      <c r="C323" s="390"/>
      <c r="D323" s="393">
        <f t="shared" si="98"/>
        <v>14.236669735965965</v>
      </c>
      <c r="E323" s="385">
        <f t="shared" si="120"/>
        <v>15.47911890911918</v>
      </c>
      <c r="F323" s="385">
        <f t="shared" si="99"/>
        <v>15.481414009273431</v>
      </c>
      <c r="G323" s="110">
        <f t="shared" si="121"/>
        <v>0.43134604688335798</v>
      </c>
      <c r="H323" s="412" t="b">
        <f>Wh_hp&gt;='2019'!Maxi_hp</f>
        <v>1</v>
      </c>
      <c r="I323" s="380">
        <f>IF(H323,Wh_hp,'2019'!Maxi_hp)</f>
        <v>15.481414009273431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1.9433599366782794E-2</v>
      </c>
      <c r="M323" s="957"/>
      <c r="N323" s="957"/>
      <c r="O323" s="48">
        <f>IF(t&lt;Tnet,'2019'!Resal+('2019'!Salim-'2019'!Resal)*(1-EXP(('2019'!Tnet-t)/('2019'!Tau_j))),Resal+(Salim-Resal)*(1-EXP((Tnet-t)/(Tau_j))))*Salcycl</f>
        <v>8.0266143082682456E-2</v>
      </c>
      <c r="P323" s="169">
        <f>(INDEX(Models!$BJ323:$BT323,,T323)*(1-R323)+INDEX(Models!$BJ323:$BT323,,T323+1)*R323-ERP_i)*Q323*Ramure*Pc/MaxiM</f>
        <v>7.8842293145065564E-4</v>
      </c>
      <c r="Q323" s="305">
        <f t="shared" si="101"/>
        <v>0.7</v>
      </c>
      <c r="R323" s="177">
        <f t="shared" si="102"/>
        <v>0.49906235686552436</v>
      </c>
      <c r="S323" s="919">
        <f t="shared" si="103"/>
        <v>-1</v>
      </c>
      <c r="T323" s="176">
        <f t="shared" si="104"/>
        <v>5</v>
      </c>
      <c r="U323" s="251">
        <f t="shared" si="105"/>
        <v>-0.50093764313447564</v>
      </c>
      <c r="V323" s="383">
        <f t="shared" si="106"/>
        <v>32.343084964031299</v>
      </c>
      <c r="W323" s="402"/>
      <c r="X323" s="157">
        <f t="shared" si="107"/>
        <v>44139</v>
      </c>
      <c r="Y323" s="385">
        <f t="shared" si="108"/>
        <v>13.96</v>
      </c>
      <c r="Z323" s="385">
        <f t="shared" si="109"/>
        <v>14.236669735965965</v>
      </c>
      <c r="AA323" s="386">
        <f t="shared" si="110"/>
        <v>15.47911890911918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8.0266143082682456E-2</v>
      </c>
      <c r="AD323" s="231">
        <f>(INDEX(Models!$BJ323:$BT323,,AH323)*(1-AF323)+INDEX(Models!$BJ323:$BT323,,AH323+1)*AF323-ERP_i)*AE323*Ramure*Pc/MaxiM</f>
        <v>7.8842293145065564E-4</v>
      </c>
      <c r="AE323" s="305">
        <f t="shared" si="112"/>
        <v>0.7</v>
      </c>
      <c r="AF323" s="177">
        <f t="shared" si="113"/>
        <v>0.49906235686552436</v>
      </c>
      <c r="AG323" s="919">
        <f t="shared" si="119"/>
        <v>-1</v>
      </c>
      <c r="AH323" s="176">
        <f t="shared" si="114"/>
        <v>5</v>
      </c>
      <c r="AI323" s="225">
        <f t="shared" si="115"/>
        <v>-0.50093764313447564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8">
        <v>21.617999999999999</v>
      </c>
      <c r="C324" s="390"/>
      <c r="D324" s="393">
        <f t="shared" si="98"/>
        <v>22.046924599998032</v>
      </c>
      <c r="E324" s="385">
        <f t="shared" si="120"/>
        <v>23.970519650886949</v>
      </c>
      <c r="F324" s="385">
        <f t="shared" si="99"/>
        <v>23.980630754996582</v>
      </c>
      <c r="G324" s="110">
        <f t="shared" si="121"/>
        <v>0.67459007196620002</v>
      </c>
      <c r="H324" s="412" t="b">
        <f>Wh_hp&gt;='2019'!Maxi_hp</f>
        <v>1</v>
      </c>
      <c r="I324" s="380">
        <f>IF(H324,Wh_hp,'2019'!Maxi_hp)</f>
        <v>23.980630754996582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1.9455076287514084E-2</v>
      </c>
      <c r="M324" s="957"/>
      <c r="N324" s="957"/>
      <c r="O324" s="48">
        <f>IF(t&lt;Tnet,'2019'!Resal+('2019'!Salim-'2019'!Resal)*(1-EXP(('2019'!Tnet-t)/('2019'!Tau_j))),Resal+(Salim-Resal)*(1-EXP((Tnet-t)/(Tau_j))))*Salcycl</f>
        <v>8.0248366698122089E-2</v>
      </c>
      <c r="P324" s="169">
        <f>(INDEX(Models!$BJ324:$BT324,,T324)*(1-R324)+INDEX(Models!$BJ324:$BT324,,T324+1)*R324-ERP_i)*Q324*Ramure*Pc/MaxiM</f>
        <v>7.8739664744849195E-4</v>
      </c>
      <c r="Q324" s="305">
        <f t="shared" si="101"/>
        <v>0.7</v>
      </c>
      <c r="R324" s="177">
        <f t="shared" si="102"/>
        <v>0.49910819422999353</v>
      </c>
      <c r="S324" s="919">
        <f t="shared" si="103"/>
        <v>-1</v>
      </c>
      <c r="T324" s="176">
        <f t="shared" si="104"/>
        <v>5</v>
      </c>
      <c r="U324" s="251">
        <f t="shared" si="105"/>
        <v>-0.50089180577000647</v>
      </c>
      <c r="V324" s="383">
        <f t="shared" si="106"/>
        <v>32.03440215811743</v>
      </c>
      <c r="W324" s="402"/>
      <c r="X324" s="157">
        <f t="shared" si="107"/>
        <v>44140</v>
      </c>
      <c r="Y324" s="385">
        <f t="shared" si="108"/>
        <v>21.617999999999999</v>
      </c>
      <c r="Z324" s="385">
        <f t="shared" si="109"/>
        <v>22.046924599998032</v>
      </c>
      <c r="AA324" s="386">
        <f t="shared" si="110"/>
        <v>23.970519650886949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8.0248366698122089E-2</v>
      </c>
      <c r="AD324" s="231">
        <f>(INDEX(Models!$BJ324:$BT324,,AH324)*(1-AF324)+INDEX(Models!$BJ324:$BT324,,AH324+1)*AF324-ERP_i)*AE324*Ramure*Pc/MaxiM</f>
        <v>7.8739664744849195E-4</v>
      </c>
      <c r="AE324" s="305">
        <f t="shared" si="112"/>
        <v>0.7</v>
      </c>
      <c r="AF324" s="177">
        <f t="shared" si="113"/>
        <v>0.49910819422999353</v>
      </c>
      <c r="AG324" s="919">
        <f t="shared" si="119"/>
        <v>-1</v>
      </c>
      <c r="AH324" s="176">
        <f t="shared" si="114"/>
        <v>5</v>
      </c>
      <c r="AI324" s="225">
        <f t="shared" si="115"/>
        <v>-0.50089180577000647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8">
        <v>15.45</v>
      </c>
      <c r="C325" s="390"/>
      <c r="D325" s="393">
        <f t="shared" si="98"/>
        <v>15.756889897064603</v>
      </c>
      <c r="E325" s="385">
        <f t="shared" si="120"/>
        <v>17.131353526933719</v>
      </c>
      <c r="F325" s="385">
        <f t="shared" si="99"/>
        <v>17.134956539555297</v>
      </c>
      <c r="G325" s="110">
        <f t="shared" si="121"/>
        <v>0.48667833496012985</v>
      </c>
      <c r="H325" s="412" t="b">
        <f>Wh_hp&gt;='2019'!Maxi_hp</f>
        <v>1</v>
      </c>
      <c r="I325" s="380">
        <f>IF(H325,Wh_hp,'2019'!Maxi_hp)</f>
        <v>17.134956539555297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1.9476552737845543E-2</v>
      </c>
      <c r="M325" s="957"/>
      <c r="N325" s="957"/>
      <c r="O325" s="48">
        <f>IF(t&lt;Tnet,'2019'!Resal+('2019'!Salim-'2019'!Resal)*(1-EXP(('2019'!Tnet-t)/('2019'!Tau_j))),Resal+(Salim-Resal)*(1-EXP((Tnet-t)/(Tau_j))))*Salcycl</f>
        <v>8.023088354975566E-2</v>
      </c>
      <c r="P325" s="169">
        <f>(INDEX(Models!$BJ325:$BT325,,T325)*(1-R325)+INDEX(Models!$BJ325:$BT325,,T325+1)*R325-ERP_i)*Q325*Ramure*Pc/MaxiM</f>
        <v>7.8728787690109906E-4</v>
      </c>
      <c r="Q325" s="305">
        <f t="shared" si="101"/>
        <v>0.7</v>
      </c>
      <c r="R325" s="177">
        <f t="shared" si="102"/>
        <v>0.49915219395766464</v>
      </c>
      <c r="S325" s="919">
        <f t="shared" si="103"/>
        <v>-1</v>
      </c>
      <c r="T325" s="176">
        <f t="shared" si="104"/>
        <v>5</v>
      </c>
      <c r="U325" s="251">
        <f t="shared" si="105"/>
        <v>-0.50084780604233536</v>
      </c>
      <c r="V325" s="383">
        <f t="shared" si="106"/>
        <v>31.727492535640742</v>
      </c>
      <c r="W325" s="402"/>
      <c r="X325" s="157">
        <f t="shared" si="107"/>
        <v>44141</v>
      </c>
      <c r="Y325" s="385">
        <f t="shared" si="108"/>
        <v>15.450000000000001</v>
      </c>
      <c r="Z325" s="385">
        <f t="shared" si="109"/>
        <v>15.756889897064605</v>
      </c>
      <c r="AA325" s="386">
        <f t="shared" si="110"/>
        <v>17.131353526933719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8.023088354975566E-2</v>
      </c>
      <c r="AD325" s="231">
        <f>(INDEX(Models!$BJ325:$BT325,,AH325)*(1-AF325)+INDEX(Models!$BJ325:$BT325,,AH325+1)*AF325-ERP_i)*AE325*Ramure*Pc/MaxiM</f>
        <v>7.8728787690109906E-4</v>
      </c>
      <c r="AE325" s="305">
        <f t="shared" si="112"/>
        <v>0.7</v>
      </c>
      <c r="AF325" s="177">
        <f t="shared" si="113"/>
        <v>0.49915219395766464</v>
      </c>
      <c r="AG325" s="919">
        <f t="shared" si="119"/>
        <v>-1</v>
      </c>
      <c r="AH325" s="176">
        <f t="shared" si="114"/>
        <v>5</v>
      </c>
      <c r="AI325" s="225">
        <f t="shared" si="115"/>
        <v>-0.50084780604233536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8">
        <v>3.9079999999999999</v>
      </c>
      <c r="C326" s="390"/>
      <c r="D326" s="393">
        <f t="shared" si="98"/>
        <v>3.9857135574031219</v>
      </c>
      <c r="E326" s="385">
        <f t="shared" si="120"/>
        <v>4.3333042565666098</v>
      </c>
      <c r="F326" s="385">
        <f t="shared" si="99"/>
        <v>4.3333042565666098</v>
      </c>
      <c r="G326" s="110">
        <f t="shared" si="121"/>
        <v>0.1242666682520802</v>
      </c>
      <c r="H326" s="412" t="b">
        <f>Wh_hp&gt;='2019'!Maxi_hp</f>
        <v>0</v>
      </c>
      <c r="I326" s="380">
        <f>IF(H326,Wh_hp,'2019'!Maxi_hp)</f>
        <v>17.916158880352736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1.9498028717787719E-2</v>
      </c>
      <c r="M326" s="957"/>
      <c r="N326" s="957"/>
      <c r="O326" s="48">
        <f>IF(t&lt;Tnet,'2019'!Resal+('2019'!Salim-'2019'!Resal)*(1-EXP(('2019'!Tnet-t)/('2019'!Tau_j))),Resal+(Salim-Resal)*(1-EXP((Tnet-t)/(Tau_j))))*Salcycl</f>
        <v>8.0213776504789724E-2</v>
      </c>
      <c r="P326" s="169">
        <f>(INDEX(Models!$BJ326:$BT326,,T326)*(1-R326)+INDEX(Models!$BJ326:$BT326,,T326+1)*R326-ERP_i)*Q326*Ramure*Pc/MaxiM</f>
        <v>7.880780668676824E-4</v>
      </c>
      <c r="Q326" s="305">
        <f t="shared" si="101"/>
        <v>0.7</v>
      </c>
      <c r="R326" s="177">
        <f t="shared" si="102"/>
        <v>0.49919442941503067</v>
      </c>
      <c r="S326" s="919">
        <f t="shared" si="103"/>
        <v>-1</v>
      </c>
      <c r="T326" s="176">
        <f t="shared" si="104"/>
        <v>5</v>
      </c>
      <c r="U326" s="251">
        <f t="shared" si="105"/>
        <v>-0.50080557058496933</v>
      </c>
      <c r="V326" s="383">
        <f t="shared" si="106"/>
        <v>31.423713581773878</v>
      </c>
      <c r="W326" s="402"/>
      <c r="X326" s="157">
        <f t="shared" si="107"/>
        <v>44142</v>
      </c>
      <c r="Y326" s="385">
        <f t="shared" si="108"/>
        <v>3.9079999999999999</v>
      </c>
      <c r="Z326" s="385">
        <f t="shared" si="109"/>
        <v>3.9857135574031219</v>
      </c>
      <c r="AA326" s="386">
        <f t="shared" si="110"/>
        <v>4.3333042565666098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8.0213776504789724E-2</v>
      </c>
      <c r="AD326" s="231">
        <f>(INDEX(Models!$BJ326:$BT326,,AH326)*(1-AF326)+INDEX(Models!$BJ326:$BT326,,AH326+1)*AF326-ERP_i)*AE326*Ramure*Pc/MaxiM</f>
        <v>7.880780668676824E-4</v>
      </c>
      <c r="AE326" s="305">
        <f t="shared" si="112"/>
        <v>0.7</v>
      </c>
      <c r="AF326" s="177">
        <f t="shared" si="113"/>
        <v>0.49919442941503067</v>
      </c>
      <c r="AG326" s="919">
        <f t="shared" si="119"/>
        <v>-1</v>
      </c>
      <c r="AH326" s="176">
        <f t="shared" si="114"/>
        <v>5</v>
      </c>
      <c r="AI326" s="225">
        <f t="shared" si="115"/>
        <v>-0.50080557058496933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8">
        <v>23.594000000000001</v>
      </c>
      <c r="C327" s="390"/>
      <c r="D327" s="393">
        <f t="shared" si="98"/>
        <v>24.063711722696933</v>
      </c>
      <c r="E327" s="385">
        <f t="shared" si="120"/>
        <v>26.161814055294141</v>
      </c>
      <c r="F327" s="385">
        <f t="shared" si="99"/>
        <v>26.175340990445164</v>
      </c>
      <c r="G327" s="110">
        <f t="shared" si="121"/>
        <v>0.75784718603951351</v>
      </c>
      <c r="H327" s="412" t="b">
        <f>Wh_hp&gt;='2019'!Maxi_hp</f>
        <v>1</v>
      </c>
      <c r="I327" s="380">
        <f>IF(H327,Wh_hp,'2019'!Maxi_hp)</f>
        <v>26.175340990445164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1.9519504227350715E-2</v>
      </c>
      <c r="M327" s="957"/>
      <c r="N327" s="957"/>
      <c r="O327" s="48">
        <f>IF(t&lt;Tnet,'2019'!Resal+('2019'!Salim-'2019'!Resal)*(1-EXP(('2019'!Tnet-t)/('2019'!Tau_j))),Resal+(Salim-Resal)*(1-EXP((Tnet-t)/(Tau_j))))*Salcycl</f>
        <v>8.0197127315513178E-2</v>
      </c>
      <c r="P327" s="169">
        <f>(INDEX(Models!$BJ327:$BT327,,T327)*(1-R327)+INDEX(Models!$BJ327:$BT327,,T327+1)*R327-ERP_i)*Q327*Ramure*Pc/MaxiM</f>
        <v>7.8974741906385039E-4</v>
      </c>
      <c r="Q327" s="305">
        <f t="shared" si="101"/>
        <v>0.7</v>
      </c>
      <c r="R327" s="177">
        <f t="shared" si="102"/>
        <v>0.49923497106350023</v>
      </c>
      <c r="S327" s="919">
        <f t="shared" si="103"/>
        <v>-1</v>
      </c>
      <c r="T327" s="176">
        <f t="shared" si="104"/>
        <v>5</v>
      </c>
      <c r="U327" s="251">
        <f t="shared" si="105"/>
        <v>-0.50076502893649977</v>
      </c>
      <c r="V327" s="383">
        <f t="shared" si="106"/>
        <v>31.124422904113075</v>
      </c>
      <c r="W327" s="402"/>
      <c r="X327" s="157">
        <f t="shared" si="107"/>
        <v>44143</v>
      </c>
      <c r="Y327" s="385">
        <f t="shared" si="108"/>
        <v>23.594000000000001</v>
      </c>
      <c r="Z327" s="385">
        <f t="shared" si="109"/>
        <v>24.063711722696933</v>
      </c>
      <c r="AA327" s="386">
        <f t="shared" si="110"/>
        <v>26.161814055294141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8.0197127315513178E-2</v>
      </c>
      <c r="AD327" s="231">
        <f>(INDEX(Models!$BJ327:$BT327,,AH327)*(1-AF327)+INDEX(Models!$BJ327:$BT327,,AH327+1)*AF327-ERP_i)*AE327*Ramure*Pc/MaxiM</f>
        <v>7.8974741906385039E-4</v>
      </c>
      <c r="AE327" s="305">
        <f t="shared" si="112"/>
        <v>0.7</v>
      </c>
      <c r="AF327" s="177">
        <f t="shared" si="113"/>
        <v>0.49923497106350023</v>
      </c>
      <c r="AG327" s="919">
        <f t="shared" si="119"/>
        <v>-1</v>
      </c>
      <c r="AH327" s="176">
        <f t="shared" si="114"/>
        <v>5</v>
      </c>
      <c r="AI327" s="225">
        <f t="shared" si="115"/>
        <v>-0.50076502893649977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8">
        <v>19.379000000000001</v>
      </c>
      <c r="C328" s="390"/>
      <c r="D328" s="393">
        <f t="shared" si="98"/>
        <v>19.765231988485446</v>
      </c>
      <c r="E328" s="385">
        <f t="shared" si="120"/>
        <v>21.488175757904305</v>
      </c>
      <c r="F328" s="385">
        <f t="shared" si="99"/>
        <v>21.496169465974287</v>
      </c>
      <c r="G328" s="110">
        <f t="shared" si="121"/>
        <v>0.62829177011599491</v>
      </c>
      <c r="H328" s="412" t="b">
        <f>Wh_hp&gt;='2019'!Maxi_hp</f>
        <v>0</v>
      </c>
      <c r="I328" s="380">
        <f>IF(H328,Wh_hp,'2019'!Maxi_hp)</f>
        <v>21.661173331050904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1.9540979266544967E-2</v>
      </c>
      <c r="M328" s="957"/>
      <c r="N328" s="957"/>
      <c r="O328" s="48">
        <f>IF(t&lt;Tnet,'2019'!Resal+('2019'!Salim-'2019'!Resal)*(1-EXP(('2019'!Tnet-t)/('2019'!Tau_j))),Resal+(Salim-Resal)*(1-EXP((Tnet-t)/(Tau_j))))*Salcycl</f>
        <v>8.018101624029593E-2</v>
      </c>
      <c r="P328" s="169">
        <f>(INDEX(Models!$BJ328:$BT328,,T328)*(1-R328)+INDEX(Models!$BJ328:$BT328,,T328+1)*R328-ERP_i)*Q328*Ramure*Pc/MaxiM</f>
        <v>7.9227451738007957E-4</v>
      </c>
      <c r="Q328" s="305">
        <f t="shared" si="101"/>
        <v>0.7</v>
      </c>
      <c r="R328" s="177">
        <f t="shared" si="102"/>
        <v>0.49927388657253535</v>
      </c>
      <c r="S328" s="919">
        <f t="shared" si="103"/>
        <v>-1</v>
      </c>
      <c r="T328" s="176">
        <f t="shared" si="104"/>
        <v>5</v>
      </c>
      <c r="U328" s="251">
        <f t="shared" si="105"/>
        <v>-0.50072611342746465</v>
      </c>
      <c r="V328" s="383">
        <f t="shared" si="106"/>
        <v>30.8309782271918</v>
      </c>
      <c r="W328" s="402"/>
      <c r="X328" s="157">
        <f t="shared" si="107"/>
        <v>44144</v>
      </c>
      <c r="Y328" s="385">
        <f t="shared" si="108"/>
        <v>19.379000000000001</v>
      </c>
      <c r="Z328" s="385">
        <f t="shared" si="109"/>
        <v>19.765231988485446</v>
      </c>
      <c r="AA328" s="386">
        <f t="shared" si="110"/>
        <v>21.488175757904305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8.018101624029593E-2</v>
      </c>
      <c r="AD328" s="231">
        <f>(INDEX(Models!$BJ328:$BT328,,AH328)*(1-AF328)+INDEX(Models!$BJ328:$BT328,,AH328+1)*AF328-ERP_i)*AE328*Ramure*Pc/MaxiM</f>
        <v>7.9227451738007957E-4</v>
      </c>
      <c r="AE328" s="305">
        <f t="shared" si="112"/>
        <v>0.7</v>
      </c>
      <c r="AF328" s="177">
        <f t="shared" si="113"/>
        <v>0.49927388657253535</v>
      </c>
      <c r="AG328" s="919">
        <f t="shared" si="119"/>
        <v>-1</v>
      </c>
      <c r="AH328" s="176">
        <f t="shared" si="114"/>
        <v>5</v>
      </c>
      <c r="AI328" s="225">
        <f t="shared" si="115"/>
        <v>-0.50072611342746465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8">
        <v>15.119</v>
      </c>
      <c r="C329" s="390"/>
      <c r="D329" s="393">
        <f t="shared" si="98"/>
        <v>15.420666068067391</v>
      </c>
      <c r="E329" s="385">
        <f t="shared" si="120"/>
        <v>16.764609754665543</v>
      </c>
      <c r="F329" s="385">
        <f t="shared" si="99"/>
        <v>16.768325908163341</v>
      </c>
      <c r="G329" s="110">
        <f t="shared" si="121"/>
        <v>0.49469469307056169</v>
      </c>
      <c r="H329" s="412" t="b">
        <f>Wh_hp&gt;='2019'!Maxi_hp</f>
        <v>0</v>
      </c>
      <c r="I329" s="380">
        <f>IF(H329,Wh_hp,'2019'!Maxi_hp)</f>
        <v>29.153917771397072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1.95624538353808E-2</v>
      </c>
      <c r="M329" s="957"/>
      <c r="N329" s="957"/>
      <c r="O329" s="48">
        <f>IF(t&lt;Tnet,'2019'!Resal+('2019'!Salim-'2019'!Resal)*(1-EXP(('2019'!Tnet-t)/('2019'!Tau_j))),Resal+(Salim-Resal)*(1-EXP((Tnet-t)/(Tau_j))))*Salcycl</f>
        <v>8.0165521671277579E-2</v>
      </c>
      <c r="P329" s="169">
        <f>(INDEX(Models!$BJ329:$BT329,,T329)*(1-R329)+INDEX(Models!$BJ329:$BT329,,T329+1)*R329-ERP_i)*Q329*Ramure*Pc/MaxiM</f>
        <v>7.9563595339633968E-4</v>
      </c>
      <c r="Q329" s="305">
        <f t="shared" si="101"/>
        <v>0.7</v>
      </c>
      <c r="R329" s="177">
        <f t="shared" si="102"/>
        <v>0.49931124092853252</v>
      </c>
      <c r="S329" s="919">
        <f t="shared" si="103"/>
        <v>-1</v>
      </c>
      <c r="T329" s="176">
        <f t="shared" si="104"/>
        <v>5</v>
      </c>
      <c r="U329" s="251">
        <f t="shared" si="105"/>
        <v>-0.50068875907146748</v>
      </c>
      <c r="V329" s="383">
        <f t="shared" si="106"/>
        <v>30.544737394669497</v>
      </c>
      <c r="W329" s="402"/>
      <c r="X329" s="157">
        <f t="shared" si="107"/>
        <v>44145</v>
      </c>
      <c r="Y329" s="385">
        <f t="shared" si="108"/>
        <v>15.119</v>
      </c>
      <c r="Z329" s="385">
        <f t="shared" si="109"/>
        <v>15.420666068067391</v>
      </c>
      <c r="AA329" s="386">
        <f t="shared" si="110"/>
        <v>16.764609754665543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8.0165521671277579E-2</v>
      </c>
      <c r="AD329" s="231">
        <f>(INDEX(Models!$BJ329:$BT329,,AH329)*(1-AF329)+INDEX(Models!$BJ329:$BT329,,AH329+1)*AF329-ERP_i)*AE329*Ramure*Pc/MaxiM</f>
        <v>7.9563595339633968E-4</v>
      </c>
      <c r="AE329" s="305">
        <f t="shared" si="112"/>
        <v>0.7</v>
      </c>
      <c r="AF329" s="177">
        <f t="shared" si="113"/>
        <v>0.49931124092853252</v>
      </c>
      <c r="AG329" s="919">
        <f t="shared" si="119"/>
        <v>-1</v>
      </c>
      <c r="AH329" s="176">
        <f t="shared" si="114"/>
        <v>5</v>
      </c>
      <c r="AI329" s="225">
        <f t="shared" si="115"/>
        <v>-0.50068875907146748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8">
        <v>29.594000000000001</v>
      </c>
      <c r="C330" s="390"/>
      <c r="D330" s="393">
        <f t="shared" si="98"/>
        <v>30.185143678472674</v>
      </c>
      <c r="E330" s="385">
        <f t="shared" si="120"/>
        <v>32.815314777406577</v>
      </c>
      <c r="F330" s="385">
        <f t="shared" si="99"/>
        <v>32.840746587016881</v>
      </c>
      <c r="G330" s="110">
        <f t="shared" si="121"/>
        <v>0.97773781466720222</v>
      </c>
      <c r="H330" s="412" t="b">
        <f>Wh_hp&gt;='2019'!Maxi_hp</f>
        <v>1</v>
      </c>
      <c r="I330" s="380">
        <f>IF(H330,Wh_hp,'2019'!Maxi_hp)</f>
        <v>32.840746587016881</v>
      </c>
      <c r="J330" s="85">
        <f>IF(H330,An,'2019'!An_max)</f>
        <v>2020</v>
      </c>
      <c r="K330" s="197">
        <f t="shared" si="100"/>
        <v>44146</v>
      </c>
      <c r="L330" s="147">
        <f>IF(t&lt;Tvie,1-EXP((T0-t)*PertePVj)+'2019'!Pspv,1-EXP((T0-t)*PertePVj)+Pspv)</f>
        <v>1.9583927933868428E-2</v>
      </c>
      <c r="M330" s="957"/>
      <c r="N330" s="957"/>
      <c r="O330" s="48">
        <f>IF(t&lt;Tnet,'2019'!Resal+('2019'!Salim-'2019'!Resal)*(1-EXP(('2019'!Tnet-t)/('2019'!Tau_j))),Resal+(Salim-Resal)*(1-EXP((Tnet-t)/(Tau_j))))*Salcycl</f>
        <v>8.0150719771391099E-2</v>
      </c>
      <c r="P330" s="169">
        <f>(INDEX(Models!$BJ330:$BT330,,T330)*(1-R330)+INDEX(Models!$BJ330:$BT330,,T330+1)*R330-ERP_i)*Q330*Ramure*Pc/MaxiM</f>
        <v>7.998059537881961E-4</v>
      </c>
      <c r="Q330" s="305">
        <f t="shared" si="101"/>
        <v>0.7</v>
      </c>
      <c r="R330" s="177">
        <f t="shared" si="102"/>
        <v>0.49934709653959564</v>
      </c>
      <c r="S330" s="919">
        <f t="shared" si="103"/>
        <v>-1</v>
      </c>
      <c r="T330" s="176">
        <f t="shared" si="104"/>
        <v>5</v>
      </c>
      <c r="U330" s="251">
        <f t="shared" si="105"/>
        <v>-0.50065290346040436</v>
      </c>
      <c r="V330" s="383">
        <f t="shared" si="106"/>
        <v>30.267058357943188</v>
      </c>
      <c r="W330" s="402"/>
      <c r="X330" s="157">
        <f t="shared" si="107"/>
        <v>44146</v>
      </c>
      <c r="Y330" s="385">
        <f t="shared" si="108"/>
        <v>29.594000000000001</v>
      </c>
      <c r="Z330" s="385">
        <f t="shared" si="109"/>
        <v>30.185143678472674</v>
      </c>
      <c r="AA330" s="386">
        <f t="shared" si="110"/>
        <v>32.815314777406577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8.0150719771391099E-2</v>
      </c>
      <c r="AD330" s="231">
        <f>(INDEX(Models!$BJ330:$BT330,,AH330)*(1-AF330)+INDEX(Models!$BJ330:$BT330,,AH330+1)*AF330-ERP_i)*AE330*Ramure*Pc/MaxiM</f>
        <v>7.998059537881961E-4</v>
      </c>
      <c r="AE330" s="305">
        <f t="shared" si="112"/>
        <v>0.7</v>
      </c>
      <c r="AF330" s="177">
        <f t="shared" si="113"/>
        <v>0.49934709653959564</v>
      </c>
      <c r="AG330" s="919">
        <f t="shared" si="119"/>
        <v>-1</v>
      </c>
      <c r="AH330" s="176">
        <f t="shared" si="114"/>
        <v>5</v>
      </c>
      <c r="AI330" s="225">
        <f t="shared" si="115"/>
        <v>-0.50065290346040436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8">
        <v>27.763999999999999</v>
      </c>
      <c r="C331" s="390"/>
      <c r="D331" s="393">
        <f t="shared" si="98"/>
        <v>28.319209473649813</v>
      </c>
      <c r="E331" s="385">
        <f t="shared" si="120"/>
        <v>30.786323342680188</v>
      </c>
      <c r="F331" s="385">
        <f t="shared" si="99"/>
        <v>30.808485289546699</v>
      </c>
      <c r="G331" s="110">
        <f t="shared" si="121"/>
        <v>0.92553991574410055</v>
      </c>
      <c r="H331" s="412" t="b">
        <f>Wh_hp&gt;='2019'!Maxi_hp</f>
        <v>1</v>
      </c>
      <c r="I331" s="380">
        <f>IF(H331,Wh_hp,'2019'!Maxi_hp)</f>
        <v>30.808485289546699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1.9605401562018177E-2</v>
      </c>
      <c r="M331" s="957"/>
      <c r="N331" s="957"/>
      <c r="O331" s="48">
        <f>IF(t&lt;Tnet,'2019'!Resal+('2019'!Salim-'2019'!Resal)*(1-EXP(('2019'!Tnet-t)/('2019'!Tau_j))),Resal+(Salim-Resal)*(1-EXP((Tnet-t)/(Tau_j))))*Salcycl</f>
        <v>8.0136684123307614E-2</v>
      </c>
      <c r="P331" s="169">
        <f>(INDEX(Models!$BJ331:$BT331,,T331)*(1-R331)+INDEX(Models!$BJ331:$BT331,,T331+1)*R331-ERP_i)*Q331*Ramure*Pc/MaxiM</f>
        <v>8.0486970111720839E-4</v>
      </c>
      <c r="Q331" s="305">
        <f t="shared" si="101"/>
        <v>0.7</v>
      </c>
      <c r="R331" s="177">
        <f t="shared" si="102"/>
        <v>0.49938151333634639</v>
      </c>
      <c r="S331" s="919">
        <f t="shared" si="103"/>
        <v>-1</v>
      </c>
      <c r="T331" s="176">
        <f t="shared" si="104"/>
        <v>5</v>
      </c>
      <c r="U331" s="251">
        <f t="shared" si="105"/>
        <v>-0.50061848666365361</v>
      </c>
      <c r="V331" s="383">
        <f t="shared" si="106"/>
        <v>29.995058371851048</v>
      </c>
      <c r="W331" s="402"/>
      <c r="X331" s="157">
        <f t="shared" si="107"/>
        <v>44147</v>
      </c>
      <c r="Y331" s="385">
        <f t="shared" si="108"/>
        <v>27.763999999999999</v>
      </c>
      <c r="Z331" s="385">
        <f t="shared" si="109"/>
        <v>28.319209473649813</v>
      </c>
      <c r="AA331" s="386">
        <f t="shared" si="110"/>
        <v>30.786323342680188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8.0136684123307614E-2</v>
      </c>
      <c r="AD331" s="231">
        <f>(INDEX(Models!$BJ331:$BT331,,AH331)*(1-AF331)+INDEX(Models!$BJ331:$BT331,,AH331+1)*AF331-ERP_i)*AE331*Ramure*Pc/MaxiM</f>
        <v>8.0486970111720839E-4</v>
      </c>
      <c r="AE331" s="305">
        <f t="shared" si="112"/>
        <v>0.7</v>
      </c>
      <c r="AF331" s="177">
        <f t="shared" si="113"/>
        <v>0.49938151333634639</v>
      </c>
      <c r="AG331" s="919">
        <f t="shared" si="119"/>
        <v>-1</v>
      </c>
      <c r="AH331" s="176">
        <f t="shared" si="114"/>
        <v>5</v>
      </c>
      <c r="AI331" s="225">
        <f t="shared" si="115"/>
        <v>-0.50061848666365361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8">
        <v>18.71</v>
      </c>
      <c r="C332" s="390"/>
      <c r="D332" s="393">
        <f t="shared" si="98"/>
        <v>19.084570473770661</v>
      </c>
      <c r="E332" s="385">
        <f t="shared" si="120"/>
        <v>20.7468830551894</v>
      </c>
      <c r="F332" s="385">
        <f t="shared" si="99"/>
        <v>20.754830581758107</v>
      </c>
      <c r="G332" s="110">
        <f t="shared" si="121"/>
        <v>0.62916260177567152</v>
      </c>
      <c r="H332" s="412" t="b">
        <f>Wh_hp&gt;='2019'!Maxi_hp</f>
        <v>1</v>
      </c>
      <c r="I332" s="380">
        <f>IF(H332,Wh_hp,'2019'!Maxi_hp)</f>
        <v>20.754830581758107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1.962687471984037E-2</v>
      </c>
      <c r="M332" s="957"/>
      <c r="N332" s="957"/>
      <c r="O332" s="48">
        <f>IF(t&lt;Tnet,'2019'!Resal+('2019'!Salim-'2019'!Resal)*(1-EXP(('2019'!Tnet-t)/('2019'!Tau_j))),Resal+(Salim-Resal)*(1-EXP((Tnet-t)/(Tau_j))))*Salcycl</f>
        <v>8.0123485392806754E-2</v>
      </c>
      <c r="P332" s="169">
        <f>(INDEX(Models!$BJ332:$BT332,,T332)*(1-R332)+INDEX(Models!$BJ332:$BT332,,T332+1)*R332-ERP_i)*Q332*Ramure*Pc/MaxiM</f>
        <v>8.1365940179520735E-4</v>
      </c>
      <c r="Q332" s="305">
        <f t="shared" si="101"/>
        <v>0.7</v>
      </c>
      <c r="R332" s="177">
        <f t="shared" si="102"/>
        <v>0.49941454886890813</v>
      </c>
      <c r="S332" s="919">
        <f t="shared" si="103"/>
        <v>-1</v>
      </c>
      <c r="T332" s="176">
        <f t="shared" si="104"/>
        <v>5</v>
      </c>
      <c r="U332" s="251">
        <f t="shared" si="105"/>
        <v>-0.50058545113109187</v>
      </c>
      <c r="V332" s="383">
        <f t="shared" si="106"/>
        <v>29.72512638880178</v>
      </c>
      <c r="W332" s="402"/>
      <c r="X332" s="157">
        <f t="shared" si="107"/>
        <v>44148</v>
      </c>
      <c r="Y332" s="385">
        <f t="shared" si="108"/>
        <v>18.71</v>
      </c>
      <c r="Z332" s="385">
        <f t="shared" si="109"/>
        <v>19.084570473770661</v>
      </c>
      <c r="AA332" s="386">
        <f t="shared" si="110"/>
        <v>20.7468830551894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8.0123485392806754E-2</v>
      </c>
      <c r="AD332" s="231">
        <f>(INDEX(Models!$BJ332:$BT332,,AH332)*(1-AF332)+INDEX(Models!$BJ332:$BT332,,AH332+1)*AF332-ERP_i)*AE332*Ramure*Pc/MaxiM</f>
        <v>8.1365940179520735E-4</v>
      </c>
      <c r="AE332" s="305">
        <f t="shared" si="112"/>
        <v>0.7</v>
      </c>
      <c r="AF332" s="177">
        <f t="shared" si="113"/>
        <v>0.49941454886890813</v>
      </c>
      <c r="AG332" s="919">
        <f t="shared" si="119"/>
        <v>-1</v>
      </c>
      <c r="AH332" s="176">
        <f t="shared" si="114"/>
        <v>5</v>
      </c>
      <c r="AI332" s="225">
        <f t="shared" si="115"/>
        <v>-0.50058545113109187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8">
        <v>26.585999999999999</v>
      </c>
      <c r="C333" s="390"/>
      <c r="D333" s="393">
        <f t="shared" si="98"/>
        <v>27.118840397412715</v>
      </c>
      <c r="E333" s="385">
        <f t="shared" si="120"/>
        <v>29.480563446747233</v>
      </c>
      <c r="F333" s="385">
        <f t="shared" si="99"/>
        <v>29.501536808911666</v>
      </c>
      <c r="G333" s="110">
        <f t="shared" si="121"/>
        <v>0.90241183278187831</v>
      </c>
      <c r="H333" s="412" t="b">
        <f>Wh_hp&gt;='2019'!Maxi_hp</f>
        <v>1</v>
      </c>
      <c r="I333" s="380">
        <f>IF(H333,Wh_hp,'2019'!Maxi_hp)</f>
        <v>29.501536808911666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1.9648347407345335E-2</v>
      </c>
      <c r="M333" s="957"/>
      <c r="N333" s="957"/>
      <c r="O333" s="48">
        <f>IF(t&lt;Tnet,'2019'!Resal+('2019'!Salim-'2019'!Resal)*(1-EXP(('2019'!Tnet-t)/('2019'!Tau_j))),Resal+(Salim-Resal)*(1-EXP((Tnet-t)/(Tau_j))))*Salcycl</f>
        <v>8.0111191008973084E-2</v>
      </c>
      <c r="P333" s="169">
        <f>(INDEX(Models!$BJ333:$BT333,,T333)*(1-R333)+INDEX(Models!$BJ333:$BT333,,T333+1)*R333-ERP_i)*Q333*Ramure*Pc/MaxiM</f>
        <v>8.2594870259613683E-4</v>
      </c>
      <c r="Q333" s="305">
        <f t="shared" si="101"/>
        <v>0.7</v>
      </c>
      <c r="R333" s="177">
        <f t="shared" si="102"/>
        <v>0.49944625840020318</v>
      </c>
      <c r="S333" s="919">
        <f t="shared" si="103"/>
        <v>-1</v>
      </c>
      <c r="T333" s="176">
        <f t="shared" si="104"/>
        <v>5</v>
      </c>
      <c r="U333" s="251">
        <f t="shared" si="105"/>
        <v>-0.50055374159979682</v>
      </c>
      <c r="V333" s="383">
        <f t="shared" si="106"/>
        <v>29.457658712422468</v>
      </c>
      <c r="W333" s="402"/>
      <c r="X333" s="157">
        <f t="shared" si="107"/>
        <v>44149</v>
      </c>
      <c r="Y333" s="385">
        <f t="shared" si="108"/>
        <v>26.585999999999999</v>
      </c>
      <c r="Z333" s="385">
        <f t="shared" si="109"/>
        <v>27.118840397412715</v>
      </c>
      <c r="AA333" s="386">
        <f t="shared" si="110"/>
        <v>29.480563446747233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8.0111191008973084E-2</v>
      </c>
      <c r="AD333" s="231">
        <f>(INDEX(Models!$BJ333:$BT333,,AH333)*(1-AF333)+INDEX(Models!$BJ333:$BT333,,AH333+1)*AF333-ERP_i)*AE333*Ramure*Pc/MaxiM</f>
        <v>8.2594870259613683E-4</v>
      </c>
      <c r="AE333" s="305">
        <f t="shared" si="112"/>
        <v>0.7</v>
      </c>
      <c r="AF333" s="177">
        <f t="shared" si="113"/>
        <v>0.49944625840020318</v>
      </c>
      <c r="AG333" s="919">
        <f t="shared" si="119"/>
        <v>-1</v>
      </c>
      <c r="AH333" s="176">
        <f t="shared" si="114"/>
        <v>5</v>
      </c>
      <c r="AI333" s="225">
        <f t="shared" si="115"/>
        <v>-0.50055374159979682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8">
        <v>19.091999999999999</v>
      </c>
      <c r="C334" s="390"/>
      <c r="D334" s="393">
        <f t="shared" si="98"/>
        <v>19.475071136428699</v>
      </c>
      <c r="E334" s="385">
        <f t="shared" si="120"/>
        <v>21.170853653085732</v>
      </c>
      <c r="F334" s="385">
        <f t="shared" si="99"/>
        <v>21.179869500030428</v>
      </c>
      <c r="G334" s="110">
        <f t="shared" si="121"/>
        <v>0.6537191759656642</v>
      </c>
      <c r="H334" s="412" t="b">
        <f>Wh_hp&gt;='2019'!Maxi_hp</f>
        <v>0</v>
      </c>
      <c r="I334" s="380">
        <f>IF(H334,Wh_hp,'2019'!Maxi_hp)</f>
        <v>26.374163427809396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1.9669819624543283E-2</v>
      </c>
      <c r="M334" s="957"/>
      <c r="N334" s="957"/>
      <c r="O334" s="48">
        <f>IF(t&lt;Tnet,'2019'!Resal+('2019'!Salim-'2019'!Resal)*(1-EXP(('2019'!Tnet-t)/('2019'!Tau_j))),Resal+(Salim-Resal)*(1-EXP((Tnet-t)/(Tau_j))))*Salcycl</f>
        <v>8.0099864863496711E-2</v>
      </c>
      <c r="P334" s="169">
        <f>(INDEX(Models!$BJ334:$BT334,,T334)*(1-R334)+INDEX(Models!$BJ334:$BT334,,T334+1)*R334-ERP_i)*Q334*Ramure*Pc/MaxiM</f>
        <v>8.4176055971813609E-4</v>
      </c>
      <c r="Q334" s="305">
        <f t="shared" si="101"/>
        <v>0.7</v>
      </c>
      <c r="R334" s="177">
        <f t="shared" si="102"/>
        <v>0.4994766949956928</v>
      </c>
      <c r="S334" s="919">
        <f t="shared" si="103"/>
        <v>-1</v>
      </c>
      <c r="T334" s="176">
        <f t="shared" si="104"/>
        <v>5</v>
      </c>
      <c r="U334" s="251">
        <f t="shared" si="105"/>
        <v>-0.5005233050043072</v>
      </c>
      <c r="V334" s="383">
        <f t="shared" si="106"/>
        <v>29.19304421334823</v>
      </c>
      <c r="W334" s="402"/>
      <c r="X334" s="157">
        <f t="shared" si="107"/>
        <v>44150</v>
      </c>
      <c r="Y334" s="385">
        <f t="shared" si="108"/>
        <v>19.091999999999999</v>
      </c>
      <c r="Z334" s="385">
        <f t="shared" si="109"/>
        <v>19.475071136428699</v>
      </c>
      <c r="AA334" s="386">
        <f t="shared" si="110"/>
        <v>21.170853653085732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8.0099864863496711E-2</v>
      </c>
      <c r="AD334" s="231">
        <f>(INDEX(Models!$BJ334:$BT334,,AH334)*(1-AF334)+INDEX(Models!$BJ334:$BT334,,AH334+1)*AF334-ERP_i)*AE334*Ramure*Pc/MaxiM</f>
        <v>8.4176055971813609E-4</v>
      </c>
      <c r="AE334" s="305">
        <f t="shared" si="112"/>
        <v>0.7</v>
      </c>
      <c r="AF334" s="177">
        <f t="shared" si="113"/>
        <v>0.4994766949956928</v>
      </c>
      <c r="AG334" s="919">
        <f t="shared" si="119"/>
        <v>-1</v>
      </c>
      <c r="AH334" s="176">
        <f t="shared" si="114"/>
        <v>5</v>
      </c>
      <c r="AI334" s="225">
        <f t="shared" si="115"/>
        <v>-0.5005233050043072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8">
        <v>21.074999999999999</v>
      </c>
      <c r="C335" s="390"/>
      <c r="D335" s="393">
        <f t="shared" ref="D335:D380" si="122">Wh/(1-Ppv)</f>
        <v>21.498329877619643</v>
      </c>
      <c r="E335" s="385">
        <f t="shared" si="120"/>
        <v>23.370025066721933</v>
      </c>
      <c r="F335" s="385">
        <f t="shared" ref="F335:F380" si="123">Wh_sa/(1-Pvg*MEDIAN((-Sdif+Wh/Env_an)/Csdif,0,1))</f>
        <v>23.382348833337996</v>
      </c>
      <c r="G335" s="110">
        <f t="shared" si="121"/>
        <v>0.72819697379240678</v>
      </c>
      <c r="H335" s="412" t="b">
        <f>Wh_hp&gt;='2019'!Maxi_hp</f>
        <v>0</v>
      </c>
      <c r="I335" s="380">
        <f>IF(H335,Wh_hp,'2019'!Maxi_hp)</f>
        <v>31.482813740825435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1.9691291371444652E-2</v>
      </c>
      <c r="M335" s="957"/>
      <c r="N335" s="957"/>
      <c r="O335" s="48">
        <f>IF(t&lt;Tnet,'2019'!Resal+('2019'!Salim-'2019'!Resal)*(1-EXP(('2019'!Tnet-t)/('2019'!Tau_j))),Resal+(Salim-Resal)*(1-EXP((Tnet-t)/(Tau_j))))*Salcycl</f>
        <v>8.0089567031210229E-2</v>
      </c>
      <c r="P335" s="169">
        <f>(INDEX(Models!$BJ335:$BT335,,T335)*(1-R335)+INDEX(Models!$BJ335:$BT335,,T335+1)*R335-ERP_i)*Q335*Ramure*Pc/MaxiM</f>
        <v>8.6111847132887926E-4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0.49950590960968699</v>
      </c>
      <c r="S335" s="919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-0.50049409039031301</v>
      </c>
      <c r="V335" s="383">
        <f t="shared" ref="V335:V380" si="130">MaxiM*(1-Ppv)*(1-Pvg)*(1-Psa)</f>
        <v>28.931671844835549</v>
      </c>
      <c r="W335" s="402"/>
      <c r="X335" s="157">
        <f t="shared" ref="X335:X380" si="131">t</f>
        <v>44151</v>
      </c>
      <c r="Y335" s="385">
        <f t="shared" ref="Y335:Y380" si="132">Wh_pvt_s*(1-Ppv)</f>
        <v>21.074999999999999</v>
      </c>
      <c r="Z335" s="385">
        <f t="shared" ref="Z335:Z380" si="133">Wh_sa_s*(1-Psa_s)</f>
        <v>21.498329877619643</v>
      </c>
      <c r="AA335" s="386">
        <f t="shared" ref="AA335:AA380" si="134">Wh_hp*(1-Pvg_s*MEDIAN((-Sdif+Wh/Env_an)/Csdif,0,1))</f>
        <v>23.370025066721933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8.0089567031210229E-2</v>
      </c>
      <c r="AD335" s="231">
        <f>(INDEX(Models!$BJ335:$BT335,,AH335)*(1-AF335)+INDEX(Models!$BJ335:$BT335,,AH335+1)*AF335-ERP_i)*AE335*Ramure*Pc/MaxiM</f>
        <v>8.6111847132887926E-4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0.49950590960968699</v>
      </c>
      <c r="AG335" s="919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-0.50049409039031301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8">
        <v>26.978000000000002</v>
      </c>
      <c r="C336" s="390"/>
      <c r="D336" s="393">
        <f t="shared" si="122"/>
        <v>27.520505186700113</v>
      </c>
      <c r="E336" s="385">
        <f t="shared" si="120"/>
        <v>29.916205498839705</v>
      </c>
      <c r="F336" s="385">
        <f t="shared" si="123"/>
        <v>29.94043779612808</v>
      </c>
      <c r="G336" s="110">
        <f t="shared" si="121"/>
        <v>0.94078428085843668</v>
      </c>
      <c r="H336" s="412" t="b">
        <f>Wh_hp&gt;='2019'!Maxi_hp</f>
        <v>1</v>
      </c>
      <c r="I336" s="380">
        <f>IF(H336,Wh_hp,'2019'!Maxi_hp)</f>
        <v>29.94043779612808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1.9712762648059545E-2</v>
      </c>
      <c r="M336" s="957"/>
      <c r="N336" s="957"/>
      <c r="O336" s="48">
        <f>IF(t&lt;Tnet,'2019'!Resal+('2019'!Salim-'2019'!Resal)*(1-EXP(('2019'!Tnet-t)/('2019'!Tau_j))),Resal+(Salim-Resal)*(1-EXP((Tnet-t)/(Tau_j))))*Salcycl</f>
        <v>8.008035351383419E-2</v>
      </c>
      <c r="P336" s="169">
        <f>(INDEX(Models!$BJ336:$BT336,,T336)*(1-R336)+INDEX(Models!$BJ336:$BT336,,T336+1)*R336-ERP_i)*Q336*Ramure*Pc/MaxiM</f>
        <v>8.8404620713514138E-4</v>
      </c>
      <c r="Q336" s="305">
        <f t="shared" si="125"/>
        <v>0.7</v>
      </c>
      <c r="R336" s="177">
        <f t="shared" si="126"/>
        <v>0.49953395116835031</v>
      </c>
      <c r="S336" s="919">
        <f t="shared" si="127"/>
        <v>-1</v>
      </c>
      <c r="T336" s="176">
        <f t="shared" si="128"/>
        <v>5</v>
      </c>
      <c r="U336" s="251">
        <f t="shared" si="129"/>
        <v>-0.50046604883164969</v>
      </c>
      <c r="V336" s="383">
        <f t="shared" si="130"/>
        <v>28.673930640499247</v>
      </c>
      <c r="W336" s="402"/>
      <c r="X336" s="157">
        <f t="shared" si="131"/>
        <v>44152</v>
      </c>
      <c r="Y336" s="385">
        <f t="shared" si="132"/>
        <v>26.978000000000002</v>
      </c>
      <c r="Z336" s="385">
        <f t="shared" si="133"/>
        <v>27.520505186700113</v>
      </c>
      <c r="AA336" s="386">
        <f t="shared" si="134"/>
        <v>29.916205498839705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8.008035351383419E-2</v>
      </c>
      <c r="AD336" s="231">
        <f>(INDEX(Models!$BJ336:$BT336,,AH336)*(1-AF336)+INDEX(Models!$BJ336:$BT336,,AH336+1)*AF336-ERP_i)*AE336*Ramure*Pc/MaxiM</f>
        <v>8.8404620713514138E-4</v>
      </c>
      <c r="AE336" s="305">
        <f t="shared" si="136"/>
        <v>0.7</v>
      </c>
      <c r="AF336" s="177">
        <f t="shared" si="137"/>
        <v>0.49953395116835031</v>
      </c>
      <c r="AG336" s="919">
        <f t="shared" ref="AG336:AG379" si="143">INDEX(Echel_vg,AH336)</f>
        <v>-1</v>
      </c>
      <c r="AH336" s="176">
        <f t="shared" si="138"/>
        <v>5</v>
      </c>
      <c r="AI336" s="225">
        <f t="shared" si="139"/>
        <v>-0.50046604883164969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8">
        <v>27.724</v>
      </c>
      <c r="C337" s="390"/>
      <c r="D337" s="393">
        <f t="shared" si="122"/>
        <v>28.282126078622266</v>
      </c>
      <c r="E337" s="385">
        <f t="shared" si="120"/>
        <v>30.74385665421082</v>
      </c>
      <c r="F337" s="385">
        <f t="shared" si="123"/>
        <v>30.770895086934338</v>
      </c>
      <c r="G337" s="110">
        <f t="shared" si="121"/>
        <v>0.97547189377022403</v>
      </c>
      <c r="H337" s="412" t="b">
        <f>Wh_hp&gt;='2019'!Maxi_hp</f>
        <v>1</v>
      </c>
      <c r="I337" s="380">
        <f>IF(H337,Wh_hp,'2019'!Maxi_hp)</f>
        <v>30.770895086934338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1.9734233454398509E-2</v>
      </c>
      <c r="M337" s="957"/>
      <c r="N337" s="957"/>
      <c r="O337" s="48">
        <f>IF(t&lt;Tnet,'2019'!Resal+('2019'!Salim-'2019'!Resal)*(1-EXP(('2019'!Tnet-t)/('2019'!Tau_j))),Resal+(Salim-Resal)*(1-EXP((Tnet-t)/(Tau_j))))*Salcycl</f>
        <v>8.0072276008722063E-2</v>
      </c>
      <c r="P337" s="169">
        <f>(INDEX(Models!$BJ337:$BT337,,T337)*(1-R337)+INDEX(Models!$BJ337:$BT337,,T337+1)*R337-ERP_i)*Q337*Ramure*Pc/MaxiM</f>
        <v>9.1056748544356288E-4</v>
      </c>
      <c r="Q337" s="305">
        <f t="shared" si="125"/>
        <v>0.7</v>
      </c>
      <c r="R337" s="177">
        <f t="shared" si="126"/>
        <v>0.49956086664952082</v>
      </c>
      <c r="S337" s="919">
        <f t="shared" si="127"/>
        <v>-1</v>
      </c>
      <c r="T337" s="176">
        <f t="shared" si="128"/>
        <v>5</v>
      </c>
      <c r="U337" s="251">
        <f t="shared" si="129"/>
        <v>-0.50043913335047918</v>
      </c>
      <c r="V337" s="383">
        <f t="shared" si="130"/>
        <v>28.420209693839428</v>
      </c>
      <c r="W337" s="402"/>
      <c r="X337" s="157">
        <f t="shared" si="131"/>
        <v>44153</v>
      </c>
      <c r="Y337" s="385">
        <f t="shared" si="132"/>
        <v>27.724</v>
      </c>
      <c r="Z337" s="385">
        <f t="shared" si="133"/>
        <v>28.282126078622266</v>
      </c>
      <c r="AA337" s="386">
        <f t="shared" si="134"/>
        <v>30.74385665421082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8.0072276008722063E-2</v>
      </c>
      <c r="AD337" s="231">
        <f>(INDEX(Models!$BJ337:$BT337,,AH337)*(1-AF337)+INDEX(Models!$BJ337:$BT337,,AH337+1)*AF337-ERP_i)*AE337*Ramure*Pc/MaxiM</f>
        <v>9.1056748544356288E-4</v>
      </c>
      <c r="AE337" s="305">
        <f t="shared" si="136"/>
        <v>0.7</v>
      </c>
      <c r="AF337" s="177">
        <f t="shared" si="137"/>
        <v>0.49956086664952082</v>
      </c>
      <c r="AG337" s="919">
        <f t="shared" si="143"/>
        <v>-1</v>
      </c>
      <c r="AH337" s="176">
        <f t="shared" si="138"/>
        <v>5</v>
      </c>
      <c r="AI337" s="225">
        <f t="shared" si="139"/>
        <v>-0.50043913335047918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8">
        <v>8.5180000000000007</v>
      </c>
      <c r="C338" s="390"/>
      <c r="D338" s="393">
        <f t="shared" si="122"/>
        <v>8.6896705575721782</v>
      </c>
      <c r="E338" s="385">
        <f t="shared" si="120"/>
        <v>9.4459653813985334</v>
      </c>
      <c r="F338" s="385">
        <f t="shared" si="123"/>
        <v>9.4459954812854221</v>
      </c>
      <c r="G338" s="110">
        <f t="shared" si="121"/>
        <v>0.30208529879167417</v>
      </c>
      <c r="H338" s="412" t="b">
        <f>Wh_hp&gt;='2019'!Maxi_hp</f>
        <v>0</v>
      </c>
      <c r="I338" s="380">
        <f>IF(H338,Wh_hp,'2019'!Maxi_hp)</f>
        <v>31.724603682982458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1.9755703790471535E-2</v>
      </c>
      <c r="M338" s="957"/>
      <c r="N338" s="957"/>
      <c r="O338" s="48">
        <f>IF(t&lt;Tnet,'2019'!Resal+('2019'!Salim-'2019'!Resal)*(1-EXP(('2019'!Tnet-t)/('2019'!Tau_j))),Resal+(Salim-Resal)*(1-EXP((Tnet-t)/(Tau_j))))*Salcycl</f>
        <v>8.0065381704202299E-2</v>
      </c>
      <c r="P338" s="169">
        <f>(INDEX(Models!$BJ338:$BT338,,T338)*(1-R338)+INDEX(Models!$BJ338:$BT338,,T338+1)*R338-ERP_i)*Q338*Ramure*Pc/MaxiM</f>
        <v>9.4155174341739947E-4</v>
      </c>
      <c r="Q338" s="305">
        <f t="shared" si="125"/>
        <v>0.7</v>
      </c>
      <c r="R338" s="177">
        <f t="shared" si="126"/>
        <v>0.49958670115945991</v>
      </c>
      <c r="S338" s="919">
        <f t="shared" si="127"/>
        <v>-1</v>
      </c>
      <c r="T338" s="176">
        <f t="shared" si="128"/>
        <v>5</v>
      </c>
      <c r="U338" s="251">
        <f t="shared" si="129"/>
        <v>-0.50041329884054009</v>
      </c>
      <c r="V338" s="383">
        <f t="shared" si="130"/>
        <v>28.170874298175615</v>
      </c>
      <c r="W338" s="402"/>
      <c r="X338" s="157">
        <f t="shared" si="131"/>
        <v>44154</v>
      </c>
      <c r="Y338" s="385">
        <f t="shared" si="132"/>
        <v>8.5180000000000007</v>
      </c>
      <c r="Z338" s="385">
        <f t="shared" si="133"/>
        <v>8.6896705575721782</v>
      </c>
      <c r="AA338" s="386">
        <f t="shared" si="134"/>
        <v>9.4459653813985334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8.0065381704202299E-2</v>
      </c>
      <c r="AD338" s="231">
        <f>(INDEX(Models!$BJ338:$BT338,,AH338)*(1-AF338)+INDEX(Models!$BJ338:$BT338,,AH338+1)*AF338-ERP_i)*AE338*Ramure*Pc/MaxiM</f>
        <v>9.4155174341739947E-4</v>
      </c>
      <c r="AE338" s="305">
        <f t="shared" si="136"/>
        <v>0.7</v>
      </c>
      <c r="AF338" s="177">
        <f t="shared" si="137"/>
        <v>0.49958670115945991</v>
      </c>
      <c r="AG338" s="919">
        <f t="shared" si="143"/>
        <v>-1</v>
      </c>
      <c r="AH338" s="176">
        <f t="shared" si="138"/>
        <v>5</v>
      </c>
      <c r="AI338" s="225">
        <f t="shared" si="139"/>
        <v>-0.50041329884054009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8">
        <v>20.904</v>
      </c>
      <c r="C339" s="390"/>
      <c r="D339" s="393">
        <f t="shared" si="122"/>
        <v>21.325763324624013</v>
      </c>
      <c r="E339" s="385">
        <f t="shared" si="120"/>
        <v>23.181682146516913</v>
      </c>
      <c r="F339" s="385">
        <f t="shared" si="123"/>
        <v>23.196193980340315</v>
      </c>
      <c r="G339" s="110">
        <f t="shared" si="121"/>
        <v>0.7482781062876972</v>
      </c>
      <c r="H339" s="412" t="b">
        <f>Wh_hp&gt;='2019'!Maxi_hp</f>
        <v>0</v>
      </c>
      <c r="I339" s="380">
        <f>IF(H339,Wh_hp,'2019'!Maxi_hp)</f>
        <v>30.885830486283265</v>
      </c>
      <c r="J339" s="85">
        <f>IF(H339,An,'2019'!An_max)</f>
        <v>2018</v>
      </c>
      <c r="K339" s="197">
        <f t="shared" si="124"/>
        <v>44155</v>
      </c>
      <c r="L339" s="147">
        <f>IF(t&lt;Tvie,1-EXP((T0-t)*PertePVj)+'2019'!Pspv,1-EXP((T0-t)*PertePVj)+Pspv)</f>
        <v>1.9777173656289282E-2</v>
      </c>
      <c r="M339" s="957"/>
      <c r="N339" s="957"/>
      <c r="O339" s="48">
        <f>IF(t&lt;Tnet,'2019'!Resal+('2019'!Salim-'2019'!Resal)*(1-EXP(('2019'!Tnet-t)/('2019'!Tau_j))),Resal+(Salim-Resal)*(1-EXP((Tnet-t)/(Tau_j))))*Salcycl</f>
        <v>8.0059713102905813E-2</v>
      </c>
      <c r="P339" s="169">
        <f>(INDEX(Models!$BJ339:$BT339,,T339)*(1-R339)+INDEX(Models!$BJ339:$BT339,,T339+1)*R339-ERP_i)*Q339*Ramure*Pc/MaxiM</f>
        <v>9.7634126757708574E-4</v>
      </c>
      <c r="Q339" s="305">
        <f t="shared" si="125"/>
        <v>0.7</v>
      </c>
      <c r="R339" s="177">
        <f t="shared" si="126"/>
        <v>0.49961149800664506</v>
      </c>
      <c r="S339" s="919">
        <f t="shared" si="127"/>
        <v>-1</v>
      </c>
      <c r="T339" s="176">
        <f t="shared" si="128"/>
        <v>5</v>
      </c>
      <c r="U339" s="251">
        <f t="shared" si="129"/>
        <v>-0.50038850199335494</v>
      </c>
      <c r="V339" s="383">
        <f t="shared" si="130"/>
        <v>27.926333277760175</v>
      </c>
      <c r="W339" s="402"/>
      <c r="X339" s="157">
        <f t="shared" si="131"/>
        <v>44155</v>
      </c>
      <c r="Y339" s="385">
        <f t="shared" si="132"/>
        <v>20.904</v>
      </c>
      <c r="Z339" s="385">
        <f t="shared" si="133"/>
        <v>21.325763324624013</v>
      </c>
      <c r="AA339" s="386">
        <f t="shared" si="134"/>
        <v>23.181682146516913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8.0059713102905813E-2</v>
      </c>
      <c r="AD339" s="231">
        <f>(INDEX(Models!$BJ339:$BT339,,AH339)*(1-AF339)+INDEX(Models!$BJ339:$BT339,,AH339+1)*AF339-ERP_i)*AE339*Ramure*Pc/MaxiM</f>
        <v>9.7634126757708574E-4</v>
      </c>
      <c r="AE339" s="305">
        <f t="shared" si="136"/>
        <v>0.7</v>
      </c>
      <c r="AF339" s="177">
        <f t="shared" si="137"/>
        <v>0.49961149800664506</v>
      </c>
      <c r="AG339" s="919">
        <f t="shared" si="143"/>
        <v>-1</v>
      </c>
      <c r="AH339" s="176">
        <f t="shared" si="138"/>
        <v>5</v>
      </c>
      <c r="AI339" s="225">
        <f t="shared" si="139"/>
        <v>-0.50038850199335494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8">
        <v>28.44</v>
      </c>
      <c r="C340" s="390"/>
      <c r="D340" s="393">
        <f t="shared" si="122"/>
        <v>29.01444667302653</v>
      </c>
      <c r="E340" s="385">
        <f t="shared" si="120"/>
        <v>31.539338094317049</v>
      </c>
      <c r="F340" s="385">
        <f t="shared" si="123"/>
        <v>31.571381737013635</v>
      </c>
      <c r="G340" s="110">
        <f t="shared" si="121"/>
        <v>1.0271977726257622</v>
      </c>
      <c r="H340" s="412" t="b">
        <f>Wh_hp&gt;='2019'!Maxi_hp</f>
        <v>1</v>
      </c>
      <c r="I340" s="380">
        <f>IF(H340,Wh_hp,'2019'!Maxi_hp)</f>
        <v>31.571381737013635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1.9798643051861742E-2</v>
      </c>
      <c r="M340" s="957"/>
      <c r="N340" s="957"/>
      <c r="O340" s="48">
        <f>IF(t&lt;Tnet,'2019'!Resal+('2019'!Salim-'2019'!Resal)*(1-EXP(('2019'!Tnet-t)/('2019'!Tau_j))),Resal+(Salim-Resal)*(1-EXP((Tnet-t)/(Tau_j))))*Salcycl</f>
        <v>8.0055307874247056E-2</v>
      </c>
      <c r="P340" s="169">
        <f>(INDEX(Models!$BJ340:$BT340,,T340)*(1-R340)+INDEX(Models!$BJ340:$BT340,,T340+1)*R340-ERP_i)*Q340*Ramure*Pc/MaxiM</f>
        <v>1.0149585141222787E-3</v>
      </c>
      <c r="Q340" s="305">
        <f t="shared" si="125"/>
        <v>0.7</v>
      </c>
      <c r="R340" s="177">
        <f t="shared" si="126"/>
        <v>0.49963529877271362</v>
      </c>
      <c r="S340" s="919">
        <f t="shared" si="127"/>
        <v>-1</v>
      </c>
      <c r="T340" s="176">
        <f t="shared" si="128"/>
        <v>5</v>
      </c>
      <c r="U340" s="251">
        <f t="shared" si="129"/>
        <v>-0.50036470122728638</v>
      </c>
      <c r="V340" s="383">
        <f t="shared" si="130"/>
        <v>27.686975924120812</v>
      </c>
      <c r="W340" s="402"/>
      <c r="X340" s="157">
        <f t="shared" si="131"/>
        <v>44156</v>
      </c>
      <c r="Y340" s="385">
        <f t="shared" si="132"/>
        <v>28.44</v>
      </c>
      <c r="Z340" s="385">
        <f t="shared" si="133"/>
        <v>29.01444667302653</v>
      </c>
      <c r="AA340" s="386">
        <f t="shared" si="134"/>
        <v>31.539338094317049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8.0055307874247056E-2</v>
      </c>
      <c r="AD340" s="231">
        <f>(INDEX(Models!$BJ340:$BT340,,AH340)*(1-AF340)+INDEX(Models!$BJ340:$BT340,,AH340+1)*AF340-ERP_i)*AE340*Ramure*Pc/MaxiM</f>
        <v>1.0149585141222787E-3</v>
      </c>
      <c r="AE340" s="305">
        <f t="shared" si="136"/>
        <v>0.7</v>
      </c>
      <c r="AF340" s="177">
        <f t="shared" si="137"/>
        <v>0.49963529877271362</v>
      </c>
      <c r="AG340" s="919">
        <f t="shared" si="143"/>
        <v>-1</v>
      </c>
      <c r="AH340" s="176">
        <f t="shared" si="138"/>
        <v>5</v>
      </c>
      <c r="AI340" s="225">
        <f t="shared" si="139"/>
        <v>-0.50036470122728638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8">
        <v>28.422000000000001</v>
      </c>
      <c r="C341" s="390"/>
      <c r="D341" s="393">
        <f t="shared" si="122"/>
        <v>28.996718201729575</v>
      </c>
      <c r="E341" s="385">
        <f t="shared" si="120"/>
        <v>31.519960330270649</v>
      </c>
      <c r="F341" s="385">
        <f t="shared" si="123"/>
        <v>31.553325364511156</v>
      </c>
      <c r="G341" s="110">
        <f t="shared" si="121"/>
        <v>1.0352894585271946</v>
      </c>
      <c r="H341" s="412" t="b">
        <f>Wh_hp&gt;='2019'!Maxi_hp</f>
        <v>1</v>
      </c>
      <c r="I341" s="380">
        <f>IF(H341,Wh_hp,'2019'!Maxi_hp)</f>
        <v>31.553325364511156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1.9820111977199351E-2</v>
      </c>
      <c r="M341" s="957"/>
      <c r="N341" s="957"/>
      <c r="O341" s="48">
        <f>IF(t&lt;Tnet,'2019'!Resal+('2019'!Salim-'2019'!Resal)*(1-EXP(('2019'!Tnet-t)/('2019'!Tau_j))),Resal+(Salim-Resal)*(1-EXP((Tnet-t)/(Tau_j))))*Salcycl</f>
        <v>8.0052198736996538E-2</v>
      </c>
      <c r="P341" s="169">
        <f>(INDEX(Models!$BJ341:$BT341,,T341)*(1-R341)+INDEX(Models!$BJ341:$BT341,,T341+1)*R341-ERP_i)*Q341*Ramure*Pc/MaxiM</f>
        <v>1.0574173674269666E-3</v>
      </c>
      <c r="Q341" s="305">
        <f t="shared" si="125"/>
        <v>0.7</v>
      </c>
      <c r="R341" s="177">
        <f t="shared" si="126"/>
        <v>0.49965814338066328</v>
      </c>
      <c r="S341" s="919">
        <f t="shared" si="127"/>
        <v>-1</v>
      </c>
      <c r="T341" s="176">
        <f t="shared" si="128"/>
        <v>5</v>
      </c>
      <c r="U341" s="251">
        <f t="shared" si="129"/>
        <v>-0.50034185661933672</v>
      </c>
      <c r="V341" s="383">
        <f t="shared" si="130"/>
        <v>27.453191729038963</v>
      </c>
      <c r="W341" s="402"/>
      <c r="X341" s="157">
        <f t="shared" si="131"/>
        <v>44157</v>
      </c>
      <c r="Y341" s="385">
        <f t="shared" si="132"/>
        <v>28.422000000000001</v>
      </c>
      <c r="Z341" s="385">
        <f t="shared" si="133"/>
        <v>28.996718201729575</v>
      </c>
      <c r="AA341" s="386">
        <f t="shared" si="134"/>
        <v>31.519960330270649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8.0052198736996538E-2</v>
      </c>
      <c r="AD341" s="231">
        <f>(INDEX(Models!$BJ341:$BT341,,AH341)*(1-AF341)+INDEX(Models!$BJ341:$BT341,,AH341+1)*AF341-ERP_i)*AE341*Ramure*Pc/MaxiM</f>
        <v>1.0574173674269666E-3</v>
      </c>
      <c r="AE341" s="305">
        <f t="shared" si="136"/>
        <v>0.7</v>
      </c>
      <c r="AF341" s="177">
        <f t="shared" si="137"/>
        <v>0.49965814338066328</v>
      </c>
      <c r="AG341" s="919">
        <f t="shared" si="143"/>
        <v>-1</v>
      </c>
      <c r="AH341" s="176">
        <f t="shared" si="138"/>
        <v>5</v>
      </c>
      <c r="AI341" s="225">
        <f t="shared" si="139"/>
        <v>-0.50034185661933672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8">
        <v>26.312000000000001</v>
      </c>
      <c r="C342" s="390"/>
      <c r="D342" s="393">
        <f t="shared" si="122"/>
        <v>26.844640085431571</v>
      </c>
      <c r="E342" s="385">
        <f t="shared" si="120"/>
        <v>29.180555625713382</v>
      </c>
      <c r="F342" s="385">
        <f t="shared" si="123"/>
        <v>29.21125181785667</v>
      </c>
      <c r="G342" s="110">
        <f t="shared" si="121"/>
        <v>0.96640033187983121</v>
      </c>
      <c r="H342" s="412" t="b">
        <f>Wh_hp&gt;='2019'!Maxi_hp</f>
        <v>1</v>
      </c>
      <c r="I342" s="380">
        <f>IF(H342,Wh_hp,'2019'!Maxi_hp)</f>
        <v>29.21125181785667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1.9841580432312433E-2</v>
      </c>
      <c r="M342" s="957"/>
      <c r="N342" s="957"/>
      <c r="O342" s="48">
        <f>IF(t&lt;Tnet,'2019'!Resal+('2019'!Salim-'2019'!Resal)*(1-EXP(('2019'!Tnet-t)/('2019'!Tau_j))),Resal+(Salim-Resal)*(1-EXP((Tnet-t)/(Tau_j))))*Salcycl</f>
        <v>8.0050413372644694E-2</v>
      </c>
      <c r="P342" s="169">
        <f>(INDEX(Models!$BJ342:$BT342,,T342)*(1-R342)+INDEX(Models!$BJ342:$BT342,,T342+1)*R342-ERP_i)*Q342*Ramure*Pc/MaxiM</f>
        <v>1.1037324737964195E-3</v>
      </c>
      <c r="Q342" s="305">
        <f t="shared" si="125"/>
        <v>0.7</v>
      </c>
      <c r="R342" s="177">
        <f t="shared" si="126"/>
        <v>0.49968007016041138</v>
      </c>
      <c r="S342" s="919">
        <f t="shared" si="127"/>
        <v>-1</v>
      </c>
      <c r="T342" s="176">
        <f t="shared" si="128"/>
        <v>5</v>
      </c>
      <c r="U342" s="251">
        <f t="shared" si="129"/>
        <v>-0.50031992983958862</v>
      </c>
      <c r="V342" s="383">
        <f t="shared" si="130"/>
        <v>27.225370084509596</v>
      </c>
      <c r="W342" s="402"/>
      <c r="X342" s="157">
        <f t="shared" si="131"/>
        <v>44158</v>
      </c>
      <c r="Y342" s="385">
        <f t="shared" si="132"/>
        <v>26.312000000000001</v>
      </c>
      <c r="Z342" s="385">
        <f t="shared" si="133"/>
        <v>26.844640085431571</v>
      </c>
      <c r="AA342" s="386">
        <f t="shared" si="134"/>
        <v>29.180555625713382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8.0050413372644694E-2</v>
      </c>
      <c r="AD342" s="231">
        <f>(INDEX(Models!$BJ342:$BT342,,AH342)*(1-AF342)+INDEX(Models!$BJ342:$BT342,,AH342+1)*AF342-ERP_i)*AE342*Ramure*Pc/MaxiM</f>
        <v>1.1037324737964195E-3</v>
      </c>
      <c r="AE342" s="305">
        <f t="shared" si="136"/>
        <v>0.7</v>
      </c>
      <c r="AF342" s="177">
        <f t="shared" si="137"/>
        <v>0.49968007016041138</v>
      </c>
      <c r="AG342" s="919">
        <f t="shared" si="143"/>
        <v>-1</v>
      </c>
      <c r="AH342" s="176">
        <f t="shared" si="138"/>
        <v>5</v>
      </c>
      <c r="AI342" s="225">
        <f t="shared" si="139"/>
        <v>-0.50031992983958862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8">
        <v>24.57</v>
      </c>
      <c r="C343" s="390"/>
      <c r="D343" s="393">
        <f t="shared" si="122"/>
        <v>25.067925416262256</v>
      </c>
      <c r="E343" s="385">
        <f t="shared" si="120"/>
        <v>27.249225194700749</v>
      </c>
      <c r="F343" s="385">
        <f t="shared" si="123"/>
        <v>27.276647569608237</v>
      </c>
      <c r="G343" s="110">
        <f t="shared" si="121"/>
        <v>0.90973324429750202</v>
      </c>
      <c r="H343" s="412" t="b">
        <f>Wh_hp&gt;='2019'!Maxi_hp</f>
        <v>1</v>
      </c>
      <c r="I343" s="380">
        <f>IF(H343,Wh_hp,'2019'!Maxi_hp)</f>
        <v>27.276647569608237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1.9863048417211204E-2</v>
      </c>
      <c r="M343" s="957"/>
      <c r="N343" s="957"/>
      <c r="O343" s="48">
        <f>IF(t&lt;Tnet,'2019'!Resal+('2019'!Salim-'2019'!Resal)*(1-EXP(('2019'!Tnet-t)/('2019'!Tau_j))),Resal+(Salim-Resal)*(1-EXP((Tnet-t)/(Tau_j))))*Salcycl</f>
        <v>8.004997437001253E-2</v>
      </c>
      <c r="P343" s="169">
        <f>(INDEX(Models!$BJ343:$BT343,,T343)*(1-R343)+INDEX(Models!$BJ343:$BT343,,T343+1)*R343-ERP_i)*Q343*Ramure*Pc/MaxiM</f>
        <v>1.1539204279320979E-3</v>
      </c>
      <c r="Q343" s="305">
        <f t="shared" si="125"/>
        <v>0.7</v>
      </c>
      <c r="R343" s="177">
        <f t="shared" si="126"/>
        <v>0.49970111591180866</v>
      </c>
      <c r="S343" s="919">
        <f t="shared" si="127"/>
        <v>-1</v>
      </c>
      <c r="T343" s="176">
        <f t="shared" si="128"/>
        <v>5</v>
      </c>
      <c r="U343" s="251">
        <f t="shared" si="129"/>
        <v>-0.50029888408819134</v>
      </c>
      <c r="V343" s="383">
        <f t="shared" si="130"/>
        <v>27.003900233623948</v>
      </c>
      <c r="W343" s="402"/>
      <c r="X343" s="157">
        <f t="shared" si="131"/>
        <v>44159</v>
      </c>
      <c r="Y343" s="385">
        <f t="shared" si="132"/>
        <v>24.57</v>
      </c>
      <c r="Z343" s="385">
        <f t="shared" si="133"/>
        <v>25.067925416262256</v>
      </c>
      <c r="AA343" s="386">
        <f t="shared" si="134"/>
        <v>27.249225194700749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8.004997437001253E-2</v>
      </c>
      <c r="AD343" s="231">
        <f>(INDEX(Models!$BJ343:$BT343,,AH343)*(1-AF343)+INDEX(Models!$BJ343:$BT343,,AH343+1)*AF343-ERP_i)*AE343*Ramure*Pc/MaxiM</f>
        <v>1.1539204279320979E-3</v>
      </c>
      <c r="AE343" s="305">
        <f t="shared" si="136"/>
        <v>0.7</v>
      </c>
      <c r="AF343" s="177">
        <f t="shared" si="137"/>
        <v>0.49970111591180866</v>
      </c>
      <c r="AG343" s="919">
        <f t="shared" si="143"/>
        <v>-1</v>
      </c>
      <c r="AH343" s="176">
        <f t="shared" si="138"/>
        <v>5</v>
      </c>
      <c r="AI343" s="225">
        <f t="shared" si="139"/>
        <v>-0.50029888408819134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8">
        <v>25.018000000000001</v>
      </c>
      <c r="C344" s="390"/>
      <c r="D344" s="393">
        <f t="shared" si="122"/>
        <v>25.525563473560904</v>
      </c>
      <c r="E344" s="385">
        <f t="shared" si="120"/>
        <v>27.746712781609443</v>
      </c>
      <c r="F344" s="385">
        <f t="shared" si="123"/>
        <v>27.777098112719983</v>
      </c>
      <c r="G344" s="110">
        <f t="shared" si="121"/>
        <v>0.93377813270336563</v>
      </c>
      <c r="H344" s="412" t="b">
        <f>Wh_hp&gt;='2019'!Maxi_hp</f>
        <v>1</v>
      </c>
      <c r="I344" s="380">
        <f>IF(H344,Wh_hp,'2019'!Maxi_hp)</f>
        <v>27.777098112719983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1.9884515931906099E-2</v>
      </c>
      <c r="M344" s="957"/>
      <c r="N344" s="957"/>
      <c r="O344" s="48">
        <f>IF(t&lt;Tnet,'2019'!Resal+('2019'!Salim-'2019'!Resal)*(1-EXP(('2019'!Tnet-t)/('2019'!Tau_j))),Resal+(Salim-Resal)*(1-EXP((Tnet-t)/(Tau_j))))*Salcycl</f>
        <v>8.0050899201317943E-2</v>
      </c>
      <c r="P344" s="169">
        <f>(INDEX(Models!$BJ344:$BT344,,T344)*(1-R344)+INDEX(Models!$BJ344:$BT344,,T344+1)*R344-ERP_i)*Q344*Ramure*Pc/MaxiM</f>
        <v>1.2079940679942873E-3</v>
      </c>
      <c r="Q344" s="305">
        <f t="shared" si="125"/>
        <v>0.7</v>
      </c>
      <c r="R344" s="177">
        <f t="shared" si="126"/>
        <v>0.49972131596520697</v>
      </c>
      <c r="S344" s="919">
        <f t="shared" si="127"/>
        <v>-1</v>
      </c>
      <c r="T344" s="176">
        <f t="shared" si="128"/>
        <v>5</v>
      </c>
      <c r="U344" s="251">
        <f t="shared" si="129"/>
        <v>-0.50027868403479303</v>
      </c>
      <c r="V344" s="383">
        <f t="shared" si="130"/>
        <v>26.789171388510006</v>
      </c>
      <c r="W344" s="402"/>
      <c r="X344" s="157">
        <f t="shared" si="131"/>
        <v>44160</v>
      </c>
      <c r="Y344" s="385">
        <f t="shared" si="132"/>
        <v>25.018000000000001</v>
      </c>
      <c r="Z344" s="385">
        <f t="shared" si="133"/>
        <v>25.525563473560904</v>
      </c>
      <c r="AA344" s="386">
        <f t="shared" si="134"/>
        <v>27.746712781609443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8.0050899201317943E-2</v>
      </c>
      <c r="AD344" s="231">
        <f>(INDEX(Models!$BJ344:$BT344,,AH344)*(1-AF344)+INDEX(Models!$BJ344:$BT344,,AH344+1)*AF344-ERP_i)*AE344*Ramure*Pc/MaxiM</f>
        <v>1.2079940679942873E-3</v>
      </c>
      <c r="AE344" s="305">
        <f t="shared" si="136"/>
        <v>0.7</v>
      </c>
      <c r="AF344" s="177">
        <f t="shared" si="137"/>
        <v>0.49972131596520697</v>
      </c>
      <c r="AG344" s="919">
        <f t="shared" si="143"/>
        <v>-1</v>
      </c>
      <c r="AH344" s="176">
        <f t="shared" si="138"/>
        <v>5</v>
      </c>
      <c r="AI344" s="225">
        <f t="shared" si="139"/>
        <v>-0.50027868403479303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8">
        <v>19.797000000000001</v>
      </c>
      <c r="C345" s="390"/>
      <c r="D345" s="393">
        <f t="shared" si="122"/>
        <v>20.199082594260393</v>
      </c>
      <c r="E345" s="385">
        <f t="shared" si="120"/>
        <v>21.956794239952711</v>
      </c>
      <c r="F345" s="385">
        <f t="shared" si="123"/>
        <v>21.974477787702121</v>
      </c>
      <c r="G345" s="110">
        <f t="shared" si="121"/>
        <v>0.74454748428867834</v>
      </c>
      <c r="H345" s="412" t="b">
        <f>Wh_hp&gt;='2019'!Maxi_hp</f>
        <v>0</v>
      </c>
      <c r="I345" s="380">
        <f>IF(H345,Wh_hp,'2019'!Maxi_hp)</f>
        <v>27.662208875171967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1.9905982976407222E-2</v>
      </c>
      <c r="M345" s="957"/>
      <c r="N345" s="957"/>
      <c r="O345" s="48">
        <f>IF(t&lt;Tnet,'2019'!Resal+('2019'!Salim-'2019'!Resal)*(1-EXP(('2019'!Tnet-t)/('2019'!Tau_j))),Resal+(Salim-Resal)*(1-EXP((Tnet-t)/(Tau_j))))*Salcycl</f>
        <v>8.0053200229657215E-2</v>
      </c>
      <c r="P345" s="169">
        <f>(INDEX(Models!$BJ345:$BT345,,T345)*(1-R345)+INDEX(Models!$BJ345:$BT345,,T345+1)*R345-ERP_i)*Q345*Ramure*Pc/MaxiM</f>
        <v>1.2661780453113074E-3</v>
      </c>
      <c r="Q345" s="305">
        <f t="shared" si="125"/>
        <v>0.7</v>
      </c>
      <c r="R345" s="177">
        <f t="shared" si="126"/>
        <v>0.49974070423966754</v>
      </c>
      <c r="S345" s="919">
        <f t="shared" si="127"/>
        <v>-1</v>
      </c>
      <c r="T345" s="176">
        <f t="shared" si="128"/>
        <v>5</v>
      </c>
      <c r="U345" s="251">
        <f t="shared" si="129"/>
        <v>-0.50025929576033246</v>
      </c>
      <c r="V345" s="383">
        <f t="shared" si="130"/>
        <v>26.577025370301225</v>
      </c>
      <c r="W345" s="402"/>
      <c r="X345" s="157">
        <f t="shared" si="131"/>
        <v>44161</v>
      </c>
      <c r="Y345" s="385">
        <f t="shared" si="132"/>
        <v>19.797000000000001</v>
      </c>
      <c r="Z345" s="385">
        <f t="shared" si="133"/>
        <v>20.199082594260393</v>
      </c>
      <c r="AA345" s="386">
        <f t="shared" si="134"/>
        <v>21.956794239952711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8.0053200229657215E-2</v>
      </c>
      <c r="AD345" s="231">
        <f>(INDEX(Models!$BJ345:$BT345,,AH345)*(1-AF345)+INDEX(Models!$BJ345:$BT345,,AH345+1)*AF345-ERP_i)*AE345*Ramure*Pc/MaxiM</f>
        <v>1.2661780453113074E-3</v>
      </c>
      <c r="AE345" s="305">
        <f t="shared" si="136"/>
        <v>0.7</v>
      </c>
      <c r="AF345" s="177">
        <f t="shared" si="137"/>
        <v>0.49974070423966754</v>
      </c>
      <c r="AG345" s="919">
        <f t="shared" si="143"/>
        <v>-1</v>
      </c>
      <c r="AH345" s="176">
        <f t="shared" si="138"/>
        <v>5</v>
      </c>
      <c r="AI345" s="225">
        <f t="shared" si="139"/>
        <v>-0.50025929576033246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8">
        <v>17.082000000000001</v>
      </c>
      <c r="C346" s="390"/>
      <c r="D346" s="393">
        <f t="shared" si="122"/>
        <v>17.429321933533842</v>
      </c>
      <c r="E346" s="385">
        <f t="shared" si="120"/>
        <v>18.946086605313759</v>
      </c>
      <c r="F346" s="385">
        <f t="shared" si="123"/>
        <v>18.958573317036816</v>
      </c>
      <c r="G346" s="110">
        <f t="shared" si="121"/>
        <v>0.64749096867332834</v>
      </c>
      <c r="H346" s="412" t="b">
        <f>Wh_hp&gt;='2019'!Maxi_hp</f>
        <v>0</v>
      </c>
      <c r="I346" s="380">
        <f>IF(H346,Wh_hp,'2019'!Maxi_hp)</f>
        <v>20.343286490073936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1.9927449550725007E-2</v>
      </c>
      <c r="M346" s="957"/>
      <c r="N346" s="957"/>
      <c r="O346" s="48">
        <f>IF(t&lt;Tnet,'2019'!Resal+('2019'!Salim-'2019'!Resal)*(1-EXP(('2019'!Tnet-t)/('2019'!Tau_j))),Resal+(Salim-Resal)*(1-EXP((Tnet-t)/(Tau_j))))*Salcycl</f>
        <v>8.0056884747613924E-2</v>
      </c>
      <c r="P346" s="169">
        <f>(INDEX(Models!$BJ346:$BT346,,T346)*(1-R346)+INDEX(Models!$BJ346:$BT346,,T346+1)*R346-ERP_i)*Q346*Ramure*Pc/MaxiM</f>
        <v>1.3251261379778135E-3</v>
      </c>
      <c r="Q346" s="305">
        <f t="shared" si="125"/>
        <v>0.7</v>
      </c>
      <c r="R346" s="177">
        <f t="shared" si="126"/>
        <v>0.49975931329890233</v>
      </c>
      <c r="S346" s="919">
        <f t="shared" si="127"/>
        <v>-1</v>
      </c>
      <c r="T346" s="176">
        <f t="shared" si="128"/>
        <v>5</v>
      </c>
      <c r="U346" s="251">
        <f t="shared" si="129"/>
        <v>-0.50024068670109767</v>
      </c>
      <c r="V346" s="383">
        <f t="shared" si="130"/>
        <v>26.364240212329175</v>
      </c>
      <c r="W346" s="402"/>
      <c r="X346" s="157">
        <f t="shared" si="131"/>
        <v>44162</v>
      </c>
      <c r="Y346" s="385">
        <f t="shared" si="132"/>
        <v>17.082000000000001</v>
      </c>
      <c r="Z346" s="385">
        <f t="shared" si="133"/>
        <v>17.429321933533842</v>
      </c>
      <c r="AA346" s="386">
        <f t="shared" si="134"/>
        <v>18.946086605313759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8.0056884747613924E-2</v>
      </c>
      <c r="AD346" s="231">
        <f>(INDEX(Models!$BJ346:$BT346,,AH346)*(1-AF346)+INDEX(Models!$BJ346:$BT346,,AH346+1)*AF346-ERP_i)*AE346*Ramure*Pc/MaxiM</f>
        <v>1.3251261379778135E-3</v>
      </c>
      <c r="AE346" s="305">
        <f t="shared" si="136"/>
        <v>0.7</v>
      </c>
      <c r="AF346" s="177">
        <f t="shared" si="137"/>
        <v>0.49975931329890233</v>
      </c>
      <c r="AG346" s="919">
        <f t="shared" si="143"/>
        <v>-1</v>
      </c>
      <c r="AH346" s="176">
        <f t="shared" si="138"/>
        <v>5</v>
      </c>
      <c r="AI346" s="225">
        <f t="shared" si="139"/>
        <v>-0.50024068670109767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8">
        <v>10.257</v>
      </c>
      <c r="C347" s="390"/>
      <c r="D347" s="393">
        <f t="shared" si="122"/>
        <v>10.46578098207373</v>
      </c>
      <c r="E347" s="385">
        <f t="shared" si="120"/>
        <v>11.376615022593523</v>
      </c>
      <c r="F347" s="385">
        <f t="shared" si="123"/>
        <v>11.378686215026359</v>
      </c>
      <c r="G347" s="110">
        <f t="shared" si="121"/>
        <v>0.39172828273998145</v>
      </c>
      <c r="H347" s="412" t="b">
        <f>Wh_hp&gt;='2019'!Maxi_hp</f>
        <v>0</v>
      </c>
      <c r="I347" s="380">
        <f>IF(H347,Wh_hp,'2019'!Maxi_hp)</f>
        <v>29.549892661364552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1.9948915654869781E-2</v>
      </c>
      <c r="M347" s="957"/>
      <c r="N347" s="957"/>
      <c r="O347" s="48">
        <f>IF(t&lt;Tnet,'2019'!Resal+('2019'!Salim-'2019'!Resal)*(1-EXP(('2019'!Tnet-t)/('2019'!Tau_j))),Resal+(Salim-Resal)*(1-EXP((Tnet-t)/(Tau_j))))*Salcycl</f>
        <v>8.0061955046462463E-2</v>
      </c>
      <c r="P347" s="169">
        <f>(INDEX(Models!$BJ347:$BT347,,T347)*(1-R347)+INDEX(Models!$BJ347:$BT347,,T347+1)*R347-ERP_i)*Q347*Ramure*Pc/MaxiM</f>
        <v>1.3819750900075833E-3</v>
      </c>
      <c r="Q347" s="305">
        <f t="shared" si="125"/>
        <v>0.7</v>
      </c>
      <c r="R347" s="177">
        <f t="shared" si="126"/>
        <v>0.49977717440503144</v>
      </c>
      <c r="S347" s="919">
        <f t="shared" si="127"/>
        <v>-1</v>
      </c>
      <c r="T347" s="176">
        <f t="shared" si="128"/>
        <v>5</v>
      </c>
      <c r="U347" s="251">
        <f t="shared" si="129"/>
        <v>-0.50022282559496856</v>
      </c>
      <c r="V347" s="383">
        <f t="shared" si="130"/>
        <v>26.152540704691255</v>
      </c>
      <c r="W347" s="402"/>
      <c r="X347" s="157">
        <f t="shared" si="131"/>
        <v>44163</v>
      </c>
      <c r="Y347" s="385">
        <f t="shared" si="132"/>
        <v>10.257</v>
      </c>
      <c r="Z347" s="385">
        <f t="shared" si="133"/>
        <v>10.46578098207373</v>
      </c>
      <c r="AA347" s="386">
        <f t="shared" si="134"/>
        <v>11.376615022593523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8.0061955046462463E-2</v>
      </c>
      <c r="AD347" s="231">
        <f>(INDEX(Models!$BJ347:$BT347,,AH347)*(1-AF347)+INDEX(Models!$BJ347:$BT347,,AH347+1)*AF347-ERP_i)*AE347*Ramure*Pc/MaxiM</f>
        <v>1.3819750900075833E-3</v>
      </c>
      <c r="AE347" s="305">
        <f t="shared" si="136"/>
        <v>0.7</v>
      </c>
      <c r="AF347" s="177">
        <f t="shared" si="137"/>
        <v>0.49977717440503144</v>
      </c>
      <c r="AG347" s="919">
        <f t="shared" si="143"/>
        <v>-1</v>
      </c>
      <c r="AH347" s="176">
        <f t="shared" si="138"/>
        <v>5</v>
      </c>
      <c r="AI347" s="225">
        <f t="shared" si="139"/>
        <v>-0.50022282559496856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8">
        <v>24.61</v>
      </c>
      <c r="C348" s="390"/>
      <c r="D348" s="393">
        <f t="shared" si="122"/>
        <v>25.111485949133847</v>
      </c>
      <c r="E348" s="385">
        <f t="shared" si="120"/>
        <v>27.297123157389276</v>
      </c>
      <c r="F348" s="385">
        <f t="shared" si="123"/>
        <v>27.333508248606524</v>
      </c>
      <c r="G348" s="110">
        <f t="shared" si="121"/>
        <v>0.94849684266870793</v>
      </c>
      <c r="H348" s="412" t="b">
        <f>Wh_hp&gt;='2019'!Maxi_hp</f>
        <v>1</v>
      </c>
      <c r="I348" s="380">
        <f>IF(H348,Wh_hp,'2019'!Maxi_hp)</f>
        <v>27.333508248606524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1.9970381288851757E-2</v>
      </c>
      <c r="M348" s="957"/>
      <c r="N348" s="957"/>
      <c r="O348" s="48">
        <f>IF(t&lt;Tnet,'2019'!Resal+('2019'!Salim-'2019'!Resal)*(1-EXP(('2019'!Tnet-t)/('2019'!Tau_j))),Resal+(Salim-Resal)*(1-EXP((Tnet-t)/(Tau_j))))*Salcycl</f>
        <v>8.0068408515194867E-2</v>
      </c>
      <c r="P348" s="169">
        <f>(INDEX(Models!$BJ348:$BT348,,T348)*(1-R348)+INDEX(Models!$BJ348:$BT348,,T348+1)*R348-ERP_i)*Q348*Ramure*Pc/MaxiM</f>
        <v>1.4366506108361102E-3</v>
      </c>
      <c r="Q348" s="305">
        <f t="shared" si="125"/>
        <v>0.7</v>
      </c>
      <c r="R348" s="177">
        <f t="shared" si="126"/>
        <v>0.49979431757024062</v>
      </c>
      <c r="S348" s="919">
        <f t="shared" si="127"/>
        <v>-1</v>
      </c>
      <c r="T348" s="176">
        <f t="shared" si="128"/>
        <v>5</v>
      </c>
      <c r="U348" s="251">
        <f t="shared" si="129"/>
        <v>-0.50020568242975938</v>
      </c>
      <c r="V348" s="383">
        <f t="shared" si="130"/>
        <v>25.943576346171053</v>
      </c>
      <c r="W348" s="402"/>
      <c r="X348" s="157">
        <f t="shared" si="131"/>
        <v>44164</v>
      </c>
      <c r="Y348" s="385">
        <f t="shared" si="132"/>
        <v>24.61</v>
      </c>
      <c r="Z348" s="385">
        <f t="shared" si="133"/>
        <v>25.111485949133847</v>
      </c>
      <c r="AA348" s="386">
        <f t="shared" si="134"/>
        <v>27.297123157389276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8.0068408515194867E-2</v>
      </c>
      <c r="AD348" s="231">
        <f>(INDEX(Models!$BJ348:$BT348,,AH348)*(1-AF348)+INDEX(Models!$BJ348:$BT348,,AH348+1)*AF348-ERP_i)*AE348*Ramure*Pc/MaxiM</f>
        <v>1.4366506108361102E-3</v>
      </c>
      <c r="AE348" s="305">
        <f t="shared" si="136"/>
        <v>0.7</v>
      </c>
      <c r="AF348" s="177">
        <f t="shared" si="137"/>
        <v>0.49979431757024062</v>
      </c>
      <c r="AG348" s="919">
        <f t="shared" si="143"/>
        <v>-1</v>
      </c>
      <c r="AH348" s="176">
        <f t="shared" si="138"/>
        <v>5</v>
      </c>
      <c r="AI348" s="225">
        <f t="shared" si="139"/>
        <v>-0.50020568242975938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8">
        <v>25.443000000000001</v>
      </c>
      <c r="C349" s="390"/>
      <c r="D349" s="393">
        <f t="shared" si="122"/>
        <v>25.9620288952744</v>
      </c>
      <c r="E349" s="385">
        <f t="shared" si="120"/>
        <v>28.221935296348253</v>
      </c>
      <c r="F349" s="385">
        <f t="shared" si="123"/>
        <v>28.263329653266126</v>
      </c>
      <c r="G349" s="110">
        <f t="shared" si="121"/>
        <v>0.98847585235940016</v>
      </c>
      <c r="H349" s="412" t="b">
        <f>Wh_hp&gt;='2019'!Maxi_hp</f>
        <v>1</v>
      </c>
      <c r="I349" s="380">
        <f>IF(H349,Wh_hp,'2019'!Maxi_hp)</f>
        <v>28.263329653266126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1.9991846452681261E-2</v>
      </c>
      <c r="M349" s="957"/>
      <c r="N349" s="957"/>
      <c r="O349" s="48">
        <f>IF(t&lt;Tnet,'2019'!Resal+('2019'!Salim-'2019'!Resal)*(1-EXP(('2019'!Tnet-t)/('2019'!Tau_j))),Resal+(Salim-Resal)*(1-EXP((Tnet-t)/(Tau_j))))*Salcycl</f>
        <v>8.007623776836699E-2</v>
      </c>
      <c r="P349" s="169">
        <f>(INDEX(Models!$BJ349:$BT349,,T349)*(1-R349)+INDEX(Models!$BJ349:$BT349,,T349+1)*R349-ERP_i)*Q349*Ramure*Pc/MaxiM</f>
        <v>1.4890588688437766E-3</v>
      </c>
      <c r="Q349" s="305">
        <f t="shared" si="125"/>
        <v>0.7</v>
      </c>
      <c r="R349" s="177">
        <f t="shared" si="126"/>
        <v>0.49981077160641607</v>
      </c>
      <c r="S349" s="919">
        <f t="shared" si="127"/>
        <v>-1</v>
      </c>
      <c r="T349" s="176">
        <f t="shared" si="128"/>
        <v>5</v>
      </c>
      <c r="U349" s="251">
        <f t="shared" si="129"/>
        <v>-0.50018922839358393</v>
      </c>
      <c r="V349" s="383">
        <f t="shared" si="130"/>
        <v>25.738996673723388</v>
      </c>
      <c r="W349" s="402"/>
      <c r="X349" s="157">
        <f t="shared" si="131"/>
        <v>44165</v>
      </c>
      <c r="Y349" s="385">
        <f t="shared" si="132"/>
        <v>25.443000000000001</v>
      </c>
      <c r="Z349" s="385">
        <f t="shared" si="133"/>
        <v>25.9620288952744</v>
      </c>
      <c r="AA349" s="386">
        <f t="shared" si="134"/>
        <v>28.221935296348253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8.007623776836699E-2</v>
      </c>
      <c r="AD349" s="231">
        <f>(INDEX(Models!$BJ349:$BT349,,AH349)*(1-AF349)+INDEX(Models!$BJ349:$BT349,,AH349+1)*AF349-ERP_i)*AE349*Ramure*Pc/MaxiM</f>
        <v>1.4890588688437766E-3</v>
      </c>
      <c r="AE349" s="305">
        <f t="shared" si="136"/>
        <v>0.7</v>
      </c>
      <c r="AF349" s="177">
        <f t="shared" si="137"/>
        <v>0.49981077160641607</v>
      </c>
      <c r="AG349" s="919">
        <f t="shared" si="143"/>
        <v>-1</v>
      </c>
      <c r="AH349" s="176">
        <f t="shared" si="138"/>
        <v>5</v>
      </c>
      <c r="AI349" s="225">
        <f t="shared" si="139"/>
        <v>-0.50018922839358393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8">
        <v>3.956</v>
      </c>
      <c r="C350" s="390"/>
      <c r="D350" s="393">
        <f t="shared" si="122"/>
        <v>4.0367895247920647</v>
      </c>
      <c r="E350" s="385">
        <f t="shared" si="120"/>
        <v>4.3882221892728523</v>
      </c>
      <c r="F350" s="385">
        <f t="shared" si="123"/>
        <v>4.3882221892728523</v>
      </c>
      <c r="G350" s="110">
        <f t="shared" si="121"/>
        <v>0.15465315538959704</v>
      </c>
      <c r="H350" s="412" t="b">
        <f>Wh_hp&gt;='2019'!Maxi_hp</f>
        <v>0</v>
      </c>
      <c r="I350" s="380">
        <f>IF(H350,Wh_hp,'2019'!Maxi_hp)</f>
        <v>7.8128549705141292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2.0013311146368506E-2</v>
      </c>
      <c r="M350" s="957"/>
      <c r="N350" s="957"/>
      <c r="O350" s="48">
        <f>IF(t&lt;Tnet,'2019'!Resal+('2019'!Salim-'2019'!Resal)*(1-EXP(('2019'!Tnet-t)/('2019'!Tau_j))),Resal+(Salim-Resal)*(1-EXP((Tnet-t)/(Tau_j))))*Salcycl</f>
        <v>8.0085430801538696E-2</v>
      </c>
      <c r="P350" s="169">
        <f>(INDEX(Models!$BJ350:$BT350,,T350)*(1-R350)+INDEX(Models!$BJ350:$BT350,,T350+1)*R350-ERP_i)*Q350*Ramure*Pc/MaxiM</f>
        <v>1.5390870830600529E-3</v>
      </c>
      <c r="Q350" s="305">
        <f t="shared" si="125"/>
        <v>0.7</v>
      </c>
      <c r="R350" s="177">
        <f t="shared" si="126"/>
        <v>0.49982656417283799</v>
      </c>
      <c r="S350" s="919">
        <f t="shared" si="127"/>
        <v>-1</v>
      </c>
      <c r="T350" s="176">
        <f t="shared" si="128"/>
        <v>5</v>
      </c>
      <c r="U350" s="251">
        <f t="shared" si="129"/>
        <v>-0.50017343582716201</v>
      </c>
      <c r="V350" s="383">
        <f t="shared" si="130"/>
        <v>25.540451221631592</v>
      </c>
      <c r="W350" s="402"/>
      <c r="X350" s="157">
        <f t="shared" si="131"/>
        <v>44166</v>
      </c>
      <c r="Y350" s="385">
        <f t="shared" si="132"/>
        <v>3.956</v>
      </c>
      <c r="Z350" s="385">
        <f t="shared" si="133"/>
        <v>4.0367895247920647</v>
      </c>
      <c r="AA350" s="386">
        <f t="shared" si="134"/>
        <v>4.3882221892728523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8.0085430801538696E-2</v>
      </c>
      <c r="AD350" s="231">
        <f>(INDEX(Models!$BJ350:$BT350,,AH350)*(1-AF350)+INDEX(Models!$BJ350:$BT350,,AH350+1)*AF350-ERP_i)*AE350*Ramure*Pc/MaxiM</f>
        <v>1.5390870830600529E-3</v>
      </c>
      <c r="AE350" s="305">
        <f t="shared" si="136"/>
        <v>0.7</v>
      </c>
      <c r="AF350" s="177">
        <f t="shared" si="137"/>
        <v>0.49982656417283799</v>
      </c>
      <c r="AG350" s="919">
        <f t="shared" si="143"/>
        <v>-1</v>
      </c>
      <c r="AH350" s="176">
        <f t="shared" si="138"/>
        <v>5</v>
      </c>
      <c r="AI350" s="225">
        <f t="shared" si="139"/>
        <v>-0.50017343582716201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8">
        <v>1.0309999999999999</v>
      </c>
      <c r="C351" s="390"/>
      <c r="D351" s="393">
        <f t="shared" si="122"/>
        <v>1.0520781493947287</v>
      </c>
      <c r="E351" s="385">
        <f t="shared" si="120"/>
        <v>1.1436825108116131</v>
      </c>
      <c r="F351" s="385">
        <f t="shared" si="123"/>
        <v>1.1436825108116131</v>
      </c>
      <c r="G351" s="110">
        <f t="shared" si="121"/>
        <v>4.0606740834359709E-2</v>
      </c>
      <c r="H351" s="412" t="b">
        <f>Wh_hp&gt;='2019'!Maxi_hp</f>
        <v>0</v>
      </c>
      <c r="I351" s="380">
        <f>IF(H351,Wh_hp,'2019'!Maxi_hp)</f>
        <v>10.193235268861663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2.0034775369924041E-2</v>
      </c>
      <c r="M351" s="957"/>
      <c r="N351" s="957"/>
      <c r="O351" s="48">
        <f>IF(t&lt;Tnet,'2019'!Resal+('2019'!Salim-'2019'!Resal)*(1-EXP(('2019'!Tnet-t)/('2019'!Tau_j))),Resal+(Salim-Resal)*(1-EXP((Tnet-t)/(Tau_j))))*Salcycl</f>
        <v>8.0095971172871608E-2</v>
      </c>
      <c r="P351" s="169">
        <f>(INDEX(Models!$BJ351:$BT351,,T351)*(1-R351)+INDEX(Models!$BJ351:$BT351,,T351+1)*R351-ERP_i)*Q351*Ramure*Pc/MaxiM</f>
        <v>1.5866043734501089E-3</v>
      </c>
      <c r="Q351" s="305">
        <f t="shared" si="125"/>
        <v>0.7</v>
      </c>
      <c r="R351" s="177">
        <f t="shared" si="126"/>
        <v>0.4998417218220006</v>
      </c>
      <c r="S351" s="919">
        <f t="shared" si="127"/>
        <v>-1</v>
      </c>
      <c r="T351" s="176">
        <f t="shared" si="128"/>
        <v>5</v>
      </c>
      <c r="U351" s="251">
        <f t="shared" si="129"/>
        <v>-0.5001582781779994</v>
      </c>
      <c r="V351" s="383">
        <f t="shared" si="130"/>
        <v>25.349589495248736</v>
      </c>
      <c r="W351" s="402"/>
      <c r="X351" s="157">
        <f t="shared" si="131"/>
        <v>44167</v>
      </c>
      <c r="Y351" s="385">
        <f t="shared" si="132"/>
        <v>1.0309999999999999</v>
      </c>
      <c r="Z351" s="385">
        <f t="shared" si="133"/>
        <v>1.0520781493947287</v>
      </c>
      <c r="AA351" s="386">
        <f t="shared" si="134"/>
        <v>1.1436825108116131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8.0095971172871608E-2</v>
      </c>
      <c r="AD351" s="231">
        <f>(INDEX(Models!$BJ351:$BT351,,AH351)*(1-AF351)+INDEX(Models!$BJ351:$BT351,,AH351+1)*AF351-ERP_i)*AE351*Ramure*Pc/MaxiM</f>
        <v>1.5866043734501089E-3</v>
      </c>
      <c r="AE351" s="305">
        <f t="shared" si="136"/>
        <v>0.7</v>
      </c>
      <c r="AF351" s="177">
        <f t="shared" si="137"/>
        <v>0.4998417218220006</v>
      </c>
      <c r="AG351" s="919">
        <f t="shared" si="143"/>
        <v>-1</v>
      </c>
      <c r="AH351" s="176">
        <f t="shared" si="138"/>
        <v>5</v>
      </c>
      <c r="AI351" s="225">
        <f t="shared" si="139"/>
        <v>-0.5001582781779994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8">
        <v>12.429</v>
      </c>
      <c r="C352" s="390"/>
      <c r="D352" s="393">
        <f t="shared" si="122"/>
        <v>12.68338092063693</v>
      </c>
      <c r="E352" s="385">
        <f t="shared" si="120"/>
        <v>13.787899764192204</v>
      </c>
      <c r="F352" s="385">
        <f t="shared" si="123"/>
        <v>13.794125294942017</v>
      </c>
      <c r="G352" s="110">
        <f t="shared" si="121"/>
        <v>0.49325712389260989</v>
      </c>
      <c r="H352" s="412" t="b">
        <f>Wh_hp&gt;='2019'!Maxi_hp</f>
        <v>1</v>
      </c>
      <c r="I352" s="380">
        <f>IF(H352,Wh_hp,'2019'!Maxi_hp)</f>
        <v>13.794125294942017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2.0056239123357855E-2</v>
      </c>
      <c r="M352" s="957"/>
      <c r="N352" s="957"/>
      <c r="O352" s="48">
        <f>IF(t&lt;Tnet,'2019'!Resal+('2019'!Salim-'2019'!Resal)*(1-EXP(('2019'!Tnet-t)/('2019'!Tau_j))),Resal+(Salim-Resal)*(1-EXP((Tnet-t)/(Tau_j))))*Salcycl</f>
        <v>8.0107838209250617E-2</v>
      </c>
      <c r="P352" s="169">
        <f>(INDEX(Models!$BJ352:$BT352,,T352)*(1-R352)+INDEX(Models!$BJ352:$BT352,,T352+1)*R352-ERP_i)*Q352*Ramure*Pc/MaxiM</f>
        <v>1.6298147926606327E-3</v>
      </c>
      <c r="Q352" s="305">
        <f t="shared" si="125"/>
        <v>0.7</v>
      </c>
      <c r="R352" s="177">
        <f t="shared" si="126"/>
        <v>0.49985627004363553</v>
      </c>
      <c r="S352" s="919">
        <f t="shared" si="127"/>
        <v>-1</v>
      </c>
      <c r="T352" s="176">
        <f t="shared" si="128"/>
        <v>5</v>
      </c>
      <c r="U352" s="251">
        <f t="shared" si="129"/>
        <v>-0.50014372995636447</v>
      </c>
      <c r="V352" s="383">
        <f t="shared" si="130"/>
        <v>25.16810248182362</v>
      </c>
      <c r="W352" s="402"/>
      <c r="X352" s="157">
        <f t="shared" si="131"/>
        <v>44168</v>
      </c>
      <c r="Y352" s="385">
        <f t="shared" si="132"/>
        <v>12.429</v>
      </c>
      <c r="Z352" s="385">
        <f t="shared" si="133"/>
        <v>12.68338092063693</v>
      </c>
      <c r="AA352" s="386">
        <f t="shared" si="134"/>
        <v>13.787899764192204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8.0107838209250617E-2</v>
      </c>
      <c r="AD352" s="231">
        <f>(INDEX(Models!$BJ352:$BT352,,AH352)*(1-AF352)+INDEX(Models!$BJ352:$BT352,,AH352+1)*AF352-ERP_i)*AE352*Ramure*Pc/MaxiM</f>
        <v>1.6298147926606327E-3</v>
      </c>
      <c r="AE352" s="305">
        <f t="shared" si="136"/>
        <v>0.7</v>
      </c>
      <c r="AF352" s="177">
        <f t="shared" si="137"/>
        <v>0.49985627004363553</v>
      </c>
      <c r="AG352" s="919">
        <f t="shared" si="143"/>
        <v>-1</v>
      </c>
      <c r="AH352" s="176">
        <f t="shared" si="138"/>
        <v>5</v>
      </c>
      <c r="AI352" s="225">
        <f t="shared" si="139"/>
        <v>-0.50014372995636447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8">
        <v>8.8710000000000004</v>
      </c>
      <c r="C353" s="390"/>
      <c r="D353" s="393">
        <f t="shared" si="122"/>
        <v>9.052758592989564</v>
      </c>
      <c r="E353" s="385">
        <f t="shared" si="120"/>
        <v>9.8412494080114037</v>
      </c>
      <c r="F353" s="385">
        <f t="shared" si="123"/>
        <v>9.8425361029522183</v>
      </c>
      <c r="G353" s="110">
        <f t="shared" si="121"/>
        <v>0.3543277131891362</v>
      </c>
      <c r="H353" s="412" t="b">
        <f>Wh_hp&gt;='2019'!Maxi_hp</f>
        <v>0</v>
      </c>
      <c r="I353" s="380">
        <f>IF(H353,Wh_hp,'2019'!Maxi_hp)</f>
        <v>21.606623524518486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2.0077702406680387E-2</v>
      </c>
      <c r="M353" s="957"/>
      <c r="N353" s="957"/>
      <c r="O353" s="48">
        <f>IF(t&lt;Tnet,'2019'!Resal+('2019'!Salim-'2019'!Resal)*(1-EXP(('2019'!Tnet-t)/('2019'!Tau_j))),Resal+(Salim-Resal)*(1-EXP((Tnet-t)/(Tau_j))))*Salcycl</f>
        <v>8.0121007235113589E-2</v>
      </c>
      <c r="P353" s="169">
        <f>(INDEX(Models!$BJ353:$BT353,,T353)*(1-R353)+INDEX(Models!$BJ353:$BT353,,T353+1)*R353-ERP_i)*Q353*Ramure*Pc/MaxiM</f>
        <v>1.6676554933110648E-3</v>
      </c>
      <c r="Q353" s="305">
        <f t="shared" si="125"/>
        <v>0.7</v>
      </c>
      <c r="R353" s="177">
        <f t="shared" si="126"/>
        <v>0.49987023330700453</v>
      </c>
      <c r="S353" s="919">
        <f t="shared" si="127"/>
        <v>-1</v>
      </c>
      <c r="T353" s="176">
        <f t="shared" si="128"/>
        <v>5</v>
      </c>
      <c r="U353" s="251">
        <f t="shared" si="129"/>
        <v>-0.50012976669299547</v>
      </c>
      <c r="V353" s="383">
        <f t="shared" si="130"/>
        <v>24.997661215346046</v>
      </c>
      <c r="W353" s="402"/>
      <c r="X353" s="157">
        <f t="shared" si="131"/>
        <v>44169</v>
      </c>
      <c r="Y353" s="385">
        <f t="shared" si="132"/>
        <v>8.8710000000000004</v>
      </c>
      <c r="Z353" s="385">
        <f t="shared" si="133"/>
        <v>9.052758592989564</v>
      </c>
      <c r="AA353" s="386">
        <f t="shared" si="134"/>
        <v>9.8412494080114037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8.0121007235113589E-2</v>
      </c>
      <c r="AD353" s="231">
        <f>(INDEX(Models!$BJ353:$BT353,,AH353)*(1-AF353)+INDEX(Models!$BJ353:$BT353,,AH353+1)*AF353-ERP_i)*AE353*Ramure*Pc/MaxiM</f>
        <v>1.6676554933110648E-3</v>
      </c>
      <c r="AE353" s="305">
        <f t="shared" si="136"/>
        <v>0.7</v>
      </c>
      <c r="AF353" s="177">
        <f t="shared" si="137"/>
        <v>0.49987023330700453</v>
      </c>
      <c r="AG353" s="919">
        <f t="shared" si="143"/>
        <v>-1</v>
      </c>
      <c r="AH353" s="176">
        <f t="shared" si="138"/>
        <v>5</v>
      </c>
      <c r="AI353" s="225">
        <f t="shared" si="139"/>
        <v>-0.50012976669299547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8">
        <v>20.725000000000001</v>
      </c>
      <c r="C354" s="390"/>
      <c r="D354" s="393">
        <f t="shared" si="122"/>
        <v>21.150099341073577</v>
      </c>
      <c r="E354" s="385">
        <f t="shared" si="120"/>
        <v>22.992623573743625</v>
      </c>
      <c r="F354" s="385">
        <f t="shared" si="123"/>
        <v>23.022498392650729</v>
      </c>
      <c r="G354" s="110">
        <f t="shared" si="121"/>
        <v>0.83400656646067683</v>
      </c>
      <c r="H354" s="412" t="b">
        <f>Wh_hp&gt;='2019'!Maxi_hp</f>
        <v>1</v>
      </c>
      <c r="I354" s="380">
        <f>IF(H354,Wh_hp,'2019'!Maxi_hp)</f>
        <v>23.022498392650729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2.009916521990196E-2</v>
      </c>
      <c r="M354" s="957"/>
      <c r="N354" s="957"/>
      <c r="O354" s="48">
        <f>IF(t&lt;Tnet,'2019'!Resal+('2019'!Salim-'2019'!Resal)*(1-EXP(('2019'!Tnet-t)/('2019'!Tau_j))),Resal+(Salim-Resal)*(1-EXP((Tnet-t)/(Tau_j))))*Salcycl</f>
        <v>8.0135449822007807E-2</v>
      </c>
      <c r="P354" s="169">
        <f>(INDEX(Models!$BJ354:$BT354,,T354)*(1-R354)+INDEX(Models!$BJ354:$BT354,,T354+1)*R354-ERP_i)*Q354*Ramure*Pc/MaxiM</f>
        <v>1.6999299561949995E-3</v>
      </c>
      <c r="Q354" s="305">
        <f t="shared" si="125"/>
        <v>0.7</v>
      </c>
      <c r="R354" s="177">
        <f t="shared" si="126"/>
        <v>0.49988363510152745</v>
      </c>
      <c r="S354" s="919">
        <f t="shared" si="127"/>
        <v>-1</v>
      </c>
      <c r="T354" s="176">
        <f t="shared" si="128"/>
        <v>5</v>
      </c>
      <c r="U354" s="251">
        <f t="shared" si="129"/>
        <v>-0.50011636489847255</v>
      </c>
      <c r="V354" s="383">
        <f t="shared" si="130"/>
        <v>24.839914281589646</v>
      </c>
      <c r="W354" s="402"/>
      <c r="X354" s="157">
        <f t="shared" si="131"/>
        <v>44170</v>
      </c>
      <c r="Y354" s="385">
        <f t="shared" si="132"/>
        <v>20.725000000000001</v>
      </c>
      <c r="Z354" s="385">
        <f t="shared" si="133"/>
        <v>21.150099341073577</v>
      </c>
      <c r="AA354" s="386">
        <f t="shared" si="134"/>
        <v>22.992623573743625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8.0135449822007807E-2</v>
      </c>
      <c r="AD354" s="231">
        <f>(INDEX(Models!$BJ354:$BT354,,AH354)*(1-AF354)+INDEX(Models!$BJ354:$BT354,,AH354+1)*AF354-ERP_i)*AE354*Ramure*Pc/MaxiM</f>
        <v>1.6999299561949995E-3</v>
      </c>
      <c r="AE354" s="305">
        <f t="shared" si="136"/>
        <v>0.7</v>
      </c>
      <c r="AF354" s="177">
        <f t="shared" si="137"/>
        <v>0.49988363510152745</v>
      </c>
      <c r="AG354" s="919">
        <f t="shared" si="143"/>
        <v>-1</v>
      </c>
      <c r="AH354" s="176">
        <f t="shared" si="138"/>
        <v>5</v>
      </c>
      <c r="AI354" s="225">
        <f t="shared" si="139"/>
        <v>-0.50011636489847255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8">
        <v>12.45</v>
      </c>
      <c r="C355" s="390"/>
      <c r="D355" s="393">
        <f t="shared" si="122"/>
        <v>12.705645562307081</v>
      </c>
      <c r="E355" s="385">
        <f t="shared" si="120"/>
        <v>13.812753412788219</v>
      </c>
      <c r="F355" s="385">
        <f t="shared" si="123"/>
        <v>13.819710646749522</v>
      </c>
      <c r="G355" s="110">
        <f t="shared" si="121"/>
        <v>0.5035029563708906</v>
      </c>
      <c r="H355" s="412" t="b">
        <f>Wh_hp&gt;='2019'!Maxi_hp</f>
        <v>0</v>
      </c>
      <c r="I355" s="380">
        <f>IF(H355,Wh_hp,'2019'!Maxi_hp)</f>
        <v>23.615013833101326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2.01206275630329E-2</v>
      </c>
      <c r="M355" s="957"/>
      <c r="N355" s="957"/>
      <c r="O355" s="48">
        <f>IF(t&lt;Tnet,'2019'!Resal+('2019'!Salim-'2019'!Resal)*(1-EXP(('2019'!Tnet-t)/('2019'!Tau_j))),Resal+(Salim-Resal)*(1-EXP((Tnet-t)/(Tau_j))))*Salcycl</f>
        <v>8.0151134056743983E-2</v>
      </c>
      <c r="P355" s="169">
        <f>(INDEX(Models!$BJ355:$BT355,,T355)*(1-R355)+INDEX(Models!$BJ355:$BT355,,T355+1)*R355-ERP_i)*Q355*Ramure*Pc/MaxiM</f>
        <v>1.726436241211549E-3</v>
      </c>
      <c r="Q355" s="305">
        <f t="shared" si="125"/>
        <v>0.7</v>
      </c>
      <c r="R355" s="177">
        <f t="shared" si="126"/>
        <v>0.49989649797581248</v>
      </c>
      <c r="S355" s="919">
        <f t="shared" si="127"/>
        <v>-1</v>
      </c>
      <c r="T355" s="176">
        <f t="shared" si="128"/>
        <v>5</v>
      </c>
      <c r="U355" s="251">
        <f t="shared" si="129"/>
        <v>-0.50010350202418752</v>
      </c>
      <c r="V355" s="383">
        <f t="shared" si="130"/>
        <v>24.696510169361662</v>
      </c>
      <c r="W355" s="402"/>
      <c r="X355" s="157">
        <f t="shared" si="131"/>
        <v>44171</v>
      </c>
      <c r="Y355" s="385">
        <f t="shared" si="132"/>
        <v>12.45</v>
      </c>
      <c r="Z355" s="385">
        <f t="shared" si="133"/>
        <v>12.705645562307081</v>
      </c>
      <c r="AA355" s="386">
        <f t="shared" si="134"/>
        <v>13.812753412788219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8.0151134056743983E-2</v>
      </c>
      <c r="AD355" s="231">
        <f>(INDEX(Models!$BJ355:$BT355,,AH355)*(1-AF355)+INDEX(Models!$BJ355:$BT355,,AH355+1)*AF355-ERP_i)*AE355*Ramure*Pc/MaxiM</f>
        <v>1.726436241211549E-3</v>
      </c>
      <c r="AE355" s="305">
        <f t="shared" si="136"/>
        <v>0.7</v>
      </c>
      <c r="AF355" s="177">
        <f t="shared" si="137"/>
        <v>0.49989649797581248</v>
      </c>
      <c r="AG355" s="919">
        <f t="shared" si="143"/>
        <v>-1</v>
      </c>
      <c r="AH355" s="176">
        <f t="shared" si="138"/>
        <v>5</v>
      </c>
      <c r="AI355" s="225">
        <f t="shared" si="139"/>
        <v>-0.50010350202418752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8">
        <v>2.222</v>
      </c>
      <c r="C356" s="390"/>
      <c r="D356" s="393">
        <f t="shared" si="122"/>
        <v>2.2676757273115444</v>
      </c>
      <c r="E356" s="385">
        <f t="shared" si="120"/>
        <v>2.4653151755050837</v>
      </c>
      <c r="F356" s="385">
        <f t="shared" si="123"/>
        <v>2.4653151755050837</v>
      </c>
      <c r="G356" s="110">
        <f t="shared" si="121"/>
        <v>9.0280819210011951E-2</v>
      </c>
      <c r="H356" s="412" t="b">
        <f>Wh_hp&gt;='2019'!Maxi_hp</f>
        <v>0</v>
      </c>
      <c r="I356" s="380">
        <f>IF(H356,Wh_hp,'2019'!Maxi_hp)</f>
        <v>18.625313050324355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2.014208943608331E-2</v>
      </c>
      <c r="M356" s="957"/>
      <c r="N356" s="957"/>
      <c r="O356" s="48">
        <f>IF(t&lt;Tnet,'2019'!Resal+('2019'!Salim-'2019'!Resal)*(1-EXP(('2019'!Tnet-t)/('2019'!Tau_j))),Resal+(Salim-Resal)*(1-EXP((Tnet-t)/(Tau_j))))*Salcycl</f>
        <v>8.0168024825891804E-2</v>
      </c>
      <c r="P356" s="169">
        <f>(INDEX(Models!$BJ356:$BT356,,T356)*(1-R356)+INDEX(Models!$BJ356:$BT356,,T356+1)*R356-ERP_i)*Q356*Ramure*Pc/MaxiM</f>
        <v>1.7469718924517594E-3</v>
      </c>
      <c r="Q356" s="305">
        <f t="shared" si="125"/>
        <v>0.7</v>
      </c>
      <c r="R356" s="177">
        <f t="shared" si="126"/>
        <v>0.49990884357514664</v>
      </c>
      <c r="S356" s="919">
        <f t="shared" si="127"/>
        <v>-1</v>
      </c>
      <c r="T356" s="176">
        <f t="shared" si="128"/>
        <v>5</v>
      </c>
      <c r="U356" s="251">
        <f t="shared" si="129"/>
        <v>-0.50009115642485336</v>
      </c>
      <c r="V356" s="383">
        <f t="shared" si="130"/>
        <v>24.569097266332598</v>
      </c>
      <c r="W356" s="402"/>
      <c r="X356" s="157">
        <f t="shared" si="131"/>
        <v>44172</v>
      </c>
      <c r="Y356" s="385">
        <f t="shared" si="132"/>
        <v>2.222</v>
      </c>
      <c r="Z356" s="385">
        <f t="shared" si="133"/>
        <v>2.2676757273115444</v>
      </c>
      <c r="AA356" s="386">
        <f t="shared" si="134"/>
        <v>2.4653151755050837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8.0168024825891804E-2</v>
      </c>
      <c r="AD356" s="231">
        <f>(INDEX(Models!$BJ356:$BT356,,AH356)*(1-AF356)+INDEX(Models!$BJ356:$BT356,,AH356+1)*AF356-ERP_i)*AE356*Ramure*Pc/MaxiM</f>
        <v>1.7469718924517594E-3</v>
      </c>
      <c r="AE356" s="305">
        <f t="shared" si="136"/>
        <v>0.7</v>
      </c>
      <c r="AF356" s="177">
        <f t="shared" si="137"/>
        <v>0.49990884357514664</v>
      </c>
      <c r="AG356" s="919">
        <f t="shared" si="143"/>
        <v>-1</v>
      </c>
      <c r="AH356" s="176">
        <f t="shared" si="138"/>
        <v>5</v>
      </c>
      <c r="AI356" s="225">
        <f t="shared" si="139"/>
        <v>-0.50009115642485336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8">
        <v>7.4189999999999996</v>
      </c>
      <c r="C357" s="390"/>
      <c r="D357" s="393">
        <f t="shared" si="122"/>
        <v>7.5716717890553209</v>
      </c>
      <c r="E357" s="385">
        <f t="shared" si="120"/>
        <v>8.2317430278971866</v>
      </c>
      <c r="F357" s="385">
        <f t="shared" si="123"/>
        <v>8.2318117928702836</v>
      </c>
      <c r="G357" s="110">
        <f t="shared" si="121"/>
        <v>0.30278819415620284</v>
      </c>
      <c r="H357" s="412" t="b">
        <f>Wh_hp&gt;='2019'!Maxi_hp</f>
        <v>0</v>
      </c>
      <c r="I357" s="380">
        <f>IF(H357,Wh_hp,'2019'!Maxi_hp)</f>
        <v>9.4747658981708156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2.0163550839063737E-2</v>
      </c>
      <c r="M357" s="957"/>
      <c r="N357" s="957"/>
      <c r="O357" s="48">
        <f>IF(t&lt;Tnet,'2019'!Resal+('2019'!Salim-'2019'!Resal)*(1-EXP(('2019'!Tnet-t)/('2019'!Tau_j))),Resal+(Salim-Resal)*(1-EXP((Tnet-t)/(Tau_j))))*Salcycl</f>
        <v>8.0186084114251363E-2</v>
      </c>
      <c r="P357" s="169">
        <f>(INDEX(Models!$BJ357:$BT357,,T357)*(1-R357)+INDEX(Models!$BJ357:$BT357,,T357+1)*R357-ERP_i)*Q357*Ramure*Pc/MaxiM</f>
        <v>1.7613393533575559E-3</v>
      </c>
      <c r="Q357" s="305">
        <f t="shared" si="125"/>
        <v>0.7</v>
      </c>
      <c r="R357" s="177">
        <f t="shared" si="126"/>
        <v>0.49992069267750661</v>
      </c>
      <c r="S357" s="919">
        <f t="shared" si="127"/>
        <v>-1</v>
      </c>
      <c r="T357" s="176">
        <f t="shared" si="128"/>
        <v>5</v>
      </c>
      <c r="U357" s="251">
        <f t="shared" si="129"/>
        <v>-0.50007930732249339</v>
      </c>
      <c r="V357" s="383">
        <f t="shared" si="130"/>
        <v>24.459323820173719</v>
      </c>
      <c r="W357" s="402"/>
      <c r="X357" s="157">
        <f t="shared" si="131"/>
        <v>44173</v>
      </c>
      <c r="Y357" s="385">
        <f t="shared" si="132"/>
        <v>7.4189999999999996</v>
      </c>
      <c r="Z357" s="385">
        <f t="shared" si="133"/>
        <v>7.5716717890553209</v>
      </c>
      <c r="AA357" s="386">
        <f t="shared" si="134"/>
        <v>8.2317430278971866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8.0186084114251363E-2</v>
      </c>
      <c r="AD357" s="231">
        <f>(INDEX(Models!$BJ357:$BT357,,AH357)*(1-AF357)+INDEX(Models!$BJ357:$BT357,,AH357+1)*AF357-ERP_i)*AE357*Ramure*Pc/MaxiM</f>
        <v>1.7613393533575559E-3</v>
      </c>
      <c r="AE357" s="305">
        <f t="shared" si="136"/>
        <v>0.7</v>
      </c>
      <c r="AF357" s="177">
        <f t="shared" si="137"/>
        <v>0.49992069267750661</v>
      </c>
      <c r="AG357" s="919">
        <f t="shared" si="143"/>
        <v>-1</v>
      </c>
      <c r="AH357" s="176">
        <f t="shared" si="138"/>
        <v>5</v>
      </c>
      <c r="AI357" s="225">
        <f t="shared" si="139"/>
        <v>-0.50007930732249339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8">
        <v>7.1680000000000001</v>
      </c>
      <c r="C358" s="390"/>
      <c r="D358" s="393">
        <f t="shared" si="122"/>
        <v>7.3156668208997768</v>
      </c>
      <c r="E358" s="385">
        <f t="shared" si="120"/>
        <v>7.9535863739484061</v>
      </c>
      <c r="F358" s="385">
        <f t="shared" si="123"/>
        <v>7.9535863739484061</v>
      </c>
      <c r="G358" s="110">
        <f t="shared" si="121"/>
        <v>0.29362570831373908</v>
      </c>
      <c r="H358" s="412" t="b">
        <f>Wh_hp&gt;='2019'!Maxi_hp</f>
        <v>0</v>
      </c>
      <c r="I358" s="380">
        <f>IF(H358,Wh_hp,'2019'!Maxi_hp)</f>
        <v>22.134135091685113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2.0185011771984285E-2</v>
      </c>
      <c r="M358" s="957"/>
      <c r="N358" s="957"/>
      <c r="O358" s="48">
        <f>IF(t&lt;Tnet,'2019'!Resal+('2019'!Salim-'2019'!Resal)*(1-EXP(('2019'!Tnet-t)/('2019'!Tau_j))),Resal+(Salim-Resal)*(1-EXP((Tnet-t)/(Tau_j))))*Salcycl</f>
        <v>8.020527131485039E-2</v>
      </c>
      <c r="P358" s="169">
        <f>(INDEX(Models!$BJ358:$BT358,,T358)*(1-R358)+INDEX(Models!$BJ358:$BT358,,T358+1)*R358-ERP_i)*Q358*Ramure*Pc/MaxiM</f>
        <v>1.7693518288684198E-3</v>
      </c>
      <c r="Q358" s="305">
        <f t="shared" si="125"/>
        <v>0.7</v>
      </c>
      <c r="R358" s="177">
        <f t="shared" si="126"/>
        <v>0.49993206522815115</v>
      </c>
      <c r="S358" s="919">
        <f t="shared" si="127"/>
        <v>-1</v>
      </c>
      <c r="T358" s="176">
        <f t="shared" si="128"/>
        <v>5</v>
      </c>
      <c r="U358" s="251">
        <f t="shared" si="129"/>
        <v>-0.50006793477184885</v>
      </c>
      <c r="V358" s="383">
        <f t="shared" si="130"/>
        <v>24.368837889512097</v>
      </c>
      <c r="W358" s="402"/>
      <c r="X358" s="157">
        <f t="shared" si="131"/>
        <v>44174</v>
      </c>
      <c r="Y358" s="385">
        <f t="shared" si="132"/>
        <v>7.1680000000000001</v>
      </c>
      <c r="Z358" s="385">
        <f t="shared" si="133"/>
        <v>7.3156668208997768</v>
      </c>
      <c r="AA358" s="386">
        <f t="shared" si="134"/>
        <v>7.9535863739484061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8.020527131485039E-2</v>
      </c>
      <c r="AD358" s="231">
        <f>(INDEX(Models!$BJ358:$BT358,,AH358)*(1-AF358)+INDEX(Models!$BJ358:$BT358,,AH358+1)*AF358-ERP_i)*AE358*Ramure*Pc/MaxiM</f>
        <v>1.7693518288684198E-3</v>
      </c>
      <c r="AE358" s="305">
        <f t="shared" si="136"/>
        <v>0.7</v>
      </c>
      <c r="AF358" s="177">
        <f t="shared" si="137"/>
        <v>0.49993206522815115</v>
      </c>
      <c r="AG358" s="919">
        <f t="shared" si="143"/>
        <v>-1</v>
      </c>
      <c r="AH358" s="176">
        <f t="shared" si="138"/>
        <v>5</v>
      </c>
      <c r="AI358" s="225">
        <f t="shared" si="139"/>
        <v>-0.50006793477184885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8">
        <v>4.4829999999999997</v>
      </c>
      <c r="C359" s="390"/>
      <c r="D359" s="393">
        <f t="shared" si="122"/>
        <v>4.5754537797626371</v>
      </c>
      <c r="E359" s="385">
        <f t="shared" si="120"/>
        <v>4.9745388640298396</v>
      </c>
      <c r="F359" s="385">
        <f t="shared" si="123"/>
        <v>4.9745388640298396</v>
      </c>
      <c r="G359" s="110">
        <f t="shared" si="121"/>
        <v>0.18418787887236532</v>
      </c>
      <c r="H359" s="412" t="b">
        <f>Wh_hp&gt;='2019'!Maxi_hp</f>
        <v>0</v>
      </c>
      <c r="I359" s="380">
        <f>IF(H359,Wh_hp,'2019'!Maxi_hp)</f>
        <v>23.016717284204159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2.0206472234855388E-2</v>
      </c>
      <c r="M359" s="957"/>
      <c r="N359" s="957"/>
      <c r="O359" s="48">
        <f>IF(t&lt;Tnet,'2019'!Resal+('2019'!Salim-'2019'!Resal)*(1-EXP(('2019'!Tnet-t)/('2019'!Tau_j))),Resal+(Salim-Resal)*(1-EXP((Tnet-t)/(Tau_j))))*Salcycl</f>
        <v>8.0225543547951292E-2</v>
      </c>
      <c r="P359" s="169">
        <f>(INDEX(Models!$BJ359:$BT359,,T359)*(1-R359)+INDEX(Models!$BJ359:$BT359,,T359+1)*R359-ERP_i)*Q359*Ramure*Pc/MaxiM</f>
        <v>1.7710661872307539E-3</v>
      </c>
      <c r="Q359" s="305">
        <f t="shared" si="125"/>
        <v>0.7</v>
      </c>
      <c r="R359" s="177">
        <f t="shared" si="126"/>
        <v>0.49994298037284257</v>
      </c>
      <c r="S359" s="919">
        <f t="shared" si="127"/>
        <v>-1</v>
      </c>
      <c r="T359" s="176">
        <f t="shared" si="128"/>
        <v>5</v>
      </c>
      <c r="U359" s="251">
        <f t="shared" si="129"/>
        <v>-0.50005701962715743</v>
      </c>
      <c r="V359" s="383">
        <f t="shared" si="130"/>
        <v>24.296171592179949</v>
      </c>
      <c r="W359" s="402"/>
      <c r="X359" s="157">
        <f t="shared" si="131"/>
        <v>44175</v>
      </c>
      <c r="Y359" s="385">
        <f t="shared" si="132"/>
        <v>4.4829999999999997</v>
      </c>
      <c r="Z359" s="385">
        <f t="shared" si="133"/>
        <v>4.5754537797626371</v>
      </c>
      <c r="AA359" s="386">
        <f t="shared" si="134"/>
        <v>4.9745388640298396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8.0225543547951292E-2</v>
      </c>
      <c r="AD359" s="231">
        <f>(INDEX(Models!$BJ359:$BT359,,AH359)*(1-AF359)+INDEX(Models!$BJ359:$BT359,,AH359+1)*AF359-ERP_i)*AE359*Ramure*Pc/MaxiM</f>
        <v>1.7710661872307539E-3</v>
      </c>
      <c r="AE359" s="305">
        <f t="shared" si="136"/>
        <v>0.7</v>
      </c>
      <c r="AF359" s="177">
        <f t="shared" si="137"/>
        <v>0.49994298037284257</v>
      </c>
      <c r="AG359" s="919">
        <f t="shared" si="143"/>
        <v>-1</v>
      </c>
      <c r="AH359" s="176">
        <f t="shared" si="138"/>
        <v>5</v>
      </c>
      <c r="AI359" s="225">
        <f t="shared" si="139"/>
        <v>-0.50005701962715743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8">
        <v>6.383</v>
      </c>
      <c r="C360" s="390"/>
      <c r="D360" s="393">
        <f t="shared" si="122"/>
        <v>6.5147805392257139</v>
      </c>
      <c r="E360" s="385">
        <f t="shared" si="120"/>
        <v>7.0831837668936135</v>
      </c>
      <c r="F360" s="385">
        <f t="shared" si="123"/>
        <v>7.0831837668936135</v>
      </c>
      <c r="G360" s="110">
        <f t="shared" si="121"/>
        <v>0.26287671566969328</v>
      </c>
      <c r="H360" s="412" t="b">
        <f>Wh_hp&gt;='2019'!Maxi_hp</f>
        <v>1</v>
      </c>
      <c r="I360" s="380">
        <f>IF(H360,Wh_hp,'2019'!Maxi_hp)</f>
        <v>7.0831837668936135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2.0227932227687262E-2</v>
      </c>
      <c r="M360" s="957"/>
      <c r="N360" s="957"/>
      <c r="O360" s="48">
        <f>IF(t&lt;Tnet,'2019'!Resal+('2019'!Salim-'2019'!Resal)*(1-EXP(('2019'!Tnet-t)/('2019'!Tau_j))),Resal+(Salim-Resal)*(1-EXP((Tnet-t)/(Tau_j))))*Salcycl</f>
        <v>8.0246855986510338E-2</v>
      </c>
      <c r="P360" s="169">
        <f>(INDEX(Models!$BJ360:$BT360,,T360)*(1-R360)+INDEX(Models!$BJ360:$BT360,,T360+1)*R360-ERP_i)*Q360*Ramure*Pc/MaxiM</f>
        <v>1.766664716010618E-3</v>
      </c>
      <c r="Q360" s="305">
        <f t="shared" si="125"/>
        <v>0.7</v>
      </c>
      <c r="R360" s="177">
        <f t="shared" si="126"/>
        <v>0.4999534564897572</v>
      </c>
      <c r="S360" s="919">
        <f t="shared" si="127"/>
        <v>-1</v>
      </c>
      <c r="T360" s="176">
        <f t="shared" si="128"/>
        <v>5</v>
      </c>
      <c r="U360" s="251">
        <f t="shared" si="129"/>
        <v>-0.5000465435102428</v>
      </c>
      <c r="V360" s="383">
        <f t="shared" si="130"/>
        <v>24.238447147688142</v>
      </c>
      <c r="W360" s="402"/>
      <c r="X360" s="157">
        <f t="shared" si="131"/>
        <v>44176</v>
      </c>
      <c r="Y360" s="385">
        <f t="shared" si="132"/>
        <v>6.383</v>
      </c>
      <c r="Z360" s="385">
        <f t="shared" si="133"/>
        <v>6.5147805392257139</v>
      </c>
      <c r="AA360" s="386">
        <f t="shared" si="134"/>
        <v>7.0831837668936135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8.0246855986510338E-2</v>
      </c>
      <c r="AD360" s="231">
        <f>(INDEX(Models!$BJ360:$BT360,,AH360)*(1-AF360)+INDEX(Models!$BJ360:$BT360,,AH360+1)*AF360-ERP_i)*AE360*Ramure*Pc/MaxiM</f>
        <v>1.766664716010618E-3</v>
      </c>
      <c r="AE360" s="305">
        <f t="shared" si="136"/>
        <v>0.7</v>
      </c>
      <c r="AF360" s="177">
        <f t="shared" si="137"/>
        <v>0.4999534564897572</v>
      </c>
      <c r="AG360" s="919">
        <f t="shared" si="143"/>
        <v>-1</v>
      </c>
      <c r="AH360" s="176">
        <f t="shared" si="138"/>
        <v>5</v>
      </c>
      <c r="AI360" s="225">
        <f t="shared" si="139"/>
        <v>-0.5000465435102428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8">
        <v>10.333</v>
      </c>
      <c r="C361" s="390"/>
      <c r="D361" s="393">
        <f t="shared" si="122"/>
        <v>10.546561454513055</v>
      </c>
      <c r="E361" s="385">
        <f t="shared" ref="E361:E380" si="144">Wh_pvt/(1-Psa)</f>
        <v>11.467008630018691</v>
      </c>
      <c r="F361" s="385">
        <f t="shared" si="123"/>
        <v>11.470675103002</v>
      </c>
      <c r="G361" s="110">
        <f t="shared" ref="G361:G380" si="145">+Wh_hp/MaxiM</f>
        <v>0.42645452476757006</v>
      </c>
      <c r="H361" s="412" t="b">
        <f>Wh_hp&gt;='2019'!Maxi_hp</f>
        <v>1</v>
      </c>
      <c r="I361" s="380">
        <f>IF(H361,Wh_hp,'2019'!Maxi_hp)</f>
        <v>11.470675103002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2.0249391750490231E-2</v>
      </c>
      <c r="M361" s="957"/>
      <c r="N361" s="957"/>
      <c r="O361" s="48">
        <f>IF(t&lt;Tnet,'2019'!Resal+('2019'!Salim-'2019'!Resal)*(1-EXP(('2019'!Tnet-t)/('2019'!Tau_j))),Resal+(Salim-Resal)*(1-EXP((Tnet-t)/(Tau_j))))*Salcycl</f>
        <v>8.0269162185511972E-2</v>
      </c>
      <c r="P361" s="169">
        <f>(INDEX(Models!$BJ361:$BT361,,T361)*(1-R361)+INDEX(Models!$BJ361:$BT361,,T361+1)*R361-ERP_i)*Q361*Ramure*Pc/MaxiM</f>
        <v>1.760815365237366E-3</v>
      </c>
      <c r="Q361" s="305">
        <f t="shared" si="125"/>
        <v>0.7</v>
      </c>
      <c r="R361" s="177">
        <f t="shared" si="126"/>
        <v>0.49996351122013316</v>
      </c>
      <c r="S361" s="919">
        <f t="shared" si="127"/>
        <v>-1</v>
      </c>
      <c r="T361" s="176">
        <f t="shared" si="128"/>
        <v>5</v>
      </c>
      <c r="U361" s="251">
        <f t="shared" si="129"/>
        <v>-0.50003648877986684</v>
      </c>
      <c r="V361" s="383">
        <f t="shared" si="130"/>
        <v>24.195085201259261</v>
      </c>
      <c r="W361" s="402"/>
      <c r="X361" s="157">
        <f t="shared" si="131"/>
        <v>44177</v>
      </c>
      <c r="Y361" s="385">
        <f t="shared" si="132"/>
        <v>10.333</v>
      </c>
      <c r="Z361" s="385">
        <f t="shared" si="133"/>
        <v>10.546561454513055</v>
      </c>
      <c r="AA361" s="386">
        <f t="shared" si="134"/>
        <v>11.467008630018691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8.0269162185511972E-2</v>
      </c>
      <c r="AD361" s="231">
        <f>(INDEX(Models!$BJ361:$BT361,,AH361)*(1-AF361)+INDEX(Models!$BJ361:$BT361,,AH361+1)*AF361-ERP_i)*AE361*Ramure*Pc/MaxiM</f>
        <v>1.760815365237366E-3</v>
      </c>
      <c r="AE361" s="305">
        <f t="shared" si="136"/>
        <v>0.7</v>
      </c>
      <c r="AF361" s="177">
        <f t="shared" si="137"/>
        <v>0.49996351122013316</v>
      </c>
      <c r="AG361" s="919">
        <f t="shared" si="143"/>
        <v>-1</v>
      </c>
      <c r="AH361" s="176">
        <f t="shared" si="138"/>
        <v>5</v>
      </c>
      <c r="AI361" s="225">
        <f t="shared" si="139"/>
        <v>-0.50003648877986684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8">
        <v>8.8569999999999993</v>
      </c>
      <c r="C362" s="390"/>
      <c r="D362" s="393">
        <f t="shared" si="122"/>
        <v>9.0402536326104048</v>
      </c>
      <c r="E362" s="385">
        <f t="shared" si="144"/>
        <v>9.8294868654764898</v>
      </c>
      <c r="F362" s="385">
        <f t="shared" si="123"/>
        <v>9.8311249083109953</v>
      </c>
      <c r="G362" s="110">
        <f t="shared" si="145"/>
        <v>0.3659307024457798</v>
      </c>
      <c r="H362" s="412" t="b">
        <f>Wh_hp&gt;='2019'!Maxi_hp</f>
        <v>0</v>
      </c>
      <c r="I362" s="380">
        <f>IF(H362,Wh_hp,'2019'!Maxi_hp)</f>
        <v>12.472689656076096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2.0270850803274509E-2</v>
      </c>
      <c r="M362" s="957"/>
      <c r="N362" s="957"/>
      <c r="O362" s="48">
        <f>IF(t&lt;Tnet,'2019'!Resal+('2019'!Salim-'2019'!Resal)*(1-EXP(('2019'!Tnet-t)/('2019'!Tau_j))),Resal+(Salim-Resal)*(1-EXP((Tnet-t)/(Tau_j))))*Salcycl</f>
        <v>8.0292414412603971E-2</v>
      </c>
      <c r="P362" s="169">
        <f>(INDEX(Models!$BJ362:$BT362,,T362)*(1-R362)+INDEX(Models!$BJ362:$BT362,,T362+1)*R362-ERP_i)*Q362*Ramure*Pc/MaxiM</f>
        <v>1.7535464567648459E-3</v>
      </c>
      <c r="Q362" s="305">
        <f t="shared" si="125"/>
        <v>0.7</v>
      </c>
      <c r="R362" s="177">
        <f t="shared" si="126"/>
        <v>0.49997316149770255</v>
      </c>
      <c r="S362" s="919">
        <f t="shared" si="127"/>
        <v>-1</v>
      </c>
      <c r="T362" s="176">
        <f t="shared" si="128"/>
        <v>5</v>
      </c>
      <c r="U362" s="251">
        <f t="shared" si="129"/>
        <v>-0.50002683850229745</v>
      </c>
      <c r="V362" s="383">
        <f t="shared" si="130"/>
        <v>24.165619811880859</v>
      </c>
      <c r="W362" s="402"/>
      <c r="X362" s="157">
        <f t="shared" si="131"/>
        <v>44178</v>
      </c>
      <c r="Y362" s="385">
        <f t="shared" si="132"/>
        <v>8.8569999999999993</v>
      </c>
      <c r="Z362" s="385">
        <f t="shared" si="133"/>
        <v>9.0402536326104048</v>
      </c>
      <c r="AA362" s="386">
        <f t="shared" si="134"/>
        <v>9.8294868654764898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8.0292414412603971E-2</v>
      </c>
      <c r="AD362" s="231">
        <f>(INDEX(Models!$BJ362:$BT362,,AH362)*(1-AF362)+INDEX(Models!$BJ362:$BT362,,AH362+1)*AF362-ERP_i)*AE362*Ramure*Pc/MaxiM</f>
        <v>1.7535464567648459E-3</v>
      </c>
      <c r="AE362" s="305">
        <f t="shared" si="136"/>
        <v>0.7</v>
      </c>
      <c r="AF362" s="177">
        <f t="shared" si="137"/>
        <v>0.49997316149770255</v>
      </c>
      <c r="AG362" s="919">
        <f t="shared" si="143"/>
        <v>-1</v>
      </c>
      <c r="AH362" s="176">
        <f t="shared" si="138"/>
        <v>5</v>
      </c>
      <c r="AI362" s="225">
        <f t="shared" si="139"/>
        <v>-0.50002683850229745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8">
        <v>2.7690000000000001</v>
      </c>
      <c r="C363" s="390"/>
      <c r="D363" s="393">
        <f t="shared" si="122"/>
        <v>2.8263532342639488</v>
      </c>
      <c r="E363" s="385">
        <f t="shared" si="144"/>
        <v>3.0731805353453776</v>
      </c>
      <c r="F363" s="385">
        <f t="shared" si="123"/>
        <v>3.0731805353453776</v>
      </c>
      <c r="G363" s="110">
        <f t="shared" si="145"/>
        <v>0.11446028537974151</v>
      </c>
      <c r="H363" s="412" t="b">
        <f>Wh_hp&gt;='2019'!Maxi_hp</f>
        <v>0</v>
      </c>
      <c r="I363" s="380">
        <f>IF(H363,Wh_hp,'2019'!Maxi_hp)</f>
        <v>27.64680505166011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2.0292309386050533E-2</v>
      </c>
      <c r="M363" s="957"/>
      <c r="N363" s="957"/>
      <c r="O363" s="48">
        <f>IF(t&lt;Tnet,'2019'!Resal+('2019'!Salim-'2019'!Resal)*(1-EXP(('2019'!Tnet-t)/('2019'!Tau_j))),Resal+(Salim-Resal)*(1-EXP((Tnet-t)/(Tau_j))))*Salcycl</f>
        <v>8.0316563977485059E-2</v>
      </c>
      <c r="P363" s="169">
        <f>(INDEX(Models!$BJ363:$BT363,,T363)*(1-R363)+INDEX(Models!$BJ363:$BT363,,T363+1)*R363-ERP_i)*Q363*Ramure*Pc/MaxiM</f>
        <v>1.7448899957139819E-3</v>
      </c>
      <c r="Q363" s="305">
        <f t="shared" si="125"/>
        <v>0.7</v>
      </c>
      <c r="R363" s="177">
        <f t="shared" si="126"/>
        <v>0.49998242357695899</v>
      </c>
      <c r="S363" s="919">
        <f t="shared" si="127"/>
        <v>-1</v>
      </c>
      <c r="T363" s="176">
        <f t="shared" si="128"/>
        <v>5</v>
      </c>
      <c r="U363" s="251">
        <f t="shared" si="129"/>
        <v>-0.50001757642304101</v>
      </c>
      <c r="V363" s="383">
        <f t="shared" si="130"/>
        <v>24.149585076004904</v>
      </c>
      <c r="W363" s="402"/>
      <c r="X363" s="157">
        <f t="shared" si="131"/>
        <v>44179</v>
      </c>
      <c r="Y363" s="385">
        <f t="shared" si="132"/>
        <v>2.7690000000000001</v>
      </c>
      <c r="Z363" s="385">
        <f t="shared" si="133"/>
        <v>2.8263532342639488</v>
      </c>
      <c r="AA363" s="386">
        <f t="shared" si="134"/>
        <v>3.0731805353453776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8.0316563977485059E-2</v>
      </c>
      <c r="AD363" s="231">
        <f>(INDEX(Models!$BJ363:$BT363,,AH363)*(1-AF363)+INDEX(Models!$BJ363:$BT363,,AH363+1)*AF363-ERP_i)*AE363*Ramure*Pc/MaxiM</f>
        <v>1.7448899957139819E-3</v>
      </c>
      <c r="AE363" s="305">
        <f t="shared" si="136"/>
        <v>0.7</v>
      </c>
      <c r="AF363" s="177">
        <f t="shared" si="137"/>
        <v>0.49998242357695899</v>
      </c>
      <c r="AG363" s="919">
        <f t="shared" si="143"/>
        <v>-1</v>
      </c>
      <c r="AH363" s="176">
        <f t="shared" si="138"/>
        <v>5</v>
      </c>
      <c r="AI363" s="225">
        <f t="shared" si="139"/>
        <v>-0.50001757642304101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8">
        <v>2.0569999999999999</v>
      </c>
      <c r="C364" s="390"/>
      <c r="D364" s="393">
        <f t="shared" si="122"/>
        <v>2.0996518392918624</v>
      </c>
      <c r="E364" s="385">
        <f t="shared" si="144"/>
        <v>2.2830778814446107</v>
      </c>
      <c r="F364" s="385">
        <f t="shared" si="123"/>
        <v>2.2830778814446107</v>
      </c>
      <c r="G364" s="110">
        <f t="shared" si="145"/>
        <v>8.5040484666489141E-2</v>
      </c>
      <c r="H364" s="412" t="b">
        <f>Wh_hp&gt;='2019'!Maxi_hp</f>
        <v>0</v>
      </c>
      <c r="I364" s="380">
        <f>IF(H364,Wh_hp,'2019'!Maxi_hp)</f>
        <v>15.578689458119278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2.0313767498828406E-2</v>
      </c>
      <c r="M364" s="957"/>
      <c r="N364" s="957"/>
      <c r="O364" s="48">
        <f>IF(t&lt;Tnet,'2019'!Resal+('2019'!Salim-'2019'!Resal)*(1-EXP(('2019'!Tnet-t)/('2019'!Tau_j))),Resal+(Salim-Resal)*(1-EXP((Tnet-t)/(Tau_j))))*Salcycl</f>
        <v>8.0341561557543573E-2</v>
      </c>
      <c r="P364" s="169">
        <f>(INDEX(Models!$BJ364:$BT364,,T364)*(1-R364)+INDEX(Models!$BJ364:$BT364,,T364+1)*R364-ERP_i)*Q364*Ramure*Pc/MaxiM</f>
        <v>1.7348813854473376E-3</v>
      </c>
      <c r="Q364" s="305">
        <f t="shared" si="125"/>
        <v>0.7</v>
      </c>
      <c r="R364" s="177">
        <f t="shared" si="126"/>
        <v>0.4999913130603042</v>
      </c>
      <c r="S364" s="919">
        <f t="shared" si="127"/>
        <v>-1</v>
      </c>
      <c r="T364" s="176">
        <f t="shared" si="128"/>
        <v>5</v>
      </c>
      <c r="U364" s="251">
        <f t="shared" si="129"/>
        <v>-0.5000086869396958</v>
      </c>
      <c r="V364" s="383">
        <f t="shared" si="130"/>
        <v>24.146515122100489</v>
      </c>
      <c r="W364" s="402"/>
      <c r="X364" s="157">
        <f t="shared" si="131"/>
        <v>44180</v>
      </c>
      <c r="Y364" s="385">
        <f t="shared" si="132"/>
        <v>2.0569999999999999</v>
      </c>
      <c r="Z364" s="385">
        <f t="shared" si="133"/>
        <v>2.0996518392918624</v>
      </c>
      <c r="AA364" s="386">
        <f t="shared" si="134"/>
        <v>2.2830778814446107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8.0341561557543573E-2</v>
      </c>
      <c r="AD364" s="231">
        <f>(INDEX(Models!$BJ364:$BT364,,AH364)*(1-AF364)+INDEX(Models!$BJ364:$BT364,,AH364+1)*AF364-ERP_i)*AE364*Ramure*Pc/MaxiM</f>
        <v>1.7348813854473376E-3</v>
      </c>
      <c r="AE364" s="305">
        <f t="shared" si="136"/>
        <v>0.7</v>
      </c>
      <c r="AF364" s="177">
        <f t="shared" si="137"/>
        <v>0.4999913130603042</v>
      </c>
      <c r="AG364" s="919">
        <f t="shared" si="143"/>
        <v>-1</v>
      </c>
      <c r="AH364" s="176">
        <f t="shared" si="138"/>
        <v>5</v>
      </c>
      <c r="AI364" s="225">
        <f t="shared" si="139"/>
        <v>-0.5000086869396958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8">
        <v>13.835000000000001</v>
      </c>
      <c r="C365" s="390"/>
      <c r="D365" s="393">
        <f t="shared" si="122"/>
        <v>14.122177662251829</v>
      </c>
      <c r="E365" s="385">
        <f t="shared" si="144"/>
        <v>15.356324917009166</v>
      </c>
      <c r="F365" s="385">
        <f t="shared" si="123"/>
        <v>15.366644236178908</v>
      </c>
      <c r="G365" s="110">
        <f t="shared" si="145"/>
        <v>0.57213394214836855</v>
      </c>
      <c r="H365" s="412" t="b">
        <f>Wh_hp&gt;='2019'!Maxi_hp</f>
        <v>0</v>
      </c>
      <c r="I365" s="380">
        <f>IF(H365,Wh_hp,'2019'!Maxi_hp)</f>
        <v>21.280225439535702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2.0335225141618674E-2</v>
      </c>
      <c r="M365" s="957"/>
      <c r="N365" s="957"/>
      <c r="O365" s="48">
        <f>IF(t&lt;Tnet,'2019'!Resal+('2019'!Salim-'2019'!Resal)*(1-EXP(('2019'!Tnet-t)/('2019'!Tau_j))),Resal+(Salim-Resal)*(1-EXP((Tnet-t)/(Tau_j))))*Salcycl</f>
        <v>8.0367357517315594E-2</v>
      </c>
      <c r="P365" s="169">
        <f>(INDEX(Models!$BJ365:$BT365,,T365)*(1-R365)+INDEX(Models!$BJ365:$BT365,,T365+1)*R365-ERP_i)*Q365*Ramure*Pc/MaxiM</f>
        <v>1.7235591208151744E-3</v>
      </c>
      <c r="Q365" s="305">
        <f t="shared" si="125"/>
        <v>0.7</v>
      </c>
      <c r="R365" s="177">
        <f t="shared" si="126"/>
        <v>0.49999984492411664</v>
      </c>
      <c r="S365" s="919">
        <f t="shared" si="127"/>
        <v>-1</v>
      </c>
      <c r="T365" s="176">
        <f t="shared" si="128"/>
        <v>5</v>
      </c>
      <c r="U365" s="251">
        <f t="shared" si="129"/>
        <v>-0.50000015507588336</v>
      </c>
      <c r="V365" s="383">
        <f t="shared" si="130"/>
        <v>24.155944123077386</v>
      </c>
      <c r="W365" s="402"/>
      <c r="X365" s="157">
        <f t="shared" si="131"/>
        <v>44181</v>
      </c>
      <c r="Y365" s="385">
        <f t="shared" si="132"/>
        <v>13.835000000000001</v>
      </c>
      <c r="Z365" s="385">
        <f t="shared" si="133"/>
        <v>14.122177662251829</v>
      </c>
      <c r="AA365" s="386">
        <f t="shared" si="134"/>
        <v>15.356324917009166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8.0367357517315594E-2</v>
      </c>
      <c r="AD365" s="231">
        <f>(INDEX(Models!$BJ365:$BT365,,AH365)*(1-AF365)+INDEX(Models!$BJ365:$BT365,,AH365+1)*AF365-ERP_i)*AE365*Ramure*Pc/MaxiM</f>
        <v>1.7235591208151744E-3</v>
      </c>
      <c r="AE365" s="305">
        <f t="shared" si="136"/>
        <v>0.7</v>
      </c>
      <c r="AF365" s="177">
        <f t="shared" si="137"/>
        <v>0.49999984492411664</v>
      </c>
      <c r="AG365" s="919">
        <f t="shared" si="143"/>
        <v>-1</v>
      </c>
      <c r="AH365" s="176">
        <f t="shared" si="138"/>
        <v>5</v>
      </c>
      <c r="AI365" s="225">
        <f t="shared" si="139"/>
        <v>-0.50000015507588336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8">
        <v>6.766</v>
      </c>
      <c r="C366" s="390"/>
      <c r="D366" s="393">
        <f t="shared" si="122"/>
        <v>6.9065953677761431</v>
      </c>
      <c r="E366" s="385">
        <f t="shared" si="144"/>
        <v>7.5103844835792639</v>
      </c>
      <c r="F366" s="385">
        <f t="shared" si="123"/>
        <v>7.5103844835792639</v>
      </c>
      <c r="G366" s="110">
        <f t="shared" si="145"/>
        <v>0.27936923971653638</v>
      </c>
      <c r="H366" s="412" t="b">
        <f>Wh_hp&gt;='2019'!Maxi_hp</f>
        <v>0</v>
      </c>
      <c r="I366" s="380">
        <f>IF(H366,Wh_hp,'2019'!Maxi_hp)</f>
        <v>17.742237263715985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2.035668231443144E-2</v>
      </c>
      <c r="M366" s="957"/>
      <c r="N366" s="957"/>
      <c r="O366" s="48">
        <f>IF(t&lt;Tnet,'2019'!Resal+('2019'!Salim-'2019'!Resal)*(1-EXP(('2019'!Tnet-t)/('2019'!Tau_j))),Resal+(Salim-Resal)*(1-EXP((Tnet-t)/(Tau_j))))*Salcycl</f>
        <v>8.0393902219419944E-2</v>
      </c>
      <c r="P366" s="169">
        <f>(INDEX(Models!$BJ366:$BT366,,T366)*(1-R366)+INDEX(Models!$BJ366:$BT366,,T366+1)*R366-ERP_i)*Q366*Ramure*Pc/MaxiM</f>
        <v>1.7119098254764638E-3</v>
      </c>
      <c r="Q366" s="305">
        <f t="shared" si="125"/>
        <v>0.7</v>
      </c>
      <c r="R366" s="177">
        <f t="shared" si="126"/>
        <v>0.50000803354378598</v>
      </c>
      <c r="S366" s="919">
        <f t="shared" si="127"/>
        <v>-1</v>
      </c>
      <c r="T366" s="176">
        <f t="shared" si="128"/>
        <v>5</v>
      </c>
      <c r="U366" s="251">
        <f t="shared" si="129"/>
        <v>-0.49999196645621408</v>
      </c>
      <c r="V366" s="383">
        <f t="shared" si="130"/>
        <v>24.177383397593218</v>
      </c>
      <c r="W366" s="402"/>
      <c r="X366" s="157">
        <f t="shared" si="131"/>
        <v>44182</v>
      </c>
      <c r="Y366" s="385">
        <f t="shared" si="132"/>
        <v>6.766</v>
      </c>
      <c r="Z366" s="385">
        <f t="shared" si="133"/>
        <v>6.9065953677761431</v>
      </c>
      <c r="AA366" s="386">
        <f t="shared" si="134"/>
        <v>7.5103844835792639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8.0393902219419944E-2</v>
      </c>
      <c r="AD366" s="231">
        <f>(INDEX(Models!$BJ366:$BT366,,AH366)*(1-AF366)+INDEX(Models!$BJ366:$BT366,,AH366+1)*AF366-ERP_i)*AE366*Ramure*Pc/MaxiM</f>
        <v>1.7119098254764638E-3</v>
      </c>
      <c r="AE366" s="305">
        <f t="shared" si="136"/>
        <v>0.7</v>
      </c>
      <c r="AF366" s="177">
        <f t="shared" si="137"/>
        <v>0.50000803354378598</v>
      </c>
      <c r="AG366" s="919">
        <f t="shared" si="143"/>
        <v>-1</v>
      </c>
      <c r="AH366" s="176">
        <f t="shared" si="138"/>
        <v>5</v>
      </c>
      <c r="AI366" s="225">
        <f t="shared" si="139"/>
        <v>-0.49999196645621408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8">
        <v>8.8330000000000002</v>
      </c>
      <c r="C367" s="390"/>
      <c r="D367" s="393">
        <f t="shared" si="122"/>
        <v>9.0167444723406209</v>
      </c>
      <c r="E367" s="385">
        <f t="shared" si="144"/>
        <v>9.8052977581026042</v>
      </c>
      <c r="F367" s="385">
        <f t="shared" si="123"/>
        <v>9.8068436021692325</v>
      </c>
      <c r="G367" s="110">
        <f t="shared" si="145"/>
        <v>0.36428089889174048</v>
      </c>
      <c r="H367" s="412" t="b">
        <f>Wh_hp&gt;='2019'!Maxi_hp</f>
        <v>0</v>
      </c>
      <c r="I367" s="380">
        <f>IF(H367,Wh_hp,'2019'!Maxi_hp)</f>
        <v>24.927812947970743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2.037813901727703E-2</v>
      </c>
      <c r="M367" s="957"/>
      <c r="N367" s="957"/>
      <c r="O367" s="48">
        <f>IF(t&lt;Tnet,'2019'!Resal+('2019'!Salim-'2019'!Resal)*(1-EXP(('2019'!Tnet-t)/('2019'!Tau_j))),Resal+(Salim-Resal)*(1-EXP((Tnet-t)/(Tau_j))))*Salcycl</f>
        <v>8.0421146324736875E-2</v>
      </c>
      <c r="P367" s="169">
        <f>(INDEX(Models!$BJ367:$BT367,,T367)*(1-R367)+INDEX(Models!$BJ367:$BT367,,T367+1)*R367-ERP_i)*Q367*Ramure*Pc/MaxiM</f>
        <v>1.7016202314397843E-3</v>
      </c>
      <c r="Q367" s="305">
        <f t="shared" si="125"/>
        <v>0.7</v>
      </c>
      <c r="R367" s="177">
        <f t="shared" si="126"/>
        <v>0.50001589271775215</v>
      </c>
      <c r="S367" s="919">
        <f t="shared" si="127"/>
        <v>-1</v>
      </c>
      <c r="T367" s="176">
        <f t="shared" si="128"/>
        <v>5</v>
      </c>
      <c r="U367" s="251">
        <f t="shared" si="129"/>
        <v>-0.49998410728224785</v>
      </c>
      <c r="V367" s="383">
        <f t="shared" si="130"/>
        <v>24.210327258973081</v>
      </c>
      <c r="W367" s="402"/>
      <c r="X367" s="157">
        <f t="shared" si="131"/>
        <v>44183</v>
      </c>
      <c r="Y367" s="385">
        <f t="shared" si="132"/>
        <v>8.8330000000000002</v>
      </c>
      <c r="Z367" s="385">
        <f t="shared" si="133"/>
        <v>9.0167444723406209</v>
      </c>
      <c r="AA367" s="386">
        <f t="shared" si="134"/>
        <v>9.8052977581026042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8.0421146324736875E-2</v>
      </c>
      <c r="AD367" s="231">
        <f>(INDEX(Models!$BJ367:$BT367,,AH367)*(1-AF367)+INDEX(Models!$BJ367:$BT367,,AH367+1)*AF367-ERP_i)*AE367*Ramure*Pc/MaxiM</f>
        <v>1.7016202314397843E-3</v>
      </c>
      <c r="AE367" s="305">
        <f t="shared" si="136"/>
        <v>0.7</v>
      </c>
      <c r="AF367" s="177">
        <f t="shared" si="137"/>
        <v>0.50001589271775215</v>
      </c>
      <c r="AG367" s="919">
        <f t="shared" si="143"/>
        <v>-1</v>
      </c>
      <c r="AH367" s="176">
        <f t="shared" si="138"/>
        <v>5</v>
      </c>
      <c r="AI367" s="225">
        <f t="shared" si="139"/>
        <v>-0.49998410728224785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8">
        <v>7.6020000000000003</v>
      </c>
      <c r="C368" s="390"/>
      <c r="D368" s="393">
        <f t="shared" si="122"/>
        <v>7.7603071243537958</v>
      </c>
      <c r="E368" s="385">
        <f t="shared" si="144"/>
        <v>8.4392355302047104</v>
      </c>
      <c r="F368" s="385">
        <f t="shared" si="123"/>
        <v>8.4395095868030605</v>
      </c>
      <c r="G368" s="110">
        <f t="shared" si="145"/>
        <v>0.31290844347224428</v>
      </c>
      <c r="H368" s="412" t="b">
        <f>Wh_hp&gt;='2019'!Maxi_hp</f>
        <v>0</v>
      </c>
      <c r="I368" s="380">
        <f>IF(H368,Wh_hp,'2019'!Maxi_hp)</f>
        <v>15.88531155636926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2.039959525016577E-2</v>
      </c>
      <c r="M368" s="957"/>
      <c r="N368" s="957"/>
      <c r="O368" s="48">
        <f>IF(t&lt;Tnet,'2019'!Resal+('2019'!Salim-'2019'!Resal)*(1-EXP(('2019'!Tnet-t)/('2019'!Tau_j))),Resal+(Salim-Resal)*(1-EXP((Tnet-t)/(Tau_j))))*Salcycl</f>
        <v>8.0449041079725184E-2</v>
      </c>
      <c r="P368" s="169">
        <f>(INDEX(Models!$BJ368:$BT368,,T368)*(1-R368)+INDEX(Models!$BJ368:$BT368,,T368+1)*R368-ERP_i)*Q368*Ramure*Pc/MaxiM</f>
        <v>1.6927117608809593E-3</v>
      </c>
      <c r="Q368" s="305">
        <f t="shared" si="125"/>
        <v>0.7</v>
      </c>
      <c r="R368" s="177">
        <f t="shared" si="126"/>
        <v>0.50002343569059049</v>
      </c>
      <c r="S368" s="919">
        <f t="shared" si="127"/>
        <v>-1</v>
      </c>
      <c r="T368" s="176">
        <f t="shared" si="128"/>
        <v>5</v>
      </c>
      <c r="U368" s="251">
        <f t="shared" si="129"/>
        <v>-0.49997656430940951</v>
      </c>
      <c r="V368" s="383">
        <f t="shared" si="130"/>
        <v>24.254310210444839</v>
      </c>
      <c r="W368" s="402"/>
      <c r="X368" s="157">
        <f t="shared" si="131"/>
        <v>44184</v>
      </c>
      <c r="Y368" s="385">
        <f t="shared" si="132"/>
        <v>7.6020000000000003</v>
      </c>
      <c r="Z368" s="385">
        <f t="shared" si="133"/>
        <v>7.7603071243537958</v>
      </c>
      <c r="AA368" s="386">
        <f t="shared" si="134"/>
        <v>8.4392355302047104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8.0449041079725184E-2</v>
      </c>
      <c r="AD368" s="231">
        <f>(INDEX(Models!$BJ368:$BT368,,AH368)*(1-AF368)+INDEX(Models!$BJ368:$BT368,,AH368+1)*AF368-ERP_i)*AE368*Ramure*Pc/MaxiM</f>
        <v>1.6927117608809593E-3</v>
      </c>
      <c r="AE368" s="305">
        <f t="shared" si="136"/>
        <v>0.7</v>
      </c>
      <c r="AF368" s="177">
        <f t="shared" si="137"/>
        <v>0.50002343569059049</v>
      </c>
      <c r="AG368" s="919">
        <f t="shared" si="143"/>
        <v>-1</v>
      </c>
      <c r="AH368" s="176">
        <f t="shared" si="138"/>
        <v>5</v>
      </c>
      <c r="AI368" s="225">
        <f t="shared" si="139"/>
        <v>-0.49997656430940951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8">
        <v>13.398</v>
      </c>
      <c r="C369" s="390"/>
      <c r="D369" s="393">
        <f t="shared" si="122"/>
        <v>13.677304941941216</v>
      </c>
      <c r="E369" s="385">
        <f t="shared" si="144"/>
        <v>14.87435654475723</v>
      </c>
      <c r="F369" s="385">
        <f t="shared" si="123"/>
        <v>14.883355668134955</v>
      </c>
      <c r="G369" s="110">
        <f t="shared" si="145"/>
        <v>0.55056099652740897</v>
      </c>
      <c r="H369" s="412" t="b">
        <f>Wh_hp&gt;='2019'!Maxi_hp</f>
        <v>0</v>
      </c>
      <c r="I369" s="380">
        <f>IF(H369,Wh_hp,'2019'!Maxi_hp)</f>
        <v>22.604541758183334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2.0421051013107983E-2</v>
      </c>
      <c r="M369" s="957"/>
      <c r="N369" s="957"/>
      <c r="O369" s="48">
        <f>IF(t&lt;Tnet,'2019'!Resal+('2019'!Salim-'2019'!Resal)*(1-EXP(('2019'!Tnet-t)/('2019'!Tau_j))),Resal+(Salim-Resal)*(1-EXP((Tnet-t)/(Tau_j))))*Salcycl</f>
        <v>8.0477538588917291E-2</v>
      </c>
      <c r="P369" s="169">
        <f>(INDEX(Models!$BJ369:$BT369,,T369)*(1-R369)+INDEX(Models!$BJ369:$BT369,,T369+1)*R369-ERP_i)*Q369*Ramure*Pc/MaxiM</f>
        <v>1.6852030881149699E-3</v>
      </c>
      <c r="Q369" s="305">
        <f t="shared" si="125"/>
        <v>0.7</v>
      </c>
      <c r="R369" s="177">
        <f t="shared" si="126"/>
        <v>0.50003067517517741</v>
      </c>
      <c r="S369" s="919">
        <f t="shared" si="127"/>
        <v>-1</v>
      </c>
      <c r="T369" s="176">
        <f t="shared" si="128"/>
        <v>5</v>
      </c>
      <c r="U369" s="251">
        <f t="shared" si="129"/>
        <v>-0.49996932482482259</v>
      </c>
      <c r="V369" s="383">
        <f t="shared" si="130"/>
        <v>24.308866751064372</v>
      </c>
      <c r="W369" s="402"/>
      <c r="X369" s="157">
        <f t="shared" si="131"/>
        <v>44185</v>
      </c>
      <c r="Y369" s="385">
        <f t="shared" si="132"/>
        <v>13.398</v>
      </c>
      <c r="Z369" s="385">
        <f t="shared" si="133"/>
        <v>13.677304941941216</v>
      </c>
      <c r="AA369" s="386">
        <f t="shared" si="134"/>
        <v>14.87435654475723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8.0477538588917291E-2</v>
      </c>
      <c r="AD369" s="231">
        <f>(INDEX(Models!$BJ369:$BT369,,AH369)*(1-AF369)+INDEX(Models!$BJ369:$BT369,,AH369+1)*AF369-ERP_i)*AE369*Ramure*Pc/MaxiM</f>
        <v>1.6852030881149699E-3</v>
      </c>
      <c r="AE369" s="305">
        <f t="shared" si="136"/>
        <v>0.7</v>
      </c>
      <c r="AF369" s="177">
        <f t="shared" si="137"/>
        <v>0.50003067517517741</v>
      </c>
      <c r="AG369" s="919">
        <f t="shared" si="143"/>
        <v>-1</v>
      </c>
      <c r="AH369" s="176">
        <f t="shared" si="138"/>
        <v>5</v>
      </c>
      <c r="AI369" s="225">
        <f t="shared" si="139"/>
        <v>-0.49996932482482259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8">
        <v>7.22</v>
      </c>
      <c r="C370" s="390"/>
      <c r="D370" s="393">
        <f t="shared" si="122"/>
        <v>7.3706750716321565</v>
      </c>
      <c r="E370" s="385">
        <f t="shared" si="144"/>
        <v>8.0160173069991458</v>
      </c>
      <c r="F370" s="385">
        <f t="shared" si="123"/>
        <v>8.0160173069991458</v>
      </c>
      <c r="G370" s="110">
        <f t="shared" si="145"/>
        <v>0.29572558501387214</v>
      </c>
      <c r="H370" s="412" t="b">
        <f>Wh_hp&gt;='2019'!Maxi_hp</f>
        <v>1</v>
      </c>
      <c r="I370" s="380">
        <f>IF(H370,Wh_hp,'2019'!Maxi_hp)</f>
        <v>8.0160173069991458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2.0442506306113883E-2</v>
      </c>
      <c r="M370" s="957"/>
      <c r="N370" s="957"/>
      <c r="O370" s="48">
        <f>IF(t&lt;Tnet,'2019'!Resal+('2019'!Salim-'2019'!Resal)*(1-EXP(('2019'!Tnet-t)/('2019'!Tau_j))),Resal+(Salim-Resal)*(1-EXP((Tnet-t)/(Tau_j))))*Salcycl</f>
        <v>8.0506592070792193E-2</v>
      </c>
      <c r="P370" s="169">
        <f>(INDEX(Models!$BJ370:$BT370,,T370)*(1-R370)+INDEX(Models!$BJ370:$BT370,,T370+1)*R370-ERP_i)*Q370*Ramure*Pc/MaxiM</f>
        <v>1.6791103042212549E-3</v>
      </c>
      <c r="Q370" s="305">
        <f t="shared" si="125"/>
        <v>0.7</v>
      </c>
      <c r="R370" s="177">
        <f t="shared" si="126"/>
        <v>0.50003762337397473</v>
      </c>
      <c r="S370" s="919">
        <f t="shared" si="127"/>
        <v>-1</v>
      </c>
      <c r="T370" s="176">
        <f t="shared" si="128"/>
        <v>5</v>
      </c>
      <c r="U370" s="251">
        <f t="shared" si="129"/>
        <v>-0.49996237662602533</v>
      </c>
      <c r="V370" s="383">
        <f t="shared" si="130"/>
        <v>24.373531371204859</v>
      </c>
      <c r="W370" s="402"/>
      <c r="X370" s="157">
        <f t="shared" si="131"/>
        <v>44186</v>
      </c>
      <c r="Y370" s="385">
        <f t="shared" si="132"/>
        <v>7.2199999999999989</v>
      </c>
      <c r="Z370" s="385">
        <f t="shared" si="133"/>
        <v>7.3706750716321556</v>
      </c>
      <c r="AA370" s="386">
        <f t="shared" si="134"/>
        <v>8.0160173069991458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8.0506592070792193E-2</v>
      </c>
      <c r="AD370" s="231">
        <f>(INDEX(Models!$BJ370:$BT370,,AH370)*(1-AF370)+INDEX(Models!$BJ370:$BT370,,AH370+1)*AF370-ERP_i)*AE370*Ramure*Pc/MaxiM</f>
        <v>1.6791103042212549E-3</v>
      </c>
      <c r="AE370" s="305">
        <f t="shared" si="136"/>
        <v>0.7</v>
      </c>
      <c r="AF370" s="177">
        <f t="shared" si="137"/>
        <v>0.50003762337397473</v>
      </c>
      <c r="AG370" s="919">
        <f t="shared" si="143"/>
        <v>-1</v>
      </c>
      <c r="AH370" s="176">
        <f t="shared" si="138"/>
        <v>5</v>
      </c>
      <c r="AI370" s="225">
        <f t="shared" si="139"/>
        <v>-0.49996237662602533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8">
        <v>20.126999999999999</v>
      </c>
      <c r="C371" s="390"/>
      <c r="D371" s="393">
        <f t="shared" si="122"/>
        <v>20.547482891188046</v>
      </c>
      <c r="E371" s="385">
        <f t="shared" si="144"/>
        <v>22.347244024225045</v>
      </c>
      <c r="F371" s="385">
        <f t="shared" si="123"/>
        <v>22.375250435644084</v>
      </c>
      <c r="G371" s="110">
        <f t="shared" si="145"/>
        <v>0.82291446922135281</v>
      </c>
      <c r="H371" s="412" t="b">
        <f>Wh_hp&gt;='2019'!Maxi_hp</f>
        <v>1</v>
      </c>
      <c r="I371" s="380">
        <f>IF(H371,Wh_hp,'2019'!Maxi_hp)</f>
        <v>22.375250435644084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2.0463961129193797E-2</v>
      </c>
      <c r="M371" s="957"/>
      <c r="N371" s="957"/>
      <c r="O371" s="48">
        <f>IF(t&lt;Tnet,'2019'!Resal+('2019'!Salim-'2019'!Resal)*(1-EXP(('2019'!Tnet-t)/('2019'!Tau_j))),Resal+(Salim-Resal)*(1-EXP((Tnet-t)/(Tau_j))))*Salcycl</f>
        <v>8.0536156095400643E-2</v>
      </c>
      <c r="P371" s="169">
        <f>(INDEX(Models!$BJ371:$BT371,,T371)*(1-R371)+INDEX(Models!$BJ371:$BT371,,T371+1)*R371-ERP_i)*Q371*Ramure*Pc/MaxiM</f>
        <v>1.6744323796401789E-3</v>
      </c>
      <c r="Q371" s="305">
        <f t="shared" si="125"/>
        <v>0.7</v>
      </c>
      <c r="R371" s="177">
        <f t="shared" si="126"/>
        <v>0.50003762337397473</v>
      </c>
      <c r="S371" s="919">
        <f t="shared" si="127"/>
        <v>-1</v>
      </c>
      <c r="T371" s="176">
        <f t="shared" si="128"/>
        <v>5</v>
      </c>
      <c r="U371" s="251">
        <f t="shared" si="129"/>
        <v>-0.49996237662602533</v>
      </c>
      <c r="V371" s="383">
        <f t="shared" si="130"/>
        <v>24.447838911401764</v>
      </c>
      <c r="W371" s="402"/>
      <c r="X371" s="157">
        <f t="shared" si="131"/>
        <v>44187</v>
      </c>
      <c r="Y371" s="385">
        <f t="shared" si="132"/>
        <v>20.126999999999999</v>
      </c>
      <c r="Z371" s="385">
        <f t="shared" si="133"/>
        <v>20.547482891188046</v>
      </c>
      <c r="AA371" s="386">
        <f t="shared" si="134"/>
        <v>22.347244024225045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8.0536156095400643E-2</v>
      </c>
      <c r="AD371" s="231">
        <f>(INDEX(Models!$BJ371:$BT371,,AH371)*(1-AF371)+INDEX(Models!$BJ371:$BT371,,AH371+1)*AF371-ERP_i)*AE371*Ramure*Pc/MaxiM</f>
        <v>1.6744323796401789E-3</v>
      </c>
      <c r="AE371" s="305">
        <f t="shared" si="136"/>
        <v>0.7</v>
      </c>
      <c r="AF371" s="177">
        <f t="shared" si="137"/>
        <v>0.50003762337397473</v>
      </c>
      <c r="AG371" s="919">
        <f t="shared" si="143"/>
        <v>-1</v>
      </c>
      <c r="AH371" s="176">
        <f t="shared" si="138"/>
        <v>5</v>
      </c>
      <c r="AI371" s="225">
        <f t="shared" si="139"/>
        <v>-0.49996237662602533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8">
        <v>10.404999999999999</v>
      </c>
      <c r="C372" s="390"/>
      <c r="D372" s="393">
        <f t="shared" si="122"/>
        <v>10.622608549645946</v>
      </c>
      <c r="E372" s="385">
        <f t="shared" si="144"/>
        <v>11.553423854079947</v>
      </c>
      <c r="F372" s="385">
        <f t="shared" si="123"/>
        <v>11.556849326532603</v>
      </c>
      <c r="G372" s="110">
        <f t="shared" si="145"/>
        <v>0.42356830165783127</v>
      </c>
      <c r="H372" s="412" t="b">
        <f>Wh_hp&gt;='2019'!Maxi_hp</f>
        <v>0</v>
      </c>
      <c r="I372" s="380">
        <f>IF(H372,Wh_hp,'2019'!Maxi_hp)</f>
        <v>15.128225557099897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2.0485415482358049E-2</v>
      </c>
      <c r="M372" s="957"/>
      <c r="N372" s="957"/>
      <c r="O372" s="48">
        <f>IF(t&lt;Tnet,'2019'!Resal+('2019'!Salim-'2019'!Resal)*(1-EXP(('2019'!Tnet-t)/('2019'!Tau_j))),Resal+(Salim-Resal)*(1-EXP((Tnet-t)/(Tau_j))))*Salcycl</f>
        <v>8.0566186802304054E-2</v>
      </c>
      <c r="P372" s="169">
        <f>(INDEX(Models!$BJ372:$BT372,,T372)*(1-R372)+INDEX(Models!$BJ372:$BT372,,T372+1)*R372-ERP_i)*Q372*Ramure*Pc/MaxiM</f>
        <v>1.6711936087212933E-3</v>
      </c>
      <c r="Q372" s="305">
        <f t="shared" si="125"/>
        <v>0.7</v>
      </c>
      <c r="R372" s="177">
        <f t="shared" si="126"/>
        <v>0.50003762337397473</v>
      </c>
      <c r="S372" s="919">
        <f t="shared" si="127"/>
        <v>-1</v>
      </c>
      <c r="T372" s="176">
        <f t="shared" si="128"/>
        <v>5</v>
      </c>
      <c r="U372" s="251">
        <f t="shared" si="129"/>
        <v>-0.49996237662602533</v>
      </c>
      <c r="V372" s="383">
        <f t="shared" si="130"/>
        <v>24.531323545036106</v>
      </c>
      <c r="W372" s="402"/>
      <c r="X372" s="157">
        <f t="shared" si="131"/>
        <v>44188</v>
      </c>
      <c r="Y372" s="385">
        <f t="shared" si="132"/>
        <v>10.404999999999999</v>
      </c>
      <c r="Z372" s="385">
        <f t="shared" si="133"/>
        <v>10.622608549645946</v>
      </c>
      <c r="AA372" s="386">
        <f t="shared" si="134"/>
        <v>11.553423854079947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8.0566186802304054E-2</v>
      </c>
      <c r="AD372" s="231">
        <f>(INDEX(Models!$BJ372:$BT372,,AH372)*(1-AF372)+INDEX(Models!$BJ372:$BT372,,AH372+1)*AF372-ERP_i)*AE372*Ramure*Pc/MaxiM</f>
        <v>1.6711936087212933E-3</v>
      </c>
      <c r="AE372" s="305">
        <f t="shared" si="136"/>
        <v>0.7</v>
      </c>
      <c r="AF372" s="177">
        <f t="shared" si="137"/>
        <v>0.50003762337397473</v>
      </c>
      <c r="AG372" s="919">
        <f t="shared" si="143"/>
        <v>-1</v>
      </c>
      <c r="AH372" s="176">
        <f t="shared" si="138"/>
        <v>5</v>
      </c>
      <c r="AI372" s="225">
        <f t="shared" si="139"/>
        <v>-0.49996237662602533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8">
        <v>9.984</v>
      </c>
      <c r="C373" s="390"/>
      <c r="D373" s="393">
        <f t="shared" si="122"/>
        <v>10.193027074660254</v>
      </c>
      <c r="E373" s="385">
        <f t="shared" si="144"/>
        <v>11.086567160158383</v>
      </c>
      <c r="F373" s="385">
        <f t="shared" si="123"/>
        <v>11.089353919979503</v>
      </c>
      <c r="G373" s="110">
        <f t="shared" si="145"/>
        <v>0.40481777303884525</v>
      </c>
      <c r="H373" s="412" t="b">
        <f>Wh_hp&gt;='2019'!Maxi_hp</f>
        <v>0</v>
      </c>
      <c r="I373" s="380">
        <f>IF(H373,Wh_hp,'2019'!Maxi_hp)</f>
        <v>18.791308820692279</v>
      </c>
      <c r="J373" s="85">
        <f>IF(H373,An,'2019'!An_max)</f>
        <v>2019</v>
      </c>
      <c r="K373" s="197">
        <f t="shared" si="124"/>
        <v>44189</v>
      </c>
      <c r="L373" s="147">
        <f>IF(t&lt;Tvie,1-EXP((T0-t)*PertePVj)+'2019'!Pspv,1-EXP((T0-t)*PertePVj)+Pspv)</f>
        <v>2.0506869365616853E-2</v>
      </c>
      <c r="M373" s="957"/>
      <c r="N373" s="957"/>
      <c r="O373" s="48">
        <f>IF(t&lt;Tnet,'2019'!Resal+('2019'!Salim-'2019'!Resal)*(1-EXP(('2019'!Tnet-t)/('2019'!Tau_j))),Resal+(Salim-Resal)*(1-EXP((Tnet-t)/(Tau_j))))*Salcycl</f>
        <v>8.0596642097585408E-2</v>
      </c>
      <c r="P373" s="169">
        <f>(INDEX(Models!$BJ373:$BT373,,T373)*(1-R373)+INDEX(Models!$BJ373:$BT373,,T373+1)*R373-ERP_i)*Q373*Ramure*Pc/MaxiM</f>
        <v>1.6690943408553291E-3</v>
      </c>
      <c r="Q373" s="305">
        <f t="shared" si="125"/>
        <v>0.7</v>
      </c>
      <c r="R373" s="177">
        <f t="shared" si="126"/>
        <v>0.50003762337397473</v>
      </c>
      <c r="S373" s="919">
        <f t="shared" si="127"/>
        <v>-1</v>
      </c>
      <c r="T373" s="176">
        <f t="shared" si="128"/>
        <v>5</v>
      </c>
      <c r="U373" s="251">
        <f t="shared" si="129"/>
        <v>-0.49996237662602533</v>
      </c>
      <c r="V373" s="383">
        <f t="shared" si="130"/>
        <v>24.62797300871647</v>
      </c>
      <c r="W373" s="402"/>
      <c r="X373" s="157">
        <f t="shared" si="131"/>
        <v>44189</v>
      </c>
      <c r="Y373" s="385">
        <f t="shared" si="132"/>
        <v>9.984</v>
      </c>
      <c r="Z373" s="385">
        <f t="shared" si="133"/>
        <v>10.193027074660254</v>
      </c>
      <c r="AA373" s="386">
        <f t="shared" si="134"/>
        <v>11.086567160158383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8.0596642097585408E-2</v>
      </c>
      <c r="AD373" s="231">
        <f>(INDEX(Models!$BJ373:$BT373,,AH373)*(1-AF373)+INDEX(Models!$BJ373:$BT373,,AH373+1)*AF373-ERP_i)*AE373*Ramure*Pc/MaxiM</f>
        <v>1.6690943408553291E-3</v>
      </c>
      <c r="AE373" s="305">
        <f t="shared" si="136"/>
        <v>0.7</v>
      </c>
      <c r="AF373" s="177">
        <f t="shared" si="137"/>
        <v>0.50003762337397473</v>
      </c>
      <c r="AG373" s="919">
        <f t="shared" si="143"/>
        <v>-1</v>
      </c>
      <c r="AH373" s="176">
        <f t="shared" si="138"/>
        <v>5</v>
      </c>
      <c r="AI373" s="225">
        <f t="shared" si="139"/>
        <v>-0.49996237662602533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8">
        <v>3.7650000000000001</v>
      </c>
      <c r="C374" s="390"/>
      <c r="D374" s="393">
        <f t="shared" si="122"/>
        <v>3.8439090047832205</v>
      </c>
      <c r="E374" s="385">
        <f t="shared" si="144"/>
        <v>4.181013603092965</v>
      </c>
      <c r="F374" s="385">
        <f t="shared" si="123"/>
        <v>4.181013603092965</v>
      </c>
      <c r="G374" s="110">
        <f t="shared" si="145"/>
        <v>0.1519218504106625</v>
      </c>
      <c r="H374" s="412" t="b">
        <f>Wh_hp&gt;='2019'!Maxi_hp</f>
        <v>0</v>
      </c>
      <c r="I374" s="380">
        <f>IF(H374,Wh_hp,'2019'!Maxi_hp)</f>
        <v>26.329619230701343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2.0528322778980646E-2</v>
      </c>
      <c r="M374" s="957"/>
      <c r="N374" s="957"/>
      <c r="O374" s="48">
        <f>IF(t&lt;Tnet,'2019'!Resal+('2019'!Salim-'2019'!Resal)*(1-EXP(('2019'!Tnet-t)/('2019'!Tau_j))),Resal+(Salim-Resal)*(1-EXP((Tnet-t)/(Tau_j))))*Salcycl</f>
        <v>8.0627481828895953E-2</v>
      </c>
      <c r="P374" s="169">
        <f>(INDEX(Models!$BJ374:$BT374,,T374)*(1-R374)+INDEX(Models!$BJ374:$BT374,,T374+1)*R374-ERP_i)*Q374*Ramure*Pc/MaxiM</f>
        <v>1.6678814399464668E-3</v>
      </c>
      <c r="Q374" s="305">
        <f t="shared" si="125"/>
        <v>0.7</v>
      </c>
      <c r="R374" s="177">
        <f t="shared" si="126"/>
        <v>0.50003762337397473</v>
      </c>
      <c r="S374" s="919">
        <f t="shared" si="127"/>
        <v>-1</v>
      </c>
      <c r="T374" s="176">
        <f t="shared" si="128"/>
        <v>5</v>
      </c>
      <c r="U374" s="251">
        <f t="shared" si="129"/>
        <v>-0.49996237662602533</v>
      </c>
      <c r="V374" s="383">
        <f t="shared" si="130"/>
        <v>24.741144320045741</v>
      </c>
      <c r="W374" s="402"/>
      <c r="X374" s="157">
        <f t="shared" si="131"/>
        <v>44190</v>
      </c>
      <c r="Y374" s="385">
        <f t="shared" si="132"/>
        <v>3.7650000000000001</v>
      </c>
      <c r="Z374" s="385">
        <f t="shared" si="133"/>
        <v>3.8439090047832205</v>
      </c>
      <c r="AA374" s="386">
        <f t="shared" si="134"/>
        <v>4.181013603092965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8.0627481828895953E-2</v>
      </c>
      <c r="AD374" s="231">
        <f>(INDEX(Models!$BJ374:$BT374,,AH374)*(1-AF374)+INDEX(Models!$BJ374:$BT374,,AH374+1)*AF374-ERP_i)*AE374*Ramure*Pc/MaxiM</f>
        <v>1.6678814399464668E-3</v>
      </c>
      <c r="AE374" s="305">
        <f t="shared" si="136"/>
        <v>0.7</v>
      </c>
      <c r="AF374" s="177">
        <f t="shared" si="137"/>
        <v>0.50003762337397473</v>
      </c>
      <c r="AG374" s="919">
        <f t="shared" si="143"/>
        <v>-1</v>
      </c>
      <c r="AH374" s="176">
        <f t="shared" si="138"/>
        <v>5</v>
      </c>
      <c r="AI374" s="225">
        <f t="shared" si="139"/>
        <v>-0.49996237662602533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8">
        <v>18.428000000000001</v>
      </c>
      <c r="C375" s="390"/>
      <c r="D375" s="393">
        <f t="shared" si="122"/>
        <v>18.814636561641318</v>
      </c>
      <c r="E375" s="385">
        <f t="shared" si="144"/>
        <v>20.465343942968307</v>
      </c>
      <c r="F375" s="385">
        <f t="shared" si="123"/>
        <v>20.486846344424016</v>
      </c>
      <c r="G375" s="110">
        <f t="shared" si="145"/>
        <v>0.74053170337143537</v>
      </c>
      <c r="H375" s="412" t="b">
        <f>Wh_hp&gt;='2019'!Maxi_hp</f>
        <v>0</v>
      </c>
      <c r="I375" s="380">
        <f>IF(H375,Wh_hp,'2019'!Maxi_hp)</f>
        <v>27.615988001355355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2.054977572245964E-2</v>
      </c>
      <c r="M375" s="957"/>
      <c r="N375" s="957"/>
      <c r="O375" s="48">
        <f>IF(t&lt;Tnet,'2019'!Resal+('2019'!Salim-'2019'!Resal)*(1-EXP(('2019'!Tnet-t)/('2019'!Tau_j))),Resal+(Salim-Resal)*(1-EXP((Tnet-t)/(Tau_j))))*Salcycl</f>
        <v>8.0658667937714021E-2</v>
      </c>
      <c r="P375" s="169">
        <f>(INDEX(Models!$BJ375:$BT375,,T375)*(1-R375)+INDEX(Models!$BJ375:$BT375,,T375+1)*R375-ERP_i)*Q375*Ramure*Pc/MaxiM</f>
        <v>1.6660275090701151E-3</v>
      </c>
      <c r="Q375" s="305">
        <f t="shared" si="125"/>
        <v>0.7</v>
      </c>
      <c r="R375" s="177">
        <f t="shared" si="126"/>
        <v>0.50003762337397473</v>
      </c>
      <c r="S375" s="919">
        <f t="shared" si="127"/>
        <v>-1</v>
      </c>
      <c r="T375" s="176">
        <f t="shared" si="128"/>
        <v>5</v>
      </c>
      <c r="U375" s="251">
        <f t="shared" si="129"/>
        <v>-0.49996237662602533</v>
      </c>
      <c r="V375" s="383">
        <f t="shared" si="130"/>
        <v>24.869465981501431</v>
      </c>
      <c r="W375" s="402"/>
      <c r="X375" s="157">
        <f t="shared" si="131"/>
        <v>44191</v>
      </c>
      <c r="Y375" s="385">
        <f t="shared" si="132"/>
        <v>18.428000000000001</v>
      </c>
      <c r="Z375" s="385">
        <f t="shared" si="133"/>
        <v>18.814636561641318</v>
      </c>
      <c r="AA375" s="386">
        <f t="shared" si="134"/>
        <v>20.465343942968307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8.0658667937714021E-2</v>
      </c>
      <c r="AD375" s="231">
        <f>(INDEX(Models!$BJ375:$BT375,,AH375)*(1-AF375)+INDEX(Models!$BJ375:$BT375,,AH375+1)*AF375-ERP_i)*AE375*Ramure*Pc/MaxiM</f>
        <v>1.6660275090701151E-3</v>
      </c>
      <c r="AE375" s="305">
        <f t="shared" si="136"/>
        <v>0.7</v>
      </c>
      <c r="AF375" s="177">
        <f t="shared" si="137"/>
        <v>0.50003762337397473</v>
      </c>
      <c r="AG375" s="919">
        <f t="shared" si="143"/>
        <v>-1</v>
      </c>
      <c r="AH375" s="176">
        <f t="shared" si="138"/>
        <v>5</v>
      </c>
      <c r="AI375" s="225">
        <f t="shared" si="139"/>
        <v>-0.49996237662602533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8">
        <v>6.117</v>
      </c>
      <c r="C376" s="390"/>
      <c r="D376" s="393">
        <f t="shared" si="122"/>
        <v>6.2454771353444718</v>
      </c>
      <c r="E376" s="385">
        <f t="shared" si="144"/>
        <v>6.7936585629445601</v>
      </c>
      <c r="F376" s="385">
        <f t="shared" si="123"/>
        <v>6.7936585629445601</v>
      </c>
      <c r="G376" s="110">
        <f t="shared" si="145"/>
        <v>0.24416036737441565</v>
      </c>
      <c r="H376" s="412" t="b">
        <f>Wh_hp&gt;='2019'!Maxi_hp</f>
        <v>1</v>
      </c>
      <c r="I376" s="380">
        <f>IF(H376,Wh_hp,'2019'!Maxi_hp)</f>
        <v>6.7936585629445601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2.0571228196064051E-2</v>
      </c>
      <c r="M376" s="957"/>
      <c r="N376" s="957"/>
      <c r="O376" s="48">
        <f>IF(t&lt;Tnet,'2019'!Resal+('2019'!Salim-'2019'!Resal)*(1-EXP(('2019'!Tnet-t)/('2019'!Tau_j))),Resal+(Salim-Resal)*(1-EXP((Tnet-t)/(Tau_j))))*Salcycl</f>
        <v>8.0690164588208435E-2</v>
      </c>
      <c r="P376" s="169">
        <f>(INDEX(Models!$BJ376:$BT376,,T376)*(1-R376)+INDEX(Models!$BJ376:$BT376,,T376+1)*R376-ERP_i)*Q376*Ramure*Pc/MaxiM</f>
        <v>1.6627206682342137E-3</v>
      </c>
      <c r="Q376" s="305">
        <f t="shared" si="125"/>
        <v>0.7</v>
      </c>
      <c r="R376" s="177">
        <f t="shared" si="126"/>
        <v>0.50003762337397473</v>
      </c>
      <c r="S376" s="919">
        <f t="shared" si="127"/>
        <v>-1</v>
      </c>
      <c r="T376" s="176">
        <f t="shared" si="128"/>
        <v>5</v>
      </c>
      <c r="U376" s="251">
        <f t="shared" si="129"/>
        <v>-0.49996237662602533</v>
      </c>
      <c r="V376" s="383">
        <f t="shared" si="130"/>
        <v>25.011549594810756</v>
      </c>
      <c r="W376" s="402"/>
      <c r="X376" s="157">
        <f t="shared" si="131"/>
        <v>44192</v>
      </c>
      <c r="Y376" s="385">
        <f t="shared" si="132"/>
        <v>6.117</v>
      </c>
      <c r="Z376" s="385">
        <f t="shared" si="133"/>
        <v>6.2454771353444718</v>
      </c>
      <c r="AA376" s="386">
        <f t="shared" si="134"/>
        <v>6.7936585629445601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8.0690164588208435E-2</v>
      </c>
      <c r="AD376" s="231">
        <f>(INDEX(Models!$BJ376:$BT376,,AH376)*(1-AF376)+INDEX(Models!$BJ376:$BT376,,AH376+1)*AF376-ERP_i)*AE376*Ramure*Pc/MaxiM</f>
        <v>1.6627206682342137E-3</v>
      </c>
      <c r="AE376" s="305">
        <f t="shared" si="136"/>
        <v>0.7</v>
      </c>
      <c r="AF376" s="177">
        <f t="shared" si="137"/>
        <v>0.50003762337397473</v>
      </c>
      <c r="AG376" s="919">
        <f t="shared" si="143"/>
        <v>-1</v>
      </c>
      <c r="AH376" s="176">
        <f t="shared" si="138"/>
        <v>5</v>
      </c>
      <c r="AI376" s="225">
        <f t="shared" si="139"/>
        <v>-0.49996237662602533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8">
        <v>6.4550000000000001</v>
      </c>
      <c r="C377" s="390"/>
      <c r="D377" s="393">
        <f t="shared" si="122"/>
        <v>6.5907206016357458</v>
      </c>
      <c r="E377" s="385">
        <f t="shared" si="144"/>
        <v>7.1694527216816288</v>
      </c>
      <c r="F377" s="385">
        <f t="shared" si="123"/>
        <v>7.1694527216816288</v>
      </c>
      <c r="G377" s="110">
        <f t="shared" si="145"/>
        <v>0.25607173053616628</v>
      </c>
      <c r="H377" s="412" t="b">
        <f>Wh_hp&gt;='2019'!Maxi_hp</f>
        <v>0</v>
      </c>
      <c r="I377" s="380">
        <f>IF(H377,Wh_hp,'2019'!Maxi_hp)</f>
        <v>27.222037432287717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2.0592680199804203E-2</v>
      </c>
      <c r="M377" s="957"/>
      <c r="N377" s="957"/>
      <c r="O377" s="48">
        <f>IF(t&lt;Tnet,'2019'!Resal+('2019'!Salim-'2019'!Resal)*(1-EXP(('2019'!Tnet-t)/('2019'!Tau_j))),Resal+(Salim-Resal)*(1-EXP((Tnet-t)/(Tau_j))))*Salcycl</f>
        <v>8.0721938272317453E-2</v>
      </c>
      <c r="P377" s="169">
        <f>(INDEX(Models!$BJ377:$BT377,,T377)*(1-R377)+INDEX(Models!$BJ377:$BT377,,T377+1)*R377-ERP_i)*Q377*Ramure*Pc/MaxiM</f>
        <v>1.6580726979672437E-3</v>
      </c>
      <c r="Q377" s="305">
        <f t="shared" si="125"/>
        <v>0.7</v>
      </c>
      <c r="R377" s="177">
        <f t="shared" si="126"/>
        <v>0.50003762337397473</v>
      </c>
      <c r="S377" s="919">
        <f t="shared" si="127"/>
        <v>-1</v>
      </c>
      <c r="T377" s="176">
        <f t="shared" si="128"/>
        <v>5</v>
      </c>
      <c r="U377" s="251">
        <f t="shared" si="129"/>
        <v>-0.49996237662602533</v>
      </c>
      <c r="V377" s="383">
        <f t="shared" si="130"/>
        <v>25.165984262462203</v>
      </c>
      <c r="W377" s="402"/>
      <c r="X377" s="157">
        <f t="shared" si="131"/>
        <v>44193</v>
      </c>
      <c r="Y377" s="385">
        <f t="shared" si="132"/>
        <v>6.4550000000000001</v>
      </c>
      <c r="Z377" s="385">
        <f t="shared" si="133"/>
        <v>6.5907206016357458</v>
      </c>
      <c r="AA377" s="386">
        <f t="shared" si="134"/>
        <v>7.1694527216816288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8.0721938272317453E-2</v>
      </c>
      <c r="AD377" s="231">
        <f>(INDEX(Models!$BJ377:$BT377,,AH377)*(1-AF377)+INDEX(Models!$BJ377:$BT377,,AH377+1)*AF377-ERP_i)*AE377*Ramure*Pc/MaxiM</f>
        <v>1.6580726979672437E-3</v>
      </c>
      <c r="AE377" s="305">
        <f t="shared" si="136"/>
        <v>0.7</v>
      </c>
      <c r="AF377" s="177">
        <f t="shared" si="137"/>
        <v>0.50003762337397473</v>
      </c>
      <c r="AG377" s="919">
        <f t="shared" si="143"/>
        <v>-1</v>
      </c>
      <c r="AH377" s="176">
        <f t="shared" si="138"/>
        <v>5</v>
      </c>
      <c r="AI377" s="225">
        <f t="shared" si="139"/>
        <v>-0.49996237662602533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8">
        <v>5.7489999999999997</v>
      </c>
      <c r="C378" s="390"/>
      <c r="D378" s="393">
        <f t="shared" si="122"/>
        <v>5.8700050575334224</v>
      </c>
      <c r="E378" s="385">
        <f t="shared" si="144"/>
        <v>6.385673463510634</v>
      </c>
      <c r="F378" s="385">
        <f t="shared" si="123"/>
        <v>6.385673463510634</v>
      </c>
      <c r="G378" s="110">
        <f t="shared" si="145"/>
        <v>0.22657692581689987</v>
      </c>
      <c r="H378" s="412" t="b">
        <f>Wh_hp&gt;='2019'!Maxi_hp</f>
        <v>0</v>
      </c>
      <c r="I378" s="380">
        <f>IF(H378,Wh_hp,'2019'!Maxi_hp)</f>
        <v>27.784365944966957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2.0614131733690422E-2</v>
      </c>
      <c r="M378" s="957"/>
      <c r="N378" s="957"/>
      <c r="O378" s="48">
        <f>IF(t&lt;Tnet,'2019'!Resal+('2019'!Salim-'2019'!Resal)*(1-EXP(('2019'!Tnet-t)/('2019'!Tau_j))),Resal+(Salim-Resal)*(1-EXP((Tnet-t)/(Tau_j))))*Salcycl</f>
        <v>8.0753957890874348E-2</v>
      </c>
      <c r="P378" s="169">
        <f>(INDEX(Models!$BJ378:$BT378,,T378)*(1-R378)+INDEX(Models!$BJ378:$BT378,,T378+1)*R378-ERP_i)*Q378*Ramure*Pc/MaxiM</f>
        <v>1.6521959749014497E-3</v>
      </c>
      <c r="Q378" s="305">
        <f t="shared" si="125"/>
        <v>0.7</v>
      </c>
      <c r="R378" s="177">
        <f t="shared" si="126"/>
        <v>0.50003762337397473</v>
      </c>
      <c r="S378" s="919">
        <f t="shared" si="127"/>
        <v>-1</v>
      </c>
      <c r="T378" s="176">
        <f t="shared" si="128"/>
        <v>5</v>
      </c>
      <c r="U378" s="251">
        <f t="shared" si="129"/>
        <v>-0.49996237662602533</v>
      </c>
      <c r="V378" s="383">
        <f t="shared" si="130"/>
        <v>25.331359336998272</v>
      </c>
      <c r="W378" s="402"/>
      <c r="X378" s="157">
        <f t="shared" si="131"/>
        <v>44194</v>
      </c>
      <c r="Y378" s="385">
        <f t="shared" si="132"/>
        <v>5.7489999999999997</v>
      </c>
      <c r="Z378" s="385">
        <f t="shared" si="133"/>
        <v>5.8700050575334224</v>
      </c>
      <c r="AA378" s="386">
        <f t="shared" si="134"/>
        <v>6.385673463510634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8.0753957890874348E-2</v>
      </c>
      <c r="AD378" s="231">
        <f>(INDEX(Models!$BJ378:$BT378,,AH378)*(1-AF378)+INDEX(Models!$BJ378:$BT378,,AH378+1)*AF378-ERP_i)*AE378*Ramure*Pc/MaxiM</f>
        <v>1.6521959749014497E-3</v>
      </c>
      <c r="AE378" s="305">
        <f t="shared" si="136"/>
        <v>0.7</v>
      </c>
      <c r="AF378" s="177">
        <f t="shared" si="137"/>
        <v>0.50003762337397473</v>
      </c>
      <c r="AG378" s="919">
        <f t="shared" si="143"/>
        <v>-1</v>
      </c>
      <c r="AH378" s="176">
        <f t="shared" si="138"/>
        <v>5</v>
      </c>
      <c r="AI378" s="225">
        <f t="shared" si="139"/>
        <v>-0.49996237662602533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8">
        <v>6.0289999999999999</v>
      </c>
      <c r="C379" s="390"/>
      <c r="D379" s="393">
        <f t="shared" si="122"/>
        <v>6.1560333356024284</v>
      </c>
      <c r="E379" s="385">
        <f t="shared" si="144"/>
        <v>6.6970636220324398</v>
      </c>
      <c r="F379" s="385">
        <f t="shared" si="123"/>
        <v>6.6970636220324398</v>
      </c>
      <c r="G379" s="110">
        <f t="shared" si="145"/>
        <v>0.23598442237235473</v>
      </c>
      <c r="H379" s="412" t="b">
        <f>Wh_hp&gt;='2019'!Maxi_hp</f>
        <v>0</v>
      </c>
      <c r="I379" s="380">
        <f>IF(H379,Wh_hp,'2019'!Maxi_hp)</f>
        <v>16.365333025997142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2.0635582797733032E-2</v>
      </c>
      <c r="M379" s="957"/>
      <c r="N379" s="957"/>
      <c r="O379" s="48">
        <f>IF(t&lt;Tnet,'2019'!Resal+('2019'!Salim-'2019'!Resal)*(1-EXP(('2019'!Tnet-t)/('2019'!Tau_j))),Resal+(Salim-Resal)*(1-EXP((Tnet-t)/(Tau_j))))*Salcycl</f>
        <v>8.0786194810826384E-2</v>
      </c>
      <c r="P379" s="169">
        <f>(INDEX(Models!$BJ379:$BT379,,T379)*(1-R379)+INDEX(Models!$BJ379:$BT379,,T379+1)*R379-ERP_i)*Q379*Ramure*Pc/MaxiM</f>
        <v>1.6452023080135993E-3</v>
      </c>
      <c r="Q379" s="306">
        <f t="shared" si="125"/>
        <v>0.7</v>
      </c>
      <c r="R379" s="177">
        <f t="shared" si="126"/>
        <v>0.50003762337397473</v>
      </c>
      <c r="S379" s="919">
        <f t="shared" si="127"/>
        <v>-1</v>
      </c>
      <c r="T379" s="176">
        <f t="shared" si="128"/>
        <v>5</v>
      </c>
      <c r="U379" s="307">
        <f t="shared" si="129"/>
        <v>-0.49996237662602533</v>
      </c>
      <c r="V379" s="383">
        <f t="shared" si="130"/>
        <v>25.506264416841923</v>
      </c>
      <c r="W379" s="402"/>
      <c r="X379" s="157">
        <f t="shared" si="131"/>
        <v>44195</v>
      </c>
      <c r="Y379" s="385">
        <f t="shared" si="132"/>
        <v>6.0289999999999999</v>
      </c>
      <c r="Z379" s="385">
        <f t="shared" si="133"/>
        <v>6.1560333356024284</v>
      </c>
      <c r="AA379" s="386">
        <f t="shared" si="134"/>
        <v>6.6970636220324398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8.0786194810826384E-2</v>
      </c>
      <c r="AD379" s="231">
        <f>(INDEX(Models!$BJ379:$BT379,,AH379)*(1-AF379)+INDEX(Models!$BJ379:$BT379,,AH379+1)*AF379-ERP_i)*AE379*Ramure*Pc/MaxiM</f>
        <v>1.6452023080135993E-3</v>
      </c>
      <c r="AE379" s="306">
        <f t="shared" si="136"/>
        <v>0.7</v>
      </c>
      <c r="AF379" s="177">
        <f t="shared" si="137"/>
        <v>0.50003762337397473</v>
      </c>
      <c r="AG379" s="919">
        <f t="shared" si="143"/>
        <v>-1</v>
      </c>
      <c r="AH379" s="176">
        <f t="shared" si="138"/>
        <v>5</v>
      </c>
      <c r="AI379" s="222">
        <f t="shared" si="139"/>
        <v>-0.49996237662602533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9">
        <v>14.057</v>
      </c>
      <c r="C380" s="390"/>
      <c r="D380" s="393">
        <f t="shared" si="122"/>
        <v>14.353500744163453</v>
      </c>
      <c r="E380" s="385">
        <f t="shared" si="144"/>
        <v>15.615526055836645</v>
      </c>
      <c r="F380" s="385">
        <f t="shared" si="123"/>
        <v>15.624559392660943</v>
      </c>
      <c r="G380" s="110">
        <f t="shared" si="145"/>
        <v>0.54661318583592988</v>
      </c>
      <c r="H380" s="412" t="b">
        <f>Wh_hp&gt;='2019'!Maxi_hp</f>
        <v>1</v>
      </c>
      <c r="I380" s="381">
        <f>IF(H380,Wh_hp,'2019'!Maxi_hp)</f>
        <v>15.624559392660943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2.0657033391942248E-2</v>
      </c>
      <c r="M380" s="957"/>
      <c r="N380" s="957"/>
      <c r="O380" s="324">
        <f>IF(t&lt;Tnet,'2019'!Resal+('2019'!Salim-'2019'!Resal)*(1-EXP(('2019'!Tnet-t)/('2019'!Tau_j))),Resal+(Salim-Resal)*(1-EXP((Tnet-t)/(Tau_j))))*Salcycl</f>
        <v>8.081862289880927E-2</v>
      </c>
      <c r="P380" s="231">
        <f>(INDEX(Models!$BJ380:$BT380,,T380)*(1-R380)+INDEX(Models!$BJ380:$BT380,,T380+1)*R380-ERP_i)*Q380*Ramure*Pc/MaxiM</f>
        <v>1.6372019344213634E-3</v>
      </c>
      <c r="Q380" s="328">
        <f t="shared" si="125"/>
        <v>0.7</v>
      </c>
      <c r="R380" s="314">
        <f>(Hp_vg-S380)/(INDEX(Echel_vg,T380+1)-S380)</f>
        <v>0.50003762337397473</v>
      </c>
      <c r="S380" s="920">
        <f>INDEX(Echel_vg,T380)</f>
        <v>-1</v>
      </c>
      <c r="T380" s="233">
        <f t="shared" si="128"/>
        <v>5</v>
      </c>
      <c r="U380" s="301">
        <f t="shared" si="129"/>
        <v>-0.49996237662602533</v>
      </c>
      <c r="V380" s="383">
        <f t="shared" si="130"/>
        <v>25.689289349219596</v>
      </c>
      <c r="W380" s="402"/>
      <c r="X380" s="326">
        <f t="shared" si="131"/>
        <v>44196</v>
      </c>
      <c r="Y380" s="398">
        <f t="shared" si="132"/>
        <v>14.057</v>
      </c>
      <c r="Z380" s="398">
        <f t="shared" si="133"/>
        <v>14.353500744163453</v>
      </c>
      <c r="AA380" s="399">
        <f t="shared" si="134"/>
        <v>15.615526055836645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8.081862289880927E-2</v>
      </c>
      <c r="AD380" s="921">
        <f>(INDEX(Models!$BJ380:$BT380,,AH380)*(1-AF380)+INDEX(Models!$BJ380:$BT380,,AH380+1)*AF380-ERP_i)*AE380*Ramure*Pc/MaxiM</f>
        <v>1.6372019344213634E-3</v>
      </c>
      <c r="AE380" s="328">
        <f t="shared" si="136"/>
        <v>0.7</v>
      </c>
      <c r="AF380" s="314">
        <f>(Hp_vg_s-AG380)/(INDEX(Echel_vg,AH380+1)-AG380)</f>
        <v>0.50003762337397473</v>
      </c>
      <c r="AG380" s="920">
        <f>INDEX(Echel_vg,AH380)</f>
        <v>-1</v>
      </c>
      <c r="AH380" s="233">
        <f t="shared" si="138"/>
        <v>5</v>
      </c>
      <c r="AI380" s="227">
        <f t="shared" si="139"/>
        <v>-0.49996237662602533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1.2999999999999999E-2</v>
      </c>
      <c r="C381" s="375"/>
      <c r="D381" s="373">
        <f>MIN(D15:D380)</f>
        <v>1.3220816771113569E-2</v>
      </c>
      <c r="E381" s="373">
        <f>MIN(E15:E380)</f>
        <v>1.4324865506130676E-2</v>
      </c>
      <c r="F381" s="374">
        <f>MIN(F15:F380)</f>
        <v>1.4324865506130676E-2</v>
      </c>
      <c r="G381" s="125">
        <f>+MIN(G15:G380)</f>
        <v>2.4873731112463817E-4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1.2796272593941671E-2</v>
      </c>
      <c r="M381" s="959"/>
      <c r="N381" s="959"/>
      <c r="O381" s="47">
        <f t="shared" si="146"/>
        <v>6.529081480349877E-2</v>
      </c>
      <c r="P381" s="168">
        <f t="shared" si="146"/>
        <v>7.9909967029876528E-5</v>
      </c>
      <c r="Q381" s="310">
        <f t="shared" si="146"/>
        <v>0.7</v>
      </c>
      <c r="R381" s="311">
        <f t="shared" si="146"/>
        <v>3.8896410145761173E-5</v>
      </c>
      <c r="S381" s="919">
        <f t="shared" si="146"/>
        <v>-1</v>
      </c>
      <c r="T381" s="176">
        <f t="shared" si="146"/>
        <v>5</v>
      </c>
      <c r="U381" s="252">
        <f>+MIN(U15:U380)</f>
        <v>-0.99996110358985424</v>
      </c>
      <c r="V381" s="373">
        <f>MIN(V15:V380)</f>
        <v>24.146515122100489</v>
      </c>
      <c r="W381" s="911" t="s">
        <v>41</v>
      </c>
      <c r="X381" s="112" t="s">
        <v>7</v>
      </c>
      <c r="Y381" s="375">
        <f>MIN(Y15:Y380)</f>
        <v>1.2999999999999999E-2</v>
      </c>
      <c r="Z381" s="375">
        <f>MIN(Z15:Z380)</f>
        <v>1.3220816771113569E-2</v>
      </c>
      <c r="AA381" s="375">
        <f>MIN(AA15:AA380)</f>
        <v>1.4324865506130676E-2</v>
      </c>
      <c r="AB381" s="200" t="s">
        <v>7</v>
      </c>
      <c r="AC381" s="48">
        <f t="shared" ref="AC381:AH381" si="147">MIN(AC15:AC380)</f>
        <v>6.529081480349877E-2</v>
      </c>
      <c r="AD381" s="169">
        <f t="shared" si="147"/>
        <v>7.9909967029876528E-5</v>
      </c>
      <c r="AE381" s="310">
        <f t="shared" si="147"/>
        <v>0.7</v>
      </c>
      <c r="AF381" s="311">
        <f t="shared" si="147"/>
        <v>3.8896410145761173E-5</v>
      </c>
      <c r="AG381" s="919">
        <f t="shared" si="147"/>
        <v>-1</v>
      </c>
      <c r="AH381" s="176">
        <f t="shared" si="147"/>
        <v>5</v>
      </c>
      <c r="AI381" s="225">
        <f>MIN(AI15:AI380)</f>
        <v>-0.99996110358985424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28.745519125683057</v>
      </c>
      <c r="C382" s="375"/>
      <c r="D382" s="375">
        <f>AVERAGE(D15:D380)</f>
        <v>29.229082200244576</v>
      </c>
      <c r="E382" s="375">
        <f>AVERAGE(E15:E380)</f>
        <v>31.602922616671282</v>
      </c>
      <c r="F382" s="376">
        <f>AVERAGE(F15:F380)</f>
        <v>31.631760380252047</v>
      </c>
      <c r="G382" s="126">
        <f>AVERAGE(G15:G380)</f>
        <v>0.65803010464895717</v>
      </c>
      <c r="H382" s="94"/>
      <c r="I382" s="376">
        <f>AVERAGE(I15:I380)</f>
        <v>40.264633510297159</v>
      </c>
      <c r="J382" s="59">
        <f>AVERAGE(J15:J380)</f>
        <v>2019.2131147540983</v>
      </c>
      <c r="K382" s="200" t="s">
        <v>8</v>
      </c>
      <c r="L382" s="147">
        <f t="shared" ref="L382:V382" si="148">AVERAGE(L15:L380)</f>
        <v>1.673187555991907E-2</v>
      </c>
      <c r="M382" s="957"/>
      <c r="N382" s="957"/>
      <c r="O382" s="48">
        <f t="shared" si="148"/>
        <v>7.5087808111890531E-2</v>
      </c>
      <c r="P382" s="169">
        <f t="shared" si="148"/>
        <v>1.125017184225496E-3</v>
      </c>
      <c r="Q382" s="312">
        <f t="shared" si="148"/>
        <v>0.69999999999999529</v>
      </c>
      <c r="R382" s="177">
        <f t="shared" si="148"/>
        <v>0.28052390086820927</v>
      </c>
      <c r="S382" s="919">
        <f t="shared" si="148"/>
        <v>-1</v>
      </c>
      <c r="T382" s="176">
        <f t="shared" si="148"/>
        <v>5</v>
      </c>
      <c r="U382" s="251">
        <f t="shared" si="148"/>
        <v>-0.71947609913178956</v>
      </c>
      <c r="V382" s="375">
        <f t="shared" si="148"/>
        <v>42.385808233978047</v>
      </c>
      <c r="X382" s="112" t="s">
        <v>8</v>
      </c>
      <c r="Y382" s="375">
        <f>AVERAGE(Y15:Y380)</f>
        <v>28.745519125683057</v>
      </c>
      <c r="Z382" s="375">
        <f>AVERAGE(Z15:Z380)</f>
        <v>29.229082200244576</v>
      </c>
      <c r="AA382" s="375">
        <f>AVERAGE(AA15:AA380)</f>
        <v>31.602922616671282</v>
      </c>
      <c r="AB382" s="200" t="s">
        <v>8</v>
      </c>
      <c r="AC382" s="48">
        <f t="shared" ref="AC382:AH382" si="149">AVERAGE(AC15:AC380)</f>
        <v>7.5087808111890531E-2</v>
      </c>
      <c r="AD382" s="169">
        <f t="shared" si="149"/>
        <v>1.125017184225496E-3</v>
      </c>
      <c r="AE382" s="312">
        <f t="shared" si="149"/>
        <v>0.69999999999999529</v>
      </c>
      <c r="AF382" s="177">
        <f t="shared" si="149"/>
        <v>0.28052390086820927</v>
      </c>
      <c r="AG382" s="919">
        <f t="shared" si="149"/>
        <v>-1</v>
      </c>
      <c r="AH382" s="176">
        <f t="shared" si="149"/>
        <v>5</v>
      </c>
      <c r="AI382" s="225">
        <f>AVERAGE(AI15:AI380)</f>
        <v>-0.71947609913178956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54.438000000000002</v>
      </c>
      <c r="C383" s="377"/>
      <c r="D383" s="377">
        <f>MAX(D15:D380)</f>
        <v>55.310561553146947</v>
      </c>
      <c r="E383" s="377">
        <f>MAX(E15:E380)</f>
        <v>59.714807002339484</v>
      </c>
      <c r="F383" s="378">
        <f>MAX(F15:F380)</f>
        <v>59.85772667252207</v>
      </c>
      <c r="G383" s="127">
        <f>+MAX(G15:G380)</f>
        <v>1.0469651533282573</v>
      </c>
      <c r="H383" s="94"/>
      <c r="I383" s="378">
        <f>MAX(I15:I380)</f>
        <v>61.987907498178245</v>
      </c>
      <c r="J383" s="60">
        <f>MAX(J15:J380)</f>
        <v>2020</v>
      </c>
      <c r="K383" s="200" t="s">
        <v>9</v>
      </c>
      <c r="L383" s="148">
        <f t="shared" ref="L383:T383" si="150">MAX(L15:L380)</f>
        <v>2.0657033391942248E-2</v>
      </c>
      <c r="M383" s="960"/>
      <c r="N383" s="960"/>
      <c r="O383" s="49">
        <f t="shared" si="150"/>
        <v>8.081862289880927E-2</v>
      </c>
      <c r="P383" s="170">
        <f t="shared" si="150"/>
        <v>3.7514288159848524E-3</v>
      </c>
      <c r="Q383" s="313">
        <f t="shared" si="150"/>
        <v>0.7</v>
      </c>
      <c r="R383" s="314">
        <f t="shared" si="150"/>
        <v>0.50003762337397473</v>
      </c>
      <c r="S383" s="920">
        <f t="shared" si="150"/>
        <v>-1</v>
      </c>
      <c r="T383" s="233">
        <f t="shared" si="150"/>
        <v>5</v>
      </c>
      <c r="U383" s="253">
        <f>+MAX(U15:U380)</f>
        <v>-0.49996237662602533</v>
      </c>
      <c r="V383" s="377">
        <f>MAX(V15:V380)</f>
        <v>54.425134655340621</v>
      </c>
      <c r="X383" s="112" t="s">
        <v>9</v>
      </c>
      <c r="Y383" s="377">
        <f>MAX(Y15:Y380)</f>
        <v>54.438000000000002</v>
      </c>
      <c r="Z383" s="377">
        <f>MAX(Z15:Z380)</f>
        <v>55.310561553146947</v>
      </c>
      <c r="AA383" s="377">
        <f>MAX(AA15:AA380)</f>
        <v>59.714807002339484</v>
      </c>
      <c r="AB383" s="200" t="s">
        <v>9</v>
      </c>
      <c r="AC383" s="49">
        <f t="shared" ref="AC383:AH383" si="151">MAX(AC15:AC380)</f>
        <v>8.081862289880927E-2</v>
      </c>
      <c r="AD383" s="170">
        <f t="shared" si="151"/>
        <v>3.7514288159848524E-3</v>
      </c>
      <c r="AE383" s="313">
        <f t="shared" si="151"/>
        <v>0.7</v>
      </c>
      <c r="AF383" s="314">
        <f t="shared" si="151"/>
        <v>0.50003762337397473</v>
      </c>
      <c r="AG383" s="920">
        <f t="shared" si="151"/>
        <v>-1</v>
      </c>
      <c r="AH383" s="233">
        <f t="shared" si="151"/>
        <v>5</v>
      </c>
      <c r="AI383" s="227">
        <f>MAX(AI15:AI380)</f>
        <v>-0.49996237662602533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8" priority="4" stopIfTrue="1" operator="lessThan">
      <formula>0.01</formula>
    </cfRule>
    <cfRule type="cellIs" dxfId="27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'2020'!An+1</f>
        <v>2021</v>
      </c>
      <c r="K1" s="1213"/>
      <c r="L1" s="113" t="str">
        <f>"Calcul pertes et enveloppes en "&amp;TEXT(An,0)</f>
        <v>Calcul pertes et enveloppes en 2021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0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600.9123713970771</v>
      </c>
      <c r="AK4" s="946">
        <f>AM12-AK12</f>
        <v>-0.76147889062777985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601.44417563785896</v>
      </c>
      <c r="AA5" s="237">
        <f>Wh_Pvg_s-Wh_Pvg</f>
        <v>-0.76147889062777985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2726.168000000001</v>
      </c>
      <c r="AK5" s="515">
        <f>SUMIF(AK15:AK380,"VRAI",Wh)</f>
        <v>0</v>
      </c>
      <c r="AL5" s="515">
        <f>SUMIF(AJ15:AJ380,"VRAI",Wh_s)</f>
        <v>2726.168000000001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8193.2240000000056</v>
      </c>
      <c r="AK6" s="515">
        <f>SUMIF(AK15:AK380,"FAUX",Wh)</f>
        <v>10919.392000000005</v>
      </c>
      <c r="AL6" s="515">
        <f>SUMIF(AJ15:AJ380,"FAUX",Wh_s)</f>
        <v>7592.2595438481176</v>
      </c>
      <c r="AM6" s="515">
        <f>SUMIF(AK15:AK380,"FAUX",Wh_s)</f>
        <v>10318.427543848127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2787.8805455264228</v>
      </c>
      <c r="AK7" s="515">
        <f>SUMIF(AK15:AK380,"VRAI",Wh_sa)</f>
        <v>0</v>
      </c>
      <c r="AL7" s="515">
        <f>SUMIF(AJ15:AJ380,"VRAI",Wh_pvt_s)</f>
        <v>2787.8805455264228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AND(YEAR(Tnet)=An,Resal_2021&lt;&gt;"I")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8405.8160030182116</v>
      </c>
      <c r="AK8" s="515">
        <f>SUMIF(AK15:AK380,"FAUX",Wh_sa)</f>
        <v>11608.677211355429</v>
      </c>
      <c r="AL8" s="515">
        <f>SUMIF(AJ15:AJ380,"FAUX",Wh_pvt_s)</f>
        <v>7789.3067270511729</v>
      </c>
      <c r="AM8" s="515">
        <f>SUMIF(AK15:AK380,"FAUX",Wh_sa_s)</f>
        <v>11608.677211355429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11193.696548544644</v>
      </c>
      <c r="E9" s="184">
        <f>SUM(E$15:E$380)</f>
        <v>11608.677211355429</v>
      </c>
      <c r="F9" s="184">
        <f>SUM(F$15:F$380)</f>
        <v>11623.386504981814</v>
      </c>
      <c r="H9" s="1214">
        <f>+SUM(Wh)</f>
        <v>10919.392000000005</v>
      </c>
      <c r="I9" s="1215"/>
      <c r="J9" s="1216"/>
      <c r="K9" s="191" t="s">
        <v>10</v>
      </c>
      <c r="L9" s="232"/>
      <c r="M9" s="232"/>
      <c r="N9" s="232"/>
      <c r="O9" s="223">
        <f>Tnet_2021</f>
        <v>44306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10318.427543848127</v>
      </c>
      <c r="Y9" s="1209"/>
      <c r="Z9" s="515">
        <f>SUM(Wh_pvt_s)</f>
        <v>10577.187272577607</v>
      </c>
      <c r="AA9" s="515">
        <f>SUM(Wh_sa_s)</f>
        <v>11608.677211355429</v>
      </c>
      <c r="AB9" s="515">
        <f>F9</f>
        <v>11623.386504981814</v>
      </c>
      <c r="AC9" s="325">
        <f>IF(An_Tnet,Tnet,'2020'!Tnet_s)</f>
        <v>44306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3041.1539660486733</v>
      </c>
      <c r="AK9" s="515">
        <f>SUMIF(AK15:AK380,"VRAI",Wh_hp)</f>
        <v>0</v>
      </c>
      <c r="AL9" s="515">
        <f>SUMIF(AJ15:AJ380,"VRAI",Wh_sa_s)</f>
        <v>3041.1539660486733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8.0000000000000002E-3</v>
      </c>
      <c r="P10" s="420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IF(OR(Inflex,GainD),'2020'!Resal_s+('2020'!Salim-'2020'!Resal_s)*(1-EXP(('2020'!Tnet_s-Tnet)/('2020'!Tau_j))),IF(Acti_net,'2020'!Resal+('2020'!Salim-'2020'!Resal)*(1-EXP(('2020'!Tnet-Tnet)/'2020'!Tau_j)),'2020'!Resal_s))</f>
        <v>8.4521601654919384E-2</v>
      </c>
      <c r="AD10" s="427"/>
      <c r="AE10" s="427"/>
      <c r="AF10" s="260"/>
      <c r="AG10" s="261"/>
      <c r="AH10" s="262"/>
      <c r="AI10" s="472"/>
      <c r="AJ10" s="515">
        <f>SUMIF(AJ15:AJ380,"FAUX",Wh_sa)</f>
        <v>8567.5232453067474</v>
      </c>
      <c r="AK10" s="515">
        <f>SUMIF(AK15:AK380,"FAUX",Wh_hp)</f>
        <v>11623.386504981814</v>
      </c>
      <c r="AL10" s="515">
        <f>SUMIF(AJ15:AJ380,"FAUX",Wh_sa_s)</f>
        <v>8567.5232453067474</v>
      </c>
      <c r="AM10" s="515">
        <f>SUMIF(AK15:AK380,"FAUX",Wh_hp)</f>
        <v>11623.386504981814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274.30454854463824</v>
      </c>
      <c r="E11" s="51">
        <f>(E$9-D$9)*Prod_an/D$9</f>
        <v>404.81144990838033</v>
      </c>
      <c r="F11" s="186">
        <f>(F$9-E$9)*Prod_an/E$9</f>
        <v>13.835903972977185</v>
      </c>
      <c r="G11" s="185" t="s">
        <v>6</v>
      </c>
      <c r="K11" s="194"/>
      <c r="L11" s="211">
        <f>Tvie_2021</f>
        <v>43243</v>
      </c>
      <c r="M11" s="956"/>
      <c r="N11" s="956"/>
      <c r="O11" s="202">
        <f>IF(An_Tnet,Salim_2021,'2020'!Salim)</f>
        <v>0.12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3.7623373974671193E-5</v>
      </c>
      <c r="V11" s="19"/>
      <c r="W11" s="948"/>
      <c r="X11" s="235" t="s">
        <v>44</v>
      </c>
      <c r="Y11" s="50">
        <f>Z$9-Prod_an_s</f>
        <v>258.75972872947932</v>
      </c>
      <c r="Z11" s="51">
        <f>(AA$9-Z$9)*Prod_an_s/Z$9</f>
        <v>1006.2556255462392</v>
      </c>
      <c r="AA11" s="186">
        <f>(AB$9-AA$9)*Prod_an_s/AA$9</f>
        <v>13.074425082349405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247.66695810774965</v>
      </c>
      <c r="AK11" s="946">
        <f>IF($AK7=0,0,($AK9-$AK7)*$AK5/$AK7)</f>
        <v>0</v>
      </c>
      <c r="AL11" s="945">
        <f>IF($AL7=0,0,($AL9-$AL7)*$AL5/$AL7)</f>
        <v>247.66695810774965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4.6944592334525526E-2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-0.49996237662602533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-0.49996237662602533</v>
      </c>
      <c r="AJ12" s="945">
        <f>IF($AJ8=0,0,($AJ10-$AJ8)*$AJ6/$AJ8)</f>
        <v>157.61749460332277</v>
      </c>
      <c r="AK12" s="946">
        <f>IF($AK8=0,0,($AK10-$AK8)*$AK6/$AK8)</f>
        <v>13.835903972977185</v>
      </c>
      <c r="AL12" s="945">
        <f>IF($AL8=0,0,($AL10-$AL8)*$AL6/$AL8)</f>
        <v>758.52986600039981</v>
      </c>
      <c r="AM12" s="946">
        <f>IF($AM8=0,0,($AM10-$AM8)*$AM6/$AM8)</f>
        <v>13.074425082349405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285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405.28445271107239</v>
      </c>
      <c r="AK13" s="73">
        <f>+AK11+AK12</f>
        <v>13.835903972977185</v>
      </c>
      <c r="AL13" s="73">
        <f>+AL11+AL12</f>
        <v>1006.1968241081495</v>
      </c>
      <c r="AM13" s="73">
        <f>+AM11+AM12</f>
        <v>13.074425082349405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389" t="s">
        <v>197</v>
      </c>
      <c r="C14" s="389"/>
      <c r="D14" s="53" t="s">
        <v>31</v>
      </c>
      <c r="E14" s="162" t="s">
        <v>30</v>
      </c>
      <c r="F14" s="162" t="str">
        <f>"Hors pertes "&amp; TEXT(An,0)</f>
        <v>Hors pertes 2021</v>
      </c>
      <c r="G14" s="107" t="s">
        <v>43</v>
      </c>
      <c r="H14" s="411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2021</v>
      </c>
      <c r="W14" s="950"/>
      <c r="X14" s="258" t="s">
        <v>2</v>
      </c>
      <c r="Y14" s="107" t="str">
        <f>"Wh / Jour "&amp; TEXT(An,0)</f>
        <v>Wh / Jour 2021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7">
        <v>11.795</v>
      </c>
      <c r="C15" s="390"/>
      <c r="D15" s="393">
        <f t="shared" ref="D15:D78" si="0">Wh/(1-Ppv)</f>
        <v>12.044052746181709</v>
      </c>
      <c r="E15" s="400">
        <f t="shared" ref="E15:E79" si="1">Wh_pvt/(1-Psa)</f>
        <v>13.103531604585658</v>
      </c>
      <c r="F15" s="400">
        <f t="shared" ref="F15:F78" si="2">Wh_sa/(1-Pvg*MEDIAN((-Sdif+Wh/Env_an)/Csdif,0,1))</f>
        <v>13.108411525263771</v>
      </c>
      <c r="G15" s="123">
        <f>+Wh_hp/MaxiM</f>
        <v>0.45858768910712217</v>
      </c>
      <c r="H15" s="412" t="b">
        <f>Wh_hp&gt;='2020'!Maxi_hp</f>
        <v>1</v>
      </c>
      <c r="I15" s="379">
        <f>IF(H15,Wh_hp,'2020'!Maxi_hp)</f>
        <v>13.108411525263771</v>
      </c>
      <c r="J15" s="84">
        <f>IF(H15,An,'2020'!An_max)</f>
        <v>2021</v>
      </c>
      <c r="K15" s="197">
        <f t="shared" ref="K15:K78" si="3">t</f>
        <v>44197</v>
      </c>
      <c r="L15" s="146">
        <f>IF(t&lt;Tvie,1-EXP((T0-t)*PertePVj)+'2020'!Pspv,1-EXP((T0-t)*PertePVj)+Pspv)</f>
        <v>2.0678483516328505E-2</v>
      </c>
      <c r="M15" s="957"/>
      <c r="N15" s="957"/>
      <c r="O15" s="48">
        <f>IF(t&lt;Tnet,'2020'!Resal+('2020'!Salim-'2020'!Resal)*(1-EXP(('2020'!Tnet-t)/('2020'!Tau_j))),Resal+(Salim-Resal)*(1-EXP((Tnet-t)/(Tau_j))))*Salcycl</f>
        <v>8.0854451332278879E-2</v>
      </c>
      <c r="P15" s="302">
        <f>(INDEX(Models!$BJ15:$BT15,,T15)*(1-R15)+INDEX(Models!$BJ15:$BT15,,T15+1)*R15-ERP_i)*Q15*Ramure*Pc/MaxiM</f>
        <v>1.6372047882523388E-3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0.50003881887220403</v>
      </c>
      <c r="S15" s="918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-0.49996118112779597</v>
      </c>
      <c r="V15" s="382">
        <f t="shared" ref="V15:V78" si="9">MaxiM*(1-Ppv)*(1-Pvg)*(1-Psa)</f>
        <v>25.687725302530687</v>
      </c>
      <c r="W15" s="402"/>
      <c r="X15" s="156">
        <f t="shared" ref="X15:X78" si="10">t</f>
        <v>44197</v>
      </c>
      <c r="Y15" s="385">
        <f t="shared" ref="Y15:Y78" si="11">Wh_pvt_s*(1-Ppv)</f>
        <v>11.795</v>
      </c>
      <c r="Z15" s="385">
        <f t="shared" ref="Z15:Z78" si="12">Wh_sa_s*(1-Psa_s)</f>
        <v>12.044052746181709</v>
      </c>
      <c r="AA15" s="386">
        <f t="shared" ref="AA15:AA78" si="13">Wh_hp*(1-Pvg_s*MEDIAN((-Sdif+Wh/Env_an)/Csdif,0,1))</f>
        <v>13.103531604585658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8.0854451332278879E-2</v>
      </c>
      <c r="AD15" s="231">
        <f>(INDEX(Models!$BJ15:$BT15,,AH15)*(1-AF15)+INDEX(Models!$BJ15:$BT15,,AH15+1)*AF15-ERP_i)*AE15*Ramure*Pc/MaxiM</f>
        <v>1.6372047882523388E-3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0.50003881887220403</v>
      </c>
      <c r="AG15" s="918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-0.49996118112779597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8">
        <v>4.3959999999999999</v>
      </c>
      <c r="C16" s="390"/>
      <c r="D16" s="393">
        <f t="shared" si="0"/>
        <v>4.4889203512810187</v>
      </c>
      <c r="E16" s="385">
        <f t="shared" si="1"/>
        <v>4.8839701037152228</v>
      </c>
      <c r="F16" s="385">
        <f t="shared" si="2"/>
        <v>4.8839701037152228</v>
      </c>
      <c r="G16" s="110">
        <f t="shared" ref="G16:G79" si="21">+Wh_hp/MaxiM</f>
        <v>0.16960102495253082</v>
      </c>
      <c r="H16" s="412" t="b">
        <f>Wh_hp&gt;='2020'!Maxi_hp</f>
        <v>0</v>
      </c>
      <c r="I16" s="380">
        <f>IF(H16,Wh_hp,'2020'!Maxi_hp)</f>
        <v>25.967841110496515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2.0699933170901907E-2</v>
      </c>
      <c r="M16" s="957"/>
      <c r="N16" s="957"/>
      <c r="O16" s="48">
        <f>IF(t&lt;Tnet,'2020'!Resal+('2020'!Salim-'2020'!Resal)*(1-EXP(('2020'!Tnet-t)/('2020'!Tau_j))),Resal+(Salim-Resal)*(1-EXP((Tnet-t)/(Tau_j))))*Salcycl</f>
        <v>8.0887012828700686E-2</v>
      </c>
      <c r="P16" s="169">
        <f>(INDEX(Models!$BJ16:$BT16,,T16)*(1-R16)+INDEX(Models!$BJ16:$BT16,,T16+1)*R16-ERP_i)*Q16*Ramure*Pc/MaxiM</f>
        <v>1.6241121880780792E-3</v>
      </c>
      <c r="Q16" s="305">
        <f t="shared" si="4"/>
        <v>0.7</v>
      </c>
      <c r="R16" s="177">
        <f t="shared" si="5"/>
        <v>0.50006803348619822</v>
      </c>
      <c r="S16" s="919">
        <f t="shared" si="6"/>
        <v>-1</v>
      </c>
      <c r="T16" s="176">
        <f t="shared" si="7"/>
        <v>5</v>
      </c>
      <c r="U16" s="251">
        <f t="shared" si="8"/>
        <v>-0.49993196651380173</v>
      </c>
      <c r="V16" s="383">
        <f t="shared" si="9"/>
        <v>25.877558252077755</v>
      </c>
      <c r="W16" s="402"/>
      <c r="X16" s="157">
        <f t="shared" si="10"/>
        <v>44198</v>
      </c>
      <c r="Y16" s="385">
        <f t="shared" si="11"/>
        <v>4.3959999999999999</v>
      </c>
      <c r="Z16" s="385">
        <f t="shared" si="12"/>
        <v>4.4889203512810187</v>
      </c>
      <c r="AA16" s="386">
        <f t="shared" si="13"/>
        <v>4.8839701037152228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8.0887012828700686E-2</v>
      </c>
      <c r="AD16" s="231">
        <f>(INDEX(Models!$BJ16:$BT16,,AH16)*(1-AF16)+INDEX(Models!$BJ16:$BT16,,AH16+1)*AF16-ERP_i)*AE16*Ramure*Pc/MaxiM</f>
        <v>1.6241121880780792E-3</v>
      </c>
      <c r="AE16" s="305">
        <f t="shared" si="15"/>
        <v>0.7</v>
      </c>
      <c r="AF16" s="177">
        <f t="shared" ref="AF16:AF78" si="22">(Hp_vg_s-AG16)/(INDEX(Echel_vg,AH16+1)-AG16)</f>
        <v>0.50006803348619822</v>
      </c>
      <c r="AG16" s="919">
        <f t="shared" ref="AG16:AG79" si="23">INDEX(Echel_vg,AH16)</f>
        <v>-1</v>
      </c>
      <c r="AH16" s="176">
        <f t="shared" si="16"/>
        <v>5</v>
      </c>
      <c r="AI16" s="225">
        <f t="shared" si="17"/>
        <v>-0.49993196651380173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8">
        <v>25.597999999999999</v>
      </c>
      <c r="C17" s="390"/>
      <c r="D17" s="393">
        <f t="shared" si="0"/>
        <v>26.139649675570841</v>
      </c>
      <c r="E17" s="385">
        <f t="shared" si="1"/>
        <v>28.441095156517878</v>
      </c>
      <c r="F17" s="385">
        <f t="shared" si="2"/>
        <v>28.485654659206979</v>
      </c>
      <c r="G17" s="110">
        <f t="shared" si="21"/>
        <v>0.98174830566591575</v>
      </c>
      <c r="H17" s="412" t="b">
        <f>Wh_hp&gt;='2020'!Maxi_hp</f>
        <v>0</v>
      </c>
      <c r="I17" s="380">
        <f>IF(H17,Wh_hp,'2020'!Maxi_hp)</f>
        <v>30.270872638205173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2.0721382355672779E-2</v>
      </c>
      <c r="M17" s="957"/>
      <c r="N17" s="957"/>
      <c r="O17" s="48">
        <f>IF(t&lt;Tnet,'2020'!Resal+('2020'!Salim-'2020'!Resal)*(1-EXP(('2020'!Tnet-t)/('2020'!Tau_j))),Resal+(Salim-Resal)*(1-EXP((Tnet-t)/(Tau_j))))*Salcycl</f>
        <v>8.0919720857500585E-2</v>
      </c>
      <c r="P17" s="169">
        <f>(INDEX(Models!$BJ17:$BT17,,T17)*(1-R17)+INDEX(Models!$BJ17:$BT17,,T17+1)*R17-ERP_i)*Q17*Ramure*Pc/MaxiM</f>
        <v>1.6060606116904885E-3</v>
      </c>
      <c r="Q17" s="305">
        <f t="shared" si="4"/>
        <v>0.7</v>
      </c>
      <c r="R17" s="177">
        <f t="shared" si="5"/>
        <v>0.50009847008168795</v>
      </c>
      <c r="S17" s="919">
        <f t="shared" si="6"/>
        <v>-1</v>
      </c>
      <c r="T17" s="176">
        <f t="shared" si="7"/>
        <v>5</v>
      </c>
      <c r="U17" s="251">
        <f t="shared" si="8"/>
        <v>-0.4999015299183121</v>
      </c>
      <c r="V17" s="383">
        <f t="shared" si="9"/>
        <v>26.072801595983297</v>
      </c>
      <c r="W17" s="402"/>
      <c r="X17" s="157">
        <f t="shared" si="10"/>
        <v>44199</v>
      </c>
      <c r="Y17" s="385">
        <f t="shared" si="11"/>
        <v>25.597999999999999</v>
      </c>
      <c r="Z17" s="385">
        <f t="shared" si="12"/>
        <v>26.139649675570841</v>
      </c>
      <c r="AA17" s="386">
        <f t="shared" si="13"/>
        <v>28.441095156517878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8.0919720857500585E-2</v>
      </c>
      <c r="AD17" s="231">
        <f>(INDEX(Models!$BJ17:$BT17,,AH17)*(1-AF17)+INDEX(Models!$BJ17:$BT17,,AH17+1)*AF17-ERP_i)*AE17*Ramure*Pc/MaxiM</f>
        <v>1.6060606116904885E-3</v>
      </c>
      <c r="AE17" s="305">
        <f t="shared" si="15"/>
        <v>0.7</v>
      </c>
      <c r="AF17" s="177">
        <f>(Hp_vg_s-AG17)/(INDEX(Echel_vg,AH17+1)-AG17)</f>
        <v>0.50009847008168795</v>
      </c>
      <c r="AG17" s="919">
        <f>INDEX(Echel_vg,AH17)</f>
        <v>-1</v>
      </c>
      <c r="AH17" s="176">
        <f t="shared" si="16"/>
        <v>5</v>
      </c>
      <c r="AI17" s="225">
        <f t="shared" si="17"/>
        <v>-0.4999015299183121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8">
        <v>18.911999999999999</v>
      </c>
      <c r="C18" s="390"/>
      <c r="D18" s="393">
        <f t="shared" si="0"/>
        <v>19.312597956956559</v>
      </c>
      <c r="E18" s="385">
        <f t="shared" si="1"/>
        <v>21.013711641088573</v>
      </c>
      <c r="F18" s="385">
        <f t="shared" si="2"/>
        <v>21.033685536918551</v>
      </c>
      <c r="G18" s="110">
        <f t="shared" si="21"/>
        <v>0.71939601992641411</v>
      </c>
      <c r="H18" s="412" t="b">
        <f>Wh_hp&gt;='2020'!Maxi_hp</f>
        <v>0</v>
      </c>
      <c r="I18" s="380">
        <f>IF(H18,Wh_hp,'2020'!Maxi_hp)</f>
        <v>25.910930416910517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2.0742831070651557E-2</v>
      </c>
      <c r="M18" s="957"/>
      <c r="N18" s="957"/>
      <c r="O18" s="48">
        <f>IF(t&lt;Tnet,'2020'!Resal+('2020'!Salim-'2020'!Resal)*(1-EXP(('2020'!Tnet-t)/('2020'!Tau_j))),Resal+(Salim-Resal)*(1-EXP((Tnet-t)/(Tau_j))))*Salcycl</f>
        <v>8.0952556748984231E-2</v>
      </c>
      <c r="P18" s="169">
        <f>(INDEX(Models!$BJ18:$BT18,,T18)*(1-R18)+INDEX(Models!$BJ18:$BT18,,T18+1)*R18-ERP_i)*Q18*Ramure*Pc/MaxiM</f>
        <v>1.5832468130877689E-3</v>
      </c>
      <c r="Q18" s="305">
        <f t="shared" si="4"/>
        <v>0.7</v>
      </c>
      <c r="R18" s="177">
        <f t="shared" si="5"/>
        <v>0.50013017961298301</v>
      </c>
      <c r="S18" s="919">
        <f t="shared" si="6"/>
        <v>-1</v>
      </c>
      <c r="T18" s="176">
        <f t="shared" si="7"/>
        <v>5</v>
      </c>
      <c r="U18" s="251">
        <f t="shared" si="8"/>
        <v>-0.49986982038701699</v>
      </c>
      <c r="V18" s="383">
        <f t="shared" si="9"/>
        <v>26.272046042300907</v>
      </c>
      <c r="W18" s="402"/>
      <c r="X18" s="157">
        <f t="shared" si="10"/>
        <v>44200</v>
      </c>
      <c r="Y18" s="385">
        <f t="shared" si="11"/>
        <v>18.911999999999999</v>
      </c>
      <c r="Z18" s="385">
        <f>Wh_sa_s*(1-Psa_s)</f>
        <v>19.312597956956559</v>
      </c>
      <c r="AA18" s="386">
        <f t="shared" si="13"/>
        <v>21.013711641088573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8.0952556748984231E-2</v>
      </c>
      <c r="AD18" s="231">
        <f>(INDEX(Models!$BJ18:$BT18,,AH18)*(1-AF18)+INDEX(Models!$BJ18:$BT18,,AH18+1)*AF18-ERP_i)*AE18*Ramure*Pc/MaxiM</f>
        <v>1.5832468130877689E-3</v>
      </c>
      <c r="AE18" s="305">
        <f t="shared" si="15"/>
        <v>0.7</v>
      </c>
      <c r="AF18" s="177">
        <f t="shared" si="22"/>
        <v>0.50013017961298301</v>
      </c>
      <c r="AG18" s="919">
        <f t="shared" si="23"/>
        <v>-1</v>
      </c>
      <c r="AH18" s="176">
        <f t="shared" si="16"/>
        <v>5</v>
      </c>
      <c r="AI18" s="225">
        <f t="shared" si="17"/>
        <v>-0.49986982038701699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8">
        <v>3.0380000000000003</v>
      </c>
      <c r="C19" s="390"/>
      <c r="D19" s="393">
        <f t="shared" si="0"/>
        <v>3.1024195051600802</v>
      </c>
      <c r="E19" s="385">
        <f t="shared" si="1"/>
        <v>3.3758112842489774</v>
      </c>
      <c r="F19" s="385">
        <f t="shared" si="2"/>
        <v>3.3758112842489774</v>
      </c>
      <c r="G19" s="110">
        <f t="shared" si="21"/>
        <v>0.11457606509077038</v>
      </c>
      <c r="H19" s="412" t="b">
        <f>Wh_hp&gt;='2020'!Maxi_hp</f>
        <v>0</v>
      </c>
      <c r="I19" s="380">
        <f>IF(H19,Wh_hp,'2020'!Maxi_hp)</f>
        <v>29.868700088933423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2.0764279315848344E-2</v>
      </c>
      <c r="M19" s="957"/>
      <c r="N19" s="957"/>
      <c r="O19" s="48">
        <f>IF(t&lt;Tnet,'2020'!Resal+('2020'!Salim-'2020'!Resal)*(1-EXP(('2020'!Tnet-t)/('2020'!Tau_j))),Resal+(Salim-Resal)*(1-EXP((Tnet-t)/(Tau_j))))*Salcycl</f>
        <v>8.0985504244417181E-2</v>
      </c>
      <c r="P19" s="169">
        <f>(INDEX(Models!$BJ19:$BT19,,T19)*(1-R19)+INDEX(Models!$BJ19:$BT19,,T19+1)*R19-ERP_i)*Q19*Ramure*Pc/MaxiM</f>
        <v>1.5558614038856835E-3</v>
      </c>
      <c r="Q19" s="305">
        <f t="shared" si="4"/>
        <v>0.7</v>
      </c>
      <c r="R19" s="177">
        <f t="shared" si="5"/>
        <v>0.50016321514554463</v>
      </c>
      <c r="S19" s="919">
        <f t="shared" si="6"/>
        <v>-1</v>
      </c>
      <c r="T19" s="176">
        <f t="shared" si="7"/>
        <v>5</v>
      </c>
      <c r="U19" s="251">
        <f t="shared" si="8"/>
        <v>-0.49983678485445532</v>
      </c>
      <c r="V19" s="383">
        <f t="shared" si="9"/>
        <v>26.473882574444772</v>
      </c>
      <c r="W19" s="402"/>
      <c r="X19" s="157">
        <f t="shared" si="10"/>
        <v>44201</v>
      </c>
      <c r="Y19" s="385">
        <f t="shared" si="11"/>
        <v>3.0380000000000003</v>
      </c>
      <c r="Z19" s="385">
        <f t="shared" si="12"/>
        <v>3.1024195051600802</v>
      </c>
      <c r="AA19" s="386">
        <f t="shared" si="13"/>
        <v>3.3758112842489774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8.0985504244417181E-2</v>
      </c>
      <c r="AD19" s="231">
        <f>(INDEX(Models!$BJ19:$BT19,,AH19)*(1-AF19)+INDEX(Models!$BJ19:$BT19,,AH19+1)*AF19-ERP_i)*AE19*Ramure*Pc/MaxiM</f>
        <v>1.5558614038856835E-3</v>
      </c>
      <c r="AE19" s="305">
        <f t="shared" si="15"/>
        <v>0.7</v>
      </c>
      <c r="AF19" s="177">
        <f t="shared" si="22"/>
        <v>0.50016321514554463</v>
      </c>
      <c r="AG19" s="919">
        <f t="shared" si="23"/>
        <v>-1</v>
      </c>
      <c r="AH19" s="176">
        <f t="shared" si="16"/>
        <v>5</v>
      </c>
      <c r="AI19" s="225">
        <f t="shared" si="17"/>
        <v>-0.49983678485445532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8">
        <v>8.4589999999999996</v>
      </c>
      <c r="C20" s="390"/>
      <c r="D20" s="393">
        <f t="shared" si="0"/>
        <v>8.6385587241011059</v>
      </c>
      <c r="E20" s="385">
        <f t="shared" si="1"/>
        <v>9.4001448219328321</v>
      </c>
      <c r="F20" s="385">
        <f t="shared" si="2"/>
        <v>9.4004946256182027</v>
      </c>
      <c r="G20" s="110">
        <f t="shared" si="21"/>
        <v>0.31661929535507671</v>
      </c>
      <c r="H20" s="412" t="b">
        <f>Wh_hp&gt;='2020'!Maxi_hp</f>
        <v>0</v>
      </c>
      <c r="I20" s="380">
        <f>IF(H20,Wh_hp,'2020'!Maxi_hp)</f>
        <v>28.521480989437787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2.0785727091273576E-2</v>
      </c>
      <c r="M20" s="957"/>
      <c r="N20" s="957"/>
      <c r="O20" s="48">
        <f>IF(t&lt;Tnet,'2020'!Resal+('2020'!Salim-'2020'!Resal)*(1-EXP(('2020'!Tnet-t)/('2020'!Tau_j))),Resal+(Salim-Resal)*(1-EXP((Tnet-t)/(Tau_j))))*Salcycl</f>
        <v>8.1018549422213246E-2</v>
      </c>
      <c r="P20" s="169">
        <f>(INDEX(Models!$BJ20:$BT20,,T20)*(1-R20)+INDEX(Models!$BJ20:$BT20,,T20+1)*R20-ERP_i)*Q20*Ramure*Pc/MaxiM</f>
        <v>1.5240865963340273E-3</v>
      </c>
      <c r="Q20" s="305">
        <f t="shared" si="4"/>
        <v>0.7</v>
      </c>
      <c r="R20" s="177">
        <f t="shared" si="5"/>
        <v>0.50019763194229538</v>
      </c>
      <c r="S20" s="919">
        <f t="shared" si="6"/>
        <v>-1</v>
      </c>
      <c r="T20" s="176">
        <f t="shared" si="7"/>
        <v>5</v>
      </c>
      <c r="U20" s="251">
        <f t="shared" si="8"/>
        <v>-0.49980236805770462</v>
      </c>
      <c r="V20" s="383">
        <f t="shared" si="9"/>
        <v>26.67690244054565</v>
      </c>
      <c r="W20" s="402"/>
      <c r="X20" s="157">
        <f t="shared" si="10"/>
        <v>44202</v>
      </c>
      <c r="Y20" s="385">
        <f t="shared" si="11"/>
        <v>8.4589999999999996</v>
      </c>
      <c r="Z20" s="385">
        <f t="shared" si="12"/>
        <v>8.6385587241011059</v>
      </c>
      <c r="AA20" s="386">
        <f t="shared" si="13"/>
        <v>9.4001448219328321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8.1018549422213246E-2</v>
      </c>
      <c r="AD20" s="231">
        <f>(INDEX(Models!$BJ20:$BT20,,AH20)*(1-AF20)+INDEX(Models!$BJ20:$BT20,,AH20+1)*AF20-ERP_i)*AE20*Ramure*Pc/MaxiM</f>
        <v>1.5240865963340273E-3</v>
      </c>
      <c r="AE20" s="305">
        <f t="shared" si="15"/>
        <v>0.7</v>
      </c>
      <c r="AF20" s="177">
        <f t="shared" si="22"/>
        <v>0.50019763194229538</v>
      </c>
      <c r="AG20" s="919">
        <f t="shared" si="23"/>
        <v>-1</v>
      </c>
      <c r="AH20" s="176">
        <f t="shared" si="16"/>
        <v>5</v>
      </c>
      <c r="AI20" s="225">
        <f t="shared" si="17"/>
        <v>-0.49980236805770462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8">
        <v>13.792</v>
      </c>
      <c r="C21" s="390"/>
      <c r="D21" s="393">
        <f t="shared" si="0"/>
        <v>14.085070518675238</v>
      </c>
      <c r="E21" s="385">
        <f t="shared" si="1"/>
        <v>15.327380464621426</v>
      </c>
      <c r="F21" s="385">
        <f t="shared" si="2"/>
        <v>15.334327230197083</v>
      </c>
      <c r="G21" s="110">
        <f t="shared" si="21"/>
        <v>0.51256968092628563</v>
      </c>
      <c r="H21" s="412" t="b">
        <f>Wh_hp&gt;='2020'!Maxi_hp</f>
        <v>1</v>
      </c>
      <c r="I21" s="380">
        <f>IF(H21,Wh_hp,'2020'!Maxi_hp)</f>
        <v>15.334327230197083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2.0807174396937467E-2</v>
      </c>
      <c r="M21" s="957"/>
      <c r="N21" s="957"/>
      <c r="O21" s="48">
        <f>IF(t&lt;Tnet,'2020'!Resal+('2020'!Salim-'2020'!Resal)*(1-EXP(('2020'!Tnet-t)/('2020'!Tau_j))),Resal+(Salim-Resal)*(1-EXP((Tnet-t)/(Tau_j))))*Salcycl</f>
        <v>8.1051680606068335E-2</v>
      </c>
      <c r="P21" s="169">
        <f>(INDEX(Models!$BJ21:$BT21,,T21)*(1-R21)+INDEX(Models!$BJ21:$BT21,,T21+1)*R21-ERP_i)*Q21*Ramure*Pc/MaxiM</f>
        <v>1.4880942219604534E-3</v>
      </c>
      <c r="Q21" s="305">
        <f t="shared" si="4"/>
        <v>0.7</v>
      </c>
      <c r="R21" s="177">
        <f t="shared" si="5"/>
        <v>0.5002334875533585</v>
      </c>
      <c r="S21" s="919">
        <f t="shared" si="6"/>
        <v>-1</v>
      </c>
      <c r="T21" s="176">
        <f t="shared" si="7"/>
        <v>5</v>
      </c>
      <c r="U21" s="251">
        <f t="shared" si="8"/>
        <v>-0.49976651244664144</v>
      </c>
      <c r="V21" s="383">
        <f t="shared" si="9"/>
        <v>26.87969715470264</v>
      </c>
      <c r="W21" s="402"/>
      <c r="X21" s="157">
        <f t="shared" si="10"/>
        <v>44203</v>
      </c>
      <c r="Y21" s="385">
        <f t="shared" si="11"/>
        <v>13.792</v>
      </c>
      <c r="Z21" s="385">
        <f t="shared" si="12"/>
        <v>14.085070518675238</v>
      </c>
      <c r="AA21" s="386">
        <f t="shared" si="13"/>
        <v>15.327380464621426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8.1051680606068335E-2</v>
      </c>
      <c r="AD21" s="231">
        <f>(INDEX(Models!$BJ21:$BT21,,AH21)*(1-AF21)+INDEX(Models!$BJ21:$BT21,,AH21+1)*AF21-ERP_i)*AE21*Ramure*Pc/MaxiM</f>
        <v>1.4880942219604534E-3</v>
      </c>
      <c r="AE21" s="305">
        <f t="shared" si="15"/>
        <v>0.7</v>
      </c>
      <c r="AF21" s="177">
        <f t="shared" si="22"/>
        <v>0.5002334875533585</v>
      </c>
      <c r="AG21" s="919">
        <f t="shared" si="23"/>
        <v>-1</v>
      </c>
      <c r="AH21" s="176">
        <f t="shared" si="16"/>
        <v>5</v>
      </c>
      <c r="AI21" s="225">
        <f t="shared" si="17"/>
        <v>-0.49976651244664144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8">
        <v>18.814</v>
      </c>
      <c r="C22" s="390"/>
      <c r="D22" s="393">
        <f t="shared" si="0"/>
        <v>19.214205406706473</v>
      </c>
      <c r="E22" s="385">
        <f t="shared" si="1"/>
        <v>20.909663102885773</v>
      </c>
      <c r="F22" s="385">
        <f t="shared" si="2"/>
        <v>20.926751067686602</v>
      </c>
      <c r="G22" s="110">
        <f t="shared" si="21"/>
        <v>0.69429518159491033</v>
      </c>
      <c r="H22" s="412" t="b">
        <f>Wh_hp&gt;='2020'!Maxi_hp</f>
        <v>1</v>
      </c>
      <c r="I22" s="380">
        <f>IF(H22,Wh_hp,'2020'!Maxi_hp)</f>
        <v>20.926751067686602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2.0828621232850342E-2</v>
      </c>
      <c r="M22" s="957"/>
      <c r="N22" s="957"/>
      <c r="O22" s="48">
        <f>IF(t&lt;Tnet,'2020'!Resal+('2020'!Salim-'2020'!Resal)*(1-EXP(('2020'!Tnet-t)/('2020'!Tau_j))),Resal+(Salim-Resal)*(1-EXP((Tnet-t)/(Tau_j))))*Salcycl</f>
        <v>8.1084888256535675E-2</v>
      </c>
      <c r="P22" s="169">
        <f>(INDEX(Models!$BJ22:$BT22,,T22)*(1-R22)+INDEX(Models!$BJ22:$BT22,,T22+1)*R22-ERP_i)*Q22*Ramure*Pc/MaxiM</f>
        <v>1.4480440002796796E-3</v>
      </c>
      <c r="Q22" s="305">
        <f t="shared" si="4"/>
        <v>0.7</v>
      </c>
      <c r="R22" s="177">
        <f t="shared" si="5"/>
        <v>0.50027084190935578</v>
      </c>
      <c r="S22" s="919">
        <f t="shared" si="6"/>
        <v>-1</v>
      </c>
      <c r="T22" s="176">
        <f t="shared" si="7"/>
        <v>5</v>
      </c>
      <c r="U22" s="251">
        <f t="shared" si="8"/>
        <v>-0.49972915809064428</v>
      </c>
      <c r="V22" s="383">
        <f t="shared" si="9"/>
        <v>27.080858494225197</v>
      </c>
      <c r="W22" s="402"/>
      <c r="X22" s="157">
        <f t="shared" si="10"/>
        <v>44204</v>
      </c>
      <c r="Y22" s="385">
        <f t="shared" si="11"/>
        <v>18.814</v>
      </c>
      <c r="Z22" s="385">
        <f t="shared" si="12"/>
        <v>19.214205406706473</v>
      </c>
      <c r="AA22" s="386">
        <f t="shared" si="13"/>
        <v>20.909663102885773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8.1084888256535675E-2</v>
      </c>
      <c r="AD22" s="231">
        <f>(INDEX(Models!$BJ22:$BT22,,AH22)*(1-AF22)+INDEX(Models!$BJ22:$BT22,,AH22+1)*AF22-ERP_i)*AE22*Ramure*Pc/MaxiM</f>
        <v>1.4480440002796796E-3</v>
      </c>
      <c r="AE22" s="305">
        <f t="shared" si="15"/>
        <v>0.7</v>
      </c>
      <c r="AF22" s="177">
        <f t="shared" si="22"/>
        <v>0.50027084190935578</v>
      </c>
      <c r="AG22" s="919">
        <f t="shared" si="23"/>
        <v>-1</v>
      </c>
      <c r="AH22" s="176">
        <f t="shared" si="16"/>
        <v>5</v>
      </c>
      <c r="AI22" s="225">
        <f t="shared" si="17"/>
        <v>-0.49972915809064428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8">
        <v>5.3410000000000002</v>
      </c>
      <c r="C23" s="390"/>
      <c r="D23" s="393">
        <f t="shared" si="0"/>
        <v>5.4547315209462477</v>
      </c>
      <c r="E23" s="385">
        <f t="shared" si="1"/>
        <v>5.9362709243696239</v>
      </c>
      <c r="F23" s="385">
        <f t="shared" si="2"/>
        <v>5.9362709243696239</v>
      </c>
      <c r="G23" s="110">
        <f t="shared" si="21"/>
        <v>0.19549506868038977</v>
      </c>
      <c r="H23" s="412" t="b">
        <f>Wh_hp&gt;='2020'!Maxi_hp</f>
        <v>0</v>
      </c>
      <c r="I23" s="380">
        <f>IF(H23,Wh_hp,'2020'!Maxi_hp)</f>
        <v>27.858667670277544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2.0850067599022415E-2</v>
      </c>
      <c r="M23" s="957"/>
      <c r="N23" s="957"/>
      <c r="O23" s="48">
        <f>IF(t&lt;Tnet,'2020'!Resal+('2020'!Salim-'2020'!Resal)*(1-EXP(('2020'!Tnet-t)/('2020'!Tau_j))),Resal+(Salim-Resal)*(1-EXP((Tnet-t)/(Tau_j))))*Salcycl</f>
        <v>8.1118164847658325E-2</v>
      </c>
      <c r="P23" s="169">
        <f>(INDEX(Models!$BJ23:$BT23,,T23)*(1-R23)+INDEX(Models!$BJ23:$BT23,,T23+1)*R23-ERP_i)*Q23*Ramure*Pc/MaxiM</f>
        <v>1.4039253830644442E-3</v>
      </c>
      <c r="Q23" s="305">
        <f t="shared" si="4"/>
        <v>0.7</v>
      </c>
      <c r="R23" s="177">
        <f t="shared" si="5"/>
        <v>0.50030975741839079</v>
      </c>
      <c r="S23" s="919">
        <f t="shared" si="6"/>
        <v>-1</v>
      </c>
      <c r="T23" s="176">
        <f t="shared" si="7"/>
        <v>5</v>
      </c>
      <c r="U23" s="251">
        <f t="shared" si="8"/>
        <v>-0.49969024258160916</v>
      </c>
      <c r="V23" s="383">
        <f t="shared" si="9"/>
        <v>27.282026449724249</v>
      </c>
      <c r="W23" s="402"/>
      <c r="X23" s="157">
        <f t="shared" si="10"/>
        <v>44205</v>
      </c>
      <c r="Y23" s="385">
        <f t="shared" si="11"/>
        <v>5.3410000000000002</v>
      </c>
      <c r="Z23" s="385">
        <f t="shared" si="12"/>
        <v>5.4547315209462477</v>
      </c>
      <c r="AA23" s="386">
        <f t="shared" si="13"/>
        <v>5.9362709243696239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8.1118164847658325E-2</v>
      </c>
      <c r="AD23" s="231">
        <f>(INDEX(Models!$BJ23:$BT23,,AH23)*(1-AF23)+INDEX(Models!$BJ23:$BT23,,AH23+1)*AF23-ERP_i)*AE23*Ramure*Pc/MaxiM</f>
        <v>1.4039253830644442E-3</v>
      </c>
      <c r="AE23" s="305">
        <f t="shared" si="15"/>
        <v>0.7</v>
      </c>
      <c r="AF23" s="177">
        <f t="shared" si="22"/>
        <v>0.50030975741839079</v>
      </c>
      <c r="AG23" s="919">
        <f t="shared" si="23"/>
        <v>-1</v>
      </c>
      <c r="AH23" s="176">
        <f t="shared" si="16"/>
        <v>5</v>
      </c>
      <c r="AI23" s="225">
        <f t="shared" si="17"/>
        <v>-0.49969024258160916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8">
        <v>5.6760000000000002</v>
      </c>
      <c r="C24" s="390"/>
      <c r="D24" s="393">
        <f t="shared" si="0"/>
        <v>5.7969919966920553</v>
      </c>
      <c r="E24" s="385">
        <f t="shared" si="1"/>
        <v>6.3089747945780958</v>
      </c>
      <c r="F24" s="385">
        <f t="shared" si="2"/>
        <v>6.3089747945780958</v>
      </c>
      <c r="G24" s="110">
        <f t="shared" si="21"/>
        <v>0.20622519284775351</v>
      </c>
      <c r="H24" s="412" t="b">
        <f>Wh_hp&gt;='2020'!Maxi_hp</f>
        <v>0</v>
      </c>
      <c r="I24" s="380">
        <f>IF(H24,Wh_hp,'2020'!Maxi_hp)</f>
        <v>10.822941868477683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2.0871513495464011E-2</v>
      </c>
      <c r="M24" s="957"/>
      <c r="N24" s="957"/>
      <c r="O24" s="48">
        <f>IF(t&lt;Tnet,'2020'!Resal+('2020'!Salim-'2020'!Resal)*(1-EXP(('2020'!Tnet-t)/('2020'!Tau_j))),Resal+(Salim-Resal)*(1-EXP((Tnet-t)/(Tau_j))))*Salcycl</f>
        <v>8.1151504730378091E-2</v>
      </c>
      <c r="P24" s="169">
        <f>(INDEX(Models!$BJ24:$BT24,,T24)*(1-R24)+INDEX(Models!$BJ24:$BT24,,T24+1)*R24-ERP_i)*Q24*Ramure*Pc/MaxiM</f>
        <v>1.3564546354240296E-3</v>
      </c>
      <c r="Q24" s="305">
        <f t="shared" si="4"/>
        <v>0.7</v>
      </c>
      <c r="R24" s="177">
        <f t="shared" si="5"/>
        <v>0.50035029906686046</v>
      </c>
      <c r="S24" s="919">
        <f t="shared" si="6"/>
        <v>-1</v>
      </c>
      <c r="T24" s="176">
        <f t="shared" si="7"/>
        <v>5</v>
      </c>
      <c r="U24" s="251">
        <f t="shared" si="8"/>
        <v>-0.4996497009331396</v>
      </c>
      <c r="V24" s="383">
        <f t="shared" si="9"/>
        <v>27.485976302002914</v>
      </c>
      <c r="W24" s="402"/>
      <c r="X24" s="157">
        <f t="shared" si="10"/>
        <v>44206</v>
      </c>
      <c r="Y24" s="385">
        <f t="shared" si="11"/>
        <v>5.6760000000000002</v>
      </c>
      <c r="Z24" s="385">
        <f t="shared" si="12"/>
        <v>5.7969919966920553</v>
      </c>
      <c r="AA24" s="386">
        <f t="shared" si="13"/>
        <v>6.3089747945780958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8.1151504730378091E-2</v>
      </c>
      <c r="AD24" s="231">
        <f>(INDEX(Models!$BJ24:$BT24,,AH24)*(1-AF24)+INDEX(Models!$BJ24:$BT24,,AH24+1)*AF24-ERP_i)*AE24*Ramure*Pc/MaxiM</f>
        <v>1.3564546354240296E-3</v>
      </c>
      <c r="AE24" s="305">
        <f t="shared" si="15"/>
        <v>0.7</v>
      </c>
      <c r="AF24" s="177">
        <f t="shared" si="22"/>
        <v>0.50035029906686046</v>
      </c>
      <c r="AG24" s="919">
        <f t="shared" si="23"/>
        <v>-1</v>
      </c>
      <c r="AH24" s="176">
        <f t="shared" si="16"/>
        <v>5</v>
      </c>
      <c r="AI24" s="225">
        <f t="shared" si="17"/>
        <v>-0.4996497009331396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8">
        <v>5.1319999999999997</v>
      </c>
      <c r="C25" s="390"/>
      <c r="D25" s="393">
        <f t="shared" si="0"/>
        <v>5.2415106670570193</v>
      </c>
      <c r="E25" s="385">
        <f t="shared" si="1"/>
        <v>5.7046414341550431</v>
      </c>
      <c r="F25" s="385">
        <f t="shared" si="2"/>
        <v>5.7046414341550431</v>
      </c>
      <c r="G25" s="110">
        <f t="shared" si="21"/>
        <v>0.18507538818954117</v>
      </c>
      <c r="H25" s="412" t="b">
        <f>Wh_hp&gt;='2020'!Maxi_hp</f>
        <v>0</v>
      </c>
      <c r="I25" s="380">
        <f>IF(H25,Wh_hp,'2020'!Maxi_hp)</f>
        <v>30.176833140545245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2.0892958922185567E-2</v>
      </c>
      <c r="M25" s="957"/>
      <c r="N25" s="957"/>
      <c r="O25" s="48">
        <f>IF(t&lt;Tnet,'2020'!Resal+('2020'!Salim-'2020'!Resal)*(1-EXP(('2020'!Tnet-t)/('2020'!Tau_j))),Resal+(Salim-Resal)*(1-EXP((Tnet-t)/(Tau_j))))*Salcycl</f>
        <v>8.1184903984525603E-2</v>
      </c>
      <c r="P25" s="169">
        <f>(INDEX(Models!$BJ25:$BT25,,T25)*(1-R25)+INDEX(Models!$BJ25:$BT25,,T25+1)*R25-ERP_i)*Q25*Ramure*Pc/MaxiM</f>
        <v>1.3071307997705353E-3</v>
      </c>
      <c r="Q25" s="305">
        <f t="shared" si="4"/>
        <v>0.7</v>
      </c>
      <c r="R25" s="177">
        <f t="shared" si="5"/>
        <v>0.50039253452422638</v>
      </c>
      <c r="S25" s="919">
        <f t="shared" si="6"/>
        <v>-1</v>
      </c>
      <c r="T25" s="176">
        <f t="shared" si="7"/>
        <v>5</v>
      </c>
      <c r="U25" s="251">
        <f t="shared" si="8"/>
        <v>-0.49960746547577362</v>
      </c>
      <c r="V25" s="383">
        <f t="shared" si="9"/>
        <v>27.69299502690555</v>
      </c>
      <c r="W25" s="402"/>
      <c r="X25" s="157">
        <f t="shared" si="10"/>
        <v>44207</v>
      </c>
      <c r="Y25" s="385">
        <f t="shared" si="11"/>
        <v>5.1319999999999997</v>
      </c>
      <c r="Z25" s="385">
        <f t="shared" si="12"/>
        <v>5.2415106670570193</v>
      </c>
      <c r="AA25" s="386">
        <f t="shared" si="13"/>
        <v>5.7046414341550431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8.1184903984525603E-2</v>
      </c>
      <c r="AD25" s="231">
        <f>(INDEX(Models!$BJ25:$BT25,,AH25)*(1-AF25)+INDEX(Models!$BJ25:$BT25,,AH25+1)*AF25-ERP_i)*AE25*Ramure*Pc/MaxiM</f>
        <v>1.3071307997705353E-3</v>
      </c>
      <c r="AE25" s="305">
        <f t="shared" si="15"/>
        <v>0.7</v>
      </c>
      <c r="AF25" s="177">
        <f t="shared" si="22"/>
        <v>0.50039253452422638</v>
      </c>
      <c r="AG25" s="919">
        <f t="shared" si="23"/>
        <v>-1</v>
      </c>
      <c r="AH25" s="176">
        <f t="shared" si="16"/>
        <v>5</v>
      </c>
      <c r="AI25" s="225">
        <f t="shared" si="17"/>
        <v>-0.49960746547577362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8">
        <v>12.577999999999999</v>
      </c>
      <c r="C26" s="390"/>
      <c r="D26" s="393">
        <f t="shared" si="0"/>
        <v>12.846680667997575</v>
      </c>
      <c r="E26" s="385">
        <f t="shared" si="1"/>
        <v>13.982300159644687</v>
      </c>
      <c r="F26" s="385">
        <f t="shared" si="2"/>
        <v>13.986083693321092</v>
      </c>
      <c r="G26" s="110">
        <f t="shared" si="21"/>
        <v>0.45032495210372803</v>
      </c>
      <c r="H26" s="412" t="b">
        <f>Wh_hp&gt;='2020'!Maxi_hp</f>
        <v>0</v>
      </c>
      <c r="I26" s="380">
        <f>IF(H26,Wh_hp,'2020'!Maxi_hp)</f>
        <v>30.267889314428743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2.0914403879197074E-2</v>
      </c>
      <c r="M26" s="957"/>
      <c r="N26" s="957"/>
      <c r="O26" s="48">
        <f>IF(t&lt;Tnet,'2020'!Resal+('2020'!Salim-'2020'!Resal)*(1-EXP(('2020'!Tnet-t)/('2020'!Tau_j))),Resal+(Salim-Resal)*(1-EXP((Tnet-t)/(Tau_j))))*Salcycl</f>
        <v>8.1218360261261224E-2</v>
      </c>
      <c r="P26" s="169">
        <f>(INDEX(Models!$BJ26:$BT26,,T26)*(1-R26)+INDEX(Models!$BJ26:$BT26,,T26+1)*R26-ERP_i)*Q26*Ramure*Pc/MaxiM</f>
        <v>1.2559912850718252E-3</v>
      </c>
      <c r="Q26" s="305">
        <f t="shared" si="4"/>
        <v>0.7</v>
      </c>
      <c r="R26" s="177">
        <f t="shared" si="5"/>
        <v>0.50043653425189749</v>
      </c>
      <c r="S26" s="919">
        <f t="shared" si="6"/>
        <v>-1</v>
      </c>
      <c r="T26" s="176">
        <f t="shared" si="7"/>
        <v>5</v>
      </c>
      <c r="U26" s="251">
        <f t="shared" si="8"/>
        <v>-0.49956346574810251</v>
      </c>
      <c r="V26" s="383">
        <f t="shared" si="9"/>
        <v>27.903409184551329</v>
      </c>
      <c r="W26" s="402"/>
      <c r="X26" s="157">
        <f t="shared" si="10"/>
        <v>44208</v>
      </c>
      <c r="Y26" s="385">
        <f t="shared" si="11"/>
        <v>12.577999999999999</v>
      </c>
      <c r="Z26" s="385">
        <f t="shared" si="12"/>
        <v>12.846680667997575</v>
      </c>
      <c r="AA26" s="386">
        <f t="shared" si="13"/>
        <v>13.982300159644687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8.1218360261261224E-2</v>
      </c>
      <c r="AD26" s="231">
        <f>(INDEX(Models!$BJ26:$BT26,,AH26)*(1-AF26)+INDEX(Models!$BJ26:$BT26,,AH26+1)*AF26-ERP_i)*AE26*Ramure*Pc/MaxiM</f>
        <v>1.2559912850718252E-3</v>
      </c>
      <c r="AE26" s="305">
        <f t="shared" si="15"/>
        <v>0.7</v>
      </c>
      <c r="AF26" s="177">
        <f t="shared" si="22"/>
        <v>0.50043653425189749</v>
      </c>
      <c r="AG26" s="919">
        <f t="shared" si="23"/>
        <v>-1</v>
      </c>
      <c r="AH26" s="176">
        <f t="shared" si="16"/>
        <v>5</v>
      </c>
      <c r="AI26" s="225">
        <f t="shared" si="17"/>
        <v>-0.49956346574810251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8">
        <v>9.1609999999999996</v>
      </c>
      <c r="C27" s="390"/>
      <c r="D27" s="393">
        <f t="shared" si="0"/>
        <v>9.3568945249558944</v>
      </c>
      <c r="E27" s="385">
        <f t="shared" si="1"/>
        <v>10.184395751224521</v>
      </c>
      <c r="F27" s="385">
        <f t="shared" si="2"/>
        <v>10.184847556553894</v>
      </c>
      <c r="G27" s="110">
        <f t="shared" si="21"/>
        <v>0.32543326478516044</v>
      </c>
      <c r="H27" s="412" t="b">
        <f>Wh_hp&gt;='2020'!Maxi_hp</f>
        <v>0</v>
      </c>
      <c r="I27" s="380">
        <f>IF(H27,Wh_hp,'2020'!Maxi_hp)</f>
        <v>17.075177344016367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2.093584836650908E-2</v>
      </c>
      <c r="M27" s="957"/>
      <c r="N27" s="957"/>
      <c r="O27" s="48">
        <f>IF(t&lt;Tnet,'2020'!Resal+('2020'!Salim-'2020'!Resal)*(1-EXP(('2020'!Tnet-t)/('2020'!Tau_j))),Resal+(Salim-Resal)*(1-EXP((Tnet-t)/(Tau_j))))*Salcycl</f>
        <v>8.1251872617885204E-2</v>
      </c>
      <c r="P27" s="169">
        <f>(INDEX(Models!$BJ27:$BT27,,T27)*(1-R27)+INDEX(Models!$BJ27:$BT27,,T27+1)*R27-ERP_i)*Q27*Ramure*Pc/MaxiM</f>
        <v>1.2030767310816097E-3</v>
      </c>
      <c r="Q27" s="305">
        <f t="shared" si="4"/>
        <v>0.7</v>
      </c>
      <c r="R27" s="177">
        <f t="shared" si="5"/>
        <v>0.50048237161636666</v>
      </c>
      <c r="S27" s="919">
        <f t="shared" si="6"/>
        <v>-1</v>
      </c>
      <c r="T27" s="176">
        <f t="shared" si="7"/>
        <v>5</v>
      </c>
      <c r="U27" s="251">
        <f t="shared" si="8"/>
        <v>-0.49951762838363339</v>
      </c>
      <c r="V27" s="383">
        <f t="shared" si="9"/>
        <v>28.117545193479366</v>
      </c>
      <c r="W27" s="402"/>
      <c r="X27" s="157">
        <f t="shared" si="10"/>
        <v>44209</v>
      </c>
      <c r="Y27" s="385">
        <f t="shared" si="11"/>
        <v>9.1609999999999996</v>
      </c>
      <c r="Z27" s="385">
        <f t="shared" si="12"/>
        <v>9.3568945249558944</v>
      </c>
      <c r="AA27" s="386">
        <f t="shared" si="13"/>
        <v>10.184395751224521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8.1251872617885204E-2</v>
      </c>
      <c r="AD27" s="231">
        <f>(INDEX(Models!$BJ27:$BT27,,AH27)*(1-AF27)+INDEX(Models!$BJ27:$BT27,,AH27+1)*AF27-ERP_i)*AE27*Ramure*Pc/MaxiM</f>
        <v>1.2030767310816097E-3</v>
      </c>
      <c r="AE27" s="305">
        <f t="shared" si="15"/>
        <v>0.7</v>
      </c>
      <c r="AF27" s="177">
        <f t="shared" si="22"/>
        <v>0.50048237161636666</v>
      </c>
      <c r="AG27" s="919">
        <f t="shared" si="23"/>
        <v>-1</v>
      </c>
      <c r="AH27" s="176">
        <f t="shared" si="16"/>
        <v>5</v>
      </c>
      <c r="AI27" s="225">
        <f t="shared" si="17"/>
        <v>-0.49951762838363339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8">
        <v>9.7420000000000009</v>
      </c>
      <c r="C28" s="390"/>
      <c r="D28" s="393">
        <f t="shared" si="0"/>
        <v>9.9505362985884354</v>
      </c>
      <c r="E28" s="385">
        <f t="shared" si="1"/>
        <v>10.830933509073031</v>
      </c>
      <c r="F28" s="385">
        <f t="shared" si="2"/>
        <v>10.831711975272745</v>
      </c>
      <c r="G28" s="110">
        <f t="shared" si="21"/>
        <v>0.34343606490087292</v>
      </c>
      <c r="H28" s="412" t="b">
        <f>Wh_hp&gt;='2020'!Maxi_hp</f>
        <v>0</v>
      </c>
      <c r="I28" s="380">
        <f>IF(H28,Wh_hp,'2020'!Maxi_hp)</f>
        <v>29.231781562204368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2.0957292384131798E-2</v>
      </c>
      <c r="M28" s="957"/>
      <c r="N28" s="957"/>
      <c r="O28" s="48">
        <f>IF(t&lt;Tnet,'2020'!Resal+('2020'!Salim-'2020'!Resal)*(1-EXP(('2020'!Tnet-t)/('2020'!Tau_j))),Resal+(Salim-Resal)*(1-EXP((Tnet-t)/(Tau_j))))*Salcycl</f>
        <v>8.1285441346961473E-2</v>
      </c>
      <c r="P28" s="169">
        <f>(INDEX(Models!$BJ28:$BT28,,T28)*(1-R28)+INDEX(Models!$BJ28:$BT28,,T28+1)*R28-ERP_i)*Q28*Ramure*Pc/MaxiM</f>
        <v>1.1484310234345784E-3</v>
      </c>
      <c r="Q28" s="305">
        <f t="shared" si="4"/>
        <v>0.7</v>
      </c>
      <c r="R28" s="177">
        <f t="shared" si="5"/>
        <v>0.50053012300675603</v>
      </c>
      <c r="S28" s="919">
        <f t="shared" si="6"/>
        <v>-1</v>
      </c>
      <c r="T28" s="176">
        <f t="shared" si="7"/>
        <v>5</v>
      </c>
      <c r="U28" s="251">
        <f t="shared" si="8"/>
        <v>-0.49946987699324391</v>
      </c>
      <c r="V28" s="383">
        <f t="shared" si="9"/>
        <v>28.335729340101686</v>
      </c>
      <c r="W28" s="402"/>
      <c r="X28" s="157">
        <f t="shared" si="10"/>
        <v>44210</v>
      </c>
      <c r="Y28" s="385">
        <f t="shared" si="11"/>
        <v>9.7420000000000009</v>
      </c>
      <c r="Z28" s="385">
        <f t="shared" si="12"/>
        <v>9.9505362985884354</v>
      </c>
      <c r="AA28" s="386">
        <f t="shared" si="13"/>
        <v>10.830933509073031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8.1285441346961473E-2</v>
      </c>
      <c r="AD28" s="231">
        <f>(INDEX(Models!$BJ28:$BT28,,AH28)*(1-AF28)+INDEX(Models!$BJ28:$BT28,,AH28+1)*AF28-ERP_i)*AE28*Ramure*Pc/MaxiM</f>
        <v>1.1484310234345784E-3</v>
      </c>
      <c r="AE28" s="305">
        <f t="shared" si="15"/>
        <v>0.7</v>
      </c>
      <c r="AF28" s="177">
        <f t="shared" si="22"/>
        <v>0.50053012300675603</v>
      </c>
      <c r="AG28" s="919">
        <f t="shared" si="23"/>
        <v>-1</v>
      </c>
      <c r="AH28" s="176">
        <f t="shared" si="16"/>
        <v>5</v>
      </c>
      <c r="AI28" s="225">
        <f t="shared" si="17"/>
        <v>-0.49946987699324391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8">
        <v>15.613</v>
      </c>
      <c r="C29" s="390"/>
      <c r="D29" s="393">
        <f t="shared" si="0"/>
        <v>15.947559642501053</v>
      </c>
      <c r="E29" s="385">
        <f t="shared" si="1"/>
        <v>17.359193038153631</v>
      </c>
      <c r="F29" s="385">
        <f t="shared" si="2"/>
        <v>17.365877125251743</v>
      </c>
      <c r="G29" s="110">
        <f t="shared" si="21"/>
        <v>0.54631966381071706</v>
      </c>
      <c r="H29" s="412" t="b">
        <f>Wh_hp&gt;='2020'!Maxi_hp</f>
        <v>0</v>
      </c>
      <c r="I29" s="380">
        <f>IF(H29,Wh_hp,'2020'!Maxi_hp)</f>
        <v>31.24384641917025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2.0978735932075443E-2</v>
      </c>
      <c r="M29" s="957"/>
      <c r="N29" s="957"/>
      <c r="O29" s="48">
        <f>IF(t&lt;Tnet,'2020'!Resal+('2020'!Salim-'2020'!Resal)*(1-EXP(('2020'!Tnet-t)/('2020'!Tau_j))),Resal+(Salim-Resal)*(1-EXP((Tnet-t)/(Tau_j))))*Salcycl</f>
        <v>8.1319067801709499E-2</v>
      </c>
      <c r="P29" s="169">
        <f>(INDEX(Models!$BJ29:$BT29,,T29)*(1-R29)+INDEX(Models!$BJ29:$BT29,,T29+1)*R29-ERP_i)*Q29*Ramure*Pc/MaxiM</f>
        <v>1.0921012914794927E-3</v>
      </c>
      <c r="Q29" s="305">
        <f t="shared" si="4"/>
        <v>0.7</v>
      </c>
      <c r="R29" s="177">
        <f t="shared" si="5"/>
        <v>0.50057986795692844</v>
      </c>
      <c r="S29" s="919">
        <f t="shared" si="6"/>
        <v>-1</v>
      </c>
      <c r="T29" s="176">
        <f t="shared" si="7"/>
        <v>5</v>
      </c>
      <c r="U29" s="251">
        <f t="shared" si="8"/>
        <v>-0.49942013204307156</v>
      </c>
      <c r="V29" s="383">
        <f t="shared" si="9"/>
        <v>28.55828778123611</v>
      </c>
      <c r="W29" s="402"/>
      <c r="X29" s="157">
        <f t="shared" si="10"/>
        <v>44211</v>
      </c>
      <c r="Y29" s="385">
        <f t="shared" si="11"/>
        <v>15.612999999999998</v>
      </c>
      <c r="Z29" s="385">
        <f t="shared" si="12"/>
        <v>15.947559642501052</v>
      </c>
      <c r="AA29" s="386">
        <f t="shared" si="13"/>
        <v>17.359193038153631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8.1319067801709499E-2</v>
      </c>
      <c r="AD29" s="231">
        <f>(INDEX(Models!$BJ29:$BT29,,AH29)*(1-AF29)+INDEX(Models!$BJ29:$BT29,,AH29+1)*AF29-ERP_i)*AE29*Ramure*Pc/MaxiM</f>
        <v>1.0921012914794927E-3</v>
      </c>
      <c r="AE29" s="305">
        <f t="shared" si="15"/>
        <v>0.7</v>
      </c>
      <c r="AF29" s="177">
        <f t="shared" si="22"/>
        <v>0.50057986795692844</v>
      </c>
      <c r="AG29" s="919">
        <f t="shared" si="23"/>
        <v>-1</v>
      </c>
      <c r="AH29" s="176">
        <f t="shared" si="16"/>
        <v>5</v>
      </c>
      <c r="AI29" s="225">
        <f t="shared" si="17"/>
        <v>-0.49942013204307156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8">
        <v>17.862000000000002</v>
      </c>
      <c r="C30" s="390"/>
      <c r="D30" s="393">
        <f t="shared" si="0"/>
        <v>18.245151446446329</v>
      </c>
      <c r="E30" s="385">
        <f t="shared" si="1"/>
        <v>19.860889509277346</v>
      </c>
      <c r="F30" s="385">
        <f t="shared" si="2"/>
        <v>19.870320425970384</v>
      </c>
      <c r="G30" s="110">
        <f t="shared" si="21"/>
        <v>0.62017239018598502</v>
      </c>
      <c r="H30" s="412" t="b">
        <f>Wh_hp&gt;='2020'!Maxi_hp</f>
        <v>0</v>
      </c>
      <c r="I30" s="380">
        <f>IF(H30,Wh_hp,'2020'!Maxi_hp)</f>
        <v>32.204114318448951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2.1000179010350339E-2</v>
      </c>
      <c r="M30" s="957"/>
      <c r="N30" s="957"/>
      <c r="O30" s="48">
        <f>IF(t&lt;Tnet,'2020'!Resal+('2020'!Salim-'2020'!Resal)*(1-EXP(('2020'!Tnet-t)/('2020'!Tau_j))),Resal+(Salim-Resal)*(1-EXP((Tnet-t)/(Tau_j))))*Salcycl</f>
        <v>8.135275421960729E-2</v>
      </c>
      <c r="P30" s="169">
        <f>(INDEX(Models!$BJ30:$BT30,,T30)*(1-R30)+INDEX(Models!$BJ30:$BT30,,T30+1)*R30-ERP_i)*Q30*Ramure*Pc/MaxiM</f>
        <v>1.0365500083032244E-3</v>
      </c>
      <c r="Q30" s="305">
        <f t="shared" si="4"/>
        <v>0.7</v>
      </c>
      <c r="R30" s="177">
        <f t="shared" si="5"/>
        <v>0.50063168927232171</v>
      </c>
      <c r="S30" s="919">
        <f t="shared" si="6"/>
        <v>-1</v>
      </c>
      <c r="T30" s="176">
        <f t="shared" si="7"/>
        <v>5</v>
      </c>
      <c r="U30" s="251">
        <f t="shared" si="8"/>
        <v>-0.49936831072767829</v>
      </c>
      <c r="V30" s="383">
        <f t="shared" si="9"/>
        <v>28.785477040245567</v>
      </c>
      <c r="W30" s="402"/>
      <c r="X30" s="157">
        <f t="shared" si="10"/>
        <v>44212</v>
      </c>
      <c r="Y30" s="385">
        <f t="shared" si="11"/>
        <v>17.862000000000002</v>
      </c>
      <c r="Z30" s="385">
        <f t="shared" si="12"/>
        <v>18.245151446446329</v>
      </c>
      <c r="AA30" s="386">
        <f t="shared" si="13"/>
        <v>19.860889509277346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8.135275421960729E-2</v>
      </c>
      <c r="AD30" s="231">
        <f>(INDEX(Models!$BJ30:$BT30,,AH30)*(1-AF30)+INDEX(Models!$BJ30:$BT30,,AH30+1)*AF30-ERP_i)*AE30*Ramure*Pc/MaxiM</f>
        <v>1.0365500083032244E-3</v>
      </c>
      <c r="AE30" s="305">
        <f t="shared" si="15"/>
        <v>0.7</v>
      </c>
      <c r="AF30" s="177">
        <f t="shared" si="22"/>
        <v>0.50063168927232171</v>
      </c>
      <c r="AG30" s="919">
        <f t="shared" si="23"/>
        <v>-1</v>
      </c>
      <c r="AH30" s="176">
        <f t="shared" si="16"/>
        <v>5</v>
      </c>
      <c r="AI30" s="225">
        <f t="shared" si="17"/>
        <v>-0.49936831072767829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8">
        <v>4.6450000000000005</v>
      </c>
      <c r="C31" s="390"/>
      <c r="D31" s="393">
        <f t="shared" si="0"/>
        <v>4.7447421746755847</v>
      </c>
      <c r="E31" s="385">
        <f t="shared" si="1"/>
        <v>5.1651126322350924</v>
      </c>
      <c r="F31" s="385">
        <f t="shared" si="2"/>
        <v>5.1651126322350924</v>
      </c>
      <c r="G31" s="110">
        <f t="shared" si="21"/>
        <v>0.15991798015257241</v>
      </c>
      <c r="H31" s="412" t="b">
        <f>Wh_hp&gt;='2020'!Maxi_hp</f>
        <v>0</v>
      </c>
      <c r="I31" s="380">
        <f>IF(H31,Wh_hp,'2020'!Maxi_hp)</f>
        <v>9.1703414610267338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2.1021621618966813E-2</v>
      </c>
      <c r="M31" s="957"/>
      <c r="N31" s="957"/>
      <c r="O31" s="48">
        <f>IF(t&lt;Tnet,'2020'!Resal+('2020'!Salim-'2020'!Resal)*(1-EXP(('2020'!Tnet-t)/('2020'!Tau_j))),Resal+(Salim-Resal)*(1-EXP((Tnet-t)/(Tau_j))))*Salcycl</f>
        <v>8.1386503546119482E-2</v>
      </c>
      <c r="P31" s="169">
        <f>(INDEX(Models!$BJ31:$BT31,,T31)*(1-R31)+INDEX(Models!$BJ31:$BT31,,T31+1)*R31-ERP_i)*Q31*Ramure*Pc/MaxiM</f>
        <v>9.8480106536303204E-4</v>
      </c>
      <c r="Q31" s="305">
        <f t="shared" si="4"/>
        <v>0.7</v>
      </c>
      <c r="R31" s="177">
        <f t="shared" si="5"/>
        <v>0.50068567316167578</v>
      </c>
      <c r="S31" s="919">
        <f t="shared" si="6"/>
        <v>-1</v>
      </c>
      <c r="T31" s="176">
        <f t="shared" si="7"/>
        <v>5</v>
      </c>
      <c r="U31" s="251">
        <f t="shared" si="8"/>
        <v>-0.49931432683832416</v>
      </c>
      <c r="V31" s="383">
        <f t="shared" si="9"/>
        <v>29.017535080321263</v>
      </c>
      <c r="W31" s="402"/>
      <c r="X31" s="157">
        <f t="shared" si="10"/>
        <v>44213</v>
      </c>
      <c r="Y31" s="385">
        <f t="shared" si="11"/>
        <v>4.6450000000000005</v>
      </c>
      <c r="Z31" s="385">
        <f t="shared" si="12"/>
        <v>4.7447421746755847</v>
      </c>
      <c r="AA31" s="386">
        <f t="shared" si="13"/>
        <v>5.1651126322350924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8.1386503546119482E-2</v>
      </c>
      <c r="AD31" s="231">
        <f>(INDEX(Models!$BJ31:$BT31,,AH31)*(1-AF31)+INDEX(Models!$BJ31:$BT31,,AH31+1)*AF31-ERP_i)*AE31*Ramure*Pc/MaxiM</f>
        <v>9.8480106536303204E-4</v>
      </c>
      <c r="AE31" s="305">
        <f t="shared" si="15"/>
        <v>0.7</v>
      </c>
      <c r="AF31" s="177">
        <f t="shared" si="22"/>
        <v>0.50068567316167578</v>
      </c>
      <c r="AG31" s="919">
        <f t="shared" si="23"/>
        <v>-1</v>
      </c>
      <c r="AH31" s="176">
        <f t="shared" si="16"/>
        <v>5</v>
      </c>
      <c r="AI31" s="225">
        <f t="shared" si="17"/>
        <v>-0.49931432683832416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8">
        <v>27.818000000000001</v>
      </c>
      <c r="C32" s="390"/>
      <c r="D32" s="393">
        <f t="shared" si="0"/>
        <v>28.415958833475692</v>
      </c>
      <c r="E32" s="385">
        <f t="shared" si="1"/>
        <v>30.934669500414955</v>
      </c>
      <c r="F32" s="385">
        <f t="shared" si="2"/>
        <v>30.961638796552403</v>
      </c>
      <c r="G32" s="110">
        <f t="shared" si="21"/>
        <v>0.95082454100655456</v>
      </c>
      <c r="H32" s="412" t="b">
        <f>Wh_hp&gt;='2020'!Maxi_hp</f>
        <v>1</v>
      </c>
      <c r="I32" s="380">
        <f>IF(H32,Wh_hp,'2020'!Maxi_hp)</f>
        <v>30.961638796552403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2.1043063757935188E-2</v>
      </c>
      <c r="M32" s="957"/>
      <c r="N32" s="957"/>
      <c r="O32" s="48">
        <f>IF(t&lt;Tnet,'2020'!Resal+('2020'!Salim-'2020'!Resal)*(1-EXP(('2020'!Tnet-t)/('2020'!Tau_j))),Resal+(Salim-Resal)*(1-EXP((Tnet-t)/(Tau_j))))*Salcycl</f>
        <v>8.1420319260416818E-2</v>
      </c>
      <c r="P32" s="169">
        <f>(INDEX(Models!$BJ32:$BT32,,T32)*(1-R32)+INDEX(Models!$BJ32:$BT32,,T32+1)*R32-ERP_i)*Q32*Ramure*Pc/MaxiM</f>
        <v>9.3678095430856404E-4</v>
      </c>
      <c r="Q32" s="305">
        <f t="shared" si="4"/>
        <v>0.7</v>
      </c>
      <c r="R32" s="177">
        <f t="shared" si="5"/>
        <v>0.50074190937381746</v>
      </c>
      <c r="S32" s="919">
        <f t="shared" si="6"/>
        <v>-1</v>
      </c>
      <c r="T32" s="176">
        <f t="shared" si="7"/>
        <v>5</v>
      </c>
      <c r="U32" s="251">
        <f t="shared" si="8"/>
        <v>-0.49925809062618248</v>
      </c>
      <c r="V32" s="383">
        <f t="shared" si="9"/>
        <v>29.254787657486364</v>
      </c>
      <c r="W32" s="402"/>
      <c r="X32" s="157">
        <f t="shared" si="10"/>
        <v>44214</v>
      </c>
      <c r="Y32" s="385">
        <f t="shared" si="11"/>
        <v>27.818000000000001</v>
      </c>
      <c r="Z32" s="385">
        <f t="shared" si="12"/>
        <v>28.415958833475692</v>
      </c>
      <c r="AA32" s="386">
        <f t="shared" si="13"/>
        <v>30.934669500414955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8.1420319260416818E-2</v>
      </c>
      <c r="AD32" s="231">
        <f>(INDEX(Models!$BJ32:$BT32,,AH32)*(1-AF32)+INDEX(Models!$BJ32:$BT32,,AH32+1)*AF32-ERP_i)*AE32*Ramure*Pc/MaxiM</f>
        <v>9.3678095430856404E-4</v>
      </c>
      <c r="AE32" s="305">
        <f t="shared" si="15"/>
        <v>0.7</v>
      </c>
      <c r="AF32" s="177">
        <f t="shared" si="22"/>
        <v>0.50074190937381746</v>
      </c>
      <c r="AG32" s="919">
        <f t="shared" si="23"/>
        <v>-1</v>
      </c>
      <c r="AH32" s="176">
        <f t="shared" si="16"/>
        <v>5</v>
      </c>
      <c r="AI32" s="225">
        <f t="shared" si="17"/>
        <v>-0.49925809062618248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8">
        <v>29.269000000000002</v>
      </c>
      <c r="C33" s="390"/>
      <c r="D33" s="393">
        <f t="shared" si="0"/>
        <v>29.898803508779434</v>
      </c>
      <c r="E33" s="385">
        <f t="shared" si="1"/>
        <v>32.550150115758385</v>
      </c>
      <c r="F33" s="385">
        <f t="shared" si="2"/>
        <v>32.578902251016416</v>
      </c>
      <c r="G33" s="110">
        <f t="shared" si="21"/>
        <v>0.99224173754689116</v>
      </c>
      <c r="H33" s="412" t="b">
        <f>Wh_hp&gt;='2020'!Maxi_hp</f>
        <v>1</v>
      </c>
      <c r="I33" s="380">
        <f>IF(H33,Wh_hp,'2020'!Maxi_hp)</f>
        <v>32.578902251016416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2.1064505427265567E-2</v>
      </c>
      <c r="M33" s="957"/>
      <c r="N33" s="957"/>
      <c r="O33" s="48">
        <f>IF(t&lt;Tnet,'2020'!Resal+('2020'!Salim-'2020'!Resal)*(1-EXP(('2020'!Tnet-t)/('2020'!Tau_j))),Resal+(Salim-Resal)*(1-EXP((Tnet-t)/(Tau_j))))*Salcycl</f>
        <v>8.1454205204889885E-2</v>
      </c>
      <c r="P33" s="169">
        <f>(INDEX(Models!$BJ33:$BT33,,T33)*(1-R33)+INDEX(Models!$BJ33:$BT33,,T33+1)*R33-ERP_i)*Q33*Ramure*Pc/MaxiM</f>
        <v>8.9241684767292983E-4</v>
      </c>
      <c r="Q33" s="305">
        <f t="shared" si="4"/>
        <v>0.7</v>
      </c>
      <c r="R33" s="177">
        <f t="shared" si="5"/>
        <v>0.50080049133967841</v>
      </c>
      <c r="S33" s="919">
        <f t="shared" si="6"/>
        <v>-1</v>
      </c>
      <c r="T33" s="176">
        <f t="shared" si="7"/>
        <v>5</v>
      </c>
      <c r="U33" s="251">
        <f t="shared" si="8"/>
        <v>-0.49919950866032159</v>
      </c>
      <c r="V33" s="383">
        <f t="shared" si="9"/>
        <v>29.497560430556074</v>
      </c>
      <c r="W33" s="402"/>
      <c r="X33" s="157">
        <f t="shared" si="10"/>
        <v>44215</v>
      </c>
      <c r="Y33" s="385">
        <f t="shared" si="11"/>
        <v>29.268999999999998</v>
      </c>
      <c r="Z33" s="385">
        <f t="shared" si="12"/>
        <v>29.89880350877943</v>
      </c>
      <c r="AA33" s="386">
        <f t="shared" si="13"/>
        <v>32.550150115758385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8.1454205204889885E-2</v>
      </c>
      <c r="AD33" s="231">
        <f>(INDEX(Models!$BJ33:$BT33,,AH33)*(1-AF33)+INDEX(Models!$BJ33:$BT33,,AH33+1)*AF33-ERP_i)*AE33*Ramure*Pc/MaxiM</f>
        <v>8.9241684767292983E-4</v>
      </c>
      <c r="AE33" s="305">
        <f t="shared" si="15"/>
        <v>0.7</v>
      </c>
      <c r="AF33" s="177">
        <f t="shared" si="22"/>
        <v>0.50080049133967841</v>
      </c>
      <c r="AG33" s="919">
        <f t="shared" si="23"/>
        <v>-1</v>
      </c>
      <c r="AH33" s="176">
        <f t="shared" si="16"/>
        <v>5</v>
      </c>
      <c r="AI33" s="225">
        <f t="shared" si="17"/>
        <v>-0.49919950866032159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8">
        <v>5.8159999999999998</v>
      </c>
      <c r="C34" s="390"/>
      <c r="D34" s="393">
        <f t="shared" si="0"/>
        <v>5.9412774594050255</v>
      </c>
      <c r="E34" s="385">
        <f t="shared" si="1"/>
        <v>6.4683733357914628</v>
      </c>
      <c r="F34" s="385">
        <f t="shared" si="2"/>
        <v>6.4683733357914628</v>
      </c>
      <c r="G34" s="110">
        <f t="shared" si="21"/>
        <v>0.19535439797574627</v>
      </c>
      <c r="H34" s="412" t="b">
        <f>Wh_hp&gt;='2020'!Maxi_hp</f>
        <v>0</v>
      </c>
      <c r="I34" s="380">
        <f>IF(H34,Wh_hp,'2020'!Maxi_hp)</f>
        <v>11.984563264269097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2.1085946626968499E-2</v>
      </c>
      <c r="M34" s="957"/>
      <c r="N34" s="957"/>
      <c r="O34" s="48">
        <f>IF(t&lt;Tnet,'2020'!Resal+('2020'!Salim-'2020'!Resal)*(1-EXP(('2020'!Tnet-t)/('2020'!Tau_j))),Resal+(Salim-Resal)*(1-EXP((Tnet-t)/(Tau_j))))*Salcycl</f>
        <v>8.1488165420177075E-2</v>
      </c>
      <c r="P34" s="169">
        <f>(INDEX(Models!$BJ34:$BT34,,T34)*(1-R34)+INDEX(Models!$BJ34:$BT34,,T34+1)*R34-ERP_i)*Q34*Ramure*Pc/MaxiM</f>
        <v>8.5164096336186313E-4</v>
      </c>
      <c r="Q34" s="305">
        <f t="shared" si="4"/>
        <v>0.7</v>
      </c>
      <c r="R34" s="177">
        <f t="shared" si="5"/>
        <v>0.50086151631972098</v>
      </c>
      <c r="S34" s="919">
        <f t="shared" si="6"/>
        <v>-1</v>
      </c>
      <c r="T34" s="176">
        <f t="shared" si="7"/>
        <v>5</v>
      </c>
      <c r="U34" s="251">
        <f t="shared" si="8"/>
        <v>-0.49913848368027897</v>
      </c>
      <c r="V34" s="383">
        <f t="shared" si="9"/>
        <v>29.746178823568346</v>
      </c>
      <c r="W34" s="402"/>
      <c r="X34" s="157">
        <f t="shared" si="10"/>
        <v>44216</v>
      </c>
      <c r="Y34" s="385">
        <f t="shared" si="11"/>
        <v>5.8159999999999998</v>
      </c>
      <c r="Z34" s="385">
        <f t="shared" si="12"/>
        <v>5.9412774594050255</v>
      </c>
      <c r="AA34" s="386">
        <f t="shared" si="13"/>
        <v>6.4683733357914628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8.1488165420177075E-2</v>
      </c>
      <c r="AD34" s="231">
        <f>(INDEX(Models!$BJ34:$BT34,,AH34)*(1-AF34)+INDEX(Models!$BJ34:$BT34,,AH34+1)*AF34-ERP_i)*AE34*Ramure*Pc/MaxiM</f>
        <v>8.5164096336186313E-4</v>
      </c>
      <c r="AE34" s="305">
        <f t="shared" si="15"/>
        <v>0.7</v>
      </c>
      <c r="AF34" s="177">
        <f t="shared" si="22"/>
        <v>0.50086151631972098</v>
      </c>
      <c r="AG34" s="919">
        <f t="shared" si="23"/>
        <v>-1</v>
      </c>
      <c r="AH34" s="176">
        <f t="shared" si="16"/>
        <v>5</v>
      </c>
      <c r="AI34" s="225">
        <f t="shared" si="17"/>
        <v>-0.49913848368027897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8">
        <v>12.700000000000001</v>
      </c>
      <c r="C35" s="390"/>
      <c r="D35" s="393">
        <f t="shared" si="0"/>
        <v>12.973843949757505</v>
      </c>
      <c r="E35" s="385">
        <f t="shared" si="1"/>
        <v>14.125375709766814</v>
      </c>
      <c r="F35" s="385">
        <f t="shared" si="2"/>
        <v>14.127402586378265</v>
      </c>
      <c r="G35" s="110">
        <f t="shared" si="21"/>
        <v>0.42303561988540139</v>
      </c>
      <c r="H35" s="412" t="b">
        <f>Wh_hp&gt;='2020'!Maxi_hp</f>
        <v>1</v>
      </c>
      <c r="I35" s="380">
        <f>IF(H35,Wh_hp,'2020'!Maxi_hp)</f>
        <v>14.127402586378265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2.1107387357054086E-2</v>
      </c>
      <c r="M35" s="957"/>
      <c r="N35" s="957"/>
      <c r="O35" s="48">
        <f>IF(t&lt;Tnet,'2020'!Resal+('2020'!Salim-'2020'!Resal)*(1-EXP(('2020'!Tnet-t)/('2020'!Tau_j))),Resal+(Salim-Resal)*(1-EXP((Tnet-t)/(Tau_j))))*Salcycl</f>
        <v>8.1522203987331524E-2</v>
      </c>
      <c r="P35" s="169">
        <f>(INDEX(Models!$BJ35:$BT35,,T35)*(1-R35)+INDEX(Models!$BJ35:$BT35,,T35+1)*R35-ERP_i)*Q35*Ramure*Pc/MaxiM</f>
        <v>8.143866913796952E-4</v>
      </c>
      <c r="Q35" s="305">
        <f t="shared" si="4"/>
        <v>0.7</v>
      </c>
      <c r="R35" s="177">
        <f t="shared" si="5"/>
        <v>0.50092508555695725</v>
      </c>
      <c r="S35" s="919">
        <f t="shared" si="6"/>
        <v>-1</v>
      </c>
      <c r="T35" s="176">
        <f t="shared" si="7"/>
        <v>5</v>
      </c>
      <c r="U35" s="251">
        <f t="shared" si="8"/>
        <v>-0.49907491444304275</v>
      </c>
      <c r="V35" s="383">
        <f t="shared" si="9"/>
        <v>30.000968133946532</v>
      </c>
      <c r="W35" s="402"/>
      <c r="X35" s="157">
        <f t="shared" si="10"/>
        <v>44217</v>
      </c>
      <c r="Y35" s="385">
        <f t="shared" si="11"/>
        <v>12.700000000000001</v>
      </c>
      <c r="Z35" s="385">
        <f t="shared" si="12"/>
        <v>12.973843949757505</v>
      </c>
      <c r="AA35" s="386">
        <f t="shared" si="13"/>
        <v>14.125375709766814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8.1522203987331524E-2</v>
      </c>
      <c r="AD35" s="231">
        <f>(INDEX(Models!$BJ35:$BT35,,AH35)*(1-AF35)+INDEX(Models!$BJ35:$BT35,,AH35+1)*AF35-ERP_i)*AE35*Ramure*Pc/MaxiM</f>
        <v>8.143866913796952E-4</v>
      </c>
      <c r="AE35" s="305">
        <f t="shared" si="15"/>
        <v>0.7</v>
      </c>
      <c r="AF35" s="177">
        <f t="shared" si="22"/>
        <v>0.50092508555695725</v>
      </c>
      <c r="AG35" s="919">
        <f t="shared" si="23"/>
        <v>-1</v>
      </c>
      <c r="AH35" s="176">
        <f t="shared" si="16"/>
        <v>5</v>
      </c>
      <c r="AI35" s="225">
        <f t="shared" si="17"/>
        <v>-0.49907491444304275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8">
        <v>5.5490000000000004</v>
      </c>
      <c r="C36" s="390"/>
      <c r="D36" s="393">
        <f t="shared" si="0"/>
        <v>5.6687745604912747</v>
      </c>
      <c r="E36" s="385">
        <f t="shared" si="1"/>
        <v>6.1721526469679571</v>
      </c>
      <c r="F36" s="385">
        <f t="shared" si="2"/>
        <v>6.1721526469679571</v>
      </c>
      <c r="G36" s="110">
        <f t="shared" si="21"/>
        <v>0.18322060875165791</v>
      </c>
      <c r="H36" s="412" t="b">
        <f>Wh_hp&gt;='2020'!Maxi_hp</f>
        <v>0</v>
      </c>
      <c r="I36" s="380">
        <f>IF(H36,Wh_hp,'2020'!Maxi_hp)</f>
        <v>11.949256375188444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2.1128827617532542E-2</v>
      </c>
      <c r="M36" s="957"/>
      <c r="N36" s="957"/>
      <c r="O36" s="48">
        <f>IF(t&lt;Tnet,'2020'!Resal+('2020'!Salim-'2020'!Resal)*(1-EXP(('2020'!Tnet-t)/('2020'!Tau_j))),Resal+(Salim-Resal)*(1-EXP((Tnet-t)/(Tau_j))))*Salcycl</f>
        <v>8.155632487864091E-2</v>
      </c>
      <c r="P36" s="169">
        <f>(INDEX(Models!$BJ36:$BT36,,T36)*(1-R36)+INDEX(Models!$BJ36:$BT36,,T36+1)*R36-ERP_i)*Q36*Ramure*Pc/MaxiM</f>
        <v>7.8058271886416398E-4</v>
      </c>
      <c r="Q36" s="305">
        <f t="shared" si="4"/>
        <v>0.7</v>
      </c>
      <c r="R36" s="177">
        <f t="shared" si="5"/>
        <v>0.50099130443573925</v>
      </c>
      <c r="S36" s="919">
        <f t="shared" si="6"/>
        <v>-1</v>
      </c>
      <c r="T36" s="176">
        <f t="shared" si="7"/>
        <v>5</v>
      </c>
      <c r="U36" s="251">
        <f t="shared" si="8"/>
        <v>-0.4990086955642607</v>
      </c>
      <c r="V36" s="383">
        <f t="shared" si="9"/>
        <v>30.262253707542339</v>
      </c>
      <c r="W36" s="402"/>
      <c r="X36" s="157">
        <f t="shared" si="10"/>
        <v>44218</v>
      </c>
      <c r="Y36" s="385">
        <f t="shared" si="11"/>
        <v>5.5490000000000004</v>
      </c>
      <c r="Z36" s="385">
        <f t="shared" si="12"/>
        <v>5.6687745604912747</v>
      </c>
      <c r="AA36" s="386">
        <f t="shared" si="13"/>
        <v>6.1721526469679571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8.155632487864091E-2</v>
      </c>
      <c r="AD36" s="231">
        <f>(INDEX(Models!$BJ36:$BT36,,AH36)*(1-AF36)+INDEX(Models!$BJ36:$BT36,,AH36+1)*AF36-ERP_i)*AE36*Ramure*Pc/MaxiM</f>
        <v>7.8058271886416398E-4</v>
      </c>
      <c r="AE36" s="305">
        <f t="shared" si="15"/>
        <v>0.7</v>
      </c>
      <c r="AF36" s="177">
        <f t="shared" si="22"/>
        <v>0.50099130443573925</v>
      </c>
      <c r="AG36" s="919">
        <f t="shared" si="23"/>
        <v>-1</v>
      </c>
      <c r="AH36" s="176">
        <f t="shared" si="16"/>
        <v>5</v>
      </c>
      <c r="AI36" s="225">
        <f t="shared" si="17"/>
        <v>-0.4990086955642607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8">
        <v>6.8540000000000001</v>
      </c>
      <c r="C37" s="390"/>
      <c r="D37" s="393">
        <f t="shared" si="0"/>
        <v>7.0020962072017614</v>
      </c>
      <c r="E37" s="385">
        <f t="shared" si="1"/>
        <v>7.6241550743876934</v>
      </c>
      <c r="F37" s="385">
        <f t="shared" si="2"/>
        <v>7.6241550743876934</v>
      </c>
      <c r="G37" s="110">
        <f t="shared" si="21"/>
        <v>0.22431848598526638</v>
      </c>
      <c r="H37" s="412" t="b">
        <f>Wh_hp&gt;='2020'!Maxi_hp</f>
        <v>0</v>
      </c>
      <c r="I37" s="380">
        <f>IF(H37,Wh_hp,'2020'!Maxi_hp)</f>
        <v>15.414868910772679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2.1150267408414414E-2</v>
      </c>
      <c r="M37" s="957"/>
      <c r="N37" s="957"/>
      <c r="O37" s="48">
        <f>IF(t&lt;Tnet,'2020'!Resal+('2020'!Salim-'2020'!Resal)*(1-EXP(('2020'!Tnet-t)/('2020'!Tau_j))),Resal+(Salim-Resal)*(1-EXP((Tnet-t)/(Tau_j))))*Salcycl</f>
        <v>8.1590531818490047E-2</v>
      </c>
      <c r="P37" s="169">
        <f>(INDEX(Models!$BJ37:$BT37,,T37)*(1-R37)+INDEX(Models!$BJ37:$BT37,,T37+1)*R37-ERP_i)*Q37*Ramure*Pc/MaxiM</f>
        <v>7.5012033445810049E-4</v>
      </c>
      <c r="Q37" s="305">
        <f t="shared" si="4"/>
        <v>0.7</v>
      </c>
      <c r="R37" s="177">
        <f t="shared" si="5"/>
        <v>0.5010602826465167</v>
      </c>
      <c r="S37" s="919">
        <f t="shared" si="6"/>
        <v>-1</v>
      </c>
      <c r="T37" s="176">
        <f t="shared" si="7"/>
        <v>5</v>
      </c>
      <c r="U37" s="251">
        <f t="shared" si="8"/>
        <v>-0.49893971735348336</v>
      </c>
      <c r="V37" s="383">
        <f t="shared" si="9"/>
        <v>30.531851377052661</v>
      </c>
      <c r="W37" s="402"/>
      <c r="X37" s="157">
        <f t="shared" si="10"/>
        <v>44219</v>
      </c>
      <c r="Y37" s="385">
        <f t="shared" si="11"/>
        <v>6.8540000000000001</v>
      </c>
      <c r="Z37" s="385">
        <f t="shared" si="12"/>
        <v>7.0020962072017614</v>
      </c>
      <c r="AA37" s="386">
        <f t="shared" si="13"/>
        <v>7.6241550743876934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8.1590531818490047E-2</v>
      </c>
      <c r="AD37" s="231">
        <f>(INDEX(Models!$BJ37:$BT37,,AH37)*(1-AF37)+INDEX(Models!$BJ37:$BT37,,AH37+1)*AF37-ERP_i)*AE37*Ramure*Pc/MaxiM</f>
        <v>7.5012033445810049E-4</v>
      </c>
      <c r="AE37" s="305">
        <f t="shared" si="15"/>
        <v>0.7</v>
      </c>
      <c r="AF37" s="177">
        <f t="shared" si="22"/>
        <v>0.5010602826465167</v>
      </c>
      <c r="AG37" s="919">
        <f t="shared" si="23"/>
        <v>-1</v>
      </c>
      <c r="AH37" s="176">
        <f t="shared" si="16"/>
        <v>5</v>
      </c>
      <c r="AI37" s="225">
        <f t="shared" si="17"/>
        <v>-0.49893971735348336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8">
        <v>13.98</v>
      </c>
      <c r="C38" s="390"/>
      <c r="D38" s="393">
        <f t="shared" si="0"/>
        <v>14.282382411824718</v>
      </c>
      <c r="E38" s="385">
        <f t="shared" si="1"/>
        <v>15.551795006761537</v>
      </c>
      <c r="F38" s="385">
        <f t="shared" si="2"/>
        <v>15.554266508684686</v>
      </c>
      <c r="G38" s="110">
        <f t="shared" si="21"/>
        <v>0.45348326715100934</v>
      </c>
      <c r="H38" s="412" t="b">
        <f>Wh_hp&gt;='2020'!Maxi_hp</f>
        <v>0</v>
      </c>
      <c r="I38" s="380">
        <f>IF(H38,Wh_hp,'2020'!Maxi_hp)</f>
        <v>16.760301939175058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2.1171706729709805E-2</v>
      </c>
      <c r="M38" s="957"/>
      <c r="N38" s="957"/>
      <c r="O38" s="48">
        <f>IF(t&lt;Tnet,'2020'!Resal+('2020'!Salim-'2020'!Resal)*(1-EXP(('2020'!Tnet-t)/('2020'!Tau_j))),Resal+(Salim-Resal)*(1-EXP((Tnet-t)/(Tau_j))))*Salcycl</f>
        <v>8.1624828155522161E-2</v>
      </c>
      <c r="P38" s="169">
        <f>(INDEX(Models!$BJ38:$BT38,,T38)*(1-R38)+INDEX(Models!$BJ38:$BT38,,T38+1)*R38-ERP_i)*Q38*Ramure*Pc/MaxiM</f>
        <v>7.2347586575538232E-4</v>
      </c>
      <c r="Q38" s="305">
        <f t="shared" si="4"/>
        <v>0.7</v>
      </c>
      <c r="R38" s="177">
        <f t="shared" si="5"/>
        <v>0.50113213435674608</v>
      </c>
      <c r="S38" s="919">
        <f t="shared" si="6"/>
        <v>-1</v>
      </c>
      <c r="T38" s="176">
        <f t="shared" si="7"/>
        <v>5</v>
      </c>
      <c r="U38" s="251">
        <f t="shared" si="8"/>
        <v>-0.49886786564325392</v>
      </c>
      <c r="V38" s="383">
        <f t="shared" si="9"/>
        <v>30.810631666753082</v>
      </c>
      <c r="W38" s="402"/>
      <c r="X38" s="157">
        <f t="shared" si="10"/>
        <v>44220</v>
      </c>
      <c r="Y38" s="385">
        <f t="shared" si="11"/>
        <v>13.98</v>
      </c>
      <c r="Z38" s="385">
        <f t="shared" si="12"/>
        <v>14.282382411824718</v>
      </c>
      <c r="AA38" s="386">
        <f t="shared" si="13"/>
        <v>15.551795006761537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8.1624828155522161E-2</v>
      </c>
      <c r="AD38" s="231">
        <f>(INDEX(Models!$BJ38:$BT38,,AH38)*(1-AF38)+INDEX(Models!$BJ38:$BT38,,AH38+1)*AF38-ERP_i)*AE38*Ramure*Pc/MaxiM</f>
        <v>7.2347586575538232E-4</v>
      </c>
      <c r="AE38" s="305">
        <f t="shared" si="15"/>
        <v>0.7</v>
      </c>
      <c r="AF38" s="177">
        <f t="shared" si="22"/>
        <v>0.50113213435674608</v>
      </c>
      <c r="AG38" s="919">
        <f t="shared" si="23"/>
        <v>-1</v>
      </c>
      <c r="AH38" s="176">
        <f t="shared" si="16"/>
        <v>5</v>
      </c>
      <c r="AI38" s="225">
        <f t="shared" si="17"/>
        <v>-0.49886786564325392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8">
        <v>6.6020000000000003</v>
      </c>
      <c r="C39" s="390"/>
      <c r="D39" s="393">
        <f t="shared" si="0"/>
        <v>6.7449466359956247</v>
      </c>
      <c r="E39" s="385">
        <f t="shared" si="1"/>
        <v>7.344709893101796</v>
      </c>
      <c r="F39" s="385">
        <f t="shared" si="2"/>
        <v>7.344709893101796</v>
      </c>
      <c r="G39" s="110">
        <f t="shared" si="21"/>
        <v>0.21215109719045341</v>
      </c>
      <c r="H39" s="412" t="b">
        <f>Wh_hp&gt;='2020'!Maxi_hp</f>
        <v>0</v>
      </c>
      <c r="I39" s="380">
        <f>IF(H39,Wh_hp,'2020'!Maxi_hp)</f>
        <v>18.571876293641711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2.1193145581428929E-2</v>
      </c>
      <c r="M39" s="957"/>
      <c r="N39" s="957"/>
      <c r="O39" s="48">
        <f>IF(t&lt;Tnet,'2020'!Resal+('2020'!Salim-'2020'!Resal)*(1-EXP(('2020'!Tnet-t)/('2020'!Tau_j))),Resal+(Salim-Resal)*(1-EXP((Tnet-t)/(Tau_j))))*Salcycl</f>
        <v>8.1659216747209232E-2</v>
      </c>
      <c r="P39" s="169">
        <f>(INDEX(Models!$BJ39:$BT39,,T39)*(1-R39)+INDEX(Models!$BJ39:$BT39,,T39+1)*R39-ERP_i)*Q39*Ramure*Pc/MaxiM</f>
        <v>6.999113078398903E-4</v>
      </c>
      <c r="Q39" s="305">
        <f t="shared" si="4"/>
        <v>0.7</v>
      </c>
      <c r="R39" s="177">
        <f t="shared" si="5"/>
        <v>0.50120697838815431</v>
      </c>
      <c r="S39" s="919">
        <f t="shared" si="6"/>
        <v>-1</v>
      </c>
      <c r="T39" s="176">
        <f t="shared" si="7"/>
        <v>5</v>
      </c>
      <c r="U39" s="251">
        <f t="shared" si="8"/>
        <v>-0.49879302161184569</v>
      </c>
      <c r="V39" s="383">
        <f t="shared" si="9"/>
        <v>31.097549213346785</v>
      </c>
      <c r="W39" s="402"/>
      <c r="X39" s="157">
        <f t="shared" si="10"/>
        <v>44221</v>
      </c>
      <c r="Y39" s="385">
        <f t="shared" si="11"/>
        <v>6.6020000000000003</v>
      </c>
      <c r="Z39" s="385">
        <f t="shared" si="12"/>
        <v>6.7449466359956247</v>
      </c>
      <c r="AA39" s="386">
        <f t="shared" si="13"/>
        <v>7.344709893101796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8.1659216747209232E-2</v>
      </c>
      <c r="AD39" s="231">
        <f>(INDEX(Models!$BJ39:$BT39,,AH39)*(1-AF39)+INDEX(Models!$BJ39:$BT39,,AH39+1)*AF39-ERP_i)*AE39*Ramure*Pc/MaxiM</f>
        <v>6.999113078398903E-4</v>
      </c>
      <c r="AE39" s="305">
        <f t="shared" si="15"/>
        <v>0.7</v>
      </c>
      <c r="AF39" s="177">
        <f t="shared" si="22"/>
        <v>0.50120697838815431</v>
      </c>
      <c r="AG39" s="919">
        <f t="shared" si="23"/>
        <v>-1</v>
      </c>
      <c r="AH39" s="176">
        <f t="shared" si="16"/>
        <v>5</v>
      </c>
      <c r="AI39" s="225">
        <f t="shared" si="17"/>
        <v>-0.49879302161184569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8">
        <v>19.145</v>
      </c>
      <c r="C40" s="390"/>
      <c r="D40" s="393">
        <f t="shared" si="0"/>
        <v>19.55995633601438</v>
      </c>
      <c r="E40" s="385">
        <f t="shared" si="1"/>
        <v>21.30003500246627</v>
      </c>
      <c r="F40" s="385">
        <f t="shared" si="2"/>
        <v>21.306442957650422</v>
      </c>
      <c r="G40" s="110">
        <f t="shared" si="21"/>
        <v>0.60964675010089042</v>
      </c>
      <c r="H40" s="412" t="b">
        <f>Wh_hp&gt;='2020'!Maxi_hp</f>
        <v>1</v>
      </c>
      <c r="I40" s="380">
        <f>IF(H40,Wh_hp,'2020'!Maxi_hp)</f>
        <v>21.306442957650422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2.1214583963582334E-2</v>
      </c>
      <c r="M40" s="957"/>
      <c r="N40" s="957"/>
      <c r="O40" s="48">
        <f>IF(t&lt;Tnet,'2020'!Resal+('2020'!Salim-'2020'!Resal)*(1-EXP(('2020'!Tnet-t)/('2020'!Tau_j))),Resal+(Salim-Resal)*(1-EXP((Tnet-t)/(Tau_j))))*Salcycl</f>
        <v>8.1693699857789528E-2</v>
      </c>
      <c r="P40" s="169">
        <f>(INDEX(Models!$BJ40:$BT40,,T40)*(1-R40)+INDEX(Models!$BJ40:$BT40,,T40+1)*R40-ERP_i)*Q40*Ramure*Pc/MaxiM</f>
        <v>6.793853452805855E-4</v>
      </c>
      <c r="Q40" s="305">
        <f t="shared" si="4"/>
        <v>0.7</v>
      </c>
      <c r="R40" s="177">
        <f t="shared" si="5"/>
        <v>0.501284938400547</v>
      </c>
      <c r="S40" s="919">
        <f t="shared" si="6"/>
        <v>-1</v>
      </c>
      <c r="T40" s="176">
        <f t="shared" si="7"/>
        <v>5</v>
      </c>
      <c r="U40" s="251">
        <f t="shared" si="8"/>
        <v>-0.498715061599453</v>
      </c>
      <c r="V40" s="383">
        <f t="shared" si="9"/>
        <v>31.391537608486555</v>
      </c>
      <c r="W40" s="402"/>
      <c r="X40" s="157">
        <f t="shared" si="10"/>
        <v>44222</v>
      </c>
      <c r="Y40" s="385">
        <f t="shared" si="11"/>
        <v>19.145</v>
      </c>
      <c r="Z40" s="385">
        <f t="shared" si="12"/>
        <v>19.55995633601438</v>
      </c>
      <c r="AA40" s="386">
        <f t="shared" si="13"/>
        <v>21.30003500246627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8.1693699857789528E-2</v>
      </c>
      <c r="AD40" s="231">
        <f>(INDEX(Models!$BJ40:$BT40,,AH40)*(1-AF40)+INDEX(Models!$BJ40:$BT40,,AH40+1)*AF40-ERP_i)*AE40*Ramure*Pc/MaxiM</f>
        <v>6.793853452805855E-4</v>
      </c>
      <c r="AE40" s="305">
        <f t="shared" si="15"/>
        <v>0.7</v>
      </c>
      <c r="AF40" s="177">
        <f t="shared" si="22"/>
        <v>0.501284938400547</v>
      </c>
      <c r="AG40" s="919">
        <f t="shared" si="23"/>
        <v>-1</v>
      </c>
      <c r="AH40" s="176">
        <f t="shared" si="16"/>
        <v>5</v>
      </c>
      <c r="AI40" s="225">
        <f t="shared" si="17"/>
        <v>-0.498715061599453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8">
        <v>6.0200000000000005</v>
      </c>
      <c r="C41" s="390"/>
      <c r="D41" s="393">
        <f t="shared" si="0"/>
        <v>6.1506145858980847</v>
      </c>
      <c r="E41" s="385">
        <f t="shared" si="1"/>
        <v>6.6980333225021855</v>
      </c>
      <c r="F41" s="385">
        <f t="shared" si="2"/>
        <v>6.6980333225021855</v>
      </c>
      <c r="G41" s="110">
        <f t="shared" si="21"/>
        <v>0.18983039069887772</v>
      </c>
      <c r="H41" s="412" t="b">
        <f>Wh_hp&gt;='2020'!Maxi_hp</f>
        <v>0</v>
      </c>
      <c r="I41" s="380">
        <f>IF(H41,Wh_hp,'2020'!Maxi_hp)</f>
        <v>15.003978997139566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2.1236021876180122E-2</v>
      </c>
      <c r="M41" s="957"/>
      <c r="N41" s="957"/>
      <c r="O41" s="48">
        <f>IF(t&lt;Tnet,'2020'!Resal+('2020'!Salim-'2020'!Resal)*(1-EXP(('2020'!Tnet-t)/('2020'!Tau_j))),Resal+(Salim-Resal)*(1-EXP((Tnet-t)/(Tau_j))))*Salcycl</f>
        <v>8.1728279070370766E-2</v>
      </c>
      <c r="P41" s="169">
        <f>(INDEX(Models!$BJ41:$BT41,,T41)*(1-R41)+INDEX(Models!$BJ41:$BT41,,T41+1)*R41-ERP_i)*Q41*Ramure*Pc/MaxiM</f>
        <v>6.6185101132160801E-4</v>
      </c>
      <c r="Q41" s="305">
        <f t="shared" si="4"/>
        <v>0.7</v>
      </c>
      <c r="R41" s="177">
        <f t="shared" si="5"/>
        <v>0.50136614308236882</v>
      </c>
      <c r="S41" s="919">
        <f t="shared" si="6"/>
        <v>-1</v>
      </c>
      <c r="T41" s="176">
        <f t="shared" si="7"/>
        <v>5</v>
      </c>
      <c r="U41" s="251">
        <f t="shared" si="8"/>
        <v>-0.49863385691763124</v>
      </c>
      <c r="V41" s="383">
        <f t="shared" si="9"/>
        <v>31.69153071203899</v>
      </c>
      <c r="W41" s="402"/>
      <c r="X41" s="157">
        <f t="shared" si="10"/>
        <v>44223</v>
      </c>
      <c r="Y41" s="385">
        <f t="shared" si="11"/>
        <v>6.0200000000000005</v>
      </c>
      <c r="Z41" s="385">
        <f t="shared" si="12"/>
        <v>6.1506145858980847</v>
      </c>
      <c r="AA41" s="386">
        <f t="shared" si="13"/>
        <v>6.6980333225021855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8.1728279070370766E-2</v>
      </c>
      <c r="AD41" s="231">
        <f>(INDEX(Models!$BJ41:$BT41,,AH41)*(1-AF41)+INDEX(Models!$BJ41:$BT41,,AH41+1)*AF41-ERP_i)*AE41*Ramure*Pc/MaxiM</f>
        <v>6.6185101132160801E-4</v>
      </c>
      <c r="AE41" s="305">
        <f t="shared" si="15"/>
        <v>0.7</v>
      </c>
      <c r="AF41" s="177">
        <f t="shared" si="22"/>
        <v>0.50136614308236882</v>
      </c>
      <c r="AG41" s="919">
        <f t="shared" si="23"/>
        <v>-1</v>
      </c>
      <c r="AH41" s="176">
        <f t="shared" si="16"/>
        <v>5</v>
      </c>
      <c r="AI41" s="225">
        <f t="shared" si="17"/>
        <v>-0.49863385691763124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8">
        <v>15.66</v>
      </c>
      <c r="C42" s="390"/>
      <c r="D42" s="393">
        <f t="shared" si="0"/>
        <v>16.000121941269292</v>
      </c>
      <c r="E42" s="385">
        <f t="shared" si="1"/>
        <v>17.424827316779943</v>
      </c>
      <c r="F42" s="385">
        <f t="shared" si="2"/>
        <v>17.427879917759782</v>
      </c>
      <c r="G42" s="110">
        <f t="shared" si="21"/>
        <v>0.48919800193926327</v>
      </c>
      <c r="H42" s="412" t="b">
        <f>Wh_hp&gt;='2020'!Maxi_hp</f>
        <v>1</v>
      </c>
      <c r="I42" s="380">
        <f>IF(H42,Wh_hp,'2020'!Maxi_hp)</f>
        <v>17.427879917759782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2.1257459319232508E-2</v>
      </c>
      <c r="M42" s="957"/>
      <c r="N42" s="957"/>
      <c r="O42" s="48">
        <f>IF(t&lt;Tnet,'2020'!Resal+('2020'!Salim-'2020'!Resal)*(1-EXP(('2020'!Tnet-t)/('2020'!Tau_j))),Resal+(Salim-Resal)*(1-EXP((Tnet-t)/(Tau_j))))*Salcycl</f>
        <v>8.1762955213832977E-2</v>
      </c>
      <c r="P42" s="169">
        <f>(INDEX(Models!$BJ42:$BT42,,T42)*(1-R42)+INDEX(Models!$BJ42:$BT42,,T42+1)*R42-ERP_i)*Q42*Ramure*Pc/MaxiM</f>
        <v>6.4725709418552292E-4</v>
      </c>
      <c r="Q42" s="305">
        <f t="shared" si="4"/>
        <v>0.7</v>
      </c>
      <c r="R42" s="177">
        <f t="shared" si="5"/>
        <v>0.50145072634821464</v>
      </c>
      <c r="S42" s="919">
        <f t="shared" si="6"/>
        <v>-1</v>
      </c>
      <c r="T42" s="176">
        <f t="shared" si="7"/>
        <v>5</v>
      </c>
      <c r="U42" s="251">
        <f t="shared" si="8"/>
        <v>-0.49854927365178531</v>
      </c>
      <c r="V42" s="383">
        <f t="shared" si="9"/>
        <v>31.996462664518635</v>
      </c>
      <c r="W42" s="402"/>
      <c r="X42" s="157">
        <f t="shared" si="10"/>
        <v>44224</v>
      </c>
      <c r="Y42" s="385">
        <f t="shared" si="11"/>
        <v>15.66</v>
      </c>
      <c r="Z42" s="385">
        <f t="shared" si="12"/>
        <v>16.000121941269292</v>
      </c>
      <c r="AA42" s="386">
        <f t="shared" si="13"/>
        <v>17.424827316779943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8.1762955213832977E-2</v>
      </c>
      <c r="AD42" s="231">
        <f>(INDEX(Models!$BJ42:$BT42,,AH42)*(1-AF42)+INDEX(Models!$BJ42:$BT42,,AH42+1)*AF42-ERP_i)*AE42*Ramure*Pc/MaxiM</f>
        <v>6.4725709418552292E-4</v>
      </c>
      <c r="AE42" s="305">
        <f t="shared" si="15"/>
        <v>0.7</v>
      </c>
      <c r="AF42" s="177">
        <f t="shared" si="22"/>
        <v>0.50145072634821464</v>
      </c>
      <c r="AG42" s="919">
        <f t="shared" si="23"/>
        <v>-1</v>
      </c>
      <c r="AH42" s="176">
        <f t="shared" si="16"/>
        <v>5</v>
      </c>
      <c r="AI42" s="225">
        <f t="shared" si="17"/>
        <v>-0.49854927365178531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8">
        <v>13.903</v>
      </c>
      <c r="C43" s="390"/>
      <c r="D43" s="393">
        <f t="shared" si="0"/>
        <v>14.205272520779927</v>
      </c>
      <c r="E43" s="385">
        <f t="shared" si="1"/>
        <v>15.470744256117973</v>
      </c>
      <c r="F43" s="385">
        <f t="shared" si="2"/>
        <v>15.472575596565436</v>
      </c>
      <c r="G43" s="110">
        <f t="shared" si="21"/>
        <v>0.43014064214588299</v>
      </c>
      <c r="H43" s="412" t="b">
        <f>Wh_hp&gt;='2020'!Maxi_hp</f>
        <v>0</v>
      </c>
      <c r="I43" s="380">
        <f>IF(H43,Wh_hp,'2020'!Maxi_hp)</f>
        <v>22.511927090396647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2.1278896292749927E-2</v>
      </c>
      <c r="M43" s="957"/>
      <c r="N43" s="957"/>
      <c r="O43" s="48">
        <f>IF(t&lt;Tnet,'2020'!Resal+('2020'!Salim-'2020'!Resal)*(1-EXP(('2020'!Tnet-t)/('2020'!Tau_j))),Resal+(Salim-Resal)*(1-EXP((Tnet-t)/(Tau_j))))*Salcycl</f>
        <v>8.1797728304998013E-2</v>
      </c>
      <c r="P43" s="169">
        <f>(INDEX(Models!$BJ43:$BT43,,T43)*(1-R43)+INDEX(Models!$BJ43:$BT43,,T43+1)*R43-ERP_i)*Q43*Ramure*Pc/MaxiM</f>
        <v>6.3554944384350883E-4</v>
      </c>
      <c r="Q43" s="305">
        <f t="shared" si="4"/>
        <v>0.7</v>
      </c>
      <c r="R43" s="177">
        <f t="shared" si="5"/>
        <v>0.50153882754349999</v>
      </c>
      <c r="S43" s="919">
        <f t="shared" si="6"/>
        <v>-1</v>
      </c>
      <c r="T43" s="176">
        <f t="shared" si="7"/>
        <v>5</v>
      </c>
      <c r="U43" s="251">
        <f t="shared" si="8"/>
        <v>-0.49846117245650001</v>
      </c>
      <c r="V43" s="383">
        <f t="shared" si="9"/>
        <v>32.30526787801481</v>
      </c>
      <c r="W43" s="402"/>
      <c r="X43" s="157">
        <f t="shared" si="10"/>
        <v>44225</v>
      </c>
      <c r="Y43" s="385">
        <f t="shared" si="11"/>
        <v>13.903</v>
      </c>
      <c r="Z43" s="385">
        <f t="shared" si="12"/>
        <v>14.205272520779927</v>
      </c>
      <c r="AA43" s="386">
        <f t="shared" si="13"/>
        <v>15.470744256117973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8.1797728304998013E-2</v>
      </c>
      <c r="AD43" s="231">
        <f>(INDEX(Models!$BJ43:$BT43,,AH43)*(1-AF43)+INDEX(Models!$BJ43:$BT43,,AH43+1)*AF43-ERP_i)*AE43*Ramure*Pc/MaxiM</f>
        <v>6.3554944384350883E-4</v>
      </c>
      <c r="AE43" s="305">
        <f t="shared" si="15"/>
        <v>0.7</v>
      </c>
      <c r="AF43" s="177">
        <f t="shared" si="22"/>
        <v>0.50153882754349999</v>
      </c>
      <c r="AG43" s="919">
        <f t="shared" si="23"/>
        <v>-1</v>
      </c>
      <c r="AH43" s="176">
        <f t="shared" si="16"/>
        <v>5</v>
      </c>
      <c r="AI43" s="225">
        <f t="shared" si="17"/>
        <v>-0.49846117245650001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8">
        <v>7.0410000000000004</v>
      </c>
      <c r="C44" s="390"/>
      <c r="D44" s="393">
        <f t="shared" si="0"/>
        <v>7.194239699825828</v>
      </c>
      <c r="E44" s="385">
        <f t="shared" si="1"/>
        <v>7.8354335824677595</v>
      </c>
      <c r="F44" s="385">
        <f t="shared" si="2"/>
        <v>7.8354335824677595</v>
      </c>
      <c r="G44" s="110">
        <f t="shared" si="21"/>
        <v>0.21573453301230239</v>
      </c>
      <c r="H44" s="412" t="b">
        <f>Wh_hp&gt;='2020'!Maxi_hp</f>
        <v>0</v>
      </c>
      <c r="I44" s="380">
        <f>IF(H44,Wh_hp,'2020'!Maxi_hp)</f>
        <v>10.423685229998675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2.1300332796742594E-2</v>
      </c>
      <c r="M44" s="957"/>
      <c r="N44" s="957"/>
      <c r="O44" s="48">
        <f>IF(t&lt;Tnet,'2020'!Resal+('2020'!Salim-'2020'!Resal)*(1-EXP(('2020'!Tnet-t)/('2020'!Tau_j))),Resal+(Salim-Resal)*(1-EXP((Tnet-t)/(Tau_j))))*Salcycl</f>
        <v>8.183259750636393E-2</v>
      </c>
      <c r="P44" s="169">
        <f>(INDEX(Models!$BJ44:$BT44,,T44)*(1-R44)+INDEX(Models!$BJ44:$BT44,,T44+1)*R44-ERP_i)*Q44*Ramure*Pc/MaxiM</f>
        <v>6.26866989064071E-4</v>
      </c>
      <c r="Q44" s="305">
        <f t="shared" si="4"/>
        <v>0.7</v>
      </c>
      <c r="R44" s="177">
        <f t="shared" si="5"/>
        <v>0.50163059165649337</v>
      </c>
      <c r="S44" s="919">
        <f t="shared" si="6"/>
        <v>-1</v>
      </c>
      <c r="T44" s="176">
        <f t="shared" si="7"/>
        <v>5</v>
      </c>
      <c r="U44" s="251">
        <f t="shared" si="8"/>
        <v>-0.49836940834350657</v>
      </c>
      <c r="V44" s="383">
        <f t="shared" si="9"/>
        <v>32.616874689824165</v>
      </c>
      <c r="W44" s="402"/>
      <c r="X44" s="157">
        <f t="shared" si="10"/>
        <v>44226</v>
      </c>
      <c r="Y44" s="385">
        <f t="shared" si="11"/>
        <v>7.0410000000000004</v>
      </c>
      <c r="Z44" s="385">
        <f t="shared" si="12"/>
        <v>7.194239699825828</v>
      </c>
      <c r="AA44" s="386">
        <f t="shared" si="13"/>
        <v>7.8354335824677595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8.183259750636393E-2</v>
      </c>
      <c r="AD44" s="231">
        <f>(INDEX(Models!$BJ44:$BT44,,AH44)*(1-AF44)+INDEX(Models!$BJ44:$BT44,,AH44+1)*AF44-ERP_i)*AE44*Ramure*Pc/MaxiM</f>
        <v>6.26866989064071E-4</v>
      </c>
      <c r="AE44" s="305">
        <f t="shared" si="15"/>
        <v>0.7</v>
      </c>
      <c r="AF44" s="177">
        <f t="shared" si="22"/>
        <v>0.50163059165649337</v>
      </c>
      <c r="AG44" s="919">
        <f t="shared" si="23"/>
        <v>-1</v>
      </c>
      <c r="AH44" s="176">
        <f t="shared" si="16"/>
        <v>5</v>
      </c>
      <c r="AI44" s="225">
        <f t="shared" si="17"/>
        <v>-0.49836940834350657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8">
        <v>6.4329999999999998</v>
      </c>
      <c r="C45" s="390"/>
      <c r="D45" s="393">
        <f t="shared" si="0"/>
        <v>6.5731512106051833</v>
      </c>
      <c r="E45" s="385">
        <f t="shared" si="1"/>
        <v>7.1592625770602725</v>
      </c>
      <c r="F45" s="385">
        <f t="shared" si="2"/>
        <v>7.1592625770602725</v>
      </c>
      <c r="G45" s="110">
        <f t="shared" si="21"/>
        <v>0.19523114429310459</v>
      </c>
      <c r="H45" s="412" t="b">
        <f>Wh_hp&gt;='2020'!Maxi_hp</f>
        <v>0</v>
      </c>
      <c r="I45" s="380">
        <f>IF(H45,Wh_hp,'2020'!Maxi_hp)</f>
        <v>26.210661022055326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2.1321768831220833E-2</v>
      </c>
      <c r="M45" s="957"/>
      <c r="N45" s="957"/>
      <c r="O45" s="48">
        <f>IF(t&lt;Tnet,'2020'!Resal+('2020'!Salim-'2020'!Resal)*(1-EXP(('2020'!Tnet-t)/('2020'!Tau_j))),Resal+(Salim-Resal)*(1-EXP((Tnet-t)/(Tau_j))))*Salcycl</f>
        <v>8.1867561099534011E-2</v>
      </c>
      <c r="P45" s="169">
        <f>(INDEX(Models!$BJ45:$BT45,,T45)*(1-R45)+INDEX(Models!$BJ45:$BT45,,T45+1)*R45-ERP_i)*Q45*Ramure*Pc/MaxiM</f>
        <v>6.1903573563540002E-4</v>
      </c>
      <c r="Q45" s="305">
        <f t="shared" si="4"/>
        <v>0.7</v>
      </c>
      <c r="R45" s="177">
        <f t="shared" si="5"/>
        <v>0.50172616953792348</v>
      </c>
      <c r="S45" s="919">
        <f t="shared" si="6"/>
        <v>-1</v>
      </c>
      <c r="T45" s="176">
        <f t="shared" si="7"/>
        <v>5</v>
      </c>
      <c r="U45" s="251">
        <f t="shared" si="8"/>
        <v>-0.49827383046207652</v>
      </c>
      <c r="V45" s="383">
        <f t="shared" si="9"/>
        <v>32.930287666913635</v>
      </c>
      <c r="W45" s="402"/>
      <c r="X45" s="157">
        <f t="shared" si="10"/>
        <v>44227</v>
      </c>
      <c r="Y45" s="385">
        <f t="shared" si="11"/>
        <v>6.4329999999999998</v>
      </c>
      <c r="Z45" s="385">
        <f t="shared" si="12"/>
        <v>6.5731512106051833</v>
      </c>
      <c r="AA45" s="386">
        <f t="shared" si="13"/>
        <v>7.1592625770602725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8.1867561099534011E-2</v>
      </c>
      <c r="AD45" s="231">
        <f>(INDEX(Models!$BJ45:$BT45,,AH45)*(1-AF45)+INDEX(Models!$BJ45:$BT45,,AH45+1)*AF45-ERP_i)*AE45*Ramure*Pc/MaxiM</f>
        <v>6.1903573563540002E-4</v>
      </c>
      <c r="AE45" s="305">
        <f t="shared" si="15"/>
        <v>0.7</v>
      </c>
      <c r="AF45" s="177">
        <f t="shared" si="22"/>
        <v>0.50172616953792348</v>
      </c>
      <c r="AG45" s="919">
        <f t="shared" si="23"/>
        <v>-1</v>
      </c>
      <c r="AH45" s="176">
        <f t="shared" si="16"/>
        <v>5</v>
      </c>
      <c r="AI45" s="225">
        <f t="shared" si="17"/>
        <v>-0.49827383046207652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8">
        <v>7.9880000000000004</v>
      </c>
      <c r="C46" s="390"/>
      <c r="D46" s="393">
        <f t="shared" si="0"/>
        <v>8.1622076665513958</v>
      </c>
      <c r="E46" s="385">
        <f t="shared" si="1"/>
        <v>8.8903506458179056</v>
      </c>
      <c r="F46" s="385">
        <f t="shared" si="2"/>
        <v>8.8903506458179056</v>
      </c>
      <c r="G46" s="110">
        <f t="shared" si="21"/>
        <v>0.24013370101559736</v>
      </c>
      <c r="H46" s="412" t="b">
        <f>Wh_hp&gt;='2020'!Maxi_hp</f>
        <v>0</v>
      </c>
      <c r="I46" s="380">
        <f>IF(H46,Wh_hp,'2020'!Maxi_hp)</f>
        <v>29.47119267155292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2.134320439619497E-2</v>
      </c>
      <c r="M46" s="957"/>
      <c r="N46" s="957"/>
      <c r="O46" s="48">
        <f>IF(t&lt;Tnet,'2020'!Resal+('2020'!Salim-'2020'!Resal)*(1-EXP(('2020'!Tnet-t)/('2020'!Tau_j))),Resal+(Salim-Resal)*(1-EXP((Tnet-t)/(Tau_j))))*Salcycl</f>
        <v>8.1902616474304565E-2</v>
      </c>
      <c r="P46" s="169">
        <f>(INDEX(Models!$BJ46:$BT46,,T46)*(1-R46)+INDEX(Models!$BJ46:$BT46,,T46+1)*R46-ERP_i)*Q46*Ramure*Pc/MaxiM</f>
        <v>6.1205307390509731E-4</v>
      </c>
      <c r="Q46" s="305">
        <f t="shared" si="4"/>
        <v>0.7</v>
      </c>
      <c r="R46" s="177">
        <f t="shared" si="5"/>
        <v>0.50182571812836396</v>
      </c>
      <c r="S46" s="919">
        <f t="shared" si="6"/>
        <v>-1</v>
      </c>
      <c r="T46" s="176">
        <f t="shared" si="7"/>
        <v>5</v>
      </c>
      <c r="U46" s="251">
        <f t="shared" si="8"/>
        <v>-0.49817428187163604</v>
      </c>
      <c r="V46" s="383">
        <f t="shared" si="9"/>
        <v>33.244442101557084</v>
      </c>
      <c r="W46" s="402"/>
      <c r="X46" s="157">
        <f t="shared" si="10"/>
        <v>44228</v>
      </c>
      <c r="Y46" s="385">
        <f t="shared" si="11"/>
        <v>7.9879999999999995</v>
      </c>
      <c r="Z46" s="385">
        <f t="shared" si="12"/>
        <v>8.1622076665513958</v>
      </c>
      <c r="AA46" s="386">
        <f t="shared" si="13"/>
        <v>8.8903506458179056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8.1902616474304565E-2</v>
      </c>
      <c r="AD46" s="231">
        <f>(INDEX(Models!$BJ46:$BT46,,AH46)*(1-AF46)+INDEX(Models!$BJ46:$BT46,,AH46+1)*AF46-ERP_i)*AE46*Ramure*Pc/MaxiM</f>
        <v>6.1205307390509731E-4</v>
      </c>
      <c r="AE46" s="305">
        <f t="shared" si="15"/>
        <v>0.7</v>
      </c>
      <c r="AF46" s="177">
        <f t="shared" si="22"/>
        <v>0.50182571812836396</v>
      </c>
      <c r="AG46" s="919">
        <f t="shared" si="23"/>
        <v>-1</v>
      </c>
      <c r="AH46" s="176">
        <f t="shared" si="16"/>
        <v>5</v>
      </c>
      <c r="AI46" s="225">
        <f t="shared" si="17"/>
        <v>-0.49817428187163604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8">
        <v>28.335000000000001</v>
      </c>
      <c r="C47" s="390"/>
      <c r="D47" s="393">
        <f t="shared" si="0"/>
        <v>28.953582859791798</v>
      </c>
      <c r="E47" s="385">
        <f t="shared" si="1"/>
        <v>31.537712371214635</v>
      </c>
      <c r="F47" s="385">
        <f t="shared" si="2"/>
        <v>31.55257955620117</v>
      </c>
      <c r="G47" s="110">
        <f t="shared" si="21"/>
        <v>0.84423832539020105</v>
      </c>
      <c r="H47" s="412" t="b">
        <f>Wh_hp&gt;='2020'!Maxi_hp</f>
        <v>1</v>
      </c>
      <c r="I47" s="380">
        <f>IF(H47,Wh_hp,'2020'!Maxi_hp)</f>
        <v>31.55257955620117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2.1364639491675108E-2</v>
      </c>
      <c r="M47" s="957"/>
      <c r="N47" s="957"/>
      <c r="O47" s="48">
        <f>IF(t&lt;Tnet,'2020'!Resal+('2020'!Salim-'2020'!Resal)*(1-EXP(('2020'!Tnet-t)/('2020'!Tau_j))),Resal+(Salim-Resal)*(1-EXP((Tnet-t)/(Tau_j))))*Salcycl</f>
        <v>8.193776013321262E-2</v>
      </c>
      <c r="P47" s="169">
        <f>(INDEX(Models!$BJ47:$BT47,,T47)*(1-R47)+INDEX(Models!$BJ47:$BT47,,T47+1)*R47-ERP_i)*Q47*Ramure*Pc/MaxiM</f>
        <v>6.0591538903291184E-4</v>
      </c>
      <c r="Q47" s="305">
        <f t="shared" si="4"/>
        <v>0.7</v>
      </c>
      <c r="R47" s="177">
        <f t="shared" si="5"/>
        <v>0.50192940069360881</v>
      </c>
      <c r="S47" s="919">
        <f t="shared" si="6"/>
        <v>-1</v>
      </c>
      <c r="T47" s="176">
        <f t="shared" si="7"/>
        <v>5</v>
      </c>
      <c r="U47" s="251">
        <f t="shared" si="8"/>
        <v>-0.49807059930639114</v>
      </c>
      <c r="V47" s="383">
        <f t="shared" si="9"/>
        <v>33.55827357880996</v>
      </c>
      <c r="W47" s="402"/>
      <c r="X47" s="157">
        <f t="shared" si="10"/>
        <v>44229</v>
      </c>
      <c r="Y47" s="385">
        <f t="shared" si="11"/>
        <v>28.335000000000001</v>
      </c>
      <c r="Z47" s="385">
        <f t="shared" si="12"/>
        <v>28.953582859791798</v>
      </c>
      <c r="AA47" s="386">
        <f t="shared" si="13"/>
        <v>31.537712371214635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8.193776013321262E-2</v>
      </c>
      <c r="AD47" s="231">
        <f>(INDEX(Models!$BJ47:$BT47,,AH47)*(1-AF47)+INDEX(Models!$BJ47:$BT47,,AH47+1)*AF47-ERP_i)*AE47*Ramure*Pc/MaxiM</f>
        <v>6.0591538903291184E-4</v>
      </c>
      <c r="AE47" s="305">
        <f t="shared" si="15"/>
        <v>0.7</v>
      </c>
      <c r="AF47" s="177">
        <f t="shared" si="22"/>
        <v>0.50192940069360881</v>
      </c>
      <c r="AG47" s="919">
        <f t="shared" si="23"/>
        <v>-1</v>
      </c>
      <c r="AH47" s="176">
        <f t="shared" si="16"/>
        <v>5</v>
      </c>
      <c r="AI47" s="225">
        <f t="shared" si="17"/>
        <v>-0.49807059930639114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8">
        <v>23.451000000000001</v>
      </c>
      <c r="C48" s="390"/>
      <c r="D48" s="393">
        <f t="shared" si="0"/>
        <v>23.963484863406517</v>
      </c>
      <c r="E48" s="385">
        <f t="shared" si="1"/>
        <v>26.103245920467096</v>
      </c>
      <c r="F48" s="385">
        <f t="shared" si="2"/>
        <v>26.11203685143251</v>
      </c>
      <c r="G48" s="110">
        <f t="shared" si="21"/>
        <v>0.69218514618737825</v>
      </c>
      <c r="H48" s="412" t="b">
        <f>Wh_hp&gt;='2020'!Maxi_hp</f>
        <v>0</v>
      </c>
      <c r="I48" s="380">
        <f>IF(H48,Wh_hp,'2020'!Maxi_hp)</f>
        <v>28.70079034414249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2.1386074117671683E-2</v>
      </c>
      <c r="M48" s="957"/>
      <c r="N48" s="957"/>
      <c r="O48" s="48">
        <f>IF(t&lt;Tnet,'2020'!Resal+('2020'!Salim-'2020'!Resal)*(1-EXP(('2020'!Tnet-t)/('2020'!Tau_j))),Resal+(Salim-Resal)*(1-EXP((Tnet-t)/(Tau_j))))*Salcycl</f>
        <v>8.1972987711188425E-2</v>
      </c>
      <c r="P48" s="169">
        <f>(INDEX(Models!$BJ48:$BT48,,T48)*(1-R48)+INDEX(Models!$BJ48:$BT48,,T48+1)*R48-ERP_i)*Q48*Ramure*Pc/MaxiM</f>
        <v>6.0061838260659856E-4</v>
      </c>
      <c r="Q48" s="305">
        <f t="shared" si="4"/>
        <v>0.7</v>
      </c>
      <c r="R48" s="177">
        <f t="shared" si="5"/>
        <v>0.50203738706824186</v>
      </c>
      <c r="S48" s="919">
        <f t="shared" si="6"/>
        <v>-1</v>
      </c>
      <c r="T48" s="176">
        <f t="shared" si="7"/>
        <v>5</v>
      </c>
      <c r="U48" s="251">
        <f t="shared" si="8"/>
        <v>-0.49796261293175814</v>
      </c>
      <c r="V48" s="383">
        <f t="shared" si="9"/>
        <v>33.870717977302697</v>
      </c>
      <c r="W48" s="402"/>
      <c r="X48" s="157">
        <f t="shared" si="10"/>
        <v>44230</v>
      </c>
      <c r="Y48" s="385">
        <f t="shared" si="11"/>
        <v>23.451000000000001</v>
      </c>
      <c r="Z48" s="385">
        <f t="shared" si="12"/>
        <v>23.963484863406517</v>
      </c>
      <c r="AA48" s="386">
        <f t="shared" si="13"/>
        <v>26.103245920467096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8.1972987711188425E-2</v>
      </c>
      <c r="AD48" s="231">
        <f>(INDEX(Models!$BJ48:$BT48,,AH48)*(1-AF48)+INDEX(Models!$BJ48:$BT48,,AH48+1)*AF48-ERP_i)*AE48*Ramure*Pc/MaxiM</f>
        <v>6.0061838260659856E-4</v>
      </c>
      <c r="AE48" s="305">
        <f t="shared" si="15"/>
        <v>0.7</v>
      </c>
      <c r="AF48" s="177">
        <f t="shared" si="22"/>
        <v>0.50203738706824186</v>
      </c>
      <c r="AG48" s="919">
        <f t="shared" si="23"/>
        <v>-1</v>
      </c>
      <c r="AH48" s="176">
        <f t="shared" si="16"/>
        <v>5</v>
      </c>
      <c r="AI48" s="225">
        <f t="shared" si="17"/>
        <v>-0.49796261293175814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8">
        <v>14.870000000000001</v>
      </c>
      <c r="C49" s="390"/>
      <c r="D49" s="393">
        <f t="shared" si="0"/>
        <v>15.195293368515312</v>
      </c>
      <c r="E49" s="385">
        <f t="shared" si="1"/>
        <v>16.552756707235048</v>
      </c>
      <c r="F49" s="385">
        <f t="shared" si="2"/>
        <v>16.554660623227985</v>
      </c>
      <c r="G49" s="110">
        <f t="shared" si="21"/>
        <v>0.43483133744248853</v>
      </c>
      <c r="H49" s="412" t="b">
        <f>Wh_hp&gt;='2020'!Maxi_hp</f>
        <v>0</v>
      </c>
      <c r="I49" s="380">
        <f>IF(H49,Wh_hp,'2020'!Maxi_hp)</f>
        <v>29.923583051666235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2.1407508274194909E-2</v>
      </c>
      <c r="M49" s="957"/>
      <c r="N49" s="957"/>
      <c r="O49" s="48">
        <f>IF(t&lt;Tnet,'2020'!Resal+('2020'!Salim-'2020'!Resal)*(1-EXP(('2020'!Tnet-t)/('2020'!Tau_j))),Resal+(Salim-Resal)*(1-EXP((Tnet-t)/(Tau_j))))*Salcycl</f>
        <v>8.2008294009806901E-2</v>
      </c>
      <c r="P49" s="169">
        <f>(INDEX(Models!$BJ49:$BT49,,T49)*(1-R49)+INDEX(Models!$BJ49:$BT49,,T49+1)*R49-ERP_i)*Q49*Ramure*Pc/MaxiM</f>
        <v>5.9615737394749508E-4</v>
      </c>
      <c r="Q49" s="305">
        <f t="shared" si="4"/>
        <v>0.7</v>
      </c>
      <c r="R49" s="177">
        <f t="shared" si="5"/>
        <v>0.5021498539076078</v>
      </c>
      <c r="S49" s="919">
        <f t="shared" si="6"/>
        <v>-1</v>
      </c>
      <c r="T49" s="176">
        <f t="shared" si="7"/>
        <v>5</v>
      </c>
      <c r="U49" s="251">
        <f t="shared" si="8"/>
        <v>-0.4978501460923922</v>
      </c>
      <c r="V49" s="383">
        <f t="shared" si="9"/>
        <v>34.180711471064235</v>
      </c>
      <c r="W49" s="402"/>
      <c r="X49" s="157">
        <f t="shared" si="10"/>
        <v>44231</v>
      </c>
      <c r="Y49" s="385">
        <f t="shared" si="11"/>
        <v>14.870000000000001</v>
      </c>
      <c r="Z49" s="385">
        <f t="shared" si="12"/>
        <v>15.195293368515312</v>
      </c>
      <c r="AA49" s="386">
        <f t="shared" si="13"/>
        <v>16.552756707235048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8.2008294009806901E-2</v>
      </c>
      <c r="AD49" s="231">
        <f>(INDEX(Models!$BJ49:$BT49,,AH49)*(1-AF49)+INDEX(Models!$BJ49:$BT49,,AH49+1)*AF49-ERP_i)*AE49*Ramure*Pc/MaxiM</f>
        <v>5.9615737394749508E-4</v>
      </c>
      <c r="AE49" s="305">
        <f t="shared" si="15"/>
        <v>0.7</v>
      </c>
      <c r="AF49" s="177">
        <f t="shared" si="22"/>
        <v>0.5021498539076078</v>
      </c>
      <c r="AG49" s="919">
        <f t="shared" si="23"/>
        <v>-1</v>
      </c>
      <c r="AH49" s="176">
        <f t="shared" si="16"/>
        <v>5</v>
      </c>
      <c r="AI49" s="225">
        <f t="shared" si="17"/>
        <v>-0.4978501460923922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8">
        <v>12.051</v>
      </c>
      <c r="C50" s="390"/>
      <c r="D50" s="393">
        <f t="shared" si="0"/>
        <v>12.314895173941329</v>
      </c>
      <c r="E50" s="385">
        <f t="shared" si="1"/>
        <v>13.415556723486276</v>
      </c>
      <c r="F50" s="385">
        <f t="shared" si="2"/>
        <v>13.416118112537646</v>
      </c>
      <c r="G50" s="110">
        <f t="shared" si="21"/>
        <v>0.34924165332616519</v>
      </c>
      <c r="H50" s="412" t="b">
        <f>Wh_hp&gt;='2020'!Maxi_hp</f>
        <v>0</v>
      </c>
      <c r="I50" s="380">
        <f>IF(H50,Wh_hp,'2020'!Maxi_hp)</f>
        <v>37.591562892350396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2.142894196125511E-2</v>
      </c>
      <c r="M50" s="957"/>
      <c r="N50" s="957"/>
      <c r="O50" s="48">
        <f>IF(t&lt;Tnet,'2020'!Resal+('2020'!Salim-'2020'!Resal)*(1-EXP(('2020'!Tnet-t)/('2020'!Tau_j))),Resal+(Salim-Resal)*(1-EXP((Tnet-t)/(Tau_j))))*Salcycl</f>
        <v>8.2043673045490956E-2</v>
      </c>
      <c r="P50" s="169">
        <f>(INDEX(Models!$BJ50:$BT50,,T50)*(1-R50)+INDEX(Models!$BJ50:$BT50,,T50+1)*R50-ERP_i)*Q50*Ramure*Pc/MaxiM</f>
        <v>5.9252758203638895E-4</v>
      </c>
      <c r="Q50" s="305">
        <f t="shared" si="4"/>
        <v>0.7</v>
      </c>
      <c r="R50" s="177">
        <f t="shared" si="5"/>
        <v>0.50226698494838873</v>
      </c>
      <c r="S50" s="919">
        <f t="shared" si="6"/>
        <v>-1</v>
      </c>
      <c r="T50" s="176">
        <f t="shared" si="7"/>
        <v>5</v>
      </c>
      <c r="U50" s="251">
        <f t="shared" si="8"/>
        <v>-0.49773301505161133</v>
      </c>
      <c r="V50" s="383">
        <f t="shared" si="9"/>
        <v>34.48719052906732</v>
      </c>
      <c r="W50" s="402"/>
      <c r="X50" s="157">
        <f t="shared" si="10"/>
        <v>44232</v>
      </c>
      <c r="Y50" s="385">
        <f t="shared" si="11"/>
        <v>12.051</v>
      </c>
      <c r="Z50" s="385">
        <f t="shared" si="12"/>
        <v>12.314895173941329</v>
      </c>
      <c r="AA50" s="386">
        <f t="shared" si="13"/>
        <v>13.415556723486276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8.2043673045490956E-2</v>
      </c>
      <c r="AD50" s="231">
        <f>(INDEX(Models!$BJ50:$BT50,,AH50)*(1-AF50)+INDEX(Models!$BJ50:$BT50,,AH50+1)*AF50-ERP_i)*AE50*Ramure*Pc/MaxiM</f>
        <v>5.9252758203638895E-4</v>
      </c>
      <c r="AE50" s="305">
        <f t="shared" si="15"/>
        <v>0.7</v>
      </c>
      <c r="AF50" s="177">
        <f t="shared" si="22"/>
        <v>0.50226698494838873</v>
      </c>
      <c r="AG50" s="919">
        <f t="shared" si="23"/>
        <v>-1</v>
      </c>
      <c r="AH50" s="176">
        <f t="shared" si="16"/>
        <v>5</v>
      </c>
      <c r="AI50" s="225">
        <f t="shared" si="17"/>
        <v>-0.49773301505161133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8">
        <v>8.3740000000000006</v>
      </c>
      <c r="C51" s="390"/>
      <c r="D51" s="393">
        <f t="shared" si="0"/>
        <v>8.5575629355850289</v>
      </c>
      <c r="E51" s="385">
        <f t="shared" si="1"/>
        <v>9.3227674676855266</v>
      </c>
      <c r="F51" s="385">
        <f t="shared" si="2"/>
        <v>9.3227674676855266</v>
      </c>
      <c r="G51" s="110">
        <f t="shared" si="21"/>
        <v>0.24054005994952565</v>
      </c>
      <c r="H51" s="412" t="b">
        <f>Wh_hp&gt;='2020'!Maxi_hp</f>
        <v>0</v>
      </c>
      <c r="I51" s="380">
        <f>IF(H51,Wh_hp,'2020'!Maxi_hp)</f>
        <v>39.747861870771352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2.1450375178862613E-2</v>
      </c>
      <c r="M51" s="957"/>
      <c r="N51" s="957"/>
      <c r="O51" s="48">
        <f>IF(t&lt;Tnet,'2020'!Resal+('2020'!Salim-'2020'!Resal)*(1-EXP(('2020'!Tnet-t)/('2020'!Tau_j))),Resal+(Salim-Resal)*(1-EXP((Tnet-t)/(Tau_j))))*Salcycl</f>
        <v>8.2079118110887209E-2</v>
      </c>
      <c r="P51" s="169">
        <f>(INDEX(Models!$BJ51:$BT51,,T51)*(1-R51)+INDEX(Models!$BJ51:$BT51,,T51+1)*R51-ERP_i)*Q51*Ramure*Pc/MaxiM</f>
        <v>5.8966157747967953E-4</v>
      </c>
      <c r="Q51" s="305">
        <f t="shared" si="4"/>
        <v>0.7</v>
      </c>
      <c r="R51" s="177">
        <f t="shared" si="5"/>
        <v>0.50238897127798277</v>
      </c>
      <c r="S51" s="919">
        <f t="shared" si="6"/>
        <v>-1</v>
      </c>
      <c r="T51" s="176">
        <f t="shared" si="7"/>
        <v>5</v>
      </c>
      <c r="U51" s="251">
        <f t="shared" si="8"/>
        <v>-0.49761102872201718</v>
      </c>
      <c r="V51" s="383">
        <f t="shared" si="9"/>
        <v>34.792799900799608</v>
      </c>
      <c r="W51" s="402"/>
      <c r="X51" s="157">
        <f t="shared" si="10"/>
        <v>44233</v>
      </c>
      <c r="Y51" s="385">
        <f t="shared" si="11"/>
        <v>8.3740000000000006</v>
      </c>
      <c r="Z51" s="385">
        <f t="shared" si="12"/>
        <v>8.5575629355850289</v>
      </c>
      <c r="AA51" s="386">
        <f t="shared" si="13"/>
        <v>9.3227674676855266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8.2079118110887209E-2</v>
      </c>
      <c r="AD51" s="231">
        <f>(INDEX(Models!$BJ51:$BT51,,AH51)*(1-AF51)+INDEX(Models!$BJ51:$BT51,,AH51+1)*AF51-ERP_i)*AE51*Ramure*Pc/MaxiM</f>
        <v>5.8966157747967953E-4</v>
      </c>
      <c r="AE51" s="305">
        <f t="shared" si="15"/>
        <v>0.7</v>
      </c>
      <c r="AF51" s="177">
        <f t="shared" si="22"/>
        <v>0.50238897127798277</v>
      </c>
      <c r="AG51" s="919">
        <f t="shared" si="23"/>
        <v>-1</v>
      </c>
      <c r="AH51" s="176">
        <f t="shared" si="16"/>
        <v>5</v>
      </c>
      <c r="AI51" s="225">
        <f t="shared" si="17"/>
        <v>-0.49761102872201718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8">
        <v>20.907</v>
      </c>
      <c r="C52" s="390"/>
      <c r="D52" s="393">
        <f t="shared" si="0"/>
        <v>21.365761527738272</v>
      </c>
      <c r="E52" s="385">
        <f t="shared" si="1"/>
        <v>23.277156425311414</v>
      </c>
      <c r="F52" s="385">
        <f t="shared" si="2"/>
        <v>23.282934063203243</v>
      </c>
      <c r="G52" s="110">
        <f t="shared" si="21"/>
        <v>0.59542917072639956</v>
      </c>
      <c r="H52" s="412" t="b">
        <f>Wh_hp&gt;='2020'!Maxi_hp</f>
        <v>0</v>
      </c>
      <c r="I52" s="380">
        <f>IF(H52,Wh_hp,'2020'!Maxi_hp)</f>
        <v>25.290736794333089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2.1471807927027631E-2</v>
      </c>
      <c r="M52" s="957"/>
      <c r="N52" s="957"/>
      <c r="O52" s="48">
        <f>IF(t&lt;Tnet,'2020'!Resal+('2020'!Salim-'2020'!Resal)*(1-EXP(('2020'!Tnet-t)/('2020'!Tau_j))),Resal+(Salim-Resal)*(1-EXP((Tnet-t)/(Tau_j))))*Salcycl</f>
        <v>8.2114621848513508E-2</v>
      </c>
      <c r="P52" s="169">
        <f>(INDEX(Models!$BJ52:$BT52,,T52)*(1-R52)+INDEX(Models!$BJ52:$BT52,,T52+1)*R52-ERP_i)*Q52*Ramure*Pc/MaxiM</f>
        <v>5.8757066374811196E-4</v>
      </c>
      <c r="Q52" s="305">
        <f t="shared" si="4"/>
        <v>0.7</v>
      </c>
      <c r="R52" s="177">
        <f t="shared" si="5"/>
        <v>0.50251601161288428</v>
      </c>
      <c r="S52" s="919">
        <f t="shared" si="6"/>
        <v>-1</v>
      </c>
      <c r="T52" s="176">
        <f t="shared" si="7"/>
        <v>5</v>
      </c>
      <c r="U52" s="251">
        <f t="shared" si="8"/>
        <v>-0.49748398838711572</v>
      </c>
      <c r="V52" s="383">
        <f t="shared" si="9"/>
        <v>35.100567755827143</v>
      </c>
      <c r="W52" s="402"/>
      <c r="X52" s="157">
        <f t="shared" si="10"/>
        <v>44234</v>
      </c>
      <c r="Y52" s="385">
        <f t="shared" si="11"/>
        <v>20.907</v>
      </c>
      <c r="Z52" s="385">
        <f t="shared" si="12"/>
        <v>21.365761527738272</v>
      </c>
      <c r="AA52" s="386">
        <f t="shared" si="13"/>
        <v>23.277156425311414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8.2114621848513508E-2</v>
      </c>
      <c r="AD52" s="231">
        <f>(INDEX(Models!$BJ52:$BT52,,AH52)*(1-AF52)+INDEX(Models!$BJ52:$BT52,,AH52+1)*AF52-ERP_i)*AE52*Ramure*Pc/MaxiM</f>
        <v>5.8757066374811196E-4</v>
      </c>
      <c r="AE52" s="305">
        <f t="shared" si="15"/>
        <v>0.7</v>
      </c>
      <c r="AF52" s="177">
        <f t="shared" si="22"/>
        <v>0.50251601161288428</v>
      </c>
      <c r="AG52" s="919">
        <f t="shared" si="23"/>
        <v>-1</v>
      </c>
      <c r="AH52" s="176">
        <f t="shared" si="16"/>
        <v>5</v>
      </c>
      <c r="AI52" s="225">
        <f t="shared" si="17"/>
        <v>-0.49748398838711572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8">
        <v>4.3159999999999998</v>
      </c>
      <c r="C53" s="390"/>
      <c r="D53" s="393">
        <f t="shared" si="0"/>
        <v>4.410802436262748</v>
      </c>
      <c r="E53" s="385">
        <f t="shared" si="1"/>
        <v>4.8055818310815823</v>
      </c>
      <c r="F53" s="385">
        <f t="shared" si="2"/>
        <v>4.8055818310815823</v>
      </c>
      <c r="G53" s="110">
        <f t="shared" si="21"/>
        <v>0.12181498205882807</v>
      </c>
      <c r="H53" s="412" t="b">
        <f>Wh_hp&gt;='2020'!Maxi_hp</f>
        <v>0</v>
      </c>
      <c r="I53" s="380">
        <f>IF(H53,Wh_hp,'2020'!Maxi_hp)</f>
        <v>31.95917350090901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2.1493240205760378E-2</v>
      </c>
      <c r="M53" s="957"/>
      <c r="N53" s="957"/>
      <c r="O53" s="48">
        <f>IF(t&lt;Tnet,'2020'!Resal+('2020'!Salim-'2020'!Resal)*(1-EXP(('2020'!Tnet-t)/('2020'!Tau_j))),Resal+(Salim-Resal)*(1-EXP((Tnet-t)/(Tau_j))))*Salcycl</f>
        <v>8.2150176335667957E-2</v>
      </c>
      <c r="P53" s="169">
        <f>(INDEX(Models!$BJ53:$BT53,,T53)*(1-R53)+INDEX(Models!$BJ53:$BT53,,T53+1)*R53-ERP_i)*Q53*Ramure*Pc/MaxiM</f>
        <v>5.8575798333721776E-4</v>
      </c>
      <c r="Q53" s="305">
        <f t="shared" si="4"/>
        <v>0.7</v>
      </c>
      <c r="R53" s="177">
        <f t="shared" si="5"/>
        <v>0.50264831258625053</v>
      </c>
      <c r="S53" s="919">
        <f t="shared" si="6"/>
        <v>-1</v>
      </c>
      <c r="T53" s="176">
        <f t="shared" si="7"/>
        <v>5</v>
      </c>
      <c r="U53" s="251">
        <f t="shared" si="8"/>
        <v>-0.49735168741374947</v>
      </c>
      <c r="V53" s="383">
        <f t="shared" si="9"/>
        <v>35.410027532252251</v>
      </c>
      <c r="W53" s="402"/>
      <c r="X53" s="157">
        <f t="shared" si="10"/>
        <v>44235</v>
      </c>
      <c r="Y53" s="385">
        <f t="shared" si="11"/>
        <v>4.3159999999999998</v>
      </c>
      <c r="Z53" s="385">
        <f t="shared" si="12"/>
        <v>4.410802436262748</v>
      </c>
      <c r="AA53" s="386">
        <f t="shared" si="13"/>
        <v>4.8055818310815823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8.2150176335667957E-2</v>
      </c>
      <c r="AD53" s="231">
        <f>(INDEX(Models!$BJ53:$BT53,,AH53)*(1-AF53)+INDEX(Models!$BJ53:$BT53,,AH53+1)*AF53-ERP_i)*AE53*Ramure*Pc/MaxiM</f>
        <v>5.8575798333721776E-4</v>
      </c>
      <c r="AE53" s="305">
        <f t="shared" si="15"/>
        <v>0.7</v>
      </c>
      <c r="AF53" s="177">
        <f t="shared" si="22"/>
        <v>0.50264831258625053</v>
      </c>
      <c r="AG53" s="919">
        <f t="shared" si="23"/>
        <v>-1</v>
      </c>
      <c r="AH53" s="176">
        <f t="shared" si="16"/>
        <v>5</v>
      </c>
      <c r="AI53" s="225">
        <f t="shared" si="17"/>
        <v>-0.49735168741374947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8">
        <v>11.96</v>
      </c>
      <c r="C54" s="390"/>
      <c r="D54" s="393">
        <f t="shared" si="0"/>
        <v>12.222973260754111</v>
      </c>
      <c r="E54" s="385">
        <f t="shared" si="1"/>
        <v>13.317480709682334</v>
      </c>
      <c r="F54" s="385">
        <f t="shared" si="2"/>
        <v>13.317867739317341</v>
      </c>
      <c r="G54" s="110">
        <f t="shared" si="21"/>
        <v>0.33463402212427279</v>
      </c>
      <c r="H54" s="412" t="b">
        <f>Wh_hp&gt;='2020'!Maxi_hp</f>
        <v>0</v>
      </c>
      <c r="I54" s="380">
        <f>IF(H54,Wh_hp,'2020'!Maxi_hp)</f>
        <v>31.847007727333747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2.151467201507129E-2</v>
      </c>
      <c r="M54" s="957"/>
      <c r="N54" s="957"/>
      <c r="O54" s="48">
        <f>IF(t&lt;Tnet,'2020'!Resal+('2020'!Salim-'2020'!Resal)*(1-EXP(('2020'!Tnet-t)/('2020'!Tau_j))),Resal+(Salim-Resal)*(1-EXP((Tnet-t)/(Tau_j))))*Salcycl</f>
        <v>8.2185773179492702E-2</v>
      </c>
      <c r="P54" s="169">
        <f>(INDEX(Models!$BJ54:$BT54,,T54)*(1-R54)+INDEX(Models!$BJ54:$BT54,,T54+1)*R54-ERP_i)*Q54*Ramure*Pc/MaxiM</f>
        <v>5.8422474905733151E-4</v>
      </c>
      <c r="Q54" s="305">
        <f t="shared" si="4"/>
        <v>0.7</v>
      </c>
      <c r="R54" s="177">
        <f t="shared" si="5"/>
        <v>0.50278608904484168</v>
      </c>
      <c r="S54" s="919">
        <f t="shared" si="6"/>
        <v>-1</v>
      </c>
      <c r="T54" s="176">
        <f t="shared" si="7"/>
        <v>5</v>
      </c>
      <c r="U54" s="251">
        <f t="shared" si="8"/>
        <v>-0.49721391095515832</v>
      </c>
      <c r="V54" s="383">
        <f t="shared" si="9"/>
        <v>35.720695618132169</v>
      </c>
      <c r="W54" s="402"/>
      <c r="X54" s="157">
        <f t="shared" si="10"/>
        <v>44236</v>
      </c>
      <c r="Y54" s="385">
        <f t="shared" si="11"/>
        <v>11.96</v>
      </c>
      <c r="Z54" s="385">
        <f t="shared" si="12"/>
        <v>12.222973260754111</v>
      </c>
      <c r="AA54" s="386">
        <f t="shared" si="13"/>
        <v>13.317480709682334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8.2185773179492702E-2</v>
      </c>
      <c r="AD54" s="231">
        <f>(INDEX(Models!$BJ54:$BT54,,AH54)*(1-AF54)+INDEX(Models!$BJ54:$BT54,,AH54+1)*AF54-ERP_i)*AE54*Ramure*Pc/MaxiM</f>
        <v>5.8422474905733151E-4</v>
      </c>
      <c r="AE54" s="305">
        <f t="shared" si="15"/>
        <v>0.7</v>
      </c>
      <c r="AF54" s="177">
        <f t="shared" si="22"/>
        <v>0.50278608904484168</v>
      </c>
      <c r="AG54" s="919">
        <f t="shared" si="23"/>
        <v>-1</v>
      </c>
      <c r="AH54" s="176">
        <f t="shared" si="16"/>
        <v>5</v>
      </c>
      <c r="AI54" s="225">
        <f t="shared" si="17"/>
        <v>-0.49721391095515832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8">
        <v>11.246</v>
      </c>
      <c r="C55" s="390"/>
      <c r="D55" s="393">
        <f t="shared" si="0"/>
        <v>11.493525758651332</v>
      </c>
      <c r="E55" s="385">
        <f t="shared" si="1"/>
        <v>12.523200915774108</v>
      </c>
      <c r="F55" s="385">
        <f t="shared" si="2"/>
        <v>12.523327225920431</v>
      </c>
      <c r="G55" s="110">
        <f t="shared" si="21"/>
        <v>0.31193188385715914</v>
      </c>
      <c r="H55" s="412" t="b">
        <f>Wh_hp&gt;='2020'!Maxi_hp</f>
        <v>1</v>
      </c>
      <c r="I55" s="380">
        <f>IF(H55,Wh_hp,'2020'!Maxi_hp)</f>
        <v>12.523327225920431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2.1536103354970582E-2</v>
      </c>
      <c r="M55" s="957"/>
      <c r="N55" s="957"/>
      <c r="O55" s="48">
        <f>IF(t&lt;Tnet,'2020'!Resal+('2020'!Salim-'2020'!Resal)*(1-EXP(('2020'!Tnet-t)/('2020'!Tau_j))),Resal+(Salim-Resal)*(1-EXP((Tnet-t)/(Tau_j))))*Salcycl</f>
        <v>8.2221403621002942E-2</v>
      </c>
      <c r="P55" s="169">
        <f>(INDEX(Models!$BJ55:$BT55,,T55)*(1-R55)+INDEX(Models!$BJ55:$BT55,,T55+1)*R55-ERP_i)*Q55*Ramure*Pc/MaxiM</f>
        <v>5.8297197831290936E-4</v>
      </c>
      <c r="Q55" s="305">
        <f t="shared" si="4"/>
        <v>0.7</v>
      </c>
      <c r="R55" s="177">
        <f t="shared" si="5"/>
        <v>0.50292956435550418</v>
      </c>
      <c r="S55" s="919">
        <f t="shared" si="6"/>
        <v>-1</v>
      </c>
      <c r="T55" s="176">
        <f t="shared" si="7"/>
        <v>5</v>
      </c>
      <c r="U55" s="251">
        <f t="shared" si="8"/>
        <v>-0.49707043564449582</v>
      </c>
      <c r="V55" s="383">
        <f t="shared" si="9"/>
        <v>36.032088545122001</v>
      </c>
      <c r="W55" s="402"/>
      <c r="X55" s="157">
        <f t="shared" si="10"/>
        <v>44237</v>
      </c>
      <c r="Y55" s="385">
        <f t="shared" si="11"/>
        <v>11.246</v>
      </c>
      <c r="Z55" s="385">
        <f t="shared" si="12"/>
        <v>11.493525758651332</v>
      </c>
      <c r="AA55" s="386">
        <f t="shared" si="13"/>
        <v>12.523200915774108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8.2221403621002942E-2</v>
      </c>
      <c r="AD55" s="231">
        <f>(INDEX(Models!$BJ55:$BT55,,AH55)*(1-AF55)+INDEX(Models!$BJ55:$BT55,,AH55+1)*AF55-ERP_i)*AE55*Ramure*Pc/MaxiM</f>
        <v>5.8297197831290936E-4</v>
      </c>
      <c r="AE55" s="305">
        <f t="shared" si="15"/>
        <v>0.7</v>
      </c>
      <c r="AF55" s="177">
        <f t="shared" si="22"/>
        <v>0.50292956435550418</v>
      </c>
      <c r="AG55" s="919">
        <f t="shared" si="23"/>
        <v>-1</v>
      </c>
      <c r="AH55" s="176">
        <f t="shared" si="16"/>
        <v>5</v>
      </c>
      <c r="AI55" s="225">
        <f t="shared" si="17"/>
        <v>-0.49707043564449582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8">
        <v>28.785</v>
      </c>
      <c r="C56" s="390"/>
      <c r="D56" s="393">
        <f t="shared" si="0"/>
        <v>29.419205530101248</v>
      </c>
      <c r="E56" s="385">
        <f t="shared" si="1"/>
        <v>32.056041190274598</v>
      </c>
      <c r="F56" s="385">
        <f t="shared" si="2"/>
        <v>32.069160070810902</v>
      </c>
      <c r="G56" s="110">
        <f t="shared" si="21"/>
        <v>0.79188421296188671</v>
      </c>
      <c r="H56" s="412" t="b">
        <f>Wh_hp&gt;='2020'!Maxi_hp</f>
        <v>1</v>
      </c>
      <c r="I56" s="380">
        <f>IF(H56,Wh_hp,'2020'!Maxi_hp)</f>
        <v>32.069160070810902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2.1557534225468467E-2</v>
      </c>
      <c r="M56" s="957"/>
      <c r="N56" s="957"/>
      <c r="O56" s="48">
        <f>IF(t&lt;Tnet,'2020'!Resal+('2020'!Salim-'2020'!Resal)*(1-EXP(('2020'!Tnet-t)/('2020'!Tau_j))),Resal+(Salim-Resal)*(1-EXP((Tnet-t)/(Tau_j))))*Salcycl</f>
        <v>8.2257058646821771E-2</v>
      </c>
      <c r="P56" s="169">
        <f>(INDEX(Models!$BJ56:$BT56,,T56)*(1-R56)+INDEX(Models!$BJ56:$BT56,,T56+1)*R56-ERP_i)*Q56*Ramure*Pc/MaxiM</f>
        <v>5.8200054848722162E-4</v>
      </c>
      <c r="Q56" s="305">
        <f t="shared" si="4"/>
        <v>0.7</v>
      </c>
      <c r="R56" s="177">
        <f t="shared" si="5"/>
        <v>0.50307897072136543</v>
      </c>
      <c r="S56" s="919">
        <f t="shared" si="6"/>
        <v>-1</v>
      </c>
      <c r="T56" s="176">
        <f t="shared" si="7"/>
        <v>5</v>
      </c>
      <c r="U56" s="251">
        <f t="shared" si="8"/>
        <v>-0.49692102927863463</v>
      </c>
      <c r="V56" s="383">
        <f t="shared" si="9"/>
        <v>36.343722983121275</v>
      </c>
      <c r="W56" s="402"/>
      <c r="X56" s="157">
        <f t="shared" si="10"/>
        <v>44238</v>
      </c>
      <c r="Y56" s="385">
        <f t="shared" si="11"/>
        <v>28.785</v>
      </c>
      <c r="Z56" s="385">
        <f t="shared" si="12"/>
        <v>29.419205530101248</v>
      </c>
      <c r="AA56" s="386">
        <f t="shared" si="13"/>
        <v>32.056041190274598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8.2257058646821771E-2</v>
      </c>
      <c r="AD56" s="231">
        <f>(INDEX(Models!$BJ56:$BT56,,AH56)*(1-AF56)+INDEX(Models!$BJ56:$BT56,,AH56+1)*AF56-ERP_i)*AE56*Ramure*Pc/MaxiM</f>
        <v>5.8200054848722162E-4</v>
      </c>
      <c r="AE56" s="305">
        <f t="shared" si="15"/>
        <v>0.7</v>
      </c>
      <c r="AF56" s="177">
        <f t="shared" si="22"/>
        <v>0.50307897072136543</v>
      </c>
      <c r="AG56" s="919">
        <f t="shared" si="23"/>
        <v>-1</v>
      </c>
      <c r="AH56" s="176">
        <f t="shared" si="16"/>
        <v>5</v>
      </c>
      <c r="AI56" s="225">
        <f t="shared" si="17"/>
        <v>-0.49692102927863463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8">
        <v>4.0999999999999996</v>
      </c>
      <c r="C57" s="390"/>
      <c r="D57" s="393">
        <f t="shared" si="0"/>
        <v>4.1904250335697162</v>
      </c>
      <c r="E57" s="385">
        <f t="shared" si="1"/>
        <v>4.5661892048577934</v>
      </c>
      <c r="F57" s="385">
        <f t="shared" si="2"/>
        <v>4.5661892048577934</v>
      </c>
      <c r="G57" s="110">
        <f t="shared" si="21"/>
        <v>0.11178839683031176</v>
      </c>
      <c r="H57" s="412" t="b">
        <f>Wh_hp&gt;='2020'!Maxi_hp</f>
        <v>0</v>
      </c>
      <c r="I57" s="380">
        <f>IF(H57,Wh_hp,'2020'!Maxi_hp)</f>
        <v>40.986650074876621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2.1578964626575381E-2</v>
      </c>
      <c r="M57" s="957"/>
      <c r="N57" s="957"/>
      <c r="O57" s="48">
        <f>IF(t&lt;Tnet,'2020'!Resal+('2020'!Salim-'2020'!Resal)*(1-EXP(('2020'!Tnet-t)/('2020'!Tau_j))),Resal+(Salim-Resal)*(1-EXP((Tnet-t)/(Tau_j))))*Salcycl</f>
        <v>8.229272910730806E-2</v>
      </c>
      <c r="P57" s="169">
        <f>(INDEX(Models!$BJ57:$BT57,,T57)*(1-R57)+INDEX(Models!$BJ57:$BT57,,T57+1)*R57-ERP_i)*Q57*Ramure*Pc/MaxiM</f>
        <v>5.8131125058076538E-4</v>
      </c>
      <c r="Q57" s="305">
        <f t="shared" si="4"/>
        <v>0.7</v>
      </c>
      <c r="R57" s="177">
        <f t="shared" si="5"/>
        <v>0.50323454950788826</v>
      </c>
      <c r="S57" s="919">
        <f t="shared" si="6"/>
        <v>-1</v>
      </c>
      <c r="T57" s="176">
        <f t="shared" si="7"/>
        <v>5</v>
      </c>
      <c r="U57" s="251">
        <f t="shared" si="8"/>
        <v>-0.49676545049211179</v>
      </c>
      <c r="V57" s="383">
        <f t="shared" si="9"/>
        <v>36.6551157370345</v>
      </c>
      <c r="W57" s="402"/>
      <c r="X57" s="157">
        <f t="shared" si="10"/>
        <v>44239</v>
      </c>
      <c r="Y57" s="385">
        <f t="shared" si="11"/>
        <v>4.0999999999999996</v>
      </c>
      <c r="Z57" s="385">
        <f t="shared" si="12"/>
        <v>4.1904250335697162</v>
      </c>
      <c r="AA57" s="386">
        <f t="shared" si="13"/>
        <v>4.5661892048577934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8.229272910730806E-2</v>
      </c>
      <c r="AD57" s="231">
        <f>(INDEX(Models!$BJ57:$BT57,,AH57)*(1-AF57)+INDEX(Models!$BJ57:$BT57,,AH57+1)*AF57-ERP_i)*AE57*Ramure*Pc/MaxiM</f>
        <v>5.8131125058076538E-4</v>
      </c>
      <c r="AE57" s="305">
        <f t="shared" si="15"/>
        <v>0.7</v>
      </c>
      <c r="AF57" s="177">
        <f t="shared" si="22"/>
        <v>0.50323454950788826</v>
      </c>
      <c r="AG57" s="919">
        <f t="shared" si="23"/>
        <v>-1</v>
      </c>
      <c r="AH57" s="176">
        <f t="shared" si="16"/>
        <v>5</v>
      </c>
      <c r="AI57" s="225">
        <f t="shared" si="17"/>
        <v>-0.49676545049211179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8">
        <v>6.6560000000000006</v>
      </c>
      <c r="C58" s="390"/>
      <c r="D58" s="393">
        <f t="shared" si="0"/>
        <v>6.8029463247740667</v>
      </c>
      <c r="E58" s="385">
        <f t="shared" si="1"/>
        <v>7.4132689385456834</v>
      </c>
      <c r="F58" s="385">
        <f t="shared" si="2"/>
        <v>7.4132689385456834</v>
      </c>
      <c r="G58" s="110">
        <f t="shared" si="21"/>
        <v>0.17995380657606147</v>
      </c>
      <c r="H58" s="412" t="b">
        <f>Wh_hp&gt;='2020'!Maxi_hp</f>
        <v>0</v>
      </c>
      <c r="I58" s="380">
        <f>IF(H58,Wh_hp,'2020'!Maxi_hp)</f>
        <v>42.930559585857665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2.1600394558301428E-2</v>
      </c>
      <c r="M58" s="957"/>
      <c r="N58" s="957"/>
      <c r="O58" s="48">
        <f>IF(t&lt;Tnet,'2020'!Resal+('2020'!Salim-'2020'!Resal)*(1-EXP(('2020'!Tnet-t)/('2020'!Tau_j))),Resal+(Salim-Resal)*(1-EXP((Tnet-t)/(Tau_j))))*Salcycl</f>
        <v>8.2328405839724964E-2</v>
      </c>
      <c r="P58" s="169">
        <f>(INDEX(Models!$BJ58:$BT58,,T58)*(1-R58)+INDEX(Models!$BJ58:$BT58,,T58+1)*R58-ERP_i)*Q58*Ramure*Pc/MaxiM</f>
        <v>5.8091737251683435E-4</v>
      </c>
      <c r="Q58" s="305">
        <f t="shared" si="4"/>
        <v>0.7</v>
      </c>
      <c r="R58" s="177">
        <f t="shared" si="5"/>
        <v>0.50339655157892738</v>
      </c>
      <c r="S58" s="919">
        <f t="shared" si="6"/>
        <v>-1</v>
      </c>
      <c r="T58" s="176">
        <f t="shared" si="7"/>
        <v>5</v>
      </c>
      <c r="U58" s="251">
        <f t="shared" si="8"/>
        <v>-0.49660344842107262</v>
      </c>
      <c r="V58" s="383">
        <f t="shared" si="9"/>
        <v>36.965783278148415</v>
      </c>
      <c r="W58" s="402"/>
      <c r="X58" s="157">
        <f t="shared" si="10"/>
        <v>44240</v>
      </c>
      <c r="Y58" s="385">
        <f t="shared" si="11"/>
        <v>6.6560000000000006</v>
      </c>
      <c r="Z58" s="385">
        <f t="shared" si="12"/>
        <v>6.8029463247740667</v>
      </c>
      <c r="AA58" s="386">
        <f t="shared" si="13"/>
        <v>7.4132689385456834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8.2328405839724964E-2</v>
      </c>
      <c r="AD58" s="231">
        <f>(INDEX(Models!$BJ58:$BT58,,AH58)*(1-AF58)+INDEX(Models!$BJ58:$BT58,,AH58+1)*AF58-ERP_i)*AE58*Ramure*Pc/MaxiM</f>
        <v>5.8091737251683435E-4</v>
      </c>
      <c r="AE58" s="305">
        <f t="shared" si="15"/>
        <v>0.7</v>
      </c>
      <c r="AF58" s="177">
        <f t="shared" si="22"/>
        <v>0.50339655157892738</v>
      </c>
      <c r="AG58" s="919">
        <f t="shared" si="23"/>
        <v>-1</v>
      </c>
      <c r="AH58" s="176">
        <f t="shared" si="16"/>
        <v>5</v>
      </c>
      <c r="AI58" s="225">
        <f t="shared" si="17"/>
        <v>-0.49660344842107262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8">
        <v>31.73</v>
      </c>
      <c r="C59" s="390"/>
      <c r="D59" s="393">
        <f t="shared" si="0"/>
        <v>32.431222178723182</v>
      </c>
      <c r="E59" s="385">
        <f t="shared" si="1"/>
        <v>35.342145468194573</v>
      </c>
      <c r="F59" s="385">
        <f t="shared" si="2"/>
        <v>35.358312997457084</v>
      </c>
      <c r="G59" s="110">
        <f t="shared" si="21"/>
        <v>0.85113000021245155</v>
      </c>
      <c r="H59" s="412" t="b">
        <f>Wh_hp&gt;='2020'!Maxi_hp</f>
        <v>0</v>
      </c>
      <c r="I59" s="380">
        <f>IF(H59,Wh_hp,'2020'!Maxi_hp)</f>
        <v>42.898613753230741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2.1621824020657043E-2</v>
      </c>
      <c r="M59" s="957"/>
      <c r="N59" s="957"/>
      <c r="O59" s="48">
        <f>IF(t&lt;Tnet,'2020'!Resal+('2020'!Salim-'2020'!Resal)*(1-EXP(('2020'!Tnet-t)/('2020'!Tau_j))),Resal+(Salim-Resal)*(1-EXP((Tnet-t)/(Tau_j))))*Salcycl</f>
        <v>8.2364079795071252E-2</v>
      </c>
      <c r="P59" s="169">
        <f>(INDEX(Models!$BJ59:$BT59,,T59)*(1-R59)+INDEX(Models!$BJ59:$BT59,,T59+1)*R59-ERP_i)*Q59*Ramure*Pc/MaxiM</f>
        <v>5.8064849326138076E-4</v>
      </c>
      <c r="Q59" s="305">
        <f t="shared" si="4"/>
        <v>0.7</v>
      </c>
      <c r="R59" s="177">
        <f t="shared" si="5"/>
        <v>0.50356523764290917</v>
      </c>
      <c r="S59" s="919">
        <f t="shared" si="6"/>
        <v>-1</v>
      </c>
      <c r="T59" s="176">
        <f t="shared" si="7"/>
        <v>5</v>
      </c>
      <c r="U59" s="251">
        <f t="shared" si="8"/>
        <v>-0.49643476235709089</v>
      </c>
      <c r="V59" s="383">
        <f t="shared" si="9"/>
        <v>37.275249037697861</v>
      </c>
      <c r="W59" s="402"/>
      <c r="X59" s="157">
        <f t="shared" si="10"/>
        <v>44241</v>
      </c>
      <c r="Y59" s="385">
        <f t="shared" si="11"/>
        <v>31.73</v>
      </c>
      <c r="Z59" s="385">
        <f t="shared" si="12"/>
        <v>32.431222178723182</v>
      </c>
      <c r="AA59" s="386">
        <f t="shared" si="13"/>
        <v>35.342145468194573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8.2364079795071252E-2</v>
      </c>
      <c r="AD59" s="231">
        <f>(INDEX(Models!$BJ59:$BT59,,AH59)*(1-AF59)+INDEX(Models!$BJ59:$BT59,,AH59+1)*AF59-ERP_i)*AE59*Ramure*Pc/MaxiM</f>
        <v>5.8064849326138076E-4</v>
      </c>
      <c r="AE59" s="305">
        <f t="shared" si="15"/>
        <v>0.7</v>
      </c>
      <c r="AF59" s="177">
        <f t="shared" si="22"/>
        <v>0.50356523764290917</v>
      </c>
      <c r="AG59" s="919">
        <f t="shared" si="23"/>
        <v>-1</v>
      </c>
      <c r="AH59" s="176">
        <f t="shared" si="16"/>
        <v>5</v>
      </c>
      <c r="AI59" s="225">
        <f t="shared" si="17"/>
        <v>-0.49643476235709089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8">
        <v>33.707000000000001</v>
      </c>
      <c r="C60" s="390"/>
      <c r="D60" s="393">
        <f t="shared" si="0"/>
        <v>34.452667806327668</v>
      </c>
      <c r="E60" s="385">
        <f t="shared" si="1"/>
        <v>37.546488802976192</v>
      </c>
      <c r="F60" s="385">
        <f t="shared" si="2"/>
        <v>37.565082824643149</v>
      </c>
      <c r="G60" s="110">
        <f t="shared" si="21"/>
        <v>0.89679079928291883</v>
      </c>
      <c r="H60" s="412" t="b">
        <f>Wh_hp&gt;='2020'!Maxi_hp</f>
        <v>0</v>
      </c>
      <c r="I60" s="380">
        <f>IF(H60,Wh_hp,'2020'!Maxi_hp)</f>
        <v>43.307632323541206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2.164325301365233E-2</v>
      </c>
      <c r="M60" s="957"/>
      <c r="N60" s="957"/>
      <c r="O60" s="48">
        <f>IF(t&lt;Tnet,'2020'!Resal+('2020'!Salim-'2020'!Resal)*(1-EXP(('2020'!Tnet-t)/('2020'!Tau_j))),Resal+(Salim-Resal)*(1-EXP((Tnet-t)/(Tau_j))))*Salcycl</f>
        <v>8.2399742167189954E-2</v>
      </c>
      <c r="P60" s="169">
        <f>(INDEX(Models!$BJ60:$BT60,,T60)*(1-R60)+INDEX(Models!$BJ60:$BT60,,T60+1)*R60-ERP_i)*Q60*Ramure*Pc/MaxiM</f>
        <v>5.8050913467064377E-4</v>
      </c>
      <c r="Q60" s="305">
        <f t="shared" si="4"/>
        <v>0.7</v>
      </c>
      <c r="R60" s="177">
        <f t="shared" si="5"/>
        <v>0.50374087860923955</v>
      </c>
      <c r="S60" s="919">
        <f t="shared" si="6"/>
        <v>-1</v>
      </c>
      <c r="T60" s="176">
        <f t="shared" si="7"/>
        <v>5</v>
      </c>
      <c r="U60" s="251">
        <f t="shared" si="8"/>
        <v>-0.49625912139076045</v>
      </c>
      <c r="V60" s="383">
        <f t="shared" si="9"/>
        <v>37.583030200408359</v>
      </c>
      <c r="W60" s="402"/>
      <c r="X60" s="157">
        <f t="shared" si="10"/>
        <v>44242</v>
      </c>
      <c r="Y60" s="385">
        <f t="shared" si="11"/>
        <v>33.707000000000001</v>
      </c>
      <c r="Z60" s="385">
        <f t="shared" si="12"/>
        <v>34.452667806327668</v>
      </c>
      <c r="AA60" s="386">
        <f t="shared" si="13"/>
        <v>37.546488802976192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8.2399742167189954E-2</v>
      </c>
      <c r="AD60" s="231">
        <f>(INDEX(Models!$BJ60:$BT60,,AH60)*(1-AF60)+INDEX(Models!$BJ60:$BT60,,AH60+1)*AF60-ERP_i)*AE60*Ramure*Pc/MaxiM</f>
        <v>5.8050913467064377E-4</v>
      </c>
      <c r="AE60" s="305">
        <f t="shared" si="15"/>
        <v>0.7</v>
      </c>
      <c r="AF60" s="177">
        <f t="shared" si="22"/>
        <v>0.50374087860923955</v>
      </c>
      <c r="AG60" s="919">
        <f t="shared" si="23"/>
        <v>-1</v>
      </c>
      <c r="AH60" s="176">
        <f t="shared" si="16"/>
        <v>5</v>
      </c>
      <c r="AI60" s="225">
        <f t="shared" si="17"/>
        <v>-0.49625912139076045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8">
        <v>31.077999999999999</v>
      </c>
      <c r="C61" s="390"/>
      <c r="D61" s="393">
        <f t="shared" si="0"/>
        <v>31.766204708661764</v>
      </c>
      <c r="E61" s="385">
        <f t="shared" si="1"/>
        <v>34.620128297057384</v>
      </c>
      <c r="F61" s="385">
        <f t="shared" si="2"/>
        <v>34.635071084529386</v>
      </c>
      <c r="G61" s="110">
        <f t="shared" si="21"/>
        <v>0.82012344372690815</v>
      </c>
      <c r="H61" s="412" t="b">
        <f>Wh_hp&gt;='2020'!Maxi_hp</f>
        <v>0</v>
      </c>
      <c r="I61" s="380">
        <f>IF(H61,Wh_hp,'2020'!Maxi_hp)</f>
        <v>43.625435149292962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2.1664681537297725E-2</v>
      </c>
      <c r="M61" s="957"/>
      <c r="N61" s="957"/>
      <c r="O61" s="48">
        <f>IF(t&lt;Tnet,'2020'!Resal+('2020'!Salim-'2020'!Resal)*(1-EXP(('2020'!Tnet-t)/('2020'!Tau_j))),Resal+(Salim-Resal)*(1-EXP((Tnet-t)/(Tau_j))))*Salcycl</f>
        <v>8.2435384522771896E-2</v>
      </c>
      <c r="P61" s="169">
        <f>(INDEX(Models!$BJ61:$BT61,,T61)*(1-R61)+INDEX(Models!$BJ61:$BT61,,T61+1)*R61-ERP_i)*Q61*Ramure*Pc/MaxiM</f>
        <v>5.8050373598216877E-4</v>
      </c>
      <c r="Q61" s="305">
        <f t="shared" si="4"/>
        <v>0.7</v>
      </c>
      <c r="R61" s="177">
        <f t="shared" si="5"/>
        <v>0.50392375595502759</v>
      </c>
      <c r="S61" s="919">
        <f t="shared" si="6"/>
        <v>-1</v>
      </c>
      <c r="T61" s="176">
        <f t="shared" si="7"/>
        <v>5</v>
      </c>
      <c r="U61" s="251">
        <f t="shared" si="8"/>
        <v>-0.49607624404497236</v>
      </c>
      <c r="V61" s="383">
        <f t="shared" si="9"/>
        <v>37.888644063174262</v>
      </c>
      <c r="W61" s="402"/>
      <c r="X61" s="157">
        <f t="shared" si="10"/>
        <v>44243</v>
      </c>
      <c r="Y61" s="385">
        <f t="shared" si="11"/>
        <v>31.077999999999999</v>
      </c>
      <c r="Z61" s="385">
        <f t="shared" si="12"/>
        <v>31.766204708661764</v>
      </c>
      <c r="AA61" s="386">
        <f t="shared" si="13"/>
        <v>34.620128297057384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8.2435384522771896E-2</v>
      </c>
      <c r="AD61" s="231">
        <f>(INDEX(Models!$BJ61:$BT61,,AH61)*(1-AF61)+INDEX(Models!$BJ61:$BT61,,AH61+1)*AF61-ERP_i)*AE61*Ramure*Pc/MaxiM</f>
        <v>5.8050373598216877E-4</v>
      </c>
      <c r="AE61" s="305">
        <f t="shared" si="15"/>
        <v>0.7</v>
      </c>
      <c r="AF61" s="177">
        <f t="shared" si="22"/>
        <v>0.50392375595502759</v>
      </c>
      <c r="AG61" s="919">
        <f t="shared" si="23"/>
        <v>-1</v>
      </c>
      <c r="AH61" s="176">
        <f t="shared" si="16"/>
        <v>5</v>
      </c>
      <c r="AI61" s="225">
        <f t="shared" si="17"/>
        <v>-0.49607624404497236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8">
        <v>34.814</v>
      </c>
      <c r="C62" s="390"/>
      <c r="D62" s="393">
        <f t="shared" si="0"/>
        <v>35.58571573124339</v>
      </c>
      <c r="E62" s="385">
        <f t="shared" si="1"/>
        <v>38.784295308136137</v>
      </c>
      <c r="F62" s="385">
        <f t="shared" si="2"/>
        <v>38.803979738442898</v>
      </c>
      <c r="G62" s="110">
        <f t="shared" si="21"/>
        <v>0.91149460876265398</v>
      </c>
      <c r="H62" s="412" t="b">
        <f>Wh_hp&gt;='2020'!Maxi_hp</f>
        <v>0</v>
      </c>
      <c r="I62" s="380">
        <f>IF(H62,Wh_hp,'2020'!Maxi_hp)</f>
        <v>44.343925318135149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2.1686109591603442E-2</v>
      </c>
      <c r="M62" s="957"/>
      <c r="N62" s="957"/>
      <c r="O62" s="48">
        <f>IF(t&lt;Tnet,'2020'!Resal+('2020'!Salim-'2020'!Resal)*(1-EXP(('2020'!Tnet-t)/('2020'!Tau_j))),Resal+(Salim-Resal)*(1-EXP((Tnet-t)/(Tau_j))))*Salcycl</f>
        <v>8.2470998930893366E-2</v>
      </c>
      <c r="P62" s="169">
        <f>(INDEX(Models!$BJ62:$BT62,,T62)*(1-R62)+INDEX(Models!$BJ62:$BT62,,T62+1)*R62-ERP_i)*Q62*Ramure*Pc/MaxiM</f>
        <v>5.806366893799824E-4</v>
      </c>
      <c r="Q62" s="305">
        <f t="shared" si="4"/>
        <v>0.7</v>
      </c>
      <c r="R62" s="177">
        <f t="shared" si="5"/>
        <v>0.50411416210218396</v>
      </c>
      <c r="S62" s="919">
        <f t="shared" si="6"/>
        <v>-1</v>
      </c>
      <c r="T62" s="176">
        <f t="shared" si="7"/>
        <v>5</v>
      </c>
      <c r="U62" s="251">
        <f t="shared" si="8"/>
        <v>-0.49588583789781604</v>
      </c>
      <c r="V62" s="383">
        <f t="shared" si="9"/>
        <v>38.191608027335704</v>
      </c>
      <c r="W62" s="402"/>
      <c r="X62" s="157">
        <f t="shared" si="10"/>
        <v>44244</v>
      </c>
      <c r="Y62" s="385">
        <f t="shared" si="11"/>
        <v>34.814</v>
      </c>
      <c r="Z62" s="385">
        <f t="shared" si="12"/>
        <v>35.58571573124339</v>
      </c>
      <c r="AA62" s="386">
        <f t="shared" si="13"/>
        <v>38.784295308136137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8.2470998930893366E-2</v>
      </c>
      <c r="AD62" s="231">
        <f>(INDEX(Models!$BJ62:$BT62,,AH62)*(1-AF62)+INDEX(Models!$BJ62:$BT62,,AH62+1)*AF62-ERP_i)*AE62*Ramure*Pc/MaxiM</f>
        <v>5.806366893799824E-4</v>
      </c>
      <c r="AE62" s="305">
        <f t="shared" si="15"/>
        <v>0.7</v>
      </c>
      <c r="AF62" s="177">
        <f t="shared" si="22"/>
        <v>0.50411416210218396</v>
      </c>
      <c r="AG62" s="919">
        <f t="shared" si="23"/>
        <v>-1</v>
      </c>
      <c r="AH62" s="176">
        <f t="shared" si="16"/>
        <v>5</v>
      </c>
      <c r="AI62" s="225">
        <f t="shared" si="17"/>
        <v>-0.49588583789781604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8">
        <v>16.138999999999999</v>
      </c>
      <c r="C63" s="390"/>
      <c r="D63" s="393">
        <f t="shared" si="0"/>
        <v>16.497111664769164</v>
      </c>
      <c r="E63" s="385">
        <f t="shared" si="1"/>
        <v>17.980632090462088</v>
      </c>
      <c r="F63" s="385">
        <f t="shared" si="2"/>
        <v>17.982412243811861</v>
      </c>
      <c r="G63" s="110">
        <f t="shared" si="21"/>
        <v>0.4190859505792604</v>
      </c>
      <c r="H63" s="412" t="b">
        <f>Wh_hp&gt;='2020'!Maxi_hp</f>
        <v>0</v>
      </c>
      <c r="I63" s="380">
        <f>IF(H63,Wh_hp,'2020'!Maxi_hp)</f>
        <v>43.682090944826165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2.1707537176579805E-2</v>
      </c>
      <c r="M63" s="957"/>
      <c r="N63" s="957"/>
      <c r="O63" s="48">
        <f>IF(t&lt;Tnet,'2020'!Resal+('2020'!Salim-'2020'!Resal)*(1-EXP(('2020'!Tnet-t)/('2020'!Tau_j))),Resal+(Salim-Resal)*(1-EXP((Tnet-t)/(Tau_j))))*Salcycl</f>
        <v>8.2506578090759175E-2</v>
      </c>
      <c r="P63" s="169">
        <f>(INDEX(Models!$BJ63:$BT63,,T63)*(1-R63)+INDEX(Models!$BJ63:$BT63,,T63+1)*R63-ERP_i)*Q63*Ramure*Pc/MaxiM</f>
        <v>5.8091237530874279E-4</v>
      </c>
      <c r="Q63" s="305">
        <f t="shared" si="4"/>
        <v>0.7</v>
      </c>
      <c r="R63" s="177">
        <f t="shared" si="5"/>
        <v>0.50431240080493223</v>
      </c>
      <c r="S63" s="919">
        <f t="shared" si="6"/>
        <v>-1</v>
      </c>
      <c r="T63" s="176">
        <f t="shared" si="7"/>
        <v>5</v>
      </c>
      <c r="U63" s="251">
        <f t="shared" si="8"/>
        <v>-0.49568759919506777</v>
      </c>
      <c r="V63" s="383">
        <f t="shared" si="9"/>
        <v>38.491439594208138</v>
      </c>
      <c r="W63" s="402"/>
      <c r="X63" s="157">
        <f t="shared" si="10"/>
        <v>44245</v>
      </c>
      <c r="Y63" s="385">
        <f t="shared" si="11"/>
        <v>16.138999999999999</v>
      </c>
      <c r="Z63" s="385">
        <f t="shared" si="12"/>
        <v>16.497111664769164</v>
      </c>
      <c r="AA63" s="386">
        <f t="shared" si="13"/>
        <v>17.980632090462088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8.2506578090759175E-2</v>
      </c>
      <c r="AD63" s="231">
        <f>(INDEX(Models!$BJ63:$BT63,,AH63)*(1-AF63)+INDEX(Models!$BJ63:$BT63,,AH63+1)*AF63-ERP_i)*AE63*Ramure*Pc/MaxiM</f>
        <v>5.8091237530874279E-4</v>
      </c>
      <c r="AE63" s="305">
        <f t="shared" si="15"/>
        <v>0.7</v>
      </c>
      <c r="AF63" s="177">
        <f t="shared" si="22"/>
        <v>0.50431240080493223</v>
      </c>
      <c r="AG63" s="919">
        <f t="shared" si="23"/>
        <v>-1</v>
      </c>
      <c r="AH63" s="176">
        <f t="shared" si="16"/>
        <v>5</v>
      </c>
      <c r="AI63" s="225">
        <f t="shared" si="17"/>
        <v>-0.49568759919506777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8">
        <v>36.622999999999998</v>
      </c>
      <c r="C64" s="390"/>
      <c r="D64" s="393">
        <f t="shared" si="0"/>
        <v>37.4364554026726</v>
      </c>
      <c r="E64" s="385">
        <f t="shared" si="1"/>
        <v>40.804549215133257</v>
      </c>
      <c r="F64" s="385">
        <f t="shared" si="2"/>
        <v>40.826390842051637</v>
      </c>
      <c r="G64" s="110">
        <f t="shared" si="21"/>
        <v>0.94414834919658952</v>
      </c>
      <c r="H64" s="412" t="b">
        <f>Wh_hp&gt;='2020'!Maxi_hp</f>
        <v>1</v>
      </c>
      <c r="I64" s="380">
        <f>IF(H64,Wh_hp,'2020'!Maxi_hp)</f>
        <v>40.826390842051637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2.1728964292237141E-2</v>
      </c>
      <c r="M64" s="957"/>
      <c r="N64" s="957"/>
      <c r="O64" s="48">
        <f>IF(t&lt;Tnet,'2020'!Resal+('2020'!Salim-'2020'!Resal)*(1-EXP(('2020'!Tnet-t)/('2020'!Tau_j))),Resal+(Salim-Resal)*(1-EXP((Tnet-t)/(Tau_j))))*Salcycl</f>
        <v>8.2542115456369927E-2</v>
      </c>
      <c r="P64" s="169">
        <f>(INDEX(Models!$BJ64:$BT64,,T64)*(1-R64)+INDEX(Models!$BJ64:$BT64,,T64+1)*R64-ERP_i)*Q64*Ramure*Pc/MaxiM</f>
        <v>5.8133519765343549E-4</v>
      </c>
      <c r="Q64" s="305">
        <f t="shared" si="4"/>
        <v>0.7</v>
      </c>
      <c r="R64" s="177">
        <f t="shared" si="5"/>
        <v>0.50451878754774127</v>
      </c>
      <c r="S64" s="919">
        <f t="shared" si="6"/>
        <v>-1</v>
      </c>
      <c r="T64" s="176">
        <f t="shared" si="7"/>
        <v>5</v>
      </c>
      <c r="U64" s="251">
        <f t="shared" si="8"/>
        <v>-0.49548121245225879</v>
      </c>
      <c r="V64" s="383">
        <f t="shared" si="9"/>
        <v>38.787656354162017</v>
      </c>
      <c r="W64" s="402"/>
      <c r="X64" s="157">
        <f t="shared" si="10"/>
        <v>44246</v>
      </c>
      <c r="Y64" s="385">
        <f t="shared" si="11"/>
        <v>36.622999999999998</v>
      </c>
      <c r="Z64" s="385">
        <f t="shared" si="12"/>
        <v>37.4364554026726</v>
      </c>
      <c r="AA64" s="386">
        <f t="shared" si="13"/>
        <v>40.804549215133257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8.2542115456369927E-2</v>
      </c>
      <c r="AD64" s="231">
        <f>(INDEX(Models!$BJ64:$BT64,,AH64)*(1-AF64)+INDEX(Models!$BJ64:$BT64,,AH64+1)*AF64-ERP_i)*AE64*Ramure*Pc/MaxiM</f>
        <v>5.8133519765343549E-4</v>
      </c>
      <c r="AE64" s="305">
        <f t="shared" si="15"/>
        <v>0.7</v>
      </c>
      <c r="AF64" s="177">
        <f t="shared" si="22"/>
        <v>0.50451878754774127</v>
      </c>
      <c r="AG64" s="919">
        <f t="shared" si="23"/>
        <v>-1</v>
      </c>
      <c r="AH64" s="176">
        <f t="shared" si="16"/>
        <v>5</v>
      </c>
      <c r="AI64" s="225">
        <f t="shared" si="17"/>
        <v>-0.49548121245225879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8">
        <v>30.064</v>
      </c>
      <c r="C65" s="390"/>
      <c r="D65" s="393">
        <f t="shared" si="0"/>
        <v>30.732442641960294</v>
      </c>
      <c r="E65" s="385">
        <f t="shared" si="1"/>
        <v>33.498683726720756</v>
      </c>
      <c r="F65" s="385">
        <f t="shared" si="2"/>
        <v>33.511756696649002</v>
      </c>
      <c r="G65" s="110">
        <f t="shared" si="21"/>
        <v>0.76913090668002559</v>
      </c>
      <c r="H65" s="412" t="b">
        <f>Wh_hp&gt;='2020'!Maxi_hp</f>
        <v>0</v>
      </c>
      <c r="I65" s="380">
        <f>IF(H65,Wh_hp,'2020'!Maxi_hp)</f>
        <v>43.218540620250515</v>
      </c>
      <c r="J65" s="85">
        <f>IF(H65,An,'2020'!An_max)</f>
        <v>2019</v>
      </c>
      <c r="K65" s="197">
        <f t="shared" si="3"/>
        <v>44247</v>
      </c>
      <c r="L65" s="147">
        <f>IF(t&lt;Tvie,1-EXP((T0-t)*PertePVj)+'2020'!Pspv,1-EXP((T0-t)*PertePVj)+Pspv)</f>
        <v>2.1750390938585551E-2</v>
      </c>
      <c r="M65" s="957"/>
      <c r="N65" s="957"/>
      <c r="O65" s="48">
        <f>IF(t&lt;Tnet,'2020'!Resal+('2020'!Salim-'2020'!Resal)*(1-EXP(('2020'!Tnet-t)/('2020'!Tau_j))),Resal+(Salim-Resal)*(1-EXP((Tnet-t)/(Tau_j))))*Salcycl</f>
        <v>8.2577605356891237E-2</v>
      </c>
      <c r="P65" s="169">
        <f>(INDEX(Models!$BJ65:$BT65,,T65)*(1-R65)+INDEX(Models!$BJ65:$BT65,,T65+1)*R65-ERP_i)*Q65*Ramure*Pc/MaxiM</f>
        <v>5.8189475670120333E-4</v>
      </c>
      <c r="Q65" s="305">
        <f t="shared" si="4"/>
        <v>0.7</v>
      </c>
      <c r="R65" s="177">
        <f t="shared" si="5"/>
        <v>0.50473364995365144</v>
      </c>
      <c r="S65" s="919">
        <f t="shared" si="6"/>
        <v>-1</v>
      </c>
      <c r="T65" s="176">
        <f t="shared" si="7"/>
        <v>5</v>
      </c>
      <c r="U65" s="251">
        <f t="shared" si="8"/>
        <v>-0.4952663500463485</v>
      </c>
      <c r="V65" s="383">
        <f t="shared" si="9"/>
        <v>39.080774678691888</v>
      </c>
      <c r="W65" s="402"/>
      <c r="X65" s="157">
        <f t="shared" si="10"/>
        <v>44247</v>
      </c>
      <c r="Y65" s="385">
        <f t="shared" si="11"/>
        <v>30.064000000000004</v>
      </c>
      <c r="Z65" s="385">
        <f t="shared" si="12"/>
        <v>30.732442641960297</v>
      </c>
      <c r="AA65" s="386">
        <f t="shared" si="13"/>
        <v>33.498683726720756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8.2577605356891237E-2</v>
      </c>
      <c r="AD65" s="231">
        <f>(INDEX(Models!$BJ65:$BT65,,AH65)*(1-AF65)+INDEX(Models!$BJ65:$BT65,,AH65+1)*AF65-ERP_i)*AE65*Ramure*Pc/MaxiM</f>
        <v>5.8189475670120333E-4</v>
      </c>
      <c r="AE65" s="305">
        <f t="shared" si="15"/>
        <v>0.7</v>
      </c>
      <c r="AF65" s="177">
        <f t="shared" si="22"/>
        <v>0.50473364995365144</v>
      </c>
      <c r="AG65" s="919">
        <f t="shared" si="23"/>
        <v>-1</v>
      </c>
      <c r="AH65" s="176">
        <f t="shared" si="16"/>
        <v>5</v>
      </c>
      <c r="AI65" s="225">
        <f t="shared" si="17"/>
        <v>-0.4952663500463485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8">
        <v>12.375999999999999</v>
      </c>
      <c r="C66" s="390"/>
      <c r="D66" s="393">
        <f t="shared" si="0"/>
        <v>12.651444945604224</v>
      </c>
      <c r="E66" s="385">
        <f t="shared" si="1"/>
        <v>13.790739938700586</v>
      </c>
      <c r="F66" s="385">
        <f t="shared" si="2"/>
        <v>13.790904382522621</v>
      </c>
      <c r="G66" s="110">
        <f t="shared" si="21"/>
        <v>0.31415809758158558</v>
      </c>
      <c r="H66" s="412" t="b">
        <f>Wh_hp&gt;='2020'!Maxi_hp</f>
        <v>0</v>
      </c>
      <c r="I66" s="380">
        <f>IF(H66,Wh_hp,'2020'!Maxi_hp)</f>
        <v>42.441850727741603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2.1771817115635361E-2</v>
      </c>
      <c r="M66" s="957"/>
      <c r="N66" s="957"/>
      <c r="O66" s="48">
        <f>IF(t&lt;Tnet,'2020'!Resal+('2020'!Salim-'2020'!Resal)*(1-EXP(('2020'!Tnet-t)/('2020'!Tau_j))),Resal+(Salim-Resal)*(1-EXP((Tnet-t)/(Tau_j))))*Salcycl</f>
        <v>8.2613043111572901E-2</v>
      </c>
      <c r="P66" s="169">
        <f>(INDEX(Models!$BJ66:$BT66,,T66)*(1-R66)+INDEX(Models!$BJ66:$BT66,,T66+1)*R66-ERP_i)*Q66*Ramure*Pc/MaxiM</f>
        <v>5.8217551484877916E-4</v>
      </c>
      <c r="Q66" s="305">
        <f t="shared" si="4"/>
        <v>0.7</v>
      </c>
      <c r="R66" s="177">
        <f t="shared" si="5"/>
        <v>0.50495732820293804</v>
      </c>
      <c r="S66" s="919">
        <f t="shared" si="6"/>
        <v>-1</v>
      </c>
      <c r="T66" s="176">
        <f t="shared" si="7"/>
        <v>5</v>
      </c>
      <c r="U66" s="251">
        <f t="shared" si="8"/>
        <v>-0.49504267179706191</v>
      </c>
      <c r="V66" s="383">
        <f t="shared" si="9"/>
        <v>39.371713093765649</v>
      </c>
      <c r="W66" s="402"/>
      <c r="X66" s="157">
        <f t="shared" si="10"/>
        <v>44248</v>
      </c>
      <c r="Y66" s="385">
        <f t="shared" si="11"/>
        <v>12.375999999999999</v>
      </c>
      <c r="Z66" s="385">
        <f t="shared" si="12"/>
        <v>12.651444945604224</v>
      </c>
      <c r="AA66" s="386">
        <f t="shared" si="13"/>
        <v>13.790739938700586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8.2613043111572901E-2</v>
      </c>
      <c r="AD66" s="231">
        <f>(INDEX(Models!$BJ66:$BT66,,AH66)*(1-AF66)+INDEX(Models!$BJ66:$BT66,,AH66+1)*AF66-ERP_i)*AE66*Ramure*Pc/MaxiM</f>
        <v>5.8217551484877916E-4</v>
      </c>
      <c r="AE66" s="305">
        <f t="shared" si="15"/>
        <v>0.7</v>
      </c>
      <c r="AF66" s="177">
        <f t="shared" si="22"/>
        <v>0.50495732820293804</v>
      </c>
      <c r="AG66" s="919">
        <f t="shared" si="23"/>
        <v>-1</v>
      </c>
      <c r="AH66" s="176">
        <f t="shared" si="16"/>
        <v>5</v>
      </c>
      <c r="AI66" s="225">
        <f t="shared" si="17"/>
        <v>-0.49504267179706191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8">
        <v>4.1950000000000003</v>
      </c>
      <c r="C67" s="390"/>
      <c r="D67" s="393">
        <f t="shared" si="0"/>
        <v>4.2884594378677408</v>
      </c>
      <c r="E67" s="385">
        <f t="shared" si="1"/>
        <v>4.6748264846153011</v>
      </c>
      <c r="F67" s="385">
        <f t="shared" si="2"/>
        <v>4.6748264846153011</v>
      </c>
      <c r="G67" s="110">
        <f t="shared" si="21"/>
        <v>0.10571098370094063</v>
      </c>
      <c r="H67" s="412" t="b">
        <f>Wh_hp&gt;='2020'!Maxi_hp</f>
        <v>0</v>
      </c>
      <c r="I67" s="380">
        <f>IF(H67,Wh_hp,'2020'!Maxi_hp)</f>
        <v>42.464770609772728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2.1793242823397008E-2</v>
      </c>
      <c r="M67" s="957"/>
      <c r="N67" s="957"/>
      <c r="O67" s="48">
        <f>IF(t&lt;Tnet,'2020'!Resal+('2020'!Salim-'2020'!Resal)*(1-EXP(('2020'!Tnet-t)/('2020'!Tau_j))),Resal+(Salim-Resal)*(1-EXP((Tnet-t)/(Tau_j))))*Salcycl</f>
        <v>8.2648425138148324E-2</v>
      </c>
      <c r="P67" s="169">
        <f>(INDEX(Models!$BJ67:$BT67,,T67)*(1-R67)+INDEX(Models!$BJ67:$BT67,,T67+1)*R67-ERP_i)*Q67*Ramure*Pc/MaxiM</f>
        <v>5.8210699416959136E-4</v>
      </c>
      <c r="Q67" s="305">
        <f t="shared" si="4"/>
        <v>0.7</v>
      </c>
      <c r="R67" s="177">
        <f t="shared" si="5"/>
        <v>0.5051901754620074</v>
      </c>
      <c r="S67" s="919">
        <f t="shared" si="6"/>
        <v>-1</v>
      </c>
      <c r="T67" s="176">
        <f t="shared" si="7"/>
        <v>5</v>
      </c>
      <c r="U67" s="251">
        <f t="shared" si="8"/>
        <v>-0.4948098245379926</v>
      </c>
      <c r="V67" s="383">
        <f t="shared" si="9"/>
        <v>39.660571819294809</v>
      </c>
      <c r="W67" s="402"/>
      <c r="X67" s="157">
        <f t="shared" si="10"/>
        <v>44249</v>
      </c>
      <c r="Y67" s="385">
        <f t="shared" si="11"/>
        <v>4.1950000000000003</v>
      </c>
      <c r="Z67" s="385">
        <f t="shared" si="12"/>
        <v>4.2884594378677408</v>
      </c>
      <c r="AA67" s="386">
        <f t="shared" si="13"/>
        <v>4.6748264846153011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8.2648425138148324E-2</v>
      </c>
      <c r="AD67" s="231">
        <f>(INDEX(Models!$BJ67:$BT67,,AH67)*(1-AF67)+INDEX(Models!$BJ67:$BT67,,AH67+1)*AF67-ERP_i)*AE67*Ramure*Pc/MaxiM</f>
        <v>5.8210699416959136E-4</v>
      </c>
      <c r="AE67" s="305">
        <f t="shared" si="15"/>
        <v>0.7</v>
      </c>
      <c r="AF67" s="177">
        <f t="shared" si="22"/>
        <v>0.5051901754620074</v>
      </c>
      <c r="AG67" s="919">
        <f t="shared" si="23"/>
        <v>-1</v>
      </c>
      <c r="AH67" s="176">
        <f t="shared" si="16"/>
        <v>5</v>
      </c>
      <c r="AI67" s="225">
        <f t="shared" si="17"/>
        <v>-0.4948098245379926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8">
        <v>28.478000000000002</v>
      </c>
      <c r="C68" s="390"/>
      <c r="D68" s="393">
        <f t="shared" si="0"/>
        <v>29.113092448008146</v>
      </c>
      <c r="E68" s="385">
        <f t="shared" si="1"/>
        <v>31.737247015929615</v>
      </c>
      <c r="F68" s="385">
        <f t="shared" si="2"/>
        <v>31.748139930131256</v>
      </c>
      <c r="G68" s="110">
        <f t="shared" si="21"/>
        <v>0.71271644312353422</v>
      </c>
      <c r="H68" s="412" t="b">
        <f>Wh_hp&gt;='2020'!Maxi_hp</f>
        <v>0</v>
      </c>
      <c r="I68" s="380">
        <f>IF(H68,Wh_hp,'2020'!Maxi_hp)</f>
        <v>43.491209699160983</v>
      </c>
      <c r="J68" s="85">
        <f>IF(H68,An,'2020'!An_max)</f>
        <v>2019</v>
      </c>
      <c r="K68" s="197">
        <f t="shared" si="3"/>
        <v>44250</v>
      </c>
      <c r="L68" s="147">
        <f>IF(t&lt;Tvie,1-EXP((T0-t)*PertePVj)+'2020'!Pspv,1-EXP((T0-t)*PertePVj)+Pspv)</f>
        <v>2.1814668061880704E-2</v>
      </c>
      <c r="M68" s="957"/>
      <c r="N68" s="957"/>
      <c r="O68" s="48">
        <f>IF(t&lt;Tnet,'2020'!Resal+('2020'!Salim-'2020'!Resal)*(1-EXP(('2020'!Tnet-t)/('2020'!Tau_j))),Resal+(Salim-Resal)*(1-EXP((Tnet-t)/(Tau_j))))*Salcycl</f>
        <v>8.2683749053733255E-2</v>
      </c>
      <c r="P68" s="169">
        <f>(INDEX(Models!$BJ68:$BT68,,T68)*(1-R68)+INDEX(Models!$BJ68:$BT68,,T68+1)*R68-ERP_i)*Q68*Ramure*Pc/MaxiM</f>
        <v>5.8169196089892419E-4</v>
      </c>
      <c r="Q68" s="305">
        <f t="shared" si="4"/>
        <v>0.7</v>
      </c>
      <c r="R68" s="177">
        <f t="shared" si="5"/>
        <v>0.50543255832238532</v>
      </c>
      <c r="S68" s="919">
        <f t="shared" si="6"/>
        <v>-1</v>
      </c>
      <c r="T68" s="176">
        <f t="shared" si="7"/>
        <v>5</v>
      </c>
      <c r="U68" s="251">
        <f t="shared" si="8"/>
        <v>-0.49456744167761474</v>
      </c>
      <c r="V68" s="383">
        <f t="shared" si="9"/>
        <v>39.947448154286022</v>
      </c>
      <c r="W68" s="402"/>
      <c r="X68" s="157">
        <f t="shared" si="10"/>
        <v>44250</v>
      </c>
      <c r="Y68" s="385">
        <f t="shared" si="11"/>
        <v>28.478000000000002</v>
      </c>
      <c r="Z68" s="385">
        <f t="shared" si="12"/>
        <v>29.113092448008146</v>
      </c>
      <c r="AA68" s="386">
        <f t="shared" si="13"/>
        <v>31.737247015929615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8.2683749053733255E-2</v>
      </c>
      <c r="AD68" s="231">
        <f>(INDEX(Models!$BJ68:$BT68,,AH68)*(1-AF68)+INDEX(Models!$BJ68:$BT68,,AH68+1)*AF68-ERP_i)*AE68*Ramure*Pc/MaxiM</f>
        <v>5.8169196089892419E-4</v>
      </c>
      <c r="AE68" s="305">
        <f t="shared" si="15"/>
        <v>0.7</v>
      </c>
      <c r="AF68" s="177">
        <f t="shared" si="22"/>
        <v>0.50543255832238532</v>
      </c>
      <c r="AG68" s="919">
        <f t="shared" si="23"/>
        <v>-1</v>
      </c>
      <c r="AH68" s="176">
        <f t="shared" si="16"/>
        <v>5</v>
      </c>
      <c r="AI68" s="225">
        <f t="shared" si="17"/>
        <v>-0.49456744167761474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8">
        <v>37.249000000000002</v>
      </c>
      <c r="C69" s="390"/>
      <c r="D69" s="393">
        <f t="shared" si="0"/>
        <v>38.080529987872545</v>
      </c>
      <c r="E69" s="385">
        <f t="shared" si="1"/>
        <v>41.514574660783289</v>
      </c>
      <c r="F69" s="385">
        <f t="shared" si="2"/>
        <v>41.53614828661113</v>
      </c>
      <c r="G69" s="110">
        <f t="shared" si="21"/>
        <v>0.92578792566915502</v>
      </c>
      <c r="H69" s="412" t="b">
        <f>Wh_hp&gt;='2020'!Maxi_hp</f>
        <v>0</v>
      </c>
      <c r="I69" s="380">
        <f>IF(H69,Wh_hp,'2020'!Maxi_hp)</f>
        <v>44.144707241290959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2.1836092831096554E-2</v>
      </c>
      <c r="M69" s="957"/>
      <c r="N69" s="957"/>
      <c r="O69" s="48">
        <f>IF(t&lt;Tnet,'2020'!Resal+('2020'!Salim-'2020'!Resal)*(1-EXP(('2020'!Tnet-t)/('2020'!Tau_j))),Resal+(Salim-Resal)*(1-EXP((Tnet-t)/(Tau_j))))*Salcycl</f>
        <v>8.2719013767343474E-2</v>
      </c>
      <c r="P69" s="169">
        <f>(INDEX(Models!$BJ69:$BT69,,T69)*(1-R69)+INDEX(Models!$BJ69:$BT69,,T69+1)*R69-ERP_i)*Q69*Ramure*Pc/MaxiM</f>
        <v>5.8093590629984776E-4</v>
      </c>
      <c r="Q69" s="305">
        <f t="shared" si="4"/>
        <v>0.7</v>
      </c>
      <c r="R69" s="177">
        <f t="shared" si="5"/>
        <v>0.50568485724960355</v>
      </c>
      <c r="S69" s="919">
        <f t="shared" si="6"/>
        <v>-1</v>
      </c>
      <c r="T69" s="176">
        <f t="shared" si="7"/>
        <v>5</v>
      </c>
      <c r="U69" s="251">
        <f t="shared" si="8"/>
        <v>-0.49431514275039645</v>
      </c>
      <c r="V69" s="383">
        <f t="shared" si="9"/>
        <v>40.232439202541421</v>
      </c>
      <c r="W69" s="402"/>
      <c r="X69" s="157">
        <f t="shared" si="10"/>
        <v>44251</v>
      </c>
      <c r="Y69" s="385">
        <f t="shared" si="11"/>
        <v>37.249000000000002</v>
      </c>
      <c r="Z69" s="385">
        <f t="shared" si="12"/>
        <v>38.080529987872545</v>
      </c>
      <c r="AA69" s="386">
        <f t="shared" si="13"/>
        <v>41.514574660783289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8.2719013767343474E-2</v>
      </c>
      <c r="AD69" s="231">
        <f>(INDEX(Models!$BJ69:$BT69,,AH69)*(1-AF69)+INDEX(Models!$BJ69:$BT69,,AH69+1)*AF69-ERP_i)*AE69*Ramure*Pc/MaxiM</f>
        <v>5.8093590629984776E-4</v>
      </c>
      <c r="AE69" s="305">
        <f t="shared" si="15"/>
        <v>0.7</v>
      </c>
      <c r="AF69" s="177">
        <f t="shared" si="22"/>
        <v>0.50568485724960355</v>
      </c>
      <c r="AG69" s="919">
        <f t="shared" si="23"/>
        <v>-1</v>
      </c>
      <c r="AH69" s="176">
        <f t="shared" si="16"/>
        <v>5</v>
      </c>
      <c r="AI69" s="225">
        <f t="shared" si="17"/>
        <v>-0.49431514275039645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8">
        <v>33.015000000000001</v>
      </c>
      <c r="C70" s="390"/>
      <c r="D70" s="393">
        <f t="shared" si="0"/>
        <v>33.752751340648466</v>
      </c>
      <c r="E70" s="385">
        <f t="shared" si="1"/>
        <v>36.797935799254539</v>
      </c>
      <c r="F70" s="385">
        <f t="shared" si="2"/>
        <v>36.813636533781057</v>
      </c>
      <c r="G70" s="110">
        <f t="shared" si="21"/>
        <v>0.81474544932599402</v>
      </c>
      <c r="H70" s="412" t="b">
        <f>Wh_hp&gt;='2020'!Maxi_hp</f>
        <v>0</v>
      </c>
      <c r="I70" s="380">
        <f>IF(H70,Wh_hp,'2020'!Maxi_hp)</f>
        <v>44.223095559004854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2.1857517131055104E-2</v>
      </c>
      <c r="M70" s="957"/>
      <c r="N70" s="957"/>
      <c r="O70" s="48">
        <f>IF(t&lt;Tnet,'2020'!Resal+('2020'!Salim-'2020'!Resal)*(1-EXP(('2020'!Tnet-t)/('2020'!Tau_j))),Resal+(Salim-Resal)*(1-EXP((Tnet-t)/(Tau_j))))*Salcycl</f>
        <v>8.2754219563255141E-2</v>
      </c>
      <c r="P70" s="169">
        <f>(INDEX(Models!$BJ70:$BT70,,T70)*(1-R70)+INDEX(Models!$BJ70:$BT70,,T70+1)*R70-ERP_i)*Q70*Ramure*Pc/MaxiM</f>
        <v>5.7984419147347113E-4</v>
      </c>
      <c r="Q70" s="305">
        <f t="shared" si="4"/>
        <v>0.7</v>
      </c>
      <c r="R70" s="177">
        <f t="shared" si="5"/>
        <v>0.50594746704173965</v>
      </c>
      <c r="S70" s="919">
        <f t="shared" si="6"/>
        <v>-1</v>
      </c>
      <c r="T70" s="176">
        <f t="shared" si="7"/>
        <v>5</v>
      </c>
      <c r="U70" s="251">
        <f t="shared" si="8"/>
        <v>-0.4940525329582604</v>
      </c>
      <c r="V70" s="383">
        <f t="shared" si="9"/>
        <v>40.515641978975339</v>
      </c>
      <c r="W70" s="402"/>
      <c r="X70" s="157">
        <f t="shared" si="10"/>
        <v>44252</v>
      </c>
      <c r="Y70" s="385">
        <f t="shared" si="11"/>
        <v>33.015000000000001</v>
      </c>
      <c r="Z70" s="385">
        <f t="shared" si="12"/>
        <v>33.752751340648466</v>
      </c>
      <c r="AA70" s="386">
        <f t="shared" si="13"/>
        <v>36.797935799254539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8.2754219563255141E-2</v>
      </c>
      <c r="AD70" s="231">
        <f>(INDEX(Models!$BJ70:$BT70,,AH70)*(1-AF70)+INDEX(Models!$BJ70:$BT70,,AH70+1)*AF70-ERP_i)*AE70*Ramure*Pc/MaxiM</f>
        <v>5.7984419147347113E-4</v>
      </c>
      <c r="AE70" s="305">
        <f t="shared" si="15"/>
        <v>0.7</v>
      </c>
      <c r="AF70" s="177">
        <f t="shared" si="22"/>
        <v>0.50594746704173965</v>
      </c>
      <c r="AG70" s="919">
        <f t="shared" si="23"/>
        <v>-1</v>
      </c>
      <c r="AH70" s="176">
        <f t="shared" si="16"/>
        <v>5</v>
      </c>
      <c r="AI70" s="225">
        <f t="shared" si="17"/>
        <v>-0.4940525329582604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8">
        <v>7.7370000000000001</v>
      </c>
      <c r="C71" s="390"/>
      <c r="D71" s="393">
        <f t="shared" si="0"/>
        <v>7.9100638193064094</v>
      </c>
      <c r="E71" s="385">
        <f t="shared" si="1"/>
        <v>8.6240428804925582</v>
      </c>
      <c r="F71" s="385">
        <f t="shared" si="2"/>
        <v>8.6240428804925582</v>
      </c>
      <c r="G71" s="110">
        <f t="shared" si="21"/>
        <v>0.18953588922075537</v>
      </c>
      <c r="H71" s="412" t="b">
        <f>Wh_hp&gt;='2020'!Maxi_hp</f>
        <v>0</v>
      </c>
      <c r="I71" s="380">
        <f>IF(H71,Wh_hp,'2020'!Maxi_hp)</f>
        <v>41.92251127675177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2.1878940961766347E-2</v>
      </c>
      <c r="M71" s="957"/>
      <c r="N71" s="957"/>
      <c r="O71" s="48">
        <f>IF(t&lt;Tnet,'2020'!Resal+('2020'!Salim-'2020'!Resal)*(1-EXP(('2020'!Tnet-t)/('2020'!Tau_j))),Resal+(Salim-Resal)*(1-EXP((Tnet-t)/(Tau_j))))*Salcycl</f>
        <v>8.2789368174543396E-2</v>
      </c>
      <c r="P71" s="169">
        <f>(INDEX(Models!$BJ71:$BT71,,T71)*(1-R71)+INDEX(Models!$BJ71:$BT71,,T71+1)*R71-ERP_i)*Q71*Ramure*Pc/MaxiM</f>
        <v>5.7842207269657444E-4</v>
      </c>
      <c r="Q71" s="305">
        <f t="shared" si="4"/>
        <v>0.7</v>
      </c>
      <c r="R71" s="177">
        <f t="shared" si="5"/>
        <v>0.50622079729730496</v>
      </c>
      <c r="S71" s="919">
        <f t="shared" si="6"/>
        <v>-1</v>
      </c>
      <c r="T71" s="176">
        <f t="shared" si="7"/>
        <v>5</v>
      </c>
      <c r="U71" s="251">
        <f t="shared" si="8"/>
        <v>-0.4937792027026951</v>
      </c>
      <c r="V71" s="383">
        <f t="shared" si="9"/>
        <v>40.797153405692775</v>
      </c>
      <c r="W71" s="402"/>
      <c r="X71" s="157">
        <f t="shared" si="10"/>
        <v>44253</v>
      </c>
      <c r="Y71" s="385">
        <f t="shared" si="11"/>
        <v>7.737000000000001</v>
      </c>
      <c r="Z71" s="385">
        <f t="shared" si="12"/>
        <v>7.9100638193064103</v>
      </c>
      <c r="AA71" s="386">
        <f t="shared" si="13"/>
        <v>8.6240428804925582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8.2789368174543396E-2</v>
      </c>
      <c r="AD71" s="231">
        <f>(INDEX(Models!$BJ71:$BT71,,AH71)*(1-AF71)+INDEX(Models!$BJ71:$BT71,,AH71+1)*AF71-ERP_i)*AE71*Ramure*Pc/MaxiM</f>
        <v>5.7842207269657444E-4</v>
      </c>
      <c r="AE71" s="305">
        <f t="shared" si="15"/>
        <v>0.7</v>
      </c>
      <c r="AF71" s="177">
        <f t="shared" si="22"/>
        <v>0.50622079729730496</v>
      </c>
      <c r="AG71" s="919">
        <f t="shared" si="23"/>
        <v>-1</v>
      </c>
      <c r="AH71" s="176">
        <f t="shared" si="16"/>
        <v>5</v>
      </c>
      <c r="AI71" s="225">
        <f t="shared" si="17"/>
        <v>-0.4937792027026951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8">
        <v>39.233000000000004</v>
      </c>
      <c r="C72" s="390"/>
      <c r="D72" s="393">
        <f t="shared" si="0"/>
        <v>40.111455488738841</v>
      </c>
      <c r="E72" s="385">
        <f t="shared" si="1"/>
        <v>43.733673505091296</v>
      </c>
      <c r="F72" s="385">
        <f t="shared" si="2"/>
        <v>43.75724818874717</v>
      </c>
      <c r="G72" s="110">
        <f t="shared" si="21"/>
        <v>0.95507083208477317</v>
      </c>
      <c r="H72" s="412" t="b">
        <f>Wh_hp&gt;='2020'!Maxi_hp</f>
        <v>0</v>
      </c>
      <c r="I72" s="380">
        <f>IF(H72,Wh_hp,'2020'!Maxi_hp)</f>
        <v>44.962572405256154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2.1900364323240828E-2</v>
      </c>
      <c r="M72" s="957"/>
      <c r="N72" s="957"/>
      <c r="O72" s="48">
        <f>IF(t&lt;Tnet,'2020'!Resal+('2020'!Salim-'2020'!Resal)*(1-EXP(('2020'!Tnet-t)/('2020'!Tau_j))),Resal+(Salim-Resal)*(1-EXP((Tnet-t)/(Tau_j))))*Salcycl</f>
        <v>8.282446284624978E-2</v>
      </c>
      <c r="P72" s="169">
        <f>(INDEX(Models!$BJ72:$BT72,,T72)*(1-R72)+INDEX(Models!$BJ72:$BT72,,T72+1)*R72-ERP_i)*Q72*Ramure*Pc/MaxiM</f>
        <v>5.7568148057426081E-4</v>
      </c>
      <c r="Q72" s="305">
        <f t="shared" si="4"/>
        <v>0.7</v>
      </c>
      <c r="R72" s="177">
        <f t="shared" si="5"/>
        <v>0.506505272892115</v>
      </c>
      <c r="S72" s="919">
        <f t="shared" si="6"/>
        <v>-1</v>
      </c>
      <c r="T72" s="176">
        <f t="shared" si="7"/>
        <v>5</v>
      </c>
      <c r="U72" s="251">
        <f t="shared" si="8"/>
        <v>-0.493494727107885</v>
      </c>
      <c r="V72" s="383">
        <f t="shared" si="9"/>
        <v>41.077111127721388</v>
      </c>
      <c r="W72" s="402"/>
      <c r="X72" s="157">
        <f t="shared" si="10"/>
        <v>44254</v>
      </c>
      <c r="Y72" s="385">
        <f t="shared" si="11"/>
        <v>39.233000000000004</v>
      </c>
      <c r="Z72" s="385">
        <f t="shared" si="12"/>
        <v>40.111455488738841</v>
      </c>
      <c r="AA72" s="386">
        <f t="shared" si="13"/>
        <v>43.733673505091296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8.282446284624978E-2</v>
      </c>
      <c r="AD72" s="231">
        <f>(INDEX(Models!$BJ72:$BT72,,AH72)*(1-AF72)+INDEX(Models!$BJ72:$BT72,,AH72+1)*AF72-ERP_i)*AE72*Ramure*Pc/MaxiM</f>
        <v>5.7568148057426081E-4</v>
      </c>
      <c r="AE72" s="305">
        <f t="shared" si="15"/>
        <v>0.7</v>
      </c>
      <c r="AF72" s="177">
        <f t="shared" si="22"/>
        <v>0.506505272892115</v>
      </c>
      <c r="AG72" s="919">
        <f t="shared" si="23"/>
        <v>-1</v>
      </c>
      <c r="AH72" s="176">
        <f t="shared" si="16"/>
        <v>5</v>
      </c>
      <c r="AI72" s="225">
        <f t="shared" si="17"/>
        <v>-0.493494727107885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8">
        <v>33.249000000000002</v>
      </c>
      <c r="C73" s="390"/>
      <c r="D73" s="393">
        <f t="shared" si="0"/>
        <v>33.99421392420421</v>
      </c>
      <c r="E73" s="385">
        <f t="shared" si="1"/>
        <v>37.065437885579961</v>
      </c>
      <c r="F73" s="385">
        <f t="shared" si="2"/>
        <v>37.080698817786207</v>
      </c>
      <c r="G73" s="110">
        <f t="shared" si="21"/>
        <v>0.8038491889768461</v>
      </c>
      <c r="H73" s="412" t="b">
        <f>Wh_hp&gt;='2020'!Maxi_hp</f>
        <v>1</v>
      </c>
      <c r="I73" s="380">
        <f>IF(H73,Wh_hp,'2020'!Maxi_hp)</f>
        <v>37.080698817786207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2.1921787215488764E-2</v>
      </c>
      <c r="M73" s="957"/>
      <c r="N73" s="957"/>
      <c r="O73" s="48">
        <f>IF(t&lt;Tnet,'2020'!Resal+('2020'!Salim-'2020'!Resal)*(1-EXP(('2020'!Tnet-t)/('2020'!Tau_j))),Resal+(Salim-Resal)*(1-EXP((Tnet-t)/(Tau_j))))*Salcycl</f>
        <v>8.2859508387747555E-2</v>
      </c>
      <c r="P73" s="169">
        <f>(INDEX(Models!$BJ73:$BT73,,T73)*(1-R73)+INDEX(Models!$BJ73:$BT73,,T73+1)*R73-ERP_i)*Q73*Ramure*Pc/MaxiM</f>
        <v>5.7163612447766205E-4</v>
      </c>
      <c r="Q73" s="305">
        <f t="shared" si="4"/>
        <v>0.7</v>
      </c>
      <c r="R73" s="177">
        <f t="shared" si="5"/>
        <v>0.50680133446470266</v>
      </c>
      <c r="S73" s="919">
        <f t="shared" si="6"/>
        <v>-1</v>
      </c>
      <c r="T73" s="176">
        <f t="shared" si="7"/>
        <v>5</v>
      </c>
      <c r="U73" s="251">
        <f t="shared" si="8"/>
        <v>-0.49319866553529729</v>
      </c>
      <c r="V73" s="383">
        <f t="shared" si="9"/>
        <v>41.355612337800352</v>
      </c>
      <c r="W73" s="402"/>
      <c r="X73" s="157">
        <f t="shared" si="10"/>
        <v>44255</v>
      </c>
      <c r="Y73" s="385">
        <f t="shared" si="11"/>
        <v>33.249000000000002</v>
      </c>
      <c r="Z73" s="385">
        <f t="shared" si="12"/>
        <v>33.99421392420421</v>
      </c>
      <c r="AA73" s="386">
        <f t="shared" si="13"/>
        <v>37.065437885579961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8.2859508387747555E-2</v>
      </c>
      <c r="AD73" s="231">
        <f>(INDEX(Models!$BJ73:$BT73,,AH73)*(1-AF73)+INDEX(Models!$BJ73:$BT73,,AH73+1)*AF73-ERP_i)*AE73*Ramure*Pc/MaxiM</f>
        <v>5.7163612447766205E-4</v>
      </c>
      <c r="AE73" s="305">
        <f t="shared" si="15"/>
        <v>0.7</v>
      </c>
      <c r="AF73" s="177">
        <f t="shared" si="22"/>
        <v>0.50680133446470266</v>
      </c>
      <c r="AG73" s="919">
        <f t="shared" si="23"/>
        <v>-1</v>
      </c>
      <c r="AH73" s="176">
        <f t="shared" si="16"/>
        <v>5</v>
      </c>
      <c r="AI73" s="225">
        <f t="shared" si="17"/>
        <v>-0.49319866553529729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8">
        <v>36.247999999999998</v>
      </c>
      <c r="C74" s="390"/>
      <c r="D74" s="393">
        <f t="shared" si="0"/>
        <v>37.061242616191137</v>
      </c>
      <c r="E74" s="385">
        <f t="shared" si="1"/>
        <v>40.411101088545337</v>
      </c>
      <c r="F74" s="385">
        <f t="shared" si="2"/>
        <v>40.429766402891495</v>
      </c>
      <c r="G74" s="110">
        <f t="shared" si="21"/>
        <v>0.87056949527678495</v>
      </c>
      <c r="H74" s="412" t="b">
        <f>Wh_hp&gt;='2020'!Maxi_hp</f>
        <v>1</v>
      </c>
      <c r="I74" s="380">
        <f>IF(H74,Wh_hp,'2020'!Maxi_hp)</f>
        <v>40.429766402891495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2.1943209638520256E-2</v>
      </c>
      <c r="M74" s="957"/>
      <c r="N74" s="957"/>
      <c r="O74" s="48">
        <f>IF(t&lt;Tnet,'2020'!Resal+('2020'!Salim-'2020'!Resal)*(1-EXP(('2020'!Tnet-t)/('2020'!Tau_j))),Resal+(Salim-Resal)*(1-EXP((Tnet-t)/(Tau_j))))*Salcycl</f>
        <v>8.2894511213992342E-2</v>
      </c>
      <c r="P74" s="169">
        <f>(INDEX(Models!$BJ74:$BT74,,T74)*(1-R74)+INDEX(Models!$BJ74:$BT74,,T74+1)*R74-ERP_i)*Q74*Ramure*Pc/MaxiM</f>
        <v>5.6630995552537971E-4</v>
      </c>
      <c r="Q74" s="305">
        <f t="shared" si="4"/>
        <v>0.7</v>
      </c>
      <c r="R74" s="177">
        <f t="shared" si="5"/>
        <v>0.50710943890976146</v>
      </c>
      <c r="S74" s="919">
        <f t="shared" si="6"/>
        <v>-1</v>
      </c>
      <c r="T74" s="176">
        <f t="shared" si="7"/>
        <v>5</v>
      </c>
      <c r="U74" s="251">
        <f t="shared" si="8"/>
        <v>-0.49289056109023854</v>
      </c>
      <c r="V74" s="383">
        <f t="shared" si="9"/>
        <v>41.632753673282032</v>
      </c>
      <c r="W74" s="402"/>
      <c r="X74" s="157">
        <f t="shared" si="10"/>
        <v>44256</v>
      </c>
      <c r="Y74" s="385">
        <f t="shared" si="11"/>
        <v>36.247999999999998</v>
      </c>
      <c r="Z74" s="385">
        <f t="shared" si="12"/>
        <v>37.061242616191137</v>
      </c>
      <c r="AA74" s="386">
        <f t="shared" si="13"/>
        <v>40.411101088545337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8.2894511213992342E-2</v>
      </c>
      <c r="AD74" s="231">
        <f>(INDEX(Models!$BJ74:$BT74,,AH74)*(1-AF74)+INDEX(Models!$BJ74:$BT74,,AH74+1)*AF74-ERP_i)*AE74*Ramure*Pc/MaxiM</f>
        <v>5.6630995552537971E-4</v>
      </c>
      <c r="AE74" s="305">
        <f t="shared" si="15"/>
        <v>0.7</v>
      </c>
      <c r="AF74" s="177">
        <f t="shared" si="22"/>
        <v>0.50710943890976146</v>
      </c>
      <c r="AG74" s="919">
        <f t="shared" si="23"/>
        <v>-1</v>
      </c>
      <c r="AH74" s="176">
        <f t="shared" si="16"/>
        <v>5</v>
      </c>
      <c r="AI74" s="225">
        <f t="shared" si="17"/>
        <v>-0.49289056109023854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8">
        <v>16.094999999999999</v>
      </c>
      <c r="C75" s="390"/>
      <c r="D75" s="393">
        <f t="shared" si="0"/>
        <v>16.456460083038074</v>
      </c>
      <c r="E75" s="385">
        <f t="shared" si="1"/>
        <v>17.944596094781321</v>
      </c>
      <c r="F75" s="385">
        <f t="shared" si="2"/>
        <v>17.945802177089654</v>
      </c>
      <c r="G75" s="110">
        <f t="shared" si="21"/>
        <v>0.38386059703020647</v>
      </c>
      <c r="H75" s="412" t="b">
        <f>Wh_hp&gt;='2020'!Maxi_hp</f>
        <v>0</v>
      </c>
      <c r="I75" s="380">
        <f>IF(H75,Wh_hp,'2020'!Maxi_hp)</f>
        <v>32.956677810715547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2.196463159234574E-2</v>
      </c>
      <c r="M75" s="957"/>
      <c r="N75" s="957"/>
      <c r="O75" s="48">
        <f>IF(t&lt;Tnet,'2020'!Resal+('2020'!Salim-'2020'!Resal)*(1-EXP(('2020'!Tnet-t)/('2020'!Tau_j))),Resal+(Salim-Resal)*(1-EXP((Tnet-t)/(Tau_j))))*Salcycl</f>
        <v>8.292947937546663E-2</v>
      </c>
      <c r="P75" s="169">
        <f>(INDEX(Models!$BJ75:$BT75,,T75)*(1-R75)+INDEX(Models!$BJ75:$BT75,,T75+1)*R75-ERP_i)*Q75*Ramure*Pc/MaxiM</f>
        <v>5.5972618537677922E-4</v>
      </c>
      <c r="Q75" s="305">
        <f t="shared" si="4"/>
        <v>0.7</v>
      </c>
      <c r="R75" s="177">
        <f t="shared" si="5"/>
        <v>0.50743005987902301</v>
      </c>
      <c r="S75" s="919">
        <f t="shared" si="6"/>
        <v>-1</v>
      </c>
      <c r="T75" s="176">
        <f t="shared" si="7"/>
        <v>5</v>
      </c>
      <c r="U75" s="251">
        <f t="shared" si="8"/>
        <v>-0.49256994012097699</v>
      </c>
      <c r="V75" s="383">
        <f t="shared" si="9"/>
        <v>41.908631660260866</v>
      </c>
      <c r="W75" s="402"/>
      <c r="X75" s="157">
        <f t="shared" si="10"/>
        <v>44257</v>
      </c>
      <c r="Y75" s="385">
        <f t="shared" si="11"/>
        <v>16.094999999999999</v>
      </c>
      <c r="Z75" s="385">
        <f t="shared" si="12"/>
        <v>16.456460083038074</v>
      </c>
      <c r="AA75" s="386">
        <f t="shared" si="13"/>
        <v>17.944596094781321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8.292947937546663E-2</v>
      </c>
      <c r="AD75" s="231">
        <f>(INDEX(Models!$BJ75:$BT75,,AH75)*(1-AF75)+INDEX(Models!$BJ75:$BT75,,AH75+1)*AF75-ERP_i)*AE75*Ramure*Pc/MaxiM</f>
        <v>5.5972618537677922E-4</v>
      </c>
      <c r="AE75" s="305">
        <f t="shared" si="15"/>
        <v>0.7</v>
      </c>
      <c r="AF75" s="177">
        <f t="shared" si="22"/>
        <v>0.50743005987902301</v>
      </c>
      <c r="AG75" s="919">
        <f t="shared" si="23"/>
        <v>-1</v>
      </c>
      <c r="AH75" s="176">
        <f t="shared" si="16"/>
        <v>5</v>
      </c>
      <c r="AI75" s="225">
        <f t="shared" si="17"/>
        <v>-0.49256994012097699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8">
        <v>14.115</v>
      </c>
      <c r="C76" s="390"/>
      <c r="D76" s="393">
        <f t="shared" si="0"/>
        <v>14.432309523200423</v>
      </c>
      <c r="E76" s="385">
        <f t="shared" si="1"/>
        <v>15.738003931922915</v>
      </c>
      <c r="F76" s="385">
        <f t="shared" si="2"/>
        <v>15.738433409655295</v>
      </c>
      <c r="G76" s="110">
        <f t="shared" si="21"/>
        <v>0.33443520345957134</v>
      </c>
      <c r="H76" s="412" t="b">
        <f>Wh_hp&gt;='2020'!Maxi_hp</f>
        <v>0</v>
      </c>
      <c r="I76" s="380">
        <f>IF(H76,Wh_hp,'2020'!Maxi_hp)</f>
        <v>39.881954773703235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2.1986053076975542E-2</v>
      </c>
      <c r="M76" s="957"/>
      <c r="N76" s="957"/>
      <c r="O76" s="48">
        <f>IF(t&lt;Tnet,'2020'!Resal+('2020'!Salim-'2020'!Resal)*(1-EXP(('2020'!Tnet-t)/('2020'!Tau_j))),Resal+(Salim-Resal)*(1-EXP((Tnet-t)/(Tau_j))))*Salcycl</f>
        <v>8.2964422576742802E-2</v>
      </c>
      <c r="P76" s="169">
        <f>(INDEX(Models!$BJ76:$BT76,,T76)*(1-R76)+INDEX(Models!$BJ76:$BT76,,T76+1)*R76-ERP_i)*Q76*Ramure*Pc/MaxiM</f>
        <v>5.5190733128593437E-4</v>
      </c>
      <c r="Q76" s="305">
        <f t="shared" si="4"/>
        <v>0.7</v>
      </c>
      <c r="R76" s="177">
        <f t="shared" si="5"/>
        <v>0.50776368828888097</v>
      </c>
      <c r="S76" s="919">
        <f t="shared" si="6"/>
        <v>-1</v>
      </c>
      <c r="T76" s="176">
        <f t="shared" si="7"/>
        <v>5</v>
      </c>
      <c r="U76" s="251">
        <f t="shared" si="8"/>
        <v>-0.49223631171111909</v>
      </c>
      <c r="V76" s="383">
        <f t="shared" si="9"/>
        <v>42.183342712514346</v>
      </c>
      <c r="W76" s="402"/>
      <c r="X76" s="157">
        <f t="shared" si="10"/>
        <v>44258</v>
      </c>
      <c r="Y76" s="385">
        <f t="shared" si="11"/>
        <v>14.115</v>
      </c>
      <c r="Z76" s="385">
        <f t="shared" si="12"/>
        <v>14.432309523200423</v>
      </c>
      <c r="AA76" s="386">
        <f t="shared" si="13"/>
        <v>15.738003931922915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8.2964422576742802E-2</v>
      </c>
      <c r="AD76" s="231">
        <f>(INDEX(Models!$BJ76:$BT76,,AH76)*(1-AF76)+INDEX(Models!$BJ76:$BT76,,AH76+1)*AF76-ERP_i)*AE76*Ramure*Pc/MaxiM</f>
        <v>5.5190733128593437E-4</v>
      </c>
      <c r="AE76" s="305">
        <f t="shared" si="15"/>
        <v>0.7</v>
      </c>
      <c r="AF76" s="177">
        <f t="shared" si="22"/>
        <v>0.50776368828888097</v>
      </c>
      <c r="AG76" s="919">
        <f t="shared" si="23"/>
        <v>-1</v>
      </c>
      <c r="AH76" s="176">
        <f t="shared" si="16"/>
        <v>5</v>
      </c>
      <c r="AI76" s="225">
        <f t="shared" si="17"/>
        <v>-0.49223631171111909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8">
        <v>29.876000000000001</v>
      </c>
      <c r="C77" s="390"/>
      <c r="D77" s="393">
        <f t="shared" si="0"/>
        <v>30.548290716511332</v>
      </c>
      <c r="E77" s="385">
        <f t="shared" si="1"/>
        <v>33.313270595018381</v>
      </c>
      <c r="F77" s="385">
        <f t="shared" si="2"/>
        <v>33.323703114447028</v>
      </c>
      <c r="G77" s="110">
        <f t="shared" si="21"/>
        <v>0.70351517863924862</v>
      </c>
      <c r="H77" s="412" t="b">
        <f>Wh_hp&gt;='2020'!Maxi_hp</f>
        <v>1</v>
      </c>
      <c r="I77" s="380">
        <f>IF(H77,Wh_hp,'2020'!Maxi_hp)</f>
        <v>33.323703114447028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2.2007474092419765E-2</v>
      </c>
      <c r="M77" s="957"/>
      <c r="N77" s="957"/>
      <c r="O77" s="48">
        <f>IF(t&lt;Tnet,'2020'!Resal+('2020'!Salim-'2020'!Resal)*(1-EXP(('2020'!Tnet-t)/('2020'!Tau_j))),Resal+(Salim-Resal)*(1-EXP((Tnet-t)/(Tau_j))))*Salcycl</f>
        <v>8.2999352183706715E-2</v>
      </c>
      <c r="P77" s="169">
        <f>(INDEX(Models!$BJ77:$BT77,,T77)*(1-R77)+INDEX(Models!$BJ77:$BT77,,T77+1)*R77-ERP_i)*Q77*Ramure*Pc/MaxiM</f>
        <v>5.4287525164710166E-4</v>
      </c>
      <c r="Q77" s="305">
        <f t="shared" si="4"/>
        <v>0.7</v>
      </c>
      <c r="R77" s="177">
        <f t="shared" si="5"/>
        <v>0.50811083283397918</v>
      </c>
      <c r="S77" s="919">
        <f t="shared" si="6"/>
        <v>-1</v>
      </c>
      <c r="T77" s="176">
        <f t="shared" si="7"/>
        <v>5</v>
      </c>
      <c r="U77" s="251">
        <f t="shared" si="8"/>
        <v>-0.49188916716602082</v>
      </c>
      <c r="V77" s="383">
        <f t="shared" si="9"/>
        <v>42.456983127702422</v>
      </c>
      <c r="W77" s="402"/>
      <c r="X77" s="157">
        <f t="shared" si="10"/>
        <v>44259</v>
      </c>
      <c r="Y77" s="385">
        <f t="shared" si="11"/>
        <v>29.875999999999998</v>
      </c>
      <c r="Z77" s="385">
        <f t="shared" si="12"/>
        <v>30.548290716511328</v>
      </c>
      <c r="AA77" s="386">
        <f t="shared" si="13"/>
        <v>33.313270595018381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8.2999352183706715E-2</v>
      </c>
      <c r="AD77" s="231">
        <f>(INDEX(Models!$BJ77:$BT77,,AH77)*(1-AF77)+INDEX(Models!$BJ77:$BT77,,AH77+1)*AF77-ERP_i)*AE77*Ramure*Pc/MaxiM</f>
        <v>5.4287525164710166E-4</v>
      </c>
      <c r="AE77" s="305">
        <f t="shared" si="15"/>
        <v>0.7</v>
      </c>
      <c r="AF77" s="177">
        <f t="shared" si="22"/>
        <v>0.50811083283397918</v>
      </c>
      <c r="AG77" s="919">
        <f t="shared" si="23"/>
        <v>-1</v>
      </c>
      <c r="AH77" s="176">
        <f t="shared" si="16"/>
        <v>5</v>
      </c>
      <c r="AI77" s="225">
        <f t="shared" si="17"/>
        <v>-0.49188916716602082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8">
        <v>34.515999999999998</v>
      </c>
      <c r="C78" s="390"/>
      <c r="D78" s="393">
        <f t="shared" si="0"/>
        <v>35.293476270189053</v>
      </c>
      <c r="E78" s="385">
        <f t="shared" si="1"/>
        <v>38.489417376617389</v>
      </c>
      <c r="F78" s="385">
        <f t="shared" si="2"/>
        <v>38.504294757802363</v>
      </c>
      <c r="G78" s="110">
        <f t="shared" si="21"/>
        <v>0.80765815241190553</v>
      </c>
      <c r="H78" s="412" t="b">
        <f>Wh_hp&gt;='2020'!Maxi_hp</f>
        <v>0</v>
      </c>
      <c r="I78" s="380">
        <f>IF(H78,Wh_hp,'2020'!Maxi_hp)</f>
        <v>47.032781812856342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2.2028894638688734E-2</v>
      </c>
      <c r="M78" s="957"/>
      <c r="N78" s="957"/>
      <c r="O78" s="48">
        <f>IF(t&lt;Tnet,'2020'!Resal+('2020'!Salim-'2020'!Resal)*(1-EXP(('2020'!Tnet-t)/('2020'!Tau_j))),Resal+(Salim-Resal)*(1-EXP((Tnet-t)/(Tau_j))))*Salcycl</f>
        <v>8.3034281219592943E-2</v>
      </c>
      <c r="P78" s="169">
        <f>(INDEX(Models!$BJ78:$BT78,,T78)*(1-R78)+INDEX(Models!$BJ78:$BT78,,T78+1)*R78-ERP_i)*Q78*Ramure*Pc/MaxiM</f>
        <v>5.3265117247717716E-4</v>
      </c>
      <c r="Q78" s="305">
        <f t="shared" si="4"/>
        <v>0.7</v>
      </c>
      <c r="R78" s="177">
        <f t="shared" si="5"/>
        <v>0.50847202050587481</v>
      </c>
      <c r="S78" s="919">
        <f t="shared" si="6"/>
        <v>-1</v>
      </c>
      <c r="T78" s="176">
        <f t="shared" si="7"/>
        <v>5</v>
      </c>
      <c r="U78" s="251">
        <f t="shared" si="8"/>
        <v>-0.49152797949412519</v>
      </c>
      <c r="V78" s="383">
        <f t="shared" si="9"/>
        <v>42.729649087267632</v>
      </c>
      <c r="W78" s="402"/>
      <c r="X78" s="157">
        <f t="shared" si="10"/>
        <v>44260</v>
      </c>
      <c r="Y78" s="385">
        <f t="shared" si="11"/>
        <v>34.515999999999998</v>
      </c>
      <c r="Z78" s="385">
        <f t="shared" si="12"/>
        <v>35.293476270189053</v>
      </c>
      <c r="AA78" s="386">
        <f t="shared" si="13"/>
        <v>38.489417376617389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8.3034281219592943E-2</v>
      </c>
      <c r="AD78" s="231">
        <f>(INDEX(Models!$BJ78:$BT78,,AH78)*(1-AF78)+INDEX(Models!$BJ78:$BT78,,AH78+1)*AF78-ERP_i)*AE78*Ramure*Pc/MaxiM</f>
        <v>5.3265117247717716E-4</v>
      </c>
      <c r="AE78" s="305">
        <f t="shared" si="15"/>
        <v>0.7</v>
      </c>
      <c r="AF78" s="177">
        <f t="shared" si="22"/>
        <v>0.50847202050587481</v>
      </c>
      <c r="AG78" s="919">
        <f t="shared" si="23"/>
        <v>-1</v>
      </c>
      <c r="AH78" s="176">
        <f t="shared" si="16"/>
        <v>5</v>
      </c>
      <c r="AI78" s="225">
        <f t="shared" si="17"/>
        <v>-0.49152797949412519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8">
        <v>10.524000000000001</v>
      </c>
      <c r="C79" s="390"/>
      <c r="D79" s="393">
        <f t="shared" ref="D79:D142" si="24">Wh/(1-Ppv)</f>
        <v>10.76128982744298</v>
      </c>
      <c r="E79" s="385">
        <f t="shared" si="1"/>
        <v>11.736207479583744</v>
      </c>
      <c r="F79" s="385">
        <f t="shared" ref="F79:F142" si="25">Wh_sa/(1-Pvg*MEDIAN((-Sdif+Wh/Env_an)/Csdif,0,1))</f>
        <v>11.736207479583744</v>
      </c>
      <c r="G79" s="110">
        <f t="shared" si="21"/>
        <v>0.24460624315329946</v>
      </c>
      <c r="H79" s="412" t="b">
        <f>Wh_hp&gt;='2020'!Maxi_hp</f>
        <v>0</v>
      </c>
      <c r="I79" s="380">
        <f>IF(H79,Wh_hp,'2020'!Maxi_hp)</f>
        <v>24.181479709212134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2.2050314715792885E-2</v>
      </c>
      <c r="M79" s="957"/>
      <c r="N79" s="957"/>
      <c r="O79" s="48">
        <f>IF(t&lt;Tnet,'2020'!Resal+('2020'!Salim-'2020'!Resal)*(1-EXP(('2020'!Tnet-t)/('2020'!Tau_j))),Resal+(Salim-Resal)*(1-EXP((Tnet-t)/(Tau_j))))*Salcycl</f>
        <v>8.3069224350091439E-2</v>
      </c>
      <c r="P79" s="169">
        <f>(INDEX(Models!$BJ79:$BT79,,T79)*(1-R79)+INDEX(Models!$BJ79:$BT79,,T79+1)*R79-ERP_i)*Q79*Ramure*Pc/MaxiM</f>
        <v>5.2125102566119564E-4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0.50884779711577299</v>
      </c>
      <c r="S79" s="919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-0.49115220288422706</v>
      </c>
      <c r="V79" s="383">
        <f t="shared" ref="V79:V142" si="32">MaxiM*(1-Ppv)*(1-Pvg)*(1-Psa)</f>
        <v>43.00182292409351</v>
      </c>
      <c r="W79" s="402"/>
      <c r="X79" s="157">
        <f t="shared" ref="X79:X142" si="33">t</f>
        <v>44261</v>
      </c>
      <c r="Y79" s="385">
        <f t="shared" ref="Y79:Y142" si="34">Wh_pvt_s*(1-Ppv)</f>
        <v>10.524000000000001</v>
      </c>
      <c r="Z79" s="385">
        <f t="shared" ref="Z79:Z142" si="35">Wh_sa_s*(1-Psa_s)</f>
        <v>10.76128982744298</v>
      </c>
      <c r="AA79" s="386">
        <f t="shared" ref="AA79:AA142" si="36">Wh_hp*(1-Pvg_s*MEDIAN((-Sdif+Wh/Env_an)/Csdif,0,1))</f>
        <v>11.736207479583744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8.3069224350091439E-2</v>
      </c>
      <c r="AD79" s="231">
        <f>(INDEX(Models!$BJ79:$BT79,,AH79)*(1-AF79)+INDEX(Models!$BJ79:$BT79,,AH79+1)*AF79-ERP_i)*AE79*Ramure*Pc/MaxiM</f>
        <v>5.2125102566119564E-4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0.50884779711577299</v>
      </c>
      <c r="AG79" s="919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-0.49115220288422706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8">
        <v>7.95</v>
      </c>
      <c r="C80" s="390"/>
      <c r="D80" s="393">
        <f t="shared" si="24"/>
        <v>8.1294306331379129</v>
      </c>
      <c r="E80" s="385">
        <f t="shared" ref="E80:E143" si="45">Wh_pvt/(1-Psa)</f>
        <v>8.8662535199150891</v>
      </c>
      <c r="F80" s="385">
        <f t="shared" si="25"/>
        <v>8.8662535199150891</v>
      </c>
      <c r="G80" s="110">
        <f t="shared" ref="G80:G143" si="46">+Wh_hp/MaxiM</f>
        <v>0.18362077915803759</v>
      </c>
      <c r="H80" s="412" t="b">
        <f>Wh_hp&gt;='2020'!Maxi_hp</f>
        <v>0</v>
      </c>
      <c r="I80" s="380">
        <f>IF(H80,Wh_hp,'2020'!Maxi_hp)</f>
        <v>43.018931785268983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2.207173432374232E-2</v>
      </c>
      <c r="M80" s="957"/>
      <c r="N80" s="957"/>
      <c r="O80" s="48">
        <f>IF(t&lt;Tnet,'2020'!Resal+('2020'!Salim-'2020'!Resal)*(1-EXP(('2020'!Tnet-t)/('2020'!Tau_j))),Resal+(Salim-Resal)*(1-EXP((Tnet-t)/(Tau_j))))*Salcycl</f>
        <v>8.3104197857883144E-2</v>
      </c>
      <c r="P80" s="169">
        <f>(INDEX(Models!$BJ80:$BT80,,T80)*(1-R80)+INDEX(Models!$BJ80:$BT80,,T80+1)*R80-ERP_i)*Q80*Ramure*Pc/MaxiM</f>
        <v>5.0853398384662443E-4</v>
      </c>
      <c r="Q80" s="305">
        <f t="shared" si="27"/>
        <v>0.7</v>
      </c>
      <c r="R80" s="177">
        <f t="shared" si="28"/>
        <v>0.50923872782020851</v>
      </c>
      <c r="S80" s="919">
        <f t="shared" si="29"/>
        <v>-1</v>
      </c>
      <c r="T80" s="176">
        <f t="shared" si="30"/>
        <v>5</v>
      </c>
      <c r="U80" s="251">
        <f t="shared" si="31"/>
        <v>-0.49076127217979149</v>
      </c>
      <c r="V80" s="383">
        <f t="shared" si="32"/>
        <v>43.273736182055636</v>
      </c>
      <c r="W80" s="402"/>
      <c r="X80" s="157">
        <f t="shared" si="33"/>
        <v>44262</v>
      </c>
      <c r="Y80" s="385">
        <f t="shared" si="34"/>
        <v>7.95</v>
      </c>
      <c r="Z80" s="385">
        <f t="shared" si="35"/>
        <v>8.1294306331379129</v>
      </c>
      <c r="AA80" s="386">
        <f t="shared" si="36"/>
        <v>8.8662535199150891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8.3104197857883144E-2</v>
      </c>
      <c r="AD80" s="231">
        <f>(INDEX(Models!$BJ80:$BT80,,AH80)*(1-AF80)+INDEX(Models!$BJ80:$BT80,,AH80+1)*AF80-ERP_i)*AE80*Ramure*Pc/MaxiM</f>
        <v>5.0853398384662443E-4</v>
      </c>
      <c r="AE80" s="305">
        <f t="shared" si="38"/>
        <v>0.7</v>
      </c>
      <c r="AF80" s="177">
        <f t="shared" si="39"/>
        <v>0.50923872782020851</v>
      </c>
      <c r="AG80" s="919">
        <f t="shared" ref="AG80:AG143" si="47">INDEX(Echel_vg,AH80)</f>
        <v>-1</v>
      </c>
      <c r="AH80" s="176">
        <f t="shared" si="40"/>
        <v>5</v>
      </c>
      <c r="AI80" s="225">
        <f t="shared" si="41"/>
        <v>-0.49076127217979149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8">
        <v>18.533999999999999</v>
      </c>
      <c r="C81" s="390"/>
      <c r="D81" s="393">
        <f t="shared" si="24"/>
        <v>18.952725472395155</v>
      </c>
      <c r="E81" s="385">
        <f t="shared" si="45"/>
        <v>20.671323147089439</v>
      </c>
      <c r="F81" s="385">
        <f t="shared" si="25"/>
        <v>20.673159276873783</v>
      </c>
      <c r="G81" s="110">
        <f t="shared" si="46"/>
        <v>0.42545500144443987</v>
      </c>
      <c r="H81" s="412" t="b">
        <f>Wh_hp&gt;='2020'!Maxi_hp</f>
        <v>0</v>
      </c>
      <c r="I81" s="380">
        <f>IF(H81,Wh_hp,'2020'!Maxi_hp)</f>
        <v>31.739043805297161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2.2093153462547366E-2</v>
      </c>
      <c r="M81" s="957"/>
      <c r="N81" s="957"/>
      <c r="O81" s="48">
        <f>IF(t&lt;Tnet,'2020'!Resal+('2020'!Salim-'2020'!Resal)*(1-EXP(('2020'!Tnet-t)/('2020'!Tau_j))),Resal+(Salim-Resal)*(1-EXP((Tnet-t)/(Tau_j))))*Salcycl</f>
        <v>8.3139219607055712E-2</v>
      </c>
      <c r="P81" s="169">
        <f>(INDEX(Models!$BJ81:$BT81,,T81)*(1-R81)+INDEX(Models!$BJ81:$BT81,,T81+1)*R81-ERP_i)*Q81*Ramure*Pc/MaxiM</f>
        <v>4.9488994278518888E-4</v>
      </c>
      <c r="Q81" s="305">
        <f t="shared" si="27"/>
        <v>0.7</v>
      </c>
      <c r="R81" s="177">
        <f t="shared" si="28"/>
        <v>0.50964539764841854</v>
      </c>
      <c r="S81" s="919">
        <f t="shared" si="29"/>
        <v>-1</v>
      </c>
      <c r="T81" s="176">
        <f t="shared" si="30"/>
        <v>5</v>
      </c>
      <c r="U81" s="251">
        <f t="shared" si="31"/>
        <v>-0.4903546023515814</v>
      </c>
      <c r="V81" s="383">
        <f t="shared" si="32"/>
        <v>43.545082592237968</v>
      </c>
      <c r="W81" s="402"/>
      <c r="X81" s="157">
        <f t="shared" si="33"/>
        <v>44263</v>
      </c>
      <c r="Y81" s="385">
        <f t="shared" si="34"/>
        <v>18.533999999999999</v>
      </c>
      <c r="Z81" s="385">
        <f t="shared" si="35"/>
        <v>18.952725472395155</v>
      </c>
      <c r="AA81" s="386">
        <f t="shared" si="36"/>
        <v>20.671323147089439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8.3139219607055712E-2</v>
      </c>
      <c r="AD81" s="231">
        <f>(INDEX(Models!$BJ81:$BT81,,AH81)*(1-AF81)+INDEX(Models!$BJ81:$BT81,,AH81+1)*AF81-ERP_i)*AE81*Ramure*Pc/MaxiM</f>
        <v>4.9488994278518888E-4</v>
      </c>
      <c r="AE81" s="305">
        <f t="shared" si="38"/>
        <v>0.7</v>
      </c>
      <c r="AF81" s="177">
        <f t="shared" si="39"/>
        <v>0.50964539764841854</v>
      </c>
      <c r="AG81" s="919">
        <f t="shared" si="47"/>
        <v>-1</v>
      </c>
      <c r="AH81" s="176">
        <f t="shared" si="40"/>
        <v>5</v>
      </c>
      <c r="AI81" s="225">
        <f t="shared" si="41"/>
        <v>-0.4903546023515814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8">
        <v>39.984000000000002</v>
      </c>
      <c r="C82" s="390"/>
      <c r="D82" s="393">
        <f t="shared" si="24"/>
        <v>40.888225614715033</v>
      </c>
      <c r="E82" s="385">
        <f t="shared" si="45"/>
        <v>44.59760019380056</v>
      </c>
      <c r="F82" s="385">
        <f t="shared" si="25"/>
        <v>44.616353864796501</v>
      </c>
      <c r="G82" s="110">
        <f t="shared" si="46"/>
        <v>0.91249750203568825</v>
      </c>
      <c r="H82" s="412" t="b">
        <f>Wh_hp&gt;='2020'!Maxi_hp</f>
        <v>1</v>
      </c>
      <c r="I82" s="380">
        <f>IF(H82,Wh_hp,'2020'!Maxi_hp)</f>
        <v>44.616353864796501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2.2114572132218235E-2</v>
      </c>
      <c r="M82" s="957"/>
      <c r="N82" s="957"/>
      <c r="O82" s="48">
        <f>IF(t&lt;Tnet,'2020'!Resal+('2020'!Salim-'2020'!Resal)*(1-EXP(('2020'!Tnet-t)/('2020'!Tau_j))),Resal+(Salim-Resal)*(1-EXP((Tnet-t)/(Tau_j))))*Salcycl</f>
        <v>8.3174308997934931E-2</v>
      </c>
      <c r="P82" s="169">
        <f>(INDEX(Models!$BJ82:$BT82,,T82)*(1-R82)+INDEX(Models!$BJ82:$BT82,,T82+1)*R82-ERP_i)*Q82*Ramure*Pc/MaxiM</f>
        <v>4.8033816336637888E-4</v>
      </c>
      <c r="Q82" s="305">
        <f t="shared" si="27"/>
        <v>0.7</v>
      </c>
      <c r="R82" s="177">
        <f t="shared" si="28"/>
        <v>0.51006841203000552</v>
      </c>
      <c r="S82" s="919">
        <f t="shared" si="29"/>
        <v>-1</v>
      </c>
      <c r="T82" s="176">
        <f t="shared" si="30"/>
        <v>5</v>
      </c>
      <c r="U82" s="251">
        <f t="shared" si="31"/>
        <v>-0.48993158796999448</v>
      </c>
      <c r="V82" s="383">
        <f t="shared" si="32"/>
        <v>43.81557166595308</v>
      </c>
      <c r="W82" s="402"/>
      <c r="X82" s="157">
        <f t="shared" si="33"/>
        <v>44264</v>
      </c>
      <c r="Y82" s="385">
        <f t="shared" si="34"/>
        <v>39.984000000000002</v>
      </c>
      <c r="Z82" s="385">
        <f t="shared" si="35"/>
        <v>40.888225614715033</v>
      </c>
      <c r="AA82" s="386">
        <f t="shared" si="36"/>
        <v>44.59760019380056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8.3174308997934931E-2</v>
      </c>
      <c r="AD82" s="231">
        <f>(INDEX(Models!$BJ82:$BT82,,AH82)*(1-AF82)+INDEX(Models!$BJ82:$BT82,,AH82+1)*AF82-ERP_i)*AE82*Ramure*Pc/MaxiM</f>
        <v>4.8033816336637888E-4</v>
      </c>
      <c r="AE82" s="305">
        <f t="shared" si="38"/>
        <v>0.7</v>
      </c>
      <c r="AF82" s="177">
        <f t="shared" si="39"/>
        <v>0.51006841203000552</v>
      </c>
      <c r="AG82" s="919">
        <f t="shared" si="47"/>
        <v>-1</v>
      </c>
      <c r="AH82" s="176">
        <f t="shared" si="40"/>
        <v>5</v>
      </c>
      <c r="AI82" s="225">
        <f t="shared" si="41"/>
        <v>-0.48993158796999448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8">
        <v>40.588999999999999</v>
      </c>
      <c r="C83" s="390"/>
      <c r="D83" s="393">
        <f t="shared" si="24"/>
        <v>41.507816627602814</v>
      </c>
      <c r="E83" s="385">
        <f t="shared" si="45"/>
        <v>45.275137596958579</v>
      </c>
      <c r="F83" s="385">
        <f t="shared" si="25"/>
        <v>45.293809105395539</v>
      </c>
      <c r="G83" s="110">
        <f t="shared" si="46"/>
        <v>0.92065195993929616</v>
      </c>
      <c r="H83" s="412" t="b">
        <f>Wh_hp&gt;='2020'!Maxi_hp</f>
        <v>1</v>
      </c>
      <c r="I83" s="380">
        <f>IF(H83,Wh_hp,'2020'!Maxi_hp)</f>
        <v>45.293809105395539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2.2135990332765365E-2</v>
      </c>
      <c r="M83" s="957"/>
      <c r="N83" s="957"/>
      <c r="O83" s="48">
        <f>IF(t&lt;Tnet,'2020'!Resal+('2020'!Salim-'2020'!Resal)*(1-EXP(('2020'!Tnet-t)/('2020'!Tau_j))),Resal+(Salim-Resal)*(1-EXP((Tnet-t)/(Tau_j))))*Salcycl</f>
        <v>8.3209486912941791E-2</v>
      </c>
      <c r="P83" s="169">
        <f>(INDEX(Models!$BJ83:$BT83,,T83)*(1-R83)+INDEX(Models!$BJ83:$BT83,,T83+1)*R83-ERP_i)*Q83*Ramure*Pc/MaxiM</f>
        <v>4.6489676701602693E-4</v>
      </c>
      <c r="Q83" s="305">
        <f t="shared" si="27"/>
        <v>0.7</v>
      </c>
      <c r="R83" s="177">
        <f t="shared" si="28"/>
        <v>0.51050839732134223</v>
      </c>
      <c r="S83" s="919">
        <f t="shared" si="29"/>
        <v>-1</v>
      </c>
      <c r="T83" s="176">
        <f t="shared" si="30"/>
        <v>5</v>
      </c>
      <c r="U83" s="251">
        <f t="shared" si="31"/>
        <v>-0.48949160267865771</v>
      </c>
      <c r="V83" s="383">
        <f t="shared" si="32"/>
        <v>44.084912899003527</v>
      </c>
      <c r="W83" s="402"/>
      <c r="X83" s="157">
        <f t="shared" si="33"/>
        <v>44265</v>
      </c>
      <c r="Y83" s="385">
        <f t="shared" si="34"/>
        <v>40.588999999999999</v>
      </c>
      <c r="Z83" s="385">
        <f t="shared" si="35"/>
        <v>41.507816627602814</v>
      </c>
      <c r="AA83" s="386">
        <f t="shared" si="36"/>
        <v>45.275137596958579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8.3209486912941791E-2</v>
      </c>
      <c r="AD83" s="231">
        <f>(INDEX(Models!$BJ83:$BT83,,AH83)*(1-AF83)+INDEX(Models!$BJ83:$BT83,,AH83+1)*AF83-ERP_i)*AE83*Ramure*Pc/MaxiM</f>
        <v>4.6489676701602693E-4</v>
      </c>
      <c r="AE83" s="305">
        <f t="shared" si="38"/>
        <v>0.7</v>
      </c>
      <c r="AF83" s="177">
        <f t="shared" si="39"/>
        <v>0.51050839732134223</v>
      </c>
      <c r="AG83" s="919">
        <f t="shared" si="47"/>
        <v>-1</v>
      </c>
      <c r="AH83" s="176">
        <f t="shared" si="40"/>
        <v>5</v>
      </c>
      <c r="AI83" s="225">
        <f t="shared" si="41"/>
        <v>-0.48949160267865771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8">
        <v>32.508000000000003</v>
      </c>
      <c r="C84" s="390"/>
      <c r="D84" s="393">
        <f t="shared" si="24"/>
        <v>33.2446144891736</v>
      </c>
      <c r="E84" s="385">
        <f t="shared" si="45"/>
        <v>36.263348826722336</v>
      </c>
      <c r="F84" s="385">
        <f t="shared" si="25"/>
        <v>36.273412618426136</v>
      </c>
      <c r="G84" s="110">
        <f t="shared" si="46"/>
        <v>0.73281559397364948</v>
      </c>
      <c r="H84" s="412" t="b">
        <f>Wh_hp&gt;='2020'!Maxi_hp</f>
        <v>1</v>
      </c>
      <c r="I84" s="380">
        <f>IF(H84,Wh_hp,'2020'!Maxi_hp)</f>
        <v>36.273412618426136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2.2157408064198858E-2</v>
      </c>
      <c r="M84" s="957"/>
      <c r="N84" s="957"/>
      <c r="O84" s="48">
        <f>IF(t&lt;Tnet,'2020'!Resal+('2020'!Salim-'2020'!Resal)*(1-EXP(('2020'!Tnet-t)/('2020'!Tau_j))),Resal+(Salim-Resal)*(1-EXP((Tnet-t)/(Tau_j))))*Salcycl</f>
        <v>8.3244775654151434E-2</v>
      </c>
      <c r="P84" s="169">
        <f>(INDEX(Models!$BJ84:$BT84,,T84)*(1-R84)+INDEX(Models!$BJ84:$BT84,,T84+1)*R84-ERP_i)*Q84*Ramure*Pc/MaxiM</f>
        <v>4.4858266092744835E-4</v>
      </c>
      <c r="Q84" s="305">
        <f t="shared" si="27"/>
        <v>0.7</v>
      </c>
      <c r="R84" s="177">
        <f t="shared" si="28"/>
        <v>0.51096600132900716</v>
      </c>
      <c r="S84" s="919">
        <f t="shared" si="29"/>
        <v>-1</v>
      </c>
      <c r="T84" s="176">
        <f t="shared" si="30"/>
        <v>5</v>
      </c>
      <c r="U84" s="251">
        <f t="shared" si="31"/>
        <v>-0.48903399867099284</v>
      </c>
      <c r="V84" s="383">
        <f t="shared" si="32"/>
        <v>44.352815774986794</v>
      </c>
      <c r="W84" s="402"/>
      <c r="X84" s="157">
        <f t="shared" si="33"/>
        <v>44266</v>
      </c>
      <c r="Y84" s="385">
        <f t="shared" si="34"/>
        <v>32.508000000000003</v>
      </c>
      <c r="Z84" s="385">
        <f t="shared" si="35"/>
        <v>33.2446144891736</v>
      </c>
      <c r="AA84" s="386">
        <f t="shared" si="36"/>
        <v>36.263348826722336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8.3244775654151434E-2</v>
      </c>
      <c r="AD84" s="231">
        <f>(INDEX(Models!$BJ84:$BT84,,AH84)*(1-AF84)+INDEX(Models!$BJ84:$BT84,,AH84+1)*AF84-ERP_i)*AE84*Ramure*Pc/MaxiM</f>
        <v>4.4858266092744835E-4</v>
      </c>
      <c r="AE84" s="305">
        <f t="shared" si="38"/>
        <v>0.7</v>
      </c>
      <c r="AF84" s="177">
        <f t="shared" si="39"/>
        <v>0.51096600132900716</v>
      </c>
      <c r="AG84" s="919">
        <f t="shared" si="47"/>
        <v>-1</v>
      </c>
      <c r="AH84" s="176">
        <f t="shared" si="40"/>
        <v>5</v>
      </c>
      <c r="AI84" s="225">
        <f t="shared" si="41"/>
        <v>-0.48903399867099284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8">
        <v>27.844999999999999</v>
      </c>
      <c r="C85" s="390"/>
      <c r="D85" s="393">
        <f t="shared" si="24"/>
        <v>28.47657702779696</v>
      </c>
      <c r="E85" s="385">
        <f t="shared" si="45"/>
        <v>31.063556162741545</v>
      </c>
      <c r="F85" s="385">
        <f t="shared" si="25"/>
        <v>31.069761411374312</v>
      </c>
      <c r="G85" s="110">
        <f t="shared" si="46"/>
        <v>0.62391702284018069</v>
      </c>
      <c r="H85" s="412" t="b">
        <f>Wh_hp&gt;='2020'!Maxi_hp</f>
        <v>0</v>
      </c>
      <c r="I85" s="380">
        <f>IF(H85,Wh_hp,'2020'!Maxi_hp)</f>
        <v>43.935491435363161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2.217882532652915E-2</v>
      </c>
      <c r="M85" s="957"/>
      <c r="N85" s="957"/>
      <c r="O85" s="48">
        <f>IF(t&lt;Tnet,'2020'!Resal+('2020'!Salim-'2020'!Resal)*(1-EXP(('2020'!Tnet-t)/('2020'!Tau_j))),Resal+(Salim-Resal)*(1-EXP((Tnet-t)/(Tau_j))))*Salcycl</f>
        <v>8.3280198873285263E-2</v>
      </c>
      <c r="P85" s="169">
        <f>(INDEX(Models!$BJ85:$BT85,,T85)*(1-R85)+INDEX(Models!$BJ85:$BT85,,T85+1)*R85-ERP_i)*Q85*Ramure*Pc/MaxiM</f>
        <v>4.3141146414625667E-4</v>
      </c>
      <c r="Q85" s="305">
        <f t="shared" si="27"/>
        <v>0.7</v>
      </c>
      <c r="R85" s="177">
        <f t="shared" si="28"/>
        <v>0.51144189382836236</v>
      </c>
      <c r="S85" s="919">
        <f t="shared" si="29"/>
        <v>-1</v>
      </c>
      <c r="T85" s="176">
        <f t="shared" si="30"/>
        <v>5</v>
      </c>
      <c r="U85" s="251">
        <f t="shared" si="31"/>
        <v>-0.48855810617163764</v>
      </c>
      <c r="V85" s="383">
        <f t="shared" si="32"/>
        <v>44.618989768904129</v>
      </c>
      <c r="W85" s="402"/>
      <c r="X85" s="157">
        <f t="shared" si="33"/>
        <v>44267</v>
      </c>
      <c r="Y85" s="385">
        <f t="shared" si="34"/>
        <v>27.844999999999999</v>
      </c>
      <c r="Z85" s="385">
        <f t="shared" si="35"/>
        <v>28.47657702779696</v>
      </c>
      <c r="AA85" s="386">
        <f t="shared" si="36"/>
        <v>31.063556162741545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8.3280198873285263E-2</v>
      </c>
      <c r="AD85" s="231">
        <f>(INDEX(Models!$BJ85:$BT85,,AH85)*(1-AF85)+INDEX(Models!$BJ85:$BT85,,AH85+1)*AF85-ERP_i)*AE85*Ramure*Pc/MaxiM</f>
        <v>4.3141146414625667E-4</v>
      </c>
      <c r="AE85" s="305">
        <f t="shared" si="38"/>
        <v>0.7</v>
      </c>
      <c r="AF85" s="177">
        <f t="shared" si="39"/>
        <v>0.51144189382836236</v>
      </c>
      <c r="AG85" s="919">
        <f t="shared" si="47"/>
        <v>-1</v>
      </c>
      <c r="AH85" s="176">
        <f t="shared" si="40"/>
        <v>5</v>
      </c>
      <c r="AI85" s="225">
        <f t="shared" si="41"/>
        <v>-0.48855810617163764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8">
        <v>38.350999999999999</v>
      </c>
      <c r="C86" s="390"/>
      <c r="D86" s="393">
        <f t="shared" si="24"/>
        <v>39.221731945547731</v>
      </c>
      <c r="E86" s="385">
        <f t="shared" si="45"/>
        <v>42.786524687323414</v>
      </c>
      <c r="F86" s="385">
        <f t="shared" si="25"/>
        <v>42.800557177693996</v>
      </c>
      <c r="G86" s="110">
        <f t="shared" si="46"/>
        <v>0.85439019348069456</v>
      </c>
      <c r="H86" s="412" t="b">
        <f>Wh_hp&gt;='2020'!Maxi_hp</f>
        <v>1</v>
      </c>
      <c r="I86" s="380">
        <f>IF(H86,Wh_hp,'2020'!Maxi_hp)</f>
        <v>42.800557177693996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2.2200242119766345E-2</v>
      </c>
      <c r="M86" s="957"/>
      <c r="N86" s="957"/>
      <c r="O86" s="48">
        <f>IF(t&lt;Tnet,'2020'!Resal+('2020'!Salim-'2020'!Resal)*(1-EXP(('2020'!Tnet-t)/('2020'!Tau_j))),Resal+(Salim-Resal)*(1-EXP((Tnet-t)/(Tau_j))))*Salcycl</f>
        <v>8.3315781494911659E-2</v>
      </c>
      <c r="P86" s="169">
        <f>(INDEX(Models!$BJ86:$BT86,,T86)*(1-R86)+INDEX(Models!$BJ86:$BT86,,T86+1)*R86-ERP_i)*Q86*Ramure*Pc/MaxiM</f>
        <v>4.1391409200563551E-4</v>
      </c>
      <c r="Q86" s="305">
        <f t="shared" si="27"/>
        <v>0.7</v>
      </c>
      <c r="R86" s="177">
        <f t="shared" si="28"/>
        <v>0.51193676707520819</v>
      </c>
      <c r="S86" s="919">
        <f t="shared" si="29"/>
        <v>-1</v>
      </c>
      <c r="T86" s="176">
        <f t="shared" si="30"/>
        <v>5</v>
      </c>
      <c r="U86" s="251">
        <f t="shared" si="31"/>
        <v>-0.48806323292479181</v>
      </c>
      <c r="V86" s="383">
        <f t="shared" si="32"/>
        <v>44.883121154533804</v>
      </c>
      <c r="W86" s="402"/>
      <c r="X86" s="157">
        <f t="shared" si="33"/>
        <v>44268</v>
      </c>
      <c r="Y86" s="385">
        <f t="shared" si="34"/>
        <v>38.350999999999999</v>
      </c>
      <c r="Z86" s="385">
        <f t="shared" si="35"/>
        <v>39.221731945547731</v>
      </c>
      <c r="AA86" s="386">
        <f t="shared" si="36"/>
        <v>42.786524687323414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8.3315781494911659E-2</v>
      </c>
      <c r="AD86" s="231">
        <f>(INDEX(Models!$BJ86:$BT86,,AH86)*(1-AF86)+INDEX(Models!$BJ86:$BT86,,AH86+1)*AF86-ERP_i)*AE86*Ramure*Pc/MaxiM</f>
        <v>4.1391409200563551E-4</v>
      </c>
      <c r="AE86" s="305">
        <f t="shared" si="38"/>
        <v>0.7</v>
      </c>
      <c r="AF86" s="177">
        <f t="shared" si="39"/>
        <v>0.51193676707520819</v>
      </c>
      <c r="AG86" s="919">
        <f t="shared" si="47"/>
        <v>-1</v>
      </c>
      <c r="AH86" s="176">
        <f t="shared" si="40"/>
        <v>5</v>
      </c>
      <c r="AI86" s="225">
        <f t="shared" si="41"/>
        <v>-0.48806323292479181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8">
        <v>22.751999999999999</v>
      </c>
      <c r="C87" s="390"/>
      <c r="D87" s="393">
        <f t="shared" si="24"/>
        <v>23.269077492339903</v>
      </c>
      <c r="E87" s="385">
        <f t="shared" si="45"/>
        <v>25.384952631557379</v>
      </c>
      <c r="F87" s="385">
        <f t="shared" si="25"/>
        <v>25.387889641217502</v>
      </c>
      <c r="G87" s="110">
        <f t="shared" si="46"/>
        <v>0.50383564075869613</v>
      </c>
      <c r="H87" s="412" t="b">
        <f>Wh_hp&gt;='2020'!Maxi_hp</f>
        <v>0</v>
      </c>
      <c r="I87" s="380">
        <f>IF(H87,Wh_hp,'2020'!Maxi_hp)</f>
        <v>36.891466840324576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2.2221658443920878E-2</v>
      </c>
      <c r="M87" s="957"/>
      <c r="N87" s="957"/>
      <c r="O87" s="48">
        <f>IF(t&lt;Tnet,'2020'!Resal+('2020'!Salim-'2020'!Resal)*(1-EXP(('2020'!Tnet-t)/('2020'!Tau_j))),Resal+(Salim-Resal)*(1-EXP((Tnet-t)/(Tau_j))))*Salcycl</f>
        <v>8.3351549633664382E-2</v>
      </c>
      <c r="P87" s="169">
        <f>(INDEX(Models!$BJ87:$BT87,,T87)*(1-R87)+INDEX(Models!$BJ87:$BT87,,T87+1)*R87-ERP_i)*Q87*Ramure*Pc/MaxiM</f>
        <v>3.9700382067330388E-4</v>
      </c>
      <c r="Q87" s="305">
        <f t="shared" si="27"/>
        <v>0.7</v>
      </c>
      <c r="R87" s="177">
        <f t="shared" si="28"/>
        <v>0.5124513363082458</v>
      </c>
      <c r="S87" s="919">
        <f t="shared" si="29"/>
        <v>-1</v>
      </c>
      <c r="T87" s="176">
        <f t="shared" si="30"/>
        <v>5</v>
      </c>
      <c r="U87" s="251">
        <f t="shared" si="31"/>
        <v>-0.4875486636917542</v>
      </c>
      <c r="V87" s="383">
        <f t="shared" si="32"/>
        <v>45.14487833739129</v>
      </c>
      <c r="W87" s="402"/>
      <c r="X87" s="157">
        <f t="shared" si="33"/>
        <v>44269</v>
      </c>
      <c r="Y87" s="385">
        <f t="shared" si="34"/>
        <v>22.751999999999999</v>
      </c>
      <c r="Z87" s="385">
        <f t="shared" si="35"/>
        <v>23.269077492339903</v>
      </c>
      <c r="AA87" s="386">
        <f t="shared" si="36"/>
        <v>25.384952631557379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8.3351549633664382E-2</v>
      </c>
      <c r="AD87" s="231">
        <f>(INDEX(Models!$BJ87:$BT87,,AH87)*(1-AF87)+INDEX(Models!$BJ87:$BT87,,AH87+1)*AF87-ERP_i)*AE87*Ramure*Pc/MaxiM</f>
        <v>3.9700382067330388E-4</v>
      </c>
      <c r="AE87" s="305">
        <f t="shared" si="38"/>
        <v>0.7</v>
      </c>
      <c r="AF87" s="177">
        <f t="shared" si="39"/>
        <v>0.5124513363082458</v>
      </c>
      <c r="AG87" s="919">
        <f t="shared" si="47"/>
        <v>-1</v>
      </c>
      <c r="AH87" s="176">
        <f t="shared" si="40"/>
        <v>5</v>
      </c>
      <c r="AI87" s="225">
        <f t="shared" si="41"/>
        <v>-0.4875486636917542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8">
        <v>15.115</v>
      </c>
      <c r="C88" s="390"/>
      <c r="D88" s="393">
        <f t="shared" si="24"/>
        <v>15.458852402567633</v>
      </c>
      <c r="E88" s="385">
        <f t="shared" si="45"/>
        <v>16.865199762236113</v>
      </c>
      <c r="F88" s="385">
        <f t="shared" si="25"/>
        <v>16.865501515044272</v>
      </c>
      <c r="G88" s="110">
        <f t="shared" si="46"/>
        <v>0.33277962858510757</v>
      </c>
      <c r="H88" s="412" t="b">
        <f>Wh_hp&gt;='2020'!Maxi_hp</f>
        <v>0</v>
      </c>
      <c r="I88" s="380">
        <f>IF(H88,Wh_hp,'2020'!Maxi_hp)</f>
        <v>34.951737117929945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2.2243074299002963E-2</v>
      </c>
      <c r="M88" s="957"/>
      <c r="N88" s="957"/>
      <c r="O88" s="48">
        <f>IF(t&lt;Tnet,'2020'!Resal+('2020'!Salim-'2020'!Resal)*(1-EXP(('2020'!Tnet-t)/('2020'!Tau_j))),Resal+(Salim-Resal)*(1-EXP((Tnet-t)/(Tau_j))))*Salcycl</f>
        <v>8.3387530506310342E-2</v>
      </c>
      <c r="P88" s="169">
        <f>(INDEX(Models!$BJ88:$BT88,,T88)*(1-R88)+INDEX(Models!$BJ88:$BT88,,T88+1)*R88-ERP_i)*Q88*Ramure*Pc/MaxiM</f>
        <v>3.8067023850612099E-4</v>
      </c>
      <c r="Q88" s="305">
        <f t="shared" si="27"/>
        <v>0.7</v>
      </c>
      <c r="R88" s="177">
        <f t="shared" si="28"/>
        <v>0.51298634023987733</v>
      </c>
      <c r="S88" s="919">
        <f t="shared" si="29"/>
        <v>-1</v>
      </c>
      <c r="T88" s="176">
        <f t="shared" si="30"/>
        <v>5</v>
      </c>
      <c r="U88" s="251">
        <f t="shared" si="31"/>
        <v>-0.48701365976012262</v>
      </c>
      <c r="V88" s="383">
        <f t="shared" si="32"/>
        <v>45.403970696178412</v>
      </c>
      <c r="W88" s="402"/>
      <c r="X88" s="157">
        <f t="shared" si="33"/>
        <v>44270</v>
      </c>
      <c r="Y88" s="385">
        <f t="shared" si="34"/>
        <v>15.114999999999998</v>
      </c>
      <c r="Z88" s="385">
        <f t="shared" si="35"/>
        <v>15.458852402567631</v>
      </c>
      <c r="AA88" s="386">
        <f t="shared" si="36"/>
        <v>16.865199762236113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8.3387530506310342E-2</v>
      </c>
      <c r="AD88" s="231">
        <f>(INDEX(Models!$BJ88:$BT88,,AH88)*(1-AF88)+INDEX(Models!$BJ88:$BT88,,AH88+1)*AF88-ERP_i)*AE88*Ramure*Pc/MaxiM</f>
        <v>3.8067023850612099E-4</v>
      </c>
      <c r="AE88" s="305">
        <f t="shared" si="38"/>
        <v>0.7</v>
      </c>
      <c r="AF88" s="177">
        <f t="shared" si="39"/>
        <v>0.51298634023987733</v>
      </c>
      <c r="AG88" s="919">
        <f t="shared" si="47"/>
        <v>-1</v>
      </c>
      <c r="AH88" s="176">
        <f t="shared" si="40"/>
        <v>5</v>
      </c>
      <c r="AI88" s="225">
        <f t="shared" si="41"/>
        <v>-0.48701365976012262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8">
        <v>29.225999999999999</v>
      </c>
      <c r="C89" s="390"/>
      <c r="D89" s="393">
        <f t="shared" si="24"/>
        <v>29.891519425928237</v>
      </c>
      <c r="E89" s="385">
        <f t="shared" si="45"/>
        <v>32.612147109664534</v>
      </c>
      <c r="F89" s="385">
        <f t="shared" si="25"/>
        <v>32.617929577836023</v>
      </c>
      <c r="G89" s="110">
        <f t="shared" si="46"/>
        <v>0.63995721998358457</v>
      </c>
      <c r="H89" s="412" t="b">
        <f>Wh_hp&gt;='2020'!Maxi_hp</f>
        <v>0</v>
      </c>
      <c r="I89" s="380">
        <f>IF(H89,Wh_hp,'2020'!Maxi_hp)</f>
        <v>52.275659986289419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2.2264489685022815E-2</v>
      </c>
      <c r="M89" s="957"/>
      <c r="N89" s="957"/>
      <c r="O89" s="48">
        <f>IF(t&lt;Tnet,'2020'!Resal+('2020'!Salim-'2020'!Resal)*(1-EXP(('2020'!Tnet-t)/('2020'!Tau_j))),Resal+(Salim-Resal)*(1-EXP((Tnet-t)/(Tau_j))))*Salcycl</f>
        <v>8.3423752339509202E-2</v>
      </c>
      <c r="P89" s="169">
        <f>(INDEX(Models!$BJ89:$BT89,,T89)*(1-R89)+INDEX(Models!$BJ89:$BT89,,T89+1)*R89-ERP_i)*Q89*Ramure*Pc/MaxiM</f>
        <v>3.6490281307300715E-4</v>
      </c>
      <c r="Q89" s="305">
        <f t="shared" si="27"/>
        <v>0.7</v>
      </c>
      <c r="R89" s="177">
        <f t="shared" si="28"/>
        <v>0.51354254153264933</v>
      </c>
      <c r="S89" s="919">
        <f t="shared" si="29"/>
        <v>-1</v>
      </c>
      <c r="T89" s="176">
        <f t="shared" si="30"/>
        <v>5</v>
      </c>
      <c r="U89" s="251">
        <f t="shared" si="31"/>
        <v>-0.48645745846735067</v>
      </c>
      <c r="V89" s="383">
        <f t="shared" si="32"/>
        <v>45.660107608039134</v>
      </c>
      <c r="W89" s="402"/>
      <c r="X89" s="157">
        <f t="shared" si="33"/>
        <v>44271</v>
      </c>
      <c r="Y89" s="385">
        <f t="shared" si="34"/>
        <v>29.226000000000003</v>
      </c>
      <c r="Z89" s="385">
        <f t="shared" si="35"/>
        <v>29.891519425928241</v>
      </c>
      <c r="AA89" s="386">
        <f t="shared" si="36"/>
        <v>32.612147109664534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8.3423752339509202E-2</v>
      </c>
      <c r="AD89" s="231">
        <f>(INDEX(Models!$BJ89:$BT89,,AH89)*(1-AF89)+INDEX(Models!$BJ89:$BT89,,AH89+1)*AF89-ERP_i)*AE89*Ramure*Pc/MaxiM</f>
        <v>3.6490281307300715E-4</v>
      </c>
      <c r="AE89" s="305">
        <f t="shared" si="38"/>
        <v>0.7</v>
      </c>
      <c r="AF89" s="177">
        <f t="shared" si="39"/>
        <v>0.51354254153264933</v>
      </c>
      <c r="AG89" s="919">
        <f t="shared" si="47"/>
        <v>-1</v>
      </c>
      <c r="AH89" s="176">
        <f t="shared" si="40"/>
        <v>5</v>
      </c>
      <c r="AI89" s="225">
        <f t="shared" si="41"/>
        <v>-0.48645745846735067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8">
        <v>24.289000000000001</v>
      </c>
      <c r="C90" s="390"/>
      <c r="D90" s="393">
        <f t="shared" si="24"/>
        <v>24.842640721173609</v>
      </c>
      <c r="E90" s="385">
        <f t="shared" si="45"/>
        <v>27.104815220479356</v>
      </c>
      <c r="F90" s="385">
        <f t="shared" si="25"/>
        <v>27.107916637934526</v>
      </c>
      <c r="G90" s="110">
        <f t="shared" si="46"/>
        <v>0.52889781596204133</v>
      </c>
      <c r="H90" s="412" t="b">
        <f>Wh_hp&gt;='2020'!Maxi_hp</f>
        <v>1</v>
      </c>
      <c r="I90" s="380">
        <f>IF(H90,Wh_hp,'2020'!Maxi_hp)</f>
        <v>27.107916637934526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2.2285904601990758E-2</v>
      </c>
      <c r="M90" s="957"/>
      <c r="N90" s="957"/>
      <c r="O90" s="48">
        <f>IF(t&lt;Tnet,'2020'!Resal+('2020'!Salim-'2020'!Resal)*(1-EXP(('2020'!Tnet-t)/('2020'!Tau_j))),Resal+(Salim-Resal)*(1-EXP((Tnet-t)/(Tau_j))))*Salcycl</f>
        <v>8.3460244274107295E-2</v>
      </c>
      <c r="P90" s="169">
        <f>(INDEX(Models!$BJ90:$BT90,,T90)*(1-R90)+INDEX(Models!$BJ90:$BT90,,T90+1)*R90-ERP_i)*Q90*Ramure*Pc/MaxiM</f>
        <v>3.4969091977694715E-4</v>
      </c>
      <c r="Q90" s="305">
        <f t="shared" si="27"/>
        <v>0.7</v>
      </c>
      <c r="R90" s="177">
        <f t="shared" si="28"/>
        <v>0.51412072725841362</v>
      </c>
      <c r="S90" s="919">
        <f t="shared" si="29"/>
        <v>-1</v>
      </c>
      <c r="T90" s="176">
        <f t="shared" si="30"/>
        <v>5</v>
      </c>
      <c r="U90" s="251">
        <f t="shared" si="31"/>
        <v>-0.48587927274158643</v>
      </c>
      <c r="V90" s="383">
        <f t="shared" si="32"/>
        <v>45.912998457574957</v>
      </c>
      <c r="W90" s="402"/>
      <c r="X90" s="157">
        <f t="shared" si="33"/>
        <v>44272</v>
      </c>
      <c r="Y90" s="385">
        <f t="shared" si="34"/>
        <v>24.289000000000001</v>
      </c>
      <c r="Z90" s="385">
        <f t="shared" si="35"/>
        <v>24.842640721173609</v>
      </c>
      <c r="AA90" s="386">
        <f t="shared" si="36"/>
        <v>27.104815220479356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8.3460244274107295E-2</v>
      </c>
      <c r="AD90" s="231">
        <f>(INDEX(Models!$BJ90:$BT90,,AH90)*(1-AF90)+INDEX(Models!$BJ90:$BT90,,AH90+1)*AF90-ERP_i)*AE90*Ramure*Pc/MaxiM</f>
        <v>3.4969091977694715E-4</v>
      </c>
      <c r="AE90" s="305">
        <f t="shared" si="38"/>
        <v>0.7</v>
      </c>
      <c r="AF90" s="177">
        <f t="shared" si="39"/>
        <v>0.51412072725841362</v>
      </c>
      <c r="AG90" s="919">
        <f t="shared" si="47"/>
        <v>-1</v>
      </c>
      <c r="AH90" s="176">
        <f t="shared" si="40"/>
        <v>5</v>
      </c>
      <c r="AI90" s="225">
        <f t="shared" si="41"/>
        <v>-0.48587927274158643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8">
        <v>22.911999999999999</v>
      </c>
      <c r="C91" s="390"/>
      <c r="D91" s="393">
        <f t="shared" si="24"/>
        <v>23.434766820321315</v>
      </c>
      <c r="E91" s="385">
        <f t="shared" si="45"/>
        <v>25.56976654485026</v>
      </c>
      <c r="F91" s="385">
        <f t="shared" si="25"/>
        <v>25.572169487628372</v>
      </c>
      <c r="G91" s="110">
        <f t="shared" si="46"/>
        <v>0.4962155323727917</v>
      </c>
      <c r="H91" s="412" t="b">
        <f>Wh_hp&gt;='2020'!Maxi_hp</f>
        <v>0</v>
      </c>
      <c r="I91" s="380">
        <f>IF(H91,Wh_hp,'2020'!Maxi_hp)</f>
        <v>38.270489516966428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2.2307319049917007E-2</v>
      </c>
      <c r="M91" s="957"/>
      <c r="N91" s="957"/>
      <c r="O91" s="48">
        <f>IF(t&lt;Tnet,'2020'!Resal+('2020'!Salim-'2020'!Resal)*(1-EXP(('2020'!Tnet-t)/('2020'!Tau_j))),Resal+(Salim-Resal)*(1-EXP((Tnet-t)/(Tau_j))))*Salcycl</f>
        <v>8.3497036266798899E-2</v>
      </c>
      <c r="P91" s="169">
        <f>(INDEX(Models!$BJ91:$BT91,,T91)*(1-R91)+INDEX(Models!$BJ91:$BT91,,T91+1)*R91-ERP_i)*Q91*Ramure*Pc/MaxiM</f>
        <v>3.350238698941631E-4</v>
      </c>
      <c r="Q91" s="305">
        <f t="shared" si="27"/>
        <v>0.7</v>
      </c>
      <c r="R91" s="177">
        <f t="shared" si="28"/>
        <v>0.51472170933703898</v>
      </c>
      <c r="S91" s="919">
        <f t="shared" si="29"/>
        <v>-1</v>
      </c>
      <c r="T91" s="176">
        <f t="shared" si="30"/>
        <v>5</v>
      </c>
      <c r="U91" s="251">
        <f t="shared" si="31"/>
        <v>-0.48527829066296102</v>
      </c>
      <c r="V91" s="383">
        <f t="shared" si="32"/>
        <v>46.162352635093136</v>
      </c>
      <c r="W91" s="402"/>
      <c r="X91" s="157">
        <f t="shared" si="33"/>
        <v>44273</v>
      </c>
      <c r="Y91" s="385">
        <f t="shared" si="34"/>
        <v>22.911999999999999</v>
      </c>
      <c r="Z91" s="385">
        <f t="shared" si="35"/>
        <v>23.434766820321315</v>
      </c>
      <c r="AA91" s="386">
        <f t="shared" si="36"/>
        <v>25.56976654485026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8.3497036266798899E-2</v>
      </c>
      <c r="AD91" s="231">
        <f>(INDEX(Models!$BJ91:$BT91,,AH91)*(1-AF91)+INDEX(Models!$BJ91:$BT91,,AH91+1)*AF91-ERP_i)*AE91*Ramure*Pc/MaxiM</f>
        <v>3.350238698941631E-4</v>
      </c>
      <c r="AE91" s="305">
        <f t="shared" si="38"/>
        <v>0.7</v>
      </c>
      <c r="AF91" s="177">
        <f t="shared" si="39"/>
        <v>0.51472170933703898</v>
      </c>
      <c r="AG91" s="919">
        <f t="shared" si="47"/>
        <v>-1</v>
      </c>
      <c r="AH91" s="176">
        <f t="shared" si="40"/>
        <v>5</v>
      </c>
      <c r="AI91" s="225">
        <f t="shared" si="41"/>
        <v>-0.48527829066296102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8">
        <v>8.7580000000000009</v>
      </c>
      <c r="C92" s="390"/>
      <c r="D92" s="393">
        <f t="shared" si="24"/>
        <v>8.9580212652992888</v>
      </c>
      <c r="E92" s="385">
        <f t="shared" si="45"/>
        <v>9.774528263297487</v>
      </c>
      <c r="F92" s="385">
        <f t="shared" si="25"/>
        <v>9.774528263297487</v>
      </c>
      <c r="G92" s="110">
        <f t="shared" si="46"/>
        <v>0.18865739443821683</v>
      </c>
      <c r="H92" s="412" t="b">
        <f>Wh_hp&gt;='2020'!Maxi_hp</f>
        <v>0</v>
      </c>
      <c r="I92" s="380">
        <f>IF(H92,Wh_hp,'2020'!Maxi_hp)</f>
        <v>46.831517578729603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2.2328733028811998E-2</v>
      </c>
      <c r="M92" s="957"/>
      <c r="N92" s="957"/>
      <c r="O92" s="48">
        <f>IF(t&lt;Tnet,'2020'!Resal+('2020'!Salim-'2020'!Resal)*(1-EXP(('2020'!Tnet-t)/('2020'!Tau_j))),Resal+(Salim-Resal)*(1-EXP((Tnet-t)/(Tau_j))))*Salcycl</f>
        <v>8.3534158989964954E-2</v>
      </c>
      <c r="P92" s="169">
        <f>(INDEX(Models!$BJ92:$BT92,,T92)*(1-R92)+INDEX(Models!$BJ92:$BT92,,T92+1)*R92-ERP_i)*Q92*Ramure*Pc/MaxiM</f>
        <v>3.2089093782845389E-4</v>
      </c>
      <c r="Q92" s="305">
        <f t="shared" si="27"/>
        <v>0.7</v>
      </c>
      <c r="R92" s="177">
        <f t="shared" si="28"/>
        <v>0.51534632495124555</v>
      </c>
      <c r="S92" s="919">
        <f t="shared" si="29"/>
        <v>-1</v>
      </c>
      <c r="T92" s="176">
        <f t="shared" si="30"/>
        <v>5</v>
      </c>
      <c r="U92" s="251">
        <f t="shared" si="31"/>
        <v>-0.4846536750487544</v>
      </c>
      <c r="V92" s="383">
        <f t="shared" si="32"/>
        <v>46.407879549262645</v>
      </c>
      <c r="W92" s="402"/>
      <c r="X92" s="157">
        <f t="shared" si="33"/>
        <v>44274</v>
      </c>
      <c r="Y92" s="385">
        <f t="shared" si="34"/>
        <v>8.7580000000000009</v>
      </c>
      <c r="Z92" s="385">
        <f t="shared" si="35"/>
        <v>8.9580212652992888</v>
      </c>
      <c r="AA92" s="386">
        <f t="shared" si="36"/>
        <v>9.774528263297487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8.3534158989964954E-2</v>
      </c>
      <c r="AD92" s="231">
        <f>(INDEX(Models!$BJ92:$BT92,,AH92)*(1-AF92)+INDEX(Models!$BJ92:$BT92,,AH92+1)*AF92-ERP_i)*AE92*Ramure*Pc/MaxiM</f>
        <v>3.2089093782845389E-4</v>
      </c>
      <c r="AE92" s="305">
        <f t="shared" si="38"/>
        <v>0.7</v>
      </c>
      <c r="AF92" s="177">
        <f t="shared" si="39"/>
        <v>0.51534632495124555</v>
      </c>
      <c r="AG92" s="919">
        <f t="shared" si="47"/>
        <v>-1</v>
      </c>
      <c r="AH92" s="176">
        <f t="shared" si="40"/>
        <v>5</v>
      </c>
      <c r="AI92" s="225">
        <f t="shared" si="41"/>
        <v>-0.4846536750487544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8">
        <v>38.797000000000004</v>
      </c>
      <c r="C93" s="390"/>
      <c r="D93" s="393">
        <f t="shared" si="24"/>
        <v>39.68394191707943</v>
      </c>
      <c r="E93" s="385">
        <f t="shared" si="45"/>
        <v>43.30283065292673</v>
      </c>
      <c r="F93" s="385">
        <f t="shared" si="25"/>
        <v>43.312938277193346</v>
      </c>
      <c r="G93" s="110">
        <f t="shared" si="46"/>
        <v>0.83157352616376956</v>
      </c>
      <c r="H93" s="412" t="b">
        <f>Wh_hp&gt;='2020'!Maxi_hp</f>
        <v>0</v>
      </c>
      <c r="I93" s="380">
        <f>IF(H93,Wh_hp,'2020'!Maxi_hp)</f>
        <v>53.139538604347429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2.2350146538685833E-2</v>
      </c>
      <c r="M93" s="957"/>
      <c r="N93" s="957"/>
      <c r="O93" s="48">
        <f>IF(t&lt;Tnet,'2020'!Resal+('2020'!Salim-'2020'!Resal)*(1-EXP(('2020'!Tnet-t)/('2020'!Tau_j))),Resal+(Salim-Resal)*(1-EXP((Tnet-t)/(Tau_j))))*Salcycl</f>
        <v>8.3571643730470685E-2</v>
      </c>
      <c r="P93" s="169">
        <f>(INDEX(Models!$BJ93:$BT93,,T93)*(1-R93)+INDEX(Models!$BJ93:$BT93,,T93+1)*R93-ERP_i)*Q93*Ramure*Pc/MaxiM</f>
        <v>3.0726699736785621E-4</v>
      </c>
      <c r="Q93" s="305">
        <f t="shared" si="27"/>
        <v>0.7</v>
      </c>
      <c r="R93" s="177">
        <f t="shared" si="28"/>
        <v>0.51599543693386707</v>
      </c>
      <c r="S93" s="919">
        <f t="shared" si="29"/>
        <v>-1</v>
      </c>
      <c r="T93" s="176">
        <f t="shared" si="30"/>
        <v>5</v>
      </c>
      <c r="U93" s="251">
        <f t="shared" si="31"/>
        <v>-0.48400456306613293</v>
      </c>
      <c r="V93" s="383">
        <f t="shared" si="32"/>
        <v>46.651475600374809</v>
      </c>
      <c r="W93" s="402"/>
      <c r="X93" s="157">
        <f t="shared" si="33"/>
        <v>44275</v>
      </c>
      <c r="Y93" s="385">
        <f t="shared" si="34"/>
        <v>38.797000000000004</v>
      </c>
      <c r="Z93" s="385">
        <f t="shared" si="35"/>
        <v>39.68394191707943</v>
      </c>
      <c r="AA93" s="386">
        <f t="shared" si="36"/>
        <v>43.30283065292673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8.3571643730470685E-2</v>
      </c>
      <c r="AD93" s="231">
        <f>(INDEX(Models!$BJ93:$BT93,,AH93)*(1-AF93)+INDEX(Models!$BJ93:$BT93,,AH93+1)*AF93-ERP_i)*AE93*Ramure*Pc/MaxiM</f>
        <v>3.0726699736785621E-4</v>
      </c>
      <c r="AE93" s="305">
        <f t="shared" si="38"/>
        <v>0.7</v>
      </c>
      <c r="AF93" s="177">
        <f t="shared" si="39"/>
        <v>0.51599543693386707</v>
      </c>
      <c r="AG93" s="919">
        <f t="shared" si="47"/>
        <v>-1</v>
      </c>
      <c r="AH93" s="176">
        <f t="shared" si="40"/>
        <v>5</v>
      </c>
      <c r="AI93" s="225">
        <f t="shared" si="41"/>
        <v>-0.48400456306613293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8">
        <v>40.285000000000004</v>
      </c>
      <c r="C94" s="390"/>
      <c r="D94" s="393">
        <f t="shared" si="24"/>
        <v>41.206861763017585</v>
      </c>
      <c r="E94" s="385">
        <f t="shared" si="45"/>
        <v>44.966488375030053</v>
      </c>
      <c r="F94" s="385">
        <f t="shared" si="25"/>
        <v>44.977059875268885</v>
      </c>
      <c r="G94" s="110">
        <f t="shared" si="46"/>
        <v>0.85900007536546541</v>
      </c>
      <c r="H94" s="412" t="b">
        <f>Wh_hp&gt;='2020'!Maxi_hp</f>
        <v>0</v>
      </c>
      <c r="I94" s="380">
        <f>IF(H94,Wh_hp,'2020'!Maxi_hp)</f>
        <v>53.219933275475654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2.2371559579548839E-2</v>
      </c>
      <c r="M94" s="957"/>
      <c r="N94" s="957"/>
      <c r="O94" s="48">
        <f>IF(t&lt;Tnet,'2020'!Resal+('2020'!Salim-'2020'!Resal)*(1-EXP(('2020'!Tnet-t)/('2020'!Tau_j))),Resal+(Salim-Resal)*(1-EXP((Tnet-t)/(Tau_j))))*Salcycl</f>
        <v>8.3609522288162333E-2</v>
      </c>
      <c r="P94" s="169">
        <f>(INDEX(Models!$BJ94:$BT94,,T94)*(1-R94)+INDEX(Models!$BJ94:$BT94,,T94+1)*R94-ERP_i)*Q94*Ramure*Pc/MaxiM</f>
        <v>2.9430129796072685E-4</v>
      </c>
      <c r="Q94" s="305">
        <f t="shared" si="27"/>
        <v>0.7</v>
      </c>
      <c r="R94" s="177">
        <f t="shared" si="28"/>
        <v>0.51666993412356721</v>
      </c>
      <c r="S94" s="919">
        <f t="shared" si="29"/>
        <v>-1</v>
      </c>
      <c r="T94" s="176">
        <f t="shared" si="30"/>
        <v>5</v>
      </c>
      <c r="U94" s="251">
        <f t="shared" si="31"/>
        <v>-0.48333006587643274</v>
      </c>
      <c r="V94" s="383">
        <f t="shared" si="32"/>
        <v>46.894771415141449</v>
      </c>
      <c r="W94" s="402"/>
      <c r="X94" s="157">
        <f t="shared" si="33"/>
        <v>44276</v>
      </c>
      <c r="Y94" s="385">
        <f t="shared" si="34"/>
        <v>40.285000000000004</v>
      </c>
      <c r="Z94" s="385">
        <f t="shared" si="35"/>
        <v>41.206861763017585</v>
      </c>
      <c r="AA94" s="386">
        <f t="shared" si="36"/>
        <v>44.966488375030053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8.3609522288162333E-2</v>
      </c>
      <c r="AD94" s="231">
        <f>(INDEX(Models!$BJ94:$BT94,,AH94)*(1-AF94)+INDEX(Models!$BJ94:$BT94,,AH94+1)*AF94-ERP_i)*AE94*Ramure*Pc/MaxiM</f>
        <v>2.9430129796072685E-4</v>
      </c>
      <c r="AE94" s="305">
        <f t="shared" si="38"/>
        <v>0.7</v>
      </c>
      <c r="AF94" s="177">
        <f t="shared" si="39"/>
        <v>0.51666993412356721</v>
      </c>
      <c r="AG94" s="919">
        <f t="shared" si="47"/>
        <v>-1</v>
      </c>
      <c r="AH94" s="176">
        <f t="shared" si="40"/>
        <v>5</v>
      </c>
      <c r="AI94" s="225">
        <f t="shared" si="41"/>
        <v>-0.48333006587643274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8">
        <v>36.488999999999997</v>
      </c>
      <c r="C95" s="390"/>
      <c r="D95" s="393">
        <f t="shared" si="24"/>
        <v>37.324813509474275</v>
      </c>
      <c r="E95" s="385">
        <f t="shared" si="45"/>
        <v>40.731952849718184</v>
      </c>
      <c r="F95" s="385">
        <f t="shared" si="25"/>
        <v>40.739737791671722</v>
      </c>
      <c r="G95" s="110">
        <f t="shared" si="46"/>
        <v>0.7740334156887978</v>
      </c>
      <c r="H95" s="412" t="b">
        <f>Wh_hp&gt;='2020'!Maxi_hp</f>
        <v>0</v>
      </c>
      <c r="I95" s="380">
        <f>IF(H95,Wh_hp,'2020'!Maxi_hp)</f>
        <v>52.117627843898426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2.2392972151411228E-2</v>
      </c>
      <c r="M95" s="957"/>
      <c r="N95" s="957"/>
      <c r="O95" s="48">
        <f>IF(t&lt;Tnet,'2020'!Resal+('2020'!Salim-'2020'!Resal)*(1-EXP(('2020'!Tnet-t)/('2020'!Tau_j))),Resal+(Salim-Resal)*(1-EXP((Tnet-t)/(Tau_j))))*Salcycl</f>
        <v>8.3647826874755027E-2</v>
      </c>
      <c r="P95" s="169">
        <f>(INDEX(Models!$BJ95:$BT95,,T95)*(1-R95)+INDEX(Models!$BJ95:$BT95,,T95+1)*R95-ERP_i)*Q95*Ramure*Pc/MaxiM</f>
        <v>2.8213804464990668E-4</v>
      </c>
      <c r="Q95" s="305">
        <f t="shared" si="27"/>
        <v>0.7</v>
      </c>
      <c r="R95" s="177">
        <f t="shared" si="28"/>
        <v>0.51737073168474201</v>
      </c>
      <c r="S95" s="919">
        <f t="shared" si="29"/>
        <v>-1</v>
      </c>
      <c r="T95" s="176">
        <f t="shared" si="30"/>
        <v>5</v>
      </c>
      <c r="U95" s="251">
        <f t="shared" si="31"/>
        <v>-0.48262926831525804</v>
      </c>
      <c r="V95" s="383">
        <f t="shared" si="32"/>
        <v>47.137082663847508</v>
      </c>
      <c r="W95" s="402"/>
      <c r="X95" s="157">
        <f t="shared" si="33"/>
        <v>44277</v>
      </c>
      <c r="Y95" s="385">
        <f t="shared" si="34"/>
        <v>36.488999999999997</v>
      </c>
      <c r="Z95" s="385">
        <f t="shared" si="35"/>
        <v>37.324813509474275</v>
      </c>
      <c r="AA95" s="386">
        <f t="shared" si="36"/>
        <v>40.731952849718184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8.3647826874755027E-2</v>
      </c>
      <c r="AD95" s="231">
        <f>(INDEX(Models!$BJ95:$BT95,,AH95)*(1-AF95)+INDEX(Models!$BJ95:$BT95,,AH95+1)*AF95-ERP_i)*AE95*Ramure*Pc/MaxiM</f>
        <v>2.8213804464990668E-4</v>
      </c>
      <c r="AE95" s="305">
        <f t="shared" si="38"/>
        <v>0.7</v>
      </c>
      <c r="AF95" s="177">
        <f t="shared" si="39"/>
        <v>0.51737073168474201</v>
      </c>
      <c r="AG95" s="919">
        <f t="shared" si="47"/>
        <v>-1</v>
      </c>
      <c r="AH95" s="176">
        <f t="shared" si="40"/>
        <v>5</v>
      </c>
      <c r="AI95" s="225">
        <f t="shared" si="41"/>
        <v>-0.48262926831525804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8">
        <v>47.463999999999999</v>
      </c>
      <c r="C96" s="390"/>
      <c r="D96" s="393">
        <f t="shared" si="24"/>
        <v>48.552269218685019</v>
      </c>
      <c r="E96" s="385">
        <f t="shared" si="45"/>
        <v>52.986531343477232</v>
      </c>
      <c r="F96" s="385">
        <f t="shared" si="25"/>
        <v>53.000882324491272</v>
      </c>
      <c r="G96" s="110">
        <f t="shared" si="46"/>
        <v>1.0018208509752475</v>
      </c>
      <c r="H96" s="412" t="b">
        <f>Wh_hp&gt;='2020'!Maxi_hp</f>
        <v>1</v>
      </c>
      <c r="I96" s="380">
        <f>IF(H96,Wh_hp,'2020'!Maxi_hp)</f>
        <v>53.000882324491272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2.2414384254283437E-2</v>
      </c>
      <c r="M96" s="957"/>
      <c r="N96" s="957"/>
      <c r="O96" s="48">
        <f>IF(t&lt;Tnet,'2020'!Resal+('2020'!Salim-'2020'!Resal)*(1-EXP(('2020'!Tnet-t)/('2020'!Tau_j))),Resal+(Salim-Resal)*(1-EXP((Tnet-t)/(Tau_j))))*Salcycl</f>
        <v>8.3686590013748452E-2</v>
      </c>
      <c r="P96" s="169">
        <f>(INDEX(Models!$BJ96:$BT96,,T96)*(1-R96)+INDEX(Models!$BJ96:$BT96,,T96+1)*R96-ERP_i)*Q96*Ramure*Pc/MaxiM</f>
        <v>2.7076871902205794E-4</v>
      </c>
      <c r="Q96" s="305">
        <f t="shared" si="27"/>
        <v>0.7</v>
      </c>
      <c r="R96" s="177">
        <f t="shared" si="28"/>
        <v>0.51809877138703664</v>
      </c>
      <c r="S96" s="919">
        <f t="shared" si="29"/>
        <v>-1</v>
      </c>
      <c r="T96" s="176">
        <f t="shared" si="30"/>
        <v>5</v>
      </c>
      <c r="U96" s="251">
        <f t="shared" si="31"/>
        <v>-0.48190122861296336</v>
      </c>
      <c r="V96" s="383">
        <f t="shared" si="32"/>
        <v>47.377732210100213</v>
      </c>
      <c r="W96" s="402"/>
      <c r="X96" s="157">
        <f t="shared" si="33"/>
        <v>44278</v>
      </c>
      <c r="Y96" s="385">
        <f t="shared" si="34"/>
        <v>47.463999999999999</v>
      </c>
      <c r="Z96" s="385">
        <f t="shared" si="35"/>
        <v>48.552269218685019</v>
      </c>
      <c r="AA96" s="386">
        <f t="shared" si="36"/>
        <v>52.986531343477232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8.3686590013748452E-2</v>
      </c>
      <c r="AD96" s="231">
        <f>(INDEX(Models!$BJ96:$BT96,,AH96)*(1-AF96)+INDEX(Models!$BJ96:$BT96,,AH96+1)*AF96-ERP_i)*AE96*Ramure*Pc/MaxiM</f>
        <v>2.7076871902205794E-4</v>
      </c>
      <c r="AE96" s="305">
        <f t="shared" si="38"/>
        <v>0.7</v>
      </c>
      <c r="AF96" s="177">
        <f t="shared" si="39"/>
        <v>0.51809877138703664</v>
      </c>
      <c r="AG96" s="919">
        <f t="shared" si="47"/>
        <v>-1</v>
      </c>
      <c r="AH96" s="176">
        <f t="shared" si="40"/>
        <v>5</v>
      </c>
      <c r="AI96" s="225">
        <f t="shared" si="41"/>
        <v>-0.48190122861296336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8">
        <v>46.797000000000004</v>
      </c>
      <c r="C97" s="390"/>
      <c r="D97" s="393">
        <f t="shared" si="24"/>
        <v>47.871024535434863</v>
      </c>
      <c r="E97" s="385">
        <f t="shared" si="45"/>
        <v>52.245306980506342</v>
      </c>
      <c r="F97" s="385">
        <f t="shared" si="25"/>
        <v>52.258569742290085</v>
      </c>
      <c r="G97" s="110">
        <f t="shared" si="46"/>
        <v>0.98279272571051079</v>
      </c>
      <c r="H97" s="412" t="b">
        <f>Wh_hp&gt;='2020'!Maxi_hp</f>
        <v>0</v>
      </c>
      <c r="I97" s="380">
        <f>IF(H97,Wh_hp,'2020'!Maxi_hp)</f>
        <v>52.635831121779191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2.2435795888175569E-2</v>
      </c>
      <c r="M97" s="957"/>
      <c r="N97" s="957"/>
      <c r="O97" s="48">
        <f>IF(t&lt;Tnet,'2020'!Resal+('2020'!Salim-'2020'!Resal)*(1-EXP(('2020'!Tnet-t)/('2020'!Tau_j))),Resal+(Salim-Resal)*(1-EXP((Tnet-t)/(Tau_j))))*Salcycl</f>
        <v>8.3725844441943864E-2</v>
      </c>
      <c r="P97" s="169">
        <f>(INDEX(Models!$BJ97:$BT97,,T97)*(1-R97)+INDEX(Models!$BJ97:$BT97,,T97+1)*R97-ERP_i)*Q97*Ramure*Pc/MaxiM</f>
        <v>2.601846113276318E-4</v>
      </c>
      <c r="Q97" s="305">
        <f t="shared" si="27"/>
        <v>0.7</v>
      </c>
      <c r="R97" s="177">
        <f t="shared" si="28"/>
        <v>0.51885502183959642</v>
      </c>
      <c r="S97" s="919">
        <f t="shared" si="29"/>
        <v>-1</v>
      </c>
      <c r="T97" s="176">
        <f t="shared" si="30"/>
        <v>5</v>
      </c>
      <c r="U97" s="251">
        <f t="shared" si="31"/>
        <v>-0.48114497816040358</v>
      </c>
      <c r="V97" s="383">
        <f t="shared" si="32"/>
        <v>47.616043041785581</v>
      </c>
      <c r="W97" s="402"/>
      <c r="X97" s="157">
        <f t="shared" si="33"/>
        <v>44279</v>
      </c>
      <c r="Y97" s="385">
        <f t="shared" si="34"/>
        <v>46.797000000000004</v>
      </c>
      <c r="Z97" s="385">
        <f t="shared" si="35"/>
        <v>47.871024535434863</v>
      </c>
      <c r="AA97" s="386">
        <f t="shared" si="36"/>
        <v>52.245306980506342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8.3725844441943864E-2</v>
      </c>
      <c r="AD97" s="231">
        <f>(INDEX(Models!$BJ97:$BT97,,AH97)*(1-AF97)+INDEX(Models!$BJ97:$BT97,,AH97+1)*AF97-ERP_i)*AE97*Ramure*Pc/MaxiM</f>
        <v>2.601846113276318E-4</v>
      </c>
      <c r="AE97" s="305">
        <f t="shared" si="38"/>
        <v>0.7</v>
      </c>
      <c r="AF97" s="177">
        <f t="shared" si="39"/>
        <v>0.51885502183959642</v>
      </c>
      <c r="AG97" s="919">
        <f t="shared" si="47"/>
        <v>-1</v>
      </c>
      <c r="AH97" s="176">
        <f t="shared" si="40"/>
        <v>5</v>
      </c>
      <c r="AI97" s="225">
        <f t="shared" si="41"/>
        <v>-0.48114497816040358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8">
        <v>34.686</v>
      </c>
      <c r="C98" s="390"/>
      <c r="D98" s="393">
        <f t="shared" si="24"/>
        <v>35.482845610712893</v>
      </c>
      <c r="E98" s="385">
        <f t="shared" si="45"/>
        <v>38.726821981291991</v>
      </c>
      <c r="F98" s="385">
        <f t="shared" si="25"/>
        <v>38.732708116909073</v>
      </c>
      <c r="G98" s="110">
        <f t="shared" si="46"/>
        <v>0.72479866432811502</v>
      </c>
      <c r="H98" s="412" t="b">
        <f>Wh_hp&gt;='2020'!Maxi_hp</f>
        <v>0</v>
      </c>
      <c r="I98" s="380">
        <f>IF(H98,Wh_hp,'2020'!Maxi_hp)</f>
        <v>47.578792902284313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2.2457207053098061E-2</v>
      </c>
      <c r="M98" s="957"/>
      <c r="N98" s="957"/>
      <c r="O98" s="48">
        <f>IF(t&lt;Tnet,'2020'!Resal+('2020'!Salim-'2020'!Resal)*(1-EXP(('2020'!Tnet-t)/('2020'!Tau_j))),Resal+(Salim-Resal)*(1-EXP((Tnet-t)/(Tau_j))))*Salcycl</f>
        <v>8.3765623013068002E-2</v>
      </c>
      <c r="P98" s="169">
        <f>(INDEX(Models!$BJ98:$BT98,,T98)*(1-R98)+INDEX(Models!$BJ98:$BT98,,T98+1)*R98-ERP_i)*Q98*Ramure*Pc/MaxiM</f>
        <v>2.503769618526332E-4</v>
      </c>
      <c r="Q98" s="305">
        <f t="shared" si="27"/>
        <v>0.7</v>
      </c>
      <c r="R98" s="177">
        <f t="shared" si="28"/>
        <v>0.51964047867484364</v>
      </c>
      <c r="S98" s="919">
        <f t="shared" si="29"/>
        <v>-1</v>
      </c>
      <c r="T98" s="176">
        <f t="shared" si="30"/>
        <v>5</v>
      </c>
      <c r="U98" s="251">
        <f t="shared" si="31"/>
        <v>-0.4803595213251563</v>
      </c>
      <c r="V98" s="383">
        <f t="shared" si="32"/>
        <v>47.851338279111104</v>
      </c>
      <c r="W98" s="402"/>
      <c r="X98" s="157">
        <f t="shared" si="33"/>
        <v>44280</v>
      </c>
      <c r="Y98" s="385">
        <f t="shared" si="34"/>
        <v>34.686</v>
      </c>
      <c r="Z98" s="385">
        <f t="shared" si="35"/>
        <v>35.482845610712893</v>
      </c>
      <c r="AA98" s="386">
        <f t="shared" si="36"/>
        <v>38.726821981291991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8.3765623013068002E-2</v>
      </c>
      <c r="AD98" s="231">
        <f>(INDEX(Models!$BJ98:$BT98,,AH98)*(1-AF98)+INDEX(Models!$BJ98:$BT98,,AH98+1)*AF98-ERP_i)*AE98*Ramure*Pc/MaxiM</f>
        <v>2.503769618526332E-4</v>
      </c>
      <c r="AE98" s="305">
        <f t="shared" si="38"/>
        <v>0.7</v>
      </c>
      <c r="AF98" s="177">
        <f t="shared" si="39"/>
        <v>0.51964047867484364</v>
      </c>
      <c r="AG98" s="919">
        <f t="shared" si="47"/>
        <v>-1</v>
      </c>
      <c r="AH98" s="176">
        <f t="shared" si="40"/>
        <v>5</v>
      </c>
      <c r="AI98" s="225">
        <f t="shared" si="41"/>
        <v>-0.4803595213251563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8">
        <v>38.905999999999999</v>
      </c>
      <c r="C99" s="390"/>
      <c r="D99" s="393">
        <f t="shared" si="24"/>
        <v>39.800663910196143</v>
      </c>
      <c r="E99" s="385">
        <f t="shared" si="45"/>
        <v>43.441304038115476</v>
      </c>
      <c r="F99" s="385">
        <f t="shared" si="25"/>
        <v>43.448930890739376</v>
      </c>
      <c r="G99" s="110">
        <f t="shared" si="46"/>
        <v>0.80909026226793768</v>
      </c>
      <c r="H99" s="412" t="b">
        <f>Wh_hp&gt;='2020'!Maxi_hp</f>
        <v>0</v>
      </c>
      <c r="I99" s="380">
        <f>IF(H99,Wh_hp,'2020'!Maxi_hp)</f>
        <v>56.081839676566283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2.2478617749061014E-2</v>
      </c>
      <c r="M99" s="957"/>
      <c r="N99" s="957"/>
      <c r="O99" s="48">
        <f>IF(t&lt;Tnet,'2020'!Resal+('2020'!Salim-'2020'!Resal)*(1-EXP(('2020'!Tnet-t)/('2020'!Tau_j))),Resal+(Salim-Resal)*(1-EXP((Tnet-t)/(Tau_j))))*Salcycl</f>
        <v>8.3805958603936678E-2</v>
      </c>
      <c r="P99" s="169">
        <f>(INDEX(Models!$BJ99:$BT99,,T99)*(1-R99)+INDEX(Models!$BJ99:$BT99,,T99+1)*R99-ERP_i)*Q99*Ramure*Pc/MaxiM</f>
        <v>2.4133709684769222E-4</v>
      </c>
      <c r="Q99" s="305">
        <f t="shared" si="27"/>
        <v>0.7</v>
      </c>
      <c r="R99" s="177">
        <f t="shared" si="28"/>
        <v>0.52045616467624733</v>
      </c>
      <c r="S99" s="919">
        <f t="shared" si="29"/>
        <v>-1</v>
      </c>
      <c r="T99" s="176">
        <f t="shared" si="30"/>
        <v>5</v>
      </c>
      <c r="U99" s="251">
        <f t="shared" si="31"/>
        <v>-0.47954383532375272</v>
      </c>
      <c r="V99" s="383">
        <f t="shared" si="32"/>
        <v>48.082941185069842</v>
      </c>
      <c r="W99" s="402"/>
      <c r="X99" s="157">
        <f t="shared" si="33"/>
        <v>44281</v>
      </c>
      <c r="Y99" s="385">
        <f t="shared" si="34"/>
        <v>38.905999999999999</v>
      </c>
      <c r="Z99" s="385">
        <f t="shared" si="35"/>
        <v>39.800663910196143</v>
      </c>
      <c r="AA99" s="386">
        <f t="shared" si="36"/>
        <v>43.441304038115476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8.3805958603936678E-2</v>
      </c>
      <c r="AD99" s="231">
        <f>(INDEX(Models!$BJ99:$BT99,,AH99)*(1-AF99)+INDEX(Models!$BJ99:$BT99,,AH99+1)*AF99-ERP_i)*AE99*Ramure*Pc/MaxiM</f>
        <v>2.4133709684769222E-4</v>
      </c>
      <c r="AE99" s="305">
        <f t="shared" si="38"/>
        <v>0.7</v>
      </c>
      <c r="AF99" s="177">
        <f t="shared" si="39"/>
        <v>0.52045616467624733</v>
      </c>
      <c r="AG99" s="919">
        <f t="shared" si="47"/>
        <v>-1</v>
      </c>
      <c r="AH99" s="176">
        <f t="shared" si="40"/>
        <v>5</v>
      </c>
      <c r="AI99" s="225">
        <f t="shared" si="41"/>
        <v>-0.47954383532375272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8">
        <v>39.555999999999997</v>
      </c>
      <c r="C100" s="390"/>
      <c r="D100" s="393">
        <f t="shared" si="24"/>
        <v>40.466497321835043</v>
      </c>
      <c r="E100" s="385">
        <f t="shared" si="45"/>
        <v>44.170015487753567</v>
      </c>
      <c r="F100" s="385">
        <f t="shared" si="25"/>
        <v>44.177653254669181</v>
      </c>
      <c r="G100" s="110">
        <f t="shared" si="46"/>
        <v>0.81874303715802554</v>
      </c>
      <c r="H100" s="412" t="b">
        <f>Wh_hp&gt;='2020'!Maxi_hp</f>
        <v>0</v>
      </c>
      <c r="I100" s="380">
        <f>IF(H100,Wh_hp,'2020'!Maxi_hp)</f>
        <v>55.275486537639232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2.2500027976074866E-2</v>
      </c>
      <c r="M100" s="957"/>
      <c r="N100" s="957"/>
      <c r="O100" s="48">
        <f>IF(t&lt;Tnet,'2020'!Resal+('2020'!Salim-'2020'!Resal)*(1-EXP(('2020'!Tnet-t)/('2020'!Tau_j))),Resal+(Salim-Resal)*(1-EXP((Tnet-t)/(Tau_j))))*Salcycl</f>
        <v>8.384688402351477E-2</v>
      </c>
      <c r="P100" s="169">
        <f>(INDEX(Models!$BJ100:$BT100,,T100)*(1-R100)+INDEX(Models!$BJ100:$BT100,,T100+1)*R100-ERP_i)*Q100*Ramure*Pc/MaxiM</f>
        <v>2.3327495674485907E-4</v>
      </c>
      <c r="Q100" s="305">
        <f t="shared" si="27"/>
        <v>0.7</v>
      </c>
      <c r="R100" s="177">
        <f t="shared" si="28"/>
        <v>0.5213031298442119</v>
      </c>
      <c r="S100" s="919">
        <f t="shared" si="29"/>
        <v>-1</v>
      </c>
      <c r="T100" s="176">
        <f t="shared" si="30"/>
        <v>5</v>
      </c>
      <c r="U100" s="251">
        <f t="shared" si="31"/>
        <v>-0.4786968701557881</v>
      </c>
      <c r="V100" s="383">
        <f t="shared" si="32"/>
        <v>48.310164615992946</v>
      </c>
      <c r="W100" s="402"/>
      <c r="X100" s="157">
        <f t="shared" si="33"/>
        <v>44282</v>
      </c>
      <c r="Y100" s="385">
        <f t="shared" si="34"/>
        <v>39.555999999999997</v>
      </c>
      <c r="Z100" s="385">
        <f t="shared" si="35"/>
        <v>40.466497321835043</v>
      </c>
      <c r="AA100" s="386">
        <f t="shared" si="36"/>
        <v>44.170015487753567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8.384688402351477E-2</v>
      </c>
      <c r="AD100" s="231">
        <f>(INDEX(Models!$BJ100:$BT100,,AH100)*(1-AF100)+INDEX(Models!$BJ100:$BT100,,AH100+1)*AF100-ERP_i)*AE100*Ramure*Pc/MaxiM</f>
        <v>2.3327495674485907E-4</v>
      </c>
      <c r="AE100" s="305">
        <f t="shared" si="38"/>
        <v>0.7</v>
      </c>
      <c r="AF100" s="177">
        <f t="shared" si="39"/>
        <v>0.5213031298442119</v>
      </c>
      <c r="AG100" s="919">
        <f t="shared" si="47"/>
        <v>-1</v>
      </c>
      <c r="AH100" s="176">
        <f t="shared" si="40"/>
        <v>5</v>
      </c>
      <c r="AI100" s="225">
        <f t="shared" si="41"/>
        <v>-0.4786968701557881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8">
        <v>47.15</v>
      </c>
      <c r="C101" s="390"/>
      <c r="D101" s="393">
        <f t="shared" si="24"/>
        <v>48.23635199804653</v>
      </c>
      <c r="E101" s="385">
        <f t="shared" si="45"/>
        <v>52.653359786092622</v>
      </c>
      <c r="F101" s="385">
        <f t="shared" si="25"/>
        <v>52.664762380364031</v>
      </c>
      <c r="G101" s="110">
        <f t="shared" si="46"/>
        <v>0.97150790079704841</v>
      </c>
      <c r="H101" s="412" t="b">
        <f>Wh_hp&gt;='2020'!Maxi_hp</f>
        <v>0</v>
      </c>
      <c r="I101" s="380">
        <f>IF(H101,Wh_hp,'2020'!Maxi_hp)</f>
        <v>54.062253279945516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2.2521437734149719E-2</v>
      </c>
      <c r="M101" s="957"/>
      <c r="N101" s="957"/>
      <c r="O101" s="48">
        <f>IF(t&lt;Tnet,'2020'!Resal+('2020'!Salim-'2020'!Resal)*(1-EXP(('2020'!Tnet-t)/('2020'!Tau_j))),Resal+(Salim-Resal)*(1-EXP((Tnet-t)/(Tau_j))))*Salcycl</f>
        <v>8.3888431925150636E-2</v>
      </c>
      <c r="P101" s="169">
        <f>(INDEX(Models!$BJ101:$BT101,,T101)*(1-R101)+INDEX(Models!$BJ101:$BT101,,T101+1)*R101-ERP_i)*Q101*Ramure*Pc/MaxiM</f>
        <v>2.2569642715711833E-4</v>
      </c>
      <c r="Q101" s="305">
        <f t="shared" si="27"/>
        <v>0.7</v>
      </c>
      <c r="R101" s="177">
        <f t="shared" si="28"/>
        <v>0.52218245139387609</v>
      </c>
      <c r="S101" s="919">
        <f t="shared" si="29"/>
        <v>-1</v>
      </c>
      <c r="T101" s="176">
        <f t="shared" si="30"/>
        <v>5</v>
      </c>
      <c r="U101" s="251">
        <f t="shared" si="31"/>
        <v>-0.47781754860612391</v>
      </c>
      <c r="V101" s="383">
        <f t="shared" si="32"/>
        <v>48.532355587355752</v>
      </c>
      <c r="W101" s="402"/>
      <c r="X101" s="157">
        <f t="shared" si="33"/>
        <v>44283</v>
      </c>
      <c r="Y101" s="385">
        <f t="shared" si="34"/>
        <v>47.15</v>
      </c>
      <c r="Z101" s="385">
        <f t="shared" si="35"/>
        <v>48.23635199804653</v>
      </c>
      <c r="AA101" s="386">
        <f t="shared" si="36"/>
        <v>52.653359786092622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8.3888431925150636E-2</v>
      </c>
      <c r="AD101" s="231">
        <f>(INDEX(Models!$BJ101:$BT101,,AH101)*(1-AF101)+INDEX(Models!$BJ101:$BT101,,AH101+1)*AF101-ERP_i)*AE101*Ramure*Pc/MaxiM</f>
        <v>2.2569642715711833E-4</v>
      </c>
      <c r="AE101" s="305">
        <f t="shared" si="38"/>
        <v>0.7</v>
      </c>
      <c r="AF101" s="177">
        <f t="shared" si="39"/>
        <v>0.52218245139387609</v>
      </c>
      <c r="AG101" s="919">
        <f t="shared" si="47"/>
        <v>-1</v>
      </c>
      <c r="AH101" s="176">
        <f t="shared" si="40"/>
        <v>5</v>
      </c>
      <c r="AI101" s="225">
        <f t="shared" si="41"/>
        <v>-0.47781754860612391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8">
        <v>49.179000000000002</v>
      </c>
      <c r="C102" s="390"/>
      <c r="D102" s="393">
        <f t="shared" si="24"/>
        <v>50.313202834755963</v>
      </c>
      <c r="E102" s="385">
        <f t="shared" si="45"/>
        <v>54.922918221915964</v>
      </c>
      <c r="F102" s="385">
        <f t="shared" si="25"/>
        <v>54.934926813744624</v>
      </c>
      <c r="G102" s="110">
        <f t="shared" si="46"/>
        <v>1.008824048810715</v>
      </c>
      <c r="H102" s="412" t="b">
        <f>Wh_hp&gt;='2020'!Maxi_hp</f>
        <v>1</v>
      </c>
      <c r="I102" s="380">
        <f>IF(H102,Wh_hp,'2020'!Maxi_hp)</f>
        <v>54.934926813744624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2.2542847023295898E-2</v>
      </c>
      <c r="M102" s="957"/>
      <c r="N102" s="957"/>
      <c r="O102" s="48">
        <f>IF(t&lt;Tnet,'2020'!Resal+('2020'!Salim-'2020'!Resal)*(1-EXP(('2020'!Tnet-t)/('2020'!Tau_j))),Resal+(Salim-Resal)*(1-EXP((Tnet-t)/(Tau_j))))*Salcycl</f>
        <v>8.3930634722183775E-2</v>
      </c>
      <c r="P102" s="169">
        <f>(INDEX(Models!$BJ102:$BT102,,T102)*(1-R102)+INDEX(Models!$BJ102:$BT102,,T102+1)*R102-ERP_i)*Q102*Ramure*Pc/MaxiM</f>
        <v>2.1859666563995176E-4</v>
      </c>
      <c r="Q102" s="305">
        <f t="shared" si="27"/>
        <v>0.7</v>
      </c>
      <c r="R102" s="177">
        <f t="shared" si="28"/>
        <v>0.52309523367826249</v>
      </c>
      <c r="S102" s="919">
        <f t="shared" si="29"/>
        <v>-1</v>
      </c>
      <c r="T102" s="176">
        <f t="shared" si="30"/>
        <v>5</v>
      </c>
      <c r="U102" s="251">
        <f t="shared" si="31"/>
        <v>-0.47690476632173751</v>
      </c>
      <c r="V102" s="383">
        <f t="shared" si="32"/>
        <v>48.748837875124281</v>
      </c>
      <c r="W102" s="402"/>
      <c r="X102" s="157">
        <f t="shared" si="33"/>
        <v>44284</v>
      </c>
      <c r="Y102" s="385">
        <f t="shared" si="34"/>
        <v>49.179000000000002</v>
      </c>
      <c r="Z102" s="385">
        <f t="shared" si="35"/>
        <v>50.313202834755963</v>
      </c>
      <c r="AA102" s="386">
        <f t="shared" si="36"/>
        <v>54.922918221915964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8.3930634722183775E-2</v>
      </c>
      <c r="AD102" s="231">
        <f>(INDEX(Models!$BJ102:$BT102,,AH102)*(1-AF102)+INDEX(Models!$BJ102:$BT102,,AH102+1)*AF102-ERP_i)*AE102*Ramure*Pc/MaxiM</f>
        <v>2.1859666563995176E-4</v>
      </c>
      <c r="AE102" s="305">
        <f t="shared" si="38"/>
        <v>0.7</v>
      </c>
      <c r="AF102" s="177">
        <f t="shared" si="39"/>
        <v>0.52309523367826249</v>
      </c>
      <c r="AG102" s="919">
        <f t="shared" si="47"/>
        <v>-1</v>
      </c>
      <c r="AH102" s="176">
        <f t="shared" si="40"/>
        <v>5</v>
      </c>
      <c r="AI102" s="225">
        <f t="shared" si="41"/>
        <v>-0.47690476632173751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8">
        <v>45.963999999999999</v>
      </c>
      <c r="C103" s="390"/>
      <c r="D103" s="393">
        <f t="shared" si="24"/>
        <v>47.025086073219853</v>
      </c>
      <c r="E103" s="385">
        <f t="shared" si="45"/>
        <v>51.335946428746531</v>
      </c>
      <c r="F103" s="385">
        <f t="shared" si="25"/>
        <v>51.345879137357414</v>
      </c>
      <c r="G103" s="110">
        <f t="shared" si="46"/>
        <v>0.93881020871287879</v>
      </c>
      <c r="H103" s="412" t="b">
        <f>Wh_hp&gt;='2020'!Maxi_hp</f>
        <v>0</v>
      </c>
      <c r="I103" s="380">
        <f>IF(H103,Wh_hp,'2020'!Maxi_hp)</f>
        <v>56.1503147173473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2.2564255843523728E-2</v>
      </c>
      <c r="M103" s="957"/>
      <c r="N103" s="957"/>
      <c r="O103" s="48">
        <f>IF(t&lt;Tnet,'2020'!Resal+('2020'!Salim-'2020'!Resal)*(1-EXP(('2020'!Tnet-t)/('2020'!Tau_j))),Resal+(Salim-Resal)*(1-EXP((Tnet-t)/(Tau_j))))*Salcycl</f>
        <v>8.3973524507044636E-2</v>
      </c>
      <c r="P103" s="169">
        <f>(INDEX(Models!$BJ103:$BT103,,T103)*(1-R103)+INDEX(Models!$BJ103:$BT103,,T103+1)*R103-ERP_i)*Q103*Ramure*Pc/MaxiM</f>
        <v>2.119710093066893E-4</v>
      </c>
      <c r="Q103" s="305">
        <f t="shared" si="27"/>
        <v>0.7</v>
      </c>
      <c r="R103" s="177">
        <f t="shared" si="28"/>
        <v>0.52404260802988079</v>
      </c>
      <c r="S103" s="919">
        <f t="shared" si="29"/>
        <v>-1</v>
      </c>
      <c r="T103" s="176">
        <f t="shared" si="30"/>
        <v>5</v>
      </c>
      <c r="U103" s="251">
        <f t="shared" si="31"/>
        <v>-0.47595739197011916</v>
      </c>
      <c r="V103" s="383">
        <f t="shared" si="32"/>
        <v>48.958935441060021</v>
      </c>
      <c r="W103" s="402"/>
      <c r="X103" s="157">
        <f t="shared" si="33"/>
        <v>44285</v>
      </c>
      <c r="Y103" s="385">
        <f t="shared" si="34"/>
        <v>45.963999999999999</v>
      </c>
      <c r="Z103" s="385">
        <f t="shared" si="35"/>
        <v>47.025086073219853</v>
      </c>
      <c r="AA103" s="386">
        <f t="shared" si="36"/>
        <v>51.335946428746531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8.3973524507044636E-2</v>
      </c>
      <c r="AD103" s="231">
        <f>(INDEX(Models!$BJ103:$BT103,,AH103)*(1-AF103)+INDEX(Models!$BJ103:$BT103,,AH103+1)*AF103-ERP_i)*AE103*Ramure*Pc/MaxiM</f>
        <v>2.119710093066893E-4</v>
      </c>
      <c r="AE103" s="305">
        <f t="shared" si="38"/>
        <v>0.7</v>
      </c>
      <c r="AF103" s="177">
        <f t="shared" si="39"/>
        <v>0.52404260802988079</v>
      </c>
      <c r="AG103" s="919">
        <f t="shared" si="47"/>
        <v>-1</v>
      </c>
      <c r="AH103" s="176">
        <f t="shared" si="40"/>
        <v>5</v>
      </c>
      <c r="AI103" s="225">
        <f t="shared" si="41"/>
        <v>-0.47595739197011916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8">
        <v>44.314999999999998</v>
      </c>
      <c r="C104" s="390"/>
      <c r="D104" s="393">
        <f t="shared" si="24"/>
        <v>45.339011693024737</v>
      </c>
      <c r="E104" s="385">
        <f t="shared" si="45"/>
        <v>49.49766346637599</v>
      </c>
      <c r="F104" s="385">
        <f t="shared" si="25"/>
        <v>49.506417533337903</v>
      </c>
      <c r="G104" s="110">
        <f t="shared" si="46"/>
        <v>0.90138196181106645</v>
      </c>
      <c r="H104" s="412" t="b">
        <f>Wh_hp&gt;='2020'!Maxi_hp</f>
        <v>1</v>
      </c>
      <c r="I104" s="380">
        <f>IF(H104,Wh_hp,'2020'!Maxi_hp)</f>
        <v>49.506417533337903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2.2585664194843535E-2</v>
      </c>
      <c r="M104" s="957"/>
      <c r="N104" s="957"/>
      <c r="O104" s="48">
        <f>IF(t&lt;Tnet,'2020'!Resal+('2020'!Salim-'2020'!Resal)*(1-EXP(('2020'!Tnet-t)/('2020'!Tau_j))),Resal+(Salim-Resal)*(1-EXP((Tnet-t)/(Tau_j))))*Salcycl</f>
        <v>8.4017132973887715E-2</v>
      </c>
      <c r="P104" s="169">
        <f>(INDEX(Models!$BJ104:$BT104,,T104)*(1-R104)+INDEX(Models!$BJ104:$BT104,,T104+1)*R104-ERP_i)*Q104*Ramure*Pc/MaxiM</f>
        <v>2.0581505214607506E-4</v>
      </c>
      <c r="Q104" s="305">
        <f t="shared" si="27"/>
        <v>0.7</v>
      </c>
      <c r="R104" s="177">
        <f t="shared" si="28"/>
        <v>0.52502573251354512</v>
      </c>
      <c r="S104" s="919">
        <f t="shared" si="29"/>
        <v>-1</v>
      </c>
      <c r="T104" s="176">
        <f t="shared" si="30"/>
        <v>5</v>
      </c>
      <c r="U104" s="251">
        <f t="shared" si="31"/>
        <v>-0.47497426748645488</v>
      </c>
      <c r="V104" s="383">
        <f t="shared" si="32"/>
        <v>49.161972438812498</v>
      </c>
      <c r="W104" s="402"/>
      <c r="X104" s="157">
        <f t="shared" si="33"/>
        <v>44286</v>
      </c>
      <c r="Y104" s="385">
        <f t="shared" si="34"/>
        <v>44.314999999999998</v>
      </c>
      <c r="Z104" s="385">
        <f t="shared" si="35"/>
        <v>45.339011693024737</v>
      </c>
      <c r="AA104" s="386">
        <f t="shared" si="36"/>
        <v>49.49766346637599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8.4017132973887715E-2</v>
      </c>
      <c r="AD104" s="231">
        <f>(INDEX(Models!$BJ104:$BT104,,AH104)*(1-AF104)+INDEX(Models!$BJ104:$BT104,,AH104+1)*AF104-ERP_i)*AE104*Ramure*Pc/MaxiM</f>
        <v>2.0581505214607506E-4</v>
      </c>
      <c r="AE104" s="305">
        <f t="shared" si="38"/>
        <v>0.7</v>
      </c>
      <c r="AF104" s="177">
        <f t="shared" si="39"/>
        <v>0.52502573251354512</v>
      </c>
      <c r="AG104" s="919">
        <f t="shared" si="47"/>
        <v>-1</v>
      </c>
      <c r="AH104" s="176">
        <f t="shared" si="40"/>
        <v>5</v>
      </c>
      <c r="AI104" s="225">
        <f t="shared" si="41"/>
        <v>-0.47497426748645488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8">
        <v>44.258000000000003</v>
      </c>
      <c r="C105" s="390"/>
      <c r="D105" s="393">
        <f t="shared" si="24"/>
        <v>45.281686347027374</v>
      </c>
      <c r="E105" s="385">
        <f t="shared" si="45"/>
        <v>49.437474152612147</v>
      </c>
      <c r="F105" s="385">
        <f t="shared" si="25"/>
        <v>49.445909039564896</v>
      </c>
      <c r="G105" s="110">
        <f t="shared" si="46"/>
        <v>0.8966599986127074</v>
      </c>
      <c r="H105" s="412" t="b">
        <f>Wh_hp&gt;='2020'!Maxi_hp</f>
        <v>1</v>
      </c>
      <c r="I105" s="380">
        <f>IF(H105,Wh_hp,'2020'!Maxi_hp)</f>
        <v>49.445909039564896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2.2607072077265422E-2</v>
      </c>
      <c r="M105" s="957"/>
      <c r="N105" s="957"/>
      <c r="O105" s="48">
        <f>IF(t&lt;Tnet,'2020'!Resal+('2020'!Salim-'2020'!Resal)*(1-EXP(('2020'!Tnet-t)/('2020'!Tau_j))),Resal+(Salim-Resal)*(1-EXP((Tnet-t)/(Tau_j))))*Salcycl</f>
        <v>8.4061491344722947E-2</v>
      </c>
      <c r="P105" s="169">
        <f>(INDEX(Models!$BJ105:$BT105,,T105)*(1-R105)+INDEX(Models!$BJ105:$BT105,,T105+1)*R105-ERP_i)*Q105*Ramure*Pc/MaxiM</f>
        <v>2.0012472003355601E-4</v>
      </c>
      <c r="Q105" s="305">
        <f t="shared" si="27"/>
        <v>0.7</v>
      </c>
      <c r="R105" s="177">
        <f t="shared" si="28"/>
        <v>0.52604579158283027</v>
      </c>
      <c r="S105" s="919">
        <f t="shared" si="29"/>
        <v>-1</v>
      </c>
      <c r="T105" s="176">
        <f t="shared" si="30"/>
        <v>5</v>
      </c>
      <c r="U105" s="251">
        <f t="shared" si="31"/>
        <v>-0.47395420841716968</v>
      </c>
      <c r="V105" s="383">
        <f t="shared" si="32"/>
        <v>49.357273232485923</v>
      </c>
      <c r="W105" s="402"/>
      <c r="X105" s="157">
        <f t="shared" si="33"/>
        <v>44287</v>
      </c>
      <c r="Y105" s="385">
        <f t="shared" si="34"/>
        <v>44.258000000000003</v>
      </c>
      <c r="Z105" s="385">
        <f t="shared" si="35"/>
        <v>45.281686347027374</v>
      </c>
      <c r="AA105" s="386">
        <f t="shared" si="36"/>
        <v>49.437474152612147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8.4061491344722947E-2</v>
      </c>
      <c r="AD105" s="231">
        <f>(INDEX(Models!$BJ105:$BT105,,AH105)*(1-AF105)+INDEX(Models!$BJ105:$BT105,,AH105+1)*AF105-ERP_i)*AE105*Ramure*Pc/MaxiM</f>
        <v>2.0012472003355601E-4</v>
      </c>
      <c r="AE105" s="305">
        <f t="shared" si="38"/>
        <v>0.7</v>
      </c>
      <c r="AF105" s="177">
        <f t="shared" si="39"/>
        <v>0.52604579158283027</v>
      </c>
      <c r="AG105" s="919">
        <f t="shared" si="47"/>
        <v>-1</v>
      </c>
      <c r="AH105" s="176">
        <f t="shared" si="40"/>
        <v>5</v>
      </c>
      <c r="AI105" s="225">
        <f t="shared" si="41"/>
        <v>-0.47395420841716968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8">
        <v>38.447000000000003</v>
      </c>
      <c r="C106" s="390"/>
      <c r="D106" s="393">
        <f t="shared" si="24"/>
        <v>39.337139657977268</v>
      </c>
      <c r="E106" s="385">
        <f t="shared" si="45"/>
        <v>42.949475298436212</v>
      </c>
      <c r="F106" s="385">
        <f t="shared" si="25"/>
        <v>42.955168302221622</v>
      </c>
      <c r="G106" s="110">
        <f t="shared" si="46"/>
        <v>0.77596633309323504</v>
      </c>
      <c r="H106" s="412" t="b">
        <f>Wh_hp&gt;='2020'!Maxi_hp</f>
        <v>0</v>
      </c>
      <c r="I106" s="380">
        <f>IF(H106,Wh_hp,'2020'!Maxi_hp)</f>
        <v>44.480418756560418</v>
      </c>
      <c r="J106" s="85">
        <f>IF(H106,An,'2020'!An_max)</f>
        <v>2020</v>
      </c>
      <c r="K106" s="197">
        <f t="shared" si="26"/>
        <v>44288</v>
      </c>
      <c r="L106" s="147">
        <f>IF(t&lt;Tvie,1-EXP((T0-t)*PertePVj)+'2020'!Pspv,1-EXP((T0-t)*PertePVj)+Pspv)</f>
        <v>2.2628479490799713E-2</v>
      </c>
      <c r="M106" s="957"/>
      <c r="N106" s="957"/>
      <c r="O106" s="48">
        <f>IF(t&lt;Tnet,'2020'!Resal+('2020'!Salim-'2020'!Resal)*(1-EXP(('2020'!Tnet-t)/('2020'!Tau_j))),Resal+(Salim-Resal)*(1-EXP((Tnet-t)/(Tau_j))))*Salcycl</f>
        <v>8.4106630298938029E-2</v>
      </c>
      <c r="P106" s="169">
        <f>(INDEX(Models!$BJ106:$BT106,,T106)*(1-R106)+INDEX(Models!$BJ106:$BT106,,T106+1)*R106-ERP_i)*Q106*Ramure*Pc/MaxiM</f>
        <v>1.9489634388285653E-4</v>
      </c>
      <c r="Q106" s="305">
        <f t="shared" si="27"/>
        <v>0.7</v>
      </c>
      <c r="R106" s="177">
        <f t="shared" si="28"/>
        <v>0.52710399563226962</v>
      </c>
      <c r="S106" s="919">
        <f t="shared" si="29"/>
        <v>-1</v>
      </c>
      <c r="T106" s="176">
        <f t="shared" si="30"/>
        <v>5</v>
      </c>
      <c r="U106" s="251">
        <f t="shared" si="31"/>
        <v>-0.47289600436773033</v>
      </c>
      <c r="V106" s="383">
        <f t="shared" si="32"/>
        <v>49.544162398310078</v>
      </c>
      <c r="W106" s="402"/>
      <c r="X106" s="157">
        <f t="shared" si="33"/>
        <v>44288</v>
      </c>
      <c r="Y106" s="385">
        <f t="shared" si="34"/>
        <v>38.447000000000003</v>
      </c>
      <c r="Z106" s="385">
        <f t="shared" si="35"/>
        <v>39.337139657977268</v>
      </c>
      <c r="AA106" s="386">
        <f t="shared" si="36"/>
        <v>42.949475298436212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8.4106630298938029E-2</v>
      </c>
      <c r="AD106" s="231">
        <f>(INDEX(Models!$BJ106:$BT106,,AH106)*(1-AF106)+INDEX(Models!$BJ106:$BT106,,AH106+1)*AF106-ERP_i)*AE106*Ramure*Pc/MaxiM</f>
        <v>1.9489634388285653E-4</v>
      </c>
      <c r="AE106" s="305">
        <f t="shared" si="38"/>
        <v>0.7</v>
      </c>
      <c r="AF106" s="177">
        <f t="shared" si="39"/>
        <v>0.52710399563226962</v>
      </c>
      <c r="AG106" s="919">
        <f t="shared" si="47"/>
        <v>-1</v>
      </c>
      <c r="AH106" s="176">
        <f t="shared" si="40"/>
        <v>5</v>
      </c>
      <c r="AI106" s="225">
        <f t="shared" si="41"/>
        <v>-0.47289600436773033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8">
        <v>47.384999999999998</v>
      </c>
      <c r="C107" s="390"/>
      <c r="D107" s="393">
        <f t="shared" si="24"/>
        <v>48.483137559763264</v>
      </c>
      <c r="E107" s="385">
        <f t="shared" si="45"/>
        <v>52.938007462846862</v>
      </c>
      <c r="F107" s="385">
        <f t="shared" si="25"/>
        <v>52.947397962650761</v>
      </c>
      <c r="G107" s="110">
        <f t="shared" si="46"/>
        <v>0.95297486084066441</v>
      </c>
      <c r="H107" s="412" t="b">
        <f>Wh_hp&gt;='2020'!Maxi_hp</f>
        <v>1</v>
      </c>
      <c r="I107" s="380">
        <f>IF(H107,Wh_hp,'2020'!Maxi_hp)</f>
        <v>52.947397962650761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2.2649886435456734E-2</v>
      </c>
      <c r="M107" s="957"/>
      <c r="N107" s="957"/>
      <c r="O107" s="48">
        <f>IF(t&lt;Tnet,'2020'!Resal+('2020'!Salim-'2020'!Resal)*(1-EXP(('2020'!Tnet-t)/('2020'!Tau_j))),Resal+(Salim-Resal)*(1-EXP((Tnet-t)/(Tau_j))))*Salcycl</f>
        <v>8.4152579906036876E-2</v>
      </c>
      <c r="P107" s="169">
        <f>(INDEX(Models!$BJ107:$BT107,,T107)*(1-R107)+INDEX(Models!$BJ107:$BT107,,T107+1)*R107-ERP_i)*Q107*Ramure*Pc/MaxiM</f>
        <v>1.9012427440054486E-4</v>
      </c>
      <c r="Q107" s="305">
        <f t="shared" si="27"/>
        <v>0.7</v>
      </c>
      <c r="R107" s="177">
        <f t="shared" si="28"/>
        <v>0.52820158043708321</v>
      </c>
      <c r="S107" s="919">
        <f t="shared" si="29"/>
        <v>-1</v>
      </c>
      <c r="T107" s="176">
        <f t="shared" si="30"/>
        <v>5</v>
      </c>
      <c r="U107" s="251">
        <f t="shared" si="31"/>
        <v>-0.47179841956291674</v>
      </c>
      <c r="V107" s="383">
        <f t="shared" si="32"/>
        <v>49.722607363814845</v>
      </c>
      <c r="W107" s="402"/>
      <c r="X107" s="157">
        <f t="shared" si="33"/>
        <v>44289</v>
      </c>
      <c r="Y107" s="385">
        <f t="shared" si="34"/>
        <v>47.384999999999998</v>
      </c>
      <c r="Z107" s="385">
        <f t="shared" si="35"/>
        <v>48.483137559763264</v>
      </c>
      <c r="AA107" s="386">
        <f t="shared" si="36"/>
        <v>52.938007462846862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8.4152579906036876E-2</v>
      </c>
      <c r="AD107" s="231">
        <f>(INDEX(Models!$BJ107:$BT107,,AH107)*(1-AF107)+INDEX(Models!$BJ107:$BT107,,AH107+1)*AF107-ERP_i)*AE107*Ramure*Pc/MaxiM</f>
        <v>1.9012427440054486E-4</v>
      </c>
      <c r="AE107" s="305">
        <f t="shared" si="38"/>
        <v>0.7</v>
      </c>
      <c r="AF107" s="177">
        <f t="shared" si="39"/>
        <v>0.52820158043708321</v>
      </c>
      <c r="AG107" s="919">
        <f t="shared" si="47"/>
        <v>-1</v>
      </c>
      <c r="AH107" s="176">
        <f t="shared" si="40"/>
        <v>5</v>
      </c>
      <c r="AI107" s="225">
        <f t="shared" si="41"/>
        <v>-0.47179841956291674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8">
        <v>48.094000000000001</v>
      </c>
      <c r="C108" s="390"/>
      <c r="D108" s="393">
        <f t="shared" si="24"/>
        <v>49.209646305449709</v>
      </c>
      <c r="E108" s="385">
        <f t="shared" si="45"/>
        <v>53.734016629667131</v>
      </c>
      <c r="F108" s="385">
        <f t="shared" si="25"/>
        <v>53.743514616061141</v>
      </c>
      <c r="G108" s="110">
        <f t="shared" si="46"/>
        <v>0.96392739228138113</v>
      </c>
      <c r="H108" s="412" t="b">
        <f>Wh_hp&gt;='2020'!Maxi_hp</f>
        <v>0</v>
      </c>
      <c r="I108" s="380">
        <f>IF(H108,Wh_hp,'2020'!Maxi_hp)</f>
        <v>55.741875297523443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2.267129291124681E-2</v>
      </c>
      <c r="M108" s="957"/>
      <c r="N108" s="957"/>
      <c r="O108" s="48">
        <f>IF(t&lt;Tnet,'2020'!Resal+('2020'!Salim-'2020'!Resal)*(1-EXP(('2020'!Tnet-t)/('2020'!Tau_j))),Resal+(Salim-Resal)*(1-EXP((Tnet-t)/(Tau_j))))*Salcycl</f>
        <v>8.4199369561356555E-2</v>
      </c>
      <c r="P108" s="169">
        <f>(INDEX(Models!$BJ108:$BT108,,T108)*(1-R108)+INDEX(Models!$BJ108:$BT108,,T108+1)*R108-ERP_i)*Q108*Ramure*Pc/MaxiM</f>
        <v>1.863274661109495E-4</v>
      </c>
      <c r="Q108" s="305">
        <f t="shared" si="27"/>
        <v>0.7</v>
      </c>
      <c r="R108" s="177">
        <f t="shared" si="28"/>
        <v>0.5293398064719359</v>
      </c>
      <c r="S108" s="919">
        <f t="shared" si="29"/>
        <v>-1</v>
      </c>
      <c r="T108" s="176">
        <f t="shared" si="30"/>
        <v>5</v>
      </c>
      <c r="U108" s="251">
        <f t="shared" si="31"/>
        <v>-0.47066019352806404</v>
      </c>
      <c r="V108" s="383">
        <f t="shared" si="32"/>
        <v>49.89332041920872</v>
      </c>
      <c r="W108" s="402"/>
      <c r="X108" s="157">
        <f t="shared" si="33"/>
        <v>44290</v>
      </c>
      <c r="Y108" s="385">
        <f t="shared" si="34"/>
        <v>48.094000000000001</v>
      </c>
      <c r="Z108" s="385">
        <f t="shared" si="35"/>
        <v>49.209646305449709</v>
      </c>
      <c r="AA108" s="386">
        <f t="shared" si="36"/>
        <v>53.734016629667131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8.4199369561356555E-2</v>
      </c>
      <c r="AD108" s="231">
        <f>(INDEX(Models!$BJ108:$BT108,,AH108)*(1-AF108)+INDEX(Models!$BJ108:$BT108,,AH108+1)*AF108-ERP_i)*AE108*Ramure*Pc/MaxiM</f>
        <v>1.863274661109495E-4</v>
      </c>
      <c r="AE108" s="305">
        <f t="shared" si="38"/>
        <v>0.7</v>
      </c>
      <c r="AF108" s="177">
        <f t="shared" si="39"/>
        <v>0.5293398064719359</v>
      </c>
      <c r="AG108" s="919">
        <f t="shared" si="47"/>
        <v>-1</v>
      </c>
      <c r="AH108" s="176">
        <f t="shared" si="40"/>
        <v>5</v>
      </c>
      <c r="AI108" s="225">
        <f t="shared" si="41"/>
        <v>-0.47066019352806404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8">
        <v>47.372999999999998</v>
      </c>
      <c r="C109" s="390"/>
      <c r="D109" s="393">
        <f t="shared" si="24"/>
        <v>48.47298280444744</v>
      </c>
      <c r="E109" s="385">
        <f t="shared" si="45"/>
        <v>52.93237836245806</v>
      </c>
      <c r="F109" s="385">
        <f t="shared" si="25"/>
        <v>52.94134095115038</v>
      </c>
      <c r="G109" s="110">
        <f t="shared" si="46"/>
        <v>0.9463717859404337</v>
      </c>
      <c r="H109" s="412" t="b">
        <f>Wh_hp&gt;='2020'!Maxi_hp</f>
        <v>0</v>
      </c>
      <c r="I109" s="380">
        <f>IF(H109,Wh_hp,'2020'!Maxi_hp)</f>
        <v>58.256884739736201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2.2692698918180043E-2</v>
      </c>
      <c r="M109" s="957"/>
      <c r="N109" s="957"/>
      <c r="O109" s="48">
        <f>IF(t&lt;Tnet,'2020'!Resal+('2020'!Salim-'2020'!Resal)*(1-EXP(('2020'!Tnet-t)/('2020'!Tau_j))),Resal+(Salim-Resal)*(1-EXP((Tnet-t)/(Tau_j))))*Salcycl</f>
        <v>8.4247027924470072E-2</v>
      </c>
      <c r="P109" s="169">
        <f>(INDEX(Models!$BJ109:$BT109,,T109)*(1-R109)+INDEX(Models!$BJ109:$BT109,,T109+1)*R109-ERP_i)*Q109*Ramure*Pc/MaxiM</f>
        <v>1.8333494279596543E-4</v>
      </c>
      <c r="Q109" s="305">
        <f t="shared" si="27"/>
        <v>0.7</v>
      </c>
      <c r="R109" s="177">
        <f t="shared" si="28"/>
        <v>0.53051995809995467</v>
      </c>
      <c r="S109" s="919">
        <f t="shared" si="29"/>
        <v>-1</v>
      </c>
      <c r="T109" s="176">
        <f t="shared" si="30"/>
        <v>5</v>
      </c>
      <c r="U109" s="251">
        <f t="shared" si="31"/>
        <v>-0.46948004190004533</v>
      </c>
      <c r="V109" s="383">
        <f t="shared" si="32"/>
        <v>50.056790971020398</v>
      </c>
      <c r="W109" s="402"/>
      <c r="X109" s="157">
        <f t="shared" si="33"/>
        <v>44291</v>
      </c>
      <c r="Y109" s="385">
        <f t="shared" si="34"/>
        <v>47.372999999999998</v>
      </c>
      <c r="Z109" s="385">
        <f t="shared" si="35"/>
        <v>48.47298280444744</v>
      </c>
      <c r="AA109" s="386">
        <f t="shared" si="36"/>
        <v>52.93237836245806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8.4247027924470072E-2</v>
      </c>
      <c r="AD109" s="231">
        <f>(INDEX(Models!$BJ109:$BT109,,AH109)*(1-AF109)+INDEX(Models!$BJ109:$BT109,,AH109+1)*AF109-ERP_i)*AE109*Ramure*Pc/MaxiM</f>
        <v>1.8333494279596543E-4</v>
      </c>
      <c r="AE109" s="305">
        <f t="shared" si="38"/>
        <v>0.7</v>
      </c>
      <c r="AF109" s="177">
        <f t="shared" si="39"/>
        <v>0.53051995809995467</v>
      </c>
      <c r="AG109" s="919">
        <f t="shared" si="47"/>
        <v>-1</v>
      </c>
      <c r="AH109" s="176">
        <f t="shared" si="40"/>
        <v>5</v>
      </c>
      <c r="AI109" s="225">
        <f t="shared" si="41"/>
        <v>-0.46948004190004533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8">
        <v>26.823</v>
      </c>
      <c r="C110" s="390"/>
      <c r="D110" s="393">
        <f t="shared" si="24"/>
        <v>27.446420870605596</v>
      </c>
      <c r="E110" s="385">
        <f t="shared" si="45"/>
        <v>29.973013514913905</v>
      </c>
      <c r="F110" s="385">
        <f t="shared" si="25"/>
        <v>29.974829972165754</v>
      </c>
      <c r="G110" s="110">
        <f t="shared" si="46"/>
        <v>0.53411465861090923</v>
      </c>
      <c r="H110" s="412" t="b">
        <f>Wh_hp&gt;='2020'!Maxi_hp</f>
        <v>0</v>
      </c>
      <c r="I110" s="380">
        <f>IF(H110,Wh_hp,'2020'!Maxi_hp)</f>
        <v>57.685469912803519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2.2714104456266759E-2</v>
      </c>
      <c r="M110" s="957"/>
      <c r="N110" s="957"/>
      <c r="O110" s="48">
        <f>IF(t&lt;Tnet,'2020'!Resal+('2020'!Salim-'2020'!Resal)*(1-EXP(('2020'!Tnet-t)/('2020'!Tau_j))),Resal+(Salim-Resal)*(1-EXP((Tnet-t)/(Tau_j))))*Salcycl</f>
        <v>8.4295582859932799E-2</v>
      </c>
      <c r="P110" s="169">
        <f>(INDEX(Models!$BJ110:$BT110,,T110)*(1-R110)+INDEX(Models!$BJ110:$BT110,,T110+1)*R110-ERP_i)*Q110*Ramure*Pc/MaxiM</f>
        <v>1.8114170313127587E-4</v>
      </c>
      <c r="Q110" s="305">
        <f t="shared" si="27"/>
        <v>0.7</v>
      </c>
      <c r="R110" s="177">
        <f t="shared" si="28"/>
        <v>0.53174334262299494</v>
      </c>
      <c r="S110" s="919">
        <f t="shared" si="29"/>
        <v>-1</v>
      </c>
      <c r="T110" s="176">
        <f t="shared" si="30"/>
        <v>5</v>
      </c>
      <c r="U110" s="251">
        <f t="shared" si="31"/>
        <v>-0.46825665737700511</v>
      </c>
      <c r="V110" s="383">
        <f t="shared" si="32"/>
        <v>50.213500165094707</v>
      </c>
      <c r="W110" s="402"/>
      <c r="X110" s="157">
        <f t="shared" si="33"/>
        <v>44292</v>
      </c>
      <c r="Y110" s="385">
        <f t="shared" si="34"/>
        <v>26.823</v>
      </c>
      <c r="Z110" s="385">
        <f t="shared" si="35"/>
        <v>27.446420870605596</v>
      </c>
      <c r="AA110" s="386">
        <f t="shared" si="36"/>
        <v>29.973013514913905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8.4295582859932799E-2</v>
      </c>
      <c r="AD110" s="231">
        <f>(INDEX(Models!$BJ110:$BT110,,AH110)*(1-AF110)+INDEX(Models!$BJ110:$BT110,,AH110+1)*AF110-ERP_i)*AE110*Ramure*Pc/MaxiM</f>
        <v>1.8114170313127587E-4</v>
      </c>
      <c r="AE110" s="305">
        <f t="shared" si="38"/>
        <v>0.7</v>
      </c>
      <c r="AF110" s="177">
        <f t="shared" si="39"/>
        <v>0.53174334262299494</v>
      </c>
      <c r="AG110" s="919">
        <f t="shared" si="47"/>
        <v>-1</v>
      </c>
      <c r="AH110" s="176">
        <f t="shared" si="40"/>
        <v>5</v>
      </c>
      <c r="AI110" s="225">
        <f t="shared" si="41"/>
        <v>-0.46825665737700511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8">
        <v>50.341999999999999</v>
      </c>
      <c r="C111" s="390"/>
      <c r="D111" s="393">
        <f t="shared" si="24"/>
        <v>51.51317835723048</v>
      </c>
      <c r="E111" s="385">
        <f t="shared" si="45"/>
        <v>56.258287029900586</v>
      </c>
      <c r="F111" s="385">
        <f t="shared" si="25"/>
        <v>56.268394657199678</v>
      </c>
      <c r="G111" s="110">
        <f t="shared" si="46"/>
        <v>0.9995644766531141</v>
      </c>
      <c r="H111" s="412" t="b">
        <f>Wh_hp&gt;='2020'!Maxi_hp</f>
        <v>1</v>
      </c>
      <c r="I111" s="380">
        <f>IF(H111,Wh_hp,'2020'!Maxi_hp)</f>
        <v>56.268394657199678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2.2735509525517283E-2</v>
      </c>
      <c r="M111" s="957"/>
      <c r="N111" s="957"/>
      <c r="O111" s="48">
        <f>IF(t&lt;Tnet,'2020'!Resal+('2020'!Salim-'2020'!Resal)*(1-EXP(('2020'!Tnet-t)/('2020'!Tau_j))),Resal+(Salim-Resal)*(1-EXP((Tnet-t)/(Tau_j))))*Salcycl</f>
        <v>8.4345061379990871E-2</v>
      </c>
      <c r="P111" s="169">
        <f>(INDEX(Models!$BJ111:$BT111,,T111)*(1-R111)+INDEX(Models!$BJ111:$BT111,,T111+1)*R111-ERP_i)*Q111*Ramure*Pc/MaxiM</f>
        <v>1.7974421316077044E-4</v>
      </c>
      <c r="Q111" s="305">
        <f t="shared" si="27"/>
        <v>0.7</v>
      </c>
      <c r="R111" s="177">
        <f t="shared" si="28"/>
        <v>0.5330112891839438</v>
      </c>
      <c r="S111" s="919">
        <f t="shared" si="29"/>
        <v>-1</v>
      </c>
      <c r="T111" s="176">
        <f t="shared" si="30"/>
        <v>5</v>
      </c>
      <c r="U111" s="251">
        <f t="shared" si="31"/>
        <v>-0.46698871081605614</v>
      </c>
      <c r="V111" s="383">
        <f t="shared" si="32"/>
        <v>50.363929037494977</v>
      </c>
      <c r="W111" s="402"/>
      <c r="X111" s="157">
        <f t="shared" si="33"/>
        <v>44293</v>
      </c>
      <c r="Y111" s="385">
        <f t="shared" si="34"/>
        <v>50.341999999999999</v>
      </c>
      <c r="Z111" s="385">
        <f t="shared" si="35"/>
        <v>51.51317835723048</v>
      </c>
      <c r="AA111" s="386">
        <f t="shared" si="36"/>
        <v>56.258287029900586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8.4345061379990871E-2</v>
      </c>
      <c r="AD111" s="231">
        <f>(INDEX(Models!$BJ111:$BT111,,AH111)*(1-AF111)+INDEX(Models!$BJ111:$BT111,,AH111+1)*AF111-ERP_i)*AE111*Ramure*Pc/MaxiM</f>
        <v>1.7974421316077044E-4</v>
      </c>
      <c r="AE111" s="305">
        <f t="shared" si="38"/>
        <v>0.7</v>
      </c>
      <c r="AF111" s="177">
        <f t="shared" si="39"/>
        <v>0.5330112891839438</v>
      </c>
      <c r="AG111" s="919">
        <f t="shared" si="47"/>
        <v>-1</v>
      </c>
      <c r="AH111" s="176">
        <f t="shared" si="40"/>
        <v>5</v>
      </c>
      <c r="AI111" s="225">
        <f t="shared" si="41"/>
        <v>-0.46698871081605614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8">
        <v>50.286999999999999</v>
      </c>
      <c r="C112" s="390"/>
      <c r="D112" s="393">
        <f t="shared" si="24"/>
        <v>51.458025875949481</v>
      </c>
      <c r="E112" s="385">
        <f t="shared" si="45"/>
        <v>56.201149394558605</v>
      </c>
      <c r="F112" s="385">
        <f t="shared" si="25"/>
        <v>56.211155978326396</v>
      </c>
      <c r="G112" s="110">
        <f t="shared" si="46"/>
        <v>0.99561232821470236</v>
      </c>
      <c r="H112" s="412" t="b">
        <f>Wh_hp&gt;='2020'!Maxi_hp</f>
        <v>1</v>
      </c>
      <c r="I112" s="380">
        <f>IF(H112,Wh_hp,'2020'!Maxi_hp)</f>
        <v>56.211155978326396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2.2756914125941941E-2</v>
      </c>
      <c r="M112" s="957"/>
      <c r="N112" s="957"/>
      <c r="O112" s="48">
        <f>IF(t&lt;Tnet,'2020'!Resal+('2020'!Salim-'2020'!Resal)*(1-EXP(('2020'!Tnet-t)/('2020'!Tau_j))),Resal+(Salim-Resal)*(1-EXP((Tnet-t)/(Tau_j))))*Salcycl</f>
        <v>8.4395489588836664E-2</v>
      </c>
      <c r="P112" s="169">
        <f>(INDEX(Models!$BJ112:$BT112,,T112)*(1-R112)+INDEX(Models!$BJ112:$BT112,,T112+1)*R112-ERP_i)*Q112*Ramure*Pc/MaxiM</f>
        <v>1.7914033848360277E-4</v>
      </c>
      <c r="Q112" s="305">
        <f t="shared" si="27"/>
        <v>0.7</v>
      </c>
      <c r="R112" s="177">
        <f t="shared" si="28"/>
        <v>0.53432514751168747</v>
      </c>
      <c r="S112" s="919">
        <f t="shared" si="29"/>
        <v>-1</v>
      </c>
      <c r="T112" s="176">
        <f t="shared" si="30"/>
        <v>5</v>
      </c>
      <c r="U112" s="251">
        <f t="shared" si="31"/>
        <v>-0.46567485248831253</v>
      </c>
      <c r="V112" s="383">
        <f t="shared" si="32"/>
        <v>50.508558515685806</v>
      </c>
      <c r="W112" s="402"/>
      <c r="X112" s="157">
        <f t="shared" si="33"/>
        <v>44294</v>
      </c>
      <c r="Y112" s="385">
        <f t="shared" si="34"/>
        <v>50.286999999999999</v>
      </c>
      <c r="Z112" s="385">
        <f t="shared" si="35"/>
        <v>51.458025875949481</v>
      </c>
      <c r="AA112" s="386">
        <f t="shared" si="36"/>
        <v>56.201149394558605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8.4395489588836664E-2</v>
      </c>
      <c r="AD112" s="231">
        <f>(INDEX(Models!$BJ112:$BT112,,AH112)*(1-AF112)+INDEX(Models!$BJ112:$BT112,,AH112+1)*AF112-ERP_i)*AE112*Ramure*Pc/MaxiM</f>
        <v>1.7914033848360277E-4</v>
      </c>
      <c r="AE112" s="305">
        <f t="shared" si="38"/>
        <v>0.7</v>
      </c>
      <c r="AF112" s="177">
        <f t="shared" si="39"/>
        <v>0.53432514751168747</v>
      </c>
      <c r="AG112" s="919">
        <f t="shared" si="47"/>
        <v>-1</v>
      </c>
      <c r="AH112" s="176">
        <f t="shared" si="40"/>
        <v>5</v>
      </c>
      <c r="AI112" s="225">
        <f t="shared" si="41"/>
        <v>-0.46567485248831253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8">
        <v>30.346</v>
      </c>
      <c r="C113" s="390"/>
      <c r="D113" s="393">
        <f t="shared" si="24"/>
        <v>31.053342928178925</v>
      </c>
      <c r="E113" s="385">
        <f t="shared" si="45"/>
        <v>33.917576903117585</v>
      </c>
      <c r="F113" s="385">
        <f t="shared" si="25"/>
        <v>33.920176522143585</v>
      </c>
      <c r="G113" s="110">
        <f t="shared" si="46"/>
        <v>0.59909496459033662</v>
      </c>
      <c r="H113" s="412" t="b">
        <f>Wh_hp&gt;='2020'!Maxi_hp</f>
        <v>0</v>
      </c>
      <c r="I113" s="380">
        <f>IF(H113,Wh_hp,'2020'!Maxi_hp)</f>
        <v>45.992596170964376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2.2778318257550834E-2</v>
      </c>
      <c r="M113" s="957"/>
      <c r="N113" s="957"/>
      <c r="O113" s="48">
        <f>IF(t&lt;Tnet,'2020'!Resal+('2020'!Salim-'2020'!Resal)*(1-EXP(('2020'!Tnet-t)/('2020'!Tau_j))),Resal+(Salim-Resal)*(1-EXP((Tnet-t)/(Tau_j))))*Salcycl</f>
        <v>8.4446892627975251E-2</v>
      </c>
      <c r="P113" s="169">
        <f>(INDEX(Models!$BJ113:$BT113,,T113)*(1-R113)+INDEX(Models!$BJ113:$BT113,,T113+1)*R113-ERP_i)*Q113*Ramure*Pc/MaxiM</f>
        <v>1.7932927985247557E-4</v>
      </c>
      <c r="Q113" s="305">
        <f t="shared" si="27"/>
        <v>0.7</v>
      </c>
      <c r="R113" s="177">
        <f t="shared" si="28"/>
        <v>0.53568628649925354</v>
      </c>
      <c r="S113" s="919">
        <f t="shared" si="29"/>
        <v>-1</v>
      </c>
      <c r="T113" s="176">
        <f t="shared" si="30"/>
        <v>5</v>
      </c>
      <c r="U113" s="251">
        <f t="shared" si="31"/>
        <v>-0.46431371350074652</v>
      </c>
      <c r="V113" s="383">
        <f t="shared" si="32"/>
        <v>50.647869411105653</v>
      </c>
      <c r="W113" s="402"/>
      <c r="X113" s="157">
        <f t="shared" si="33"/>
        <v>44295</v>
      </c>
      <c r="Y113" s="385">
        <f t="shared" si="34"/>
        <v>30.345999999999997</v>
      </c>
      <c r="Z113" s="385">
        <f t="shared" si="35"/>
        <v>31.053342928178921</v>
      </c>
      <c r="AA113" s="386">
        <f t="shared" si="36"/>
        <v>33.917576903117585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8.4446892627975251E-2</v>
      </c>
      <c r="AD113" s="231">
        <f>(INDEX(Models!$BJ113:$BT113,,AH113)*(1-AF113)+INDEX(Models!$BJ113:$BT113,,AH113+1)*AF113-ERP_i)*AE113*Ramure*Pc/MaxiM</f>
        <v>1.7932927985247557E-4</v>
      </c>
      <c r="AE113" s="305">
        <f t="shared" si="38"/>
        <v>0.7</v>
      </c>
      <c r="AF113" s="177">
        <f t="shared" si="39"/>
        <v>0.53568628649925354</v>
      </c>
      <c r="AG113" s="919">
        <f t="shared" si="47"/>
        <v>-1</v>
      </c>
      <c r="AH113" s="176">
        <f t="shared" si="40"/>
        <v>5</v>
      </c>
      <c r="AI113" s="225">
        <f t="shared" si="41"/>
        <v>-0.46431371350074652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8">
        <v>30.972000000000001</v>
      </c>
      <c r="C114" s="390"/>
      <c r="D114" s="393">
        <f t="shared" si="24"/>
        <v>31.694628721212521</v>
      </c>
      <c r="E114" s="385">
        <f t="shared" si="45"/>
        <v>34.61999377502918</v>
      </c>
      <c r="F114" s="385">
        <f t="shared" si="25"/>
        <v>34.622774766467529</v>
      </c>
      <c r="G114" s="110">
        <f t="shared" si="46"/>
        <v>0.6098360457300851</v>
      </c>
      <c r="H114" s="412" t="b">
        <f>Wh_hp&gt;='2020'!Maxi_hp</f>
        <v>0</v>
      </c>
      <c r="I114" s="380">
        <f>IF(H114,Wh_hp,'2020'!Maxi_hp)</f>
        <v>56.468611933419304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2.2799721920354288E-2</v>
      </c>
      <c r="M114" s="957"/>
      <c r="N114" s="957"/>
      <c r="O114" s="48">
        <f>IF(t&lt;Tnet,'2020'!Resal+('2020'!Salim-'2020'!Resal)*(1-EXP(('2020'!Tnet-t)/('2020'!Tau_j))),Resal+(Salim-Resal)*(1-EXP((Tnet-t)/(Tau_j))))*Salcycl</f>
        <v>8.4499294622250129E-2</v>
      </c>
      <c r="P114" s="169">
        <f>(INDEX(Models!$BJ114:$BT114,,T114)*(1-R114)+INDEX(Models!$BJ114:$BT114,,T114+1)*R114-ERP_i)*Q114*Ramure*Pc/MaxiM</f>
        <v>1.8143348520629926E-4</v>
      </c>
      <c r="Q114" s="305">
        <f t="shared" si="27"/>
        <v>0.7</v>
      </c>
      <c r="R114" s="177">
        <f t="shared" si="28"/>
        <v>0.53709609260559599</v>
      </c>
      <c r="S114" s="919">
        <f t="shared" si="29"/>
        <v>-1</v>
      </c>
      <c r="T114" s="176">
        <f t="shared" si="30"/>
        <v>5</v>
      </c>
      <c r="U114" s="251">
        <f t="shared" si="31"/>
        <v>-0.46290390739440401</v>
      </c>
      <c r="V114" s="383">
        <f t="shared" si="32"/>
        <v>50.78228543405158</v>
      </c>
      <c r="W114" s="402"/>
      <c r="X114" s="157">
        <f t="shared" si="33"/>
        <v>44296</v>
      </c>
      <c r="Y114" s="385">
        <f t="shared" si="34"/>
        <v>30.972000000000005</v>
      </c>
      <c r="Z114" s="385">
        <f t="shared" si="35"/>
        <v>31.694628721212524</v>
      </c>
      <c r="AA114" s="386">
        <f t="shared" si="36"/>
        <v>34.61999377502918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8.4499294622250129E-2</v>
      </c>
      <c r="AD114" s="231">
        <f>(INDEX(Models!$BJ114:$BT114,,AH114)*(1-AF114)+INDEX(Models!$BJ114:$BT114,,AH114+1)*AF114-ERP_i)*AE114*Ramure*Pc/MaxiM</f>
        <v>1.8143348520629926E-4</v>
      </c>
      <c r="AE114" s="305">
        <f t="shared" si="38"/>
        <v>0.7</v>
      </c>
      <c r="AF114" s="177">
        <f t="shared" si="39"/>
        <v>0.53709609260559599</v>
      </c>
      <c r="AG114" s="919">
        <f t="shared" si="47"/>
        <v>-1</v>
      </c>
      <c r="AH114" s="176">
        <f t="shared" si="40"/>
        <v>5</v>
      </c>
      <c r="AI114" s="225">
        <f t="shared" si="41"/>
        <v>-0.46290390739440401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8">
        <v>7.3870000000000005</v>
      </c>
      <c r="C115" s="390"/>
      <c r="D115" s="393">
        <f t="shared" si="24"/>
        <v>7.5595166758640033</v>
      </c>
      <c r="E115" s="385">
        <f t="shared" si="45"/>
        <v>8.2577302152435266</v>
      </c>
      <c r="F115" s="385">
        <f t="shared" si="25"/>
        <v>8.2577302152435266</v>
      </c>
      <c r="G115" s="110">
        <f t="shared" si="46"/>
        <v>0.14506576941263097</v>
      </c>
      <c r="H115" s="412" t="b">
        <f>Wh_hp&gt;='2020'!Maxi_hp</f>
        <v>0</v>
      </c>
      <c r="I115" s="380">
        <f>IF(H115,Wh_hp,'2020'!Maxi_hp)</f>
        <v>56.926003902955259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2.2821125114362628E-2</v>
      </c>
      <c r="M115" s="957"/>
      <c r="N115" s="957"/>
      <c r="O115" s="48">
        <f>IF(t&lt;Tnet,'2020'!Resal+('2020'!Salim-'2020'!Resal)*(1-EXP(('2020'!Tnet-t)/('2020'!Tau_j))),Resal+(Salim-Resal)*(1-EXP((Tnet-t)/(Tau_j))))*Salcycl</f>
        <v>8.4552718626074927E-2</v>
      </c>
      <c r="P115" s="169">
        <f>(INDEX(Models!$BJ115:$BT115,,T115)*(1-R115)+INDEX(Models!$BJ115:$BT115,,T115+1)*R115-ERP_i)*Q115*Ramure*Pc/MaxiM</f>
        <v>1.8524160172088579E-4</v>
      </c>
      <c r="Q115" s="305">
        <f t="shared" si="27"/>
        <v>0.7</v>
      </c>
      <c r="R115" s="177">
        <f t="shared" si="28"/>
        <v>0.53855596807149309</v>
      </c>
      <c r="S115" s="919">
        <f t="shared" si="29"/>
        <v>-1</v>
      </c>
      <c r="T115" s="176">
        <f t="shared" si="30"/>
        <v>5</v>
      </c>
      <c r="U115" s="251">
        <f t="shared" si="31"/>
        <v>-0.46144403192850686</v>
      </c>
      <c r="V115" s="383">
        <f t="shared" si="32"/>
        <v>50.91229757504059</v>
      </c>
      <c r="W115" s="402"/>
      <c r="X115" s="157">
        <f t="shared" si="33"/>
        <v>44297</v>
      </c>
      <c r="Y115" s="385">
        <f t="shared" si="34"/>
        <v>7.3870000000000005</v>
      </c>
      <c r="Z115" s="385">
        <f t="shared" si="35"/>
        <v>7.5595166758640033</v>
      </c>
      <c r="AA115" s="386">
        <f t="shared" si="36"/>
        <v>8.2577302152435266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8.4552718626074927E-2</v>
      </c>
      <c r="AD115" s="231">
        <f>(INDEX(Models!$BJ115:$BT115,,AH115)*(1-AF115)+INDEX(Models!$BJ115:$BT115,,AH115+1)*AF115-ERP_i)*AE115*Ramure*Pc/MaxiM</f>
        <v>1.8524160172088579E-4</v>
      </c>
      <c r="AE115" s="305">
        <f t="shared" si="38"/>
        <v>0.7</v>
      </c>
      <c r="AF115" s="177">
        <f t="shared" si="39"/>
        <v>0.53855596807149309</v>
      </c>
      <c r="AG115" s="919">
        <f t="shared" si="47"/>
        <v>-1</v>
      </c>
      <c r="AH115" s="176">
        <f t="shared" si="40"/>
        <v>5</v>
      </c>
      <c r="AI115" s="225">
        <f t="shared" si="41"/>
        <v>-0.46144403192850686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8">
        <v>39.707999999999998</v>
      </c>
      <c r="C116" s="390"/>
      <c r="D116" s="393">
        <f t="shared" si="24"/>
        <v>40.636234313604454</v>
      </c>
      <c r="E116" s="385">
        <f t="shared" si="45"/>
        <v>44.392127311240095</v>
      </c>
      <c r="F116" s="385">
        <f t="shared" si="25"/>
        <v>44.39791072469356</v>
      </c>
      <c r="G116" s="110">
        <f t="shared" si="46"/>
        <v>0.77795558904680129</v>
      </c>
      <c r="H116" s="412" t="b">
        <f>Wh_hp&gt;='2020'!Maxi_hp</f>
        <v>0</v>
      </c>
      <c r="I116" s="380">
        <f>IF(H116,Wh_hp,'2020'!Maxi_hp)</f>
        <v>56.893751444283453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2.284252783958618E-2</v>
      </c>
      <c r="M116" s="957"/>
      <c r="N116" s="957"/>
      <c r="O116" s="48">
        <f>IF(t&lt;Tnet,'2020'!Resal+('2020'!Salim-'2020'!Resal)*(1-EXP(('2020'!Tnet-t)/('2020'!Tau_j))),Resal+(Salim-Resal)*(1-EXP((Tnet-t)/(Tau_j))))*Salcycl</f>
        <v>8.4607186569422357E-2</v>
      </c>
      <c r="P116" s="169">
        <f>(INDEX(Models!$BJ116:$BT116,,T116)*(1-R116)+INDEX(Models!$BJ116:$BT116,,T116+1)*R116-ERP_i)*Q116*Ramure*Pc/MaxiM</f>
        <v>1.9076093025048084E-4</v>
      </c>
      <c r="Q116" s="305">
        <f t="shared" si="27"/>
        <v>0.7</v>
      </c>
      <c r="R116" s="177">
        <f t="shared" si="28"/>
        <v>0.54006732894012144</v>
      </c>
      <c r="S116" s="919">
        <f t="shared" si="29"/>
        <v>-1</v>
      </c>
      <c r="T116" s="176">
        <f t="shared" si="30"/>
        <v>5</v>
      </c>
      <c r="U116" s="251">
        <f t="shared" si="31"/>
        <v>-0.45993267105987856</v>
      </c>
      <c r="V116" s="383">
        <f t="shared" si="32"/>
        <v>51.038385740490732</v>
      </c>
      <c r="W116" s="402"/>
      <c r="X116" s="157">
        <f t="shared" si="33"/>
        <v>44298</v>
      </c>
      <c r="Y116" s="385">
        <f t="shared" si="34"/>
        <v>39.707999999999998</v>
      </c>
      <c r="Z116" s="385">
        <f t="shared" si="35"/>
        <v>40.636234313604454</v>
      </c>
      <c r="AA116" s="386">
        <f t="shared" si="36"/>
        <v>44.392127311240095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8.4607186569422357E-2</v>
      </c>
      <c r="AD116" s="231">
        <f>(INDEX(Models!$BJ116:$BT116,,AH116)*(1-AF116)+INDEX(Models!$BJ116:$BT116,,AH116+1)*AF116-ERP_i)*AE116*Ramure*Pc/MaxiM</f>
        <v>1.9076093025048084E-4</v>
      </c>
      <c r="AE116" s="305">
        <f t="shared" si="38"/>
        <v>0.7</v>
      </c>
      <c r="AF116" s="177">
        <f t="shared" si="39"/>
        <v>0.54006732894012144</v>
      </c>
      <c r="AG116" s="919">
        <f t="shared" si="47"/>
        <v>-1</v>
      </c>
      <c r="AH116" s="176">
        <f t="shared" si="40"/>
        <v>5</v>
      </c>
      <c r="AI116" s="225">
        <f t="shared" si="41"/>
        <v>-0.45993267105987856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8">
        <v>46.335000000000001</v>
      </c>
      <c r="C117" s="390"/>
      <c r="D117" s="393">
        <f t="shared" si="24"/>
        <v>47.419189023033304</v>
      </c>
      <c r="E117" s="385">
        <f t="shared" si="45"/>
        <v>51.805154250629627</v>
      </c>
      <c r="F117" s="385">
        <f t="shared" si="25"/>
        <v>51.814030980051591</v>
      </c>
      <c r="G117" s="110">
        <f t="shared" si="46"/>
        <v>0.90564564042125473</v>
      </c>
      <c r="H117" s="412" t="b">
        <f>Wh_hp&gt;='2020'!Maxi_hp</f>
        <v>0</v>
      </c>
      <c r="I117" s="380">
        <f>IF(H117,Wh_hp,'2020'!Maxi_hp)</f>
        <v>58.336070770675065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2.2863930096035046E-2</v>
      </c>
      <c r="M117" s="957"/>
      <c r="N117" s="957"/>
      <c r="O117" s="48">
        <f>IF(t&lt;Tnet,'2020'!Resal+('2020'!Salim-'2020'!Resal)*(1-EXP(('2020'!Tnet-t)/('2020'!Tau_j))),Resal+(Salim-Resal)*(1-EXP((Tnet-t)/(Tau_j))))*Salcycl</f>
        <v>8.4662719203138281E-2</v>
      </c>
      <c r="P117" s="169">
        <f>(INDEX(Models!$BJ117:$BT117,,T117)*(1-R117)+INDEX(Models!$BJ117:$BT117,,T117+1)*R117-ERP_i)*Q117*Ramure*Pc/MaxiM</f>
        <v>1.9800115118395373E-4</v>
      </c>
      <c r="Q117" s="305">
        <f t="shared" si="27"/>
        <v>0.7</v>
      </c>
      <c r="R117" s="177">
        <f t="shared" si="28"/>
        <v>0.54163160287304302</v>
      </c>
      <c r="S117" s="919">
        <f t="shared" si="29"/>
        <v>-1</v>
      </c>
      <c r="T117" s="176">
        <f t="shared" si="30"/>
        <v>5</v>
      </c>
      <c r="U117" s="251">
        <f t="shared" si="31"/>
        <v>-0.45836839712695698</v>
      </c>
      <c r="V117" s="383">
        <f t="shared" si="32"/>
        <v>51.161029661035641</v>
      </c>
      <c r="W117" s="402"/>
      <c r="X117" s="157">
        <f t="shared" si="33"/>
        <v>44299</v>
      </c>
      <c r="Y117" s="385">
        <f t="shared" si="34"/>
        <v>46.335000000000001</v>
      </c>
      <c r="Z117" s="385">
        <f t="shared" si="35"/>
        <v>47.419189023033304</v>
      </c>
      <c r="AA117" s="386">
        <f t="shared" si="36"/>
        <v>51.805154250629627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8.4662719203138281E-2</v>
      </c>
      <c r="AD117" s="231">
        <f>(INDEX(Models!$BJ117:$BT117,,AH117)*(1-AF117)+INDEX(Models!$BJ117:$BT117,,AH117+1)*AF117-ERP_i)*AE117*Ramure*Pc/MaxiM</f>
        <v>1.9800115118395373E-4</v>
      </c>
      <c r="AE117" s="305">
        <f t="shared" si="38"/>
        <v>0.7</v>
      </c>
      <c r="AF117" s="177">
        <f t="shared" si="39"/>
        <v>0.54163160287304302</v>
      </c>
      <c r="AG117" s="919">
        <f t="shared" si="47"/>
        <v>-1</v>
      </c>
      <c r="AH117" s="176">
        <f t="shared" si="40"/>
        <v>5</v>
      </c>
      <c r="AI117" s="225">
        <f t="shared" si="41"/>
        <v>-0.45836839712695698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8">
        <v>50.622999999999998</v>
      </c>
      <c r="C118" s="390"/>
      <c r="D118" s="393">
        <f t="shared" si="24"/>
        <v>51.808658340574276</v>
      </c>
      <c r="E118" s="385">
        <f t="shared" si="45"/>
        <v>56.604121971288677</v>
      </c>
      <c r="F118" s="385">
        <f t="shared" si="25"/>
        <v>56.615625243922842</v>
      </c>
      <c r="G118" s="110">
        <f t="shared" si="46"/>
        <v>0.98717059646564687</v>
      </c>
      <c r="H118" s="412" t="b">
        <f>Wh_hp&gt;='2020'!Maxi_hp</f>
        <v>1</v>
      </c>
      <c r="I118" s="380">
        <f>IF(H118,Wh_hp,'2020'!Maxi_hp)</f>
        <v>56.615625243922842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2.2885331883719551E-2</v>
      </c>
      <c r="M118" s="957"/>
      <c r="N118" s="957"/>
      <c r="O118" s="48">
        <f>IF(t&lt;Tnet,'2020'!Resal+('2020'!Salim-'2020'!Resal)*(1-EXP(('2020'!Tnet-t)/('2020'!Tau_j))),Resal+(Salim-Resal)*(1-EXP((Tnet-t)/(Tau_j))))*Salcycl</f>
        <v>8.471933604317386E-2</v>
      </c>
      <c r="P118" s="169">
        <f>(INDEX(Models!$BJ118:$BT118,,T118)*(1-R118)+INDEX(Models!$BJ118:$BT118,,T118+1)*R118-ERP_i)*Q118*Ramure*Pc/MaxiM</f>
        <v>2.0697419900936971E-4</v>
      </c>
      <c r="Q118" s="305">
        <f t="shared" si="27"/>
        <v>0.7</v>
      </c>
      <c r="R118" s="177">
        <f t="shared" si="28"/>
        <v>0.54325022675260659</v>
      </c>
      <c r="S118" s="919">
        <f t="shared" si="29"/>
        <v>-1</v>
      </c>
      <c r="T118" s="176">
        <f t="shared" si="30"/>
        <v>5</v>
      </c>
      <c r="U118" s="251">
        <f t="shared" si="31"/>
        <v>-0.45674977324739341</v>
      </c>
      <c r="V118" s="383">
        <f t="shared" si="32"/>
        <v>51.280708893436021</v>
      </c>
      <c r="W118" s="402"/>
      <c r="X118" s="157">
        <f t="shared" si="33"/>
        <v>44300</v>
      </c>
      <c r="Y118" s="385">
        <f t="shared" si="34"/>
        <v>50.622999999999998</v>
      </c>
      <c r="Z118" s="385">
        <f t="shared" si="35"/>
        <v>51.808658340574276</v>
      </c>
      <c r="AA118" s="386">
        <f t="shared" si="36"/>
        <v>56.604121971288677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8.471933604317386E-2</v>
      </c>
      <c r="AD118" s="231">
        <f>(INDEX(Models!$BJ118:$BT118,,AH118)*(1-AF118)+INDEX(Models!$BJ118:$BT118,,AH118+1)*AF118-ERP_i)*AE118*Ramure*Pc/MaxiM</f>
        <v>2.0697419900936971E-4</v>
      </c>
      <c r="AE118" s="305">
        <f t="shared" si="38"/>
        <v>0.7</v>
      </c>
      <c r="AF118" s="177">
        <f t="shared" si="39"/>
        <v>0.54325022675260659</v>
      </c>
      <c r="AG118" s="919">
        <f t="shared" si="47"/>
        <v>-1</v>
      </c>
      <c r="AH118" s="176">
        <f t="shared" si="40"/>
        <v>5</v>
      </c>
      <c r="AI118" s="225">
        <f t="shared" si="41"/>
        <v>-0.45674977324739341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8">
        <v>50.953000000000003</v>
      </c>
      <c r="C119" s="390"/>
      <c r="D119" s="393">
        <f t="shared" si="24"/>
        <v>52.147529546498959</v>
      </c>
      <c r="E119" s="385">
        <f t="shared" si="45"/>
        <v>56.977952584387843</v>
      </c>
      <c r="F119" s="385">
        <f t="shared" si="25"/>
        <v>56.990205602590848</v>
      </c>
      <c r="G119" s="110">
        <f t="shared" si="46"/>
        <v>0.99134128077939743</v>
      </c>
      <c r="H119" s="412" t="b">
        <f>Wh_hp&gt;='2020'!Maxi_hp</f>
        <v>1</v>
      </c>
      <c r="I119" s="380">
        <f>IF(H119,Wh_hp,'2020'!Maxi_hp)</f>
        <v>56.990205602590848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2.2906733202649909E-2</v>
      </c>
      <c r="M119" s="957"/>
      <c r="N119" s="957"/>
      <c r="O119" s="48">
        <f>IF(t&lt;Tnet,'2020'!Resal+('2020'!Salim-'2020'!Resal)*(1-EXP(('2020'!Tnet-t)/('2020'!Tau_j))),Resal+(Salim-Resal)*(1-EXP((Tnet-t)/(Tau_j))))*Salcycl</f>
        <v>8.4777055313364144E-2</v>
      </c>
      <c r="P119" s="169">
        <f>(INDEX(Models!$BJ119:$BT119,,T119)*(1-R119)+INDEX(Models!$BJ119:$BT119,,T119+1)*R119-ERP_i)*Q119*Ramure*Pc/MaxiM</f>
        <v>2.1769413480412096E-4</v>
      </c>
      <c r="Q119" s="305">
        <f t="shared" si="27"/>
        <v>0.7</v>
      </c>
      <c r="R119" s="177">
        <f t="shared" si="28"/>
        <v>0.54492464406213803</v>
      </c>
      <c r="S119" s="919">
        <f t="shared" si="29"/>
        <v>-1</v>
      </c>
      <c r="T119" s="176">
        <f t="shared" si="30"/>
        <v>5</v>
      </c>
      <c r="U119" s="251">
        <f t="shared" si="31"/>
        <v>-0.45507535593786191</v>
      </c>
      <c r="V119" s="383">
        <f t="shared" si="32"/>
        <v>51.397902816128017</v>
      </c>
      <c r="W119" s="402"/>
      <c r="X119" s="157">
        <f t="shared" si="33"/>
        <v>44301</v>
      </c>
      <c r="Y119" s="385">
        <f t="shared" si="34"/>
        <v>50.953000000000003</v>
      </c>
      <c r="Z119" s="385">
        <f t="shared" si="35"/>
        <v>52.147529546498959</v>
      </c>
      <c r="AA119" s="386">
        <f t="shared" si="36"/>
        <v>56.977952584387843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8.4777055313364144E-2</v>
      </c>
      <c r="AD119" s="231">
        <f>(INDEX(Models!$BJ119:$BT119,,AH119)*(1-AF119)+INDEX(Models!$BJ119:$BT119,,AH119+1)*AF119-ERP_i)*AE119*Ramure*Pc/MaxiM</f>
        <v>2.1769413480412096E-4</v>
      </c>
      <c r="AE119" s="305">
        <f t="shared" si="38"/>
        <v>0.7</v>
      </c>
      <c r="AF119" s="177">
        <f t="shared" si="39"/>
        <v>0.54492464406213803</v>
      </c>
      <c r="AG119" s="919">
        <f t="shared" si="47"/>
        <v>-1</v>
      </c>
      <c r="AH119" s="176">
        <f t="shared" si="40"/>
        <v>5</v>
      </c>
      <c r="AI119" s="225">
        <f t="shared" si="41"/>
        <v>-0.45507535593786191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8">
        <v>42.841999999999999</v>
      </c>
      <c r="C120" s="390"/>
      <c r="D120" s="393">
        <f t="shared" si="24"/>
        <v>43.847337635158908</v>
      </c>
      <c r="E120" s="385">
        <f t="shared" si="45"/>
        <v>47.91199451797258</v>
      </c>
      <c r="F120" s="385">
        <f t="shared" si="25"/>
        <v>47.92037227893379</v>
      </c>
      <c r="G120" s="110">
        <f t="shared" si="46"/>
        <v>0.83162605369100384</v>
      </c>
      <c r="H120" s="412" t="b">
        <f>Wh_hp&gt;='2020'!Maxi_hp</f>
        <v>0</v>
      </c>
      <c r="I120" s="380">
        <f>IF(H120,Wh_hp,'2020'!Maxi_hp)</f>
        <v>53.394011325702145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2.2928134052836557E-2</v>
      </c>
      <c r="M120" s="957"/>
      <c r="N120" s="957"/>
      <c r="O120" s="48">
        <f>IF(t&lt;Tnet,'2020'!Resal+('2020'!Salim-'2020'!Resal)*(1-EXP(('2020'!Tnet-t)/('2020'!Tau_j))),Resal+(Salim-Resal)*(1-EXP((Tnet-t)/(Tau_j))))*Salcycl</f>
        <v>8.4835893886424429E-2</v>
      </c>
      <c r="P120" s="169">
        <f>(INDEX(Models!$BJ120:$BT120,,T120)*(1-R120)+INDEX(Models!$BJ120:$BT120,,T120+1)*R120-ERP_i)*Q120*Ramure*Pc/MaxiM</f>
        <v>2.3017701544223362E-4</v>
      </c>
      <c r="Q120" s="305">
        <f t="shared" si="27"/>
        <v>0.7</v>
      </c>
      <c r="R120" s="177">
        <f t="shared" si="28"/>
        <v>0.54665630203578042</v>
      </c>
      <c r="S120" s="919">
        <f t="shared" si="29"/>
        <v>-1</v>
      </c>
      <c r="T120" s="176">
        <f t="shared" si="30"/>
        <v>5</v>
      </c>
      <c r="U120" s="251">
        <f t="shared" si="31"/>
        <v>-0.45334369796421953</v>
      </c>
      <c r="V120" s="383">
        <f t="shared" si="32"/>
        <v>51.513090622134527</v>
      </c>
      <c r="W120" s="402"/>
      <c r="X120" s="157">
        <f t="shared" si="33"/>
        <v>44302</v>
      </c>
      <c r="Y120" s="385">
        <f t="shared" si="34"/>
        <v>42.841999999999999</v>
      </c>
      <c r="Z120" s="385">
        <f t="shared" si="35"/>
        <v>43.847337635158908</v>
      </c>
      <c r="AA120" s="386">
        <f t="shared" si="36"/>
        <v>47.91199451797258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8.4835893886424429E-2</v>
      </c>
      <c r="AD120" s="231">
        <f>(INDEX(Models!$BJ120:$BT120,,AH120)*(1-AF120)+INDEX(Models!$BJ120:$BT120,,AH120+1)*AF120-ERP_i)*AE120*Ramure*Pc/MaxiM</f>
        <v>2.3017701544223362E-4</v>
      </c>
      <c r="AE120" s="305">
        <f t="shared" si="38"/>
        <v>0.7</v>
      </c>
      <c r="AF120" s="177">
        <f t="shared" si="39"/>
        <v>0.54665630203578042</v>
      </c>
      <c r="AG120" s="919">
        <f t="shared" si="47"/>
        <v>-1</v>
      </c>
      <c r="AH120" s="176">
        <f t="shared" si="40"/>
        <v>5</v>
      </c>
      <c r="AI120" s="225">
        <f t="shared" si="41"/>
        <v>-0.45334369796421953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8">
        <v>46.285000000000004</v>
      </c>
      <c r="C121" s="390"/>
      <c r="D121" s="393">
        <f t="shared" si="24"/>
        <v>47.372169228946717</v>
      </c>
      <c r="E121" s="385">
        <f t="shared" si="45"/>
        <v>51.766971137136139</v>
      </c>
      <c r="F121" s="385">
        <f t="shared" si="25"/>
        <v>51.777757450254626</v>
      </c>
      <c r="G121" s="110">
        <f t="shared" si="46"/>
        <v>0.89651621228791112</v>
      </c>
      <c r="H121" s="412" t="b">
        <f>Wh_hp&gt;='2020'!Maxi_hp</f>
        <v>1</v>
      </c>
      <c r="I121" s="380">
        <f>IF(H121,Wh_hp,'2020'!Maxi_hp)</f>
        <v>51.777757450254626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2.2949534434289709E-2</v>
      </c>
      <c r="M121" s="957"/>
      <c r="N121" s="957"/>
      <c r="O121" s="48">
        <f>IF(t&lt;Tnet,'2020'!Resal+('2020'!Salim-'2020'!Resal)*(1-EXP(('2020'!Tnet-t)/('2020'!Tau_j))),Resal+(Salim-Resal)*(1-EXP((Tnet-t)/(Tau_j))))*Salcycl</f>
        <v>8.4895867222888638E-2</v>
      </c>
      <c r="P121" s="169">
        <f>(INDEX(Models!$BJ121:$BT121,,T121)*(1-R121)+INDEX(Models!$BJ121:$BT121,,T121+1)*R121-ERP_i)*Q121*Ramure*Pc/MaxiM</f>
        <v>2.4444546814532202E-4</v>
      </c>
      <c r="Q121" s="305">
        <f t="shared" si="27"/>
        <v>0.7</v>
      </c>
      <c r="R121" s="177">
        <f t="shared" si="28"/>
        <v>0.54844664857045733</v>
      </c>
      <c r="S121" s="919">
        <f t="shared" si="29"/>
        <v>-1</v>
      </c>
      <c r="T121" s="176">
        <f t="shared" si="30"/>
        <v>5</v>
      </c>
      <c r="U121" s="251">
        <f t="shared" si="31"/>
        <v>-0.45155335142954273</v>
      </c>
      <c r="V121" s="383">
        <f t="shared" si="32"/>
        <v>51.625756370858859</v>
      </c>
      <c r="W121" s="402"/>
      <c r="X121" s="157">
        <f t="shared" si="33"/>
        <v>44303</v>
      </c>
      <c r="Y121" s="385">
        <f t="shared" si="34"/>
        <v>46.285000000000004</v>
      </c>
      <c r="Z121" s="385">
        <f t="shared" si="35"/>
        <v>47.372169228946717</v>
      </c>
      <c r="AA121" s="386">
        <f t="shared" si="36"/>
        <v>51.766971137136139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8.4895867222888638E-2</v>
      </c>
      <c r="AD121" s="231">
        <f>(INDEX(Models!$BJ121:$BT121,,AH121)*(1-AF121)+INDEX(Models!$BJ121:$BT121,,AH121+1)*AF121-ERP_i)*AE121*Ramure*Pc/MaxiM</f>
        <v>2.4444546814532202E-4</v>
      </c>
      <c r="AE121" s="305">
        <f t="shared" si="38"/>
        <v>0.7</v>
      </c>
      <c r="AF121" s="177">
        <f t="shared" si="39"/>
        <v>0.54844664857045733</v>
      </c>
      <c r="AG121" s="919">
        <f t="shared" si="47"/>
        <v>-1</v>
      </c>
      <c r="AH121" s="176">
        <f t="shared" si="40"/>
        <v>5</v>
      </c>
      <c r="AI121" s="225">
        <f t="shared" si="41"/>
        <v>-0.45155335142954273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8">
        <v>37.783999999999999</v>
      </c>
      <c r="C122" s="390"/>
      <c r="D122" s="393">
        <f t="shared" si="24"/>
        <v>38.672339778088087</v>
      </c>
      <c r="E122" s="385">
        <f t="shared" si="45"/>
        <v>42.262865598888745</v>
      </c>
      <c r="F122" s="385">
        <f t="shared" si="25"/>
        <v>42.269665111428111</v>
      </c>
      <c r="G122" s="110">
        <f t="shared" si="46"/>
        <v>0.73026450549763711</v>
      </c>
      <c r="H122" s="412" t="b">
        <f>Wh_hp&gt;='2020'!Maxi_hp</f>
        <v>1</v>
      </c>
      <c r="I122" s="380">
        <f>IF(H122,Wh_hp,'2020'!Maxi_hp)</f>
        <v>42.269665111428111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2.2970934347019467E-2</v>
      </c>
      <c r="M122" s="957"/>
      <c r="N122" s="957"/>
      <c r="O122" s="48">
        <f>IF(t&lt;Tnet,'2020'!Resal+('2020'!Salim-'2020'!Resal)*(1-EXP(('2020'!Tnet-t)/('2020'!Tau_j))),Resal+(Salim-Resal)*(1-EXP((Tnet-t)/(Tau_j))))*Salcycl</f>
        <v>8.4956989307773401E-2</v>
      </c>
      <c r="P122" s="169">
        <f>(INDEX(Models!$BJ122:$BT122,,T122)*(1-R122)+INDEX(Models!$BJ122:$BT122,,T122+1)*R122-ERP_i)*Q122*Ramure*Pc/MaxiM</f>
        <v>2.6165990445150373E-4</v>
      </c>
      <c r="Q122" s="305">
        <f t="shared" si="27"/>
        <v>0.7</v>
      </c>
      <c r="R122" s="177">
        <f t="shared" si="28"/>
        <v>0.55029712889318017</v>
      </c>
      <c r="S122" s="919">
        <f t="shared" si="29"/>
        <v>-1</v>
      </c>
      <c r="T122" s="176">
        <f t="shared" si="30"/>
        <v>5</v>
      </c>
      <c r="U122" s="251">
        <f t="shared" si="31"/>
        <v>-0.44970287110681983</v>
      </c>
      <c r="V122" s="383">
        <f t="shared" si="32"/>
        <v>51.734940548169739</v>
      </c>
      <c r="W122" s="402"/>
      <c r="X122" s="157">
        <f t="shared" si="33"/>
        <v>44304</v>
      </c>
      <c r="Y122" s="385">
        <f t="shared" si="34"/>
        <v>37.783999999999999</v>
      </c>
      <c r="Z122" s="385">
        <f t="shared" si="35"/>
        <v>38.672339778088087</v>
      </c>
      <c r="AA122" s="386">
        <f t="shared" si="36"/>
        <v>42.262865598888745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8.4956989307773401E-2</v>
      </c>
      <c r="AD122" s="231">
        <f>(INDEX(Models!$BJ122:$BT122,,AH122)*(1-AF122)+INDEX(Models!$BJ122:$BT122,,AH122+1)*AF122-ERP_i)*AE122*Ramure*Pc/MaxiM</f>
        <v>2.6165990445150373E-4</v>
      </c>
      <c r="AE122" s="305">
        <f t="shared" si="38"/>
        <v>0.7</v>
      </c>
      <c r="AF122" s="177">
        <f t="shared" si="39"/>
        <v>0.55029712889318017</v>
      </c>
      <c r="AG122" s="919">
        <f t="shared" si="47"/>
        <v>-1</v>
      </c>
      <c r="AH122" s="176">
        <f t="shared" si="40"/>
        <v>5</v>
      </c>
      <c r="AI122" s="225">
        <f t="shared" si="41"/>
        <v>-0.44970287110681983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8">
        <v>50.079000000000001</v>
      </c>
      <c r="C123" s="390"/>
      <c r="D123" s="393">
        <f t="shared" si="24"/>
        <v>51.257530244690052</v>
      </c>
      <c r="E123" s="385">
        <f t="shared" si="45"/>
        <v>56.020338690075448</v>
      </c>
      <c r="F123" s="385">
        <f t="shared" si="25"/>
        <v>56.035337326864806</v>
      </c>
      <c r="G123" s="110">
        <f t="shared" si="46"/>
        <v>0.96600624194458462</v>
      </c>
      <c r="H123" s="412" t="b">
        <f>Wh_hp&gt;='2020'!Maxi_hp</f>
        <v>1</v>
      </c>
      <c r="I123" s="380">
        <f>IF(H123,Wh_hp,'2020'!Maxi_hp)</f>
        <v>56.035337326864806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2.2992333791036268E-2</v>
      </c>
      <c r="M123" s="957"/>
      <c r="N123" s="957"/>
      <c r="O123" s="48">
        <f>IF(t&lt;Tnet,'2020'!Resal+('2020'!Salim-'2020'!Resal)*(1-EXP(('2020'!Tnet-t)/('2020'!Tau_j))),Resal+(Salim-Resal)*(1-EXP((Tnet-t)/(Tau_j))))*Salcycl</f>
        <v>8.5019272584818742E-2</v>
      </c>
      <c r="P123" s="169">
        <f>(INDEX(Models!$BJ123:$BT123,,T123)*(1-R123)+INDEX(Models!$BJ123:$BT123,,T123+1)*R123-ERP_i)*Q123*Ramure*Pc/MaxiM</f>
        <v>2.81320210292446E-4</v>
      </c>
      <c r="Q123" s="305">
        <f t="shared" si="27"/>
        <v>0.7</v>
      </c>
      <c r="R123" s="177">
        <f t="shared" si="28"/>
        <v>0.55220918197781699</v>
      </c>
      <c r="S123" s="919">
        <f t="shared" si="29"/>
        <v>-1</v>
      </c>
      <c r="T123" s="176">
        <f t="shared" si="30"/>
        <v>5</v>
      </c>
      <c r="U123" s="251">
        <f t="shared" si="31"/>
        <v>-0.44779081802218296</v>
      </c>
      <c r="V123" s="383">
        <f t="shared" si="32"/>
        <v>51.840571776847781</v>
      </c>
      <c r="W123" s="402"/>
      <c r="X123" s="157">
        <f t="shared" si="33"/>
        <v>44305</v>
      </c>
      <c r="Y123" s="385">
        <f t="shared" si="34"/>
        <v>50.079000000000001</v>
      </c>
      <c r="Z123" s="385">
        <f t="shared" si="35"/>
        <v>51.257530244690052</v>
      </c>
      <c r="AA123" s="386">
        <f t="shared" si="36"/>
        <v>56.020338690075448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8.5019272584818742E-2</v>
      </c>
      <c r="AD123" s="231">
        <f>(INDEX(Models!$BJ123:$BT123,,AH123)*(1-AF123)+INDEX(Models!$BJ123:$BT123,,AH123+1)*AF123-ERP_i)*AE123*Ramure*Pc/MaxiM</f>
        <v>2.81320210292446E-4</v>
      </c>
      <c r="AE123" s="305">
        <f t="shared" si="38"/>
        <v>0.7</v>
      </c>
      <c r="AF123" s="177">
        <f t="shared" si="39"/>
        <v>0.55220918197781699</v>
      </c>
      <c r="AG123" s="919">
        <f t="shared" si="47"/>
        <v>-1</v>
      </c>
      <c r="AH123" s="176">
        <f t="shared" si="40"/>
        <v>5</v>
      </c>
      <c r="AI123" s="225">
        <f t="shared" si="41"/>
        <v>-0.44779081802218296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8">
        <v>39.698</v>
      </c>
      <c r="C124" s="390"/>
      <c r="D124" s="393">
        <f t="shared" si="24"/>
        <v>40.633119759610793</v>
      </c>
      <c r="E124" s="385">
        <f t="shared" si="45"/>
        <v>40.962999331923974</v>
      </c>
      <c r="F124" s="385">
        <f t="shared" si="25"/>
        <v>40.970191221222422</v>
      </c>
      <c r="G124" s="110">
        <f t="shared" si="46"/>
        <v>0.70482806350821803</v>
      </c>
      <c r="H124" s="412" t="b">
        <f>Wh_hp&gt;='2020'!Maxi_hp</f>
        <v>0</v>
      </c>
      <c r="I124" s="380">
        <f>IF(H124,Wh_hp,'2020'!Maxi_hp)</f>
        <v>54.638540839726012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2.3013732766350325E-2</v>
      </c>
      <c r="M124" s="957"/>
      <c r="N124" s="957"/>
      <c r="O124" s="48">
        <f>IF(t&lt;Tnet,'2020'!Resal+('2020'!Salim-'2020'!Resal)*(1-EXP(('2020'!Tnet-t)/('2020'!Tau_j))),Resal+(Salim-Resal)*(1-EXP((Tnet-t)/(Tau_j))))*Salcycl</f>
        <v>8.0531107998261017E-3</v>
      </c>
      <c r="P124" s="169">
        <f>(INDEX(Models!$BJ124:$BT124,,T124)*(1-R124)+INDEX(Models!$BJ124:$BT124,,T124+1)*R124-ERP_i)*Q124*Ramure*Pc/MaxiM</f>
        <v>3.0346295778911083E-4</v>
      </c>
      <c r="Q124" s="305">
        <f t="shared" si="27"/>
        <v>0.7</v>
      </c>
      <c r="R124" s="177">
        <f t="shared" si="28"/>
        <v>0.5541842367064862</v>
      </c>
      <c r="S124" s="919">
        <f t="shared" si="29"/>
        <v>-1</v>
      </c>
      <c r="T124" s="176">
        <f t="shared" si="30"/>
        <v>5</v>
      </c>
      <c r="U124" s="251">
        <f t="shared" si="31"/>
        <v>-0.44581576329351374</v>
      </c>
      <c r="V124" s="383">
        <f t="shared" si="32"/>
        <v>56.315749698936067</v>
      </c>
      <c r="W124" s="402"/>
      <c r="X124" s="157">
        <f t="shared" si="33"/>
        <v>44306</v>
      </c>
      <c r="Y124" s="385">
        <f t="shared" si="34"/>
        <v>36.615252554074665</v>
      </c>
      <c r="Z124" s="385">
        <f t="shared" si="35"/>
        <v>37.477755606280184</v>
      </c>
      <c r="AA124" s="386">
        <f t="shared" si="36"/>
        <v>40.962999331923974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8.5082727888228862E-2</v>
      </c>
      <c r="AD124" s="231">
        <f>(INDEX(Models!$BJ124:$BT124,,AH124)*(1-AF124)+INDEX(Models!$BJ124:$BT124,,AH124+1)*AF124-ERP_i)*AE124*Ramure*Pc/MaxiM</f>
        <v>3.0346295778911083E-4</v>
      </c>
      <c r="AE124" s="305">
        <f t="shared" si="38"/>
        <v>0.7</v>
      </c>
      <c r="AF124" s="177">
        <f t="shared" si="39"/>
        <v>0.5541842367064862</v>
      </c>
      <c r="AG124" s="919">
        <f t="shared" si="47"/>
        <v>-1</v>
      </c>
      <c r="AH124" s="176">
        <f t="shared" si="40"/>
        <v>5</v>
      </c>
      <c r="AI124" s="225">
        <f t="shared" si="41"/>
        <v>-0.44581576329351374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8">
        <v>47.753</v>
      </c>
      <c r="C125" s="390"/>
      <c r="D125" s="393">
        <f t="shared" si="24"/>
        <v>48.878932629605714</v>
      </c>
      <c r="E125" s="385">
        <f t="shared" si="45"/>
        <v>49.281021199285156</v>
      </c>
      <c r="F125" s="385">
        <f t="shared" si="25"/>
        <v>49.293646269634195</v>
      </c>
      <c r="G125" s="110">
        <f t="shared" si="46"/>
        <v>0.84632020573575517</v>
      </c>
      <c r="H125" s="412" t="b">
        <f>Wh_hp&gt;='2020'!Maxi_hp</f>
        <v>1</v>
      </c>
      <c r="I125" s="380">
        <f>IF(H125,Wh_hp,'2020'!Maxi_hp)</f>
        <v>49.293646269634195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2.3035131272971854E-2</v>
      </c>
      <c r="M125" s="957"/>
      <c r="N125" s="957"/>
      <c r="O125" s="48">
        <f>IF(t&lt;Tnet,'2020'!Resal+('2020'!Salim-'2020'!Resal)*(1-EXP(('2020'!Tnet-t)/('2020'!Tau_j))),Resal+(Salim-Resal)*(1-EXP((Tnet-t)/(Tau_j))))*Salcycl</f>
        <v>8.159095730858627E-3</v>
      </c>
      <c r="P125" s="169">
        <f>(INDEX(Models!$BJ125:$BT125,,T125)*(1-R125)+INDEX(Models!$BJ125:$BT125,,T125+1)*R125-ERP_i)*Q125*Ramure*Pc/MaxiM</f>
        <v>3.2812942648090569E-4</v>
      </c>
      <c r="Q125" s="305">
        <f t="shared" si="27"/>
        <v>0.7</v>
      </c>
      <c r="R125" s="177">
        <f t="shared" si="28"/>
        <v>0.55622370777195929</v>
      </c>
      <c r="S125" s="919">
        <f t="shared" si="29"/>
        <v>-1</v>
      </c>
      <c r="T125" s="176">
        <f t="shared" si="30"/>
        <v>5</v>
      </c>
      <c r="U125" s="251">
        <f t="shared" si="31"/>
        <v>-0.44377629222804071</v>
      </c>
      <c r="V125" s="383">
        <f t="shared" si="32"/>
        <v>56.420206101123632</v>
      </c>
      <c r="W125" s="402"/>
      <c r="X125" s="157">
        <f t="shared" si="33"/>
        <v>44307</v>
      </c>
      <c r="Y125" s="385">
        <f t="shared" si="34"/>
        <v>44.046336182655814</v>
      </c>
      <c r="Z125" s="385">
        <f t="shared" si="35"/>
        <v>45.084872130609554</v>
      </c>
      <c r="AA125" s="386">
        <f t="shared" si="36"/>
        <v>49.281021199285156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8.514736437191503E-2</v>
      </c>
      <c r="AD125" s="231">
        <f>(INDEX(Models!$BJ125:$BT125,,AH125)*(1-AF125)+INDEX(Models!$BJ125:$BT125,,AH125+1)*AF125-ERP_i)*AE125*Ramure*Pc/MaxiM</f>
        <v>3.2812942648090569E-4</v>
      </c>
      <c r="AE125" s="305">
        <f t="shared" si="38"/>
        <v>0.7</v>
      </c>
      <c r="AF125" s="177">
        <f t="shared" si="39"/>
        <v>0.55622370777195929</v>
      </c>
      <c r="AG125" s="919">
        <f t="shared" si="47"/>
        <v>-1</v>
      </c>
      <c r="AH125" s="176">
        <f t="shared" si="40"/>
        <v>5</v>
      </c>
      <c r="AI125" s="225">
        <f t="shared" si="41"/>
        <v>-0.44377629222804071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8">
        <v>58.203000000000003</v>
      </c>
      <c r="C126" s="390"/>
      <c r="D126" s="393">
        <f t="shared" si="24"/>
        <v>59.576630323294367</v>
      </c>
      <c r="E126" s="385">
        <f t="shared" si="45"/>
        <v>60.073145680232585</v>
      </c>
      <c r="F126" s="385">
        <f t="shared" si="25"/>
        <v>60.094501166563738</v>
      </c>
      <c r="G126" s="110">
        <f t="shared" si="46"/>
        <v>1.0297670695800889</v>
      </c>
      <c r="H126" s="412" t="b">
        <f>Wh_hp&gt;='2020'!Maxi_hp</f>
        <v>1</v>
      </c>
      <c r="I126" s="380">
        <f>IF(H126,Wh_hp,'2020'!Maxi_hp)</f>
        <v>60.094501166563738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2.3056529310911289E-2</v>
      </c>
      <c r="M126" s="957"/>
      <c r="N126" s="957"/>
      <c r="O126" s="48">
        <f>IF(t&lt;Tnet,'2020'!Resal+('2020'!Salim-'2020'!Resal)*(1-EXP(('2020'!Tnet-t)/('2020'!Tau_j))),Resal+(Salim-Resal)*(1-EXP((Tnet-t)/(Tau_j))))*Salcycl</f>
        <v>8.2651799121882634E-3</v>
      </c>
      <c r="P126" s="169">
        <f>(INDEX(Models!$BJ126:$BT126,,T126)*(1-R126)+INDEX(Models!$BJ126:$BT126,,T126+1)*R126-ERP_i)*Q126*Ramure*Pc/MaxiM</f>
        <v>3.5536506529872987E-4</v>
      </c>
      <c r="Q126" s="305">
        <f t="shared" si="27"/>
        <v>0.7</v>
      </c>
      <c r="R126" s="177">
        <f t="shared" si="28"/>
        <v>0.55832899131884173</v>
      </c>
      <c r="S126" s="919">
        <f t="shared" si="29"/>
        <v>-1</v>
      </c>
      <c r="T126" s="176">
        <f t="shared" si="30"/>
        <v>5</v>
      </c>
      <c r="U126" s="251">
        <f t="shared" si="31"/>
        <v>-0.44167100868115827</v>
      </c>
      <c r="V126" s="383">
        <f t="shared" si="32"/>
        <v>56.520548888530314</v>
      </c>
      <c r="W126" s="402"/>
      <c r="X126" s="157">
        <f t="shared" si="33"/>
        <v>44308</v>
      </c>
      <c r="Y126" s="385">
        <f t="shared" si="34"/>
        <v>53.687070027977086</v>
      </c>
      <c r="Z126" s="385">
        <f t="shared" si="35"/>
        <v>54.954121337347004</v>
      </c>
      <c r="AA126" s="386">
        <f t="shared" si="36"/>
        <v>60.073145680232585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8.5213189436324499E-2</v>
      </c>
      <c r="AD126" s="231">
        <f>(INDEX(Models!$BJ126:$BT126,,AH126)*(1-AF126)+INDEX(Models!$BJ126:$BT126,,AH126+1)*AF126-ERP_i)*AE126*Ramure*Pc/MaxiM</f>
        <v>3.5536506529872987E-4</v>
      </c>
      <c r="AE126" s="305">
        <f t="shared" si="38"/>
        <v>0.7</v>
      </c>
      <c r="AF126" s="177">
        <f t="shared" si="39"/>
        <v>0.55832899131884173</v>
      </c>
      <c r="AG126" s="919">
        <f t="shared" si="47"/>
        <v>-1</v>
      </c>
      <c r="AH126" s="176">
        <f t="shared" si="40"/>
        <v>5</v>
      </c>
      <c r="AI126" s="225">
        <f t="shared" si="41"/>
        <v>-0.44167100868115827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8">
        <v>58.597999999999999</v>
      </c>
      <c r="C127" s="390"/>
      <c r="D127" s="393">
        <f t="shared" si="24"/>
        <v>59.982266357096471</v>
      </c>
      <c r="E127" s="385">
        <f t="shared" si="45"/>
        <v>60.488639017620294</v>
      </c>
      <c r="F127" s="385">
        <f t="shared" si="25"/>
        <v>60.511949341362161</v>
      </c>
      <c r="G127" s="110">
        <f t="shared" si="46"/>
        <v>1.0349954909125973</v>
      </c>
      <c r="H127" s="412" t="b">
        <f>Wh_hp&gt;='2020'!Maxi_hp</f>
        <v>1</v>
      </c>
      <c r="I127" s="380">
        <f>IF(H127,Wh_hp,'2020'!Maxi_hp)</f>
        <v>60.511949341362161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2.3077926880178623E-2</v>
      </c>
      <c r="M127" s="957"/>
      <c r="N127" s="957"/>
      <c r="O127" s="48">
        <f>IF(t&lt;Tnet,'2020'!Resal+('2020'!Salim-'2020'!Resal)*(1-EXP(('2020'!Tnet-t)/('2020'!Tau_j))),Resal+(Salim-Resal)*(1-EXP((Tnet-t)/(Tau_j))))*Salcycl</f>
        <v>8.3713680576665197E-3</v>
      </c>
      <c r="P127" s="169">
        <f>(INDEX(Models!$BJ127:$BT127,,T127)*(1-R127)+INDEX(Models!$BJ127:$BT127,,T127+1)*R127-ERP_i)*Q127*Ramure*Pc/MaxiM</f>
        <v>3.8521852287994312E-4</v>
      </c>
      <c r="Q127" s="305">
        <f t="shared" si="27"/>
        <v>0.7</v>
      </c>
      <c r="R127" s="177">
        <f t="shared" si="28"/>
        <v>0.56050146032287507</v>
      </c>
      <c r="S127" s="919">
        <f t="shared" si="29"/>
        <v>-1</v>
      </c>
      <c r="T127" s="176">
        <f t="shared" si="30"/>
        <v>5</v>
      </c>
      <c r="U127" s="251">
        <f t="shared" si="31"/>
        <v>-0.43949853967712488</v>
      </c>
      <c r="V127" s="383">
        <f t="shared" si="32"/>
        <v>56.616671777315446</v>
      </c>
      <c r="W127" s="402"/>
      <c r="X127" s="157">
        <f t="shared" si="33"/>
        <v>44309</v>
      </c>
      <c r="Y127" s="385">
        <f t="shared" si="34"/>
        <v>54.053249983676452</v>
      </c>
      <c r="Z127" s="385">
        <f t="shared" si="35"/>
        <v>55.330155261060128</v>
      </c>
      <c r="AA127" s="386">
        <f t="shared" si="36"/>
        <v>60.488639017620294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8.528020865302495E-2</v>
      </c>
      <c r="AD127" s="231">
        <f>(INDEX(Models!$BJ127:$BT127,,AH127)*(1-AF127)+INDEX(Models!$BJ127:$BT127,,AH127+1)*AF127-ERP_i)*AE127*Ramure*Pc/MaxiM</f>
        <v>3.8521852287994312E-4</v>
      </c>
      <c r="AE127" s="305">
        <f t="shared" si="38"/>
        <v>0.7</v>
      </c>
      <c r="AF127" s="177">
        <f t="shared" si="39"/>
        <v>0.56050146032287507</v>
      </c>
      <c r="AG127" s="919">
        <f t="shared" si="47"/>
        <v>-1</v>
      </c>
      <c r="AH127" s="176">
        <f t="shared" si="40"/>
        <v>5</v>
      </c>
      <c r="AI127" s="225">
        <f t="shared" si="41"/>
        <v>-0.43949853967712488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8">
        <v>57.234000000000002</v>
      </c>
      <c r="C128" s="390"/>
      <c r="D128" s="393">
        <f t="shared" si="24"/>
        <v>58.587327662852609</v>
      </c>
      <c r="E128" s="385">
        <f t="shared" si="45"/>
        <v>59.088258102984319</v>
      </c>
      <c r="F128" s="385">
        <f t="shared" si="25"/>
        <v>59.112989516648078</v>
      </c>
      <c r="G128" s="110">
        <f t="shared" si="46"/>
        <v>1.0092678901215275</v>
      </c>
      <c r="H128" s="412" t="b">
        <f>Wh_hp&gt;='2020'!Maxi_hp</f>
        <v>1</v>
      </c>
      <c r="I128" s="380">
        <f>IF(H128,Wh_hp,'2020'!Maxi_hp)</f>
        <v>59.112989516648078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2.3099323980784403E-2</v>
      </c>
      <c r="M128" s="957"/>
      <c r="N128" s="957"/>
      <c r="O128" s="48">
        <f>IF(t&lt;Tnet,'2020'!Resal+('2020'!Salim-'2020'!Resal)*(1-EXP(('2020'!Tnet-t)/('2020'!Tau_j))),Resal+(Salim-Resal)*(1-EXP((Tnet-t)/(Tau_j))))*Salcycl</f>
        <v>8.4776647038510011E-3</v>
      </c>
      <c r="P128" s="169">
        <f>(INDEX(Models!$BJ128:$BT128,,T128)*(1-R128)+INDEX(Models!$BJ128:$BT128,,T128+1)*R128-ERP_i)*Q128*Ramure*Pc/MaxiM</f>
        <v>4.1837528208235044E-4</v>
      </c>
      <c r="Q128" s="305">
        <f t="shared" si="27"/>
        <v>0.7</v>
      </c>
      <c r="R128" s="177">
        <f t="shared" si="28"/>
        <v>0.56274245970945658</v>
      </c>
      <c r="S128" s="919">
        <f t="shared" si="29"/>
        <v>-1</v>
      </c>
      <c r="T128" s="176">
        <f t="shared" si="30"/>
        <v>5</v>
      </c>
      <c r="U128" s="251">
        <f t="shared" si="31"/>
        <v>-0.43725754029054337</v>
      </c>
      <c r="V128" s="383">
        <f t="shared" si="32"/>
        <v>56.70843247882221</v>
      </c>
      <c r="W128" s="402"/>
      <c r="X128" s="157">
        <f t="shared" si="33"/>
        <v>44310</v>
      </c>
      <c r="Y128" s="385">
        <f t="shared" si="34"/>
        <v>52.796761445194612</v>
      </c>
      <c r="Z128" s="385">
        <f t="shared" si="35"/>
        <v>54.045168297289727</v>
      </c>
      <c r="AA128" s="386">
        <f t="shared" si="36"/>
        <v>59.088258102984319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8.5348425687300611E-2</v>
      </c>
      <c r="AD128" s="231">
        <f>(INDEX(Models!$BJ128:$BT128,,AH128)*(1-AF128)+INDEX(Models!$BJ128:$BT128,,AH128+1)*AF128-ERP_i)*AE128*Ramure*Pc/MaxiM</f>
        <v>4.1837528208235044E-4</v>
      </c>
      <c r="AE128" s="305">
        <f t="shared" si="38"/>
        <v>0.7</v>
      </c>
      <c r="AF128" s="177">
        <f t="shared" si="39"/>
        <v>0.56274245970945658</v>
      </c>
      <c r="AG128" s="919">
        <f t="shared" si="47"/>
        <v>-1</v>
      </c>
      <c r="AH128" s="176">
        <f t="shared" si="40"/>
        <v>5</v>
      </c>
      <c r="AI128" s="225">
        <f t="shared" si="41"/>
        <v>-0.43725754029054337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8">
        <v>29.279</v>
      </c>
      <c r="C129" s="390"/>
      <c r="D129" s="393">
        <f t="shared" si="24"/>
        <v>29.971973628476377</v>
      </c>
      <c r="E129" s="385">
        <f t="shared" si="45"/>
        <v>30.231482920769214</v>
      </c>
      <c r="F129" s="385">
        <f t="shared" si="25"/>
        <v>30.235706625971741</v>
      </c>
      <c r="G129" s="110">
        <f t="shared" si="46"/>
        <v>0.51535164542126133</v>
      </c>
      <c r="H129" s="412" t="b">
        <f>Wh_hp&gt;='2020'!Maxi_hp</f>
        <v>0</v>
      </c>
      <c r="I129" s="380">
        <f>IF(H129,Wh_hp,'2020'!Maxi_hp)</f>
        <v>55.415664195239167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2.3120720612738732E-2</v>
      </c>
      <c r="M129" s="957"/>
      <c r="N129" s="957"/>
      <c r="O129" s="48">
        <f>IF(t&lt;Tnet,'2020'!Resal+('2020'!Salim-'2020'!Resal)*(1-EXP(('2020'!Tnet-t)/('2020'!Tau_j))),Resal+(Salim-Resal)*(1-EXP((Tnet-t)/(Tau_j))))*Salcycl</f>
        <v>8.5840741909008512E-3</v>
      </c>
      <c r="P129" s="169">
        <f>(INDEX(Models!$BJ129:$BT129,,T129)*(1-R129)+INDEX(Models!$BJ129:$BT129,,T129+1)*R129-ERP_i)*Q129*Ramure*Pc/MaxiM</f>
        <v>4.5372939743800036E-4</v>
      </c>
      <c r="Q129" s="305">
        <f t="shared" si="27"/>
        <v>0.7</v>
      </c>
      <c r="R129" s="177">
        <f t="shared" si="28"/>
        <v>0.56505330121442254</v>
      </c>
      <c r="S129" s="919">
        <f t="shared" si="29"/>
        <v>-1</v>
      </c>
      <c r="T129" s="176">
        <f t="shared" si="30"/>
        <v>5</v>
      </c>
      <c r="U129" s="251">
        <f t="shared" si="31"/>
        <v>-0.43494669878557751</v>
      </c>
      <c r="V129" s="383">
        <f t="shared" si="32"/>
        <v>56.795790394306614</v>
      </c>
      <c r="W129" s="402"/>
      <c r="X129" s="157">
        <f t="shared" si="33"/>
        <v>44311</v>
      </c>
      <c r="Y129" s="385">
        <f t="shared" si="34"/>
        <v>27.00990603496021</v>
      </c>
      <c r="Z129" s="385">
        <f t="shared" si="35"/>
        <v>27.649174882593407</v>
      </c>
      <c r="AA129" s="386">
        <f t="shared" si="36"/>
        <v>30.231482920769214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8.5417842219104215E-2</v>
      </c>
      <c r="AD129" s="231">
        <f>(INDEX(Models!$BJ129:$BT129,,AH129)*(1-AF129)+INDEX(Models!$BJ129:$BT129,,AH129+1)*AF129-ERP_i)*AE129*Ramure*Pc/MaxiM</f>
        <v>4.5372939743800036E-4</v>
      </c>
      <c r="AE129" s="305">
        <f t="shared" si="38"/>
        <v>0.7</v>
      </c>
      <c r="AF129" s="177">
        <f t="shared" si="39"/>
        <v>0.56505330121442254</v>
      </c>
      <c r="AG129" s="919">
        <f t="shared" si="47"/>
        <v>-1</v>
      </c>
      <c r="AH129" s="176">
        <f t="shared" si="40"/>
        <v>5</v>
      </c>
      <c r="AI129" s="225">
        <f t="shared" si="41"/>
        <v>-0.43494669878557751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8">
        <v>7.3280000000000003</v>
      </c>
      <c r="C130" s="390"/>
      <c r="D130" s="393">
        <f t="shared" si="24"/>
        <v>7.5016029719852604</v>
      </c>
      <c r="E130" s="385">
        <f t="shared" si="45"/>
        <v>7.5673679447102664</v>
      </c>
      <c r="F130" s="385">
        <f t="shared" si="25"/>
        <v>7.5673679447102664</v>
      </c>
      <c r="G130" s="110">
        <f t="shared" si="46"/>
        <v>0.12877241030660844</v>
      </c>
      <c r="H130" s="412" t="b">
        <f>Wh_hp&gt;='2020'!Maxi_hp</f>
        <v>0</v>
      </c>
      <c r="I130" s="380">
        <f>IF(H130,Wh_hp,'2020'!Maxi_hp)</f>
        <v>46.770572657066566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2.3142116776051824E-2</v>
      </c>
      <c r="M130" s="957"/>
      <c r="N130" s="957"/>
      <c r="O130" s="48">
        <f>IF(t&lt;Tnet,'2020'!Resal+('2020'!Salim-'2020'!Resal)*(1-EXP(('2020'!Tnet-t)/('2020'!Tau_j))),Resal+(Salim-Resal)*(1-EXP((Tnet-t)/(Tau_j))))*Salcycl</f>
        <v>8.6906006428532096E-3</v>
      </c>
      <c r="P130" s="169">
        <f>(INDEX(Models!$BJ130:$BT130,,T130)*(1-R130)+INDEX(Models!$BJ130:$BT130,,T130+1)*R130-ERP_i)*Q130*Ramure*Pc/MaxiM</f>
        <v>4.9133455479394913E-4</v>
      </c>
      <c r="Q130" s="305">
        <f t="shared" si="27"/>
        <v>0.7</v>
      </c>
      <c r="R130" s="177">
        <f t="shared" si="28"/>
        <v>0.56743525799228145</v>
      </c>
      <c r="S130" s="919">
        <f t="shared" si="29"/>
        <v>-1</v>
      </c>
      <c r="T130" s="176">
        <f t="shared" si="30"/>
        <v>5</v>
      </c>
      <c r="U130" s="251">
        <f t="shared" si="31"/>
        <v>-0.43256474200771855</v>
      </c>
      <c r="V130" s="383">
        <f t="shared" si="32"/>
        <v>56.878639476755922</v>
      </c>
      <c r="W130" s="402"/>
      <c r="X130" s="157">
        <f t="shared" si="33"/>
        <v>44312</v>
      </c>
      <c r="Y130" s="385">
        <f t="shared" si="34"/>
        <v>6.7602915750897825</v>
      </c>
      <c r="Z130" s="385">
        <f t="shared" si="35"/>
        <v>6.9204453290366308</v>
      </c>
      <c r="AA130" s="386">
        <f t="shared" si="36"/>
        <v>7.5673679447102664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8.5488457862795769E-2</v>
      </c>
      <c r="AD130" s="231">
        <f>(INDEX(Models!$BJ130:$BT130,,AH130)*(1-AF130)+INDEX(Models!$BJ130:$BT130,,AH130+1)*AF130-ERP_i)*AE130*Ramure*Pc/MaxiM</f>
        <v>4.9133455479394913E-4</v>
      </c>
      <c r="AE130" s="305">
        <f t="shared" si="38"/>
        <v>0.7</v>
      </c>
      <c r="AF130" s="177">
        <f t="shared" si="39"/>
        <v>0.56743525799228145</v>
      </c>
      <c r="AG130" s="919">
        <f t="shared" si="47"/>
        <v>-1</v>
      </c>
      <c r="AH130" s="176">
        <f t="shared" si="40"/>
        <v>5</v>
      </c>
      <c r="AI130" s="225">
        <f t="shared" si="41"/>
        <v>-0.43256474200771855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8">
        <v>20.125</v>
      </c>
      <c r="C131" s="390"/>
      <c r="D131" s="393">
        <f t="shared" si="24"/>
        <v>20.6022197746755</v>
      </c>
      <c r="E131" s="385">
        <f t="shared" si="45"/>
        <v>20.785071199621413</v>
      </c>
      <c r="F131" s="385">
        <f t="shared" si="25"/>
        <v>20.785912596505018</v>
      </c>
      <c r="G131" s="110">
        <f t="shared" si="46"/>
        <v>0.35316409778504665</v>
      </c>
      <c r="H131" s="412" t="b">
        <f>Wh_hp&gt;='2020'!Maxi_hp</f>
        <v>0</v>
      </c>
      <c r="I131" s="380">
        <f>IF(H131,Wh_hp,'2020'!Maxi_hp)</f>
        <v>28.874547316848894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2.3163512470734116E-2</v>
      </c>
      <c r="M131" s="957"/>
      <c r="N131" s="957"/>
      <c r="O131" s="48">
        <f>IF(t&lt;Tnet,'2020'!Resal+('2020'!Salim-'2020'!Resal)*(1-EXP(('2020'!Tnet-t)/('2020'!Tau_j))),Resal+(Salim-Resal)*(1-EXP((Tnet-t)/(Tau_j))))*Salcycl</f>
        <v>8.7972479473269732E-3</v>
      </c>
      <c r="P131" s="169">
        <f>(INDEX(Models!$BJ131:$BT131,,T131)*(1-R131)+INDEX(Models!$BJ131:$BT131,,T131+1)*R131-ERP_i)*Q131*Ramure*Pc/MaxiM</f>
        <v>5.3124773435686231E-4</v>
      </c>
      <c r="Q131" s="305">
        <f t="shared" si="27"/>
        <v>0.7</v>
      </c>
      <c r="R131" s="177">
        <f t="shared" si="28"/>
        <v>0.5698895589794164</v>
      </c>
      <c r="S131" s="919">
        <f t="shared" si="29"/>
        <v>-1</v>
      </c>
      <c r="T131" s="176">
        <f t="shared" si="30"/>
        <v>5</v>
      </c>
      <c r="U131" s="251">
        <f t="shared" si="31"/>
        <v>-0.4301104410205836</v>
      </c>
      <c r="V131" s="383">
        <f t="shared" si="32"/>
        <v>56.956873615871302</v>
      </c>
      <c r="W131" s="402"/>
      <c r="X131" s="157">
        <f t="shared" si="33"/>
        <v>44313</v>
      </c>
      <c r="Y131" s="385">
        <f t="shared" si="34"/>
        <v>18.566433079816125</v>
      </c>
      <c r="Z131" s="385">
        <f t="shared" si="35"/>
        <v>19.006694894021223</v>
      </c>
      <c r="AA131" s="386">
        <f t="shared" si="36"/>
        <v>20.785071199621413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8.5560270086184845E-2</v>
      </c>
      <c r="AD131" s="231">
        <f>(INDEX(Models!$BJ131:$BT131,,AH131)*(1-AF131)+INDEX(Models!$BJ131:$BT131,,AH131+1)*AF131-ERP_i)*AE131*Ramure*Pc/MaxiM</f>
        <v>5.3124773435686231E-4</v>
      </c>
      <c r="AE131" s="305">
        <f t="shared" si="38"/>
        <v>0.7</v>
      </c>
      <c r="AF131" s="177">
        <f t="shared" si="39"/>
        <v>0.5698895589794164</v>
      </c>
      <c r="AG131" s="919">
        <f t="shared" si="47"/>
        <v>-1</v>
      </c>
      <c r="AH131" s="176">
        <f t="shared" si="40"/>
        <v>5</v>
      </c>
      <c r="AI131" s="225">
        <f t="shared" si="41"/>
        <v>-0.4301104410205836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8">
        <v>18.164999999999999</v>
      </c>
      <c r="C132" s="390"/>
      <c r="D132" s="393">
        <f t="shared" si="24"/>
        <v>18.596150021770516</v>
      </c>
      <c r="E132" s="385">
        <f t="shared" si="45"/>
        <v>18.763218085894046</v>
      </c>
      <c r="F132" s="385">
        <f t="shared" si="25"/>
        <v>18.763502716322382</v>
      </c>
      <c r="G132" s="110">
        <f t="shared" si="46"/>
        <v>0.31833656246681008</v>
      </c>
      <c r="H132" s="412" t="b">
        <f>Wh_hp&gt;='2020'!Maxi_hp</f>
        <v>0</v>
      </c>
      <c r="I132" s="380">
        <f>IF(H132,Wh_hp,'2020'!Maxi_hp)</f>
        <v>44.927139058198264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2.318490769679582E-2</v>
      </c>
      <c r="M132" s="957"/>
      <c r="N132" s="957"/>
      <c r="O132" s="48">
        <f>IF(t&lt;Tnet,'2020'!Resal+('2020'!Salim-'2020'!Resal)*(1-EXP(('2020'!Tnet-t)/('2020'!Tau_j))),Resal+(Salim-Resal)*(1-EXP((Tnet-t)/(Tau_j))))*Salcycl</f>
        <v>8.9040197347131644E-3</v>
      </c>
      <c r="P132" s="169">
        <f>(INDEX(Models!$BJ132:$BT132,,T132)*(1-R132)+INDEX(Models!$BJ132:$BT132,,T132+1)*R132-ERP_i)*Q132*Ramure*Pc/MaxiM</f>
        <v>5.7352922857469588E-4</v>
      </c>
      <c r="Q132" s="305">
        <f t="shared" si="27"/>
        <v>0.7</v>
      </c>
      <c r="R132" s="177">
        <f t="shared" si="28"/>
        <v>0.57241738302229372</v>
      </c>
      <c r="S132" s="919">
        <f t="shared" si="29"/>
        <v>-1</v>
      </c>
      <c r="T132" s="176">
        <f t="shared" si="30"/>
        <v>5</v>
      </c>
      <c r="U132" s="251">
        <f t="shared" si="31"/>
        <v>-0.42758261697770628</v>
      </c>
      <c r="V132" s="383">
        <f t="shared" si="32"/>
        <v>57.030386640298303</v>
      </c>
      <c r="W132" s="402"/>
      <c r="X132" s="157">
        <f t="shared" si="33"/>
        <v>44314</v>
      </c>
      <c r="Y132" s="385">
        <f t="shared" si="34"/>
        <v>16.758691293442876</v>
      </c>
      <c r="Z132" s="385">
        <f t="shared" si="35"/>
        <v>17.156462287993566</v>
      </c>
      <c r="AA132" s="386">
        <f t="shared" si="36"/>
        <v>18.763218085894046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8.563327412947451E-2</v>
      </c>
      <c r="AD132" s="231">
        <f>(INDEX(Models!$BJ132:$BT132,,AH132)*(1-AF132)+INDEX(Models!$BJ132:$BT132,,AH132+1)*AF132-ERP_i)*AE132*Ramure*Pc/MaxiM</f>
        <v>5.7352922857469588E-4</v>
      </c>
      <c r="AE132" s="305">
        <f t="shared" si="38"/>
        <v>0.7</v>
      </c>
      <c r="AF132" s="177">
        <f t="shared" si="39"/>
        <v>0.57241738302229372</v>
      </c>
      <c r="AG132" s="919">
        <f t="shared" si="47"/>
        <v>-1</v>
      </c>
      <c r="AH132" s="176">
        <f t="shared" si="40"/>
        <v>5</v>
      </c>
      <c r="AI132" s="225">
        <f t="shared" si="41"/>
        <v>-0.42758261697770628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8">
        <v>25.065999999999999</v>
      </c>
      <c r="C133" s="390"/>
      <c r="D133" s="393">
        <f t="shared" si="24"/>
        <v>25.661508733092443</v>
      </c>
      <c r="E133" s="385">
        <f t="shared" si="45"/>
        <v>25.894845093994508</v>
      </c>
      <c r="F133" s="385">
        <f t="shared" si="25"/>
        <v>25.898024276022685</v>
      </c>
      <c r="G133" s="110">
        <f t="shared" si="46"/>
        <v>0.43877382992591862</v>
      </c>
      <c r="H133" s="412" t="b">
        <f>Wh_hp&gt;='2020'!Maxi_hp</f>
        <v>0</v>
      </c>
      <c r="I133" s="380">
        <f>IF(H133,Wh_hp,'2020'!Maxi_hp)</f>
        <v>53.012856919854819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2.3206302454247041E-2</v>
      </c>
      <c r="M133" s="957"/>
      <c r="N133" s="957"/>
      <c r="O133" s="48">
        <f>IF(t&lt;Tnet,'2020'!Resal+('2020'!Salim-'2020'!Resal)*(1-EXP(('2020'!Tnet-t)/('2020'!Tau_j))),Resal+(Salim-Resal)*(1-EXP((Tnet-t)/(Tau_j))))*Salcycl</f>
        <v>9.010919356925589E-3</v>
      </c>
      <c r="P133" s="169">
        <f>(INDEX(Models!$BJ133:$BT133,,T133)*(1-R133)+INDEX(Models!$BJ133:$BT133,,T133+1)*R133-ERP_i)*Q133*Ramure*Pc/MaxiM</f>
        <v>6.1824265388391475E-4</v>
      </c>
      <c r="Q133" s="305">
        <f t="shared" si="27"/>
        <v>0.7</v>
      </c>
      <c r="R133" s="177">
        <f t="shared" si="28"/>
        <v>0.57501985278342582</v>
      </c>
      <c r="S133" s="919">
        <f t="shared" si="29"/>
        <v>-1</v>
      </c>
      <c r="T133" s="176">
        <f t="shared" si="30"/>
        <v>5</v>
      </c>
      <c r="U133" s="251">
        <f t="shared" si="31"/>
        <v>-0.42498014721657418</v>
      </c>
      <c r="V133" s="383">
        <f t="shared" si="32"/>
        <v>57.099072325459012</v>
      </c>
      <c r="W133" s="402"/>
      <c r="X133" s="157">
        <f t="shared" si="33"/>
        <v>44315</v>
      </c>
      <c r="Y133" s="385">
        <f t="shared" si="34"/>
        <v>23.126043648690459</v>
      </c>
      <c r="Z133" s="385">
        <f t="shared" si="35"/>
        <v>23.675463618157956</v>
      </c>
      <c r="AA133" s="386">
        <f t="shared" si="36"/>
        <v>25.894845093994508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8.5707462924783678E-2</v>
      </c>
      <c r="AD133" s="231">
        <f>(INDEX(Models!$BJ133:$BT133,,AH133)*(1-AF133)+INDEX(Models!$BJ133:$BT133,,AH133+1)*AF133-ERP_i)*AE133*Ramure*Pc/MaxiM</f>
        <v>6.1824265388391475E-4</v>
      </c>
      <c r="AE133" s="305">
        <f t="shared" si="38"/>
        <v>0.7</v>
      </c>
      <c r="AF133" s="177">
        <f t="shared" si="39"/>
        <v>0.57501985278342582</v>
      </c>
      <c r="AG133" s="919">
        <f t="shared" si="47"/>
        <v>-1</v>
      </c>
      <c r="AH133" s="176">
        <f t="shared" si="40"/>
        <v>5</v>
      </c>
      <c r="AI133" s="225">
        <f t="shared" si="41"/>
        <v>-0.42498014721657418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8">
        <v>17.115000000000002</v>
      </c>
      <c r="C134" s="390"/>
      <c r="D134" s="393">
        <f t="shared" si="24"/>
        <v>17.521995600133813</v>
      </c>
      <c r="E134" s="385">
        <f t="shared" si="45"/>
        <v>17.683230408463551</v>
      </c>
      <c r="F134" s="385">
        <f t="shared" si="25"/>
        <v>17.683230408463551</v>
      </c>
      <c r="G134" s="110">
        <f t="shared" si="46"/>
        <v>0.29920863635302114</v>
      </c>
      <c r="H134" s="412" t="b">
        <f>Wh_hp&gt;='2020'!Maxi_hp</f>
        <v>0</v>
      </c>
      <c r="I134" s="380">
        <f>IF(H134,Wh_hp,'2020'!Maxi_hp)</f>
        <v>59.629748537925202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2.3227696743098325E-2</v>
      </c>
      <c r="M134" s="957"/>
      <c r="N134" s="957"/>
      <c r="O134" s="48">
        <f>IF(t&lt;Tnet,'2020'!Resal+('2020'!Salim-'2020'!Resal)*(1-EXP(('2020'!Tnet-t)/('2020'!Tau_j))),Resal+(Salim-Resal)*(1-EXP((Tnet-t)/(Tau_j))))*Salcycl</f>
        <v>9.1179498657985719E-3</v>
      </c>
      <c r="P134" s="169">
        <f>(INDEX(Models!$BJ134:$BT134,,T134)*(1-R134)+INDEX(Models!$BJ134:$BT134,,T134+1)*R134-ERP_i)*Q134*Ramure*Pc/MaxiM</f>
        <v>6.6545495600425677E-4</v>
      </c>
      <c r="Q134" s="305">
        <f t="shared" si="27"/>
        <v>0.7</v>
      </c>
      <c r="R134" s="177">
        <f t="shared" si="28"/>
        <v>0.57769802844070495</v>
      </c>
      <c r="S134" s="919">
        <f t="shared" si="29"/>
        <v>-1</v>
      </c>
      <c r="T134" s="176">
        <f t="shared" si="30"/>
        <v>5</v>
      </c>
      <c r="U134" s="251">
        <f t="shared" si="31"/>
        <v>-0.42230197155929505</v>
      </c>
      <c r="V134" s="383">
        <f t="shared" si="32"/>
        <v>57.162824398719238</v>
      </c>
      <c r="W134" s="402"/>
      <c r="X134" s="157">
        <f t="shared" si="33"/>
        <v>44316</v>
      </c>
      <c r="Y134" s="385">
        <f t="shared" si="34"/>
        <v>15.790806699430028</v>
      </c>
      <c r="Z134" s="385">
        <f t="shared" si="35"/>
        <v>16.16631291323263</v>
      </c>
      <c r="AA134" s="386">
        <f t="shared" si="36"/>
        <v>17.683230408463551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8.5782827016996424E-2</v>
      </c>
      <c r="AD134" s="231">
        <f>(INDEX(Models!$BJ134:$BT134,,AH134)*(1-AF134)+INDEX(Models!$BJ134:$BT134,,AH134+1)*AF134-ERP_i)*AE134*Ramure*Pc/MaxiM</f>
        <v>6.6545495600425677E-4</v>
      </c>
      <c r="AE134" s="305">
        <f t="shared" si="38"/>
        <v>0.7</v>
      </c>
      <c r="AF134" s="177">
        <f t="shared" si="39"/>
        <v>0.57769802844070495</v>
      </c>
      <c r="AG134" s="919">
        <f t="shared" si="47"/>
        <v>-1</v>
      </c>
      <c r="AH134" s="176">
        <f t="shared" si="40"/>
        <v>5</v>
      </c>
      <c r="AI134" s="225">
        <f t="shared" si="41"/>
        <v>-0.42230197155929505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8">
        <v>18.754000000000001</v>
      </c>
      <c r="C135" s="390"/>
      <c r="D135" s="393">
        <f t="shared" si="24"/>
        <v>19.200391644187697</v>
      </c>
      <c r="E135" s="385">
        <f t="shared" si="45"/>
        <v>19.379166665734203</v>
      </c>
      <c r="F135" s="385">
        <f t="shared" si="25"/>
        <v>19.379716085674431</v>
      </c>
      <c r="G135" s="110">
        <f t="shared" si="46"/>
        <v>0.32752098837481314</v>
      </c>
      <c r="H135" s="412" t="b">
        <f>Wh_hp&gt;='2020'!Maxi_hp</f>
        <v>0</v>
      </c>
      <c r="I135" s="380">
        <f>IF(H135,Wh_hp,'2020'!Maxi_hp)</f>
        <v>57.486763345827086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2.3249090563359665E-2</v>
      </c>
      <c r="M135" s="957"/>
      <c r="N135" s="957"/>
      <c r="O135" s="48">
        <f>IF(t&lt;Tnet,'2020'!Resal+('2020'!Salim-'2020'!Resal)*(1-EXP(('2020'!Tnet-t)/('2020'!Tau_j))),Resal+(Salim-Resal)*(1-EXP((Tnet-t)/(Tau_j))))*Salcycl</f>
        <v>9.2251139912333368E-3</v>
      </c>
      <c r="P135" s="169">
        <f>(INDEX(Models!$BJ135:$BT135,,T135)*(1-R135)+INDEX(Models!$BJ135:$BT135,,T135+1)*R135-ERP_i)*Q135*Ramure*Pc/MaxiM</f>
        <v>7.1524161522763699E-4</v>
      </c>
      <c r="Q135" s="305">
        <f t="shared" si="27"/>
        <v>0.7</v>
      </c>
      <c r="R135" s="177">
        <f t="shared" si="28"/>
        <v>0.58045290119876491</v>
      </c>
      <c r="S135" s="919">
        <f t="shared" si="29"/>
        <v>-1</v>
      </c>
      <c r="T135" s="176">
        <f t="shared" si="30"/>
        <v>5</v>
      </c>
      <c r="U135" s="251">
        <f t="shared" si="31"/>
        <v>-0.41954709880123509</v>
      </c>
      <c r="V135" s="383">
        <f t="shared" si="32"/>
        <v>57.221119682295459</v>
      </c>
      <c r="W135" s="402"/>
      <c r="X135" s="157">
        <f t="shared" si="33"/>
        <v>44317</v>
      </c>
      <c r="Y135" s="385">
        <f t="shared" si="34"/>
        <v>17.303419684987595</v>
      </c>
      <c r="Z135" s="385">
        <f t="shared" si="35"/>
        <v>17.71528392532306</v>
      </c>
      <c r="AA135" s="386">
        <f t="shared" si="36"/>
        <v>19.379166665734203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8.5859354486753109E-2</v>
      </c>
      <c r="AD135" s="231">
        <f>(INDEX(Models!$BJ135:$BT135,,AH135)*(1-AF135)+INDEX(Models!$BJ135:$BT135,,AH135+1)*AF135-ERP_i)*AE135*Ramure*Pc/MaxiM</f>
        <v>7.1524161522763699E-4</v>
      </c>
      <c r="AE135" s="305">
        <f t="shared" si="38"/>
        <v>0.7</v>
      </c>
      <c r="AF135" s="177">
        <f t="shared" si="39"/>
        <v>0.58045290119876491</v>
      </c>
      <c r="AG135" s="919">
        <f t="shared" si="47"/>
        <v>-1</v>
      </c>
      <c r="AH135" s="176">
        <f t="shared" si="40"/>
        <v>5</v>
      </c>
      <c r="AI135" s="225">
        <f t="shared" si="41"/>
        <v>-0.41954709880123509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8">
        <v>50.322000000000003</v>
      </c>
      <c r="C136" s="390"/>
      <c r="D136" s="393">
        <f t="shared" si="24"/>
        <v>51.520916662482492</v>
      </c>
      <c r="E136" s="385">
        <f t="shared" si="45"/>
        <v>52.006260623411606</v>
      </c>
      <c r="F136" s="385">
        <f t="shared" si="25"/>
        <v>52.039309618554178</v>
      </c>
      <c r="G136" s="110">
        <f t="shared" si="46"/>
        <v>0.87850639150119536</v>
      </c>
      <c r="H136" s="412" t="b">
        <f>Wh_hp&gt;='2020'!Maxi_hp</f>
        <v>1</v>
      </c>
      <c r="I136" s="380">
        <f>IF(H136,Wh_hp,'2020'!Maxi_hp)</f>
        <v>52.039309618554178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2.3270483915041384E-2</v>
      </c>
      <c r="M136" s="957"/>
      <c r="N136" s="957"/>
      <c r="O136" s="48">
        <f>IF(t&lt;Tnet,'2020'!Resal+('2020'!Salim-'2020'!Resal)*(1-EXP(('2020'!Tnet-t)/('2020'!Tau_j))),Resal+(Salim-Resal)*(1-EXP((Tnet-t)/(Tau_j))))*Salcycl</f>
        <v>9.3324141192075907E-3</v>
      </c>
      <c r="P136" s="169">
        <f>(INDEX(Models!$BJ136:$BT136,,T136)*(1-R136)+INDEX(Models!$BJ136:$BT136,,T136+1)*R136-ERP_i)*Q136*Ramure*Pc/MaxiM</f>
        <v>7.6829621518289257E-4</v>
      </c>
      <c r="Q136" s="305">
        <f t="shared" si="27"/>
        <v>0.7</v>
      </c>
      <c r="R136" s="177">
        <f t="shared" si="28"/>
        <v>0.58328538663420004</v>
      </c>
      <c r="S136" s="919">
        <f t="shared" si="29"/>
        <v>-1</v>
      </c>
      <c r="T136" s="176">
        <f t="shared" si="30"/>
        <v>5</v>
      </c>
      <c r="U136" s="251">
        <f t="shared" si="31"/>
        <v>-0.41671461336580001</v>
      </c>
      <c r="V136" s="383">
        <f t="shared" si="32"/>
        <v>57.273677681672289</v>
      </c>
      <c r="W136" s="402"/>
      <c r="X136" s="157">
        <f t="shared" si="33"/>
        <v>44318</v>
      </c>
      <c r="Y136" s="385">
        <f t="shared" si="34"/>
        <v>46.430788074426715</v>
      </c>
      <c r="Z136" s="385">
        <f t="shared" si="35"/>
        <v>47.53699699844848</v>
      </c>
      <c r="AA136" s="386">
        <f t="shared" si="36"/>
        <v>52.006260623411606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8.5937030876455614E-2</v>
      </c>
      <c r="AD136" s="231">
        <f>(INDEX(Models!$BJ136:$BT136,,AH136)*(1-AF136)+INDEX(Models!$BJ136:$BT136,,AH136+1)*AF136-ERP_i)*AE136*Ramure*Pc/MaxiM</f>
        <v>7.6829621518289257E-4</v>
      </c>
      <c r="AE136" s="305">
        <f t="shared" si="38"/>
        <v>0.7</v>
      </c>
      <c r="AF136" s="177">
        <f t="shared" si="39"/>
        <v>0.58328538663420004</v>
      </c>
      <c r="AG136" s="919">
        <f t="shared" si="47"/>
        <v>-1</v>
      </c>
      <c r="AH136" s="176">
        <f t="shared" si="40"/>
        <v>5</v>
      </c>
      <c r="AI136" s="225">
        <f t="shared" si="41"/>
        <v>-0.41671461336580001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8">
        <v>57.646000000000001</v>
      </c>
      <c r="C137" s="390"/>
      <c r="D137" s="393">
        <f t="shared" si="24"/>
        <v>59.020702941452761</v>
      </c>
      <c r="E137" s="385">
        <f t="shared" si="45"/>
        <v>59.583159161705851</v>
      </c>
      <c r="F137" s="385">
        <f t="shared" si="25"/>
        <v>59.632265422182535</v>
      </c>
      <c r="G137" s="110">
        <f t="shared" si="46"/>
        <v>1.0056719627413868</v>
      </c>
      <c r="H137" s="412" t="b">
        <f>Wh_hp&gt;='2020'!Maxi_hp</f>
        <v>1</v>
      </c>
      <c r="I137" s="380">
        <f>IF(H137,Wh_hp,'2020'!Maxi_hp)</f>
        <v>59.632265422182535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2.3291876798153921E-2</v>
      </c>
      <c r="M137" s="957"/>
      <c r="N137" s="957"/>
      <c r="O137" s="48">
        <f>IF(t&lt;Tnet,'2020'!Resal+('2020'!Salim-'2020'!Resal)*(1-EXP(('2020'!Tnet-t)/('2020'!Tau_j))),Resal+(Salim-Resal)*(1-EXP((Tnet-t)/(Tau_j))))*Salcycl</f>
        <v>9.4398522697766458E-3</v>
      </c>
      <c r="P137" s="169">
        <f>(INDEX(Models!$BJ137:$BT137,,T137)*(1-R137)+INDEX(Models!$BJ137:$BT137,,T137+1)*R137-ERP_i)*Q137*Ramure*Pc/MaxiM</f>
        <v>8.2348473815356592E-4</v>
      </c>
      <c r="Q137" s="305">
        <f t="shared" si="27"/>
        <v>0.7</v>
      </c>
      <c r="R137" s="177">
        <f t="shared" si="28"/>
        <v>0.58619631789976379</v>
      </c>
      <c r="S137" s="919">
        <f t="shared" si="29"/>
        <v>-1</v>
      </c>
      <c r="T137" s="176">
        <f t="shared" si="30"/>
        <v>5</v>
      </c>
      <c r="U137" s="251">
        <f t="shared" si="31"/>
        <v>-0.41380368210023621</v>
      </c>
      <c r="V137" s="383">
        <f t="shared" si="32"/>
        <v>57.320878115027988</v>
      </c>
      <c r="W137" s="402"/>
      <c r="X137" s="157">
        <f t="shared" si="33"/>
        <v>44319</v>
      </c>
      <c r="Y137" s="385">
        <f t="shared" si="34"/>
        <v>53.18963321793737</v>
      </c>
      <c r="Z137" s="385">
        <f t="shared" si="35"/>
        <v>54.458063728978757</v>
      </c>
      <c r="AA137" s="386">
        <f t="shared" si="36"/>
        <v>59.583159161705851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8.6015839120208909E-2</v>
      </c>
      <c r="AD137" s="231">
        <f>(INDEX(Models!$BJ137:$BT137,,AH137)*(1-AF137)+INDEX(Models!$BJ137:$BT137,,AH137+1)*AF137-ERP_i)*AE137*Ramure*Pc/MaxiM</f>
        <v>8.2348473815356592E-4</v>
      </c>
      <c r="AE137" s="305">
        <f t="shared" si="38"/>
        <v>0.7</v>
      </c>
      <c r="AF137" s="177">
        <f t="shared" si="39"/>
        <v>0.58619631789976379</v>
      </c>
      <c r="AG137" s="919">
        <f t="shared" si="47"/>
        <v>-1</v>
      </c>
      <c r="AH137" s="176">
        <f t="shared" si="40"/>
        <v>5</v>
      </c>
      <c r="AI137" s="225">
        <f t="shared" si="41"/>
        <v>-0.41380368210023621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8">
        <v>51.38</v>
      </c>
      <c r="C138" s="390"/>
      <c r="D138" s="393">
        <f t="shared" si="24"/>
        <v>52.606427813945366</v>
      </c>
      <c r="E138" s="385">
        <f t="shared" si="45"/>
        <v>53.113525484556902</v>
      </c>
      <c r="F138" s="385">
        <f t="shared" si="25"/>
        <v>53.153370244886226</v>
      </c>
      <c r="G138" s="110">
        <f t="shared" si="46"/>
        <v>0.89558116753823991</v>
      </c>
      <c r="H138" s="412" t="b">
        <f>Wh_hp&gt;='2020'!Maxi_hp</f>
        <v>0</v>
      </c>
      <c r="I138" s="380">
        <f>IF(H138,Wh_hp,'2020'!Maxi_hp)</f>
        <v>56.02715044671482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2.3313269212707377E-2</v>
      </c>
      <c r="M138" s="957"/>
      <c r="N138" s="957"/>
      <c r="O138" s="48">
        <f>IF(t&lt;Tnet,'2020'!Resal+('2020'!Salim-'2020'!Resal)*(1-EXP(('2020'!Tnet-t)/('2020'!Tau_j))),Resal+(Salim-Resal)*(1-EXP((Tnet-t)/(Tau_j))))*Salcycl</f>
        <v>9.5474300752070394E-3</v>
      </c>
      <c r="P138" s="169">
        <f>(INDEX(Models!$BJ138:$BT138,,T138)*(1-R138)+INDEX(Models!$BJ138:$BT138,,T138+1)*R138-ERP_i)*Q138*Ramure*Pc/MaxiM</f>
        <v>8.8086978723318039E-4</v>
      </c>
      <c r="Q138" s="305">
        <f t="shared" si="27"/>
        <v>0.7</v>
      </c>
      <c r="R138" s="177">
        <f t="shared" si="28"/>
        <v>0.58918643881605415</v>
      </c>
      <c r="S138" s="919">
        <f t="shared" si="29"/>
        <v>-1</v>
      </c>
      <c r="T138" s="176">
        <f t="shared" si="30"/>
        <v>5</v>
      </c>
      <c r="U138" s="251">
        <f t="shared" si="31"/>
        <v>-0.41081356118394585</v>
      </c>
      <c r="V138" s="383">
        <f t="shared" si="32"/>
        <v>57.363032098358296</v>
      </c>
      <c r="W138" s="402"/>
      <c r="X138" s="157">
        <f t="shared" si="33"/>
        <v>44320</v>
      </c>
      <c r="Y138" s="385">
        <f t="shared" si="34"/>
        <v>47.409034318071278</v>
      </c>
      <c r="Z138" s="385">
        <f t="shared" si="35"/>
        <v>48.540676169374763</v>
      </c>
      <c r="AA138" s="386">
        <f t="shared" si="36"/>
        <v>53.113525484556902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8.6095759478660841E-2</v>
      </c>
      <c r="AD138" s="231">
        <f>(INDEX(Models!$BJ138:$BT138,,AH138)*(1-AF138)+INDEX(Models!$BJ138:$BT138,,AH138+1)*AF138-ERP_i)*AE138*Ramure*Pc/MaxiM</f>
        <v>8.8086978723318039E-4</v>
      </c>
      <c r="AE138" s="305">
        <f t="shared" si="38"/>
        <v>0.7</v>
      </c>
      <c r="AF138" s="177">
        <f t="shared" si="39"/>
        <v>0.58918643881605415</v>
      </c>
      <c r="AG138" s="919">
        <f t="shared" si="47"/>
        <v>-1</v>
      </c>
      <c r="AH138" s="176">
        <f t="shared" si="40"/>
        <v>5</v>
      </c>
      <c r="AI138" s="225">
        <f t="shared" si="41"/>
        <v>-0.41081356118394585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8">
        <v>37.657000000000004</v>
      </c>
      <c r="C139" s="390"/>
      <c r="D139" s="393">
        <f t="shared" si="24"/>
        <v>38.556707709803774</v>
      </c>
      <c r="E139" s="385">
        <f t="shared" si="45"/>
        <v>38.932607829954243</v>
      </c>
      <c r="F139" s="385">
        <f t="shared" si="25"/>
        <v>38.951241042797534</v>
      </c>
      <c r="G139" s="110">
        <f t="shared" si="46"/>
        <v>0.6557368179060562</v>
      </c>
      <c r="H139" s="412" t="b">
        <f>Wh_hp&gt;='2020'!Maxi_hp</f>
        <v>0</v>
      </c>
      <c r="I139" s="380">
        <f>IF(H139,Wh_hp,'2020'!Maxi_hp)</f>
        <v>58.496922298592779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2.3334661158711967E-2</v>
      </c>
      <c r="M139" s="957"/>
      <c r="N139" s="957"/>
      <c r="O139" s="48">
        <f>IF(t&lt;Tnet,'2020'!Resal+('2020'!Salim-'2020'!Resal)*(1-EXP(('2020'!Tnet-t)/('2020'!Tau_j))),Resal+(Salim-Resal)*(1-EXP((Tnet-t)/(Tau_j))))*Salcycl</f>
        <v>9.655148758395217E-3</v>
      </c>
      <c r="P139" s="169">
        <f>(INDEX(Models!$BJ139:$BT139,,T139)*(1-R139)+INDEX(Models!$BJ139:$BT139,,T139+1)*R139-ERP_i)*Q139*Ramure*Pc/MaxiM</f>
        <v>9.4051454058288611E-4</v>
      </c>
      <c r="Q139" s="305">
        <f t="shared" si="27"/>
        <v>0.7</v>
      </c>
      <c r="R139" s="177">
        <f t="shared" si="28"/>
        <v>0.59225639688263054</v>
      </c>
      <c r="S139" s="919">
        <f t="shared" si="29"/>
        <v>-1</v>
      </c>
      <c r="T139" s="176">
        <f t="shared" si="30"/>
        <v>5</v>
      </c>
      <c r="U139" s="251">
        <f t="shared" si="31"/>
        <v>-0.40774360311736946</v>
      </c>
      <c r="V139" s="383">
        <f t="shared" si="32"/>
        <v>57.400450562272873</v>
      </c>
      <c r="W139" s="402"/>
      <c r="X139" s="157">
        <f t="shared" si="33"/>
        <v>44321</v>
      </c>
      <c r="Y139" s="385">
        <f t="shared" si="34"/>
        <v>34.747332051617498</v>
      </c>
      <c r="Z139" s="385">
        <f t="shared" si="35"/>
        <v>35.577521459747508</v>
      </c>
      <c r="AA139" s="386">
        <f t="shared" si="36"/>
        <v>38.932607829954243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8.6176769479730977E-2</v>
      </c>
      <c r="AD139" s="231">
        <f>(INDEX(Models!$BJ139:$BT139,,AH139)*(1-AF139)+INDEX(Models!$BJ139:$BT139,,AH139+1)*AF139-ERP_i)*AE139*Ramure*Pc/MaxiM</f>
        <v>9.4051454058288611E-4</v>
      </c>
      <c r="AE139" s="305">
        <f t="shared" si="38"/>
        <v>0.7</v>
      </c>
      <c r="AF139" s="177">
        <f t="shared" si="39"/>
        <v>0.59225639688263054</v>
      </c>
      <c r="AG139" s="919">
        <f t="shared" si="47"/>
        <v>-1</v>
      </c>
      <c r="AH139" s="176">
        <f t="shared" si="40"/>
        <v>5</v>
      </c>
      <c r="AI139" s="225">
        <f t="shared" si="41"/>
        <v>-0.40774360311736946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8">
        <v>35.331000000000003</v>
      </c>
      <c r="C140" s="390"/>
      <c r="D140" s="393">
        <f t="shared" si="24"/>
        <v>36.175926851711097</v>
      </c>
      <c r="E140" s="385">
        <f t="shared" si="45"/>
        <v>36.532594908679862</v>
      </c>
      <c r="F140" s="385">
        <f t="shared" si="25"/>
        <v>36.549091426123525</v>
      </c>
      <c r="G140" s="110">
        <f t="shared" si="46"/>
        <v>0.6148250323682446</v>
      </c>
      <c r="H140" s="412" t="b">
        <f>Wh_hp&gt;='2020'!Maxi_hp</f>
        <v>0</v>
      </c>
      <c r="I140" s="380">
        <f>IF(H140,Wh_hp,'2020'!Maxi_hp)</f>
        <v>61.787025291973102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2.3356052636178126E-2</v>
      </c>
      <c r="M140" s="957"/>
      <c r="N140" s="957"/>
      <c r="O140" s="48">
        <f>IF(t&lt;Tnet,'2020'!Resal+('2020'!Salim-'2020'!Resal)*(1-EXP(('2020'!Tnet-t)/('2020'!Tau_j))),Resal+(Salim-Resal)*(1-EXP((Tnet-t)/(Tau_j))))*Salcycl</f>
        <v>9.7630091117350496E-3</v>
      </c>
      <c r="P140" s="169">
        <f>(INDEX(Models!$BJ140:$BT140,,T140)*(1-R140)+INDEX(Models!$BJ140:$BT140,,T140+1)*R140-ERP_i)*Q140*Ramure*Pc/MaxiM</f>
        <v>1.0024825389147983E-3</v>
      </c>
      <c r="Q140" s="305">
        <f t="shared" si="27"/>
        <v>0.7</v>
      </c>
      <c r="R140" s="177">
        <f t="shared" si="28"/>
        <v>0.59540673624397189</v>
      </c>
      <c r="S140" s="919">
        <f t="shared" si="29"/>
        <v>-1</v>
      </c>
      <c r="T140" s="176">
        <f t="shared" si="30"/>
        <v>5</v>
      </c>
      <c r="U140" s="251">
        <f t="shared" si="31"/>
        <v>-0.40459326375602805</v>
      </c>
      <c r="V140" s="383">
        <f t="shared" si="32"/>
        <v>57.433444259341698</v>
      </c>
      <c r="W140" s="402"/>
      <c r="X140" s="157">
        <f t="shared" si="33"/>
        <v>44322</v>
      </c>
      <c r="Y140" s="385">
        <f t="shared" si="34"/>
        <v>32.601679279222864</v>
      </c>
      <c r="Z140" s="385">
        <f t="shared" si="35"/>
        <v>33.381335508423525</v>
      </c>
      <c r="AA140" s="386">
        <f t="shared" si="36"/>
        <v>36.532594908679862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8.625884386623793E-2</v>
      </c>
      <c r="AD140" s="231">
        <f>(INDEX(Models!$BJ140:$BT140,,AH140)*(1-AF140)+INDEX(Models!$BJ140:$BT140,,AH140+1)*AF140-ERP_i)*AE140*Ramure*Pc/MaxiM</f>
        <v>1.0024825389147983E-3</v>
      </c>
      <c r="AE140" s="305">
        <f t="shared" si="38"/>
        <v>0.7</v>
      </c>
      <c r="AF140" s="177">
        <f t="shared" si="39"/>
        <v>0.59540673624397189</v>
      </c>
      <c r="AG140" s="919">
        <f t="shared" si="47"/>
        <v>-1</v>
      </c>
      <c r="AH140" s="176">
        <f t="shared" si="40"/>
        <v>5</v>
      </c>
      <c r="AI140" s="225">
        <f t="shared" si="41"/>
        <v>-0.40459326375602805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8">
        <v>26.834</v>
      </c>
      <c r="C141" s="390"/>
      <c r="D141" s="393">
        <f t="shared" si="24"/>
        <v>27.476326268926655</v>
      </c>
      <c r="E141" s="385">
        <f t="shared" si="45"/>
        <v>27.750249298228184</v>
      </c>
      <c r="F141" s="385">
        <f t="shared" si="25"/>
        <v>27.757313338155342</v>
      </c>
      <c r="G141" s="110">
        <f t="shared" si="46"/>
        <v>0.4666047983605684</v>
      </c>
      <c r="H141" s="412" t="b">
        <f>Wh_hp&gt;='2020'!Maxi_hp</f>
        <v>0</v>
      </c>
      <c r="I141" s="380">
        <f>IF(H141,Wh_hp,'2020'!Maxi_hp)</f>
        <v>57.268675300754929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2.3377443645116069E-2</v>
      </c>
      <c r="M141" s="957"/>
      <c r="N141" s="957"/>
      <c r="O141" s="48">
        <f>IF(t&lt;Tnet,'2020'!Resal+('2020'!Salim-'2020'!Resal)*(1-EXP(('2020'!Tnet-t)/('2020'!Tau_j))),Resal+(Salim-Resal)*(1-EXP((Tnet-t)/(Tau_j))))*Salcycl</f>
        <v>9.8710114766073758E-3</v>
      </c>
      <c r="P141" s="169">
        <f>(INDEX(Models!$BJ141:$BT141,,T141)*(1-R141)+INDEX(Models!$BJ141:$BT141,,T141+1)*R141-ERP_i)*Q141*Ramure*Pc/MaxiM</f>
        <v>1.0668374551955797E-3</v>
      </c>
      <c r="Q141" s="305">
        <f t="shared" si="27"/>
        <v>0.7</v>
      </c>
      <c r="R141" s="177">
        <f t="shared" si="28"/>
        <v>0.59863789064912432</v>
      </c>
      <c r="S141" s="919">
        <f t="shared" si="29"/>
        <v>-1</v>
      </c>
      <c r="T141" s="176">
        <f t="shared" si="30"/>
        <v>5</v>
      </c>
      <c r="U141" s="251">
        <f t="shared" si="31"/>
        <v>-0.40136210935087574</v>
      </c>
      <c r="V141" s="383">
        <f t="shared" si="32"/>
        <v>57.462323774169043</v>
      </c>
      <c r="W141" s="402"/>
      <c r="X141" s="157">
        <f t="shared" si="33"/>
        <v>44323</v>
      </c>
      <c r="Y141" s="385">
        <f t="shared" si="34"/>
        <v>24.761521252023602</v>
      </c>
      <c r="Z141" s="385">
        <f t="shared" si="35"/>
        <v>25.354238534529394</v>
      </c>
      <c r="AA141" s="386">
        <f t="shared" si="36"/>
        <v>27.750249298228184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8.6341954551441516E-2</v>
      </c>
      <c r="AD141" s="231">
        <f>(INDEX(Models!$BJ141:$BT141,,AH141)*(1-AF141)+INDEX(Models!$BJ141:$BT141,,AH141+1)*AF141-ERP_i)*AE141*Ramure*Pc/MaxiM</f>
        <v>1.0668374551955797E-3</v>
      </c>
      <c r="AE141" s="305">
        <f t="shared" si="38"/>
        <v>0.7</v>
      </c>
      <c r="AF141" s="177">
        <f t="shared" si="39"/>
        <v>0.59863789064912432</v>
      </c>
      <c r="AG141" s="919">
        <f t="shared" si="47"/>
        <v>-1</v>
      </c>
      <c r="AH141" s="176">
        <f t="shared" si="40"/>
        <v>5</v>
      </c>
      <c r="AI141" s="225">
        <f t="shared" si="41"/>
        <v>-0.40136210935087574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8">
        <v>57.201999999999998</v>
      </c>
      <c r="C142" s="390"/>
      <c r="D142" s="393">
        <f t="shared" si="24"/>
        <v>58.572528891356356</v>
      </c>
      <c r="E142" s="385">
        <f t="shared" si="45"/>
        <v>59.16292493232401</v>
      </c>
      <c r="F142" s="385">
        <f t="shared" si="25"/>
        <v>59.229596839292704</v>
      </c>
      <c r="G142" s="110">
        <f t="shared" si="46"/>
        <v>0.99502748166394139</v>
      </c>
      <c r="H142" s="412" t="b">
        <f>Wh_hp&gt;='2020'!Maxi_hp</f>
        <v>1</v>
      </c>
      <c r="I142" s="380">
        <f>IF(H142,Wh_hp,'2020'!Maxi_hp)</f>
        <v>59.229596839292704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2.3398834185535899E-2</v>
      </c>
      <c r="M142" s="957"/>
      <c r="N142" s="957"/>
      <c r="O142" s="48">
        <f>IF(t&lt;Tnet,'2020'!Resal+('2020'!Salim-'2020'!Resal)*(1-EXP(('2020'!Tnet-t)/('2020'!Tau_j))),Resal+(Salim-Resal)*(1-EXP((Tnet-t)/(Tau_j))))*Salcycl</f>
        <v>9.9791557236732133E-3</v>
      </c>
      <c r="P142" s="169">
        <f>(INDEX(Models!$BJ142:$BT142,,T142)*(1-R142)+INDEX(Models!$BJ142:$BT142,,T142+1)*R142-ERP_i)*Q142*Ramure*Pc/MaxiM</f>
        <v>1.1336922003804286E-3</v>
      </c>
      <c r="Q142" s="305">
        <f t="shared" si="27"/>
        <v>0.7</v>
      </c>
      <c r="R142" s="177">
        <f t="shared" si="28"/>
        <v>0.60195017644725723</v>
      </c>
      <c r="S142" s="919">
        <f t="shared" si="29"/>
        <v>-1</v>
      </c>
      <c r="T142" s="176">
        <f t="shared" si="30"/>
        <v>5</v>
      </c>
      <c r="U142" s="251">
        <f t="shared" si="31"/>
        <v>-0.39804982355274277</v>
      </c>
      <c r="V142" s="383">
        <f t="shared" si="32"/>
        <v>57.487396693384845</v>
      </c>
      <c r="W142" s="402"/>
      <c r="X142" s="157">
        <f t="shared" si="33"/>
        <v>44324</v>
      </c>
      <c r="Y142" s="385">
        <f t="shared" si="34"/>
        <v>52.785005702259923</v>
      </c>
      <c r="Z142" s="385">
        <f t="shared" si="35"/>
        <v>54.049705806196101</v>
      </c>
      <c r="AA142" s="386">
        <f t="shared" si="36"/>
        <v>59.16292493232401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8.6426070583509457E-2</v>
      </c>
      <c r="AD142" s="231">
        <f>(INDEX(Models!$BJ142:$BT142,,AH142)*(1-AF142)+INDEX(Models!$BJ142:$BT142,,AH142+1)*AF142-ERP_i)*AE142*Ramure*Pc/MaxiM</f>
        <v>1.1336922003804286E-3</v>
      </c>
      <c r="AE142" s="305">
        <f t="shared" si="38"/>
        <v>0.7</v>
      </c>
      <c r="AF142" s="177">
        <f t="shared" si="39"/>
        <v>0.60195017644725723</v>
      </c>
      <c r="AG142" s="919">
        <f t="shared" si="47"/>
        <v>-1</v>
      </c>
      <c r="AH142" s="176">
        <f t="shared" si="40"/>
        <v>5</v>
      </c>
      <c r="AI142" s="225">
        <f t="shared" si="41"/>
        <v>-0.39804982355274277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8">
        <v>22.157</v>
      </c>
      <c r="C143" s="390"/>
      <c r="D143" s="393">
        <f t="shared" ref="D143:D206" si="48">Wh/(1-Ppv)</f>
        <v>22.688366634617953</v>
      </c>
      <c r="E143" s="385">
        <f t="shared" si="45"/>
        <v>22.919566413930873</v>
      </c>
      <c r="F143" s="385">
        <f t="shared" ref="F143:F206" si="49">Wh_sa/(1-Pvg*MEDIAN((-Sdif+Wh/Env_an)/Csdif,0,1))</f>
        <v>22.922924307467667</v>
      </c>
      <c r="G143" s="110">
        <f t="shared" si="46"/>
        <v>0.38487185027186388</v>
      </c>
      <c r="H143" s="412" t="b">
        <f>Wh_hp&gt;='2020'!Maxi_hp</f>
        <v>0</v>
      </c>
      <c r="I143" s="380">
        <f>IF(H143,Wh_hp,'2020'!Maxi_hp)</f>
        <v>51.928840969153235</v>
      </c>
      <c r="J143" s="85">
        <f>IF(H143,An,'2020'!An_max)</f>
        <v>2019</v>
      </c>
      <c r="K143" s="197">
        <f t="shared" ref="K143:K206" si="50">t</f>
        <v>44325</v>
      </c>
      <c r="L143" s="147">
        <f>IF(t&lt;Tvie,1-EXP((T0-t)*PertePVj)+'2020'!Pspv,1-EXP((T0-t)*PertePVj)+Pspv)</f>
        <v>2.3420224257448052E-2</v>
      </c>
      <c r="M143" s="957"/>
      <c r="N143" s="957"/>
      <c r="O143" s="48">
        <f>IF(t&lt;Tnet,'2020'!Resal+('2020'!Salim-'2020'!Resal)*(1-EXP(('2020'!Tnet-t)/('2020'!Tau_j))),Resal+(Salim-Resal)*(1-EXP((Tnet-t)/(Tau_j))))*Salcycl</f>
        <v>1.0087441234158525E-2</v>
      </c>
      <c r="P143" s="169">
        <f>(INDEX(Models!$BJ143:$BT143,,T143)*(1-R143)+INDEX(Models!$BJ143:$BT143,,T143+1)*R143-ERP_i)*Q143*Ramure*Pc/MaxiM</f>
        <v>1.2024144446339715E-3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0.60534378566460267</v>
      </c>
      <c r="S143" s="919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-0.39465621433539738</v>
      </c>
      <c r="V143" s="383">
        <f t="shared" ref="V143:V206" si="56">MaxiM*(1-Ppv)*(1-Pvg)*(1-Psa)</f>
        <v>57.509013340253723</v>
      </c>
      <c r="W143" s="402"/>
      <c r="X143" s="157">
        <f t="shared" ref="X143:X206" si="57">t</f>
        <v>44325</v>
      </c>
      <c r="Y143" s="385">
        <f t="shared" ref="Y143:Y206" si="58">Wh_pvt_s*(1-Ppv)</f>
        <v>20.446424373857297</v>
      </c>
      <c r="Z143" s="385">
        <f t="shared" ref="Z143:Z206" si="59">Wh_sa_s*(1-Psa_s)</f>
        <v>20.936768179855722</v>
      </c>
      <c r="AA143" s="386">
        <f t="shared" ref="AA143:AA206" si="60">Wh_hp*(1-Pvg_s*MEDIAN((-Sdif+Wh/Env_an)/Csdif,0,1))</f>
        <v>22.919566413930873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8.6511158119901232E-2</v>
      </c>
      <c r="AD143" s="231">
        <f>(INDEX(Models!$BJ143:$BT143,,AH143)*(1-AF143)+INDEX(Models!$BJ143:$BT143,,AH143+1)*AF143-ERP_i)*AE143*Ramure*Pc/MaxiM</f>
        <v>1.2024144446339715E-3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0.60534378566460267</v>
      </c>
      <c r="AG143" s="919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-0.39465621433539738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8">
        <v>40.494</v>
      </c>
      <c r="C144" s="390"/>
      <c r="D144" s="393">
        <f t="shared" si="48"/>
        <v>41.466030679532281</v>
      </c>
      <c r="E144" s="385">
        <f t="shared" ref="E144:E169" si="69">Wh_pvt/(1-Psa)</f>
        <v>41.893167842129486</v>
      </c>
      <c r="F144" s="385">
        <f t="shared" si="49"/>
        <v>41.923963632321716</v>
      </c>
      <c r="G144" s="110">
        <f t="shared" ref="G144:G169" si="70">+Wh_hp/MaxiM</f>
        <v>0.70352768887273398</v>
      </c>
      <c r="H144" s="412" t="b">
        <f>Wh_hp&gt;='2020'!Maxi_hp</f>
        <v>0</v>
      </c>
      <c r="I144" s="380">
        <f>IF(H144,Wh_hp,'2020'!Maxi_hp)</f>
        <v>48.84982797740755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2.3441613860862742E-2</v>
      </c>
      <c r="M144" s="957"/>
      <c r="N144" s="957"/>
      <c r="O144" s="48">
        <f>IF(t&lt;Tnet,'2020'!Resal+('2020'!Salim-'2020'!Resal)*(1-EXP(('2020'!Tnet-t)/('2020'!Tau_j))),Resal+(Salim-Resal)*(1-EXP((Tnet-t)/(Tau_j))))*Salcycl</f>
        <v>1.0195866882324012E-2</v>
      </c>
      <c r="P144" s="169">
        <f>(INDEX(Models!$BJ144:$BT144,,T144)*(1-R144)+INDEX(Models!$BJ144:$BT144,,T144+1)*R144-ERP_i)*Q144*Ramure*Pc/MaxiM</f>
        <v>1.2730505915646258E-3</v>
      </c>
      <c r="Q144" s="305">
        <f t="shared" si="51"/>
        <v>0.7</v>
      </c>
      <c r="R144" s="177">
        <f t="shared" si="52"/>
        <v>0.60881877921132088</v>
      </c>
      <c r="S144" s="919">
        <f t="shared" si="53"/>
        <v>-1</v>
      </c>
      <c r="T144" s="176">
        <f t="shared" si="54"/>
        <v>5</v>
      </c>
      <c r="U144" s="251">
        <f t="shared" si="55"/>
        <v>-0.39118122078867912</v>
      </c>
      <c r="V144" s="383">
        <f t="shared" si="56"/>
        <v>57.527484834020626</v>
      </c>
      <c r="W144" s="402"/>
      <c r="X144" s="157">
        <f t="shared" si="57"/>
        <v>44326</v>
      </c>
      <c r="Y144" s="385">
        <f t="shared" si="58"/>
        <v>37.368336359506344</v>
      </c>
      <c r="Z144" s="385">
        <f t="shared" si="59"/>
        <v>38.265337628447959</v>
      </c>
      <c r="AA144" s="386">
        <f t="shared" si="60"/>
        <v>41.893167842129486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8.6597180412631189E-2</v>
      </c>
      <c r="AD144" s="231">
        <f>(INDEX(Models!$BJ144:$BT144,,AH144)*(1-AF144)+INDEX(Models!$BJ144:$BT144,,AH144+1)*AF144-ERP_i)*AE144*Ramure*Pc/MaxiM</f>
        <v>1.2730505915646258E-3</v>
      </c>
      <c r="AE144" s="305">
        <f t="shared" si="62"/>
        <v>0.7</v>
      </c>
      <c r="AF144" s="177">
        <f t="shared" si="63"/>
        <v>0.60881877921132088</v>
      </c>
      <c r="AG144" s="919">
        <f t="shared" ref="AG144:AG207" si="71">INDEX(Echel_vg,AH144)</f>
        <v>-1</v>
      </c>
      <c r="AH144" s="176">
        <f t="shared" si="64"/>
        <v>5</v>
      </c>
      <c r="AI144" s="225">
        <f t="shared" si="65"/>
        <v>-0.39118122078867912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8">
        <v>31.297000000000001</v>
      </c>
      <c r="C145" s="390"/>
      <c r="D145" s="393">
        <f t="shared" si="48"/>
        <v>32.048964960889322</v>
      </c>
      <c r="E145" s="385">
        <f t="shared" si="69"/>
        <v>32.382649741371949</v>
      </c>
      <c r="F145" s="385">
        <f t="shared" si="49"/>
        <v>32.397839070159222</v>
      </c>
      <c r="G145" s="110">
        <f t="shared" si="70"/>
        <v>0.54341065420453183</v>
      </c>
      <c r="H145" s="412" t="b">
        <f>Wh_hp&gt;='2020'!Maxi_hp</f>
        <v>0</v>
      </c>
      <c r="I145" s="380">
        <f>IF(H145,Wh_hp,'2020'!Maxi_hp)</f>
        <v>38.038773139907207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2.3463002995790294E-2</v>
      </c>
      <c r="M145" s="957"/>
      <c r="N145" s="957"/>
      <c r="O145" s="48">
        <f>IF(t&lt;Tnet,'2020'!Resal+('2020'!Salim-'2020'!Resal)*(1-EXP(('2020'!Tnet-t)/('2020'!Tau_j))),Resal+(Salim-Resal)*(1-EXP((Tnet-t)/(Tau_j))))*Salcycl</f>
        <v>1.0304431019315776E-2</v>
      </c>
      <c r="P145" s="169">
        <f>(INDEX(Models!$BJ145:$BT145,,T145)*(1-R145)+INDEX(Models!$BJ145:$BT145,,T145+1)*R145-ERP_i)*Q145*Ramure*Pc/MaxiM</f>
        <v>1.345645208421906E-3</v>
      </c>
      <c r="Q145" s="305">
        <f t="shared" si="51"/>
        <v>0.7</v>
      </c>
      <c r="R145" s="177">
        <f t="shared" si="52"/>
        <v>0.61237508026968512</v>
      </c>
      <c r="S145" s="919">
        <f t="shared" si="53"/>
        <v>-1</v>
      </c>
      <c r="T145" s="176">
        <f t="shared" si="54"/>
        <v>5</v>
      </c>
      <c r="U145" s="251">
        <f t="shared" si="55"/>
        <v>-0.38762491973031488</v>
      </c>
      <c r="V145" s="383">
        <f t="shared" si="56"/>
        <v>57.54312220834526</v>
      </c>
      <c r="W145" s="402"/>
      <c r="X145" s="157">
        <f t="shared" si="57"/>
        <v>44327</v>
      </c>
      <c r="Y145" s="385">
        <f t="shared" si="58"/>
        <v>28.881656831530687</v>
      </c>
      <c r="Z145" s="385">
        <f t="shared" si="59"/>
        <v>29.57558896399517</v>
      </c>
      <c r="AA145" s="386">
        <f t="shared" si="60"/>
        <v>32.382649741371949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8.6684097805328431E-2</v>
      </c>
      <c r="AD145" s="231">
        <f>(INDEX(Models!$BJ145:$BT145,,AH145)*(1-AF145)+INDEX(Models!$BJ145:$BT145,,AH145+1)*AF145-ERP_i)*AE145*Ramure*Pc/MaxiM</f>
        <v>1.345645208421906E-3</v>
      </c>
      <c r="AE145" s="305">
        <f t="shared" si="62"/>
        <v>0.7</v>
      </c>
      <c r="AF145" s="177">
        <f t="shared" si="63"/>
        <v>0.61237508026968512</v>
      </c>
      <c r="AG145" s="919">
        <f t="shared" si="71"/>
        <v>-1</v>
      </c>
      <c r="AH145" s="176">
        <f t="shared" si="64"/>
        <v>5</v>
      </c>
      <c r="AI145" s="225">
        <f t="shared" si="65"/>
        <v>-0.38762491973031488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8">
        <v>38.800000000000004</v>
      </c>
      <c r="C146" s="390"/>
      <c r="D146" s="393">
        <f t="shared" si="48"/>
        <v>39.733107867109261</v>
      </c>
      <c r="E146" s="385">
        <f t="shared" si="69"/>
        <v>40.151207670806691</v>
      </c>
      <c r="F146" s="385">
        <f t="shared" si="49"/>
        <v>40.181708179640481</v>
      </c>
      <c r="G146" s="110">
        <f t="shared" si="70"/>
        <v>0.67367724645589722</v>
      </c>
      <c r="H146" s="412" t="b">
        <f>Wh_hp&gt;='2020'!Maxi_hp</f>
        <v>0</v>
      </c>
      <c r="I146" s="380">
        <f>IF(H146,Wh_hp,'2020'!Maxi_hp)</f>
        <v>54.342875304504368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2.3484391662240811E-2</v>
      </c>
      <c r="M146" s="957"/>
      <c r="N146" s="957"/>
      <c r="O146" s="48">
        <f>IF(t&lt;Tnet,'2020'!Resal+('2020'!Salim-'2020'!Resal)*(1-EXP(('2020'!Tnet-t)/('2020'!Tau_j))),Resal+(Salim-Resal)*(1-EXP((Tnet-t)/(Tau_j))))*Salcycl</f>
        <v>1.0413131458594333E-2</v>
      </c>
      <c r="P146" s="169">
        <f>(INDEX(Models!$BJ146:$BT146,,T146)*(1-R146)+INDEX(Models!$BJ146:$BT146,,T146+1)*R146-ERP_i)*Q146*Ramure*Pc/MaxiM</f>
        <v>1.4202407641083136E-3</v>
      </c>
      <c r="Q146" s="305">
        <f t="shared" si="51"/>
        <v>0.7</v>
      </c>
      <c r="R146" s="177">
        <f t="shared" si="52"/>
        <v>0.61601246791751385</v>
      </c>
      <c r="S146" s="919">
        <f t="shared" si="53"/>
        <v>-1</v>
      </c>
      <c r="T146" s="176">
        <f t="shared" si="54"/>
        <v>5</v>
      </c>
      <c r="U146" s="251">
        <f t="shared" si="55"/>
        <v>-0.38398753208248615</v>
      </c>
      <c r="V146" s="383">
        <f t="shared" si="56"/>
        <v>57.556236429185219</v>
      </c>
      <c r="W146" s="402"/>
      <c r="X146" s="157">
        <f t="shared" si="57"/>
        <v>44328</v>
      </c>
      <c r="Y146" s="385">
        <f t="shared" si="58"/>
        <v>35.806105212167836</v>
      </c>
      <c r="Z146" s="385">
        <f t="shared" si="59"/>
        <v>36.667212389075452</v>
      </c>
      <c r="AA146" s="386">
        <f t="shared" si="60"/>
        <v>40.151207670806691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8.6771867742957087E-2</v>
      </c>
      <c r="AD146" s="231">
        <f>(INDEX(Models!$BJ146:$BT146,,AH146)*(1-AF146)+INDEX(Models!$BJ146:$BT146,,AH146+1)*AF146-ERP_i)*AE146*Ramure*Pc/MaxiM</f>
        <v>1.4202407641083136E-3</v>
      </c>
      <c r="AE146" s="305">
        <f t="shared" si="62"/>
        <v>0.7</v>
      </c>
      <c r="AF146" s="177">
        <f t="shared" si="63"/>
        <v>0.61601246791751385</v>
      </c>
      <c r="AG146" s="919">
        <f t="shared" si="71"/>
        <v>-1</v>
      </c>
      <c r="AH146" s="176">
        <f t="shared" si="64"/>
        <v>5</v>
      </c>
      <c r="AI146" s="225">
        <f t="shared" si="65"/>
        <v>-0.38398753208248615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8">
        <v>48.884999999999998</v>
      </c>
      <c r="C147" s="390"/>
      <c r="D147" s="393">
        <f t="shared" si="48"/>
        <v>50.061740245633608</v>
      </c>
      <c r="E147" s="385">
        <f t="shared" si="69"/>
        <v>50.594089508076493</v>
      </c>
      <c r="F147" s="385">
        <f t="shared" si="49"/>
        <v>50.6535755243629</v>
      </c>
      <c r="G147" s="110">
        <f t="shared" si="70"/>
        <v>0.84890819704072162</v>
      </c>
      <c r="H147" s="412" t="b">
        <f>Wh_hp&gt;='2020'!Maxi_hp</f>
        <v>0</v>
      </c>
      <c r="I147" s="380">
        <f>IF(H147,Wh_hp,'2020'!Maxi_hp)</f>
        <v>61.987907498178245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2.3505779860224618E-2</v>
      </c>
      <c r="M147" s="957"/>
      <c r="N147" s="957"/>
      <c r="O147" s="48">
        <f>IF(t&lt;Tnet,'2020'!Resal+('2020'!Salim-'2020'!Resal)*(1-EXP(('2020'!Tnet-t)/('2020'!Tau_j))),Resal+(Salim-Resal)*(1-EXP((Tnet-t)/(Tau_j))))*Salcycl</f>
        <v>1.0521965463137922E-2</v>
      </c>
      <c r="P147" s="169">
        <f>(INDEX(Models!$BJ147:$BT147,,T147)*(1-R147)+INDEX(Models!$BJ147:$BT147,,T147+1)*R147-ERP_i)*Q147*Ramure*Pc/MaxiM</f>
        <v>1.4968773559134129E-3</v>
      </c>
      <c r="Q147" s="305">
        <f t="shared" si="51"/>
        <v>0.7</v>
      </c>
      <c r="R147" s="177">
        <f t="shared" si="52"/>
        <v>0.61973057104296592</v>
      </c>
      <c r="S147" s="919">
        <f t="shared" si="53"/>
        <v>-1</v>
      </c>
      <c r="T147" s="176">
        <f t="shared" si="54"/>
        <v>5</v>
      </c>
      <c r="U147" s="251">
        <f t="shared" si="55"/>
        <v>-0.38026942895703403</v>
      </c>
      <c r="V147" s="383">
        <f t="shared" si="56"/>
        <v>57.567138401105801</v>
      </c>
      <c r="W147" s="402"/>
      <c r="X147" s="157">
        <f t="shared" si="57"/>
        <v>44329</v>
      </c>
      <c r="Y147" s="385">
        <f t="shared" si="58"/>
        <v>45.113509949809682</v>
      </c>
      <c r="Z147" s="385">
        <f t="shared" si="59"/>
        <v>46.199464389407382</v>
      </c>
      <c r="AA147" s="386">
        <f t="shared" si="60"/>
        <v>50.594089508076493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8.6860444794990985E-2</v>
      </c>
      <c r="AD147" s="231">
        <f>(INDEX(Models!$BJ147:$BT147,,AH147)*(1-AF147)+INDEX(Models!$BJ147:$BT147,,AH147+1)*AF147-ERP_i)*AE147*Ramure*Pc/MaxiM</f>
        <v>1.4968773559134129E-3</v>
      </c>
      <c r="AE147" s="305">
        <f t="shared" si="62"/>
        <v>0.7</v>
      </c>
      <c r="AF147" s="177">
        <f t="shared" si="63"/>
        <v>0.61973057104296592</v>
      </c>
      <c r="AG147" s="919">
        <f t="shared" si="71"/>
        <v>-1</v>
      </c>
      <c r="AH147" s="176">
        <f t="shared" si="64"/>
        <v>5</v>
      </c>
      <c r="AI147" s="225">
        <f t="shared" si="65"/>
        <v>-0.38026942895703403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8">
        <v>40.997</v>
      </c>
      <c r="C148" s="390"/>
      <c r="D148" s="393">
        <f t="shared" si="48"/>
        <v>41.984783026483456</v>
      </c>
      <c r="E148" s="385">
        <f t="shared" si="69"/>
        <v>42.435916270579916</v>
      </c>
      <c r="F148" s="385">
        <f t="shared" si="49"/>
        <v>42.475310324965363</v>
      </c>
      <c r="G148" s="110">
        <f t="shared" si="70"/>
        <v>0.71158650926755573</v>
      </c>
      <c r="H148" s="412" t="b">
        <f>Wh_hp&gt;='2020'!Maxi_hp</f>
        <v>0</v>
      </c>
      <c r="I148" s="380">
        <f>IF(H148,Wh_hp,'2020'!Maxi_hp)</f>
        <v>60.924968033525275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2.352716758975204E-2</v>
      </c>
      <c r="M148" s="957"/>
      <c r="N148" s="957"/>
      <c r="O148" s="48">
        <f>IF(t&lt;Tnet,'2020'!Resal+('2020'!Salim-'2020'!Resal)*(1-EXP(('2020'!Tnet-t)/('2020'!Tau_j))),Resal+(Salim-Resal)*(1-EXP((Tnet-t)/(Tau_j))))*Salcycl</f>
        <v>1.063092973461314E-2</v>
      </c>
      <c r="P148" s="169">
        <f>(INDEX(Models!$BJ148:$BT148,,T148)*(1-R148)+INDEX(Models!$BJ148:$BT148,,T148+1)*R148-ERP_i)*Q148*Ramure*Pc/MaxiM</f>
        <v>1.5755924255647883E-3</v>
      </c>
      <c r="Q148" s="305">
        <f t="shared" si="51"/>
        <v>0.7</v>
      </c>
      <c r="R148" s="177">
        <f t="shared" si="52"/>
        <v>0.62352886260856832</v>
      </c>
      <c r="S148" s="919">
        <f t="shared" si="53"/>
        <v>-1</v>
      </c>
      <c r="T148" s="176">
        <f t="shared" si="54"/>
        <v>5</v>
      </c>
      <c r="U148" s="251">
        <f t="shared" si="55"/>
        <v>-0.37647113739143168</v>
      </c>
      <c r="V148" s="383">
        <f t="shared" si="56"/>
        <v>57.576138980869985</v>
      </c>
      <c r="W148" s="402"/>
      <c r="X148" s="157">
        <f t="shared" si="57"/>
        <v>44330</v>
      </c>
      <c r="Y148" s="385">
        <f t="shared" si="58"/>
        <v>37.834536136144038</v>
      </c>
      <c r="Z148" s="385">
        <f t="shared" si="59"/>
        <v>38.746122657356757</v>
      </c>
      <c r="AA148" s="386">
        <f t="shared" si="60"/>
        <v>42.435916270579916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8.6949780692757855E-2</v>
      </c>
      <c r="AD148" s="231">
        <f>(INDEX(Models!$BJ148:$BT148,,AH148)*(1-AF148)+INDEX(Models!$BJ148:$BT148,,AH148+1)*AF148-ERP_i)*AE148*Ramure*Pc/MaxiM</f>
        <v>1.5755924255647883E-3</v>
      </c>
      <c r="AE148" s="305">
        <f t="shared" si="62"/>
        <v>0.7</v>
      </c>
      <c r="AF148" s="177">
        <f t="shared" si="63"/>
        <v>0.62352886260856832</v>
      </c>
      <c r="AG148" s="919">
        <f t="shared" si="71"/>
        <v>-1</v>
      </c>
      <c r="AH148" s="176">
        <f t="shared" si="64"/>
        <v>5</v>
      </c>
      <c r="AI148" s="225">
        <f t="shared" si="65"/>
        <v>-0.37647113739143168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8">
        <v>22.206</v>
      </c>
      <c r="C149" s="390"/>
      <c r="D149" s="393">
        <f t="shared" si="48"/>
        <v>22.741530170614599</v>
      </c>
      <c r="E149" s="385">
        <f t="shared" si="69"/>
        <v>22.988426338562714</v>
      </c>
      <c r="F149" s="385">
        <f t="shared" si="49"/>
        <v>22.993085871759277</v>
      </c>
      <c r="G149" s="110">
        <f t="shared" si="70"/>
        <v>0.38507695312514051</v>
      </c>
      <c r="H149" s="412" t="b">
        <f>Wh_hp&gt;='2020'!Maxi_hp</f>
        <v>0</v>
      </c>
      <c r="I149" s="380">
        <f>IF(H149,Wh_hp,'2020'!Maxi_hp)</f>
        <v>61.115724809852011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2.3548554850833292E-2</v>
      </c>
      <c r="M149" s="957"/>
      <c r="N149" s="957"/>
      <c r="O149" s="48">
        <f>IF(t&lt;Tnet,'2020'!Resal+('2020'!Salim-'2020'!Resal)*(1-EXP(('2020'!Tnet-t)/('2020'!Tau_j))),Resal+(Salim-Resal)*(1-EXP((Tnet-t)/(Tau_j))))*Salcycl</f>
        <v>1.0740020404700316E-2</v>
      </c>
      <c r="P149" s="169">
        <f>(INDEX(Models!$BJ149:$BT149,,T149)*(1-R149)+INDEX(Models!$BJ149:$BT149,,T149+1)*R149-ERP_i)*Q149*Ramure*Pc/MaxiM</f>
        <v>1.6564493442798364E-3</v>
      </c>
      <c r="Q149" s="305">
        <f t="shared" si="51"/>
        <v>0.7</v>
      </c>
      <c r="R149" s="177">
        <f t="shared" si="52"/>
        <v>0.62740665432360798</v>
      </c>
      <c r="S149" s="919">
        <f t="shared" si="53"/>
        <v>-1</v>
      </c>
      <c r="T149" s="176">
        <f t="shared" si="54"/>
        <v>5</v>
      </c>
      <c r="U149" s="251">
        <f t="shared" si="55"/>
        <v>-0.37259334567639202</v>
      </c>
      <c r="V149" s="383">
        <f t="shared" si="56"/>
        <v>57.58254341948291</v>
      </c>
      <c r="W149" s="402"/>
      <c r="X149" s="157">
        <f t="shared" si="57"/>
        <v>44331</v>
      </c>
      <c r="Y149" s="385">
        <f t="shared" si="58"/>
        <v>20.493292034391558</v>
      </c>
      <c r="Z149" s="385">
        <f t="shared" si="59"/>
        <v>20.987517747245406</v>
      </c>
      <c r="AA149" s="386">
        <f t="shared" si="60"/>
        <v>22.988426338562714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8.7039824381576675E-2</v>
      </c>
      <c r="AD149" s="231">
        <f>(INDEX(Models!$BJ149:$BT149,,AH149)*(1-AF149)+INDEX(Models!$BJ149:$BT149,,AH149+1)*AF149-ERP_i)*AE149*Ramure*Pc/MaxiM</f>
        <v>1.6564493442798364E-3</v>
      </c>
      <c r="AE149" s="305">
        <f t="shared" si="62"/>
        <v>0.7</v>
      </c>
      <c r="AF149" s="177">
        <f t="shared" si="63"/>
        <v>0.62740665432360798</v>
      </c>
      <c r="AG149" s="919">
        <f t="shared" si="71"/>
        <v>-1</v>
      </c>
      <c r="AH149" s="176">
        <f t="shared" si="64"/>
        <v>5</v>
      </c>
      <c r="AI149" s="225">
        <f t="shared" si="65"/>
        <v>-0.37259334567639202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8">
        <v>10.608000000000001</v>
      </c>
      <c r="C150" s="390"/>
      <c r="D150" s="393">
        <f t="shared" si="48"/>
        <v>10.864065387186931</v>
      </c>
      <c r="E150" s="385">
        <f t="shared" si="69"/>
        <v>10.983224954121411</v>
      </c>
      <c r="F150" s="385">
        <f t="shared" si="49"/>
        <v>10.983224954121411</v>
      </c>
      <c r="G150" s="110">
        <f t="shared" si="70"/>
        <v>0.18389253778418993</v>
      </c>
      <c r="H150" s="412" t="b">
        <f>Wh_hp&gt;='2020'!Maxi_hp</f>
        <v>0</v>
      </c>
      <c r="I150" s="380">
        <f>IF(H150,Wh_hp,'2020'!Maxi_hp)</f>
        <v>53.059049152756259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2.3569941643478587E-2</v>
      </c>
      <c r="M150" s="957"/>
      <c r="N150" s="957"/>
      <c r="O150" s="48">
        <f>IF(t&lt;Tnet,'2020'!Resal+('2020'!Salim-'2020'!Resal)*(1-EXP(('2020'!Tnet-t)/('2020'!Tau_j))),Resal+(Salim-Resal)*(1-EXP((Tnet-t)/(Tau_j))))*Salcycl</f>
        <v>1.0849233028753227E-2</v>
      </c>
      <c r="P150" s="169">
        <f>(INDEX(Models!$BJ150:$BT150,,T150)*(1-R150)+INDEX(Models!$BJ150:$BT150,,T150+1)*R150-ERP_i)*Q150*Ramure*Pc/MaxiM</f>
        <v>1.739352545034907E-3</v>
      </c>
      <c r="Q150" s="305">
        <f t="shared" si="51"/>
        <v>0.7</v>
      </c>
      <c r="R150" s="177">
        <f t="shared" si="52"/>
        <v>0.63136309178473404</v>
      </c>
      <c r="S150" s="919">
        <f t="shared" si="53"/>
        <v>-1</v>
      </c>
      <c r="T150" s="176">
        <f t="shared" si="54"/>
        <v>5</v>
      </c>
      <c r="U150" s="251">
        <f t="shared" si="55"/>
        <v>-0.36863690821526596</v>
      </c>
      <c r="V150" s="383">
        <f t="shared" si="56"/>
        <v>57.585528351508245</v>
      </c>
      <c r="W150" s="402"/>
      <c r="X150" s="157">
        <f t="shared" si="57"/>
        <v>44332</v>
      </c>
      <c r="Y150" s="385">
        <f t="shared" si="58"/>
        <v>9.7899326826986659</v>
      </c>
      <c r="Z150" s="385">
        <f t="shared" si="59"/>
        <v>10.026250829656549</v>
      </c>
      <c r="AA150" s="386">
        <f t="shared" si="60"/>
        <v>10.983224954121411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8.7130522088210552E-2</v>
      </c>
      <c r="AD150" s="231">
        <f>(INDEX(Models!$BJ150:$BT150,,AH150)*(1-AF150)+INDEX(Models!$BJ150:$BT150,,AH150+1)*AF150-ERP_i)*AE150*Ramure*Pc/MaxiM</f>
        <v>1.739352545034907E-3</v>
      </c>
      <c r="AE150" s="305">
        <f t="shared" si="62"/>
        <v>0.7</v>
      </c>
      <c r="AF150" s="177">
        <f t="shared" si="63"/>
        <v>0.63136309178473404</v>
      </c>
      <c r="AG150" s="919">
        <f t="shared" si="71"/>
        <v>-1</v>
      </c>
      <c r="AH150" s="176">
        <f t="shared" si="64"/>
        <v>5</v>
      </c>
      <c r="AI150" s="225">
        <f t="shared" si="65"/>
        <v>-0.36863690821526596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8">
        <v>52.828000000000003</v>
      </c>
      <c r="C151" s="390"/>
      <c r="D151" s="393">
        <f t="shared" si="48"/>
        <v>54.104394515509121</v>
      </c>
      <c r="E151" s="385">
        <f t="shared" si="69"/>
        <v>54.703870301685718</v>
      </c>
      <c r="F151" s="385">
        <f t="shared" si="49"/>
        <v>54.791999008272171</v>
      </c>
      <c r="G151" s="110">
        <f t="shared" si="70"/>
        <v>0.91719013240263447</v>
      </c>
      <c r="H151" s="412" t="b">
        <f>Wh_hp&gt;='2020'!Maxi_hp</f>
        <v>1</v>
      </c>
      <c r="I151" s="380">
        <f>IF(H151,Wh_hp,'2020'!Maxi_hp)</f>
        <v>54.791999008272171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2.3591327967698361E-2</v>
      </c>
      <c r="M151" s="957"/>
      <c r="N151" s="957"/>
      <c r="O151" s="48">
        <f>IF(t&lt;Tnet,'2020'!Resal+('2020'!Salim-'2020'!Resal)*(1-EXP(('2020'!Tnet-t)/('2020'!Tau_j))),Resal+(Salim-Resal)*(1-EXP((Tnet-t)/(Tau_j))))*Salcycl</f>
        <v>1.0958562581962821E-2</v>
      </c>
      <c r="P151" s="169">
        <f>(INDEX(Models!$BJ151:$BT151,,T151)*(1-R151)+INDEX(Models!$BJ151:$BT151,,T151+1)*R151-ERP_i)*Q151*Ramure*Pc/MaxiM</f>
        <v>1.8236445069903309E-3</v>
      </c>
      <c r="Q151" s="305">
        <f t="shared" si="51"/>
        <v>0.7</v>
      </c>
      <c r="R151" s="177">
        <f t="shared" si="52"/>
        <v>0.63539715014470788</v>
      </c>
      <c r="S151" s="919">
        <f t="shared" si="53"/>
        <v>-1</v>
      </c>
      <c r="T151" s="176">
        <f t="shared" si="54"/>
        <v>5</v>
      </c>
      <c r="U151" s="251">
        <f t="shared" si="55"/>
        <v>-0.36460284985529212</v>
      </c>
      <c r="V151" s="383">
        <f t="shared" si="56"/>
        <v>57.585237881290389</v>
      </c>
      <c r="W151" s="402"/>
      <c r="X151" s="157">
        <f t="shared" si="57"/>
        <v>44333</v>
      </c>
      <c r="Y151" s="385">
        <f t="shared" si="58"/>
        <v>48.754525347351922</v>
      </c>
      <c r="Z151" s="385">
        <f t="shared" si="59"/>
        <v>49.932499314937488</v>
      </c>
      <c r="AA151" s="386">
        <f t="shared" si="60"/>
        <v>54.703870301685718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8.7221817404045762E-2</v>
      </c>
      <c r="AD151" s="231">
        <f>(INDEX(Models!$BJ151:$BT151,,AH151)*(1-AF151)+INDEX(Models!$BJ151:$BT151,,AH151+1)*AF151-ERP_i)*AE151*Ramure*Pc/MaxiM</f>
        <v>1.8236445069903309E-3</v>
      </c>
      <c r="AE151" s="305">
        <f t="shared" si="62"/>
        <v>0.7</v>
      </c>
      <c r="AF151" s="177">
        <f t="shared" si="63"/>
        <v>0.63539715014470788</v>
      </c>
      <c r="AG151" s="919">
        <f t="shared" si="71"/>
        <v>-1</v>
      </c>
      <c r="AH151" s="176">
        <f t="shared" si="64"/>
        <v>5</v>
      </c>
      <c r="AI151" s="225">
        <f t="shared" si="65"/>
        <v>-0.36460284985529212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8">
        <v>35.96</v>
      </c>
      <c r="C152" s="390"/>
      <c r="D152" s="393">
        <f t="shared" si="48"/>
        <v>36.829647936955688</v>
      </c>
      <c r="E152" s="385">
        <f t="shared" si="69"/>
        <v>37.241840759268342</v>
      </c>
      <c r="F152" s="385">
        <f t="shared" si="49"/>
        <v>37.274833639234735</v>
      </c>
      <c r="G152" s="110">
        <f t="shared" si="70"/>
        <v>0.62386293485358824</v>
      </c>
      <c r="H152" s="412" t="b">
        <f>Wh_hp&gt;='2020'!Maxi_hp</f>
        <v>0</v>
      </c>
      <c r="I152" s="380">
        <f>IF(H152,Wh_hp,'2020'!Maxi_hp)</f>
        <v>59.62470514235855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2.3612713823502607E-2</v>
      </c>
      <c r="M152" s="957"/>
      <c r="N152" s="957"/>
      <c r="O152" s="48">
        <f>IF(t&lt;Tnet,'2020'!Resal+('2020'!Salim-'2020'!Resal)*(1-EXP(('2020'!Tnet-t)/('2020'!Tau_j))),Resal+(Salim-Resal)*(1-EXP((Tnet-t)/(Tau_j))))*Salcycl</f>
        <v>1.1068003458182159E-2</v>
      </c>
      <c r="P152" s="169">
        <f>(INDEX(Models!$BJ152:$BT152,,T152)*(1-R152)+INDEX(Models!$BJ152:$BT152,,T152+1)*R152-ERP_i)*Q152*Ramure*Pc/MaxiM</f>
        <v>1.9093417343730467E-3</v>
      </c>
      <c r="Q152" s="305">
        <f t="shared" si="51"/>
        <v>0.7</v>
      </c>
      <c r="R152" s="177">
        <f t="shared" si="52"/>
        <v>0.63950763036866498</v>
      </c>
      <c r="S152" s="919">
        <f t="shared" si="53"/>
        <v>-1</v>
      </c>
      <c r="T152" s="176">
        <f t="shared" si="54"/>
        <v>5</v>
      </c>
      <c r="U152" s="251">
        <f t="shared" si="55"/>
        <v>-0.36049236963133502</v>
      </c>
      <c r="V152" s="383">
        <f t="shared" si="56"/>
        <v>57.581777219999864</v>
      </c>
      <c r="W152" s="402"/>
      <c r="X152" s="157">
        <f t="shared" si="57"/>
        <v>44334</v>
      </c>
      <c r="Y152" s="385">
        <f t="shared" si="58"/>
        <v>33.187520689986272</v>
      </c>
      <c r="Z152" s="385">
        <f t="shared" si="59"/>
        <v>33.990119658304423</v>
      </c>
      <c r="AA152" s="386">
        <f t="shared" si="60"/>
        <v>37.241840759268342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8.731365138428783E-2</v>
      </c>
      <c r="AD152" s="231">
        <f>(INDEX(Models!$BJ152:$BT152,,AH152)*(1-AF152)+INDEX(Models!$BJ152:$BT152,,AH152+1)*AF152-ERP_i)*AE152*Ramure*Pc/MaxiM</f>
        <v>1.9093417343730467E-3</v>
      </c>
      <c r="AE152" s="305">
        <f t="shared" si="62"/>
        <v>0.7</v>
      </c>
      <c r="AF152" s="177">
        <f t="shared" si="63"/>
        <v>0.63950763036866498</v>
      </c>
      <c r="AG152" s="919">
        <f t="shared" si="71"/>
        <v>-1</v>
      </c>
      <c r="AH152" s="176">
        <f t="shared" si="64"/>
        <v>5</v>
      </c>
      <c r="AI152" s="225">
        <f t="shared" si="65"/>
        <v>-0.36049236963133502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8">
        <v>46.426000000000002</v>
      </c>
      <c r="C153" s="390"/>
      <c r="D153" s="393">
        <f t="shared" si="48"/>
        <v>47.549796610551986</v>
      </c>
      <c r="E153" s="385">
        <f t="shared" si="69"/>
        <v>48.087294726308571</v>
      </c>
      <c r="F153" s="385">
        <f t="shared" si="49"/>
        <v>48.156840979506072</v>
      </c>
      <c r="G153" s="110">
        <f t="shared" si="70"/>
        <v>0.80590741025437973</v>
      </c>
      <c r="H153" s="412" t="b">
        <f>Wh_hp&gt;='2020'!Maxi_hp</f>
        <v>0</v>
      </c>
      <c r="I153" s="380">
        <f>IF(H153,Wh_hp,'2020'!Maxi_hp)</f>
        <v>59.775748831066402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2.363409921090176E-2</v>
      </c>
      <c r="M153" s="957"/>
      <c r="N153" s="957"/>
      <c r="O153" s="48">
        <f>IF(t&lt;Tnet,'2020'!Resal+('2020'!Salim-'2020'!Resal)*(1-EXP(('2020'!Tnet-t)/('2020'!Tau_j))),Resal+(Salim-Resal)*(1-EXP((Tnet-t)/(Tau_j))))*Salcycl</f>
        <v>1.1177549471555446E-2</v>
      </c>
      <c r="P153" s="169">
        <f>(INDEX(Models!$BJ153:$BT153,,T153)*(1-R153)+INDEX(Models!$BJ153:$BT153,,T153+1)*R153-ERP_i)*Q153*Ramure*Pc/MaxiM</f>
        <v>1.9964574413586732E-3</v>
      </c>
      <c r="Q153" s="305">
        <f t="shared" si="51"/>
        <v>0.7</v>
      </c>
      <c r="R153" s="177">
        <f t="shared" si="52"/>
        <v>0.64369315613596145</v>
      </c>
      <c r="S153" s="919">
        <f t="shared" si="53"/>
        <v>-1</v>
      </c>
      <c r="T153" s="176">
        <f t="shared" si="54"/>
        <v>5</v>
      </c>
      <c r="U153" s="251">
        <f t="shared" si="55"/>
        <v>-0.35630684386403855</v>
      </c>
      <c r="V153" s="383">
        <f t="shared" si="56"/>
        <v>57.575251738186061</v>
      </c>
      <c r="W153" s="402"/>
      <c r="X153" s="157">
        <f t="shared" si="57"/>
        <v>44335</v>
      </c>
      <c r="Y153" s="385">
        <f t="shared" si="58"/>
        <v>42.847015411866515</v>
      </c>
      <c r="Z153" s="385">
        <f t="shared" si="59"/>
        <v>43.884178438879921</v>
      </c>
      <c r="AA153" s="386">
        <f t="shared" si="60"/>
        <v>48.087294726308571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8.7405962663337736E-2</v>
      </c>
      <c r="AD153" s="231">
        <f>(INDEX(Models!$BJ153:$BT153,,AH153)*(1-AF153)+INDEX(Models!$BJ153:$BT153,,AH153+1)*AF153-ERP_i)*AE153*Ramure*Pc/MaxiM</f>
        <v>1.9964574413586732E-3</v>
      </c>
      <c r="AE153" s="305">
        <f t="shared" si="62"/>
        <v>0.7</v>
      </c>
      <c r="AF153" s="177">
        <f t="shared" si="63"/>
        <v>0.64369315613596145</v>
      </c>
      <c r="AG153" s="919">
        <f t="shared" si="71"/>
        <v>-1</v>
      </c>
      <c r="AH153" s="176">
        <f t="shared" si="64"/>
        <v>5</v>
      </c>
      <c r="AI153" s="225">
        <f t="shared" si="65"/>
        <v>-0.35630684386403855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8">
        <v>59.480000000000004</v>
      </c>
      <c r="C154" s="390"/>
      <c r="D154" s="393">
        <f t="shared" si="48"/>
        <v>60.92111855310921</v>
      </c>
      <c r="E154" s="385">
        <f t="shared" si="69"/>
        <v>61.616597028833525</v>
      </c>
      <c r="F154" s="385">
        <f t="shared" si="49"/>
        <v>61.745336141235896</v>
      </c>
      <c r="G154" s="110">
        <f t="shared" si="70"/>
        <v>1.0332529752972122</v>
      </c>
      <c r="H154" s="412" t="b">
        <f>Wh_hp&gt;='2020'!Maxi_hp</f>
        <v>1</v>
      </c>
      <c r="I154" s="380">
        <f>IF(H154,Wh_hp,'2020'!Maxi_hp)</f>
        <v>61.745336141235896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2.3655484129906146E-2</v>
      </c>
      <c r="M154" s="957"/>
      <c r="N154" s="957"/>
      <c r="O154" s="48">
        <f>IF(t&lt;Tnet,'2020'!Resal+('2020'!Salim-'2020'!Resal)*(1-EXP(('2020'!Tnet-t)/('2020'!Tau_j))),Resal+(Salim-Resal)*(1-EXP((Tnet-t)/(Tau_j))))*Salcycl</f>
        <v>1.128719386107708E-2</v>
      </c>
      <c r="P154" s="169">
        <f>(INDEX(Models!$BJ154:$BT154,,T154)*(1-R154)+INDEX(Models!$BJ154:$BT154,,T154+1)*R154-ERP_i)*Q154*Ramure*Pc/MaxiM</f>
        <v>2.0850014016912479E-3</v>
      </c>
      <c r="Q154" s="305">
        <f t="shared" si="51"/>
        <v>0.7</v>
      </c>
      <c r="R154" s="177">
        <f t="shared" si="52"/>
        <v>0.64795217144362216</v>
      </c>
      <c r="S154" s="919">
        <f t="shared" si="53"/>
        <v>-1</v>
      </c>
      <c r="T154" s="176">
        <f t="shared" si="54"/>
        <v>5</v>
      </c>
      <c r="U154" s="251">
        <f t="shared" si="55"/>
        <v>-0.35204782855637784</v>
      </c>
      <c r="V154" s="383">
        <f t="shared" si="56"/>
        <v>57.565766972885569</v>
      </c>
      <c r="W154" s="402"/>
      <c r="X154" s="157">
        <f t="shared" si="57"/>
        <v>44336</v>
      </c>
      <c r="Y154" s="385">
        <f t="shared" si="58"/>
        <v>54.895190722083257</v>
      </c>
      <c r="Z154" s="385">
        <f t="shared" si="59"/>
        <v>56.225225655271934</v>
      </c>
      <c r="AA154" s="386">
        <f t="shared" si="60"/>
        <v>61.616597028833525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8.7498687586377077E-2</v>
      </c>
      <c r="AD154" s="231">
        <f>(INDEX(Models!$BJ154:$BT154,,AH154)*(1-AF154)+INDEX(Models!$BJ154:$BT154,,AH154+1)*AF154-ERP_i)*AE154*Ramure*Pc/MaxiM</f>
        <v>2.0850014016912479E-3</v>
      </c>
      <c r="AE154" s="305">
        <f t="shared" si="62"/>
        <v>0.7</v>
      </c>
      <c r="AF154" s="177">
        <f t="shared" si="63"/>
        <v>0.64795217144362216</v>
      </c>
      <c r="AG154" s="919">
        <f t="shared" si="71"/>
        <v>-1</v>
      </c>
      <c r="AH154" s="176">
        <f t="shared" si="64"/>
        <v>5</v>
      </c>
      <c r="AI154" s="225">
        <f t="shared" si="65"/>
        <v>-0.35204782855637784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8">
        <v>42.017000000000003</v>
      </c>
      <c r="C155" s="390"/>
      <c r="D155" s="393">
        <f t="shared" si="48"/>
        <v>43.035956690805406</v>
      </c>
      <c r="E155" s="385">
        <f t="shared" si="69"/>
        <v>43.532088829396486</v>
      </c>
      <c r="F155" s="385">
        <f t="shared" si="49"/>
        <v>43.590335143022493</v>
      </c>
      <c r="G155" s="110">
        <f t="shared" si="70"/>
        <v>0.72943891794369908</v>
      </c>
      <c r="H155" s="412" t="b">
        <f>Wh_hp&gt;='2020'!Maxi_hp</f>
        <v>0</v>
      </c>
      <c r="I155" s="380">
        <f>IF(H155,Wh_hp,'2020'!Maxi_hp)</f>
        <v>58.246676654523853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2.3676868580525867E-2</v>
      </c>
      <c r="M155" s="957"/>
      <c r="N155" s="957"/>
      <c r="O155" s="48">
        <f>IF(t&lt;Tnet,'2020'!Resal+('2020'!Salim-'2020'!Resal)*(1-EXP(('2020'!Tnet-t)/('2020'!Tau_j))),Resal+(Salim-Resal)*(1-EXP((Tnet-t)/(Tau_j))))*Salcycl</f>
        <v>1.1396929298188283E-2</v>
      </c>
      <c r="P155" s="169">
        <f>(INDEX(Models!$BJ155:$BT155,,T155)*(1-R155)+INDEX(Models!$BJ155:$BT155,,T155+1)*R155-ERP_i)*Q155*Ramure*Pc/MaxiM</f>
        <v>2.1749798048317079E-3</v>
      </c>
      <c r="Q155" s="305">
        <f t="shared" si="51"/>
        <v>0.7</v>
      </c>
      <c r="R155" s="177">
        <f t="shared" si="52"/>
        <v>0.65228293896456502</v>
      </c>
      <c r="S155" s="919">
        <f t="shared" si="53"/>
        <v>-1</v>
      </c>
      <c r="T155" s="176">
        <f t="shared" si="54"/>
        <v>5</v>
      </c>
      <c r="U155" s="251">
        <f t="shared" si="55"/>
        <v>-0.34771706103543498</v>
      </c>
      <c r="V155" s="383">
        <f t="shared" si="56"/>
        <v>57.553428638061568</v>
      </c>
      <c r="W155" s="402"/>
      <c r="X155" s="157">
        <f t="shared" si="57"/>
        <v>44337</v>
      </c>
      <c r="Y155" s="385">
        <f t="shared" si="58"/>
        <v>38.778614128582937</v>
      </c>
      <c r="Z155" s="385">
        <f t="shared" si="59"/>
        <v>39.719036536810094</v>
      </c>
      <c r="AA155" s="386">
        <f t="shared" si="60"/>
        <v>43.532088829396486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8.7591760357051865E-2</v>
      </c>
      <c r="AD155" s="231">
        <f>(INDEX(Models!$BJ155:$BT155,,AH155)*(1-AF155)+INDEX(Models!$BJ155:$BT155,,AH155+1)*AF155-ERP_i)*AE155*Ramure*Pc/MaxiM</f>
        <v>2.1749798048317079E-3</v>
      </c>
      <c r="AE155" s="305">
        <f t="shared" si="62"/>
        <v>0.7</v>
      </c>
      <c r="AF155" s="177">
        <f t="shared" si="63"/>
        <v>0.65228293896456502</v>
      </c>
      <c r="AG155" s="919">
        <f t="shared" si="71"/>
        <v>-1</v>
      </c>
      <c r="AH155" s="176">
        <f t="shared" si="64"/>
        <v>5</v>
      </c>
      <c r="AI155" s="225">
        <f t="shared" si="65"/>
        <v>-0.34771706103543498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8">
        <v>33.207000000000001</v>
      </c>
      <c r="C156" s="390"/>
      <c r="D156" s="393">
        <f t="shared" si="48"/>
        <v>34.013049845672882</v>
      </c>
      <c r="E156" s="385">
        <f t="shared" si="69"/>
        <v>34.408985365684515</v>
      </c>
      <c r="F156" s="385">
        <f t="shared" si="49"/>
        <v>34.439891195354122</v>
      </c>
      <c r="G156" s="110">
        <f t="shared" si="70"/>
        <v>0.57633739388382088</v>
      </c>
      <c r="H156" s="412" t="b">
        <f>Wh_hp&gt;='2020'!Maxi_hp</f>
        <v>0</v>
      </c>
      <c r="I156" s="380">
        <f>IF(H156,Wh_hp,'2020'!Maxi_hp)</f>
        <v>58.677512490213942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2.3698252562771138E-2</v>
      </c>
      <c r="M156" s="957"/>
      <c r="N156" s="957"/>
      <c r="O156" s="48">
        <f>IF(t&lt;Tnet,'2020'!Resal+('2020'!Salim-'2020'!Resal)*(1-EXP(('2020'!Tnet-t)/('2020'!Tau_j))),Resal+(Salim-Resal)*(1-EXP((Tnet-t)/(Tau_j))))*Salcycl</f>
        <v>1.150674789749807E-2</v>
      </c>
      <c r="P156" s="169">
        <f>(INDEX(Models!$BJ156:$BT156,,T156)*(1-R156)+INDEX(Models!$BJ156:$BT156,,T156+1)*R156-ERP_i)*Q156*Ramure*Pc/MaxiM</f>
        <v>2.2667085042119553E-3</v>
      </c>
      <c r="Q156" s="305">
        <f t="shared" si="51"/>
        <v>0.7</v>
      </c>
      <c r="R156" s="177">
        <f t="shared" si="52"/>
        <v>0.65668353921012057</v>
      </c>
      <c r="S156" s="919">
        <f t="shared" si="53"/>
        <v>-1</v>
      </c>
      <c r="T156" s="176">
        <f t="shared" si="54"/>
        <v>5</v>
      </c>
      <c r="U156" s="251">
        <f t="shared" si="55"/>
        <v>-0.34331646078987943</v>
      </c>
      <c r="V156" s="383">
        <f t="shared" si="56"/>
        <v>57.538324552425578</v>
      </c>
      <c r="W156" s="402"/>
      <c r="X156" s="157">
        <f t="shared" si="57"/>
        <v>44338</v>
      </c>
      <c r="Y156" s="385">
        <f t="shared" si="58"/>
        <v>30.647898082760914</v>
      </c>
      <c r="Z156" s="385">
        <f t="shared" si="59"/>
        <v>31.391829588762889</v>
      </c>
      <c r="AA156" s="386">
        <f t="shared" si="60"/>
        <v>34.408985365684515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8.7685113201000753E-2</v>
      </c>
      <c r="AD156" s="231">
        <f>(INDEX(Models!$BJ156:$BT156,,AH156)*(1-AF156)+INDEX(Models!$BJ156:$BT156,,AH156+1)*AF156-ERP_i)*AE156*Ramure*Pc/MaxiM</f>
        <v>2.2667085042119553E-3</v>
      </c>
      <c r="AE156" s="305">
        <f t="shared" si="62"/>
        <v>0.7</v>
      </c>
      <c r="AF156" s="177">
        <f t="shared" si="63"/>
        <v>0.65668353921012057</v>
      </c>
      <c r="AG156" s="919">
        <f t="shared" si="71"/>
        <v>-1</v>
      </c>
      <c r="AH156" s="176">
        <f t="shared" si="64"/>
        <v>5</v>
      </c>
      <c r="AI156" s="225">
        <f t="shared" si="65"/>
        <v>-0.34331646078987943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8">
        <v>39.746000000000002</v>
      </c>
      <c r="C157" s="390"/>
      <c r="D157" s="393">
        <f t="shared" si="48"/>
        <v>40.711665899203368</v>
      </c>
      <c r="E157" s="385">
        <f t="shared" si="69"/>
        <v>41.190157177368718</v>
      </c>
      <c r="F157" s="385">
        <f t="shared" si="49"/>
        <v>41.244528222136665</v>
      </c>
      <c r="G157" s="110">
        <f t="shared" si="70"/>
        <v>0.69026679184472983</v>
      </c>
      <c r="H157" s="412" t="b">
        <f>Wh_hp&gt;='2020'!Maxi_hp</f>
        <v>0</v>
      </c>
      <c r="I157" s="380">
        <f>IF(H157,Wh_hp,'2020'!Maxi_hp)</f>
        <v>53.955691624579302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2.3719636076652395E-2</v>
      </c>
      <c r="M157" s="957"/>
      <c r="N157" s="957"/>
      <c r="O157" s="48">
        <f>IF(t&lt;Tnet,'2020'!Resal+('2020'!Salim-'2020'!Resal)*(1-EXP(('2020'!Tnet-t)/('2020'!Tau_j))),Resal+(Salim-Resal)*(1-EXP((Tnet-t)/(Tau_j))))*Salcycl</f>
        <v>1.1616641230693061E-2</v>
      </c>
      <c r="P157" s="169">
        <f>(INDEX(Models!$BJ157:$BT157,,T157)*(1-R157)+INDEX(Models!$BJ157:$BT157,,T157+1)*R157-ERP_i)*Q157*Ramure*Pc/MaxiM</f>
        <v>2.3601321696435505E-3</v>
      </c>
      <c r="Q157" s="305">
        <f t="shared" si="51"/>
        <v>0.7</v>
      </c>
      <c r="R157" s="177">
        <f t="shared" si="52"/>
        <v>0.66115187054189295</v>
      </c>
      <c r="S157" s="919">
        <f t="shared" si="53"/>
        <v>-1</v>
      </c>
      <c r="T157" s="176">
        <f t="shared" si="54"/>
        <v>5</v>
      </c>
      <c r="U157" s="251">
        <f t="shared" si="55"/>
        <v>-0.33884812945810705</v>
      </c>
      <c r="V157" s="383">
        <f t="shared" si="56"/>
        <v>57.520563915443972</v>
      </c>
      <c r="W157" s="402"/>
      <c r="X157" s="157">
        <f t="shared" si="57"/>
        <v>44339</v>
      </c>
      <c r="Y157" s="385">
        <f t="shared" si="58"/>
        <v>36.683285286384326</v>
      </c>
      <c r="Z157" s="385">
        <f t="shared" si="59"/>
        <v>37.574539693665805</v>
      </c>
      <c r="AA157" s="386">
        <f t="shared" si="60"/>
        <v>41.190157177368718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8.7778676544828863E-2</v>
      </c>
      <c r="AD157" s="231">
        <f>(INDEX(Models!$BJ157:$BT157,,AH157)*(1-AF157)+INDEX(Models!$BJ157:$BT157,,AH157+1)*AF157-ERP_i)*AE157*Ramure*Pc/MaxiM</f>
        <v>2.3601321696435505E-3</v>
      </c>
      <c r="AE157" s="305">
        <f t="shared" si="62"/>
        <v>0.7</v>
      </c>
      <c r="AF157" s="177">
        <f t="shared" si="63"/>
        <v>0.66115187054189295</v>
      </c>
      <c r="AG157" s="919">
        <f t="shared" si="71"/>
        <v>-1</v>
      </c>
      <c r="AH157" s="176">
        <f t="shared" si="64"/>
        <v>5</v>
      </c>
      <c r="AI157" s="225">
        <f t="shared" si="65"/>
        <v>-0.33884812945810705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8">
        <v>24.852</v>
      </c>
      <c r="C158" s="390"/>
      <c r="D158" s="393">
        <f t="shared" si="48"/>
        <v>25.456359927827648</v>
      </c>
      <c r="E158" s="385">
        <f t="shared" si="69"/>
        <v>25.75841860833269</v>
      </c>
      <c r="F158" s="385">
        <f t="shared" si="49"/>
        <v>25.770368698840517</v>
      </c>
      <c r="G158" s="110">
        <f t="shared" si="70"/>
        <v>0.43134564131307435</v>
      </c>
      <c r="H158" s="412" t="b">
        <f>Wh_hp&gt;='2020'!Maxi_hp</f>
        <v>1</v>
      </c>
      <c r="I158" s="380">
        <f>IF(H158,Wh_hp,'2020'!Maxi_hp)</f>
        <v>25.770368698840517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2.3741019122179852E-2</v>
      </c>
      <c r="M158" s="957"/>
      <c r="N158" s="957"/>
      <c r="O158" s="48">
        <f>IF(t&lt;Tnet,'2020'!Resal+('2020'!Salim-'2020'!Resal)*(1-EXP(('2020'!Tnet-t)/('2020'!Tau_j))),Resal+(Salim-Resal)*(1-EXP((Tnet-t)/(Tau_j))))*Salcycl</f>
        <v>1.172660034367666E-2</v>
      </c>
      <c r="P158" s="169">
        <f>(INDEX(Models!$BJ158:$BT158,,T158)*(1-R158)+INDEX(Models!$BJ158:$BT158,,T158+1)*R158-ERP_i)*Q158*Ramure*Pc/MaxiM</f>
        <v>2.4552449686065206E-3</v>
      </c>
      <c r="Q158" s="305">
        <f t="shared" si="51"/>
        <v>0.7</v>
      </c>
      <c r="R158" s="177">
        <f t="shared" si="52"/>
        <v>0.6656856500727224</v>
      </c>
      <c r="S158" s="919">
        <f t="shared" si="53"/>
        <v>-1</v>
      </c>
      <c r="T158" s="176">
        <f t="shared" si="54"/>
        <v>5</v>
      </c>
      <c r="U158" s="251">
        <f t="shared" si="55"/>
        <v>-0.3343143499272776</v>
      </c>
      <c r="V158" s="383">
        <f t="shared" si="56"/>
        <v>57.500253033209667</v>
      </c>
      <c r="W158" s="402"/>
      <c r="X158" s="157">
        <f t="shared" si="57"/>
        <v>44340</v>
      </c>
      <c r="Y158" s="385">
        <f t="shared" si="58"/>
        <v>22.93717066528</v>
      </c>
      <c r="Z158" s="385">
        <f t="shared" si="59"/>
        <v>23.494965080531856</v>
      </c>
      <c r="AA158" s="386">
        <f t="shared" si="60"/>
        <v>25.75841860833269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8.78723792099807E-2</v>
      </c>
      <c r="AD158" s="231">
        <f>(INDEX(Models!$BJ158:$BT158,,AH158)*(1-AF158)+INDEX(Models!$BJ158:$BT158,,AH158+1)*AF158-ERP_i)*AE158*Ramure*Pc/MaxiM</f>
        <v>2.4552449686065206E-3</v>
      </c>
      <c r="AE158" s="305">
        <f t="shared" si="62"/>
        <v>0.7</v>
      </c>
      <c r="AF158" s="177">
        <f t="shared" si="63"/>
        <v>0.6656856500727224</v>
      </c>
      <c r="AG158" s="919">
        <f t="shared" si="71"/>
        <v>-1</v>
      </c>
      <c r="AH158" s="176">
        <f t="shared" si="64"/>
        <v>5</v>
      </c>
      <c r="AI158" s="225">
        <f t="shared" si="65"/>
        <v>-0.3343143499272776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8">
        <v>53.055</v>
      </c>
      <c r="C159" s="390"/>
      <c r="D159" s="393">
        <f t="shared" si="48"/>
        <v>54.346401011756051</v>
      </c>
      <c r="E159" s="385">
        <f t="shared" si="69"/>
        <v>54.99738391388226</v>
      </c>
      <c r="F159" s="385">
        <f t="shared" si="49"/>
        <v>55.122596698708996</v>
      </c>
      <c r="G159" s="110">
        <f t="shared" si="70"/>
        <v>0.92279736306229521</v>
      </c>
      <c r="H159" s="412" t="b">
        <f>Wh_hp&gt;='2020'!Maxi_hp</f>
        <v>1</v>
      </c>
      <c r="I159" s="380">
        <f>IF(H159,Wh_hp,'2020'!Maxi_hp)</f>
        <v>55.122596698708996</v>
      </c>
      <c r="J159" s="85">
        <f>IF(H159,An,'2020'!An_max)</f>
        <v>2021</v>
      </c>
      <c r="K159" s="197">
        <f t="shared" si="50"/>
        <v>44341</v>
      </c>
      <c r="L159" s="147">
        <f>IF(t&lt;Tvie,1-EXP((T0-t)*PertePVj)+'2020'!Pspv,1-EXP((T0-t)*PertePVj)+Pspv)</f>
        <v>2.3762401699363722E-2</v>
      </c>
      <c r="M159" s="957"/>
      <c r="N159" s="957"/>
      <c r="O159" s="48">
        <f>IF(t&lt;Tnet,'2020'!Resal+('2020'!Salim-'2020'!Resal)*(1-EXP(('2020'!Tnet-t)/('2020'!Tau_j))),Resal+(Salim-Resal)*(1-EXP((Tnet-t)/(Tau_j))))*Salcycl</f>
        <v>1.1836615776953144E-2</v>
      </c>
      <c r="P159" s="169">
        <f>(INDEX(Models!$BJ159:$BT159,,T159)*(1-R159)+INDEX(Models!$BJ159:$BT159,,T159+1)*R159-ERP_i)*Q159*Ramure*Pc/MaxiM</f>
        <v>2.5520509817155016E-3</v>
      </c>
      <c r="Q159" s="305">
        <f t="shared" si="51"/>
        <v>0.7</v>
      </c>
      <c r="R159" s="177">
        <f t="shared" si="52"/>
        <v>0.67028241549043954</v>
      </c>
      <c r="S159" s="919">
        <f t="shared" si="53"/>
        <v>-1</v>
      </c>
      <c r="T159" s="176">
        <f t="shared" si="54"/>
        <v>5</v>
      </c>
      <c r="U159" s="251">
        <f t="shared" si="55"/>
        <v>-0.32971758450956046</v>
      </c>
      <c r="V159" s="383">
        <f t="shared" si="56"/>
        <v>57.477497601825732</v>
      </c>
      <c r="W159" s="402"/>
      <c r="X159" s="157">
        <f t="shared" si="57"/>
        <v>44341</v>
      </c>
      <c r="Y159" s="385">
        <f t="shared" si="58"/>
        <v>48.967566252181939</v>
      </c>
      <c r="Z159" s="385">
        <f t="shared" si="59"/>
        <v>50.159475866757369</v>
      </c>
      <c r="AA159" s="386">
        <f t="shared" si="60"/>
        <v>54.99738391388226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8.7966148620820514E-2</v>
      </c>
      <c r="AD159" s="231">
        <f>(INDEX(Models!$BJ159:$BT159,,AH159)*(1-AF159)+INDEX(Models!$BJ159:$BT159,,AH159+1)*AF159-ERP_i)*AE159*Ramure*Pc/MaxiM</f>
        <v>2.5520509817155016E-3</v>
      </c>
      <c r="AE159" s="305">
        <f t="shared" si="62"/>
        <v>0.7</v>
      </c>
      <c r="AF159" s="177">
        <f t="shared" si="63"/>
        <v>0.67028241549043954</v>
      </c>
      <c r="AG159" s="919">
        <f t="shared" si="71"/>
        <v>-1</v>
      </c>
      <c r="AH159" s="176">
        <f t="shared" si="64"/>
        <v>5</v>
      </c>
      <c r="AI159" s="225">
        <f t="shared" si="65"/>
        <v>-0.32971758450956046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8">
        <v>52.063000000000002</v>
      </c>
      <c r="C160" s="390"/>
      <c r="D160" s="393">
        <f t="shared" si="48"/>
        <v>53.331423035664663</v>
      </c>
      <c r="E160" s="385">
        <f t="shared" si="69"/>
        <v>53.976260011495285</v>
      </c>
      <c r="F160" s="385">
        <f t="shared" si="49"/>
        <v>54.100439613760074</v>
      </c>
      <c r="G160" s="110">
        <f t="shared" si="70"/>
        <v>0.90587097566139052</v>
      </c>
      <c r="H160" s="412" t="b">
        <f>Wh_hp&gt;='2020'!Maxi_hp</f>
        <v>0</v>
      </c>
      <c r="I160" s="380">
        <f>IF(H160,Wh_hp,'2020'!Maxi_hp)</f>
        <v>58.823190702914935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2.3783783808214221E-2</v>
      </c>
      <c r="M160" s="957"/>
      <c r="N160" s="957"/>
      <c r="O160" s="48">
        <f>IF(t&lt;Tnet,'2020'!Resal+('2020'!Salim-'2020'!Resal)*(1-EXP(('2020'!Tnet-t)/('2020'!Tau_j))),Resal+(Salim-Resal)*(1-EXP((Tnet-t)/(Tau_j))))*Salcycl</f>
        <v>1.1946677589245537E-2</v>
      </c>
      <c r="P160" s="169">
        <f>(INDEX(Models!$BJ160:$BT160,,T160)*(1-R160)+INDEX(Models!$BJ160:$BT160,,T160+1)*R160-ERP_i)*Q160*Ramure*Pc/MaxiM</f>
        <v>2.6505510148728865E-3</v>
      </c>
      <c r="Q160" s="305">
        <f t="shared" si="51"/>
        <v>0.7</v>
      </c>
      <c r="R160" s="177">
        <f t="shared" si="52"/>
        <v>0.67493952783127187</v>
      </c>
      <c r="S160" s="919">
        <f t="shared" si="53"/>
        <v>-1</v>
      </c>
      <c r="T160" s="176">
        <f t="shared" si="54"/>
        <v>5</v>
      </c>
      <c r="U160" s="251">
        <f t="shared" si="55"/>
        <v>-0.32506047216872813</v>
      </c>
      <c r="V160" s="383">
        <f t="shared" si="56"/>
        <v>57.45240346057593</v>
      </c>
      <c r="W160" s="402"/>
      <c r="X160" s="157">
        <f t="shared" si="57"/>
        <v>44342</v>
      </c>
      <c r="Y160" s="385">
        <f t="shared" si="58"/>
        <v>48.052403423335925</v>
      </c>
      <c r="Z160" s="385">
        <f t="shared" si="59"/>
        <v>49.223115357362218</v>
      </c>
      <c r="AA160" s="386">
        <f t="shared" si="60"/>
        <v>53.976260011495285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8.8059911026084181E-2</v>
      </c>
      <c r="AD160" s="231">
        <f>(INDEX(Models!$BJ160:$BT160,,AH160)*(1-AF160)+INDEX(Models!$BJ160:$BT160,,AH160+1)*AF160-ERP_i)*AE160*Ramure*Pc/MaxiM</f>
        <v>2.6505510148728865E-3</v>
      </c>
      <c r="AE160" s="305">
        <f t="shared" si="62"/>
        <v>0.7</v>
      </c>
      <c r="AF160" s="177">
        <f t="shared" si="63"/>
        <v>0.67493952783127187</v>
      </c>
      <c r="AG160" s="919">
        <f t="shared" si="71"/>
        <v>-1</v>
      </c>
      <c r="AH160" s="176">
        <f t="shared" si="64"/>
        <v>5</v>
      </c>
      <c r="AI160" s="225">
        <f t="shared" si="65"/>
        <v>-0.32506047216872813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8">
        <v>58.239000000000004</v>
      </c>
      <c r="C161" s="390"/>
      <c r="D161" s="393">
        <f t="shared" si="48"/>
        <v>59.659197056468315</v>
      </c>
      <c r="E161" s="385">
        <f t="shared" si="69"/>
        <v>60.387272841185471</v>
      </c>
      <c r="F161" s="385">
        <f t="shared" si="49"/>
        <v>60.55384086599669</v>
      </c>
      <c r="G161" s="110">
        <f t="shared" si="70"/>
        <v>1.0141736581096534</v>
      </c>
      <c r="H161" s="412" t="b">
        <f>Wh_hp&gt;='2020'!Maxi_hp</f>
        <v>1</v>
      </c>
      <c r="I161" s="380">
        <f>IF(H161,Wh_hp,'2020'!Maxi_hp)</f>
        <v>60.55384086599669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2.3805165448741672E-2</v>
      </c>
      <c r="M161" s="957"/>
      <c r="N161" s="957"/>
      <c r="O161" s="48">
        <f>IF(t&lt;Tnet,'2020'!Resal+('2020'!Salim-'2020'!Resal)*(1-EXP(('2020'!Tnet-t)/('2020'!Tau_j))),Resal+(Salim-Resal)*(1-EXP((Tnet-t)/(Tau_j))))*Salcycl</f>
        <v>1.205677538430896E-2</v>
      </c>
      <c r="P161" s="169">
        <f>(INDEX(Models!$BJ161:$BT161,,T161)*(1-R161)+INDEX(Models!$BJ161:$BT161,,T161+1)*R161-ERP_i)*Q161*Ramure*Pc/MaxiM</f>
        <v>2.7507425198647247E-3</v>
      </c>
      <c r="Q161" s="305">
        <f t="shared" si="51"/>
        <v>0.7</v>
      </c>
      <c r="R161" s="177">
        <f t="shared" si="52"/>
        <v>0.67965417522224769</v>
      </c>
      <c r="S161" s="919">
        <f t="shared" si="53"/>
        <v>-1</v>
      </c>
      <c r="T161" s="176">
        <f t="shared" si="54"/>
        <v>5</v>
      </c>
      <c r="U161" s="251">
        <f t="shared" si="55"/>
        <v>-0.32034582477775231</v>
      </c>
      <c r="V161" s="383">
        <f t="shared" si="56"/>
        <v>57.425076597387971</v>
      </c>
      <c r="W161" s="402"/>
      <c r="X161" s="157">
        <f t="shared" si="57"/>
        <v>44343</v>
      </c>
      <c r="Y161" s="385">
        <f t="shared" si="58"/>
        <v>53.753112170727796</v>
      </c>
      <c r="Z161" s="385">
        <f t="shared" si="59"/>
        <v>55.063917845290867</v>
      </c>
      <c r="AA161" s="386">
        <f t="shared" si="60"/>
        <v>60.387272841185471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8.8153591732726105E-2</v>
      </c>
      <c r="AD161" s="231">
        <f>(INDEX(Models!$BJ161:$BT161,,AH161)*(1-AF161)+INDEX(Models!$BJ161:$BT161,,AH161+1)*AF161-ERP_i)*AE161*Ramure*Pc/MaxiM</f>
        <v>2.7507425198647247E-3</v>
      </c>
      <c r="AE161" s="305">
        <f t="shared" si="62"/>
        <v>0.7</v>
      </c>
      <c r="AF161" s="177">
        <f t="shared" si="63"/>
        <v>0.67965417522224769</v>
      </c>
      <c r="AG161" s="919">
        <f t="shared" si="71"/>
        <v>-1</v>
      </c>
      <c r="AH161" s="176">
        <f t="shared" si="64"/>
        <v>5</v>
      </c>
      <c r="AI161" s="225">
        <f t="shared" si="65"/>
        <v>-0.32034582477775231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8">
        <v>48.469000000000001</v>
      </c>
      <c r="C162" s="390"/>
      <c r="D162" s="393">
        <f t="shared" si="48"/>
        <v>49.652036564018012</v>
      </c>
      <c r="E162" s="385">
        <f t="shared" si="69"/>
        <v>50.263588535982805</v>
      </c>
      <c r="F162" s="385">
        <f t="shared" si="49"/>
        <v>50.375362226355634</v>
      </c>
      <c r="G162" s="110">
        <f t="shared" si="70"/>
        <v>0.84393563897452994</v>
      </c>
      <c r="H162" s="412" t="b">
        <f>Wh_hp&gt;='2020'!Maxi_hp</f>
        <v>0</v>
      </c>
      <c r="I162" s="380">
        <f>IF(H162,Wh_hp,'2020'!Maxi_hp)</f>
        <v>57.676626455771242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2.3826546620956401E-2</v>
      </c>
      <c r="M162" s="957"/>
      <c r="N162" s="957"/>
      <c r="O162" s="48">
        <f>IF(t&lt;Tnet,'2020'!Resal+('2020'!Salim-'2020'!Resal)*(1-EXP(('2020'!Tnet-t)/('2020'!Tau_j))),Resal+(Salim-Resal)*(1-EXP((Tnet-t)/(Tau_j))))*Salcycl</f>
        <v>1.2166898340873502E-2</v>
      </c>
      <c r="P162" s="169">
        <f>(INDEX(Models!$BJ162:$BT162,,T162)*(1-R162)+INDEX(Models!$BJ162:$BT162,,T162+1)*R162-ERP_i)*Q162*Ramure*Pc/MaxiM</f>
        <v>2.8526195294602905E-3</v>
      </c>
      <c r="Q162" s="305">
        <f t="shared" si="51"/>
        <v>0.7</v>
      </c>
      <c r="R162" s="177">
        <f t="shared" si="52"/>
        <v>0.68442337760379002</v>
      </c>
      <c r="S162" s="919">
        <f t="shared" si="53"/>
        <v>-1</v>
      </c>
      <c r="T162" s="176">
        <f t="shared" si="54"/>
        <v>5</v>
      </c>
      <c r="U162" s="251">
        <f t="shared" si="55"/>
        <v>-0.31557662239620993</v>
      </c>
      <c r="V162" s="383">
        <f t="shared" si="56"/>
        <v>57.39562314482184</v>
      </c>
      <c r="W162" s="402"/>
      <c r="X162" s="157">
        <f t="shared" si="57"/>
        <v>44344</v>
      </c>
      <c r="Y162" s="385">
        <f t="shared" si="58"/>
        <v>44.73604953288887</v>
      </c>
      <c r="Z162" s="385">
        <f t="shared" si="59"/>
        <v>45.827971840490186</v>
      </c>
      <c r="AA162" s="386">
        <f t="shared" si="60"/>
        <v>50.263588535982805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8.8247115351050537E-2</v>
      </c>
      <c r="AD162" s="231">
        <f>(INDEX(Models!$BJ162:$BT162,,AH162)*(1-AF162)+INDEX(Models!$BJ162:$BT162,,AH162+1)*AF162-ERP_i)*AE162*Ramure*Pc/MaxiM</f>
        <v>2.8526195294602905E-3</v>
      </c>
      <c r="AE162" s="305">
        <f t="shared" si="62"/>
        <v>0.7</v>
      </c>
      <c r="AF162" s="177">
        <f t="shared" si="63"/>
        <v>0.68442337760379002</v>
      </c>
      <c r="AG162" s="919">
        <f t="shared" si="71"/>
        <v>-1</v>
      </c>
      <c r="AH162" s="176">
        <f t="shared" si="64"/>
        <v>5</v>
      </c>
      <c r="AI162" s="225">
        <f t="shared" si="65"/>
        <v>-0.31557662239620993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8">
        <v>34.067999999999998</v>
      </c>
      <c r="C163" s="390"/>
      <c r="D163" s="393">
        <f t="shared" si="48"/>
        <v>34.900299813570143</v>
      </c>
      <c r="E163" s="385">
        <f t="shared" si="69"/>
        <v>35.334097777354998</v>
      </c>
      <c r="F163" s="385">
        <f t="shared" si="49"/>
        <v>35.378006503992104</v>
      </c>
      <c r="G163" s="110">
        <f t="shared" si="70"/>
        <v>0.592870637303201</v>
      </c>
      <c r="H163" s="412" t="b">
        <f>Wh_hp&gt;='2020'!Maxi_hp</f>
        <v>0</v>
      </c>
      <c r="I163" s="380">
        <f>IF(H163,Wh_hp,'2020'!Maxi_hp)</f>
        <v>57.93436210419744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2.3847927324868512E-2</v>
      </c>
      <c r="M163" s="957"/>
      <c r="N163" s="957"/>
      <c r="O163" s="48">
        <f>IF(t&lt;Tnet,'2020'!Resal+('2020'!Salim-'2020'!Resal)*(1-EXP(('2020'!Tnet-t)/('2020'!Tau_j))),Resal+(Salim-Resal)*(1-EXP((Tnet-t)/(Tau_j))))*Salcycl</f>
        <v>1.2277035245622257E-2</v>
      </c>
      <c r="P163" s="169">
        <f>(INDEX(Models!$BJ163:$BT163,,T163)*(1-R163)+INDEX(Models!$BJ163:$BT163,,T163+1)*R163-ERP_i)*Q163*Ramure*Pc/MaxiM</f>
        <v>2.9561743857922651E-3</v>
      </c>
      <c r="Q163" s="305">
        <f t="shared" si="51"/>
        <v>0.7</v>
      </c>
      <c r="R163" s="177">
        <f t="shared" si="52"/>
        <v>0.689243992435012</v>
      </c>
      <c r="S163" s="919">
        <f t="shared" si="53"/>
        <v>-1</v>
      </c>
      <c r="T163" s="176">
        <f t="shared" si="54"/>
        <v>5</v>
      </c>
      <c r="U163" s="251">
        <f t="shared" si="55"/>
        <v>-0.31075600756498795</v>
      </c>
      <c r="V163" s="383">
        <f t="shared" si="56"/>
        <v>57.364114769055803</v>
      </c>
      <c r="W163" s="402"/>
      <c r="X163" s="157">
        <f t="shared" si="57"/>
        <v>44345</v>
      </c>
      <c r="Y163" s="385">
        <f t="shared" si="58"/>
        <v>31.444463837505197</v>
      </c>
      <c r="Z163" s="385">
        <f t="shared" si="59"/>
        <v>32.212669232297046</v>
      </c>
      <c r="AA163" s="386">
        <f t="shared" si="60"/>
        <v>35.334097777354998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8.8340406049887188E-2</v>
      </c>
      <c r="AD163" s="231">
        <f>(INDEX(Models!$BJ163:$BT163,,AH163)*(1-AF163)+INDEX(Models!$BJ163:$BT163,,AH163+1)*AF163-ERP_i)*AE163*Ramure*Pc/MaxiM</f>
        <v>2.9561743857922651E-3</v>
      </c>
      <c r="AE163" s="305">
        <f t="shared" si="62"/>
        <v>0.7</v>
      </c>
      <c r="AF163" s="177">
        <f t="shared" si="63"/>
        <v>0.689243992435012</v>
      </c>
      <c r="AG163" s="919">
        <f t="shared" si="71"/>
        <v>-1</v>
      </c>
      <c r="AH163" s="176">
        <f t="shared" si="64"/>
        <v>5</v>
      </c>
      <c r="AI163" s="225">
        <f t="shared" si="65"/>
        <v>-0.31075600756498795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8">
        <v>53.767000000000003</v>
      </c>
      <c r="C164" s="390"/>
      <c r="D164" s="393">
        <f t="shared" si="48"/>
        <v>55.081763555274961</v>
      </c>
      <c r="E164" s="385">
        <f t="shared" si="69"/>
        <v>55.772628842695127</v>
      </c>
      <c r="F164" s="385">
        <f t="shared" si="49"/>
        <v>55.928584408353991</v>
      </c>
      <c r="G164" s="110">
        <f t="shared" si="70"/>
        <v>0.93758642783423218</v>
      </c>
      <c r="H164" s="412" t="b">
        <f>Wh_hp&gt;='2020'!Maxi_hp</f>
        <v>0</v>
      </c>
      <c r="I164" s="380">
        <f>IF(H164,Wh_hp,'2020'!Maxi_hp)</f>
        <v>58.524365554999449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2.3869307560488329E-2</v>
      </c>
      <c r="M164" s="957"/>
      <c r="N164" s="957"/>
      <c r="O164" s="48">
        <f>IF(t&lt;Tnet,'2020'!Resal+('2020'!Salim-'2020'!Resal)*(1-EXP(('2020'!Tnet-t)/('2020'!Tau_j))),Resal+(Salim-Resal)*(1-EXP((Tnet-t)/(Tau_j))))*Salcycl</f>
        <v>1.2387174529081812E-2</v>
      </c>
      <c r="P164" s="169">
        <f>(INDEX(Models!$BJ164:$BT164,,T164)*(1-R164)+INDEX(Models!$BJ164:$BT164,,T164+1)*R164-ERP_i)*Q164*Ramure*Pc/MaxiM</f>
        <v>3.0602153292527143E-3</v>
      </c>
      <c r="Q164" s="305">
        <f t="shared" si="51"/>
        <v>0.7</v>
      </c>
      <c r="R164" s="177">
        <f t="shared" si="52"/>
        <v>0.69411272137509961</v>
      </c>
      <c r="S164" s="919">
        <f t="shared" si="53"/>
        <v>-1</v>
      </c>
      <c r="T164" s="176">
        <f t="shared" si="54"/>
        <v>5</v>
      </c>
      <c r="U164" s="251">
        <f t="shared" si="55"/>
        <v>-0.30588727862490039</v>
      </c>
      <c r="V164" s="383">
        <f t="shared" si="56"/>
        <v>57.33055320445817</v>
      </c>
      <c r="W164" s="402"/>
      <c r="X164" s="157">
        <f t="shared" si="57"/>
        <v>44346</v>
      </c>
      <c r="Y164" s="385">
        <f t="shared" si="58"/>
        <v>49.626939599217486</v>
      </c>
      <c r="Z164" s="385">
        <f t="shared" si="59"/>
        <v>50.840466326482961</v>
      </c>
      <c r="AA164" s="386">
        <f t="shared" si="60"/>
        <v>55.772628842695127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8.8433387820451598E-2</v>
      </c>
      <c r="AD164" s="231">
        <f>(INDEX(Models!$BJ164:$BT164,,AH164)*(1-AF164)+INDEX(Models!$BJ164:$BT164,,AH164+1)*AF164-ERP_i)*AE164*Ramure*Pc/MaxiM</f>
        <v>3.0602153292527143E-3</v>
      </c>
      <c r="AE164" s="305">
        <f t="shared" si="62"/>
        <v>0.7</v>
      </c>
      <c r="AF164" s="177">
        <f t="shared" si="63"/>
        <v>0.69411272137509961</v>
      </c>
      <c r="AG164" s="919">
        <f t="shared" si="71"/>
        <v>-1</v>
      </c>
      <c r="AH164" s="176">
        <f t="shared" si="64"/>
        <v>5</v>
      </c>
      <c r="AI164" s="225">
        <f t="shared" si="65"/>
        <v>-0.30588727862490039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8">
        <v>56.313000000000002</v>
      </c>
      <c r="C165" s="390"/>
      <c r="D165" s="393">
        <f t="shared" si="48"/>
        <v>57.69128443805014</v>
      </c>
      <c r="E165" s="385">
        <f t="shared" si="69"/>
        <v>58.421394381515988</v>
      </c>
      <c r="F165" s="385">
        <f t="shared" si="49"/>
        <v>58.602324885639291</v>
      </c>
      <c r="G165" s="110">
        <f t="shared" si="70"/>
        <v>0.9827872030029684</v>
      </c>
      <c r="H165" s="412" t="b">
        <f>Wh_hp&gt;='2020'!Maxi_hp</f>
        <v>0</v>
      </c>
      <c r="I165" s="380">
        <f>IF(H165,Wh_hp,'2020'!Maxi_hp)</f>
        <v>59.313017833892296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2.3890687327826177E-2</v>
      </c>
      <c r="M165" s="957"/>
      <c r="N165" s="957"/>
      <c r="O165" s="48">
        <f>IF(t&lt;Tnet,'2020'!Resal+('2020'!Salim-'2020'!Resal)*(1-EXP(('2020'!Tnet-t)/('2020'!Tau_j))),Resal+(Salim-Resal)*(1-EXP((Tnet-t)/(Tau_j))))*Salcycl</f>
        <v>1.2497304304274613E-2</v>
      </c>
      <c r="P165" s="169">
        <f>(INDEX(Models!$BJ165:$BT165,,T165)*(1-R165)+INDEX(Models!$BJ165:$BT165,,T165+1)*R165-ERP_i)*Q165*Ramure*Pc/MaxiM</f>
        <v>3.1649075661091025E-3</v>
      </c>
      <c r="Q165" s="305">
        <f t="shared" si="51"/>
        <v>0.7</v>
      </c>
      <c r="R165" s="177">
        <f t="shared" si="52"/>
        <v>0.69902611792472624</v>
      </c>
      <c r="S165" s="919">
        <f t="shared" si="53"/>
        <v>-1</v>
      </c>
      <c r="T165" s="176">
        <f t="shared" si="54"/>
        <v>5</v>
      </c>
      <c r="U165" s="251">
        <f t="shared" si="55"/>
        <v>-0.30097388207527376</v>
      </c>
      <c r="V165" s="383">
        <f t="shared" si="56"/>
        <v>57.294827661986602</v>
      </c>
      <c r="W165" s="402"/>
      <c r="X165" s="157">
        <f t="shared" si="57"/>
        <v>44347</v>
      </c>
      <c r="Y165" s="385">
        <f t="shared" si="58"/>
        <v>51.977413777849563</v>
      </c>
      <c r="Z165" s="385">
        <f t="shared" si="59"/>
        <v>53.24958291357494</v>
      </c>
      <c r="AA165" s="386">
        <f t="shared" si="60"/>
        <v>58.421394381515988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8.8525984747419226E-2</v>
      </c>
      <c r="AD165" s="231">
        <f>(INDEX(Models!$BJ165:$BT165,,AH165)*(1-AF165)+INDEX(Models!$BJ165:$BT165,,AH165+1)*AF165-ERP_i)*AE165*Ramure*Pc/MaxiM</f>
        <v>3.1649075661091025E-3</v>
      </c>
      <c r="AE165" s="305">
        <f t="shared" si="62"/>
        <v>0.7</v>
      </c>
      <c r="AF165" s="177">
        <f t="shared" si="63"/>
        <v>0.69902611792472624</v>
      </c>
      <c r="AG165" s="919">
        <f t="shared" si="71"/>
        <v>-1</v>
      </c>
      <c r="AH165" s="176">
        <f t="shared" si="64"/>
        <v>5</v>
      </c>
      <c r="AI165" s="225">
        <f t="shared" si="65"/>
        <v>-0.30097388207527376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8">
        <v>36.124000000000002</v>
      </c>
      <c r="C166" s="390"/>
      <c r="D166" s="393">
        <f t="shared" si="48"/>
        <v>37.008960734884596</v>
      </c>
      <c r="E166" s="385">
        <f t="shared" si="69"/>
        <v>37.481505532807759</v>
      </c>
      <c r="F166" s="385">
        <f t="shared" si="49"/>
        <v>37.539539196667768</v>
      </c>
      <c r="G166" s="110">
        <f t="shared" si="70"/>
        <v>0.62982197829068576</v>
      </c>
      <c r="H166" s="412" t="b">
        <f>Wh_hp&gt;='2020'!Maxi_hp</f>
        <v>0</v>
      </c>
      <c r="I166" s="380">
        <f>IF(H166,Wh_hp,'2020'!Maxi_hp)</f>
        <v>60.331915443766647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2.3912066626892159E-2</v>
      </c>
      <c r="M166" s="957"/>
      <c r="N166" s="957"/>
      <c r="O166" s="48">
        <f>IF(t&lt;Tnet,'2020'!Resal+('2020'!Salim-'2020'!Resal)*(1-EXP(('2020'!Tnet-t)/('2020'!Tau_j))),Resal+(Salim-Resal)*(1-EXP((Tnet-t)/(Tau_j))))*Salcycl</f>
        <v>1.2607412407955217E-2</v>
      </c>
      <c r="P166" s="169">
        <f>(INDEX(Models!$BJ166:$BT166,,T166)*(1-R166)+INDEX(Models!$BJ166:$BT166,,T166+1)*R166-ERP_i)*Q166*Ramure*Pc/MaxiM</f>
        <v>3.270221623962493E-3</v>
      </c>
      <c r="Q166" s="305">
        <f t="shared" si="51"/>
        <v>0.7</v>
      </c>
      <c r="R166" s="177">
        <f t="shared" si="52"/>
        <v>0.70398059600180862</v>
      </c>
      <c r="S166" s="919">
        <f t="shared" si="53"/>
        <v>-1</v>
      </c>
      <c r="T166" s="176">
        <f t="shared" si="54"/>
        <v>5</v>
      </c>
      <c r="U166" s="251">
        <f t="shared" si="55"/>
        <v>-0.29601940399819138</v>
      </c>
      <c r="V166" s="383">
        <f t="shared" si="56"/>
        <v>57.256838674636967</v>
      </c>
      <c r="W166" s="402"/>
      <c r="X166" s="157">
        <f t="shared" si="57"/>
        <v>44348</v>
      </c>
      <c r="Y166" s="385">
        <f t="shared" si="58"/>
        <v>33.343129572165623</v>
      </c>
      <c r="Z166" s="385">
        <f t="shared" si="59"/>
        <v>34.159964929532912</v>
      </c>
      <c r="AA166" s="386">
        <f t="shared" si="60"/>
        <v>37.481505532807759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8.8618121285642865E-2</v>
      </c>
      <c r="AD166" s="231">
        <f>(INDEX(Models!$BJ166:$BT166,,AH166)*(1-AF166)+INDEX(Models!$BJ166:$BT166,,AH166+1)*AF166-ERP_i)*AE166*Ramure*Pc/MaxiM</f>
        <v>3.270221623962493E-3</v>
      </c>
      <c r="AE166" s="305">
        <f t="shared" si="62"/>
        <v>0.7</v>
      </c>
      <c r="AF166" s="177">
        <f t="shared" si="63"/>
        <v>0.70398059600180862</v>
      </c>
      <c r="AG166" s="919">
        <f t="shared" si="71"/>
        <v>-1</v>
      </c>
      <c r="AH166" s="176">
        <f t="shared" si="64"/>
        <v>5</v>
      </c>
      <c r="AI166" s="225">
        <f t="shared" si="65"/>
        <v>-0.29601940399819138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8">
        <v>39.593000000000004</v>
      </c>
      <c r="C167" s="390"/>
      <c r="D167" s="393">
        <f t="shared" si="48"/>
        <v>40.563832267120283</v>
      </c>
      <c r="E167" s="385">
        <f t="shared" si="69"/>
        <v>41.086347332362337</v>
      </c>
      <c r="F167" s="385">
        <f t="shared" si="49"/>
        <v>41.164170770315209</v>
      </c>
      <c r="G167" s="110">
        <f t="shared" si="70"/>
        <v>0.69095592446819354</v>
      </c>
      <c r="H167" s="412" t="b">
        <f>Wh_hp&gt;='2020'!Maxi_hp</f>
        <v>0</v>
      </c>
      <c r="I167" s="380">
        <f>IF(H167,Wh_hp,'2020'!Maxi_hp)</f>
        <v>59.300139796564821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2.3933445457696712E-2</v>
      </c>
      <c r="M167" s="957"/>
      <c r="N167" s="957"/>
      <c r="O167" s="48">
        <f>IF(t&lt;Tnet,'2020'!Resal+('2020'!Salim-'2020'!Resal)*(1-EXP(('2020'!Tnet-t)/('2020'!Tau_j))),Resal+(Salim-Resal)*(1-EXP((Tnet-t)/(Tau_j))))*Salcycl</f>
        <v>1.2717486444225462E-2</v>
      </c>
      <c r="P167" s="169">
        <f>(INDEX(Models!$BJ167:$BT167,,T167)*(1-R167)+INDEX(Models!$BJ167:$BT167,,T167+1)*R167-ERP_i)*Q167*Ramure*Pc/MaxiM</f>
        <v>3.3761262548774613E-3</v>
      </c>
      <c r="Q167" s="305">
        <f t="shared" si="51"/>
        <v>0.7</v>
      </c>
      <c r="R167" s="177">
        <f t="shared" si="52"/>
        <v>0.70897243941622112</v>
      </c>
      <c r="S167" s="919">
        <f t="shared" si="53"/>
        <v>-1</v>
      </c>
      <c r="T167" s="176">
        <f t="shared" si="54"/>
        <v>5</v>
      </c>
      <c r="U167" s="251">
        <f t="shared" si="55"/>
        <v>-0.29102756058377882</v>
      </c>
      <c r="V167" s="383">
        <f t="shared" si="56"/>
        <v>57.216486992896627</v>
      </c>
      <c r="W167" s="402"/>
      <c r="X167" s="157">
        <f t="shared" si="57"/>
        <v>44349</v>
      </c>
      <c r="Y167" s="385">
        <f t="shared" si="58"/>
        <v>36.545482635454</v>
      </c>
      <c r="Z167" s="385">
        <f t="shared" si="59"/>
        <v>37.44158886029129</v>
      </c>
      <c r="AA167" s="386">
        <f t="shared" si="60"/>
        <v>41.086347332362337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8.8709722540854588E-2</v>
      </c>
      <c r="AD167" s="231">
        <f>(INDEX(Models!$BJ167:$BT167,,AH167)*(1-AF167)+INDEX(Models!$BJ167:$BT167,,AH167+1)*AF167-ERP_i)*AE167*Ramure*Pc/MaxiM</f>
        <v>3.3761262548774613E-3</v>
      </c>
      <c r="AE167" s="305">
        <f t="shared" si="62"/>
        <v>0.7</v>
      </c>
      <c r="AF167" s="177">
        <f t="shared" si="63"/>
        <v>0.70897243941622112</v>
      </c>
      <c r="AG167" s="919">
        <f t="shared" si="71"/>
        <v>-1</v>
      </c>
      <c r="AH167" s="176">
        <f t="shared" si="64"/>
        <v>5</v>
      </c>
      <c r="AI167" s="225">
        <f t="shared" si="65"/>
        <v>-0.29102756058377882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8">
        <v>46.945999999999998</v>
      </c>
      <c r="C168" s="390"/>
      <c r="D168" s="393">
        <f t="shared" si="48"/>
        <v>48.098183512106559</v>
      </c>
      <c r="E168" s="385">
        <f t="shared" si="69"/>
        <v>48.723180787514522</v>
      </c>
      <c r="F168" s="385">
        <f t="shared" si="49"/>
        <v>48.849828808302</v>
      </c>
      <c r="G168" s="110">
        <f t="shared" si="70"/>
        <v>0.82037950368196177</v>
      </c>
      <c r="H168" s="412" t="b">
        <f>Wh_hp&gt;='2020'!Maxi_hp</f>
        <v>0</v>
      </c>
      <c r="I168" s="380">
        <f>IF(H168,Wh_hp,'2020'!Maxi_hp)</f>
        <v>52.867021607372699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2.3954823820249938E-2</v>
      </c>
      <c r="M168" s="957"/>
      <c r="N168" s="957"/>
      <c r="O168" s="48">
        <f>IF(t&lt;Tnet,'2020'!Resal+('2020'!Salim-'2020'!Resal)*(1-EXP(('2020'!Tnet-t)/('2020'!Tau_j))),Resal+(Salim-Resal)*(1-EXP((Tnet-t)/(Tau_j))))*Salcycl</f>
        <v>1.2827513830298277E-2</v>
      </c>
      <c r="P168" s="169">
        <f>(INDEX(Models!$BJ168:$BT168,,T168)*(1-R168)+INDEX(Models!$BJ168:$BT168,,T168+1)*R168-ERP_i)*Q168*Ramure*Pc/MaxiM</f>
        <v>3.4825885937621467E-3</v>
      </c>
      <c r="Q168" s="305">
        <f t="shared" si="51"/>
        <v>0.7</v>
      </c>
      <c r="R168" s="177">
        <f t="shared" si="52"/>
        <v>0.71399781219849312</v>
      </c>
      <c r="S168" s="919">
        <f t="shared" si="53"/>
        <v>-1</v>
      </c>
      <c r="T168" s="176">
        <f t="shared" si="54"/>
        <v>5</v>
      </c>
      <c r="U168" s="251">
        <f t="shared" si="55"/>
        <v>-0.28600218780150688</v>
      </c>
      <c r="V168" s="383">
        <f t="shared" si="56"/>
        <v>57.173673570881675</v>
      </c>
      <c r="W168" s="402"/>
      <c r="X168" s="157">
        <f t="shared" si="57"/>
        <v>44350</v>
      </c>
      <c r="Y168" s="385">
        <f t="shared" si="58"/>
        <v>43.333016523374894</v>
      </c>
      <c r="Z168" s="385">
        <f t="shared" si="59"/>
        <v>44.396527518306812</v>
      </c>
      <c r="AA168" s="386">
        <f t="shared" si="60"/>
        <v>48.723180787514522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8.8800714552618606E-2</v>
      </c>
      <c r="AD168" s="231">
        <f>(INDEX(Models!$BJ168:$BT168,,AH168)*(1-AF168)+INDEX(Models!$BJ168:$BT168,,AH168+1)*AF168-ERP_i)*AE168*Ramure*Pc/MaxiM</f>
        <v>3.4825885937621467E-3</v>
      </c>
      <c r="AE168" s="305">
        <f t="shared" si="62"/>
        <v>0.7</v>
      </c>
      <c r="AF168" s="177">
        <f t="shared" si="63"/>
        <v>0.71399781219849312</v>
      </c>
      <c r="AG168" s="919">
        <f t="shared" si="71"/>
        <v>-1</v>
      </c>
      <c r="AH168" s="176">
        <f t="shared" si="64"/>
        <v>5</v>
      </c>
      <c r="AI168" s="225">
        <f t="shared" si="65"/>
        <v>-0.28600218780150688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8">
        <v>8.7149999999999999</v>
      </c>
      <c r="C169" s="390"/>
      <c r="D169" s="393">
        <f t="shared" si="48"/>
        <v>8.9290855564274896</v>
      </c>
      <c r="E169" s="385">
        <f t="shared" si="69"/>
        <v>9.0461195640474159</v>
      </c>
      <c r="F169" s="385">
        <f t="shared" si="49"/>
        <v>9.0461195640474159</v>
      </c>
      <c r="G169" s="110">
        <f t="shared" si="70"/>
        <v>0.15200376919357042</v>
      </c>
      <c r="H169" s="412" t="b">
        <f>Wh_hp&gt;='2020'!Maxi_hp</f>
        <v>0</v>
      </c>
      <c r="I169" s="380">
        <f>IF(H169,Wh_hp,'2020'!Maxi_hp)</f>
        <v>57.111684044434135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2.3976201714562162E-2</v>
      </c>
      <c r="M169" s="957"/>
      <c r="N169" s="957"/>
      <c r="O169" s="48">
        <f>IF(t&lt;Tnet,'2020'!Resal+('2020'!Salim-'2020'!Resal)*(1-EXP(('2020'!Tnet-t)/('2020'!Tau_j))),Resal+(Salim-Resal)*(1-EXP((Tnet-t)/(Tau_j))))*Salcycl</f>
        <v>1.2937481844155795E-2</v>
      </c>
      <c r="P169" s="169">
        <f>(INDEX(Models!$BJ169:$BT169,,T169)*(1-R169)+INDEX(Models!$BJ169:$BT169,,T169+1)*R169-ERP_i)*Q169*Ramure*Pc/MaxiM</f>
        <v>3.5895743336331856E-3</v>
      </c>
      <c r="Q169" s="305">
        <f t="shared" si="51"/>
        <v>0.7</v>
      </c>
      <c r="R169" s="177">
        <f t="shared" si="52"/>
        <v>0.71905276972815291</v>
      </c>
      <c r="S169" s="919">
        <f t="shared" si="53"/>
        <v>-1</v>
      </c>
      <c r="T169" s="176">
        <f t="shared" si="54"/>
        <v>5</v>
      </c>
      <c r="U169" s="251">
        <f t="shared" si="55"/>
        <v>-0.28094723027184709</v>
      </c>
      <c r="V169" s="383">
        <f t="shared" si="56"/>
        <v>57.128299553046197</v>
      </c>
      <c r="W169" s="402"/>
      <c r="X169" s="157">
        <f t="shared" si="57"/>
        <v>44351</v>
      </c>
      <c r="Y169" s="385">
        <f t="shared" si="58"/>
        <v>8.0443888555712739</v>
      </c>
      <c r="Z169" s="385">
        <f t="shared" si="59"/>
        <v>8.2420007275464968</v>
      </c>
      <c r="AA169" s="386">
        <f t="shared" si="60"/>
        <v>9.0461195640474159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8.8891024577740715E-2</v>
      </c>
      <c r="AD169" s="231">
        <f>(INDEX(Models!$BJ169:$BT169,,AH169)*(1-AF169)+INDEX(Models!$BJ169:$BT169,,AH169+1)*AF169-ERP_i)*AE169*Ramure*Pc/MaxiM</f>
        <v>3.5895743336331856E-3</v>
      </c>
      <c r="AE169" s="305">
        <f t="shared" si="62"/>
        <v>0.7</v>
      </c>
      <c r="AF169" s="177">
        <f t="shared" si="63"/>
        <v>0.71905276972815291</v>
      </c>
      <c r="AG169" s="919">
        <f t="shared" si="71"/>
        <v>-1</v>
      </c>
      <c r="AH169" s="176">
        <f t="shared" si="64"/>
        <v>5</v>
      </c>
      <c r="AI169" s="225">
        <f t="shared" si="65"/>
        <v>-0.28094723027184709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8">
        <v>41.055999999999997</v>
      </c>
      <c r="C170" s="390"/>
      <c r="D170" s="393">
        <f t="shared" si="48"/>
        <v>42.065469431777402</v>
      </c>
      <c r="E170" s="385">
        <f t="shared" ref="E170:E232" si="72">Wh_pvt/(1-Psa)</f>
        <v>42.621569141416501</v>
      </c>
      <c r="F170" s="385">
        <f t="shared" si="49"/>
        <v>42.716075181662134</v>
      </c>
      <c r="G170" s="110">
        <f t="shared" ref="G170:G232" si="73">+Wh_hp/MaxiM</f>
        <v>0.71819763265208991</v>
      </c>
      <c r="H170" s="412" t="b">
        <f>Wh_hp&gt;='2020'!Maxi_hp</f>
        <v>1</v>
      </c>
      <c r="I170" s="380">
        <f>IF(H170,Wh_hp,'2020'!Maxi_hp)</f>
        <v>42.716075181662134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2.399757914064371E-2</v>
      </c>
      <c r="M170" s="957"/>
      <c r="N170" s="957"/>
      <c r="O170" s="48">
        <f>IF(t&lt;Tnet,'2020'!Resal+('2020'!Salim-'2020'!Resal)*(1-EXP(('2020'!Tnet-t)/('2020'!Tau_j))),Resal+(Salim-Resal)*(1-EXP((Tnet-t)/(Tau_j))))*Salcycl</f>
        <v>1.3047377673824774E-2</v>
      </c>
      <c r="P170" s="169">
        <f>(INDEX(Models!$BJ170:$BT170,,T170)*(1-R170)+INDEX(Models!$BJ170:$BT170,,T170+1)*R170-ERP_i)*Q170*Ramure*Pc/MaxiM</f>
        <v>3.6938317962885814E-3</v>
      </c>
      <c r="Q170" s="305">
        <f t="shared" si="51"/>
        <v>0.7</v>
      </c>
      <c r="R170" s="177">
        <f t="shared" si="52"/>
        <v>0.72413327059842481</v>
      </c>
      <c r="S170" s="919">
        <f t="shared" si="53"/>
        <v>-1</v>
      </c>
      <c r="T170" s="176">
        <f t="shared" si="54"/>
        <v>5</v>
      </c>
      <c r="U170" s="251">
        <f t="shared" si="55"/>
        <v>-0.27586672940157519</v>
      </c>
      <c r="V170" s="383">
        <f t="shared" si="56"/>
        <v>57.08045051902802</v>
      </c>
      <c r="W170" s="402"/>
      <c r="X170" s="157">
        <f t="shared" si="57"/>
        <v>44352</v>
      </c>
      <c r="Y170" s="385">
        <f t="shared" si="58"/>
        <v>37.897273288583385</v>
      </c>
      <c r="Z170" s="385">
        <f t="shared" si="59"/>
        <v>38.829077140213826</v>
      </c>
      <c r="AA170" s="386">
        <f t="shared" si="60"/>
        <v>42.621569141416501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8.8980581372294143E-2</v>
      </c>
      <c r="AD170" s="231">
        <f>(INDEX(Models!$BJ170:$BT170,,AH170)*(1-AF170)+INDEX(Models!$BJ170:$BT170,,AH170+1)*AF170-ERP_i)*AE170*Ramure*Pc/MaxiM</f>
        <v>3.6938317962885814E-3</v>
      </c>
      <c r="AE170" s="305">
        <f t="shared" si="62"/>
        <v>0.7</v>
      </c>
      <c r="AF170" s="177">
        <f t="shared" si="63"/>
        <v>0.72413327059842481</v>
      </c>
      <c r="AG170" s="919">
        <f t="shared" si="71"/>
        <v>-1</v>
      </c>
      <c r="AH170" s="176">
        <f t="shared" si="64"/>
        <v>5</v>
      </c>
      <c r="AI170" s="225">
        <f t="shared" si="65"/>
        <v>-0.27586672940157519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8">
        <v>46.643999999999998</v>
      </c>
      <c r="C171" s="390"/>
      <c r="D171" s="393">
        <f t="shared" si="48"/>
        <v>47.79191183216026</v>
      </c>
      <c r="E171" s="385">
        <f t="shared" si="72"/>
        <v>48.429102663235227</v>
      </c>
      <c r="F171" s="385">
        <f t="shared" si="49"/>
        <v>48.565453136884855</v>
      </c>
      <c r="G171" s="110">
        <f t="shared" si="73"/>
        <v>0.81707477758607561</v>
      </c>
      <c r="H171" s="412" t="b">
        <f>Wh_hp&gt;='2020'!Maxi_hp</f>
        <v>0</v>
      </c>
      <c r="I171" s="380">
        <f>IF(H171,Wh_hp,'2020'!Maxi_hp)</f>
        <v>56.000265625104696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2.4018956098504685E-2</v>
      </c>
      <c r="M171" s="957"/>
      <c r="N171" s="957"/>
      <c r="O171" s="48">
        <f>IF(t&lt;Tnet,'2020'!Resal+('2020'!Salim-'2020'!Resal)*(1-EXP(('2020'!Tnet-t)/('2020'!Tau_j))),Resal+(Salim-Resal)*(1-EXP((Tnet-t)/(Tau_j))))*Salcycl</f>
        <v>1.3157188467972288E-2</v>
      </c>
      <c r="P171" s="169">
        <f>(INDEX(Models!$BJ171:$BT171,,T171)*(1-R171)+INDEX(Models!$BJ171:$BT171,,T171+1)*R171-ERP_i)*Q171*Ramure*Pc/MaxiM</f>
        <v>3.7948472683722277E-3</v>
      </c>
      <c r="Q171" s="305">
        <f t="shared" si="51"/>
        <v>0.7</v>
      </c>
      <c r="R171" s="177">
        <f t="shared" si="52"/>
        <v>0.72923518914556484</v>
      </c>
      <c r="S171" s="919">
        <f t="shared" si="53"/>
        <v>-1</v>
      </c>
      <c r="T171" s="176">
        <f t="shared" si="54"/>
        <v>5</v>
      </c>
      <c r="U171" s="251">
        <f t="shared" si="55"/>
        <v>-0.27076481085443521</v>
      </c>
      <c r="V171" s="383">
        <f t="shared" si="56"/>
        <v>57.030054829782003</v>
      </c>
      <c r="W171" s="402"/>
      <c r="X171" s="157">
        <f t="shared" si="57"/>
        <v>44353</v>
      </c>
      <c r="Y171" s="385">
        <f t="shared" si="58"/>
        <v>43.055946045993032</v>
      </c>
      <c r="Z171" s="385">
        <f t="shared" si="59"/>
        <v>44.11555564017555</v>
      </c>
      <c r="AA171" s="386">
        <f t="shared" si="60"/>
        <v>48.429102663235227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8.9069315470391527E-2</v>
      </c>
      <c r="AD171" s="231">
        <f>(INDEX(Models!$BJ171:$BT171,,AH171)*(1-AF171)+INDEX(Models!$BJ171:$BT171,,AH171+1)*AF171-ERP_i)*AE171*Ramure*Pc/MaxiM</f>
        <v>3.7948472683722277E-3</v>
      </c>
      <c r="AE171" s="305">
        <f t="shared" si="62"/>
        <v>0.7</v>
      </c>
      <c r="AF171" s="177">
        <f t="shared" si="63"/>
        <v>0.72923518914556484</v>
      </c>
      <c r="AG171" s="919">
        <f t="shared" si="71"/>
        <v>-1</v>
      </c>
      <c r="AH171" s="176">
        <f t="shared" si="64"/>
        <v>5</v>
      </c>
      <c r="AI171" s="225">
        <f t="shared" si="65"/>
        <v>-0.27076481085443521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8">
        <v>52.931000000000004</v>
      </c>
      <c r="C172" s="390"/>
      <c r="D172" s="393">
        <f t="shared" si="48"/>
        <v>54.234823187282075</v>
      </c>
      <c r="E172" s="385">
        <f t="shared" si="72"/>
        <v>54.96402549336289</v>
      </c>
      <c r="F172" s="385">
        <f t="shared" si="49"/>
        <v>55.156942491889488</v>
      </c>
      <c r="G172" s="110">
        <f t="shared" si="73"/>
        <v>0.92862044761476059</v>
      </c>
      <c r="H172" s="412" t="b">
        <f>Wh_hp&gt;='2020'!Maxi_hp</f>
        <v>1</v>
      </c>
      <c r="I172" s="380">
        <f>IF(H172,Wh_hp,'2020'!Maxi_hp)</f>
        <v>55.156942491889488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2.4040332588155522E-2</v>
      </c>
      <c r="M172" s="957"/>
      <c r="N172" s="957"/>
      <c r="O172" s="48">
        <f>IF(t&lt;Tnet,'2020'!Resal+('2020'!Salim-'2020'!Resal)*(1-EXP(('2020'!Tnet-t)/('2020'!Tau_j))),Resal+(Salim-Resal)*(1-EXP((Tnet-t)/(Tau_j))))*Salcycl</f>
        <v>1.3266901387506075E-2</v>
      </c>
      <c r="P172" s="169">
        <f>(INDEX(Models!$BJ172:$BT172,,T172)*(1-R172)+INDEX(Models!$BJ172:$BT172,,T172+1)*R172-ERP_i)*Q172*Ramure*Pc/MaxiM</f>
        <v>3.8924729345187416E-3</v>
      </c>
      <c r="Q172" s="305">
        <f t="shared" si="51"/>
        <v>0.7</v>
      </c>
      <c r="R172" s="177">
        <f t="shared" si="52"/>
        <v>0.73435432856339078</v>
      </c>
      <c r="S172" s="919">
        <f t="shared" si="53"/>
        <v>-1</v>
      </c>
      <c r="T172" s="176">
        <f t="shared" si="54"/>
        <v>5</v>
      </c>
      <c r="U172" s="251">
        <f t="shared" si="55"/>
        <v>-0.26564567143660922</v>
      </c>
      <c r="V172" s="383">
        <f t="shared" si="56"/>
        <v>56.977019868803488</v>
      </c>
      <c r="W172" s="402"/>
      <c r="X172" s="157">
        <f t="shared" si="57"/>
        <v>44354</v>
      </c>
      <c r="Y172" s="385">
        <f t="shared" si="58"/>
        <v>48.860043775294272</v>
      </c>
      <c r="Z172" s="385">
        <f t="shared" si="59"/>
        <v>50.063589108007534</v>
      </c>
      <c r="AA172" s="386">
        <f t="shared" si="60"/>
        <v>54.96402549336289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8.915715945781838E-2</v>
      </c>
      <c r="AD172" s="231">
        <f>(INDEX(Models!$BJ172:$BT172,,AH172)*(1-AF172)+INDEX(Models!$BJ172:$BT172,,AH172+1)*AF172-ERP_i)*AE172*Ramure*Pc/MaxiM</f>
        <v>3.8924729345187416E-3</v>
      </c>
      <c r="AE172" s="305">
        <f t="shared" si="62"/>
        <v>0.7</v>
      </c>
      <c r="AF172" s="177">
        <f t="shared" si="63"/>
        <v>0.73435432856339078</v>
      </c>
      <c r="AG172" s="919">
        <f t="shared" si="71"/>
        <v>-1</v>
      </c>
      <c r="AH172" s="176">
        <f t="shared" si="64"/>
        <v>5</v>
      </c>
      <c r="AI172" s="225">
        <f t="shared" si="65"/>
        <v>-0.26564567143660922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8">
        <v>57.52</v>
      </c>
      <c r="C173" s="390"/>
      <c r="D173" s="393">
        <f t="shared" si="48"/>
        <v>58.938152655177369</v>
      </c>
      <c r="E173" s="385">
        <f t="shared" si="72"/>
        <v>59.737227902727938</v>
      </c>
      <c r="F173" s="385">
        <f t="shared" si="49"/>
        <v>59.97632714408909</v>
      </c>
      <c r="G173" s="110">
        <f t="shared" si="73"/>
        <v>1.0105188643275052</v>
      </c>
      <c r="H173" s="412" t="b">
        <f>Wh_hp&gt;='2020'!Maxi_hp</f>
        <v>0</v>
      </c>
      <c r="I173" s="380">
        <f>IF(H173,Wh_hp,'2020'!Maxi_hp)</f>
        <v>61.487890344452325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2.4061708609606214E-2</v>
      </c>
      <c r="M173" s="957"/>
      <c r="N173" s="957"/>
      <c r="O173" s="48">
        <f>IF(t&lt;Tnet,'2020'!Resal+('2020'!Salim-'2020'!Resal)*(1-EXP(('2020'!Tnet-t)/('2020'!Tau_j))),Resal+(Salim-Resal)*(1-EXP((Tnet-t)/(Tau_j))))*Salcycl</f>
        <v>1.3376503657848442E-2</v>
      </c>
      <c r="P173" s="169">
        <f>(INDEX(Models!$BJ173:$BT173,,T173)*(1-R173)+INDEX(Models!$BJ173:$BT173,,T173+1)*R173-ERP_i)*Q173*Ramure*Pc/MaxiM</f>
        <v>3.9865602437897099E-3</v>
      </c>
      <c r="Q173" s="305">
        <f t="shared" si="51"/>
        <v>0.7</v>
      </c>
      <c r="R173" s="177">
        <f t="shared" si="52"/>
        <v>0.7394864345166573</v>
      </c>
      <c r="S173" s="919">
        <f t="shared" si="53"/>
        <v>-1</v>
      </c>
      <c r="T173" s="176">
        <f t="shared" si="54"/>
        <v>5</v>
      </c>
      <c r="U173" s="251">
        <f t="shared" si="55"/>
        <v>-0.2605135654833427</v>
      </c>
      <c r="V173" s="383">
        <f t="shared" si="56"/>
        <v>56.921253061692461</v>
      </c>
      <c r="W173" s="402"/>
      <c r="X173" s="157">
        <f t="shared" si="57"/>
        <v>44355</v>
      </c>
      <c r="Y173" s="385">
        <f t="shared" si="58"/>
        <v>53.096933672807914</v>
      </c>
      <c r="Z173" s="385">
        <f t="shared" si="59"/>
        <v>54.406035854133869</v>
      </c>
      <c r="AA173" s="386">
        <f t="shared" si="60"/>
        <v>59.737227902727938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8.9244048238646512E-2</v>
      </c>
      <c r="AD173" s="231">
        <f>(INDEX(Models!$BJ173:$BT173,,AH173)*(1-AF173)+INDEX(Models!$BJ173:$BT173,,AH173+1)*AF173-ERP_i)*AE173*Ramure*Pc/MaxiM</f>
        <v>3.9865602437897099E-3</v>
      </c>
      <c r="AE173" s="305">
        <f t="shared" si="62"/>
        <v>0.7</v>
      </c>
      <c r="AF173" s="177">
        <f t="shared" si="63"/>
        <v>0.7394864345166573</v>
      </c>
      <c r="AG173" s="919">
        <f t="shared" si="71"/>
        <v>-1</v>
      </c>
      <c r="AH173" s="176">
        <f t="shared" si="64"/>
        <v>5</v>
      </c>
      <c r="AI173" s="225">
        <f t="shared" si="65"/>
        <v>-0.2605135654833427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8">
        <v>56.350999999999999</v>
      </c>
      <c r="C174" s="390"/>
      <c r="D174" s="393">
        <f t="shared" si="48"/>
        <v>57.741595709162006</v>
      </c>
      <c r="E174" s="385">
        <f t="shared" si="72"/>
        <v>58.530942989135816</v>
      </c>
      <c r="F174" s="385">
        <f t="shared" si="49"/>
        <v>58.767455716335284</v>
      </c>
      <c r="G174" s="110">
        <f t="shared" si="73"/>
        <v>0.9909496499146826</v>
      </c>
      <c r="H174" s="412" t="b">
        <f>Wh_hp&gt;='2020'!Maxi_hp</f>
        <v>1</v>
      </c>
      <c r="I174" s="380">
        <f>IF(H174,Wh_hp,'2020'!Maxi_hp)</f>
        <v>58.767455716335284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2.4083084162867308E-2</v>
      </c>
      <c r="M174" s="957"/>
      <c r="N174" s="957"/>
      <c r="O174" s="48">
        <f>IF(t&lt;Tnet,'2020'!Resal+('2020'!Salim-'2020'!Resal)*(1-EXP(('2020'!Tnet-t)/('2020'!Tau_j))),Resal+(Salim-Resal)*(1-EXP((Tnet-t)/(Tau_j))))*Salcycl</f>
        <v>1.348598262153957E-2</v>
      </c>
      <c r="P174" s="169">
        <f>(INDEX(Models!$BJ174:$BT174,,T174)*(1-R174)+INDEX(Models!$BJ174:$BT174,,T174+1)*R174-ERP_i)*Q174*Ramure*Pc/MaxiM</f>
        <v>4.0769603815420203E-3</v>
      </c>
      <c r="Q174" s="305">
        <f t="shared" si="51"/>
        <v>0.7</v>
      </c>
      <c r="R174" s="177">
        <f t="shared" si="52"/>
        <v>0.74462720916096314</v>
      </c>
      <c r="S174" s="919">
        <f t="shared" si="53"/>
        <v>-1</v>
      </c>
      <c r="T174" s="176">
        <f t="shared" si="54"/>
        <v>5</v>
      </c>
      <c r="U174" s="251">
        <f t="shared" si="55"/>
        <v>-0.25537279083903686</v>
      </c>
      <c r="V174" s="383">
        <f t="shared" si="56"/>
        <v>56.86266184220667</v>
      </c>
      <c r="W174" s="402"/>
      <c r="X174" s="157">
        <f t="shared" si="57"/>
        <v>44356</v>
      </c>
      <c r="Y174" s="385">
        <f t="shared" si="58"/>
        <v>52.018692906453772</v>
      </c>
      <c r="Z174" s="385">
        <f t="shared" si="59"/>
        <v>53.30237857577518</v>
      </c>
      <c r="AA174" s="386">
        <f t="shared" si="60"/>
        <v>58.530942989135816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8.9329919292964952E-2</v>
      </c>
      <c r="AD174" s="231">
        <f>(INDEX(Models!$BJ174:$BT174,,AH174)*(1-AF174)+INDEX(Models!$BJ174:$BT174,,AH174+1)*AF174-ERP_i)*AE174*Ramure*Pc/MaxiM</f>
        <v>4.0769603815420203E-3</v>
      </c>
      <c r="AE174" s="305">
        <f t="shared" si="62"/>
        <v>0.7</v>
      </c>
      <c r="AF174" s="177">
        <f t="shared" si="63"/>
        <v>0.74462720916096314</v>
      </c>
      <c r="AG174" s="919">
        <f t="shared" si="71"/>
        <v>-1</v>
      </c>
      <c r="AH174" s="176">
        <f t="shared" si="64"/>
        <v>5</v>
      </c>
      <c r="AI174" s="225">
        <f t="shared" si="65"/>
        <v>-0.25537279083903686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8">
        <v>56.328000000000003</v>
      </c>
      <c r="C175" s="390"/>
      <c r="D175" s="393">
        <f t="shared" si="48"/>
        <v>57.719292329783727</v>
      </c>
      <c r="E175" s="385">
        <f t="shared" si="72"/>
        <v>58.514820376391839</v>
      </c>
      <c r="F175" s="385">
        <f t="shared" si="49"/>
        <v>58.756543550619334</v>
      </c>
      <c r="G175" s="110">
        <f t="shared" si="73"/>
        <v>0.99162066379178537</v>
      </c>
      <c r="H175" s="412" t="b">
        <f>Wh_hp&gt;='2020'!Maxi_hp</f>
        <v>1</v>
      </c>
      <c r="I175" s="380">
        <f>IF(H175,Wh_hp,'2020'!Maxi_hp)</f>
        <v>58.756543550619334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2.4104459247948906E-2</v>
      </c>
      <c r="M175" s="957"/>
      <c r="N175" s="957"/>
      <c r="O175" s="48">
        <f>IF(t&lt;Tnet,'2020'!Resal+('2020'!Salim-'2020'!Resal)*(1-EXP(('2020'!Tnet-t)/('2020'!Tau_j))),Resal+(Salim-Resal)*(1-EXP((Tnet-t)/(Tau_j))))*Salcycl</f>
        <v>1.3595325790815831E-2</v>
      </c>
      <c r="P175" s="169">
        <f>(INDEX(Models!$BJ175:$BT175,,T175)*(1-R175)+INDEX(Models!$BJ175:$BT175,,T175+1)*R175-ERP_i)*Q175*Ramure*Pc/MaxiM</f>
        <v>4.1635247393546253E-3</v>
      </c>
      <c r="Q175" s="305">
        <f t="shared" si="51"/>
        <v>0.7</v>
      </c>
      <c r="R175" s="177">
        <f t="shared" si="52"/>
        <v>0.7497723254719747</v>
      </c>
      <c r="S175" s="919">
        <f t="shared" si="53"/>
        <v>-1</v>
      </c>
      <c r="T175" s="176">
        <f t="shared" si="54"/>
        <v>5</v>
      </c>
      <c r="U175" s="251">
        <f t="shared" si="55"/>
        <v>-0.2502276745280253</v>
      </c>
      <c r="V175" s="383">
        <f t="shared" si="56"/>
        <v>56.801153610334978</v>
      </c>
      <c r="W175" s="402"/>
      <c r="X175" s="157">
        <f t="shared" si="57"/>
        <v>44357</v>
      </c>
      <c r="Y175" s="385">
        <f t="shared" si="58"/>
        <v>51.998383008011984</v>
      </c>
      <c r="Z175" s="385">
        <f t="shared" si="59"/>
        <v>53.28273451064306</v>
      </c>
      <c r="AA175" s="386">
        <f t="shared" si="60"/>
        <v>58.514820376391839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8.941471292390224E-2</v>
      </c>
      <c r="AD175" s="231">
        <f>(INDEX(Models!$BJ175:$BT175,,AH175)*(1-AF175)+INDEX(Models!$BJ175:$BT175,,AH175+1)*AF175-ERP_i)*AE175*Ramure*Pc/MaxiM</f>
        <v>4.1635247393546253E-3</v>
      </c>
      <c r="AE175" s="305">
        <f t="shared" si="62"/>
        <v>0.7</v>
      </c>
      <c r="AF175" s="177">
        <f t="shared" si="63"/>
        <v>0.7497723254719747</v>
      </c>
      <c r="AG175" s="919">
        <f t="shared" si="71"/>
        <v>-1</v>
      </c>
      <c r="AH175" s="176">
        <f t="shared" si="64"/>
        <v>5</v>
      </c>
      <c r="AI175" s="225">
        <f t="shared" si="65"/>
        <v>-0.2502276745280253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8">
        <v>46.664999999999999</v>
      </c>
      <c r="C176" s="390"/>
      <c r="D176" s="393">
        <f t="shared" si="48"/>
        <v>47.818665171568689</v>
      </c>
      <c r="E176" s="385">
        <f t="shared" si="72"/>
        <v>48.483102868111963</v>
      </c>
      <c r="F176" s="385">
        <f t="shared" si="49"/>
        <v>48.637249876003082</v>
      </c>
      <c r="G176" s="110">
        <f t="shared" si="73"/>
        <v>0.82159598428068137</v>
      </c>
      <c r="H176" s="412" t="b">
        <f>Wh_hp&gt;='2020'!Maxi_hp</f>
        <v>1</v>
      </c>
      <c r="I176" s="380">
        <f>IF(H176,Wh_hp,'2020'!Maxi_hp)</f>
        <v>48.637249876003082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2.4125833864861224E-2</v>
      </c>
      <c r="M176" s="957"/>
      <c r="N176" s="957"/>
      <c r="O176" s="48">
        <f>IF(t&lt;Tnet,'2020'!Resal+('2020'!Salim-'2020'!Resal)*(1-EXP(('2020'!Tnet-t)/('2020'!Tau_j))),Resal+(Salim-Resal)*(1-EXP((Tnet-t)/(Tau_j))))*Salcycl</f>
        <v>1.3704520899801658E-2</v>
      </c>
      <c r="P176" s="169">
        <f>(INDEX(Models!$BJ176:$BT176,,T176)*(1-R176)+INDEX(Models!$BJ176:$BT176,,T176+1)*R176-ERP_i)*Q176*Ramure*Pc/MaxiM</f>
        <v>4.2461053771762677E-3</v>
      </c>
      <c r="Q176" s="305">
        <f t="shared" si="51"/>
        <v>0.7</v>
      </c>
      <c r="R176" s="177">
        <f t="shared" si="52"/>
        <v>0.75491744178298625</v>
      </c>
      <c r="S176" s="919">
        <f t="shared" si="53"/>
        <v>-1</v>
      </c>
      <c r="T176" s="176">
        <f t="shared" si="54"/>
        <v>5</v>
      </c>
      <c r="U176" s="251">
        <f t="shared" si="55"/>
        <v>-0.2450825582170138</v>
      </c>
      <c r="V176" s="383">
        <f t="shared" si="56"/>
        <v>56.736635697428035</v>
      </c>
      <c r="W176" s="402"/>
      <c r="X176" s="157">
        <f t="shared" si="57"/>
        <v>44358</v>
      </c>
      <c r="Y176" s="385">
        <f t="shared" si="58"/>
        <v>43.078934607320214</v>
      </c>
      <c r="Z176" s="385">
        <f t="shared" si="59"/>
        <v>44.143944068045606</v>
      </c>
      <c r="AA176" s="386">
        <f t="shared" si="60"/>
        <v>48.483102868111963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8.9498372492167397E-2</v>
      </c>
      <c r="AD176" s="231">
        <f>(INDEX(Models!$BJ176:$BT176,,AH176)*(1-AF176)+INDEX(Models!$BJ176:$BT176,,AH176+1)*AF176-ERP_i)*AE176*Ramure*Pc/MaxiM</f>
        <v>4.2461053771762677E-3</v>
      </c>
      <c r="AE176" s="305">
        <f t="shared" si="62"/>
        <v>0.7</v>
      </c>
      <c r="AF176" s="177">
        <f t="shared" si="63"/>
        <v>0.75491744178298625</v>
      </c>
      <c r="AG176" s="919">
        <f t="shared" si="71"/>
        <v>-1</v>
      </c>
      <c r="AH176" s="176">
        <f t="shared" si="64"/>
        <v>5</v>
      </c>
      <c r="AI176" s="225">
        <f t="shared" si="65"/>
        <v>-0.2450825582170138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8">
        <v>46.716999999999999</v>
      </c>
      <c r="C177" s="390"/>
      <c r="D177" s="393">
        <f t="shared" si="48"/>
        <v>47.872999271648105</v>
      </c>
      <c r="E177" s="385">
        <f t="shared" si="72"/>
        <v>48.543558432354338</v>
      </c>
      <c r="F177" s="385">
        <f t="shared" si="49"/>
        <v>48.7013362289726</v>
      </c>
      <c r="G177" s="110">
        <f t="shared" si="73"/>
        <v>0.82349548352500135</v>
      </c>
      <c r="H177" s="412" t="b">
        <f>Wh_hp&gt;='2020'!Maxi_hp</f>
        <v>0</v>
      </c>
      <c r="I177" s="380">
        <f>IF(H177,Wh_hp,'2020'!Maxi_hp)</f>
        <v>53.061432092137871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2.4147208013614585E-2</v>
      </c>
      <c r="M177" s="957"/>
      <c r="N177" s="957"/>
      <c r="O177" s="48">
        <f>IF(t&lt;Tnet,'2020'!Resal+('2020'!Salim-'2020'!Resal)*(1-EXP(('2020'!Tnet-t)/('2020'!Tau_j))),Resal+(Salim-Resal)*(1-EXP((Tnet-t)/(Tau_j))))*Salcycl</f>
        <v>1.3813555955949561E-2</v>
      </c>
      <c r="P177" s="169">
        <f>(INDEX(Models!$BJ177:$BT177,,T177)*(1-R177)+INDEX(Models!$BJ177:$BT177,,T177+1)*R177-ERP_i)*Q177*Ramure*Pc/MaxiM</f>
        <v>4.3246040348795742E-3</v>
      </c>
      <c r="Q177" s="305">
        <f t="shared" si="51"/>
        <v>0.7</v>
      </c>
      <c r="R177" s="177">
        <f t="shared" si="52"/>
        <v>0.7600582164272921</v>
      </c>
      <c r="S177" s="919">
        <f t="shared" si="53"/>
        <v>-1</v>
      </c>
      <c r="T177" s="176">
        <f t="shared" si="54"/>
        <v>5</v>
      </c>
      <c r="U177" s="251">
        <f t="shared" si="55"/>
        <v>-0.2399417835727079</v>
      </c>
      <c r="V177" s="383">
        <f t="shared" si="56"/>
        <v>56.66837622494873</v>
      </c>
      <c r="W177" s="402"/>
      <c r="X177" s="157">
        <f t="shared" si="57"/>
        <v>44359</v>
      </c>
      <c r="Y177" s="385">
        <f t="shared" si="58"/>
        <v>43.12779995911324</v>
      </c>
      <c r="Z177" s="385">
        <f t="shared" si="59"/>
        <v>44.194985466327317</v>
      </c>
      <c r="AA177" s="386">
        <f t="shared" si="60"/>
        <v>48.543558432354338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8.9580844636405768E-2</v>
      </c>
      <c r="AD177" s="231">
        <f>(INDEX(Models!$BJ177:$BT177,,AH177)*(1-AF177)+INDEX(Models!$BJ177:$BT177,,AH177+1)*AF177-ERP_i)*AE177*Ramure*Pc/MaxiM</f>
        <v>4.3246040348795742E-3</v>
      </c>
      <c r="AE177" s="305">
        <f t="shared" si="62"/>
        <v>0.7</v>
      </c>
      <c r="AF177" s="177">
        <f t="shared" si="63"/>
        <v>0.7600582164272921</v>
      </c>
      <c r="AG177" s="919">
        <f t="shared" si="71"/>
        <v>-1</v>
      </c>
      <c r="AH177" s="176">
        <f t="shared" si="64"/>
        <v>5</v>
      </c>
      <c r="AI177" s="225">
        <f t="shared" si="65"/>
        <v>-0.2399417835727079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8">
        <v>55.536999999999999</v>
      </c>
      <c r="C178" s="390"/>
      <c r="D178" s="393">
        <f t="shared" si="48"/>
        <v>56.912494267116593</v>
      </c>
      <c r="E178" s="385">
        <f t="shared" si="72"/>
        <v>57.716041192376672</v>
      </c>
      <c r="F178" s="385">
        <f t="shared" si="49"/>
        <v>57.964134485463653</v>
      </c>
      <c r="G178" s="110">
        <f t="shared" si="73"/>
        <v>0.98117156033991793</v>
      </c>
      <c r="H178" s="412" t="b">
        <f>Wh_hp&gt;='2020'!Maxi_hp</f>
        <v>0</v>
      </c>
      <c r="I178" s="380">
        <f>IF(H178,Wh_hp,'2020'!Maxi_hp)</f>
        <v>61.924411785677407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2.4168581694219315E-2</v>
      </c>
      <c r="M178" s="957"/>
      <c r="N178" s="957"/>
      <c r="O178" s="48">
        <f>IF(t&lt;Tnet,'2020'!Resal+('2020'!Salim-'2020'!Resal)*(1-EXP(('2020'!Tnet-t)/('2020'!Tau_j))),Resal+(Salim-Resal)*(1-EXP((Tnet-t)/(Tau_j))))*Salcycl</f>
        <v>1.392241929036208E-2</v>
      </c>
      <c r="P178" s="169">
        <f>(INDEX(Models!$BJ178:$BT178,,T178)*(1-R178)+INDEX(Models!$BJ178:$BT178,,T178+1)*R178-ERP_i)*Q178*Ramure*Pc/MaxiM</f>
        <v>4.3976771301815019E-3</v>
      </c>
      <c r="Q178" s="305">
        <f t="shared" si="51"/>
        <v>0.7</v>
      </c>
      <c r="R178" s="177">
        <f t="shared" si="52"/>
        <v>0.76519032238055862</v>
      </c>
      <c r="S178" s="919">
        <f t="shared" si="53"/>
        <v>-1</v>
      </c>
      <c r="T178" s="176">
        <f t="shared" si="54"/>
        <v>5</v>
      </c>
      <c r="U178" s="251">
        <f t="shared" si="55"/>
        <v>-0.23480967761944138</v>
      </c>
      <c r="V178" s="383">
        <f t="shared" si="56"/>
        <v>56.596058485601844</v>
      </c>
      <c r="W178" s="402"/>
      <c r="X178" s="157">
        <f t="shared" si="57"/>
        <v>44360</v>
      </c>
      <c r="Y178" s="385">
        <f t="shared" si="58"/>
        <v>51.271257029959074</v>
      </c>
      <c r="Z178" s="385">
        <f t="shared" si="59"/>
        <v>52.54110091984456</v>
      </c>
      <c r="AA178" s="386">
        <f t="shared" si="60"/>
        <v>57.716041192376672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8.966207947775244E-2</v>
      </c>
      <c r="AD178" s="231">
        <f>(INDEX(Models!$BJ178:$BT178,,AH178)*(1-AF178)+INDEX(Models!$BJ178:$BT178,,AH178+1)*AF178-ERP_i)*AE178*Ramure*Pc/MaxiM</f>
        <v>4.3976771301815019E-3</v>
      </c>
      <c r="AE178" s="305">
        <f t="shared" si="62"/>
        <v>0.7</v>
      </c>
      <c r="AF178" s="177">
        <f t="shared" si="63"/>
        <v>0.76519032238055862</v>
      </c>
      <c r="AG178" s="919">
        <f t="shared" si="71"/>
        <v>-1</v>
      </c>
      <c r="AH178" s="176">
        <f t="shared" si="64"/>
        <v>5</v>
      </c>
      <c r="AI178" s="225">
        <f t="shared" si="65"/>
        <v>-0.23480967761944138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8">
        <v>55.152999999999999</v>
      </c>
      <c r="C179" s="390"/>
      <c r="D179" s="393">
        <f t="shared" si="48"/>
        <v>56.520221612112884</v>
      </c>
      <c r="E179" s="385">
        <f t="shared" si="72"/>
        <v>57.324548055788846</v>
      </c>
      <c r="F179" s="385">
        <f t="shared" si="49"/>
        <v>57.572810186062441</v>
      </c>
      <c r="G179" s="110">
        <f t="shared" si="73"/>
        <v>0.97566206676719858</v>
      </c>
      <c r="H179" s="412" t="b">
        <f>Wh_hp&gt;='2020'!Maxi_hp</f>
        <v>1</v>
      </c>
      <c r="I179" s="380">
        <f>IF(H179,Wh_hp,'2020'!Maxi_hp)</f>
        <v>57.572810186062441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2.4189954906685518E-2</v>
      </c>
      <c r="M179" s="957"/>
      <c r="N179" s="957"/>
      <c r="O179" s="48">
        <f>IF(t&lt;Tnet,'2020'!Resal+('2020'!Salim-'2020'!Resal)*(1-EXP(('2020'!Tnet-t)/('2020'!Tau_j))),Resal+(Salim-Resal)*(1-EXP((Tnet-t)/(Tau_j))))*Salcycl</f>
        <v>1.4031099606632361E-2</v>
      </c>
      <c r="P179" s="169">
        <f>(INDEX(Models!$BJ179:$BT179,,T179)*(1-R179)+INDEX(Models!$BJ179:$BT179,,T179+1)*R179-ERP_i)*Q179*Ramure*Pc/MaxiM</f>
        <v>4.4664692274009338E-3</v>
      </c>
      <c r="Q179" s="305">
        <f t="shared" si="51"/>
        <v>0.7</v>
      </c>
      <c r="R179" s="177">
        <f t="shared" si="52"/>
        <v>0.77030946179838455</v>
      </c>
      <c r="S179" s="919">
        <f t="shared" si="53"/>
        <v>-1</v>
      </c>
      <c r="T179" s="176">
        <f t="shared" si="54"/>
        <v>5</v>
      </c>
      <c r="U179" s="251">
        <f t="shared" si="55"/>
        <v>-0.22969053820161545</v>
      </c>
      <c r="V179" s="383">
        <f t="shared" si="56"/>
        <v>56.520032298100496</v>
      </c>
      <c r="W179" s="402"/>
      <c r="X179" s="157">
        <f t="shared" si="57"/>
        <v>44361</v>
      </c>
      <c r="Y179" s="385">
        <f t="shared" si="58"/>
        <v>50.917891786311351</v>
      </c>
      <c r="Z179" s="385">
        <f t="shared" si="59"/>
        <v>52.180126698165104</v>
      </c>
      <c r="AA179" s="386">
        <f t="shared" si="60"/>
        <v>57.324548055788846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8.9742030807066095E-2</v>
      </c>
      <c r="AD179" s="231">
        <f>(INDEX(Models!$BJ179:$BT179,,AH179)*(1-AF179)+INDEX(Models!$BJ179:$BT179,,AH179+1)*AF179-ERP_i)*AE179*Ramure*Pc/MaxiM</f>
        <v>4.4664692274009338E-3</v>
      </c>
      <c r="AE179" s="305">
        <f t="shared" si="62"/>
        <v>0.7</v>
      </c>
      <c r="AF179" s="177">
        <f t="shared" si="63"/>
        <v>0.77030946179838455</v>
      </c>
      <c r="AG179" s="919">
        <f t="shared" si="71"/>
        <v>-1</v>
      </c>
      <c r="AH179" s="176">
        <f t="shared" si="64"/>
        <v>5</v>
      </c>
      <c r="AI179" s="225">
        <f t="shared" si="65"/>
        <v>-0.22969053820161545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8">
        <v>49.941000000000003</v>
      </c>
      <c r="C180" s="390"/>
      <c r="D180" s="393">
        <f t="shared" si="48"/>
        <v>51.180139117396251</v>
      </c>
      <c r="E180" s="385">
        <f t="shared" si="72"/>
        <v>51.914184190827889</v>
      </c>
      <c r="F180" s="385">
        <f t="shared" si="49"/>
        <v>52.111448268178343</v>
      </c>
      <c r="G180" s="110">
        <f t="shared" si="73"/>
        <v>0.88417780117181122</v>
      </c>
      <c r="H180" s="412" t="b">
        <f>Wh_hp&gt;='2020'!Maxi_hp</f>
        <v>1</v>
      </c>
      <c r="I180" s="380">
        <f>IF(H180,Wh_hp,'2020'!Maxi_hp)</f>
        <v>52.111448268178343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2.4211327651023518E-2</v>
      </c>
      <c r="M180" s="957"/>
      <c r="N180" s="957"/>
      <c r="O180" s="48">
        <f>IF(t&lt;Tnet,'2020'!Resal+('2020'!Salim-'2020'!Resal)*(1-EXP(('2020'!Tnet-t)/('2020'!Tau_j))),Resal+(Salim-Resal)*(1-EXP((Tnet-t)/(Tau_j))))*Salcycl</f>
        <v>1.4139586027845716E-2</v>
      </c>
      <c r="P180" s="169">
        <f>(INDEX(Models!$BJ180:$BT180,,T180)*(1-R180)+INDEX(Models!$BJ180:$BT180,,T180+1)*R180-ERP_i)*Q180*Ramure*Pc/MaxiM</f>
        <v>4.5308109687396169E-3</v>
      </c>
      <c r="Q180" s="305">
        <f t="shared" si="51"/>
        <v>0.7</v>
      </c>
      <c r="R180" s="177">
        <f t="shared" si="52"/>
        <v>0.77541138034552459</v>
      </c>
      <c r="S180" s="919">
        <f t="shared" si="53"/>
        <v>-1</v>
      </c>
      <c r="T180" s="176">
        <f t="shared" si="54"/>
        <v>5</v>
      </c>
      <c r="U180" s="251">
        <f t="shared" si="55"/>
        <v>-0.22458861965447541</v>
      </c>
      <c r="V180" s="383">
        <f t="shared" si="56"/>
        <v>56.440721830582191</v>
      </c>
      <c r="W180" s="402"/>
      <c r="X180" s="157">
        <f t="shared" si="57"/>
        <v>44362</v>
      </c>
      <c r="Y180" s="385">
        <f t="shared" si="58"/>
        <v>46.107203374666319</v>
      </c>
      <c r="Z180" s="385">
        <f t="shared" si="59"/>
        <v>47.251218097945653</v>
      </c>
      <c r="AA180" s="386">
        <f t="shared" si="60"/>
        <v>51.914184190827889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8.9820656253442141E-2</v>
      </c>
      <c r="AD180" s="231">
        <f>(INDEX(Models!$BJ180:$BT180,,AH180)*(1-AF180)+INDEX(Models!$BJ180:$BT180,,AH180+1)*AF180-ERP_i)*AE180*Ramure*Pc/MaxiM</f>
        <v>4.5308109687396169E-3</v>
      </c>
      <c r="AE180" s="305">
        <f t="shared" si="62"/>
        <v>0.7</v>
      </c>
      <c r="AF180" s="177">
        <f t="shared" si="63"/>
        <v>0.77541138034552459</v>
      </c>
      <c r="AG180" s="919">
        <f t="shared" si="71"/>
        <v>-1</v>
      </c>
      <c r="AH180" s="176">
        <f t="shared" si="64"/>
        <v>5</v>
      </c>
      <c r="AI180" s="225">
        <f t="shared" si="65"/>
        <v>-0.22458861965447541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8">
        <v>49.451000000000001</v>
      </c>
      <c r="C181" s="390"/>
      <c r="D181" s="393">
        <f t="shared" si="48"/>
        <v>50.679091209874287</v>
      </c>
      <c r="E181" s="385">
        <f t="shared" si="72"/>
        <v>51.41159686291563</v>
      </c>
      <c r="F181" s="385">
        <f t="shared" si="49"/>
        <v>51.607020661541092</v>
      </c>
      <c r="G181" s="110">
        <f t="shared" si="73"/>
        <v>0.87672768849852178</v>
      </c>
      <c r="H181" s="412" t="b">
        <f>Wh_hp&gt;='2020'!Maxi_hp</f>
        <v>0</v>
      </c>
      <c r="I181" s="380">
        <f>IF(H181,Wh_hp,'2020'!Maxi_hp)</f>
        <v>59.636866753529013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2.4232699927243528E-2</v>
      </c>
      <c r="M181" s="957"/>
      <c r="N181" s="957"/>
      <c r="O181" s="48">
        <f>IF(t&lt;Tnet,'2020'!Resal+('2020'!Salim-'2020'!Resal)*(1-EXP(('2020'!Tnet-t)/('2020'!Tau_j))),Resal+(Salim-Resal)*(1-EXP((Tnet-t)/(Tau_j))))*Salcycl</f>
        <v>1.4247868141394339E-2</v>
      </c>
      <c r="P181" s="169">
        <f>(INDEX(Models!$BJ181:$BT181,,T181)*(1-R181)+INDEX(Models!$BJ181:$BT181,,T181+1)*R181-ERP_i)*Q181*Ramure*Pc/MaxiM</f>
        <v>4.5905331883756111E-3</v>
      </c>
      <c r="Q181" s="305">
        <f t="shared" si="51"/>
        <v>0.7</v>
      </c>
      <c r="R181" s="177">
        <f t="shared" si="52"/>
        <v>0.78049188121579649</v>
      </c>
      <c r="S181" s="919">
        <f t="shared" si="53"/>
        <v>-1</v>
      </c>
      <c r="T181" s="176">
        <f t="shared" si="54"/>
        <v>5</v>
      </c>
      <c r="U181" s="251">
        <f t="shared" si="55"/>
        <v>-0.21950811878420351</v>
      </c>
      <c r="V181" s="383">
        <f t="shared" si="56"/>
        <v>56.358550728964225</v>
      </c>
      <c r="W181" s="402"/>
      <c r="X181" s="157">
        <f t="shared" si="57"/>
        <v>44363</v>
      </c>
      <c r="Y181" s="385">
        <f t="shared" si="58"/>
        <v>45.655958156719841</v>
      </c>
      <c r="Z181" s="385">
        <f t="shared" si="59"/>
        <v>46.789801373048249</v>
      </c>
      <c r="AA181" s="386">
        <f t="shared" si="60"/>
        <v>51.41159686291563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8.9897917432733676E-2</v>
      </c>
      <c r="AD181" s="231">
        <f>(INDEX(Models!$BJ181:$BT181,,AH181)*(1-AF181)+INDEX(Models!$BJ181:$BT181,,AH181+1)*AF181-ERP_i)*AE181*Ramure*Pc/MaxiM</f>
        <v>4.5905331883756111E-3</v>
      </c>
      <c r="AE181" s="305">
        <f t="shared" si="62"/>
        <v>0.7</v>
      </c>
      <c r="AF181" s="177">
        <f t="shared" si="63"/>
        <v>0.78049188121579649</v>
      </c>
      <c r="AG181" s="919">
        <f t="shared" si="71"/>
        <v>-1</v>
      </c>
      <c r="AH181" s="176">
        <f t="shared" si="64"/>
        <v>5</v>
      </c>
      <c r="AI181" s="225">
        <f t="shared" si="65"/>
        <v>-0.21950811878420351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8">
        <v>14.087</v>
      </c>
      <c r="C182" s="390"/>
      <c r="D182" s="393">
        <f t="shared" si="48"/>
        <v>14.437159912164439</v>
      </c>
      <c r="E182" s="385">
        <f t="shared" si="72"/>
        <v>14.647437589365866</v>
      </c>
      <c r="F182" s="385">
        <f t="shared" si="49"/>
        <v>14.647437589365866</v>
      </c>
      <c r="G182" s="110">
        <f t="shared" si="73"/>
        <v>0.24916611090963575</v>
      </c>
      <c r="H182" s="412" t="b">
        <f>Wh_hp&gt;='2020'!Maxi_hp</f>
        <v>0</v>
      </c>
      <c r="I182" s="380">
        <f>IF(H182,Wh_hp,'2020'!Maxi_hp)</f>
        <v>58.647204437041879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2.4254071735355875E-2</v>
      </c>
      <c r="M182" s="957"/>
      <c r="N182" s="957"/>
      <c r="O182" s="48">
        <f>IF(t&lt;Tnet,'2020'!Resal+('2020'!Salim-'2020'!Resal)*(1-EXP(('2020'!Tnet-t)/('2020'!Tau_j))),Resal+(Salim-Resal)*(1-EXP((Tnet-t)/(Tau_j))))*Salcycl</f>
        <v>1.4355936041269694E-2</v>
      </c>
      <c r="P182" s="169">
        <f>(INDEX(Models!$BJ182:$BT182,,T182)*(1-R182)+INDEX(Models!$BJ182:$BT182,,T182+1)*R182-ERP_i)*Q182*Ramure*Pc/MaxiM</f>
        <v>4.645467577406766E-3</v>
      </c>
      <c r="Q182" s="305">
        <f t="shared" si="51"/>
        <v>0.7</v>
      </c>
      <c r="R182" s="177">
        <f t="shared" si="52"/>
        <v>0.78554683874545628</v>
      </c>
      <c r="S182" s="919">
        <f t="shared" si="53"/>
        <v>-1</v>
      </c>
      <c r="T182" s="176">
        <f t="shared" si="54"/>
        <v>5</v>
      </c>
      <c r="U182" s="251">
        <f t="shared" si="55"/>
        <v>-0.21445316125454372</v>
      </c>
      <c r="V182" s="383">
        <f t="shared" si="56"/>
        <v>56.273942098499191</v>
      </c>
      <c r="W182" s="402"/>
      <c r="X182" s="157">
        <f t="shared" si="57"/>
        <v>44364</v>
      </c>
      <c r="Y182" s="385">
        <f t="shared" si="58"/>
        <v>13.006256344299301</v>
      </c>
      <c r="Z182" s="385">
        <f t="shared" si="59"/>
        <v>13.329552261038708</v>
      </c>
      <c r="AA182" s="386">
        <f t="shared" si="60"/>
        <v>14.647437589365866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8.9973780074949813E-2</v>
      </c>
      <c r="AD182" s="231">
        <f>(INDEX(Models!$BJ182:$BT182,,AH182)*(1-AF182)+INDEX(Models!$BJ182:$BT182,,AH182+1)*AF182-ERP_i)*AE182*Ramure*Pc/MaxiM</f>
        <v>4.645467577406766E-3</v>
      </c>
      <c r="AE182" s="305">
        <f t="shared" si="62"/>
        <v>0.7</v>
      </c>
      <c r="AF182" s="177">
        <f t="shared" si="63"/>
        <v>0.78554683874545628</v>
      </c>
      <c r="AG182" s="919">
        <f t="shared" si="71"/>
        <v>-1</v>
      </c>
      <c r="AH182" s="176">
        <f t="shared" si="64"/>
        <v>5</v>
      </c>
      <c r="AI182" s="225">
        <f t="shared" si="65"/>
        <v>-0.21445316125454372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8">
        <v>43.697000000000003</v>
      </c>
      <c r="C183" s="390"/>
      <c r="D183" s="393">
        <f t="shared" si="48"/>
        <v>44.784155210490844</v>
      </c>
      <c r="E183" s="385">
        <f t="shared" si="72"/>
        <v>45.441409781155649</v>
      </c>
      <c r="F183" s="385">
        <f t="shared" si="49"/>
        <v>45.587486769611395</v>
      </c>
      <c r="G183" s="110">
        <f t="shared" si="73"/>
        <v>0.77653879960677852</v>
      </c>
      <c r="H183" s="412" t="b">
        <f>Wh_hp&gt;='2020'!Maxi_hp</f>
        <v>0</v>
      </c>
      <c r="I183" s="380">
        <f>IF(H183,Wh_hp,'2020'!Maxi_hp)</f>
        <v>56.677985927992459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2.4275443075370773E-2</v>
      </c>
      <c r="M183" s="957"/>
      <c r="N183" s="957"/>
      <c r="O183" s="48">
        <f>IF(t&lt;Tnet,'2020'!Resal+('2020'!Salim-'2020'!Resal)*(1-EXP(('2020'!Tnet-t)/('2020'!Tau_j))),Resal+(Salim-Resal)*(1-EXP((Tnet-t)/(Tau_j))))*Salcycl</f>
        <v>1.4463780367513227E-2</v>
      </c>
      <c r="P183" s="169">
        <f>(INDEX(Models!$BJ183:$BT183,,T183)*(1-R183)+INDEX(Models!$BJ183:$BT183,,T183+1)*R183-ERP_i)*Q183*Ramure*Pc/MaxiM</f>
        <v>4.6954473415553883E-3</v>
      </c>
      <c r="Q183" s="305">
        <f t="shared" si="51"/>
        <v>0.7</v>
      </c>
      <c r="R183" s="177">
        <f t="shared" si="52"/>
        <v>0.79057221152772827</v>
      </c>
      <c r="S183" s="919">
        <f t="shared" si="53"/>
        <v>-1</v>
      </c>
      <c r="T183" s="176">
        <f t="shared" si="54"/>
        <v>5</v>
      </c>
      <c r="U183" s="251">
        <f t="shared" si="55"/>
        <v>-0.20942778847227178</v>
      </c>
      <c r="V183" s="383">
        <f t="shared" si="56"/>
        <v>56.187318472971292</v>
      </c>
      <c r="W183" s="402"/>
      <c r="X183" s="157">
        <f t="shared" si="57"/>
        <v>44365</v>
      </c>
      <c r="Y183" s="385">
        <f t="shared" si="58"/>
        <v>40.345714744008511</v>
      </c>
      <c r="Z183" s="385">
        <f t="shared" si="59"/>
        <v>41.349491982833278</v>
      </c>
      <c r="AA183" s="386">
        <f t="shared" si="60"/>
        <v>45.441409781155649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9.0048214129555174E-2</v>
      </c>
      <c r="AD183" s="231">
        <f>(INDEX(Models!$BJ183:$BT183,,AH183)*(1-AF183)+INDEX(Models!$BJ183:$BT183,,AH183+1)*AF183-ERP_i)*AE183*Ramure*Pc/MaxiM</f>
        <v>4.6954473415553883E-3</v>
      </c>
      <c r="AE183" s="305">
        <f t="shared" si="62"/>
        <v>0.7</v>
      </c>
      <c r="AF183" s="177">
        <f t="shared" si="63"/>
        <v>0.79057221152772827</v>
      </c>
      <c r="AG183" s="919">
        <f t="shared" si="71"/>
        <v>-1</v>
      </c>
      <c r="AH183" s="176">
        <f t="shared" si="64"/>
        <v>5</v>
      </c>
      <c r="AI183" s="225">
        <f t="shared" si="65"/>
        <v>-0.20942778847227178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8">
        <v>35.896999999999998</v>
      </c>
      <c r="C184" s="390"/>
      <c r="D184" s="393">
        <f t="shared" si="48"/>
        <v>36.790901693397835</v>
      </c>
      <c r="E184" s="385">
        <f t="shared" si="72"/>
        <v>37.33492351196891</v>
      </c>
      <c r="F184" s="385">
        <f t="shared" si="49"/>
        <v>37.421030872895685</v>
      </c>
      <c r="G184" s="110">
        <f t="shared" si="73"/>
        <v>0.6383210171569117</v>
      </c>
      <c r="H184" s="412" t="b">
        <f>Wh_hp&gt;='2020'!Maxi_hp</f>
        <v>0</v>
      </c>
      <c r="I184" s="380">
        <f>IF(H184,Wh_hp,'2020'!Maxi_hp)</f>
        <v>49.581737815799464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2.4296813947298546E-2</v>
      </c>
      <c r="M184" s="957"/>
      <c r="N184" s="957"/>
      <c r="O184" s="48">
        <f>IF(t&lt;Tnet,'2020'!Resal+('2020'!Salim-'2020'!Resal)*(1-EXP(('2020'!Tnet-t)/('2020'!Tau_j))),Resal+(Salim-Resal)*(1-EXP((Tnet-t)/(Tau_j))))*Salcycl</f>
        <v>1.4571392342525514E-2</v>
      </c>
      <c r="P184" s="169">
        <f>(INDEX(Models!$BJ184:$BT184,,T184)*(1-R184)+INDEX(Models!$BJ184:$BT184,,T184+1)*R184-ERP_i)*Q184*Ramure*Pc/MaxiM</f>
        <v>4.7390469494576638E-3</v>
      </c>
      <c r="Q184" s="305">
        <f t="shared" si="51"/>
        <v>0.7</v>
      </c>
      <c r="R184" s="177">
        <f t="shared" si="52"/>
        <v>0.79556405494214077</v>
      </c>
      <c r="S184" s="919">
        <f t="shared" si="53"/>
        <v>-1</v>
      </c>
      <c r="T184" s="176">
        <f t="shared" si="54"/>
        <v>5</v>
      </c>
      <c r="U184" s="251">
        <f t="shared" si="55"/>
        <v>-0.20443594505785928</v>
      </c>
      <c r="V184" s="383">
        <f t="shared" si="56"/>
        <v>56.099172871121461</v>
      </c>
      <c r="W184" s="402"/>
      <c r="X184" s="157">
        <f t="shared" si="57"/>
        <v>44366</v>
      </c>
      <c r="Y184" s="385">
        <f t="shared" si="58"/>
        <v>33.144886651998277</v>
      </c>
      <c r="Z184" s="385">
        <f t="shared" si="59"/>
        <v>33.970255632851845</v>
      </c>
      <c r="AA184" s="386">
        <f t="shared" si="60"/>
        <v>37.33492351196891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9.0121193847856995E-2</v>
      </c>
      <c r="AD184" s="231">
        <f>(INDEX(Models!$BJ184:$BT184,,AH184)*(1-AF184)+INDEX(Models!$BJ184:$BT184,,AH184+1)*AF184-ERP_i)*AE184*Ramure*Pc/MaxiM</f>
        <v>4.7390469494576638E-3</v>
      </c>
      <c r="AE184" s="305">
        <f t="shared" si="62"/>
        <v>0.7</v>
      </c>
      <c r="AF184" s="177">
        <f t="shared" si="63"/>
        <v>0.79556405494214077</v>
      </c>
      <c r="AG184" s="919">
        <f t="shared" si="71"/>
        <v>-1</v>
      </c>
      <c r="AH184" s="176">
        <f t="shared" si="64"/>
        <v>5</v>
      </c>
      <c r="AI184" s="225">
        <f t="shared" si="65"/>
        <v>-0.20443594505785928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8">
        <v>33.497999999999998</v>
      </c>
      <c r="C185" s="390"/>
      <c r="D185" s="393">
        <f t="shared" si="48"/>
        <v>34.332914135253269</v>
      </c>
      <c r="E185" s="385">
        <f t="shared" si="72"/>
        <v>34.844386656883351</v>
      </c>
      <c r="F185" s="385">
        <f t="shared" si="49"/>
        <v>34.915451126250154</v>
      </c>
      <c r="G185" s="110">
        <f t="shared" si="73"/>
        <v>0.59643003479451995</v>
      </c>
      <c r="H185" s="412" t="b">
        <f>Wh_hp&gt;='2020'!Maxi_hp</f>
        <v>0</v>
      </c>
      <c r="I185" s="380">
        <f>IF(H185,Wh_hp,'2020'!Maxi_hp)</f>
        <v>50.746590499850917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2.4318184351149297E-2</v>
      </c>
      <c r="M185" s="957"/>
      <c r="N185" s="957"/>
      <c r="O185" s="48">
        <f>IF(t&lt;Tnet,'2020'!Resal+('2020'!Salim-'2020'!Resal)*(1-EXP(('2020'!Tnet-t)/('2020'!Tau_j))),Resal+(Salim-Resal)*(1-EXP((Tnet-t)/(Tau_j))))*Salcycl</f>
        <v>1.4678763803955261E-2</v>
      </c>
      <c r="P185" s="169">
        <f>(INDEX(Models!$BJ185:$BT185,,T185)*(1-R185)+INDEX(Models!$BJ185:$BT185,,T185+1)*R185-ERP_i)*Q185*Ramure*Pc/MaxiM</f>
        <v>4.779777565286988E-3</v>
      </c>
      <c r="Q185" s="305">
        <f t="shared" si="51"/>
        <v>0.7</v>
      </c>
      <c r="R185" s="177">
        <f t="shared" si="52"/>
        <v>0.80051853301922304</v>
      </c>
      <c r="S185" s="919">
        <f t="shared" si="53"/>
        <v>-1</v>
      </c>
      <c r="T185" s="176">
        <f t="shared" si="54"/>
        <v>5</v>
      </c>
      <c r="U185" s="251">
        <f t="shared" si="55"/>
        <v>-0.19948146698077696</v>
      </c>
      <c r="V185" s="383">
        <f t="shared" si="56"/>
        <v>56.009719588285186</v>
      </c>
      <c r="W185" s="402"/>
      <c r="X185" s="157">
        <f t="shared" si="57"/>
        <v>44367</v>
      </c>
      <c r="Y185" s="385">
        <f t="shared" si="58"/>
        <v>30.930750183923056</v>
      </c>
      <c r="Z185" s="385">
        <f t="shared" si="59"/>
        <v>31.701677419654892</v>
      </c>
      <c r="AA185" s="386">
        <f t="shared" si="60"/>
        <v>34.844386656883351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9.0192697841838282E-2</v>
      </c>
      <c r="AD185" s="231">
        <f>(INDEX(Models!$BJ185:$BT185,,AH185)*(1-AF185)+INDEX(Models!$BJ185:$BT185,,AH185+1)*AF185-ERP_i)*AE185*Ramure*Pc/MaxiM</f>
        <v>4.779777565286988E-3</v>
      </c>
      <c r="AE185" s="305">
        <f t="shared" si="62"/>
        <v>0.7</v>
      </c>
      <c r="AF185" s="177">
        <f t="shared" si="63"/>
        <v>0.80051853301922304</v>
      </c>
      <c r="AG185" s="919">
        <f t="shared" si="71"/>
        <v>-1</v>
      </c>
      <c r="AH185" s="176">
        <f t="shared" si="64"/>
        <v>5</v>
      </c>
      <c r="AI185" s="225">
        <f t="shared" si="65"/>
        <v>-0.19948146698077696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8">
        <v>37.448999999999998</v>
      </c>
      <c r="C186" s="390"/>
      <c r="D186" s="393">
        <f t="shared" si="48"/>
        <v>38.383230728012343</v>
      </c>
      <c r="E186" s="385">
        <f t="shared" si="72"/>
        <v>38.959278222525349</v>
      </c>
      <c r="F186" s="385">
        <f t="shared" si="49"/>
        <v>39.058656400795059</v>
      </c>
      <c r="G186" s="110">
        <f t="shared" si="73"/>
        <v>0.66817006397492207</v>
      </c>
      <c r="H186" s="412" t="b">
        <f>Wh_hp&gt;='2020'!Maxi_hp</f>
        <v>0</v>
      </c>
      <c r="I186" s="380">
        <f>IF(H186,Wh_hp,'2020'!Maxi_hp)</f>
        <v>50.271199376554243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2.4339554286933351E-2</v>
      </c>
      <c r="M186" s="957"/>
      <c r="N186" s="957"/>
      <c r="O186" s="48">
        <f>IF(t&lt;Tnet,'2020'!Resal+('2020'!Salim-'2020'!Resal)*(1-EXP(('2020'!Tnet-t)/('2020'!Tau_j))),Resal+(Salim-Resal)*(1-EXP((Tnet-t)/(Tau_j))))*Salcycl</f>
        <v>1.4785887233915754E-2</v>
      </c>
      <c r="P186" s="169">
        <f>(INDEX(Models!$BJ186:$BT186,,T186)*(1-R186)+INDEX(Models!$BJ186:$BT186,,T186+1)*R186-ERP_i)*Q186*Ramure*Pc/MaxiM</f>
        <v>4.8175546329617186E-3</v>
      </c>
      <c r="Q186" s="305">
        <f t="shared" si="51"/>
        <v>0.7</v>
      </c>
      <c r="R186" s="177">
        <f t="shared" si="52"/>
        <v>0.80543192956884968</v>
      </c>
      <c r="S186" s="919">
        <f t="shared" si="53"/>
        <v>-1</v>
      </c>
      <c r="T186" s="176">
        <f t="shared" si="54"/>
        <v>5</v>
      </c>
      <c r="U186" s="251">
        <f t="shared" si="55"/>
        <v>-0.19456807043115026</v>
      </c>
      <c r="V186" s="383">
        <f t="shared" si="56"/>
        <v>55.919375826925091</v>
      </c>
      <c r="W186" s="402"/>
      <c r="X186" s="157">
        <f t="shared" si="57"/>
        <v>44368</v>
      </c>
      <c r="Y186" s="385">
        <f t="shared" si="58"/>
        <v>34.580048503925894</v>
      </c>
      <c r="Z186" s="385">
        <f t="shared" si="59"/>
        <v>35.442708224840338</v>
      </c>
      <c r="AA186" s="386">
        <f t="shared" si="60"/>
        <v>38.959278222525349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9.0262709118974591E-2</v>
      </c>
      <c r="AD186" s="231">
        <f>(INDEX(Models!$BJ186:$BT186,,AH186)*(1-AF186)+INDEX(Models!$BJ186:$BT186,,AH186+1)*AF186-ERP_i)*AE186*Ramure*Pc/MaxiM</f>
        <v>4.8175546329617186E-3</v>
      </c>
      <c r="AE186" s="305">
        <f t="shared" si="62"/>
        <v>0.7</v>
      </c>
      <c r="AF186" s="177">
        <f t="shared" si="63"/>
        <v>0.80543192956884968</v>
      </c>
      <c r="AG186" s="919">
        <f t="shared" si="71"/>
        <v>-1</v>
      </c>
      <c r="AH186" s="176">
        <f t="shared" si="64"/>
        <v>5</v>
      </c>
      <c r="AI186" s="225">
        <f t="shared" si="65"/>
        <v>-0.19456807043115026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8">
        <v>40.597999999999999</v>
      </c>
      <c r="C187" s="390"/>
      <c r="D187" s="393">
        <f t="shared" si="48"/>
        <v>41.611699437293787</v>
      </c>
      <c r="E187" s="385">
        <f t="shared" si="72"/>
        <v>42.240781073966559</v>
      </c>
      <c r="F187" s="385">
        <f t="shared" si="49"/>
        <v>42.366236883768721</v>
      </c>
      <c r="G187" s="110">
        <f t="shared" si="73"/>
        <v>0.72581129411531475</v>
      </c>
      <c r="H187" s="412" t="b">
        <f>Wh_hp&gt;='2020'!Maxi_hp</f>
        <v>0</v>
      </c>
      <c r="I187" s="380">
        <f>IF(H187,Wh_hp,'2020'!Maxi_hp)</f>
        <v>58.651325061036623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2.4360923754661035E-2</v>
      </c>
      <c r="M187" s="957"/>
      <c r="N187" s="957"/>
      <c r="O187" s="48">
        <f>IF(t&lt;Tnet,'2020'!Resal+('2020'!Salim-'2020'!Resal)*(1-EXP(('2020'!Tnet-t)/('2020'!Tau_j))),Resal+(Salim-Resal)*(1-EXP((Tnet-t)/(Tau_j))))*Salcycl</f>
        <v>1.4892755784302634E-2</v>
      </c>
      <c r="P187" s="169">
        <f>(INDEX(Models!$BJ187:$BT187,,T187)*(1-R187)+INDEX(Models!$BJ187:$BT187,,T187+1)*R187-ERP_i)*Q187*Ramure*Pc/MaxiM</f>
        <v>4.8522960573547224E-3</v>
      </c>
      <c r="Q187" s="305">
        <f t="shared" si="51"/>
        <v>0.7</v>
      </c>
      <c r="R187" s="177">
        <f t="shared" si="52"/>
        <v>0.8103006585089374</v>
      </c>
      <c r="S187" s="919">
        <f t="shared" si="53"/>
        <v>-1</v>
      </c>
      <c r="T187" s="176">
        <f t="shared" si="54"/>
        <v>5</v>
      </c>
      <c r="U187" s="251">
        <f t="shared" si="55"/>
        <v>-0.18969934149106266</v>
      </c>
      <c r="V187" s="383">
        <f t="shared" si="56"/>
        <v>55.828558280114692</v>
      </c>
      <c r="W187" s="402"/>
      <c r="X187" s="157">
        <f t="shared" si="57"/>
        <v>44369</v>
      </c>
      <c r="Y187" s="385">
        <f t="shared" si="58"/>
        <v>37.489048574672765</v>
      </c>
      <c r="Z187" s="385">
        <f t="shared" si="59"/>
        <v>38.425119993088089</v>
      </c>
      <c r="AA187" s="386">
        <f t="shared" si="60"/>
        <v>42.240781073966559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9.033121509275556E-2</v>
      </c>
      <c r="AD187" s="231">
        <f>(INDEX(Models!$BJ187:$BT187,,AH187)*(1-AF187)+INDEX(Models!$BJ187:$BT187,,AH187+1)*AF187-ERP_i)*AE187*Ramure*Pc/MaxiM</f>
        <v>4.8522960573547224E-3</v>
      </c>
      <c r="AE187" s="305">
        <f t="shared" si="62"/>
        <v>0.7</v>
      </c>
      <c r="AF187" s="177">
        <f t="shared" si="63"/>
        <v>0.8103006585089374</v>
      </c>
      <c r="AG187" s="919">
        <f t="shared" si="71"/>
        <v>-1</v>
      </c>
      <c r="AH187" s="176">
        <f t="shared" si="64"/>
        <v>5</v>
      </c>
      <c r="AI187" s="225">
        <f t="shared" si="65"/>
        <v>-0.18969934149106266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8">
        <v>24.722999999999999</v>
      </c>
      <c r="C188" s="390"/>
      <c r="D188" s="393">
        <f t="shared" si="48"/>
        <v>25.340868473776915</v>
      </c>
      <c r="E188" s="385">
        <f t="shared" si="72"/>
        <v>25.726753394418314</v>
      </c>
      <c r="F188" s="385">
        <f t="shared" si="49"/>
        <v>25.752547441699534</v>
      </c>
      <c r="G188" s="110">
        <f t="shared" si="73"/>
        <v>0.44183611533688649</v>
      </c>
      <c r="H188" s="412" t="b">
        <f>Wh_hp&gt;='2020'!Maxi_hp</f>
        <v>0</v>
      </c>
      <c r="I188" s="380">
        <f>IF(H188,Wh_hp,'2020'!Maxi_hp)</f>
        <v>52.717054573900171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2.4382292754342449E-2</v>
      </c>
      <c r="M188" s="957"/>
      <c r="N188" s="957"/>
      <c r="O188" s="48">
        <f>IF(t&lt;Tnet,'2020'!Resal+('2020'!Salim-'2020'!Resal)*(1-EXP(('2020'!Tnet-t)/('2020'!Tau_j))),Resal+(Salim-Resal)*(1-EXP((Tnet-t)/(Tau_j))))*Salcycl</f>
        <v>1.4999363298018015E-2</v>
      </c>
      <c r="P188" s="169">
        <f>(INDEX(Models!$BJ188:$BT188,,T188)*(1-R188)+INDEX(Models!$BJ188:$BT188,,T188+1)*R188-ERP_i)*Q188*Ramure*Pc/MaxiM</f>
        <v>4.883872511587656E-3</v>
      </c>
      <c r="Q188" s="305">
        <f t="shared" si="51"/>
        <v>0.7</v>
      </c>
      <c r="R188" s="177">
        <f t="shared" si="52"/>
        <v>0.81512127334015927</v>
      </c>
      <c r="S188" s="919">
        <f t="shared" si="53"/>
        <v>-1</v>
      </c>
      <c r="T188" s="176">
        <f t="shared" si="54"/>
        <v>5</v>
      </c>
      <c r="U188" s="251">
        <f t="shared" si="55"/>
        <v>-0.18487872665984073</v>
      </c>
      <c r="V188" s="383">
        <f t="shared" si="56"/>
        <v>55.737685928320715</v>
      </c>
      <c r="W188" s="402"/>
      <c r="X188" s="157">
        <f t="shared" si="57"/>
        <v>44370</v>
      </c>
      <c r="Y188" s="385">
        <f t="shared" si="58"/>
        <v>22.830528505617547</v>
      </c>
      <c r="Z188" s="385">
        <f t="shared" si="59"/>
        <v>23.401101000997812</v>
      </c>
      <c r="AA188" s="386">
        <f t="shared" si="60"/>
        <v>25.726753394418314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9.0398207568821082E-2</v>
      </c>
      <c r="AD188" s="231">
        <f>(INDEX(Models!$BJ188:$BT188,,AH188)*(1-AF188)+INDEX(Models!$BJ188:$BT188,,AH188+1)*AF188-ERP_i)*AE188*Ramure*Pc/MaxiM</f>
        <v>4.883872511587656E-3</v>
      </c>
      <c r="AE188" s="305">
        <f t="shared" si="62"/>
        <v>0.7</v>
      </c>
      <c r="AF188" s="177">
        <f t="shared" si="63"/>
        <v>0.81512127334015927</v>
      </c>
      <c r="AG188" s="919">
        <f t="shared" si="71"/>
        <v>-1</v>
      </c>
      <c r="AH188" s="176">
        <f t="shared" si="64"/>
        <v>5</v>
      </c>
      <c r="AI188" s="225">
        <f t="shared" si="65"/>
        <v>-0.18487872665984073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8">
        <v>36.459000000000003</v>
      </c>
      <c r="C189" s="390"/>
      <c r="D189" s="393">
        <f t="shared" si="48"/>
        <v>37.370988956414749</v>
      </c>
      <c r="E189" s="385">
        <f t="shared" si="72"/>
        <v>37.944162252293282</v>
      </c>
      <c r="F189" s="385">
        <f t="shared" si="49"/>
        <v>38.038972001581541</v>
      </c>
      <c r="G189" s="110">
        <f t="shared" si="73"/>
        <v>0.65359216396647646</v>
      </c>
      <c r="H189" s="412" t="b">
        <f>Wh_hp&gt;='2020'!Maxi_hp</f>
        <v>0</v>
      </c>
      <c r="I189" s="380">
        <f>IF(H189,Wh_hp,'2020'!Maxi_hp)</f>
        <v>57.879746381610467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2.4403661285988032E-2</v>
      </c>
      <c r="M189" s="957"/>
      <c r="N189" s="957"/>
      <c r="O189" s="48">
        <f>IF(t&lt;Tnet,'2020'!Resal+('2020'!Salim-'2020'!Resal)*(1-EXP(('2020'!Tnet-t)/('2020'!Tau_j))),Resal+(Salim-Resal)*(1-EXP((Tnet-t)/(Tau_j))))*Salcycl</f>
        <v>1.5105704325937271E-2</v>
      </c>
      <c r="P189" s="169">
        <f>(INDEX(Models!$BJ189:$BT189,,T189)*(1-R189)+INDEX(Models!$BJ189:$BT189,,T189+1)*R189-ERP_i)*Q189*Ramure*Pc/MaxiM</f>
        <v>4.912153792592351E-3</v>
      </c>
      <c r="Q189" s="305">
        <f t="shared" si="51"/>
        <v>0.7</v>
      </c>
      <c r="R189" s="177">
        <f t="shared" si="52"/>
        <v>0.81989047572170159</v>
      </c>
      <c r="S189" s="919">
        <f t="shared" si="53"/>
        <v>-1</v>
      </c>
      <c r="T189" s="176">
        <f t="shared" si="54"/>
        <v>5</v>
      </c>
      <c r="U189" s="251">
        <f t="shared" si="55"/>
        <v>-0.18010952427829835</v>
      </c>
      <c r="V189" s="383">
        <f t="shared" si="56"/>
        <v>55.647177437212441</v>
      </c>
      <c r="W189" s="402"/>
      <c r="X189" s="157">
        <f t="shared" si="57"/>
        <v>44371</v>
      </c>
      <c r="Y189" s="385">
        <f t="shared" si="58"/>
        <v>33.669384357127498</v>
      </c>
      <c r="Z189" s="385">
        <f t="shared" si="59"/>
        <v>34.511593597726076</v>
      </c>
      <c r="AA189" s="386">
        <f t="shared" si="60"/>
        <v>37.944162252293282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9.0463682706810725E-2</v>
      </c>
      <c r="AD189" s="231">
        <f>(INDEX(Models!$BJ189:$BT189,,AH189)*(1-AF189)+INDEX(Models!$BJ189:$BT189,,AH189+1)*AF189-ERP_i)*AE189*Ramure*Pc/MaxiM</f>
        <v>4.912153792592351E-3</v>
      </c>
      <c r="AE189" s="305">
        <f t="shared" si="62"/>
        <v>0.7</v>
      </c>
      <c r="AF189" s="177">
        <f t="shared" si="63"/>
        <v>0.81989047572170159</v>
      </c>
      <c r="AG189" s="919">
        <f t="shared" si="71"/>
        <v>-1</v>
      </c>
      <c r="AH189" s="176">
        <f t="shared" si="64"/>
        <v>5</v>
      </c>
      <c r="AI189" s="225">
        <f t="shared" si="65"/>
        <v>-0.18010952427829835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8">
        <v>51.588999999999999</v>
      </c>
      <c r="C190" s="390"/>
      <c r="D190" s="393">
        <f t="shared" si="48"/>
        <v>52.880610462573536</v>
      </c>
      <c r="E190" s="385">
        <f t="shared" si="72"/>
        <v>53.697443850292075</v>
      </c>
      <c r="F190" s="385">
        <f t="shared" si="49"/>
        <v>53.936559282131775</v>
      </c>
      <c r="G190" s="110">
        <f t="shared" si="73"/>
        <v>0.92810047805678519</v>
      </c>
      <c r="H190" s="412" t="b">
        <f>Wh_hp&gt;='2020'!Maxi_hp</f>
        <v>0</v>
      </c>
      <c r="I190" s="380">
        <f>IF(H190,Wh_hp,'2020'!Maxi_hp)</f>
        <v>56.287194704165557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2.4425029349607885E-2</v>
      </c>
      <c r="M190" s="957"/>
      <c r="N190" s="957"/>
      <c r="O190" s="48">
        <f>IF(t&lt;Tnet,'2020'!Resal+('2020'!Salim-'2020'!Resal)*(1-EXP(('2020'!Tnet-t)/('2020'!Tau_j))),Resal+(Salim-Resal)*(1-EXP((Tnet-t)/(Tau_j))))*Salcycl</f>
        <v>1.5211774139489011E-2</v>
      </c>
      <c r="P190" s="169">
        <f>(INDEX(Models!$BJ190:$BT190,,T190)*(1-R190)+INDEX(Models!$BJ190:$BT190,,T190+1)*R190-ERP_i)*Q190*Ramure*Pc/MaxiM</f>
        <v>4.9370611350732906E-3</v>
      </c>
      <c r="Q190" s="305">
        <f t="shared" si="51"/>
        <v>0.7</v>
      </c>
      <c r="R190" s="177">
        <f t="shared" si="52"/>
        <v>0.82460512311267753</v>
      </c>
      <c r="S190" s="919">
        <f t="shared" si="53"/>
        <v>-1</v>
      </c>
      <c r="T190" s="176">
        <f t="shared" si="54"/>
        <v>5</v>
      </c>
      <c r="U190" s="251">
        <f t="shared" si="55"/>
        <v>-0.17539487688732247</v>
      </c>
      <c r="V190" s="383">
        <f t="shared" si="56"/>
        <v>55.557448252365688</v>
      </c>
      <c r="W190" s="402"/>
      <c r="X190" s="157">
        <f t="shared" si="57"/>
        <v>44372</v>
      </c>
      <c r="Y190" s="385">
        <f t="shared" si="58"/>
        <v>47.643511872421968</v>
      </c>
      <c r="Z190" s="385">
        <f t="shared" si="59"/>
        <v>48.836340933038898</v>
      </c>
      <c r="AA190" s="386">
        <f t="shared" si="60"/>
        <v>53.697443850292075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9.0527640958215486E-2</v>
      </c>
      <c r="AD190" s="231">
        <f>(INDEX(Models!$BJ190:$BT190,,AH190)*(1-AF190)+INDEX(Models!$BJ190:$BT190,,AH190+1)*AF190-ERP_i)*AE190*Ramure*Pc/MaxiM</f>
        <v>4.9370611350732906E-3</v>
      </c>
      <c r="AE190" s="305">
        <f t="shared" si="62"/>
        <v>0.7</v>
      </c>
      <c r="AF190" s="177">
        <f t="shared" si="63"/>
        <v>0.82460512311267753</v>
      </c>
      <c r="AG190" s="919">
        <f t="shared" si="71"/>
        <v>-1</v>
      </c>
      <c r="AH190" s="176">
        <f t="shared" si="64"/>
        <v>5</v>
      </c>
      <c r="AI190" s="225">
        <f t="shared" si="65"/>
        <v>-0.17539487688732247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8">
        <v>56.582999999999998</v>
      </c>
      <c r="C191" s="390"/>
      <c r="D191" s="393">
        <f t="shared" si="48"/>
        <v>58.000913350962485</v>
      </c>
      <c r="E191" s="385">
        <f t="shared" si="72"/>
        <v>58.903166655132772</v>
      </c>
      <c r="F191" s="385">
        <f t="shared" si="49"/>
        <v>59.196700093726733</v>
      </c>
      <c r="G191" s="110">
        <f t="shared" si="73"/>
        <v>1.0201039088688002</v>
      </c>
      <c r="H191" s="412" t="b">
        <f>Wh_hp&gt;='2020'!Maxi_hp</f>
        <v>1</v>
      </c>
      <c r="I191" s="380">
        <f>IF(H191,Wh_hp,'2020'!Maxi_hp)</f>
        <v>59.196700093726733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2.4446396945212223E-2</v>
      </c>
      <c r="M191" s="957"/>
      <c r="N191" s="957"/>
      <c r="O191" s="48">
        <f>IF(t&lt;Tnet,'2020'!Resal+('2020'!Salim-'2020'!Resal)*(1-EXP(('2020'!Tnet-t)/('2020'!Tau_j))),Resal+(Salim-Resal)*(1-EXP((Tnet-t)/(Tau_j))))*Salcycl</f>
        <v>1.5317568738754115E-2</v>
      </c>
      <c r="P191" s="169">
        <f>(INDEX(Models!$BJ191:$BT191,,T191)*(1-R191)+INDEX(Models!$BJ191:$BT191,,T191+1)*R191-ERP_i)*Q191*Ramure*Pc/MaxiM</f>
        <v>4.9586115126215337E-3</v>
      </c>
      <c r="Q191" s="305">
        <f t="shared" si="51"/>
        <v>0.7</v>
      </c>
      <c r="R191" s="177">
        <f t="shared" si="52"/>
        <v>0.82926223545350974</v>
      </c>
      <c r="S191" s="919">
        <f t="shared" si="53"/>
        <v>-1</v>
      </c>
      <c r="T191" s="176">
        <f t="shared" si="54"/>
        <v>5</v>
      </c>
      <c r="U191" s="251">
        <f t="shared" si="55"/>
        <v>-0.1707377645464902</v>
      </c>
      <c r="V191" s="383">
        <f t="shared" si="56"/>
        <v>55.467878819075651</v>
      </c>
      <c r="W191" s="402"/>
      <c r="X191" s="157">
        <f t="shared" si="57"/>
        <v>44373</v>
      </c>
      <c r="Y191" s="385">
        <f t="shared" si="58"/>
        <v>52.25760049609179</v>
      </c>
      <c r="Z191" s="385">
        <f t="shared" si="59"/>
        <v>53.567123664405109</v>
      </c>
      <c r="AA191" s="386">
        <f t="shared" si="60"/>
        <v>58.903166655132772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9.0590086980708848E-2</v>
      </c>
      <c r="AD191" s="231">
        <f>(INDEX(Models!$BJ191:$BT191,,AH191)*(1-AF191)+INDEX(Models!$BJ191:$BT191,,AH191+1)*AF191-ERP_i)*AE191*Ramure*Pc/MaxiM</f>
        <v>4.9586115126215337E-3</v>
      </c>
      <c r="AE191" s="305">
        <f t="shared" si="62"/>
        <v>0.7</v>
      </c>
      <c r="AF191" s="177">
        <f t="shared" si="63"/>
        <v>0.82926223545350974</v>
      </c>
      <c r="AG191" s="919">
        <f t="shared" si="71"/>
        <v>-1</v>
      </c>
      <c r="AH191" s="176">
        <f t="shared" si="64"/>
        <v>5</v>
      </c>
      <c r="AI191" s="225">
        <f t="shared" si="65"/>
        <v>-0.1707377645464902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8">
        <v>9.35</v>
      </c>
      <c r="C192" s="390"/>
      <c r="D192" s="393">
        <f t="shared" si="48"/>
        <v>9.5845115677939141</v>
      </c>
      <c r="E192" s="385">
        <f t="shared" si="72"/>
        <v>9.7346498992334993</v>
      </c>
      <c r="F192" s="385">
        <f t="shared" si="49"/>
        <v>9.7346498992334993</v>
      </c>
      <c r="G192" s="110">
        <f t="shared" si="73"/>
        <v>0.16800061461904975</v>
      </c>
      <c r="H192" s="412" t="b">
        <f>Wh_hp&gt;='2020'!Maxi_hp</f>
        <v>0</v>
      </c>
      <c r="I192" s="380">
        <f>IF(H192,Wh_hp,'2020'!Maxi_hp)</f>
        <v>57.199547222334189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2.4467764072811482E-2</v>
      </c>
      <c r="M192" s="957"/>
      <c r="N192" s="957"/>
      <c r="O192" s="48">
        <f>IF(t&lt;Tnet,'2020'!Resal+('2020'!Salim-'2020'!Resal)*(1-EXP(('2020'!Tnet-t)/('2020'!Tau_j))),Resal+(Salim-Resal)*(1-EXP((Tnet-t)/(Tau_j))))*Salcycl</f>
        <v>1.5423084856026319E-2</v>
      </c>
      <c r="P192" s="169">
        <f>(INDEX(Models!$BJ192:$BT192,,T192)*(1-R192)+INDEX(Models!$BJ192:$BT192,,T192+1)*R192-ERP_i)*Q192*Ramure*Pc/MaxiM</f>
        <v>4.972960750677987E-3</v>
      </c>
      <c r="Q192" s="305">
        <f t="shared" si="51"/>
        <v>0.7</v>
      </c>
      <c r="R192" s="177">
        <f t="shared" si="52"/>
        <v>0.833859000871227</v>
      </c>
      <c r="S192" s="919">
        <f t="shared" si="53"/>
        <v>-1</v>
      </c>
      <c r="T192" s="176">
        <f t="shared" si="54"/>
        <v>5</v>
      </c>
      <c r="U192" s="251">
        <f t="shared" si="55"/>
        <v>-0.16614099912877306</v>
      </c>
      <c r="V192" s="383">
        <f t="shared" si="56"/>
        <v>55.37779036152542</v>
      </c>
      <c r="W192" s="402"/>
      <c r="X192" s="157">
        <f t="shared" si="57"/>
        <v>44374</v>
      </c>
      <c r="Y192" s="385">
        <f t="shared" si="58"/>
        <v>8.6356004727723725</v>
      </c>
      <c r="Z192" s="385">
        <f t="shared" si="59"/>
        <v>8.8521938637575825</v>
      </c>
      <c r="AA192" s="386">
        <f t="shared" si="60"/>
        <v>9.7346498992334993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9.0651029529618801E-2</v>
      </c>
      <c r="AD192" s="231">
        <f>(INDEX(Models!$BJ192:$BT192,,AH192)*(1-AF192)+INDEX(Models!$BJ192:$BT192,,AH192+1)*AF192-ERP_i)*AE192*Ramure*Pc/MaxiM</f>
        <v>4.972960750677987E-3</v>
      </c>
      <c r="AE192" s="305">
        <f t="shared" si="62"/>
        <v>0.7</v>
      </c>
      <c r="AF192" s="177">
        <f t="shared" si="63"/>
        <v>0.833859000871227</v>
      </c>
      <c r="AG192" s="919">
        <f t="shared" si="71"/>
        <v>-1</v>
      </c>
      <c r="AH192" s="176">
        <f t="shared" si="64"/>
        <v>5</v>
      </c>
      <c r="AI192" s="225">
        <f t="shared" si="65"/>
        <v>-0.16614099912877306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8">
        <v>30.706</v>
      </c>
      <c r="C193" s="390"/>
      <c r="D193" s="393">
        <f t="shared" si="48"/>
        <v>31.476840461095154</v>
      </c>
      <c r="E193" s="385">
        <f t="shared" si="72"/>
        <v>31.973332599725374</v>
      </c>
      <c r="F193" s="385">
        <f t="shared" si="49"/>
        <v>32.031546951514215</v>
      </c>
      <c r="G193" s="110">
        <f t="shared" si="73"/>
        <v>0.55363121190359144</v>
      </c>
      <c r="H193" s="412" t="b">
        <f>Wh_hp&gt;='2020'!Maxi_hp</f>
        <v>0</v>
      </c>
      <c r="I193" s="380">
        <f>IF(H193,Wh_hp,'2020'!Maxi_hp)</f>
        <v>52.776466913247475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2.4489130732415765E-2</v>
      </c>
      <c r="M193" s="957"/>
      <c r="N193" s="957"/>
      <c r="O193" s="48">
        <f>IF(t&lt;Tnet,'2020'!Resal+('2020'!Salim-'2020'!Resal)*(1-EXP(('2020'!Tnet-t)/('2020'!Tau_j))),Resal+(Salim-Resal)*(1-EXP((Tnet-t)/(Tau_j))))*Salcycl</f>
        <v>1.5528319954813989E-2</v>
      </c>
      <c r="P193" s="169">
        <f>(INDEX(Models!$BJ193:$BT193,,T193)*(1-R193)+INDEX(Models!$BJ193:$BT193,,T193+1)*R193-ERP_i)*Q193*Ramure*Pc/MaxiM</f>
        <v>4.9813098385700898E-3</v>
      </c>
      <c r="Q193" s="305">
        <f t="shared" si="51"/>
        <v>0.7</v>
      </c>
      <c r="R193" s="177">
        <f t="shared" si="52"/>
        <v>0.83839278040205645</v>
      </c>
      <c r="S193" s="919">
        <f t="shared" si="53"/>
        <v>-1</v>
      </c>
      <c r="T193" s="176">
        <f t="shared" si="54"/>
        <v>5</v>
      </c>
      <c r="U193" s="251">
        <f t="shared" si="55"/>
        <v>-0.16160721959794355</v>
      </c>
      <c r="V193" s="383">
        <f t="shared" si="56"/>
        <v>55.287114692410604</v>
      </c>
      <c r="W193" s="402"/>
      <c r="X193" s="157">
        <f t="shared" si="57"/>
        <v>44375</v>
      </c>
      <c r="Y193" s="385">
        <f t="shared" si="58"/>
        <v>28.361043315212388</v>
      </c>
      <c r="Z193" s="385">
        <f t="shared" si="59"/>
        <v>29.073016209963836</v>
      </c>
      <c r="AA193" s="386">
        <f t="shared" si="60"/>
        <v>31.973332599725378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9.0710481327381395E-2</v>
      </c>
      <c r="AD193" s="231">
        <f>(INDEX(Models!$BJ193:$BT193,,AH193)*(1-AF193)+INDEX(Models!$BJ193:$BT193,,AH193+1)*AF193-ERP_i)*AE193*Ramure*Pc/MaxiM</f>
        <v>4.9813098385700898E-3</v>
      </c>
      <c r="AE193" s="305">
        <f t="shared" si="62"/>
        <v>0.7</v>
      </c>
      <c r="AF193" s="177">
        <f t="shared" si="63"/>
        <v>0.83839278040205645</v>
      </c>
      <c r="AG193" s="919">
        <f t="shared" si="71"/>
        <v>-1</v>
      </c>
      <c r="AH193" s="176">
        <f t="shared" si="64"/>
        <v>5</v>
      </c>
      <c r="AI193" s="225">
        <f t="shared" si="65"/>
        <v>-0.16160721959794355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8">
        <v>39.811999999999998</v>
      </c>
      <c r="C194" s="390"/>
      <c r="D194" s="393">
        <f t="shared" si="48"/>
        <v>40.812330501212685</v>
      </c>
      <c r="E194" s="385">
        <f t="shared" si="72"/>
        <v>41.460493685552834</v>
      </c>
      <c r="F194" s="385">
        <f t="shared" si="49"/>
        <v>41.585220202931382</v>
      </c>
      <c r="G194" s="110">
        <f t="shared" si="73"/>
        <v>0.71985050655192517</v>
      </c>
      <c r="H194" s="412" t="b">
        <f>Wh_hp&gt;='2020'!Maxi_hp</f>
        <v>0</v>
      </c>
      <c r="I194" s="380">
        <f>IF(H194,Wh_hp,'2020'!Maxi_hp)</f>
        <v>54.714006796227508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2.4510496924035396E-2</v>
      </c>
      <c r="M194" s="957"/>
      <c r="N194" s="957"/>
      <c r="O194" s="48">
        <f>IF(t&lt;Tnet,'2020'!Resal+('2020'!Salim-'2020'!Resal)*(1-EXP(('2020'!Tnet-t)/('2020'!Tau_j))),Resal+(Salim-Resal)*(1-EXP((Tnet-t)/(Tau_j))))*Salcycl</f>
        <v>1.5633272224300644E-2</v>
      </c>
      <c r="P194" s="169">
        <f>(INDEX(Models!$BJ194:$BT194,,T194)*(1-R194)+INDEX(Models!$BJ194:$BT194,,T194+1)*R194-ERP_i)*Q194*Ramure*Pc/MaxiM</f>
        <v>4.9835722818774705E-3</v>
      </c>
      <c r="Q194" s="305">
        <f t="shared" si="51"/>
        <v>0.7</v>
      </c>
      <c r="R194" s="177">
        <f t="shared" si="52"/>
        <v>0.84286111173382872</v>
      </c>
      <c r="S194" s="919">
        <f t="shared" si="53"/>
        <v>-1</v>
      </c>
      <c r="T194" s="176">
        <f t="shared" si="54"/>
        <v>5</v>
      </c>
      <c r="U194" s="251">
        <f t="shared" si="55"/>
        <v>-0.15713888826617123</v>
      </c>
      <c r="V194" s="383">
        <f t="shared" si="56"/>
        <v>55.19585539923267</v>
      </c>
      <c r="W194" s="402"/>
      <c r="X194" s="157">
        <f t="shared" si="57"/>
        <v>44376</v>
      </c>
      <c r="Y194" s="385">
        <f t="shared" si="58"/>
        <v>36.773211743544557</v>
      </c>
      <c r="Z194" s="385">
        <f t="shared" si="59"/>
        <v>37.697188567984938</v>
      </c>
      <c r="AA194" s="386">
        <f t="shared" si="60"/>
        <v>41.460493685552834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9.0768458911989411E-2</v>
      </c>
      <c r="AD194" s="231">
        <f>(INDEX(Models!$BJ194:$BT194,,AH194)*(1-AF194)+INDEX(Models!$BJ194:$BT194,,AH194+1)*AF194-ERP_i)*AE194*Ramure*Pc/MaxiM</f>
        <v>4.9835722818774705E-3</v>
      </c>
      <c r="AE194" s="305">
        <f t="shared" si="62"/>
        <v>0.7</v>
      </c>
      <c r="AF194" s="177">
        <f t="shared" si="63"/>
        <v>0.84286111173382872</v>
      </c>
      <c r="AG194" s="919">
        <f t="shared" si="71"/>
        <v>-1</v>
      </c>
      <c r="AH194" s="176">
        <f t="shared" si="64"/>
        <v>5</v>
      </c>
      <c r="AI194" s="225">
        <f t="shared" si="65"/>
        <v>-0.15713888826617123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8">
        <v>49.617000000000004</v>
      </c>
      <c r="C195" s="390"/>
      <c r="D195" s="393">
        <f t="shared" si="48"/>
        <v>50.864808495615009</v>
      </c>
      <c r="E195" s="385">
        <f t="shared" si="72"/>
        <v>51.678115607784761</v>
      </c>
      <c r="F195" s="385">
        <f t="shared" si="49"/>
        <v>51.899795502885659</v>
      </c>
      <c r="G195" s="110">
        <f t="shared" si="73"/>
        <v>0.8997838338370665</v>
      </c>
      <c r="H195" s="412" t="b">
        <f>Wh_hp&gt;='2020'!Maxi_hp</f>
        <v>1</v>
      </c>
      <c r="I195" s="380">
        <f>IF(H195,Wh_hp,'2020'!Maxi_hp)</f>
        <v>51.899795502885659</v>
      </c>
      <c r="J195" s="85">
        <f>IF(H195,An,'2020'!An_max)</f>
        <v>2021</v>
      </c>
      <c r="K195" s="197">
        <f t="shared" si="50"/>
        <v>44377</v>
      </c>
      <c r="L195" s="147">
        <f>IF(t&lt;Tvie,1-EXP((T0-t)*PertePVj)+'2020'!Pspv,1-EXP((T0-t)*PertePVj)+Pspv)</f>
        <v>2.4531862647680591E-2</v>
      </c>
      <c r="M195" s="957"/>
      <c r="N195" s="957"/>
      <c r="O195" s="48">
        <f>IF(t&lt;Tnet,'2020'!Resal+('2020'!Salim-'2020'!Resal)*(1-EXP(('2020'!Tnet-t)/('2020'!Tau_j))),Resal+(Salim-Resal)*(1-EXP((Tnet-t)/(Tau_j))))*Salcycl</f>
        <v>1.5737940569319778E-2</v>
      </c>
      <c r="P195" s="169">
        <f>(INDEX(Models!$BJ195:$BT195,,T195)*(1-R195)+INDEX(Models!$BJ195:$BT195,,T195+1)*R195-ERP_i)*Q195*Ramure*Pc/MaxiM</f>
        <v>4.9796677903368898E-3</v>
      </c>
      <c r="Q195" s="305">
        <f t="shared" si="51"/>
        <v>0.7</v>
      </c>
      <c r="R195" s="177">
        <f t="shared" si="52"/>
        <v>0.84726171197938438</v>
      </c>
      <c r="S195" s="919">
        <f t="shared" si="53"/>
        <v>-1</v>
      </c>
      <c r="T195" s="176">
        <f t="shared" si="54"/>
        <v>5</v>
      </c>
      <c r="U195" s="251">
        <f t="shared" si="55"/>
        <v>-0.15273828802061562</v>
      </c>
      <c r="V195" s="383">
        <f t="shared" si="56"/>
        <v>55.104015619673547</v>
      </c>
      <c r="W195" s="402"/>
      <c r="X195" s="157">
        <f t="shared" si="57"/>
        <v>44377</v>
      </c>
      <c r="Y195" s="385">
        <f t="shared" si="58"/>
        <v>45.831835549057601</v>
      </c>
      <c r="Z195" s="385">
        <f t="shared" si="59"/>
        <v>46.9844516638518</v>
      </c>
      <c r="AA195" s="386">
        <f t="shared" si="60"/>
        <v>51.678115607784761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9.0824982465612783E-2</v>
      </c>
      <c r="AD195" s="231">
        <f>(INDEX(Models!$BJ195:$BT195,,AH195)*(1-AF195)+INDEX(Models!$BJ195:$BT195,,AH195+1)*AF195-ERP_i)*AE195*Ramure*Pc/MaxiM</f>
        <v>4.9796677903368898E-3</v>
      </c>
      <c r="AE195" s="305">
        <f t="shared" si="62"/>
        <v>0.7</v>
      </c>
      <c r="AF195" s="177">
        <f t="shared" si="63"/>
        <v>0.84726171197938438</v>
      </c>
      <c r="AG195" s="919">
        <f t="shared" si="71"/>
        <v>-1</v>
      </c>
      <c r="AH195" s="176">
        <f t="shared" si="64"/>
        <v>5</v>
      </c>
      <c r="AI195" s="225">
        <f t="shared" si="65"/>
        <v>-0.15273828802061562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8">
        <v>52.904000000000003</v>
      </c>
      <c r="C196" s="390"/>
      <c r="D196" s="393">
        <f t="shared" si="48"/>
        <v>54.235660533570105</v>
      </c>
      <c r="E196" s="385">
        <f t="shared" si="72"/>
        <v>55.108710615199634</v>
      </c>
      <c r="F196" s="385">
        <f t="shared" si="49"/>
        <v>55.368807466601659</v>
      </c>
      <c r="G196" s="110">
        <f t="shared" si="73"/>
        <v>0.96142531205798054</v>
      </c>
      <c r="H196" s="412" t="b">
        <f>Wh_hp&gt;='2020'!Maxi_hp</f>
        <v>1</v>
      </c>
      <c r="I196" s="380">
        <f>IF(H196,Wh_hp,'2020'!Maxi_hp)</f>
        <v>55.368807466601659</v>
      </c>
      <c r="J196" s="85">
        <f>IF(H196,An,'2020'!An_max)</f>
        <v>2021</v>
      </c>
      <c r="K196" s="197">
        <f t="shared" si="50"/>
        <v>44378</v>
      </c>
      <c r="L196" s="147">
        <f>IF(t&lt;Tvie,1-EXP((T0-t)*PertePVj)+'2020'!Pspv,1-EXP((T0-t)*PertePVj)+Pspv)</f>
        <v>2.4553227903361563E-2</v>
      </c>
      <c r="M196" s="957"/>
      <c r="N196" s="957"/>
      <c r="O196" s="48">
        <f>IF(t&lt;Tnet,'2020'!Resal+('2020'!Salim-'2020'!Resal)*(1-EXP(('2020'!Tnet-t)/('2020'!Tau_j))),Resal+(Salim-Resal)*(1-EXP((Tnet-t)/(Tau_j))))*Salcycl</f>
        <v>1.5842324595936621E-2</v>
      </c>
      <c r="P196" s="169">
        <f>(INDEX(Models!$BJ196:$BT196,,T196)*(1-R196)+INDEX(Models!$BJ196:$BT196,,T196+1)*R196-ERP_i)*Q196*Ramure*Pc/MaxiM</f>
        <v>4.9695221585886028E-3</v>
      </c>
      <c r="Q196" s="305">
        <f t="shared" si="51"/>
        <v>0.7</v>
      </c>
      <c r="R196" s="177">
        <f t="shared" si="52"/>
        <v>0.85159247950032724</v>
      </c>
      <c r="S196" s="919">
        <f t="shared" si="53"/>
        <v>-1</v>
      </c>
      <c r="T196" s="176">
        <f t="shared" si="54"/>
        <v>5</v>
      </c>
      <c r="U196" s="251">
        <f t="shared" si="55"/>
        <v>-0.14840752049967276</v>
      </c>
      <c r="V196" s="383">
        <f t="shared" si="56"/>
        <v>55.011598049289731</v>
      </c>
      <c r="W196" s="402"/>
      <c r="X196" s="157">
        <f t="shared" si="57"/>
        <v>44378</v>
      </c>
      <c r="Y196" s="385">
        <f t="shared" si="58"/>
        <v>48.870299628972631</v>
      </c>
      <c r="Z196" s="385">
        <f t="shared" si="59"/>
        <v>50.100426826909427</v>
      </c>
      <c r="AA196" s="386">
        <f t="shared" si="60"/>
        <v>55.108710615199634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9.088007562472103E-2</v>
      </c>
      <c r="AD196" s="231">
        <f>(INDEX(Models!$BJ196:$BT196,,AH196)*(1-AF196)+INDEX(Models!$BJ196:$BT196,,AH196+1)*AF196-ERP_i)*AE196*Ramure*Pc/MaxiM</f>
        <v>4.9695221585886028E-3</v>
      </c>
      <c r="AE196" s="305">
        <f t="shared" si="62"/>
        <v>0.7</v>
      </c>
      <c r="AF196" s="177">
        <f t="shared" si="63"/>
        <v>0.85159247950032724</v>
      </c>
      <c r="AG196" s="919">
        <f t="shared" si="71"/>
        <v>-1</v>
      </c>
      <c r="AH196" s="176">
        <f t="shared" si="64"/>
        <v>5</v>
      </c>
      <c r="AI196" s="225">
        <f t="shared" si="65"/>
        <v>-0.14840752049967276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8">
        <v>52.893999999999998</v>
      </c>
      <c r="C197" s="390"/>
      <c r="D197" s="393">
        <f t="shared" si="48"/>
        <v>54.226596522566062</v>
      </c>
      <c r="E197" s="385">
        <f t="shared" si="72"/>
        <v>55.105329504163777</v>
      </c>
      <c r="F197" s="385">
        <f t="shared" si="49"/>
        <v>55.365114437078496</v>
      </c>
      <c r="G197" s="110">
        <f t="shared" si="73"/>
        <v>0.96288202153731761</v>
      </c>
      <c r="H197" s="412" t="b">
        <f>Wh_hp&gt;='2020'!Maxi_hp</f>
        <v>1</v>
      </c>
      <c r="I197" s="380">
        <f>IF(H197,Wh_hp,'2020'!Maxi_hp)</f>
        <v>55.365114437078496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2.4574592691088637E-2</v>
      </c>
      <c r="M197" s="957"/>
      <c r="N197" s="957"/>
      <c r="O197" s="48">
        <f>IF(t&lt;Tnet,'2020'!Resal+('2020'!Salim-'2020'!Resal)*(1-EXP(('2020'!Tnet-t)/('2020'!Tau_j))),Resal+(Salim-Resal)*(1-EXP((Tnet-t)/(Tau_j))))*Salcycl</f>
        <v>1.5946424592766809E-2</v>
      </c>
      <c r="P197" s="169">
        <f>(INDEX(Models!$BJ197:$BT197,,T197)*(1-R197)+INDEX(Models!$BJ197:$BT197,,T197+1)*R197-ERP_i)*Q197*Ramure*Pc/MaxiM</f>
        <v>4.9530671004859427E-3</v>
      </c>
      <c r="Q197" s="305">
        <f t="shared" si="51"/>
        <v>0.7</v>
      </c>
      <c r="R197" s="177">
        <f t="shared" si="52"/>
        <v>0.85585149480798783</v>
      </c>
      <c r="S197" s="919">
        <f t="shared" si="53"/>
        <v>-1</v>
      </c>
      <c r="T197" s="176">
        <f t="shared" si="54"/>
        <v>5</v>
      </c>
      <c r="U197" s="251">
        <f t="shared" si="55"/>
        <v>-0.14414850519201211</v>
      </c>
      <c r="V197" s="383">
        <f t="shared" si="56"/>
        <v>54.918604954822811</v>
      </c>
      <c r="W197" s="402"/>
      <c r="X197" s="157">
        <f t="shared" si="57"/>
        <v>44379</v>
      </c>
      <c r="Y197" s="385">
        <f t="shared" si="58"/>
        <v>48.863345067103346</v>
      </c>
      <c r="Z197" s="385">
        <f t="shared" si="59"/>
        <v>50.094394405730931</v>
      </c>
      <c r="AA197" s="386">
        <f t="shared" si="60"/>
        <v>55.105329504163777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9.0933765273179507E-2</v>
      </c>
      <c r="AD197" s="231">
        <f>(INDEX(Models!$BJ197:$BT197,,AH197)*(1-AF197)+INDEX(Models!$BJ197:$BT197,,AH197+1)*AF197-ERP_i)*AE197*Ramure*Pc/MaxiM</f>
        <v>4.9530671004859427E-3</v>
      </c>
      <c r="AE197" s="305">
        <f t="shared" si="62"/>
        <v>0.7</v>
      </c>
      <c r="AF197" s="177">
        <f t="shared" si="63"/>
        <v>0.85585149480798783</v>
      </c>
      <c r="AG197" s="919">
        <f t="shared" si="71"/>
        <v>-1</v>
      </c>
      <c r="AH197" s="176">
        <f t="shared" si="64"/>
        <v>5</v>
      </c>
      <c r="AI197" s="225">
        <f t="shared" si="65"/>
        <v>-0.14414850519201211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8">
        <v>34.003999999999998</v>
      </c>
      <c r="C198" s="390"/>
      <c r="D198" s="393">
        <f t="shared" si="48"/>
        <v>34.861450743831924</v>
      </c>
      <c r="E198" s="385">
        <f t="shared" si="72"/>
        <v>35.430112607850546</v>
      </c>
      <c r="F198" s="385">
        <f t="shared" si="49"/>
        <v>35.510178380384666</v>
      </c>
      <c r="G198" s="110">
        <f t="shared" si="73"/>
        <v>0.6185643894493752</v>
      </c>
      <c r="H198" s="412" t="b">
        <f>Wh_hp&gt;='2020'!Maxi_hp</f>
        <v>0</v>
      </c>
      <c r="I198" s="380">
        <f>IF(H198,Wh_hp,'2020'!Maxi_hp)</f>
        <v>49.441031489628365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2.4595957010872027E-2</v>
      </c>
      <c r="M198" s="957"/>
      <c r="N198" s="957"/>
      <c r="O198" s="48">
        <f>IF(t&lt;Tnet,'2020'!Resal+('2020'!Salim-'2020'!Resal)*(1-EXP(('2020'!Tnet-t)/('2020'!Tau_j))),Resal+(Salim-Resal)*(1-EXP((Tnet-t)/(Tau_j))))*Salcycl</f>
        <v>1.6050241508197279E-2</v>
      </c>
      <c r="P198" s="169">
        <f>(INDEX(Models!$BJ198:$BT198,,T198)*(1-R198)+INDEX(Models!$BJ198:$BT198,,T198+1)*R198-ERP_i)*Q198*Ramure*Pc/MaxiM</f>
        <v>4.9287257128867298E-3</v>
      </c>
      <c r="Q198" s="305">
        <f t="shared" si="51"/>
        <v>0.7</v>
      </c>
      <c r="R198" s="177">
        <f t="shared" si="52"/>
        <v>0.86003702057528431</v>
      </c>
      <c r="S198" s="919">
        <f t="shared" si="53"/>
        <v>-1</v>
      </c>
      <c r="T198" s="176">
        <f t="shared" si="54"/>
        <v>5</v>
      </c>
      <c r="U198" s="251">
        <f t="shared" si="55"/>
        <v>-0.13996297942471564</v>
      </c>
      <c r="V198" s="383">
        <f t="shared" si="56"/>
        <v>54.825121623670604</v>
      </c>
      <c r="W198" s="402"/>
      <c r="X198" s="157">
        <f t="shared" si="57"/>
        <v>44380</v>
      </c>
      <c r="Y198" s="385">
        <f t="shared" si="58"/>
        <v>31.414316660005511</v>
      </c>
      <c r="Z198" s="385">
        <f t="shared" si="59"/>
        <v>32.206465500938734</v>
      </c>
      <c r="AA198" s="386">
        <f t="shared" si="60"/>
        <v>35.430112607850546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9.0986081319919962E-2</v>
      </c>
      <c r="AD198" s="231">
        <f>(INDEX(Models!$BJ198:$BT198,,AH198)*(1-AF198)+INDEX(Models!$BJ198:$BT198,,AH198+1)*AF198-ERP_i)*AE198*Ramure*Pc/MaxiM</f>
        <v>4.9287257128867298E-3</v>
      </c>
      <c r="AE198" s="305">
        <f t="shared" si="62"/>
        <v>0.7</v>
      </c>
      <c r="AF198" s="177">
        <f t="shared" si="63"/>
        <v>0.86003702057528431</v>
      </c>
      <c r="AG198" s="919">
        <f t="shared" si="71"/>
        <v>-1</v>
      </c>
      <c r="AH198" s="176">
        <f t="shared" si="64"/>
        <v>5</v>
      </c>
      <c r="AI198" s="225">
        <f t="shared" si="65"/>
        <v>-0.13996297942471564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8">
        <v>32.94</v>
      </c>
      <c r="C199" s="390"/>
      <c r="D199" s="393">
        <f t="shared" si="48"/>
        <v>33.771360415314419</v>
      </c>
      <c r="E199" s="385">
        <f t="shared" si="72"/>
        <v>34.325852580617855</v>
      </c>
      <c r="F199" s="385">
        <f t="shared" si="49"/>
        <v>34.39850199561775</v>
      </c>
      <c r="G199" s="110">
        <f t="shared" si="73"/>
        <v>0.60017168904500984</v>
      </c>
      <c r="H199" s="412" t="b">
        <f>Wh_hp&gt;='2020'!Maxi_hp</f>
        <v>0</v>
      </c>
      <c r="I199" s="380">
        <f>IF(H199,Wh_hp,'2020'!Maxi_hp)</f>
        <v>55.745011407918014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2.4617320862721948E-2</v>
      </c>
      <c r="M199" s="957"/>
      <c r="N199" s="957"/>
      <c r="O199" s="48">
        <f>IF(t&lt;Tnet,'2020'!Resal+('2020'!Salim-'2020'!Resal)*(1-EXP(('2020'!Tnet-t)/('2020'!Tau_j))),Resal+(Salim-Resal)*(1-EXP((Tnet-t)/(Tau_j))))*Salcycl</f>
        <v>1.6153776923709291E-2</v>
      </c>
      <c r="P199" s="169">
        <f>(INDEX(Models!$BJ199:$BT199,,T199)*(1-R199)+INDEX(Models!$BJ199:$BT199,,T199+1)*R199-ERP_i)*Q199*Ramure*Pc/MaxiM</f>
        <v>4.8977519652569461E-3</v>
      </c>
      <c r="Q199" s="305">
        <f t="shared" si="51"/>
        <v>0.7</v>
      </c>
      <c r="R199" s="177">
        <f t="shared" si="52"/>
        <v>0.86414750079924141</v>
      </c>
      <c r="S199" s="919">
        <f t="shared" si="53"/>
        <v>-1</v>
      </c>
      <c r="T199" s="176">
        <f t="shared" si="54"/>
        <v>5</v>
      </c>
      <c r="U199" s="251">
        <f t="shared" si="55"/>
        <v>-0.13585249920075854</v>
      </c>
      <c r="V199" s="383">
        <f t="shared" si="56"/>
        <v>54.731076965501074</v>
      </c>
      <c r="W199" s="402"/>
      <c r="X199" s="157">
        <f t="shared" si="57"/>
        <v>44381</v>
      </c>
      <c r="Y199" s="385">
        <f t="shared" si="58"/>
        <v>30.432844745281237</v>
      </c>
      <c r="Z199" s="385">
        <f t="shared" si="59"/>
        <v>31.200928001098976</v>
      </c>
      <c r="AA199" s="386">
        <f t="shared" si="60"/>
        <v>34.325852580617855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9.1037056462899738E-2</v>
      </c>
      <c r="AD199" s="231">
        <f>(INDEX(Models!$BJ199:$BT199,,AH199)*(1-AF199)+INDEX(Models!$BJ199:$BT199,,AH199+1)*AF199-ERP_i)*AE199*Ramure*Pc/MaxiM</f>
        <v>4.8977519652569461E-3</v>
      </c>
      <c r="AE199" s="305">
        <f t="shared" si="62"/>
        <v>0.7</v>
      </c>
      <c r="AF199" s="177">
        <f t="shared" si="63"/>
        <v>0.86414750079924141</v>
      </c>
      <c r="AG199" s="919">
        <f t="shared" si="71"/>
        <v>-1</v>
      </c>
      <c r="AH199" s="176">
        <f t="shared" si="64"/>
        <v>5</v>
      </c>
      <c r="AI199" s="225">
        <f t="shared" si="65"/>
        <v>-0.13585249920075854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8">
        <v>56.114000000000004</v>
      </c>
      <c r="C200" s="390"/>
      <c r="D200" s="393">
        <f t="shared" si="48"/>
        <v>57.531500474425293</v>
      </c>
      <c r="E200" s="385">
        <f t="shared" si="72"/>
        <v>58.482248316598863</v>
      </c>
      <c r="F200" s="385">
        <f t="shared" si="49"/>
        <v>58.767865102105034</v>
      </c>
      <c r="G200" s="110">
        <f t="shared" si="73"/>
        <v>1.0270428783754282</v>
      </c>
      <c r="H200" s="412" t="b">
        <f>Wh_hp&gt;='2020'!Maxi_hp</f>
        <v>1</v>
      </c>
      <c r="I200" s="380">
        <f>IF(H200,Wh_hp,'2020'!Maxi_hp)</f>
        <v>58.767865102105034</v>
      </c>
      <c r="J200" s="85">
        <f>IF(H200,An,'2020'!An_max)</f>
        <v>2021</v>
      </c>
      <c r="K200" s="197">
        <f t="shared" si="50"/>
        <v>44382</v>
      </c>
      <c r="L200" s="147">
        <f>IF(t&lt;Tvie,1-EXP((T0-t)*PertePVj)+'2020'!Pspv,1-EXP((T0-t)*PertePVj)+Pspv)</f>
        <v>2.4638684246648723E-2</v>
      </c>
      <c r="M200" s="957"/>
      <c r="N200" s="957"/>
      <c r="O200" s="48">
        <f>IF(t&lt;Tnet,'2020'!Resal+('2020'!Salim-'2020'!Resal)*(1-EXP(('2020'!Tnet-t)/('2020'!Tau_j))),Resal+(Salim-Resal)*(1-EXP((Tnet-t)/(Tau_j))))*Salcycl</f>
        <v>1.6257033023535747E-2</v>
      </c>
      <c r="P200" s="169">
        <f>(INDEX(Models!$BJ200:$BT200,,T200)*(1-R200)+INDEX(Models!$BJ200:$BT200,,T200+1)*R200-ERP_i)*Q200*Ramure*Pc/MaxiM</f>
        <v>4.8600844187538707E-3</v>
      </c>
      <c r="Q200" s="305">
        <f t="shared" si="51"/>
        <v>0.7</v>
      </c>
      <c r="R200" s="177">
        <f t="shared" si="52"/>
        <v>0.86818155915921524</v>
      </c>
      <c r="S200" s="919">
        <f t="shared" si="53"/>
        <v>-1</v>
      </c>
      <c r="T200" s="176">
        <f t="shared" si="54"/>
        <v>5</v>
      </c>
      <c r="U200" s="251">
        <f t="shared" si="55"/>
        <v>-0.1318184408407847</v>
      </c>
      <c r="V200" s="383">
        <f t="shared" si="56"/>
        <v>54.636472518811374</v>
      </c>
      <c r="W200" s="402"/>
      <c r="X200" s="157">
        <f t="shared" si="57"/>
        <v>44382</v>
      </c>
      <c r="Y200" s="385">
        <f t="shared" si="58"/>
        <v>51.845615341266097</v>
      </c>
      <c r="Z200" s="385">
        <f t="shared" si="59"/>
        <v>53.155291791761798</v>
      </c>
      <c r="AA200" s="386">
        <f t="shared" si="60"/>
        <v>58.482248316598863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9.1086725941162683E-2</v>
      </c>
      <c r="AD200" s="231">
        <f>(INDEX(Models!$BJ200:$BT200,,AH200)*(1-AF200)+INDEX(Models!$BJ200:$BT200,,AH200+1)*AF200-ERP_i)*AE200*Ramure*Pc/MaxiM</f>
        <v>4.8600844187538707E-3</v>
      </c>
      <c r="AE200" s="305">
        <f t="shared" si="62"/>
        <v>0.7</v>
      </c>
      <c r="AF200" s="177">
        <f t="shared" si="63"/>
        <v>0.86818155915921524</v>
      </c>
      <c r="AG200" s="919">
        <f t="shared" si="71"/>
        <v>-1</v>
      </c>
      <c r="AH200" s="176">
        <f t="shared" si="64"/>
        <v>5</v>
      </c>
      <c r="AI200" s="225">
        <f t="shared" si="65"/>
        <v>-0.1318184408407847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8">
        <v>22.091999999999999</v>
      </c>
      <c r="C201" s="390"/>
      <c r="D201" s="393">
        <f t="shared" si="48"/>
        <v>22.650563975906767</v>
      </c>
      <c r="E201" s="385">
        <f t="shared" si="72"/>
        <v>23.027290741684581</v>
      </c>
      <c r="F201" s="385">
        <f t="shared" si="49"/>
        <v>23.043944585921292</v>
      </c>
      <c r="G201" s="110">
        <f t="shared" si="73"/>
        <v>0.40339172256556965</v>
      </c>
      <c r="H201" s="412" t="b">
        <f>Wh_hp&gt;='2020'!Maxi_hp</f>
        <v>0</v>
      </c>
      <c r="I201" s="380">
        <f>IF(H201,Wh_hp,'2020'!Maxi_hp)</f>
        <v>56.315415913154332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2.4660047162662568E-2</v>
      </c>
      <c r="M201" s="957"/>
      <c r="N201" s="957"/>
      <c r="O201" s="48">
        <f>IF(t&lt;Tnet,'2020'!Resal+('2020'!Salim-'2020'!Resal)*(1-EXP(('2020'!Tnet-t)/('2020'!Tau_j))),Resal+(Salim-Resal)*(1-EXP((Tnet-t)/(Tau_j))))*Salcycl</f>
        <v>1.6360012560915585E-2</v>
      </c>
      <c r="P201" s="169">
        <f>(INDEX(Models!$BJ201:$BT201,,T201)*(1-R201)+INDEX(Models!$BJ201:$BT201,,T201+1)*R201-ERP_i)*Q201*Ramure*Pc/MaxiM</f>
        <v>4.8156667964882761E-3</v>
      </c>
      <c r="Q201" s="305">
        <f t="shared" si="51"/>
        <v>0.7</v>
      </c>
      <c r="R201" s="177">
        <f t="shared" si="52"/>
        <v>0.87213799662034142</v>
      </c>
      <c r="S201" s="919">
        <f t="shared" si="53"/>
        <v>-1</v>
      </c>
      <c r="T201" s="176">
        <f t="shared" si="54"/>
        <v>5</v>
      </c>
      <c r="U201" s="251">
        <f t="shared" si="55"/>
        <v>-0.12786200337965858</v>
      </c>
      <c r="V201" s="383">
        <f t="shared" si="56"/>
        <v>54.541309446364906</v>
      </c>
      <c r="W201" s="402"/>
      <c r="X201" s="157">
        <f t="shared" si="57"/>
        <v>44383</v>
      </c>
      <c r="Y201" s="385">
        <f t="shared" si="58"/>
        <v>20.412593046846045</v>
      </c>
      <c r="Z201" s="385">
        <f t="shared" si="59"/>
        <v>20.928695669099039</v>
      </c>
      <c r="AA201" s="386">
        <f t="shared" si="60"/>
        <v>23.027290741684581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9.1135127276897168E-2</v>
      </c>
      <c r="AD201" s="231">
        <f>(INDEX(Models!$BJ201:$BT201,,AH201)*(1-AF201)+INDEX(Models!$BJ201:$BT201,,AH201+1)*AF201-ERP_i)*AE201*Ramure*Pc/MaxiM</f>
        <v>4.8156667964882761E-3</v>
      </c>
      <c r="AE201" s="305">
        <f t="shared" si="62"/>
        <v>0.7</v>
      </c>
      <c r="AF201" s="177">
        <f t="shared" si="63"/>
        <v>0.87213799662034142</v>
      </c>
      <c r="AG201" s="919">
        <f t="shared" si="71"/>
        <v>-1</v>
      </c>
      <c r="AH201" s="176">
        <f t="shared" si="64"/>
        <v>5</v>
      </c>
      <c r="AI201" s="225">
        <f t="shared" si="65"/>
        <v>-0.12786200337965858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8">
        <v>37.51</v>
      </c>
      <c r="C202" s="390"/>
      <c r="D202" s="393">
        <f t="shared" si="48"/>
        <v>38.459227958559318</v>
      </c>
      <c r="E202" s="385">
        <f t="shared" si="72"/>
        <v>39.102969144663362</v>
      </c>
      <c r="F202" s="385">
        <f t="shared" si="49"/>
        <v>39.206761017538582</v>
      </c>
      <c r="G202" s="110">
        <f t="shared" si="73"/>
        <v>0.68748223345095572</v>
      </c>
      <c r="H202" s="412" t="b">
        <f>Wh_hp&gt;='2020'!Maxi_hp</f>
        <v>0</v>
      </c>
      <c r="I202" s="380">
        <f>IF(H202,Wh_hp,'2020'!Maxi_hp)</f>
        <v>56.989181729783134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2.4681409610773697E-2</v>
      </c>
      <c r="M202" s="957"/>
      <c r="N202" s="957"/>
      <c r="O202" s="48">
        <f>IF(t&lt;Tnet,'2020'!Resal+('2020'!Salim-'2020'!Resal)*(1-EXP(('2020'!Tnet-t)/('2020'!Tau_j))),Resal+(Salim-Resal)*(1-EXP((Tnet-t)/(Tau_j))))*Salcycl</f>
        <v>1.6462718821235567E-2</v>
      </c>
      <c r="P202" s="169">
        <f>(INDEX(Models!$BJ202:$BT202,,T202)*(1-R202)+INDEX(Models!$BJ202:$BT202,,T202+1)*R202-ERP_i)*Q202*Ramure*Pc/MaxiM</f>
        <v>4.7644476411484137E-3</v>
      </c>
      <c r="Q202" s="305">
        <f t="shared" si="51"/>
        <v>0.7</v>
      </c>
      <c r="R202" s="177">
        <f t="shared" si="52"/>
        <v>0.87601578833538096</v>
      </c>
      <c r="S202" s="919">
        <f t="shared" si="53"/>
        <v>-1</v>
      </c>
      <c r="T202" s="176">
        <f t="shared" si="54"/>
        <v>5</v>
      </c>
      <c r="U202" s="251">
        <f t="shared" si="55"/>
        <v>-0.12398421166461898</v>
      </c>
      <c r="V202" s="383">
        <f t="shared" si="56"/>
        <v>54.445588557542116</v>
      </c>
      <c r="W202" s="402"/>
      <c r="X202" s="157">
        <f t="shared" si="57"/>
        <v>44384</v>
      </c>
      <c r="Y202" s="385">
        <f t="shared" si="58"/>
        <v>34.660355615385619</v>
      </c>
      <c r="Z202" s="385">
        <f t="shared" si="59"/>
        <v>35.537470480854367</v>
      </c>
      <c r="AA202" s="386">
        <f t="shared" si="60"/>
        <v>39.102969144663362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9.1182300009450906E-2</v>
      </c>
      <c r="AD202" s="231">
        <f>(INDEX(Models!$BJ202:$BT202,,AH202)*(1-AF202)+INDEX(Models!$BJ202:$BT202,,AH202+1)*AF202-ERP_i)*AE202*Ramure*Pc/MaxiM</f>
        <v>4.7644476411484137E-3</v>
      </c>
      <c r="AE202" s="305">
        <f t="shared" si="62"/>
        <v>0.7</v>
      </c>
      <c r="AF202" s="177">
        <f t="shared" si="63"/>
        <v>0.87601578833538096</v>
      </c>
      <c r="AG202" s="919">
        <f t="shared" si="71"/>
        <v>-1</v>
      </c>
      <c r="AH202" s="176">
        <f t="shared" si="64"/>
        <v>5</v>
      </c>
      <c r="AI202" s="225">
        <f t="shared" si="65"/>
        <v>-0.12398421166461898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8">
        <v>48.18</v>
      </c>
      <c r="C203" s="390"/>
      <c r="D203" s="393">
        <f t="shared" si="48"/>
        <v>49.400324943602619</v>
      </c>
      <c r="E203" s="385">
        <f t="shared" si="72"/>
        <v>50.232433011723053</v>
      </c>
      <c r="F203" s="385">
        <f t="shared" si="49"/>
        <v>50.431293281924347</v>
      </c>
      <c r="G203" s="110">
        <f t="shared" si="73"/>
        <v>0.88580855472014319</v>
      </c>
      <c r="H203" s="412" t="b">
        <f>Wh_hp&gt;='2020'!Maxi_hp</f>
        <v>0</v>
      </c>
      <c r="I203" s="380">
        <f>IF(H203,Wh_hp,'2020'!Maxi_hp)</f>
        <v>59.606340921073496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2.4702771590992434E-2</v>
      </c>
      <c r="M203" s="957"/>
      <c r="N203" s="957"/>
      <c r="O203" s="48">
        <f>IF(t&lt;Tnet,'2020'!Resal+('2020'!Salim-'2020'!Resal)*(1-EXP(('2020'!Tnet-t)/('2020'!Tau_j))),Resal+(Salim-Resal)*(1-EXP((Tnet-t)/(Tau_j))))*Salcycl</f>
        <v>1.6565155582375223E-2</v>
      </c>
      <c r="P203" s="169">
        <f>(INDEX(Models!$BJ203:$BT203,,T203)*(1-R203)+INDEX(Models!$BJ203:$BT203,,T203+1)*R203-ERP_i)*Q203*Ramure*Pc/MaxiM</f>
        <v>4.706379944320143E-3</v>
      </c>
      <c r="Q203" s="305">
        <f t="shared" si="51"/>
        <v>0.7</v>
      </c>
      <c r="R203" s="177">
        <f t="shared" si="52"/>
        <v>0.87981407990098348</v>
      </c>
      <c r="S203" s="919">
        <f t="shared" si="53"/>
        <v>-1</v>
      </c>
      <c r="T203" s="176">
        <f t="shared" si="54"/>
        <v>5</v>
      </c>
      <c r="U203" s="251">
        <f t="shared" si="55"/>
        <v>-0.12018592009901657</v>
      </c>
      <c r="V203" s="383">
        <f t="shared" si="56"/>
        <v>54.349310333081384</v>
      </c>
      <c r="W203" s="402"/>
      <c r="X203" s="157">
        <f t="shared" si="57"/>
        <v>44385</v>
      </c>
      <c r="Y203" s="385">
        <f t="shared" si="58"/>
        <v>44.522137340205298</v>
      </c>
      <c r="Z203" s="385">
        <f t="shared" si="59"/>
        <v>45.64981427542228</v>
      </c>
      <c r="AA203" s="386">
        <f t="shared" si="60"/>
        <v>50.232433011723053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9.1228285423310074E-2</v>
      </c>
      <c r="AD203" s="231">
        <f>(INDEX(Models!$BJ203:$BT203,,AH203)*(1-AF203)+INDEX(Models!$BJ203:$BT203,,AH203+1)*AF203-ERP_i)*AE203*Ramure*Pc/MaxiM</f>
        <v>4.706379944320143E-3</v>
      </c>
      <c r="AE203" s="305">
        <f t="shared" si="62"/>
        <v>0.7</v>
      </c>
      <c r="AF203" s="177">
        <f t="shared" si="63"/>
        <v>0.87981407990098348</v>
      </c>
      <c r="AG203" s="919">
        <f t="shared" si="71"/>
        <v>-1</v>
      </c>
      <c r="AH203" s="176">
        <f t="shared" si="64"/>
        <v>5</v>
      </c>
      <c r="AI203" s="225">
        <f t="shared" si="65"/>
        <v>-0.12018592009901657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8">
        <v>51.343000000000004</v>
      </c>
      <c r="C204" s="390"/>
      <c r="D204" s="393">
        <f t="shared" si="48"/>
        <v>52.644591897237738</v>
      </c>
      <c r="E204" s="385">
        <f t="shared" si="72"/>
        <v>53.536909071182798</v>
      </c>
      <c r="F204" s="385">
        <f t="shared" si="49"/>
        <v>53.767346889138295</v>
      </c>
      <c r="G204" s="110">
        <f t="shared" si="73"/>
        <v>0.94603360439653483</v>
      </c>
      <c r="H204" s="412" t="b">
        <f>Wh_hp&gt;='2020'!Maxi_hp</f>
        <v>0</v>
      </c>
      <c r="I204" s="380">
        <f>IF(H204,Wh_hp,'2020'!Maxi_hp)</f>
        <v>57.249241822105077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2.4724133103328882E-2</v>
      </c>
      <c r="M204" s="957"/>
      <c r="N204" s="957"/>
      <c r="O204" s="48">
        <f>IF(t&lt;Tnet,'2020'!Resal+('2020'!Salim-'2020'!Resal)*(1-EXP(('2020'!Tnet-t)/('2020'!Tau_j))),Resal+(Salim-Resal)*(1-EXP((Tnet-t)/(Tau_j))))*Salcycl</f>
        <v>1.6667327072592719E-2</v>
      </c>
      <c r="P204" s="169">
        <f>(INDEX(Models!$BJ204:$BT204,,T204)*(1-R204)+INDEX(Models!$BJ204:$BT204,,T204+1)*R204-ERP_i)*Q204*Ramure*Pc/MaxiM</f>
        <v>4.641420751963516E-3</v>
      </c>
      <c r="Q204" s="305">
        <f t="shared" si="51"/>
        <v>0.7</v>
      </c>
      <c r="R204" s="177">
        <f t="shared" si="52"/>
        <v>0.88353218302643555</v>
      </c>
      <c r="S204" s="919">
        <f t="shared" si="53"/>
        <v>-1</v>
      </c>
      <c r="T204" s="176">
        <f t="shared" si="54"/>
        <v>5</v>
      </c>
      <c r="U204" s="251">
        <f t="shared" si="55"/>
        <v>-0.11646781697356451</v>
      </c>
      <c r="V204" s="383">
        <f t="shared" si="56"/>
        <v>54.252474951207446</v>
      </c>
      <c r="W204" s="402"/>
      <c r="X204" s="157">
        <f t="shared" si="57"/>
        <v>44386</v>
      </c>
      <c r="Y204" s="385">
        <f t="shared" si="58"/>
        <v>47.447588351675819</v>
      </c>
      <c r="Z204" s="385">
        <f t="shared" si="59"/>
        <v>48.650428009311966</v>
      </c>
      <c r="AA204" s="386">
        <f t="shared" si="60"/>
        <v>53.536909071182798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9.1273126272078023E-2</v>
      </c>
      <c r="AD204" s="231">
        <f>(INDEX(Models!$BJ204:$BT204,,AH204)*(1-AF204)+INDEX(Models!$BJ204:$BT204,,AH204+1)*AF204-ERP_i)*AE204*Ramure*Pc/MaxiM</f>
        <v>4.641420751963516E-3</v>
      </c>
      <c r="AE204" s="305">
        <f t="shared" si="62"/>
        <v>0.7</v>
      </c>
      <c r="AF204" s="177">
        <f t="shared" si="63"/>
        <v>0.88353218302643555</v>
      </c>
      <c r="AG204" s="919">
        <f t="shared" si="71"/>
        <v>-1</v>
      </c>
      <c r="AH204" s="176">
        <f t="shared" si="64"/>
        <v>5</v>
      </c>
      <c r="AI204" s="225">
        <f t="shared" si="65"/>
        <v>-0.11646781697356451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8">
        <v>48.212000000000003</v>
      </c>
      <c r="C205" s="390"/>
      <c r="D205" s="393">
        <f t="shared" si="48"/>
        <v>49.435300950361587</v>
      </c>
      <c r="E205" s="385">
        <f t="shared" si="72"/>
        <v>50.278431938093163</v>
      </c>
      <c r="F205" s="385">
        <f t="shared" si="49"/>
        <v>50.472915494166976</v>
      </c>
      <c r="G205" s="110">
        <f t="shared" si="73"/>
        <v>0.88962524188492209</v>
      </c>
      <c r="H205" s="412" t="b">
        <f>Wh_hp&gt;='2020'!Maxi_hp</f>
        <v>0</v>
      </c>
      <c r="I205" s="380">
        <f>IF(H205,Wh_hp,'2020'!Maxi_hp)</f>
        <v>57.125082544615957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2.4745494147793479E-2</v>
      </c>
      <c r="M205" s="957"/>
      <c r="N205" s="957"/>
      <c r="O205" s="48">
        <f>IF(t&lt;Tnet,'2020'!Resal+('2020'!Salim-'2020'!Resal)*(1-EXP(('2020'!Tnet-t)/('2020'!Tau_j))),Resal+(Salim-Resal)*(1-EXP((Tnet-t)/(Tau_j))))*Salcycl</f>
        <v>1.6769237926308141E-2</v>
      </c>
      <c r="P205" s="169">
        <f>(INDEX(Models!$BJ205:$BT205,,T205)*(1-R205)+INDEX(Models!$BJ205:$BT205,,T205+1)*R205-ERP_i)*Q205*Ramure*Pc/MaxiM</f>
        <v>4.5695683362542393E-3</v>
      </c>
      <c r="Q205" s="305">
        <f t="shared" si="51"/>
        <v>0.7</v>
      </c>
      <c r="R205" s="177">
        <f t="shared" si="52"/>
        <v>0.88716957067426416</v>
      </c>
      <c r="S205" s="919">
        <f t="shared" si="53"/>
        <v>-1</v>
      </c>
      <c r="T205" s="176">
        <f t="shared" si="54"/>
        <v>5</v>
      </c>
      <c r="U205" s="251">
        <f t="shared" si="55"/>
        <v>-0.11283042932573578</v>
      </c>
      <c r="V205" s="383">
        <f t="shared" si="56"/>
        <v>54.15463483910203</v>
      </c>
      <c r="W205" s="402"/>
      <c r="X205" s="157">
        <f t="shared" si="57"/>
        <v>44387</v>
      </c>
      <c r="Y205" s="385">
        <f t="shared" si="58"/>
        <v>44.556611654298983</v>
      </c>
      <c r="Z205" s="385">
        <f t="shared" si="59"/>
        <v>45.687163080947862</v>
      </c>
      <c r="AA205" s="386">
        <f t="shared" si="60"/>
        <v>50.278431938093163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9.1316866500499486E-2</v>
      </c>
      <c r="AD205" s="231">
        <f>(INDEX(Models!$BJ205:$BT205,,AH205)*(1-AF205)+INDEX(Models!$BJ205:$BT205,,AH205+1)*AF205-ERP_i)*AE205*Ramure*Pc/MaxiM</f>
        <v>4.5695683362542393E-3</v>
      </c>
      <c r="AE205" s="305">
        <f t="shared" si="62"/>
        <v>0.7</v>
      </c>
      <c r="AF205" s="177">
        <f t="shared" si="63"/>
        <v>0.88716957067426416</v>
      </c>
      <c r="AG205" s="919">
        <f t="shared" si="71"/>
        <v>-1</v>
      </c>
      <c r="AH205" s="176">
        <f t="shared" si="64"/>
        <v>5</v>
      </c>
      <c r="AI205" s="225">
        <f t="shared" si="65"/>
        <v>-0.11283042932573578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8">
        <v>50.823</v>
      </c>
      <c r="C206" s="390"/>
      <c r="D206" s="393">
        <f t="shared" si="48"/>
        <v>52.113692244983405</v>
      </c>
      <c r="E206" s="385">
        <f t="shared" si="72"/>
        <v>53.00798428329594</v>
      </c>
      <c r="F206" s="385">
        <f t="shared" si="49"/>
        <v>53.226621331323216</v>
      </c>
      <c r="G206" s="110">
        <f t="shared" si="73"/>
        <v>0.93983897544674466</v>
      </c>
      <c r="H206" s="412" t="b">
        <f>Wh_hp&gt;='2020'!Maxi_hp</f>
        <v>0</v>
      </c>
      <c r="I206" s="380">
        <f>IF(H206,Wh_hp,'2020'!Maxi_hp)</f>
        <v>56.244702289420005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2.4766854724396326E-2</v>
      </c>
      <c r="M206" s="957"/>
      <c r="N206" s="957"/>
      <c r="O206" s="48">
        <f>IF(t&lt;Tnet,'2020'!Resal+('2020'!Salim-'2020'!Resal)*(1-EXP(('2020'!Tnet-t)/('2020'!Tau_j))),Resal+(Salim-Resal)*(1-EXP((Tnet-t)/(Tau_j))))*Salcycl</f>
        <v>1.6870893138155877E-2</v>
      </c>
      <c r="P206" s="169">
        <f>(INDEX(Models!$BJ206:$BT206,,T206)*(1-R206)+INDEX(Models!$BJ206:$BT206,,T206+1)*R206-ERP_i)*Q206*Ramure*Pc/MaxiM</f>
        <v>4.4913449448351662E-3</v>
      </c>
      <c r="Q206" s="305">
        <f t="shared" si="51"/>
        <v>0.7</v>
      </c>
      <c r="R206" s="177">
        <f t="shared" si="52"/>
        <v>0.89072587173262852</v>
      </c>
      <c r="S206" s="919">
        <f t="shared" si="53"/>
        <v>-1</v>
      </c>
      <c r="T206" s="176">
        <f t="shared" si="54"/>
        <v>5</v>
      </c>
      <c r="U206" s="251">
        <f t="shared" si="55"/>
        <v>-0.10927412826737148</v>
      </c>
      <c r="V206" s="383">
        <f t="shared" si="56"/>
        <v>54.055451044727448</v>
      </c>
      <c r="W206" s="402"/>
      <c r="X206" s="157">
        <f t="shared" si="57"/>
        <v>44388</v>
      </c>
      <c r="Y206" s="385">
        <f t="shared" si="58"/>
        <v>46.972298164004677</v>
      </c>
      <c r="Z206" s="385">
        <f t="shared" si="59"/>
        <v>48.16519864153117</v>
      </c>
      <c r="AA206" s="386">
        <f t="shared" si="60"/>
        <v>53.00798428329594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9.1359550966567227E-2</v>
      </c>
      <c r="AD206" s="231">
        <f>(INDEX(Models!$BJ206:$BT206,,AH206)*(1-AF206)+INDEX(Models!$BJ206:$BT206,,AH206+1)*AF206-ERP_i)*AE206*Ramure*Pc/MaxiM</f>
        <v>4.4913449448351662E-3</v>
      </c>
      <c r="AE206" s="305">
        <f t="shared" si="62"/>
        <v>0.7</v>
      </c>
      <c r="AF206" s="177">
        <f t="shared" si="63"/>
        <v>0.89072587173262852</v>
      </c>
      <c r="AG206" s="919">
        <f t="shared" si="71"/>
        <v>-1</v>
      </c>
      <c r="AH206" s="176">
        <f t="shared" si="64"/>
        <v>5</v>
      </c>
      <c r="AI206" s="225">
        <f t="shared" si="65"/>
        <v>-0.10927412826737148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8">
        <v>13.814</v>
      </c>
      <c r="C207" s="390"/>
      <c r="D207" s="393">
        <f t="shared" ref="D207:D270" si="74">Wh/(1-Ppv)</f>
        <v>14.165128242001829</v>
      </c>
      <c r="E207" s="385">
        <f t="shared" si="72"/>
        <v>14.409693860517391</v>
      </c>
      <c r="F207" s="385">
        <f t="shared" ref="F207:F270" si="75">Wh_sa/(1-Pvg*MEDIAN((-Sdif+Wh/Env_an)/Csdif,0,1))</f>
        <v>14.409693860517391</v>
      </c>
      <c r="G207" s="110">
        <f t="shared" si="73"/>
        <v>0.25489931921437148</v>
      </c>
      <c r="H207" s="412" t="b">
        <f>Wh_hp&gt;='2020'!Maxi_hp</f>
        <v>0</v>
      </c>
      <c r="I207" s="380">
        <f>IF(H207,Wh_hp,'2020'!Maxi_hp)</f>
        <v>57.631675116560842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2.4788214833147748E-2</v>
      </c>
      <c r="M207" s="957"/>
      <c r="N207" s="957"/>
      <c r="O207" s="48">
        <f>IF(t&lt;Tnet,'2020'!Resal+('2020'!Salim-'2020'!Resal)*(1-EXP(('2020'!Tnet-t)/('2020'!Tau_j))),Resal+(Salim-Resal)*(1-EXP((Tnet-t)/(Tau_j))))*Salcycl</f>
        <v>1.6972298015690085E-2</v>
      </c>
      <c r="P207" s="169">
        <f>(INDEX(Models!$BJ207:$BT207,,T207)*(1-R207)+INDEX(Models!$BJ207:$BT207,,T207+1)*R207-ERP_i)*Q207*Ramure*Pc/MaxiM</f>
        <v>4.4109438258041278E-3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0.89420086527934672</v>
      </c>
      <c r="S207" s="919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-0.10579913472065328</v>
      </c>
      <c r="V207" s="383">
        <f t="shared" ref="V207:V270" si="82">MaxiM*(1-Ppv)*(1-Pvg)*(1-Psa)</f>
        <v>53.954899779171058</v>
      </c>
      <c r="W207" s="402"/>
      <c r="X207" s="157">
        <f t="shared" ref="X207:X270" si="83">t</f>
        <v>44389</v>
      </c>
      <c r="Y207" s="385">
        <f t="shared" ref="Y207:Y270" si="84">Wh_pvt_s*(1-Ppv)</f>
        <v>12.768087257586833</v>
      </c>
      <c r="Z207" s="385">
        <f t="shared" ref="Z207:Z270" si="85">Wh_sa_s*(1-Psa_s)</f>
        <v>13.092630187403138</v>
      </c>
      <c r="AA207" s="386">
        <f t="shared" ref="AA207:AA270" si="86">Wh_hp*(1-Pvg_s*MEDIAN((-Sdif+Wh/Env_an)/Csdif,0,1))</f>
        <v>14.409693860517391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9.1401225165720731E-2</v>
      </c>
      <c r="AD207" s="231">
        <f>(INDEX(Models!$BJ207:$BT207,,AH207)*(1-AF207)+INDEX(Models!$BJ207:$BT207,,AH207+1)*AF207-ERP_i)*AE207*Ramure*Pc/MaxiM</f>
        <v>4.4109438258041278E-3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0.89420086527934672</v>
      </c>
      <c r="AG207" s="919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-0.10579913472065328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8">
        <v>26.422000000000001</v>
      </c>
      <c r="C208" s="390"/>
      <c r="D208" s="393">
        <f t="shared" si="74"/>
        <v>27.094195460081579</v>
      </c>
      <c r="E208" s="385">
        <f t="shared" si="72"/>
        <v>27.564822299504321</v>
      </c>
      <c r="F208" s="385">
        <f t="shared" si="75"/>
        <v>27.597352499780996</v>
      </c>
      <c r="G208" s="110">
        <f t="shared" si="73"/>
        <v>0.48908309009551243</v>
      </c>
      <c r="H208" s="412" t="b">
        <f>Wh_hp&gt;='2020'!Maxi_hp</f>
        <v>0</v>
      </c>
      <c r="I208" s="380">
        <f>IF(H208,Wh_hp,'2020'!Maxi_hp)</f>
        <v>54.575416488787674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2.480957447405796E-2</v>
      </c>
      <c r="M208" s="957"/>
      <c r="N208" s="957"/>
      <c r="O208" s="48">
        <f>IF(t&lt;Tnet,'2020'!Resal+('2020'!Salim-'2020'!Resal)*(1-EXP(('2020'!Tnet-t)/('2020'!Tau_j))),Resal+(Salim-Resal)*(1-EXP((Tnet-t)/(Tau_j))))*Salcycl</f>
        <v>1.7073458131134249E-2</v>
      </c>
      <c r="P208" s="169">
        <f>(INDEX(Models!$BJ208:$BT208,,T208)*(1-R208)+INDEX(Models!$BJ208:$BT208,,T208+1)*R208-ERP_i)*Q208*Ramure*Pc/MaxiM</f>
        <v>4.3283822093124367E-3</v>
      </c>
      <c r="Q208" s="305">
        <f t="shared" si="77"/>
        <v>0.7</v>
      </c>
      <c r="R208" s="177">
        <f t="shared" si="78"/>
        <v>0.89759447449669216</v>
      </c>
      <c r="S208" s="919">
        <f t="shared" si="79"/>
        <v>-1</v>
      </c>
      <c r="T208" s="176">
        <f t="shared" si="80"/>
        <v>5</v>
      </c>
      <c r="U208" s="251">
        <f t="shared" si="81"/>
        <v>-0.10240552550330784</v>
      </c>
      <c r="V208" s="383">
        <f t="shared" si="82"/>
        <v>53.853184804963036</v>
      </c>
      <c r="W208" s="402"/>
      <c r="X208" s="157">
        <f t="shared" si="83"/>
        <v>44390</v>
      </c>
      <c r="Y208" s="385">
        <f t="shared" si="84"/>
        <v>24.42290463422373</v>
      </c>
      <c r="Z208" s="385">
        <f t="shared" si="85"/>
        <v>25.044241611633861</v>
      </c>
      <c r="AA208" s="386">
        <f t="shared" si="86"/>
        <v>27.564822299504321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9.1441934959101301E-2</v>
      </c>
      <c r="AD208" s="231">
        <f>(INDEX(Models!$BJ208:$BT208,,AH208)*(1-AF208)+INDEX(Models!$BJ208:$BT208,,AH208+1)*AF208-ERP_i)*AE208*Ramure*Pc/MaxiM</f>
        <v>4.3283822093124367E-3</v>
      </c>
      <c r="AE208" s="305">
        <f t="shared" si="88"/>
        <v>0.7</v>
      </c>
      <c r="AF208" s="177">
        <f t="shared" si="89"/>
        <v>0.89759447449669216</v>
      </c>
      <c r="AG208" s="919">
        <f t="shared" ref="AG208:AG271" si="95">INDEX(Echel_vg,AH208)</f>
        <v>-1</v>
      </c>
      <c r="AH208" s="176">
        <f t="shared" si="90"/>
        <v>5</v>
      </c>
      <c r="AI208" s="225">
        <f t="shared" si="91"/>
        <v>-0.10240552550330784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8">
        <v>28.329000000000001</v>
      </c>
      <c r="C209" s="390"/>
      <c r="D209" s="393">
        <f t="shared" si="74"/>
        <v>29.050347244863502</v>
      </c>
      <c r="E209" s="385">
        <f t="shared" si="72"/>
        <v>29.557987329799307</v>
      </c>
      <c r="F209" s="385">
        <f t="shared" si="75"/>
        <v>29.598728318085175</v>
      </c>
      <c r="G209" s="110">
        <f t="shared" si="73"/>
        <v>0.52553291636871347</v>
      </c>
      <c r="H209" s="412" t="b">
        <f>Wh_hp&gt;='2020'!Maxi_hp</f>
        <v>0</v>
      </c>
      <c r="I209" s="380">
        <f>IF(H209,Wh_hp,'2020'!Maxi_hp)</f>
        <v>56.367501147703905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2.4830933647137288E-2</v>
      </c>
      <c r="M209" s="957"/>
      <c r="N209" s="957"/>
      <c r="O209" s="48">
        <f>IF(t&lt;Tnet,'2020'!Resal+('2020'!Salim-'2020'!Resal)*(1-EXP(('2020'!Tnet-t)/('2020'!Tau_j))),Resal+(Salim-Resal)*(1-EXP((Tnet-t)/(Tau_j))))*Salcycl</f>
        <v>1.7174379272570487E-2</v>
      </c>
      <c r="P209" s="169">
        <f>(INDEX(Models!$BJ209:$BT209,,T209)*(1-R209)+INDEX(Models!$BJ209:$BT209,,T209+1)*R209-ERP_i)*Q209*Ramure*Pc/MaxiM</f>
        <v>4.2436775678720753E-3</v>
      </c>
      <c r="Q209" s="305">
        <f t="shared" si="77"/>
        <v>0.7</v>
      </c>
      <c r="R209" s="177">
        <f t="shared" si="78"/>
        <v>0.90090676029482508</v>
      </c>
      <c r="S209" s="919">
        <f t="shared" si="79"/>
        <v>-1</v>
      </c>
      <c r="T209" s="176">
        <f t="shared" si="80"/>
        <v>5</v>
      </c>
      <c r="U209" s="251">
        <f t="shared" si="81"/>
        <v>-9.9093239705174918E-2</v>
      </c>
      <c r="V209" s="383">
        <f t="shared" si="82"/>
        <v>53.750509815710494</v>
      </c>
      <c r="W209" s="402"/>
      <c r="X209" s="157">
        <f t="shared" si="83"/>
        <v>44391</v>
      </c>
      <c r="Y209" s="385">
        <f t="shared" si="84"/>
        <v>26.187162435161213</v>
      </c>
      <c r="Z209" s="385">
        <f t="shared" si="85"/>
        <v>26.853971622686242</v>
      </c>
      <c r="AA209" s="386">
        <f t="shared" si="86"/>
        <v>29.557987329799307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9.1481726307764341E-2</v>
      </c>
      <c r="AD209" s="231">
        <f>(INDEX(Models!$BJ209:$BT209,,AH209)*(1-AF209)+INDEX(Models!$BJ209:$BT209,,AH209+1)*AF209-ERP_i)*AE209*Ramure*Pc/MaxiM</f>
        <v>4.2436775678720753E-3</v>
      </c>
      <c r="AE209" s="305">
        <f t="shared" si="88"/>
        <v>0.7</v>
      </c>
      <c r="AF209" s="177">
        <f t="shared" si="89"/>
        <v>0.90090676029482508</v>
      </c>
      <c r="AG209" s="919">
        <f t="shared" si="95"/>
        <v>-1</v>
      </c>
      <c r="AH209" s="176">
        <f t="shared" si="90"/>
        <v>5</v>
      </c>
      <c r="AI209" s="225">
        <f t="shared" si="91"/>
        <v>-9.9093239705174918E-2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8">
        <v>28.852</v>
      </c>
      <c r="C210" s="390"/>
      <c r="D210" s="393">
        <f t="shared" si="74"/>
        <v>29.587312541195498</v>
      </c>
      <c r="E210" s="385">
        <f t="shared" si="72"/>
        <v>30.107420255192459</v>
      </c>
      <c r="F210" s="385">
        <f t="shared" si="75"/>
        <v>30.149998294477093</v>
      </c>
      <c r="G210" s="110">
        <f t="shared" si="73"/>
        <v>0.53633302084485102</v>
      </c>
      <c r="H210" s="412" t="b">
        <f>Wh_hp&gt;='2020'!Maxi_hp</f>
        <v>0</v>
      </c>
      <c r="I210" s="380">
        <f>IF(H210,Wh_hp,'2020'!Maxi_hp)</f>
        <v>57.830639820469678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2.4852292352395833E-2</v>
      </c>
      <c r="M210" s="957"/>
      <c r="N210" s="957"/>
      <c r="O210" s="48">
        <f>IF(t&lt;Tnet,'2020'!Resal+('2020'!Salim-'2020'!Resal)*(1-EXP(('2020'!Tnet-t)/('2020'!Tau_j))),Resal+(Salim-Resal)*(1-EXP((Tnet-t)/(Tau_j))))*Salcycl</f>
        <v>1.7275067394964184E-2</v>
      </c>
      <c r="P210" s="169">
        <f>(INDEX(Models!$BJ210:$BT210,,T210)*(1-R210)+INDEX(Models!$BJ210:$BT210,,T210+1)*R210-ERP_i)*Q210*Ramure*Pc/MaxiM</f>
        <v>4.156847477721326E-3</v>
      </c>
      <c r="Q210" s="305">
        <f t="shared" si="77"/>
        <v>0.7</v>
      </c>
      <c r="R210" s="177">
        <f t="shared" si="78"/>
        <v>0.90413791469997751</v>
      </c>
      <c r="S210" s="919">
        <f t="shared" si="79"/>
        <v>-1</v>
      </c>
      <c r="T210" s="176">
        <f t="shared" si="80"/>
        <v>5</v>
      </c>
      <c r="U210" s="251">
        <f t="shared" si="81"/>
        <v>-9.5862085300022548E-2</v>
      </c>
      <c r="V210" s="383">
        <f t="shared" si="82"/>
        <v>53.647078450829696</v>
      </c>
      <c r="W210" s="402"/>
      <c r="X210" s="157">
        <f t="shared" si="83"/>
        <v>44392</v>
      </c>
      <c r="Y210" s="385">
        <f t="shared" si="84"/>
        <v>26.672210585473508</v>
      </c>
      <c r="Z210" s="385">
        <f t="shared" si="85"/>
        <v>27.351969733709538</v>
      </c>
      <c r="AA210" s="386">
        <f t="shared" si="86"/>
        <v>30.107420255192459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9.1520645014668875E-2</v>
      </c>
      <c r="AD210" s="231">
        <f>(INDEX(Models!$BJ210:$BT210,,AH210)*(1-AF210)+INDEX(Models!$BJ210:$BT210,,AH210+1)*AF210-ERP_i)*AE210*Ramure*Pc/MaxiM</f>
        <v>4.156847477721326E-3</v>
      </c>
      <c r="AE210" s="305">
        <f t="shared" si="88"/>
        <v>0.7</v>
      </c>
      <c r="AF210" s="177">
        <f t="shared" si="89"/>
        <v>0.90413791469997751</v>
      </c>
      <c r="AG210" s="919">
        <f t="shared" si="95"/>
        <v>-1</v>
      </c>
      <c r="AH210" s="176">
        <f t="shared" si="90"/>
        <v>5</v>
      </c>
      <c r="AI210" s="225">
        <f t="shared" si="91"/>
        <v>-9.5862085300022548E-2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8">
        <v>43.17</v>
      </c>
      <c r="C211" s="390"/>
      <c r="D211" s="393">
        <f t="shared" si="74"/>
        <v>44.271186012062017</v>
      </c>
      <c r="E211" s="385">
        <f t="shared" si="72"/>
        <v>45.054023484371946</v>
      </c>
      <c r="F211" s="385">
        <f t="shared" si="75"/>
        <v>45.186966512940216</v>
      </c>
      <c r="G211" s="110">
        <f t="shared" si="73"/>
        <v>0.80535603083583662</v>
      </c>
      <c r="H211" s="412" t="b">
        <f>Wh_hp&gt;='2020'!Maxi_hp</f>
        <v>0</v>
      </c>
      <c r="I211" s="380">
        <f>IF(H211,Wh_hp,'2020'!Maxi_hp)</f>
        <v>57.203978991704709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2.4873650589843921E-2</v>
      </c>
      <c r="M211" s="957"/>
      <c r="N211" s="957"/>
      <c r="O211" s="48">
        <f>IF(t&lt;Tnet,'2020'!Resal+('2020'!Salim-'2020'!Resal)*(1-EXP(('2020'!Tnet-t)/('2020'!Tau_j))),Resal+(Salim-Resal)*(1-EXP((Tnet-t)/(Tau_j))))*Salcycl</f>
        <v>1.7375528571415458E-2</v>
      </c>
      <c r="P211" s="169">
        <f>(INDEX(Models!$BJ211:$BT211,,T211)*(1-R211)+INDEX(Models!$BJ211:$BT211,,T211+1)*R211-ERP_i)*Q211*Ramure*Pc/MaxiM</f>
        <v>4.06790949736195E-3</v>
      </c>
      <c r="Q211" s="305">
        <f t="shared" si="77"/>
        <v>0.7</v>
      </c>
      <c r="R211" s="177">
        <f t="shared" si="78"/>
        <v>0.90728825406131886</v>
      </c>
      <c r="S211" s="919">
        <f t="shared" si="79"/>
        <v>-1</v>
      </c>
      <c r="T211" s="176">
        <f t="shared" si="80"/>
        <v>5</v>
      </c>
      <c r="U211" s="251">
        <f t="shared" si="81"/>
        <v>-9.2711745938681145E-2</v>
      </c>
      <c r="V211" s="383">
        <f t="shared" si="82"/>
        <v>53.543094311259267</v>
      </c>
      <c r="W211" s="402"/>
      <c r="X211" s="157">
        <f t="shared" si="83"/>
        <v>44393</v>
      </c>
      <c r="Y211" s="385">
        <f t="shared" si="84"/>
        <v>39.910882017122731</v>
      </c>
      <c r="Z211" s="385">
        <f t="shared" si="85"/>
        <v>40.928934020975241</v>
      </c>
      <c r="AA211" s="386">
        <f t="shared" si="86"/>
        <v>45.054023484371946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9.155873647616819E-2</v>
      </c>
      <c r="AD211" s="231">
        <f>(INDEX(Models!$BJ211:$BT211,,AH211)*(1-AF211)+INDEX(Models!$BJ211:$BT211,,AH211+1)*AF211-ERP_i)*AE211*Ramure*Pc/MaxiM</f>
        <v>4.06790949736195E-3</v>
      </c>
      <c r="AE211" s="305">
        <f t="shared" si="88"/>
        <v>0.7</v>
      </c>
      <c r="AF211" s="177">
        <f t="shared" si="89"/>
        <v>0.90728825406131886</v>
      </c>
      <c r="AG211" s="919">
        <f t="shared" si="95"/>
        <v>-1</v>
      </c>
      <c r="AH211" s="176">
        <f t="shared" si="90"/>
        <v>5</v>
      </c>
      <c r="AI211" s="225">
        <f t="shared" si="91"/>
        <v>-9.2711745938681145E-2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8">
        <v>54.588999999999999</v>
      </c>
      <c r="C212" s="390"/>
      <c r="D212" s="393">
        <f t="shared" si="74"/>
        <v>55.982689523678815</v>
      </c>
      <c r="E212" s="385">
        <f t="shared" si="72"/>
        <v>56.97843142613165</v>
      </c>
      <c r="F212" s="385">
        <f t="shared" si="75"/>
        <v>57.205914857920881</v>
      </c>
      <c r="G212" s="110">
        <f t="shared" si="73"/>
        <v>1.0215241158608572</v>
      </c>
      <c r="H212" s="412" t="b">
        <f>Wh_hp&gt;='2020'!Maxi_hp</f>
        <v>1</v>
      </c>
      <c r="I212" s="380">
        <f>IF(H212,Wh_hp,'2020'!Maxi_hp)</f>
        <v>57.205914857920881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2.4895008359491766E-2</v>
      </c>
      <c r="M212" s="957"/>
      <c r="N212" s="957"/>
      <c r="O212" s="48">
        <f>IF(t&lt;Tnet,'2020'!Resal+('2020'!Salim-'2020'!Resal)*(1-EXP(('2020'!Tnet-t)/('2020'!Tau_j))),Resal+(Salim-Resal)*(1-EXP((Tnet-t)/(Tau_j))))*Salcycl</f>
        <v>1.7475768945021532E-2</v>
      </c>
      <c r="P212" s="169">
        <f>(INDEX(Models!$BJ212:$BT212,,T212)*(1-R212)+INDEX(Models!$BJ212:$BT212,,T212+1)*R212-ERP_i)*Q212*Ramure*Pc/MaxiM</f>
        <v>3.9765718694337471E-3</v>
      </c>
      <c r="Q212" s="305">
        <f t="shared" si="77"/>
        <v>0.7</v>
      </c>
      <c r="R212" s="177">
        <f t="shared" si="78"/>
        <v>0.91035821212789525</v>
      </c>
      <c r="S212" s="919">
        <f t="shared" si="79"/>
        <v>-1</v>
      </c>
      <c r="T212" s="176">
        <f t="shared" si="80"/>
        <v>5</v>
      </c>
      <c r="U212" s="251">
        <f t="shared" si="81"/>
        <v>-8.9641787872104806E-2</v>
      </c>
      <c r="V212" s="383">
        <f t="shared" si="82"/>
        <v>53.438777560328901</v>
      </c>
      <c r="W212" s="402"/>
      <c r="X212" s="157">
        <f t="shared" si="83"/>
        <v>44394</v>
      </c>
      <c r="Y212" s="385">
        <f t="shared" si="84"/>
        <v>50.47088092878721</v>
      </c>
      <c r="Z212" s="385">
        <f t="shared" si="85"/>
        <v>51.759432431860937</v>
      </c>
      <c r="AA212" s="386">
        <f t="shared" si="86"/>
        <v>56.97843142613165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9.1596045444612861E-2</v>
      </c>
      <c r="AD212" s="231">
        <f>(INDEX(Models!$BJ212:$BT212,,AH212)*(1-AF212)+INDEX(Models!$BJ212:$BT212,,AH212+1)*AF212-ERP_i)*AE212*Ramure*Pc/MaxiM</f>
        <v>3.9765718694337471E-3</v>
      </c>
      <c r="AE212" s="305">
        <f t="shared" si="88"/>
        <v>0.7</v>
      </c>
      <c r="AF212" s="177">
        <f t="shared" si="89"/>
        <v>0.91035821212789525</v>
      </c>
      <c r="AG212" s="919">
        <f t="shared" si="95"/>
        <v>-1</v>
      </c>
      <c r="AH212" s="176">
        <f t="shared" si="90"/>
        <v>5</v>
      </c>
      <c r="AI212" s="225">
        <f t="shared" si="91"/>
        <v>-8.9641787872104806E-2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8">
        <v>51.027000000000001</v>
      </c>
      <c r="C213" s="390"/>
      <c r="D213" s="393">
        <f t="shared" si="74"/>
        <v>52.330895733481391</v>
      </c>
      <c r="E213" s="385">
        <f t="shared" si="72"/>
        <v>53.267107477800451</v>
      </c>
      <c r="F213" s="385">
        <f t="shared" si="75"/>
        <v>53.461943875077729</v>
      </c>
      <c r="G213" s="110">
        <f t="shared" si="73"/>
        <v>0.95650936517812568</v>
      </c>
      <c r="H213" s="412" t="b">
        <f>Wh_hp&gt;='2020'!Maxi_hp</f>
        <v>1</v>
      </c>
      <c r="I213" s="380">
        <f>IF(H213,Wh_hp,'2020'!Maxi_hp)</f>
        <v>53.461943875077729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2.4916365661349693E-2</v>
      </c>
      <c r="M213" s="957"/>
      <c r="N213" s="957"/>
      <c r="O213" s="48">
        <f>IF(t&lt;Tnet,'2020'!Resal+('2020'!Salim-'2020'!Resal)*(1-EXP(('2020'!Tnet-t)/('2020'!Tau_j))),Resal+(Salim-Resal)*(1-EXP((Tnet-t)/(Tau_j))))*Salcycl</f>
        <v>1.7575794681722337E-2</v>
      </c>
      <c r="P213" s="169">
        <f>(INDEX(Models!$BJ213:$BT213,,T213)*(1-R213)+INDEX(Models!$BJ213:$BT213,,T213+1)*R213-ERP_i)*Q213*Ramure*Pc/MaxiM</f>
        <v>3.8844541122110645E-3</v>
      </c>
      <c r="Q213" s="305">
        <f t="shared" si="77"/>
        <v>0.7</v>
      </c>
      <c r="R213" s="177">
        <f t="shared" si="78"/>
        <v>0.91334833304418561</v>
      </c>
      <c r="S213" s="919">
        <f t="shared" si="79"/>
        <v>-1</v>
      </c>
      <c r="T213" s="176">
        <f t="shared" si="80"/>
        <v>5</v>
      </c>
      <c r="U213" s="251">
        <f t="shared" si="81"/>
        <v>-8.6651666955814388E-2</v>
      </c>
      <c r="V213" s="383">
        <f t="shared" si="82"/>
        <v>53.334245867070003</v>
      </c>
      <c r="W213" s="402"/>
      <c r="X213" s="157">
        <f t="shared" si="83"/>
        <v>44395</v>
      </c>
      <c r="Y213" s="385">
        <f t="shared" si="84"/>
        <v>47.180497245968908</v>
      </c>
      <c r="Z213" s="385">
        <f t="shared" si="85"/>
        <v>48.386103083320684</v>
      </c>
      <c r="AA213" s="386">
        <f t="shared" si="86"/>
        <v>53.267107477800451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9.1632615803551476E-2</v>
      </c>
      <c r="AD213" s="231">
        <f>(INDEX(Models!$BJ213:$BT213,,AH213)*(1-AF213)+INDEX(Models!$BJ213:$BT213,,AH213+1)*AF213-ERP_i)*AE213*Ramure*Pc/MaxiM</f>
        <v>3.8844541122110645E-3</v>
      </c>
      <c r="AE213" s="305">
        <f t="shared" si="88"/>
        <v>0.7</v>
      </c>
      <c r="AF213" s="177">
        <f t="shared" si="89"/>
        <v>0.91334833304418561</v>
      </c>
      <c r="AG213" s="919">
        <f t="shared" si="95"/>
        <v>-1</v>
      </c>
      <c r="AH213" s="176">
        <f t="shared" si="90"/>
        <v>5</v>
      </c>
      <c r="AI213" s="225">
        <f t="shared" si="91"/>
        <v>-8.6651666955814388E-2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8">
        <v>55.117000000000004</v>
      </c>
      <c r="C214" s="390"/>
      <c r="D214" s="393">
        <f t="shared" si="74"/>
        <v>56.526645806725469</v>
      </c>
      <c r="E214" s="385">
        <f t="shared" si="72"/>
        <v>57.5437671027059</v>
      </c>
      <c r="F214" s="385">
        <f t="shared" si="75"/>
        <v>57.76277955645417</v>
      </c>
      <c r="G214" s="110">
        <f t="shared" si="73"/>
        <v>1.035455719107637</v>
      </c>
      <c r="H214" s="412" t="b">
        <f>Wh_hp&gt;='2020'!Maxi_hp</f>
        <v>1</v>
      </c>
      <c r="I214" s="380">
        <f>IF(H214,Wh_hp,'2020'!Maxi_hp)</f>
        <v>57.76277955645417</v>
      </c>
      <c r="J214" s="85">
        <f>IF(H214,An,'2020'!An_max)</f>
        <v>2021</v>
      </c>
      <c r="K214" s="197">
        <f t="shared" si="76"/>
        <v>44396</v>
      </c>
      <c r="L214" s="147">
        <f>IF(t&lt;Tvie,1-EXP((T0-t)*PertePVj)+'2020'!Pspv,1-EXP((T0-t)*PertePVj)+Pspv)</f>
        <v>2.4937722495427916E-2</v>
      </c>
      <c r="M214" s="957"/>
      <c r="N214" s="957"/>
      <c r="O214" s="48">
        <f>IF(t&lt;Tnet,'2020'!Resal+('2020'!Salim-'2020'!Resal)*(1-EXP(('2020'!Tnet-t)/('2020'!Tau_j))),Resal+(Salim-Resal)*(1-EXP((Tnet-t)/(Tau_j))))*Salcycl</f>
        <v>1.7675611924485992E-2</v>
      </c>
      <c r="P214" s="169">
        <f>(INDEX(Models!$BJ214:$BT214,,T214)*(1-R214)+INDEX(Models!$BJ214:$BT214,,T214+1)*R214-ERP_i)*Q214*Ramure*Pc/MaxiM</f>
        <v>3.7915843979464802E-3</v>
      </c>
      <c r="Q214" s="305">
        <f t="shared" si="77"/>
        <v>0.7</v>
      </c>
      <c r="R214" s="177">
        <f t="shared" si="78"/>
        <v>0.91625926430974935</v>
      </c>
      <c r="S214" s="919">
        <f t="shared" si="79"/>
        <v>-1</v>
      </c>
      <c r="T214" s="176">
        <f t="shared" si="80"/>
        <v>5</v>
      </c>
      <c r="U214" s="251">
        <f t="shared" si="81"/>
        <v>-8.3740735690250645E-2</v>
      </c>
      <c r="V214" s="383">
        <f t="shared" si="82"/>
        <v>53.229702615868717</v>
      </c>
      <c r="W214" s="402"/>
      <c r="X214" s="157">
        <f t="shared" si="83"/>
        <v>44396</v>
      </c>
      <c r="Y214" s="385">
        <f t="shared" si="84"/>
        <v>50.965351593359316</v>
      </c>
      <c r="Z214" s="385">
        <f t="shared" si="85"/>
        <v>52.268816842953235</v>
      </c>
      <c r="AA214" s="386">
        <f t="shared" si="86"/>
        <v>57.5437671027059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9.1668490356875187E-2</v>
      </c>
      <c r="AD214" s="231">
        <f>(INDEX(Models!$BJ214:$BT214,,AH214)*(1-AF214)+INDEX(Models!$BJ214:$BT214,,AH214+1)*AF214-ERP_i)*AE214*Ramure*Pc/MaxiM</f>
        <v>3.7915843979464802E-3</v>
      </c>
      <c r="AE214" s="305">
        <f t="shared" si="88"/>
        <v>0.7</v>
      </c>
      <c r="AF214" s="177">
        <f t="shared" si="89"/>
        <v>0.91625926430974935</v>
      </c>
      <c r="AG214" s="919">
        <f t="shared" si="95"/>
        <v>-1</v>
      </c>
      <c r="AH214" s="176">
        <f t="shared" si="90"/>
        <v>5</v>
      </c>
      <c r="AI214" s="225">
        <f t="shared" si="91"/>
        <v>-8.3740735690250645E-2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8">
        <v>47.179000000000002</v>
      </c>
      <c r="C215" s="390"/>
      <c r="D215" s="393">
        <f t="shared" si="74"/>
        <v>48.38668714019019</v>
      </c>
      <c r="E215" s="385">
        <f t="shared" si="72"/>
        <v>49.262336338806499</v>
      </c>
      <c r="F215" s="385">
        <f t="shared" si="75"/>
        <v>49.415855513346131</v>
      </c>
      <c r="G215" s="110">
        <f t="shared" si="73"/>
        <v>0.8875426605386737</v>
      </c>
      <c r="H215" s="412" t="b">
        <f>Wh_hp&gt;='2020'!Maxi_hp</f>
        <v>0</v>
      </c>
      <c r="I215" s="380">
        <f>IF(H215,Wh_hp,'2020'!Maxi_hp)</f>
        <v>55.682250887635263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2.495907886173665E-2</v>
      </c>
      <c r="M215" s="957"/>
      <c r="N215" s="957"/>
      <c r="O215" s="48">
        <f>IF(t&lt;Tnet,'2020'!Resal+('2020'!Salim-'2020'!Resal)*(1-EXP(('2020'!Tnet-t)/('2020'!Tau_j))),Resal+(Salim-Resal)*(1-EXP((Tnet-t)/(Tau_j))))*Salcycl</f>
        <v>1.7775226749173E-2</v>
      </c>
      <c r="P215" s="169">
        <f>(INDEX(Models!$BJ215:$BT215,,T215)*(1-R215)+INDEX(Models!$BJ215:$BT215,,T215+1)*R215-ERP_i)*Q215*Ramure*Pc/MaxiM</f>
        <v>3.6979901462824709E-3</v>
      </c>
      <c r="Q215" s="305">
        <f t="shared" si="77"/>
        <v>0.7</v>
      </c>
      <c r="R215" s="177">
        <f t="shared" si="78"/>
        <v>0.91909174974518448</v>
      </c>
      <c r="S215" s="919">
        <f t="shared" si="79"/>
        <v>-1</v>
      </c>
      <c r="T215" s="176">
        <f t="shared" si="80"/>
        <v>5</v>
      </c>
      <c r="U215" s="251">
        <f t="shared" si="81"/>
        <v>-8.0908250254815517E-2</v>
      </c>
      <c r="V215" s="383">
        <f t="shared" si="82"/>
        <v>53.125351224591398</v>
      </c>
      <c r="W215" s="402"/>
      <c r="X215" s="157">
        <f t="shared" si="83"/>
        <v>44397</v>
      </c>
      <c r="Y215" s="385">
        <f t="shared" si="84"/>
        <v>43.628008377566957</v>
      </c>
      <c r="Z215" s="385">
        <f t="shared" si="85"/>
        <v>44.744797302082041</v>
      </c>
      <c r="AA215" s="386">
        <f t="shared" si="86"/>
        <v>49.262336338806499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9.1703710633101995E-2</v>
      </c>
      <c r="AD215" s="231">
        <f>(INDEX(Models!$BJ215:$BT215,,AH215)*(1-AF215)+INDEX(Models!$BJ215:$BT215,,AH215+1)*AF215-ERP_i)*AE215*Ramure*Pc/MaxiM</f>
        <v>3.6979901462824709E-3</v>
      </c>
      <c r="AE215" s="305">
        <f t="shared" si="88"/>
        <v>0.7</v>
      </c>
      <c r="AF215" s="177">
        <f t="shared" si="89"/>
        <v>0.91909174974518448</v>
      </c>
      <c r="AG215" s="919">
        <f t="shared" si="95"/>
        <v>-1</v>
      </c>
      <c r="AH215" s="176">
        <f t="shared" si="90"/>
        <v>5</v>
      </c>
      <c r="AI215" s="225">
        <f t="shared" si="91"/>
        <v>-8.0908250254815517E-2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8">
        <v>43.883000000000003</v>
      </c>
      <c r="C216" s="390"/>
      <c r="D216" s="393">
        <f t="shared" si="74"/>
        <v>45.007301970613405</v>
      </c>
      <c r="E216" s="385">
        <f t="shared" si="72"/>
        <v>45.826433201311957</v>
      </c>
      <c r="F216" s="385">
        <f t="shared" si="75"/>
        <v>45.951255226114462</v>
      </c>
      <c r="G216" s="110">
        <f t="shared" si="73"/>
        <v>0.8269106566274077</v>
      </c>
      <c r="H216" s="412" t="b">
        <f>Wh_hp&gt;='2020'!Maxi_hp</f>
        <v>0</v>
      </c>
      <c r="I216" s="380">
        <f>IF(H216,Wh_hp,'2020'!Maxi_hp)</f>
        <v>50.544924605053268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2.4980434760286108E-2</v>
      </c>
      <c r="M216" s="957"/>
      <c r="N216" s="957"/>
      <c r="O216" s="48">
        <f>IF(t&lt;Tnet,'2020'!Resal+('2020'!Salim-'2020'!Resal)*(1-EXP(('2020'!Tnet-t)/('2020'!Tau_j))),Resal+(Salim-Resal)*(1-EXP((Tnet-t)/(Tau_j))))*Salcycl</f>
        <v>1.7874645122394204E-2</v>
      </c>
      <c r="P216" s="169">
        <f>(INDEX(Models!$BJ216:$BT216,,T216)*(1-R216)+INDEX(Models!$BJ216:$BT216,,T216+1)*R216-ERP_i)*Q216*Ramure*Pc/MaxiM</f>
        <v>3.6036980059185502E-3</v>
      </c>
      <c r="Q216" s="305">
        <f t="shared" si="77"/>
        <v>0.7</v>
      </c>
      <c r="R216" s="177">
        <f t="shared" si="78"/>
        <v>0.92184662250324445</v>
      </c>
      <c r="S216" s="919">
        <f t="shared" si="79"/>
        <v>-1</v>
      </c>
      <c r="T216" s="176">
        <f t="shared" si="80"/>
        <v>5</v>
      </c>
      <c r="U216" s="251">
        <f t="shared" si="81"/>
        <v>-7.8153377496755549E-2</v>
      </c>
      <c r="V216" s="383">
        <f t="shared" si="82"/>
        <v>53.02139514883239</v>
      </c>
      <c r="W216" s="402"/>
      <c r="X216" s="157">
        <f t="shared" si="83"/>
        <v>44398</v>
      </c>
      <c r="Y216" s="385">
        <f t="shared" si="84"/>
        <v>40.582647876924895</v>
      </c>
      <c r="Z216" s="385">
        <f t="shared" si="85"/>
        <v>41.622393358791143</v>
      </c>
      <c r="AA216" s="386">
        <f t="shared" si="86"/>
        <v>45.826433201311957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9.173831670583639E-2</v>
      </c>
      <c r="AD216" s="231">
        <f>(INDEX(Models!$BJ216:$BT216,,AH216)*(1-AF216)+INDEX(Models!$BJ216:$BT216,,AH216+1)*AF216-ERP_i)*AE216*Ramure*Pc/MaxiM</f>
        <v>3.6036980059185502E-3</v>
      </c>
      <c r="AE216" s="305">
        <f t="shared" si="88"/>
        <v>0.7</v>
      </c>
      <c r="AF216" s="177">
        <f t="shared" si="89"/>
        <v>0.92184662250324445</v>
      </c>
      <c r="AG216" s="919">
        <f t="shared" si="95"/>
        <v>-1</v>
      </c>
      <c r="AH216" s="176">
        <f t="shared" si="90"/>
        <v>5</v>
      </c>
      <c r="AI216" s="225">
        <f t="shared" si="91"/>
        <v>-7.8153377496755549E-2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8">
        <v>52.011000000000003</v>
      </c>
      <c r="C217" s="390"/>
      <c r="D217" s="393">
        <f t="shared" si="74"/>
        <v>53.344713330492638</v>
      </c>
      <c r="E217" s="385">
        <f t="shared" si="72"/>
        <v>54.321073397446916</v>
      </c>
      <c r="F217" s="385">
        <f t="shared" si="75"/>
        <v>54.507643131176636</v>
      </c>
      <c r="G217" s="110">
        <f t="shared" si="73"/>
        <v>0.98277483733610327</v>
      </c>
      <c r="H217" s="412" t="b">
        <f>Wh_hp&gt;='2020'!Maxi_hp</f>
        <v>1</v>
      </c>
      <c r="I217" s="380">
        <f>IF(H217,Wh_hp,'2020'!Maxi_hp)</f>
        <v>54.507643131176636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2.5001790191086615E-2</v>
      </c>
      <c r="M217" s="957"/>
      <c r="N217" s="957"/>
      <c r="O217" s="48">
        <f>IF(t&lt;Tnet,'2020'!Resal+('2020'!Salim-'2020'!Resal)*(1-EXP(('2020'!Tnet-t)/('2020'!Tau_j))),Resal+(Salim-Resal)*(1-EXP((Tnet-t)/(Tau_j))))*Salcycl</f>
        <v>1.7973872861653837E-2</v>
      </c>
      <c r="P217" s="169">
        <f>(INDEX(Models!$BJ217:$BT217,,T217)*(1-R217)+INDEX(Models!$BJ217:$BT217,,T217+1)*R217-ERP_i)*Q217*Ramure*Pc/MaxiM</f>
        <v>3.5087338537538389E-3</v>
      </c>
      <c r="Q217" s="305">
        <f t="shared" si="77"/>
        <v>0.7</v>
      </c>
      <c r="R217" s="177">
        <f t="shared" si="78"/>
        <v>0.92452479816052358</v>
      </c>
      <c r="S217" s="919">
        <f t="shared" si="79"/>
        <v>-1</v>
      </c>
      <c r="T217" s="176">
        <f t="shared" si="80"/>
        <v>5</v>
      </c>
      <c r="U217" s="251">
        <f t="shared" si="81"/>
        <v>-7.5475201839476425E-2</v>
      </c>
      <c r="V217" s="383">
        <f t="shared" si="82"/>
        <v>52.918037885365045</v>
      </c>
      <c r="W217" s="402"/>
      <c r="X217" s="157">
        <f t="shared" si="83"/>
        <v>44399</v>
      </c>
      <c r="Y217" s="385">
        <f t="shared" si="84"/>
        <v>48.102415152852387</v>
      </c>
      <c r="Z217" s="385">
        <f t="shared" si="85"/>
        <v>49.335900998505238</v>
      </c>
      <c r="AA217" s="386">
        <f t="shared" si="86"/>
        <v>54.321073397446916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9.1772347031271698E-2</v>
      </c>
      <c r="AD217" s="231">
        <f>(INDEX(Models!$BJ217:$BT217,,AH217)*(1-AF217)+INDEX(Models!$BJ217:$BT217,,AH217+1)*AF217-ERP_i)*AE217*Ramure*Pc/MaxiM</f>
        <v>3.5087338537538389E-3</v>
      </c>
      <c r="AE217" s="305">
        <f t="shared" si="88"/>
        <v>0.7</v>
      </c>
      <c r="AF217" s="177">
        <f t="shared" si="89"/>
        <v>0.92452479816052358</v>
      </c>
      <c r="AG217" s="919">
        <f t="shared" si="95"/>
        <v>-1</v>
      </c>
      <c r="AH217" s="176">
        <f t="shared" si="90"/>
        <v>5</v>
      </c>
      <c r="AI217" s="225">
        <f t="shared" si="91"/>
        <v>-7.5475201839476425E-2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8">
        <v>44.038000000000004</v>
      </c>
      <c r="C218" s="390"/>
      <c r="D218" s="393">
        <f t="shared" si="74"/>
        <v>45.168251719126829</v>
      </c>
      <c r="E218" s="385">
        <f t="shared" si="72"/>
        <v>45.999598581840132</v>
      </c>
      <c r="F218" s="385">
        <f t="shared" si="75"/>
        <v>46.11963838501714</v>
      </c>
      <c r="G218" s="110">
        <f t="shared" si="73"/>
        <v>0.83313110148702363</v>
      </c>
      <c r="H218" s="412" t="b">
        <f>Wh_hp&gt;='2020'!Maxi_hp</f>
        <v>0</v>
      </c>
      <c r="I218" s="380">
        <f>IF(H218,Wh_hp,'2020'!Maxi_hp)</f>
        <v>56.297408043792899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2.5023145154148385E-2</v>
      </c>
      <c r="M218" s="957"/>
      <c r="N218" s="957"/>
      <c r="O218" s="48">
        <f>IF(t&lt;Tnet,'2020'!Resal+('2020'!Salim-'2020'!Resal)*(1-EXP(('2020'!Tnet-t)/('2020'!Tau_j))),Resal+(Salim-Resal)*(1-EXP((Tnet-t)/(Tau_j))))*Salcycl</f>
        <v>1.8072915598039651E-2</v>
      </c>
      <c r="P218" s="169">
        <f>(INDEX(Models!$BJ218:$BT218,,T218)*(1-R218)+INDEX(Models!$BJ218:$BT218,,T218+1)*R218-ERP_i)*Q218*Ramure*Pc/MaxiM</f>
        <v>3.4131228108826429E-3</v>
      </c>
      <c r="Q218" s="305">
        <f t="shared" si="77"/>
        <v>0.7</v>
      </c>
      <c r="R218" s="177">
        <f t="shared" si="78"/>
        <v>0.92712726792165567</v>
      </c>
      <c r="S218" s="919">
        <f t="shared" si="79"/>
        <v>-1</v>
      </c>
      <c r="T218" s="176">
        <f t="shared" si="80"/>
        <v>5</v>
      </c>
      <c r="U218" s="251">
        <f t="shared" si="81"/>
        <v>-7.2872732078344327E-2</v>
      </c>
      <c r="V218" s="383">
        <f t="shared" si="82"/>
        <v>52.815482974553028</v>
      </c>
      <c r="W218" s="402"/>
      <c r="X218" s="157">
        <f t="shared" si="83"/>
        <v>44400</v>
      </c>
      <c r="Y218" s="385">
        <f t="shared" si="84"/>
        <v>40.731185775522768</v>
      </c>
      <c r="Z218" s="385">
        <f t="shared" si="85"/>
        <v>41.776566872413149</v>
      </c>
      <c r="AA218" s="386">
        <f t="shared" si="86"/>
        <v>45.999598581840132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9.180583830342752E-2</v>
      </c>
      <c r="AD218" s="231">
        <f>(INDEX(Models!$BJ218:$BT218,,AH218)*(1-AF218)+INDEX(Models!$BJ218:$BT218,,AH218+1)*AF218-ERP_i)*AE218*Ramure*Pc/MaxiM</f>
        <v>3.4131228108826429E-3</v>
      </c>
      <c r="AE218" s="305">
        <f t="shared" si="88"/>
        <v>0.7</v>
      </c>
      <c r="AF218" s="177">
        <f t="shared" si="89"/>
        <v>0.92712726792165567</v>
      </c>
      <c r="AG218" s="919">
        <f t="shared" si="95"/>
        <v>-1</v>
      </c>
      <c r="AH218" s="176">
        <f t="shared" si="90"/>
        <v>5</v>
      </c>
      <c r="AI218" s="225">
        <f t="shared" si="91"/>
        <v>-7.2872732078344327E-2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8">
        <v>26.408000000000001</v>
      </c>
      <c r="C219" s="390"/>
      <c r="D219" s="393">
        <f t="shared" si="74"/>
        <v>27.086364444844644</v>
      </c>
      <c r="E219" s="385">
        <f t="shared" si="72"/>
        <v>27.587681692558032</v>
      </c>
      <c r="F219" s="385">
        <f t="shared" si="75"/>
        <v>27.613978120138498</v>
      </c>
      <c r="G219" s="110">
        <f t="shared" si="73"/>
        <v>0.49978515254993211</v>
      </c>
      <c r="H219" s="412" t="b">
        <f>Wh_hp&gt;='2020'!Maxi_hp</f>
        <v>0</v>
      </c>
      <c r="I219" s="380">
        <f>IF(H219,Wh_hp,'2020'!Maxi_hp)</f>
        <v>53.622135078221874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2.5044499649481633E-2</v>
      </c>
      <c r="M219" s="957"/>
      <c r="N219" s="957"/>
      <c r="O219" s="48">
        <f>IF(t&lt;Tnet,'2020'!Resal+('2020'!Salim-'2020'!Resal)*(1-EXP(('2020'!Tnet-t)/('2020'!Tau_j))),Resal+(Salim-Resal)*(1-EXP((Tnet-t)/(Tau_j))))*Salcycl</f>
        <v>1.8171778741691832E-2</v>
      </c>
      <c r="P219" s="169">
        <f>(INDEX(Models!$BJ219:$BT219,,T219)*(1-R219)+INDEX(Models!$BJ219:$BT219,,T219+1)*R219-ERP_i)*Q219*Ramure*Pc/MaxiM</f>
        <v>3.3169022352522331E-3</v>
      </c>
      <c r="Q219" s="305">
        <f t="shared" si="77"/>
        <v>0.7</v>
      </c>
      <c r="R219" s="177">
        <f t="shared" si="78"/>
        <v>0.929655091964533</v>
      </c>
      <c r="S219" s="919">
        <f t="shared" si="79"/>
        <v>-1</v>
      </c>
      <c r="T219" s="176">
        <f t="shared" si="80"/>
        <v>5</v>
      </c>
      <c r="U219" s="251">
        <f t="shared" si="81"/>
        <v>-7.0344908035467058E-2</v>
      </c>
      <c r="V219" s="383">
        <f t="shared" si="82"/>
        <v>52.713642211761282</v>
      </c>
      <c r="W219" s="402"/>
      <c r="X219" s="157">
        <f t="shared" si="83"/>
        <v>44401</v>
      </c>
      <c r="Y219" s="385">
        <f t="shared" si="84"/>
        <v>24.426594980139829</v>
      </c>
      <c r="Z219" s="385">
        <f t="shared" si="85"/>
        <v>25.054061412400792</v>
      </c>
      <c r="AA219" s="386">
        <f t="shared" si="86"/>
        <v>27.587681692558032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9.1838825327635293E-2</v>
      </c>
      <c r="AD219" s="231">
        <f>(INDEX(Models!$BJ219:$BT219,,AH219)*(1-AF219)+INDEX(Models!$BJ219:$BT219,,AH219+1)*AF219-ERP_i)*AE219*Ramure*Pc/MaxiM</f>
        <v>3.3169022352522331E-3</v>
      </c>
      <c r="AE219" s="305">
        <f t="shared" si="88"/>
        <v>0.7</v>
      </c>
      <c r="AF219" s="177">
        <f t="shared" si="89"/>
        <v>0.929655091964533</v>
      </c>
      <c r="AG219" s="919">
        <f t="shared" si="95"/>
        <v>-1</v>
      </c>
      <c r="AH219" s="176">
        <f t="shared" si="90"/>
        <v>5</v>
      </c>
      <c r="AI219" s="225">
        <f t="shared" si="91"/>
        <v>-7.0344908035467058E-2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8">
        <v>36.480000000000004</v>
      </c>
      <c r="C220" s="390"/>
      <c r="D220" s="393">
        <f t="shared" si="74"/>
        <v>37.417911904705853</v>
      </c>
      <c r="E220" s="385">
        <f t="shared" si="72"/>
        <v>38.114277572483694</v>
      </c>
      <c r="F220" s="385">
        <f t="shared" si="75"/>
        <v>38.183375266322734</v>
      </c>
      <c r="G220" s="110">
        <f t="shared" si="73"/>
        <v>0.69239524559395249</v>
      </c>
      <c r="H220" s="412" t="b">
        <f>Wh_hp&gt;='2020'!Maxi_hp</f>
        <v>0</v>
      </c>
      <c r="I220" s="380">
        <f>IF(H220,Wh_hp,'2020'!Maxi_hp)</f>
        <v>54.530894378058939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2.5065853677096683E-2</v>
      </c>
      <c r="M220" s="957"/>
      <c r="N220" s="957"/>
      <c r="O220" s="48">
        <f>IF(t&lt;Tnet,'2020'!Resal+('2020'!Salim-'2020'!Resal)*(1-EXP(('2020'!Tnet-t)/('2020'!Tau_j))),Resal+(Salim-Resal)*(1-EXP((Tnet-t)/(Tau_j))))*Salcycl</f>
        <v>1.8270467450249628E-2</v>
      </c>
      <c r="P220" s="169">
        <f>(INDEX(Models!$BJ220:$BT220,,T220)*(1-R220)+INDEX(Models!$BJ220:$BT220,,T220+1)*R220-ERP_i)*Q220*Ramure*Pc/MaxiM</f>
        <v>3.2201822568593817E-3</v>
      </c>
      <c r="Q220" s="305">
        <f t="shared" si="77"/>
        <v>0.7</v>
      </c>
      <c r="R220" s="177">
        <f t="shared" si="78"/>
        <v>0.93210939295166795</v>
      </c>
      <c r="S220" s="919">
        <f t="shared" si="79"/>
        <v>-1</v>
      </c>
      <c r="T220" s="176">
        <f t="shared" si="80"/>
        <v>5</v>
      </c>
      <c r="U220" s="251">
        <f t="shared" si="81"/>
        <v>-6.7890607048332052E-2</v>
      </c>
      <c r="V220" s="383">
        <f t="shared" si="82"/>
        <v>52.61221811524738</v>
      </c>
      <c r="W220" s="402"/>
      <c r="X220" s="157">
        <f t="shared" si="83"/>
        <v>44402</v>
      </c>
      <c r="Y220" s="385">
        <f t="shared" si="84"/>
        <v>33.745071717937144</v>
      </c>
      <c r="Z220" s="385">
        <f t="shared" si="85"/>
        <v>34.612667783984456</v>
      </c>
      <c r="AA220" s="386">
        <f t="shared" si="86"/>
        <v>38.114277572483694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9.1871340912603322E-2</v>
      </c>
      <c r="AD220" s="231">
        <f>(INDEX(Models!$BJ220:$BT220,,AH220)*(1-AF220)+INDEX(Models!$BJ220:$BT220,,AH220+1)*AF220-ERP_i)*AE220*Ramure*Pc/MaxiM</f>
        <v>3.2201822568593817E-3</v>
      </c>
      <c r="AE220" s="305">
        <f t="shared" si="88"/>
        <v>0.7</v>
      </c>
      <c r="AF220" s="177">
        <f t="shared" si="89"/>
        <v>0.93210939295166795</v>
      </c>
      <c r="AG220" s="919">
        <f t="shared" si="95"/>
        <v>-1</v>
      </c>
      <c r="AH220" s="176">
        <f t="shared" si="90"/>
        <v>5</v>
      </c>
      <c r="AI220" s="225">
        <f t="shared" si="91"/>
        <v>-6.7890607048332052E-2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8">
        <v>32.29</v>
      </c>
      <c r="C221" s="390"/>
      <c r="D221" s="393">
        <f t="shared" si="74"/>
        <v>33.120911162204614</v>
      </c>
      <c r="E221" s="385">
        <f t="shared" si="72"/>
        <v>33.740693509163982</v>
      </c>
      <c r="F221" s="385">
        <f t="shared" si="75"/>
        <v>33.788156419094463</v>
      </c>
      <c r="G221" s="110">
        <f t="shared" si="73"/>
        <v>0.61385945689287047</v>
      </c>
      <c r="H221" s="412" t="b">
        <f>Wh_hp&gt;='2020'!Maxi_hp</f>
        <v>0</v>
      </c>
      <c r="I221" s="380">
        <f>IF(H221,Wh_hp,'2020'!Maxi_hp)</f>
        <v>54.739727703954557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2.5087207237003639E-2</v>
      </c>
      <c r="M221" s="957"/>
      <c r="N221" s="957"/>
      <c r="O221" s="48">
        <f>IF(t&lt;Tnet,'2020'!Resal+('2020'!Salim-'2020'!Resal)*(1-EXP(('2020'!Tnet-t)/('2020'!Tau_j))),Resal+(Salim-Resal)*(1-EXP((Tnet-t)/(Tau_j))))*Salcycl</f>
        <v>1.8368986600439535E-2</v>
      </c>
      <c r="P221" s="169">
        <f>(INDEX(Models!$BJ221:$BT221,,T221)*(1-R221)+INDEX(Models!$BJ221:$BT221,,T221+1)*R221-ERP_i)*Q221*Ramure*Pc/MaxiM</f>
        <v>3.1224215955271543E-3</v>
      </c>
      <c r="Q221" s="305">
        <f t="shared" si="77"/>
        <v>0.7</v>
      </c>
      <c r="R221" s="177">
        <f t="shared" si="78"/>
        <v>0.93449134972952685</v>
      </c>
      <c r="S221" s="919">
        <f t="shared" si="79"/>
        <v>-1</v>
      </c>
      <c r="T221" s="176">
        <f t="shared" si="80"/>
        <v>5</v>
      </c>
      <c r="U221" s="251">
        <f t="shared" si="81"/>
        <v>-6.5508650270473145E-2</v>
      </c>
      <c r="V221" s="383">
        <f t="shared" si="82"/>
        <v>52.511135964558825</v>
      </c>
      <c r="W221" s="402"/>
      <c r="X221" s="157">
        <f t="shared" si="83"/>
        <v>44403</v>
      </c>
      <c r="Y221" s="385">
        <f t="shared" si="84"/>
        <v>29.871141298680048</v>
      </c>
      <c r="Z221" s="385">
        <f t="shared" si="85"/>
        <v>30.639808524844945</v>
      </c>
      <c r="AA221" s="386">
        <f t="shared" si="86"/>
        <v>33.740693509163982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9.1903415781208947E-2</v>
      </c>
      <c r="AD221" s="231">
        <f>(INDEX(Models!$BJ221:$BT221,,AH221)*(1-AF221)+INDEX(Models!$BJ221:$BT221,,AH221+1)*AF221-ERP_i)*AE221*Ramure*Pc/MaxiM</f>
        <v>3.1224215955271543E-3</v>
      </c>
      <c r="AE221" s="305">
        <f t="shared" si="88"/>
        <v>0.7</v>
      </c>
      <c r="AF221" s="177">
        <f t="shared" si="89"/>
        <v>0.93449134972952685</v>
      </c>
      <c r="AG221" s="919">
        <f t="shared" si="95"/>
        <v>-1</v>
      </c>
      <c r="AH221" s="176">
        <f t="shared" si="90"/>
        <v>5</v>
      </c>
      <c r="AI221" s="225">
        <f t="shared" si="91"/>
        <v>-6.5508650270473145E-2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8">
        <v>48.93</v>
      </c>
      <c r="C222" s="390"/>
      <c r="D222" s="393">
        <f t="shared" si="74"/>
        <v>50.190203759018814</v>
      </c>
      <c r="E222" s="385">
        <f t="shared" si="72"/>
        <v>51.134522409097443</v>
      </c>
      <c r="F222" s="385">
        <f t="shared" si="75"/>
        <v>51.274852018176453</v>
      </c>
      <c r="G222" s="110">
        <f t="shared" si="73"/>
        <v>0.93332675156813949</v>
      </c>
      <c r="H222" s="412" t="b">
        <f>Wh_hp&gt;='2020'!Maxi_hp</f>
        <v>1</v>
      </c>
      <c r="I222" s="380">
        <f>IF(H222,Wh_hp,'2020'!Maxi_hp)</f>
        <v>51.274852018176453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2.5108560329212937E-2</v>
      </c>
      <c r="M222" s="957"/>
      <c r="N222" s="957"/>
      <c r="O222" s="48">
        <f>IF(t&lt;Tnet,'2020'!Resal+('2020'!Salim-'2020'!Resal)*(1-EXP(('2020'!Tnet-t)/('2020'!Tau_j))),Resal+(Salim-Resal)*(1-EXP((Tnet-t)/(Tau_j))))*Salcycl</f>
        <v>1.8467340762932879E-2</v>
      </c>
      <c r="P222" s="169">
        <f>(INDEX(Models!$BJ222:$BT222,,T222)*(1-R222)+INDEX(Models!$BJ222:$BT222,,T222+1)*R222-ERP_i)*Q222*Ramure*Pc/MaxiM</f>
        <v>3.0236464639679613E-3</v>
      </c>
      <c r="Q222" s="305">
        <f t="shared" si="77"/>
        <v>0.7</v>
      </c>
      <c r="R222" s="177">
        <f t="shared" si="78"/>
        <v>0.93680219123449271</v>
      </c>
      <c r="S222" s="919">
        <f t="shared" si="79"/>
        <v>-1</v>
      </c>
      <c r="T222" s="176">
        <f t="shared" si="80"/>
        <v>5</v>
      </c>
      <c r="U222" s="251">
        <f t="shared" si="81"/>
        <v>-6.3197808765507291E-2</v>
      </c>
      <c r="V222" s="383">
        <f t="shared" si="82"/>
        <v>52.410291005953859</v>
      </c>
      <c r="W222" s="402"/>
      <c r="X222" s="157">
        <f t="shared" si="83"/>
        <v>44404</v>
      </c>
      <c r="Y222" s="385">
        <f t="shared" si="84"/>
        <v>45.267588593060076</v>
      </c>
      <c r="Z222" s="385">
        <f t="shared" si="85"/>
        <v>46.433466077357878</v>
      </c>
      <c r="AA222" s="386">
        <f t="shared" si="86"/>
        <v>51.134522409097443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9.193507849998403E-2</v>
      </c>
      <c r="AD222" s="231">
        <f>(INDEX(Models!$BJ222:$BT222,,AH222)*(1-AF222)+INDEX(Models!$BJ222:$BT222,,AH222+1)*AF222-ERP_i)*AE222*Ramure*Pc/MaxiM</f>
        <v>3.0236464639679613E-3</v>
      </c>
      <c r="AE222" s="305">
        <f t="shared" si="88"/>
        <v>0.7</v>
      </c>
      <c r="AF222" s="177">
        <f t="shared" si="89"/>
        <v>0.93680219123449271</v>
      </c>
      <c r="AG222" s="919">
        <f t="shared" si="95"/>
        <v>-1</v>
      </c>
      <c r="AH222" s="176">
        <f t="shared" si="90"/>
        <v>5</v>
      </c>
      <c r="AI222" s="225">
        <f t="shared" si="91"/>
        <v>-6.3197808765507291E-2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8">
        <v>26.266999999999999</v>
      </c>
      <c r="C223" s="390"/>
      <c r="D223" s="393">
        <f t="shared" si="74"/>
        <v>26.944102962052849</v>
      </c>
      <c r="E223" s="385">
        <f t="shared" si="72"/>
        <v>27.453797375616109</v>
      </c>
      <c r="F223" s="385">
        <f t="shared" si="75"/>
        <v>27.476997707694768</v>
      </c>
      <c r="G223" s="110">
        <f t="shared" si="73"/>
        <v>0.50110002041560364</v>
      </c>
      <c r="H223" s="412" t="b">
        <f>Wh_hp&gt;='2020'!Maxi_hp</f>
        <v>0</v>
      </c>
      <c r="I223" s="380">
        <f>IF(H223,Wh_hp,'2020'!Maxi_hp)</f>
        <v>52.534108463708804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2.5129912953734568E-2</v>
      </c>
      <c r="M223" s="957"/>
      <c r="N223" s="957"/>
      <c r="O223" s="48">
        <f>IF(t&lt;Tnet,'2020'!Resal+('2020'!Salim-'2020'!Resal)*(1-EXP(('2020'!Tnet-t)/('2020'!Tau_j))),Resal+(Salim-Resal)*(1-EXP((Tnet-t)/(Tau_j))))*Salcycl</f>
        <v>1.856553418056325E-2</v>
      </c>
      <c r="P223" s="169">
        <f>(INDEX(Models!$BJ223:$BT223,,T223)*(1-R223)+INDEX(Models!$BJ223:$BT223,,T223+1)*R223-ERP_i)*Q223*Ramure*Pc/MaxiM</f>
        <v>2.9238809625046136E-3</v>
      </c>
      <c r="Q223" s="305">
        <f t="shared" si="77"/>
        <v>0.7</v>
      </c>
      <c r="R223" s="177">
        <f t="shared" si="78"/>
        <v>0.93904319062107422</v>
      </c>
      <c r="S223" s="919">
        <f t="shared" si="79"/>
        <v>-1</v>
      </c>
      <c r="T223" s="176">
        <f t="shared" si="80"/>
        <v>5</v>
      </c>
      <c r="U223" s="251">
        <f t="shared" si="81"/>
        <v>-6.095680937892578E-2</v>
      </c>
      <c r="V223" s="383">
        <f t="shared" si="82"/>
        <v>52.309578638126773</v>
      </c>
      <c r="W223" s="402"/>
      <c r="X223" s="157">
        <f t="shared" si="83"/>
        <v>44405</v>
      </c>
      <c r="Y223" s="385">
        <f t="shared" si="84"/>
        <v>24.302508799792864</v>
      </c>
      <c r="Z223" s="385">
        <f t="shared" si="85"/>
        <v>24.92897168834714</v>
      </c>
      <c r="AA223" s="386">
        <f t="shared" si="86"/>
        <v>27.453797375616109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9.1966355427080787E-2</v>
      </c>
      <c r="AD223" s="231">
        <f>(INDEX(Models!$BJ223:$BT223,,AH223)*(1-AF223)+INDEX(Models!$BJ223:$BT223,,AH223+1)*AF223-ERP_i)*AE223*Ramure*Pc/MaxiM</f>
        <v>2.9238809625046136E-3</v>
      </c>
      <c r="AE223" s="305">
        <f t="shared" si="88"/>
        <v>0.7</v>
      </c>
      <c r="AF223" s="177">
        <f t="shared" si="89"/>
        <v>0.93904319062107422</v>
      </c>
      <c r="AG223" s="919">
        <f t="shared" si="95"/>
        <v>-1</v>
      </c>
      <c r="AH223" s="176">
        <f t="shared" si="90"/>
        <v>5</v>
      </c>
      <c r="AI223" s="225">
        <f t="shared" si="91"/>
        <v>-6.095680937892578E-2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8">
        <v>52.262</v>
      </c>
      <c r="C224" s="390"/>
      <c r="D224" s="393">
        <f t="shared" si="74"/>
        <v>53.610368593162491</v>
      </c>
      <c r="E224" s="385">
        <f t="shared" si="72"/>
        <v>54.629958692283118</v>
      </c>
      <c r="F224" s="385">
        <f t="shared" si="75"/>
        <v>54.784623744211061</v>
      </c>
      <c r="G224" s="110">
        <f t="shared" si="73"/>
        <v>1.0010171751665651</v>
      </c>
      <c r="H224" s="412" t="b">
        <f>Wh_hp&gt;='2020'!Maxi_hp</f>
        <v>0</v>
      </c>
      <c r="I224" s="380">
        <f>IF(H224,Wh_hp,'2020'!Maxi_hp)</f>
        <v>55.721551124095164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2.515126511057908E-2</v>
      </c>
      <c r="M224" s="957"/>
      <c r="N224" s="957"/>
      <c r="O224" s="48">
        <f>IF(t&lt;Tnet,'2020'!Resal+('2020'!Salim-'2020'!Resal)*(1-EXP(('2020'!Tnet-t)/('2020'!Tau_j))),Resal+(Salim-Resal)*(1-EXP((Tnet-t)/(Tau_j))))*Salcycl</f>
        <v>1.8663570749956469E-2</v>
      </c>
      <c r="P224" s="169">
        <f>(INDEX(Models!$BJ224:$BT224,,T224)*(1-R224)+INDEX(Models!$BJ224:$BT224,,T224+1)*R224-ERP_i)*Q224*Ramure*Pc/MaxiM</f>
        <v>2.8231471051087787E-3</v>
      </c>
      <c r="Q224" s="305">
        <f t="shared" si="77"/>
        <v>0.7</v>
      </c>
      <c r="R224" s="177">
        <f t="shared" si="78"/>
        <v>0.94121565962510756</v>
      </c>
      <c r="S224" s="919">
        <f t="shared" si="79"/>
        <v>-1</v>
      </c>
      <c r="T224" s="176">
        <f t="shared" si="80"/>
        <v>5</v>
      </c>
      <c r="U224" s="251">
        <f t="shared" si="81"/>
        <v>-5.8784340374892385E-2</v>
      </c>
      <c r="V224" s="383">
        <f t="shared" si="82"/>
        <v>52.208894409133208</v>
      </c>
      <c r="W224" s="402"/>
      <c r="X224" s="157">
        <f t="shared" si="83"/>
        <v>44406</v>
      </c>
      <c r="Y224" s="385">
        <f t="shared" si="84"/>
        <v>48.356544427963797</v>
      </c>
      <c r="Z224" s="385">
        <f t="shared" si="85"/>
        <v>49.604151595323124</v>
      </c>
      <c r="AA224" s="386">
        <f t="shared" si="86"/>
        <v>54.629958692283118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9.19972706783308E-2</v>
      </c>
      <c r="AD224" s="231">
        <f>(INDEX(Models!$BJ224:$BT224,,AH224)*(1-AF224)+INDEX(Models!$BJ224:$BT224,,AH224+1)*AF224-ERP_i)*AE224*Ramure*Pc/MaxiM</f>
        <v>2.8231471051087787E-3</v>
      </c>
      <c r="AE224" s="305">
        <f t="shared" si="88"/>
        <v>0.7</v>
      </c>
      <c r="AF224" s="177">
        <f t="shared" si="89"/>
        <v>0.94121565962510756</v>
      </c>
      <c r="AG224" s="919">
        <f t="shared" si="95"/>
        <v>-1</v>
      </c>
      <c r="AH224" s="176">
        <f t="shared" si="90"/>
        <v>5</v>
      </c>
      <c r="AI224" s="225">
        <f t="shared" si="91"/>
        <v>-5.8784340374892385E-2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8">
        <v>16.852</v>
      </c>
      <c r="C225" s="390"/>
      <c r="D225" s="393">
        <f t="shared" si="74"/>
        <v>17.287163133104517</v>
      </c>
      <c r="E225" s="385">
        <f t="shared" si="72"/>
        <v>17.617696740197744</v>
      </c>
      <c r="F225" s="385">
        <f t="shared" si="75"/>
        <v>17.619299952058444</v>
      </c>
      <c r="G225" s="110">
        <f t="shared" si="73"/>
        <v>0.32255361955696943</v>
      </c>
      <c r="H225" s="412" t="b">
        <f>Wh_hp&gt;='2020'!Maxi_hp</f>
        <v>0</v>
      </c>
      <c r="I225" s="380">
        <f>IF(H225,Wh_hp,'2020'!Maxi_hp)</f>
        <v>53.533900381500366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2.5172616799756464E-2</v>
      </c>
      <c r="M225" s="957"/>
      <c r="N225" s="957"/>
      <c r="O225" s="48">
        <f>IF(t&lt;Tnet,'2020'!Resal+('2020'!Salim-'2020'!Resal)*(1-EXP(('2020'!Tnet-t)/('2020'!Tau_j))),Resal+(Salim-Resal)*(1-EXP((Tnet-t)/(Tau_j))))*Salcycl</f>
        <v>1.8761454006587578E-2</v>
      </c>
      <c r="P225" s="169">
        <f>(INDEX(Models!$BJ225:$BT225,,T225)*(1-R225)+INDEX(Models!$BJ225:$BT225,,T225+1)*R225-ERP_i)*Q225*Ramure*Pc/MaxiM</f>
        <v>2.7214648564392405E-3</v>
      </c>
      <c r="Q225" s="305">
        <f t="shared" si="77"/>
        <v>0.7</v>
      </c>
      <c r="R225" s="177">
        <f t="shared" si="78"/>
        <v>0.94332094317199</v>
      </c>
      <c r="S225" s="919">
        <f t="shared" si="79"/>
        <v>-1</v>
      </c>
      <c r="T225" s="176">
        <f t="shared" si="80"/>
        <v>5</v>
      </c>
      <c r="U225" s="251">
        <f t="shared" si="81"/>
        <v>-5.6679056828009944E-2</v>
      </c>
      <c r="V225" s="383">
        <f t="shared" si="82"/>
        <v>52.108134012762115</v>
      </c>
      <c r="W225" s="402"/>
      <c r="X225" s="157">
        <f t="shared" si="83"/>
        <v>44407</v>
      </c>
      <c r="Y225" s="385">
        <f t="shared" si="84"/>
        <v>15.593707360781583</v>
      </c>
      <c r="Z225" s="385">
        <f t="shared" si="85"/>
        <v>15.996378055763346</v>
      </c>
      <c r="AA225" s="386">
        <f t="shared" si="86"/>
        <v>17.617696740197744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9.2027846110841818E-2</v>
      </c>
      <c r="AD225" s="231">
        <f>(INDEX(Models!$BJ225:$BT225,,AH225)*(1-AF225)+INDEX(Models!$BJ225:$BT225,,AH225+1)*AF225-ERP_i)*AE225*Ramure*Pc/MaxiM</f>
        <v>2.7214648564392405E-3</v>
      </c>
      <c r="AE225" s="305">
        <f t="shared" si="88"/>
        <v>0.7</v>
      </c>
      <c r="AF225" s="177">
        <f t="shared" si="89"/>
        <v>0.94332094317199</v>
      </c>
      <c r="AG225" s="919">
        <f t="shared" si="95"/>
        <v>-1</v>
      </c>
      <c r="AH225" s="176">
        <f t="shared" si="90"/>
        <v>5</v>
      </c>
      <c r="AI225" s="225">
        <f t="shared" si="91"/>
        <v>-5.6679056828009944E-2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8">
        <v>12.197000000000001</v>
      </c>
      <c r="C226" s="390"/>
      <c r="D226" s="393">
        <f t="shared" si="74"/>
        <v>12.51223279285804</v>
      </c>
      <c r="E226" s="385">
        <f t="shared" si="72"/>
        <v>12.752739085477403</v>
      </c>
      <c r="F226" s="385">
        <f t="shared" si="75"/>
        <v>12.752739085477403</v>
      </c>
      <c r="G226" s="110">
        <f t="shared" si="73"/>
        <v>0.23391106290559216</v>
      </c>
      <c r="H226" s="412" t="b">
        <f>Wh_hp&gt;='2020'!Maxi_hp</f>
        <v>0</v>
      </c>
      <c r="I226" s="380">
        <f>IF(H226,Wh_hp,'2020'!Maxi_hp)</f>
        <v>54.478591093372515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2.5193968021277047E-2</v>
      </c>
      <c r="M226" s="957"/>
      <c r="N226" s="957"/>
      <c r="O226" s="48">
        <f>IF(t&lt;Tnet,'2020'!Resal+('2020'!Salim-'2020'!Resal)*(1-EXP(('2020'!Tnet-t)/('2020'!Tau_j))),Resal+(Salim-Resal)*(1-EXP((Tnet-t)/(Tau_j))))*Salcycl</f>
        <v>1.8859187113241277E-2</v>
      </c>
      <c r="P226" s="169">
        <f>(INDEX(Models!$BJ226:$BT226,,T226)*(1-R226)+INDEX(Models!$BJ226:$BT226,,T226+1)*R226-ERP_i)*Q226*Ramure*Pc/MaxiM</f>
        <v>2.6199741140139391E-3</v>
      </c>
      <c r="Q226" s="305">
        <f t="shared" si="77"/>
        <v>0.7</v>
      </c>
      <c r="R226" s="177">
        <f t="shared" si="78"/>
        <v>0.9453604142374632</v>
      </c>
      <c r="S226" s="919">
        <f t="shared" si="79"/>
        <v>-1</v>
      </c>
      <c r="T226" s="176">
        <f t="shared" si="80"/>
        <v>5</v>
      </c>
      <c r="U226" s="251">
        <f t="shared" si="81"/>
        <v>-5.4639585762536858E-2</v>
      </c>
      <c r="V226" s="383">
        <f t="shared" si="82"/>
        <v>52.00713478285229</v>
      </c>
      <c r="W226" s="402"/>
      <c r="X226" s="157">
        <f t="shared" si="83"/>
        <v>44408</v>
      </c>
      <c r="Y226" s="385">
        <f t="shared" si="84"/>
        <v>11.287031578653147</v>
      </c>
      <c r="Z226" s="385">
        <f t="shared" si="85"/>
        <v>11.578746138595406</v>
      </c>
      <c r="AA226" s="386">
        <f t="shared" si="86"/>
        <v>12.752739085477403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9.2058101323418379E-2</v>
      </c>
      <c r="AD226" s="231">
        <f>(INDEX(Models!$BJ226:$BT226,,AH226)*(1-AF226)+INDEX(Models!$BJ226:$BT226,,AH226+1)*AF226-ERP_i)*AE226*Ramure*Pc/MaxiM</f>
        <v>2.6199741140139391E-3</v>
      </c>
      <c r="AE226" s="305">
        <f t="shared" si="88"/>
        <v>0.7</v>
      </c>
      <c r="AF226" s="177">
        <f t="shared" si="89"/>
        <v>0.9453604142374632</v>
      </c>
      <c r="AG226" s="919">
        <f t="shared" si="95"/>
        <v>-1</v>
      </c>
      <c r="AH226" s="176">
        <f t="shared" si="90"/>
        <v>5</v>
      </c>
      <c r="AI226" s="225">
        <f t="shared" si="91"/>
        <v>-5.4639585762536858E-2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8">
        <v>45.404000000000003</v>
      </c>
      <c r="C227" s="390"/>
      <c r="D227" s="393">
        <f t="shared" si="74"/>
        <v>46.578491511528874</v>
      </c>
      <c r="E227" s="385">
        <f t="shared" si="72"/>
        <v>47.478531243652625</v>
      </c>
      <c r="F227" s="385">
        <f t="shared" si="75"/>
        <v>47.57693285766257</v>
      </c>
      <c r="G227" s="110">
        <f t="shared" si="73"/>
        <v>0.87434376245166767</v>
      </c>
      <c r="H227" s="412" t="b">
        <f>Wh_hp&gt;='2020'!Maxi_hp</f>
        <v>0</v>
      </c>
      <c r="I227" s="380">
        <f>IF(H227,Wh_hp,'2020'!Maxi_hp)</f>
        <v>52.564784252265206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2.5215318775151152E-2</v>
      </c>
      <c r="M227" s="957"/>
      <c r="N227" s="957"/>
      <c r="O227" s="48">
        <f>IF(t&lt;Tnet,'2020'!Resal+('2020'!Salim-'2020'!Resal)*(1-EXP(('2020'!Tnet-t)/('2020'!Tau_j))),Resal+(Salim-Resal)*(1-EXP((Tnet-t)/(Tau_j))))*Salcycl</f>
        <v>1.895677285181549E-2</v>
      </c>
      <c r="P227" s="169">
        <f>(INDEX(Models!$BJ227:$BT227,,T227)*(1-R227)+INDEX(Models!$BJ227:$BT227,,T227+1)*R227-ERP_i)*Q227*Ramure*Pc/MaxiM</f>
        <v>2.5190294319217274E-3</v>
      </c>
      <c r="Q227" s="305">
        <f t="shared" si="77"/>
        <v>0.7</v>
      </c>
      <c r="R227" s="177">
        <f t="shared" si="78"/>
        <v>0.94733546896613241</v>
      </c>
      <c r="S227" s="919">
        <f t="shared" si="79"/>
        <v>-1</v>
      </c>
      <c r="T227" s="176">
        <f t="shared" si="80"/>
        <v>5</v>
      </c>
      <c r="U227" s="251">
        <f t="shared" si="81"/>
        <v>-5.2664531033867645E-2</v>
      </c>
      <c r="V227" s="383">
        <f t="shared" si="82"/>
        <v>51.905775435022143</v>
      </c>
      <c r="W227" s="402"/>
      <c r="X227" s="157">
        <f t="shared" si="83"/>
        <v>44409</v>
      </c>
      <c r="Y227" s="385">
        <f t="shared" si="84"/>
        <v>42.019385966167142</v>
      </c>
      <c r="Z227" s="385">
        <f t="shared" si="85"/>
        <v>43.106325710174694</v>
      </c>
      <c r="AA227" s="386">
        <f t="shared" si="86"/>
        <v>47.478531243652625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9.2088053672941886E-2</v>
      </c>
      <c r="AD227" s="231">
        <f>(INDEX(Models!$BJ227:$BT227,,AH227)*(1-AF227)+INDEX(Models!$BJ227:$BT227,,AH227+1)*AF227-ERP_i)*AE227*Ramure*Pc/MaxiM</f>
        <v>2.5190294319217274E-3</v>
      </c>
      <c r="AE227" s="305">
        <f t="shared" si="88"/>
        <v>0.7</v>
      </c>
      <c r="AF227" s="177">
        <f t="shared" si="89"/>
        <v>0.94733546896613241</v>
      </c>
      <c r="AG227" s="919">
        <f t="shared" si="95"/>
        <v>-1</v>
      </c>
      <c r="AH227" s="176">
        <f t="shared" si="90"/>
        <v>5</v>
      </c>
      <c r="AI227" s="225">
        <f t="shared" si="91"/>
        <v>-5.2664531033867645E-2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8">
        <v>47.74</v>
      </c>
      <c r="C228" s="390"/>
      <c r="D228" s="393">
        <f t="shared" si="74"/>
        <v>48.975990873631439</v>
      </c>
      <c r="E228" s="385">
        <f t="shared" si="72"/>
        <v>49.92731663009328</v>
      </c>
      <c r="F228" s="385">
        <f t="shared" si="75"/>
        <v>50.034771275516441</v>
      </c>
      <c r="G228" s="110">
        <f t="shared" si="73"/>
        <v>0.92130098366852298</v>
      </c>
      <c r="H228" s="412" t="b">
        <f>Wh_hp&gt;='2020'!Maxi_hp</f>
        <v>0</v>
      </c>
      <c r="I228" s="380">
        <f>IF(H228,Wh_hp,'2020'!Maxi_hp)</f>
        <v>52.775979801874328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2.5236669061388883E-2</v>
      </c>
      <c r="M228" s="957"/>
      <c r="N228" s="957"/>
      <c r="O228" s="48">
        <f>IF(t&lt;Tnet,'2020'!Resal+('2020'!Salim-'2020'!Resal)*(1-EXP(('2020'!Tnet-t)/('2020'!Tau_j))),Resal+(Salim-Resal)*(1-EXP((Tnet-t)/(Tau_j))))*Salcycl</f>
        <v>1.9054213618370914E-2</v>
      </c>
      <c r="P228" s="169">
        <f>(INDEX(Models!$BJ228:$BT228,,T228)*(1-R228)+INDEX(Models!$BJ228:$BT228,,T228+1)*R228-ERP_i)*Q228*Ramure*Pc/MaxiM</f>
        <v>2.4186572418142828E-3</v>
      </c>
      <c r="Q228" s="305">
        <f t="shared" si="77"/>
        <v>0.7</v>
      </c>
      <c r="R228" s="177">
        <f t="shared" si="78"/>
        <v>0.94924752205076923</v>
      </c>
      <c r="S228" s="919">
        <f t="shared" si="79"/>
        <v>-1</v>
      </c>
      <c r="T228" s="176">
        <f t="shared" si="80"/>
        <v>5</v>
      </c>
      <c r="U228" s="251">
        <f t="shared" si="81"/>
        <v>-5.0752477949230823E-2</v>
      </c>
      <c r="V228" s="383">
        <f t="shared" si="82"/>
        <v>51.803951905941545</v>
      </c>
      <c r="W228" s="402"/>
      <c r="X228" s="157">
        <f t="shared" si="83"/>
        <v>44410</v>
      </c>
      <c r="Y228" s="385">
        <f t="shared" si="84"/>
        <v>44.184195222409087</v>
      </c>
      <c r="Z228" s="385">
        <f t="shared" si="85"/>
        <v>45.328126141002457</v>
      </c>
      <c r="AA228" s="386">
        <f t="shared" si="86"/>
        <v>49.92731663009328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9.211771830570803E-2</v>
      </c>
      <c r="AD228" s="231">
        <f>(INDEX(Models!$BJ228:$BT228,,AH228)*(1-AF228)+INDEX(Models!$BJ228:$BT228,,AH228+1)*AF228-ERP_i)*AE228*Ramure*Pc/MaxiM</f>
        <v>2.4186572418142828E-3</v>
      </c>
      <c r="AE228" s="305">
        <f t="shared" si="88"/>
        <v>0.7</v>
      </c>
      <c r="AF228" s="177">
        <f t="shared" si="89"/>
        <v>0.94924752205076923</v>
      </c>
      <c r="AG228" s="919">
        <f t="shared" si="95"/>
        <v>-1</v>
      </c>
      <c r="AH228" s="176">
        <f t="shared" si="90"/>
        <v>5</v>
      </c>
      <c r="AI228" s="225">
        <f t="shared" si="91"/>
        <v>-5.0752477949230823E-2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8">
        <v>35.694000000000003</v>
      </c>
      <c r="C229" s="390"/>
      <c r="D229" s="393">
        <f t="shared" si="74"/>
        <v>36.618921408295996</v>
      </c>
      <c r="E229" s="385">
        <f t="shared" si="72"/>
        <v>37.333922450508666</v>
      </c>
      <c r="F229" s="385">
        <f t="shared" si="75"/>
        <v>37.382266134121956</v>
      </c>
      <c r="G229" s="110">
        <f t="shared" si="73"/>
        <v>0.68967633867231248</v>
      </c>
      <c r="H229" s="412" t="b">
        <f>Wh_hp&gt;='2020'!Maxi_hp</f>
        <v>0</v>
      </c>
      <c r="I229" s="380">
        <f>IF(H229,Wh_hp,'2020'!Maxi_hp)</f>
        <v>53.74274506897126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2.5258018880000566E-2</v>
      </c>
      <c r="M229" s="957"/>
      <c r="N229" s="957"/>
      <c r="O229" s="48">
        <f>IF(t&lt;Tnet,'2020'!Resal+('2020'!Salim-'2020'!Resal)*(1-EXP(('2020'!Tnet-t)/('2020'!Tau_j))),Resal+(Salim-Resal)*(1-EXP((Tnet-t)/(Tau_j))))*Salcycl</f>
        <v>1.9151511421295276E-2</v>
      </c>
      <c r="P229" s="169">
        <f>(INDEX(Models!$BJ229:$BT229,,T229)*(1-R229)+INDEX(Models!$BJ229:$BT229,,T229+1)*R229-ERP_i)*Q229*Ramure*Pc/MaxiM</f>
        <v>2.3188819386340724E-3</v>
      </c>
      <c r="Q229" s="305">
        <f t="shared" si="77"/>
        <v>0.7</v>
      </c>
      <c r="R229" s="177">
        <f t="shared" si="78"/>
        <v>0.95109800237349207</v>
      </c>
      <c r="S229" s="919">
        <f t="shared" si="79"/>
        <v>-1</v>
      </c>
      <c r="T229" s="176">
        <f t="shared" si="80"/>
        <v>5</v>
      </c>
      <c r="U229" s="251">
        <f t="shared" si="81"/>
        <v>-4.8901997626507876E-2</v>
      </c>
      <c r="V229" s="383">
        <f t="shared" si="82"/>
        <v>51.70156028006172</v>
      </c>
      <c r="W229" s="402"/>
      <c r="X229" s="157">
        <f t="shared" si="83"/>
        <v>44411</v>
      </c>
      <c r="Y229" s="385">
        <f t="shared" si="84"/>
        <v>33.037621505409881</v>
      </c>
      <c r="Z229" s="385">
        <f t="shared" si="85"/>
        <v>33.893709458834373</v>
      </c>
      <c r="AA229" s="386">
        <f t="shared" si="86"/>
        <v>37.333922450508666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9.2147108202594447E-2</v>
      </c>
      <c r="AD229" s="231">
        <f>(INDEX(Models!$BJ229:$BT229,,AH229)*(1-AF229)+INDEX(Models!$BJ229:$BT229,,AH229+1)*AF229-ERP_i)*AE229*Ramure*Pc/MaxiM</f>
        <v>2.3188819386340724E-3</v>
      </c>
      <c r="AE229" s="305">
        <f t="shared" si="88"/>
        <v>0.7</v>
      </c>
      <c r="AF229" s="177">
        <f t="shared" si="89"/>
        <v>0.95109800237349207</v>
      </c>
      <c r="AG229" s="919">
        <f t="shared" si="95"/>
        <v>-1</v>
      </c>
      <c r="AH229" s="176">
        <f t="shared" si="90"/>
        <v>5</v>
      </c>
      <c r="AI229" s="225">
        <f t="shared" si="91"/>
        <v>-4.8901997626507876E-2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8">
        <v>31.626000000000001</v>
      </c>
      <c r="C230" s="390"/>
      <c r="D230" s="393">
        <f t="shared" si="74"/>
        <v>32.446219941607801</v>
      </c>
      <c r="E230" s="385">
        <f t="shared" si="72"/>
        <v>33.083024084761412</v>
      </c>
      <c r="F230" s="385">
        <f t="shared" si="75"/>
        <v>33.115884853687682</v>
      </c>
      <c r="G230" s="110">
        <f t="shared" si="73"/>
        <v>0.61217176310806365</v>
      </c>
      <c r="H230" s="412" t="b">
        <f>Wh_hp&gt;='2020'!Maxi_hp</f>
        <v>0</v>
      </c>
      <c r="I230" s="380">
        <f>IF(H230,Wh_hp,'2020'!Maxi_hp)</f>
        <v>52.072907124529117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2.5279368230996413E-2</v>
      </c>
      <c r="M230" s="957"/>
      <c r="N230" s="957"/>
      <c r="O230" s="48">
        <f>IF(t&lt;Tnet,'2020'!Resal+('2020'!Salim-'2020'!Resal)*(1-EXP(('2020'!Tnet-t)/('2020'!Tau_j))),Resal+(Salim-Resal)*(1-EXP((Tnet-t)/(Tau_j))))*Salcycl</f>
        <v>1.924866788241816E-2</v>
      </c>
      <c r="P230" s="169">
        <f>(INDEX(Models!$BJ230:$BT230,,T230)*(1-R230)+INDEX(Models!$BJ230:$BT230,,T230+1)*R230-ERP_i)*Q230*Ramure*Pc/MaxiM</f>
        <v>2.2197260007195047E-3</v>
      </c>
      <c r="Q230" s="305">
        <f t="shared" si="77"/>
        <v>0.7</v>
      </c>
      <c r="R230" s="177">
        <f t="shared" si="78"/>
        <v>0.95288834890816898</v>
      </c>
      <c r="S230" s="919">
        <f t="shared" si="79"/>
        <v>-1</v>
      </c>
      <c r="T230" s="176">
        <f t="shared" si="80"/>
        <v>5</v>
      </c>
      <c r="U230" s="251">
        <f t="shared" si="81"/>
        <v>-4.7111651091831075E-2</v>
      </c>
      <c r="V230" s="383">
        <f t="shared" si="82"/>
        <v>51.598496782949283</v>
      </c>
      <c r="W230" s="402"/>
      <c r="X230" s="157">
        <f t="shared" si="83"/>
        <v>44412</v>
      </c>
      <c r="Y230" s="385">
        <f t="shared" si="84"/>
        <v>29.27432619850288</v>
      </c>
      <c r="Z230" s="385">
        <f t="shared" si="85"/>
        <v>30.033555507462083</v>
      </c>
      <c r="AA230" s="386">
        <f t="shared" si="86"/>
        <v>33.083024084761412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9.2176234236820059E-2</v>
      </c>
      <c r="AD230" s="231">
        <f>(INDEX(Models!$BJ230:$BT230,,AH230)*(1-AF230)+INDEX(Models!$BJ230:$BT230,,AH230+1)*AF230-ERP_i)*AE230*Ramure*Pc/MaxiM</f>
        <v>2.2197260007195047E-3</v>
      </c>
      <c r="AE230" s="305">
        <f t="shared" si="88"/>
        <v>0.7</v>
      </c>
      <c r="AF230" s="177">
        <f t="shared" si="89"/>
        <v>0.95288834890816898</v>
      </c>
      <c r="AG230" s="919">
        <f t="shared" si="95"/>
        <v>-1</v>
      </c>
      <c r="AH230" s="176">
        <f t="shared" si="90"/>
        <v>5</v>
      </c>
      <c r="AI230" s="225">
        <f t="shared" si="91"/>
        <v>-4.7111651091831075E-2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8">
        <v>46.753999999999998</v>
      </c>
      <c r="C231" s="390"/>
      <c r="D231" s="393">
        <f t="shared" si="74"/>
        <v>47.967615059266294</v>
      </c>
      <c r="E231" s="385">
        <f t="shared" si="72"/>
        <v>48.913887685422409</v>
      </c>
      <c r="F231" s="385">
        <f t="shared" si="75"/>
        <v>49.004164979682308</v>
      </c>
      <c r="G231" s="110">
        <f t="shared" si="73"/>
        <v>0.9076850851642172</v>
      </c>
      <c r="H231" s="412" t="b">
        <f>Wh_hp&gt;='2020'!Maxi_hp</f>
        <v>0</v>
      </c>
      <c r="I231" s="380">
        <f>IF(H231,Wh_hp,'2020'!Maxi_hp)</f>
        <v>53.36011340472448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2.530071711438675E-2</v>
      </c>
      <c r="M231" s="957"/>
      <c r="N231" s="957"/>
      <c r="O231" s="48">
        <f>IF(t&lt;Tnet,'2020'!Resal+('2020'!Salim-'2020'!Resal)*(1-EXP(('2020'!Tnet-t)/('2020'!Tau_j))),Resal+(Salim-Resal)*(1-EXP((Tnet-t)/(Tau_j))))*Salcycl</f>
        <v>1.9345684240881303E-2</v>
      </c>
      <c r="P231" s="169">
        <f>(INDEX(Models!$BJ231:$BT231,,T231)*(1-R231)+INDEX(Models!$BJ231:$BT231,,T231+1)*R231-ERP_i)*Q231*Ramure*Pc/MaxiM</f>
        <v>2.1212101094174578E-3</v>
      </c>
      <c r="Q231" s="305">
        <f t="shared" si="77"/>
        <v>0.7</v>
      </c>
      <c r="R231" s="177">
        <f t="shared" si="78"/>
        <v>0.95462000688181126</v>
      </c>
      <c r="S231" s="919">
        <f t="shared" si="79"/>
        <v>-1</v>
      </c>
      <c r="T231" s="176">
        <f t="shared" si="80"/>
        <v>5</v>
      </c>
      <c r="U231" s="251">
        <f t="shared" si="81"/>
        <v>-4.5379993118188744E-2</v>
      </c>
      <c r="V231" s="383">
        <f t="shared" si="82"/>
        <v>51.494657773239155</v>
      </c>
      <c r="W231" s="402"/>
      <c r="X231" s="157">
        <f t="shared" si="83"/>
        <v>44413</v>
      </c>
      <c r="Y231" s="385">
        <f t="shared" si="84"/>
        <v>43.280330109612244</v>
      </c>
      <c r="Z231" s="385">
        <f t="shared" si="85"/>
        <v>44.403777523545635</v>
      </c>
      <c r="AA231" s="386">
        <f t="shared" si="86"/>
        <v>48.913887685422409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9.2205105242961508E-2</v>
      </c>
      <c r="AD231" s="231">
        <f>(INDEX(Models!$BJ231:$BT231,,AH231)*(1-AF231)+INDEX(Models!$BJ231:$BT231,,AH231+1)*AF231-ERP_i)*AE231*Ramure*Pc/MaxiM</f>
        <v>2.1212101094174578E-3</v>
      </c>
      <c r="AE231" s="305">
        <f t="shared" si="88"/>
        <v>0.7</v>
      </c>
      <c r="AF231" s="177">
        <f t="shared" si="89"/>
        <v>0.95462000688181126</v>
      </c>
      <c r="AG231" s="919">
        <f t="shared" si="95"/>
        <v>-1</v>
      </c>
      <c r="AH231" s="176">
        <f t="shared" si="90"/>
        <v>5</v>
      </c>
      <c r="AI231" s="225">
        <f t="shared" si="91"/>
        <v>-4.5379993118188744E-2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8">
        <v>17.541</v>
      </c>
      <c r="C232" s="390"/>
      <c r="D232" s="393">
        <f t="shared" si="74"/>
        <v>17.996713970488649</v>
      </c>
      <c r="E232" s="385">
        <f t="shared" si="72"/>
        <v>18.353554071693225</v>
      </c>
      <c r="F232" s="385">
        <f t="shared" si="75"/>
        <v>18.355747007095687</v>
      </c>
      <c r="G232" s="110">
        <f t="shared" si="73"/>
        <v>0.34068146525357423</v>
      </c>
      <c r="H232" s="412" t="b">
        <f>Wh_hp&gt;='2020'!Maxi_hp</f>
        <v>0</v>
      </c>
      <c r="I232" s="380">
        <f>IF(H232,Wh_hp,'2020'!Maxi_hp)</f>
        <v>54.203152791652954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2.5322065530181681E-2</v>
      </c>
      <c r="M232" s="957"/>
      <c r="N232" s="957"/>
      <c r="O232" s="48">
        <f>IF(t&lt;Tnet,'2020'!Resal+('2020'!Salim-'2020'!Resal)*(1-EXP(('2020'!Tnet-t)/('2020'!Tau_j))),Resal+(Salim-Resal)*(1-EXP((Tnet-t)/(Tau_j))))*Salcycl</f>
        <v>1.944256135954231E-2</v>
      </c>
      <c r="P232" s="169">
        <f>(INDEX(Models!$BJ232:$BT232,,T232)*(1-R232)+INDEX(Models!$BJ232:$BT232,,T232+1)*R232-ERP_i)*Q232*Ramure*Pc/MaxiM</f>
        <v>2.0233532668872188E-3</v>
      </c>
      <c r="Q232" s="305">
        <f t="shared" si="77"/>
        <v>0.7</v>
      </c>
      <c r="R232" s="177">
        <f t="shared" si="78"/>
        <v>0.95629442419134281</v>
      </c>
      <c r="S232" s="919">
        <f t="shared" si="79"/>
        <v>-1</v>
      </c>
      <c r="T232" s="176">
        <f t="shared" si="80"/>
        <v>5</v>
      </c>
      <c r="U232" s="251">
        <f t="shared" si="81"/>
        <v>-4.3705575808657193E-2</v>
      </c>
      <c r="V232" s="383">
        <f t="shared" si="82"/>
        <v>51.38993973674885</v>
      </c>
      <c r="W232" s="402"/>
      <c r="X232" s="157">
        <f t="shared" si="83"/>
        <v>44414</v>
      </c>
      <c r="Y232" s="385">
        <f t="shared" si="84"/>
        <v>16.238853072746814</v>
      </c>
      <c r="Z232" s="385">
        <f t="shared" si="85"/>
        <v>16.660737355852866</v>
      </c>
      <c r="AA232" s="386">
        <f t="shared" si="86"/>
        <v>18.353554071693225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9.2233728095813206E-2</v>
      </c>
      <c r="AD232" s="231">
        <f>(INDEX(Models!$BJ232:$BT232,,AH232)*(1-AF232)+INDEX(Models!$BJ232:$BT232,,AH232+1)*AF232-ERP_i)*AE232*Ramure*Pc/MaxiM</f>
        <v>2.0233532668872188E-3</v>
      </c>
      <c r="AE232" s="305">
        <f t="shared" si="88"/>
        <v>0.7</v>
      </c>
      <c r="AF232" s="177">
        <f t="shared" si="89"/>
        <v>0.95629442419134281</v>
      </c>
      <c r="AG232" s="919">
        <f t="shared" si="95"/>
        <v>-1</v>
      </c>
      <c r="AH232" s="176">
        <f t="shared" si="90"/>
        <v>5</v>
      </c>
      <c r="AI232" s="225">
        <f t="shared" si="91"/>
        <v>-4.3705575808657193E-2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8">
        <v>22.959</v>
      </c>
      <c r="C233" s="390"/>
      <c r="D233" s="393">
        <f t="shared" si="74"/>
        <v>23.555989173516956</v>
      </c>
      <c r="E233" s="385">
        <f t="shared" ref="E233:E296" si="96">Wh_pvt/(1-Psa)</f>
        <v>24.025429236600829</v>
      </c>
      <c r="F233" s="385">
        <f t="shared" si="75"/>
        <v>24.035196394507516</v>
      </c>
      <c r="G233" s="110">
        <f t="shared" ref="G233:G296" si="97">+Wh_hp/MaxiM</f>
        <v>0.44700009849666988</v>
      </c>
      <c r="H233" s="412" t="b">
        <f>Wh_hp&gt;='2020'!Maxi_hp</f>
        <v>0</v>
      </c>
      <c r="I233" s="380">
        <f>IF(H233,Wh_hp,'2020'!Maxi_hp)</f>
        <v>52.896291663476283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2.5343413478391641E-2</v>
      </c>
      <c r="M233" s="957"/>
      <c r="N233" s="957"/>
      <c r="O233" s="48">
        <f>IF(t&lt;Tnet,'2020'!Resal+('2020'!Salim-'2020'!Resal)*(1-EXP(('2020'!Tnet-t)/('2020'!Tau_j))),Resal+(Salim-Resal)*(1-EXP((Tnet-t)/(Tau_j))))*Salcycl</f>
        <v>1.9539299733663834E-2</v>
      </c>
      <c r="P233" s="169">
        <f>(INDEX(Models!$BJ233:$BT233,,T233)*(1-R233)+INDEX(Models!$BJ233:$BT233,,T233+1)*R233-ERP_i)*Q233*Ramure*Pc/MaxiM</f>
        <v>1.9261701697524261E-3</v>
      </c>
      <c r="Q233" s="305">
        <f t="shared" si="77"/>
        <v>0.7</v>
      </c>
      <c r="R233" s="177">
        <f t="shared" si="78"/>
        <v>0.95791304807090638</v>
      </c>
      <c r="S233" s="919">
        <f t="shared" si="79"/>
        <v>-1</v>
      </c>
      <c r="T233" s="176">
        <f t="shared" si="80"/>
        <v>5</v>
      </c>
      <c r="U233" s="251">
        <f t="shared" si="81"/>
        <v>-4.2086951929093619E-2</v>
      </c>
      <c r="V233" s="383">
        <f t="shared" si="82"/>
        <v>51.284312410705688</v>
      </c>
      <c r="W233" s="402"/>
      <c r="X233" s="157">
        <f t="shared" si="83"/>
        <v>44415</v>
      </c>
      <c r="Y233" s="385">
        <f t="shared" si="84"/>
        <v>21.256083248837324</v>
      </c>
      <c r="Z233" s="385">
        <f t="shared" si="85"/>
        <v>21.808792494489619</v>
      </c>
      <c r="AA233" s="386">
        <f t="shared" si="86"/>
        <v>24.025429236600829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9.2262107797613804E-2</v>
      </c>
      <c r="AD233" s="231">
        <f>(INDEX(Models!$BJ233:$BT233,,AH233)*(1-AF233)+INDEX(Models!$BJ233:$BT233,,AH233+1)*AF233-ERP_i)*AE233*Ramure*Pc/MaxiM</f>
        <v>1.9261701697524261E-3</v>
      </c>
      <c r="AE233" s="305">
        <f t="shared" si="88"/>
        <v>0.7</v>
      </c>
      <c r="AF233" s="177">
        <f t="shared" si="89"/>
        <v>0.95791304807090638</v>
      </c>
      <c r="AG233" s="919">
        <f t="shared" si="95"/>
        <v>-1</v>
      </c>
      <c r="AH233" s="176">
        <f t="shared" si="90"/>
        <v>5</v>
      </c>
      <c r="AI233" s="225">
        <f t="shared" si="91"/>
        <v>-4.2086951929093619E-2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8">
        <v>36.548999999999999</v>
      </c>
      <c r="C234" s="390"/>
      <c r="D234" s="393">
        <f t="shared" si="74"/>
        <v>37.500183182339761</v>
      </c>
      <c r="E234" s="385">
        <f t="shared" si="96"/>
        <v>38.251281501715603</v>
      </c>
      <c r="F234" s="385">
        <f t="shared" si="75"/>
        <v>38.292762322285348</v>
      </c>
      <c r="G234" s="110">
        <f t="shared" si="97"/>
        <v>0.71362268633149917</v>
      </c>
      <c r="H234" s="412" t="b">
        <f>Wh_hp&gt;='2020'!Maxi_hp</f>
        <v>0</v>
      </c>
      <c r="I234" s="380">
        <f>IF(H234,Wh_hp,'2020'!Maxi_hp)</f>
        <v>51.803831793657018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2.5364760959026622E-2</v>
      </c>
      <c r="M234" s="957"/>
      <c r="N234" s="957"/>
      <c r="O234" s="48">
        <f>IF(t&lt;Tnet,'2020'!Resal+('2020'!Salim-'2020'!Resal)*(1-EXP(('2020'!Tnet-t)/('2020'!Tau_j))),Resal+(Salim-Resal)*(1-EXP((Tnet-t)/(Tau_j))))*Salcycl</f>
        <v>1.9635899501619525E-2</v>
      </c>
      <c r="P234" s="169">
        <f>(INDEX(Models!$BJ234:$BT234,,T234)*(1-R234)+INDEX(Models!$BJ234:$BT234,,T234+1)*R234-ERP_i)*Q234*Ramure*Pc/MaxiM</f>
        <v>1.8308951281859613E-3</v>
      </c>
      <c r="Q234" s="305">
        <f t="shared" si="77"/>
        <v>0.7</v>
      </c>
      <c r="R234" s="177">
        <f t="shared" si="78"/>
        <v>0.95947732200382796</v>
      </c>
      <c r="S234" s="919">
        <f t="shared" si="79"/>
        <v>-1</v>
      </c>
      <c r="T234" s="176">
        <f t="shared" si="80"/>
        <v>5</v>
      </c>
      <c r="U234" s="251">
        <f t="shared" si="81"/>
        <v>-4.0522677996172096E-2</v>
      </c>
      <c r="V234" s="383">
        <f t="shared" si="82"/>
        <v>51.17780805245247</v>
      </c>
      <c r="W234" s="402"/>
      <c r="X234" s="157">
        <f t="shared" si="83"/>
        <v>44416</v>
      </c>
      <c r="Y234" s="385">
        <f t="shared" si="84"/>
        <v>33.840369842817871</v>
      </c>
      <c r="Z234" s="385">
        <f t="shared" si="85"/>
        <v>34.721061261971499</v>
      </c>
      <c r="AA234" s="386">
        <f t="shared" si="86"/>
        <v>38.251281501715603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9.2290247572117817E-2</v>
      </c>
      <c r="AD234" s="231">
        <f>(INDEX(Models!$BJ234:$BT234,,AH234)*(1-AF234)+INDEX(Models!$BJ234:$BT234,,AH234+1)*AF234-ERP_i)*AE234*Ramure*Pc/MaxiM</f>
        <v>1.8308951281859613E-3</v>
      </c>
      <c r="AE234" s="305">
        <f t="shared" si="88"/>
        <v>0.7</v>
      </c>
      <c r="AF234" s="177">
        <f t="shared" si="89"/>
        <v>0.95947732200382796</v>
      </c>
      <c r="AG234" s="919">
        <f t="shared" si="95"/>
        <v>-1</v>
      </c>
      <c r="AH234" s="176">
        <f t="shared" si="90"/>
        <v>5</v>
      </c>
      <c r="AI234" s="225">
        <f t="shared" si="91"/>
        <v>-4.0522677996172096E-2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8">
        <v>51.983000000000004</v>
      </c>
      <c r="C235" s="390"/>
      <c r="D235" s="393">
        <f t="shared" si="74"/>
        <v>53.337019331663434</v>
      </c>
      <c r="E235" s="385">
        <f t="shared" si="96"/>
        <v>54.410670290561697</v>
      </c>
      <c r="F235" s="385">
        <f t="shared" si="75"/>
        <v>54.505372378920782</v>
      </c>
      <c r="G235" s="110">
        <f t="shared" si="97"/>
        <v>1.0178671681605389</v>
      </c>
      <c r="H235" s="412" t="b">
        <f>Wh_hp&gt;='2020'!Maxi_hp</f>
        <v>1</v>
      </c>
      <c r="I235" s="380">
        <f>IF(H235,Wh_hp,'2020'!Maxi_hp)</f>
        <v>54.505372378920782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2.538610797209695E-2</v>
      </c>
      <c r="M235" s="957"/>
      <c r="N235" s="957"/>
      <c r="O235" s="48">
        <f>IF(t&lt;Tnet,'2020'!Resal+('2020'!Salim-'2020'!Resal)*(1-EXP(('2020'!Tnet-t)/('2020'!Tau_j))),Resal+(Salim-Resal)*(1-EXP((Tnet-t)/(Tau_j))))*Salcycl</f>
        <v>1.9732360457329304E-2</v>
      </c>
      <c r="P235" s="169">
        <f>(INDEX(Models!$BJ235:$BT235,,T235)*(1-R235)+INDEX(Models!$BJ235:$BT235,,T235+1)*R235-ERP_i)*Q235*Ramure*Pc/MaxiM</f>
        <v>1.7374817238330687E-3</v>
      </c>
      <c r="Q235" s="305">
        <f t="shared" si="77"/>
        <v>0.7</v>
      </c>
      <c r="R235" s="177">
        <f t="shared" si="78"/>
        <v>0.9609886828724562</v>
      </c>
      <c r="S235" s="919">
        <f t="shared" si="79"/>
        <v>-1</v>
      </c>
      <c r="T235" s="176">
        <f t="shared" si="80"/>
        <v>5</v>
      </c>
      <c r="U235" s="251">
        <f t="shared" si="81"/>
        <v>-3.9011317127543799E-2</v>
      </c>
      <c r="V235" s="383">
        <f t="shared" si="82"/>
        <v>51.070514528867484</v>
      </c>
      <c r="W235" s="402"/>
      <c r="X235" s="157">
        <f t="shared" si="83"/>
        <v>44417</v>
      </c>
      <c r="Y235" s="385">
        <f t="shared" si="84"/>
        <v>48.133819539752771</v>
      </c>
      <c r="Z235" s="385">
        <f t="shared" si="85"/>
        <v>49.387577925448561</v>
      </c>
      <c r="AA235" s="386">
        <f t="shared" si="86"/>
        <v>54.410670290561697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9.2318148963962732E-2</v>
      </c>
      <c r="AD235" s="231">
        <f>(INDEX(Models!$BJ235:$BT235,,AH235)*(1-AF235)+INDEX(Models!$BJ235:$BT235,,AH235+1)*AF235-ERP_i)*AE235*Ramure*Pc/MaxiM</f>
        <v>1.7374817238330687E-3</v>
      </c>
      <c r="AE235" s="305">
        <f t="shared" si="88"/>
        <v>0.7</v>
      </c>
      <c r="AF235" s="177">
        <f t="shared" si="89"/>
        <v>0.9609886828724562</v>
      </c>
      <c r="AG235" s="919">
        <f t="shared" si="95"/>
        <v>-1</v>
      </c>
      <c r="AH235" s="176">
        <f t="shared" si="90"/>
        <v>5</v>
      </c>
      <c r="AI235" s="225">
        <f t="shared" si="91"/>
        <v>-3.9011317127543799E-2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8">
        <v>50.408000000000001</v>
      </c>
      <c r="C236" s="390"/>
      <c r="D236" s="393">
        <f t="shared" si="74"/>
        <v>51.722127604669829</v>
      </c>
      <c r="E236" s="385">
        <f t="shared" si="96"/>
        <v>52.768456552667146</v>
      </c>
      <c r="F236" s="385">
        <f t="shared" si="75"/>
        <v>52.854099421104479</v>
      </c>
      <c r="G236" s="110">
        <f t="shared" si="97"/>
        <v>0.98909378514077395</v>
      </c>
      <c r="H236" s="412" t="b">
        <f>Wh_hp&gt;='2020'!Maxi_hp</f>
        <v>1</v>
      </c>
      <c r="I236" s="380">
        <f>IF(H236,Wh_hp,'2020'!Maxi_hp)</f>
        <v>52.854099421104479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2.540745451761306E-2</v>
      </c>
      <c r="M236" s="957"/>
      <c r="N236" s="957"/>
      <c r="O236" s="48">
        <f>IF(t&lt;Tnet,'2020'!Resal+('2020'!Salim-'2020'!Resal)*(1-EXP(('2020'!Tnet-t)/('2020'!Tau_j))),Resal+(Salim-Resal)*(1-EXP((Tnet-t)/(Tau_j))))*Salcycl</f>
        <v>1.9828682064122791E-2</v>
      </c>
      <c r="P236" s="169">
        <f>(INDEX(Models!$BJ236:$BT236,,T236)*(1-R236)+INDEX(Models!$BJ236:$BT236,,T236+1)*R236-ERP_i)*Q236*Ramure*Pc/MaxiM</f>
        <v>1.6459485650475126E-3</v>
      </c>
      <c r="Q236" s="305">
        <f t="shared" si="77"/>
        <v>0.7</v>
      </c>
      <c r="R236" s="177">
        <f t="shared" si="78"/>
        <v>0.9624485583383533</v>
      </c>
      <c r="S236" s="919">
        <f t="shared" si="79"/>
        <v>-1</v>
      </c>
      <c r="T236" s="176">
        <f t="shared" si="80"/>
        <v>5</v>
      </c>
      <c r="U236" s="251">
        <f t="shared" si="81"/>
        <v>-3.7551441661646645E-2</v>
      </c>
      <c r="V236" s="383">
        <f t="shared" si="82"/>
        <v>50.962516382557304</v>
      </c>
      <c r="W236" s="402"/>
      <c r="X236" s="157">
        <f t="shared" si="83"/>
        <v>44418</v>
      </c>
      <c r="Y236" s="385">
        <f t="shared" si="84"/>
        <v>46.678607580549688</v>
      </c>
      <c r="Z236" s="385">
        <f t="shared" si="85"/>
        <v>47.895510587396828</v>
      </c>
      <c r="AA236" s="386">
        <f t="shared" si="86"/>
        <v>52.768456552667146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9.2345811941774894E-2</v>
      </c>
      <c r="AD236" s="231">
        <f>(INDEX(Models!$BJ236:$BT236,,AH236)*(1-AF236)+INDEX(Models!$BJ236:$BT236,,AH236+1)*AF236-ERP_i)*AE236*Ramure*Pc/MaxiM</f>
        <v>1.6459485650475126E-3</v>
      </c>
      <c r="AE236" s="305">
        <f t="shared" si="88"/>
        <v>0.7</v>
      </c>
      <c r="AF236" s="177">
        <f t="shared" si="89"/>
        <v>0.9624485583383533</v>
      </c>
      <c r="AG236" s="919">
        <f t="shared" si="95"/>
        <v>-1</v>
      </c>
      <c r="AH236" s="176">
        <f t="shared" si="90"/>
        <v>5</v>
      </c>
      <c r="AI236" s="225">
        <f t="shared" si="91"/>
        <v>-3.7551441661646645E-2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8">
        <v>48.728999999999999</v>
      </c>
      <c r="C237" s="390"/>
      <c r="D237" s="393">
        <f t="shared" si="74"/>
        <v>50.000451511166673</v>
      </c>
      <c r="E237" s="385">
        <f t="shared" si="96"/>
        <v>51.01695742244943</v>
      </c>
      <c r="F237" s="385">
        <f t="shared" si="75"/>
        <v>51.091725813524789</v>
      </c>
      <c r="G237" s="110">
        <f t="shared" si="97"/>
        <v>0.9581264803228996</v>
      </c>
      <c r="H237" s="412" t="b">
        <f>Wh_hp&gt;='2020'!Maxi_hp</f>
        <v>0</v>
      </c>
      <c r="I237" s="380">
        <f>IF(H237,Wh_hp,'2020'!Maxi_hp)</f>
        <v>52.879735063277003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2.5428800595584944E-2</v>
      </c>
      <c r="M237" s="957"/>
      <c r="N237" s="957"/>
      <c r="O237" s="48">
        <f>IF(t&lt;Tnet,'2020'!Resal+('2020'!Salim-'2020'!Resal)*(1-EXP(('2020'!Tnet-t)/('2020'!Tau_j))),Resal+(Salim-Resal)*(1-EXP((Tnet-t)/(Tau_j))))*Salcycl</f>
        <v>1.992486346971865E-2</v>
      </c>
      <c r="P237" s="169">
        <f>(INDEX(Models!$BJ237:$BT237,,T237)*(1-R237)+INDEX(Models!$BJ237:$BT237,,T237+1)*R237-ERP_i)*Q237*Ramure*Pc/MaxiM</f>
        <v>1.5563143166585594E-3</v>
      </c>
      <c r="Q237" s="305">
        <f t="shared" si="77"/>
        <v>0.7</v>
      </c>
      <c r="R237" s="177">
        <f t="shared" si="78"/>
        <v>0.96385836444469586</v>
      </c>
      <c r="S237" s="919">
        <f t="shared" si="79"/>
        <v>-1</v>
      </c>
      <c r="T237" s="176">
        <f t="shared" si="80"/>
        <v>5</v>
      </c>
      <c r="U237" s="251">
        <f t="shared" si="81"/>
        <v>-3.6141635555304141E-2</v>
      </c>
      <c r="V237" s="383">
        <f t="shared" si="82"/>
        <v>50.853898174070984</v>
      </c>
      <c r="W237" s="402"/>
      <c r="X237" s="157">
        <f t="shared" si="83"/>
        <v>44419</v>
      </c>
      <c r="Y237" s="385">
        <f t="shared" si="84"/>
        <v>45.126891789229362</v>
      </c>
      <c r="Z237" s="385">
        <f t="shared" si="85"/>
        <v>46.304356025303782</v>
      </c>
      <c r="AA237" s="386">
        <f t="shared" si="86"/>
        <v>51.01695742244943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9.2373235003464213E-2</v>
      </c>
      <c r="AD237" s="231">
        <f>(INDEX(Models!$BJ237:$BT237,,AH237)*(1-AF237)+INDEX(Models!$BJ237:$BT237,,AH237+1)*AF237-ERP_i)*AE237*Ramure*Pc/MaxiM</f>
        <v>1.5563143166585594E-3</v>
      </c>
      <c r="AE237" s="305">
        <f t="shared" si="88"/>
        <v>0.7</v>
      </c>
      <c r="AF237" s="177">
        <f t="shared" si="89"/>
        <v>0.96385836444469586</v>
      </c>
      <c r="AG237" s="919">
        <f t="shared" si="95"/>
        <v>-1</v>
      </c>
      <c r="AH237" s="176">
        <f t="shared" si="90"/>
        <v>5</v>
      </c>
      <c r="AI237" s="225">
        <f t="shared" si="91"/>
        <v>-3.6141635555304141E-2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8">
        <v>47.204999999999998</v>
      </c>
      <c r="C238" s="390"/>
      <c r="D238" s="393">
        <f t="shared" si="74"/>
        <v>48.437747762444673</v>
      </c>
      <c r="E238" s="385">
        <f t="shared" si="96"/>
        <v>49.427327518033621</v>
      </c>
      <c r="F238" s="385">
        <f t="shared" si="75"/>
        <v>49.492769339078812</v>
      </c>
      <c r="G238" s="110">
        <f t="shared" si="97"/>
        <v>0.93010779737543281</v>
      </c>
      <c r="H238" s="412" t="b">
        <f>Wh_hp&gt;='2020'!Maxi_hp</f>
        <v>0</v>
      </c>
      <c r="I238" s="380">
        <f>IF(H238,Wh_hp,'2020'!Maxi_hp)</f>
        <v>51.227825043986797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2.5450146206022928E-2</v>
      </c>
      <c r="M238" s="957"/>
      <c r="N238" s="957"/>
      <c r="O238" s="48">
        <f>IF(t&lt;Tnet,'2020'!Resal+('2020'!Salim-'2020'!Resal)*(1-EXP(('2020'!Tnet-t)/('2020'!Tau_j))),Resal+(Salim-Resal)*(1-EXP((Tnet-t)/(Tau_j))))*Salcycl</f>
        <v>2.0020903522002004E-2</v>
      </c>
      <c r="P238" s="169">
        <f>(INDEX(Models!$BJ238:$BT238,,T238)*(1-R238)+INDEX(Models!$BJ238:$BT238,,T238+1)*R238-ERP_i)*Q238*Ramure*Pc/MaxiM</f>
        <v>1.4685977568924112E-3</v>
      </c>
      <c r="Q238" s="305">
        <f t="shared" si="77"/>
        <v>0.7</v>
      </c>
      <c r="R238" s="177">
        <f t="shared" si="78"/>
        <v>0.96521950343226193</v>
      </c>
      <c r="S238" s="919">
        <f t="shared" si="79"/>
        <v>-1</v>
      </c>
      <c r="T238" s="176">
        <f t="shared" si="80"/>
        <v>5</v>
      </c>
      <c r="U238" s="251">
        <f t="shared" si="81"/>
        <v>-3.4780496567738073E-2</v>
      </c>
      <c r="V238" s="383">
        <f t="shared" si="82"/>
        <v>50.744744477086314</v>
      </c>
      <c r="W238" s="402"/>
      <c r="X238" s="157">
        <f t="shared" si="83"/>
        <v>44420</v>
      </c>
      <c r="Y238" s="385">
        <f t="shared" si="84"/>
        <v>43.718522722148926</v>
      </c>
      <c r="Z238" s="385">
        <f t="shared" si="85"/>
        <v>44.860221929078612</v>
      </c>
      <c r="AA238" s="386">
        <f t="shared" si="86"/>
        <v>49.427327518033621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9.2400415282187717E-2</v>
      </c>
      <c r="AD238" s="231">
        <f>(INDEX(Models!$BJ238:$BT238,,AH238)*(1-AF238)+INDEX(Models!$BJ238:$BT238,,AH238+1)*AF238-ERP_i)*AE238*Ramure*Pc/MaxiM</f>
        <v>1.4685977568924112E-3</v>
      </c>
      <c r="AE238" s="305">
        <f t="shared" si="88"/>
        <v>0.7</v>
      </c>
      <c r="AF238" s="177">
        <f t="shared" si="89"/>
        <v>0.96521950343226193</v>
      </c>
      <c r="AG238" s="919">
        <f t="shared" si="95"/>
        <v>-1</v>
      </c>
      <c r="AH238" s="176">
        <f t="shared" si="90"/>
        <v>5</v>
      </c>
      <c r="AI238" s="225">
        <f t="shared" si="91"/>
        <v>-3.4780496567738073E-2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8">
        <v>31.372</v>
      </c>
      <c r="C239" s="390"/>
      <c r="D239" s="393">
        <f t="shared" si="74"/>
        <v>32.191977681006954</v>
      </c>
      <c r="E239" s="385">
        <f t="shared" si="96"/>
        <v>32.852872369692264</v>
      </c>
      <c r="F239" s="385">
        <f t="shared" si="75"/>
        <v>32.87362533535557</v>
      </c>
      <c r="G239" s="110">
        <f t="shared" si="97"/>
        <v>0.61910381644719359</v>
      </c>
      <c r="H239" s="412" t="b">
        <f>Wh_hp&gt;='2020'!Maxi_hp</f>
        <v>0</v>
      </c>
      <c r="I239" s="380">
        <f>IF(H239,Wh_hp,'2020'!Maxi_hp)</f>
        <v>48.536022746732414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2.5471491348937336E-2</v>
      </c>
      <c r="M239" s="957"/>
      <c r="N239" s="957"/>
      <c r="O239" s="48">
        <f>IF(t&lt;Tnet,'2020'!Resal+('2020'!Salim-'2020'!Resal)*(1-EXP(('2020'!Tnet-t)/('2020'!Tau_j))),Resal+(Salim-Resal)*(1-EXP((Tnet-t)/(Tau_j))))*Salcycl</f>
        <v>2.0116800785279321E-2</v>
      </c>
      <c r="P239" s="169">
        <f>(INDEX(Models!$BJ239:$BT239,,T239)*(1-R239)+INDEX(Models!$BJ239:$BT239,,T239+1)*R239-ERP_i)*Q239*Ramure*Pc/MaxiM</f>
        <v>1.3828178248187313E-3</v>
      </c>
      <c r="Q239" s="305">
        <f t="shared" si="77"/>
        <v>0.7</v>
      </c>
      <c r="R239" s="177">
        <f t="shared" si="78"/>
        <v>0.96653336176000559</v>
      </c>
      <c r="S239" s="919">
        <f t="shared" si="79"/>
        <v>-1</v>
      </c>
      <c r="T239" s="176">
        <f t="shared" si="80"/>
        <v>5</v>
      </c>
      <c r="U239" s="251">
        <f t="shared" si="81"/>
        <v>-3.3466638239994462E-2</v>
      </c>
      <c r="V239" s="383">
        <f t="shared" si="82"/>
        <v>50.635139874307214</v>
      </c>
      <c r="W239" s="402"/>
      <c r="X239" s="157">
        <f t="shared" si="83"/>
        <v>44421</v>
      </c>
      <c r="Y239" s="385">
        <f t="shared" si="84"/>
        <v>29.056901109155437</v>
      </c>
      <c r="Z239" s="385">
        <f t="shared" si="85"/>
        <v>29.816368480975328</v>
      </c>
      <c r="AA239" s="386">
        <f t="shared" si="86"/>
        <v>32.852872369692264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9.2427348651504787E-2</v>
      </c>
      <c r="AD239" s="231">
        <f>(INDEX(Models!$BJ239:$BT239,,AH239)*(1-AF239)+INDEX(Models!$BJ239:$BT239,,AH239+1)*AF239-ERP_i)*AE239*Ramure*Pc/MaxiM</f>
        <v>1.3828178248187313E-3</v>
      </c>
      <c r="AE239" s="305">
        <f t="shared" si="88"/>
        <v>0.7</v>
      </c>
      <c r="AF239" s="177">
        <f t="shared" si="89"/>
        <v>0.96653336176000559</v>
      </c>
      <c r="AG239" s="919">
        <f t="shared" si="95"/>
        <v>-1</v>
      </c>
      <c r="AH239" s="176">
        <f t="shared" si="90"/>
        <v>5</v>
      </c>
      <c r="AI239" s="225">
        <f t="shared" si="91"/>
        <v>-3.3466638239994462E-2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8">
        <v>47.983000000000004</v>
      </c>
      <c r="C240" s="390"/>
      <c r="D240" s="393">
        <f t="shared" si="74"/>
        <v>49.238221917472096</v>
      </c>
      <c r="E240" s="385">
        <f t="shared" si="96"/>
        <v>50.253983245253927</v>
      </c>
      <c r="F240" s="385">
        <f t="shared" si="75"/>
        <v>50.31474997170676</v>
      </c>
      <c r="G240" s="110">
        <f t="shared" si="97"/>
        <v>0.9495983226803677</v>
      </c>
      <c r="H240" s="412" t="b">
        <f>Wh_hp&gt;='2020'!Maxi_hp</f>
        <v>0</v>
      </c>
      <c r="I240" s="380">
        <f>IF(H240,Wh_hp,'2020'!Maxi_hp)</f>
        <v>53.538915966622881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2.5492836024338272E-2</v>
      </c>
      <c r="M240" s="957"/>
      <c r="N240" s="957"/>
      <c r="O240" s="48">
        <f>IF(t&lt;Tnet,'2020'!Resal+('2020'!Salim-'2020'!Resal)*(1-EXP(('2020'!Tnet-t)/('2020'!Tau_j))),Resal+(Salim-Resal)*(1-EXP((Tnet-t)/(Tau_j))))*Salcycl</f>
        <v>2.0212553556692714E-2</v>
      </c>
      <c r="P240" s="169">
        <f>(INDEX(Models!$BJ240:$BT240,,T240)*(1-R240)+INDEX(Models!$BJ240:$BT240,,T240+1)*R240-ERP_i)*Q240*Ramure*Pc/MaxiM</f>
        <v>1.3012604088185127E-3</v>
      </c>
      <c r="Q240" s="305">
        <f t="shared" si="77"/>
        <v>0.7</v>
      </c>
      <c r="R240" s="177">
        <f t="shared" si="78"/>
        <v>0.96780130832095446</v>
      </c>
      <c r="S240" s="919">
        <f t="shared" si="79"/>
        <v>-1</v>
      </c>
      <c r="T240" s="176">
        <f t="shared" si="80"/>
        <v>5</v>
      </c>
      <c r="U240" s="251">
        <f t="shared" si="81"/>
        <v>-3.2198691679045544E-2</v>
      </c>
      <c r="V240" s="383">
        <f t="shared" si="82"/>
        <v>50.525054275071227</v>
      </c>
      <c r="W240" s="402"/>
      <c r="X240" s="157">
        <f t="shared" si="83"/>
        <v>44422</v>
      </c>
      <c r="Y240" s="385">
        <f t="shared" si="84"/>
        <v>44.445127813002564</v>
      </c>
      <c r="Z240" s="385">
        <f t="shared" si="85"/>
        <v>45.607799979305824</v>
      </c>
      <c r="AA240" s="386">
        <f t="shared" si="86"/>
        <v>50.253983245253927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9.2454029828310136E-2</v>
      </c>
      <c r="AD240" s="231">
        <f>(INDEX(Models!$BJ240:$BT240,,AH240)*(1-AF240)+INDEX(Models!$BJ240:$BT240,,AH240+1)*AF240-ERP_i)*AE240*Ramure*Pc/MaxiM</f>
        <v>1.3012604088185127E-3</v>
      </c>
      <c r="AE240" s="305">
        <f t="shared" si="88"/>
        <v>0.7</v>
      </c>
      <c r="AF240" s="177">
        <f t="shared" si="89"/>
        <v>0.96780130832095446</v>
      </c>
      <c r="AG240" s="919">
        <f t="shared" si="95"/>
        <v>-1</v>
      </c>
      <c r="AH240" s="176">
        <f t="shared" si="90"/>
        <v>5</v>
      </c>
      <c r="AI240" s="225">
        <f t="shared" si="91"/>
        <v>-3.2198691679045544E-2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8">
        <v>19.454000000000001</v>
      </c>
      <c r="C241" s="390"/>
      <c r="D241" s="393">
        <f t="shared" si="74"/>
        <v>19.963348470926146</v>
      </c>
      <c r="E241" s="385">
        <f t="shared" si="96"/>
        <v>20.377171324129279</v>
      </c>
      <c r="F241" s="385">
        <f t="shared" si="75"/>
        <v>20.380228759251239</v>
      </c>
      <c r="G241" s="110">
        <f t="shared" si="97"/>
        <v>0.38546601806912262</v>
      </c>
      <c r="H241" s="412" t="b">
        <f>Wh_hp&gt;='2020'!Maxi_hp</f>
        <v>0</v>
      </c>
      <c r="I241" s="380">
        <f>IF(H241,Wh_hp,'2020'!Maxi_hp)</f>
        <v>53.803189402990363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2.5514180232236061E-2</v>
      </c>
      <c r="M241" s="957"/>
      <c r="N241" s="957"/>
      <c r="O241" s="48">
        <f>IF(t&lt;Tnet,'2020'!Resal+('2020'!Salim-'2020'!Resal)*(1-EXP(('2020'!Tnet-t)/('2020'!Tau_j))),Resal+(Salim-Resal)*(1-EXP((Tnet-t)/(Tau_j))))*Salcycl</f>
        <v>2.0308159882481452E-2</v>
      </c>
      <c r="P241" s="169">
        <f>(INDEX(Models!$BJ241:$BT241,,T241)*(1-R241)+INDEX(Models!$BJ241:$BT241,,T241+1)*R241-ERP_i)*Q241*Ramure*Pc/MaxiM</f>
        <v>1.2227959224786944E-3</v>
      </c>
      <c r="Q241" s="305">
        <f t="shared" si="77"/>
        <v>0.7</v>
      </c>
      <c r="R241" s="177">
        <f t="shared" si="78"/>
        <v>0.96902469284399473</v>
      </c>
      <c r="S241" s="919">
        <f t="shared" si="79"/>
        <v>-1</v>
      </c>
      <c r="T241" s="176">
        <f t="shared" si="80"/>
        <v>5</v>
      </c>
      <c r="U241" s="251">
        <f t="shared" si="81"/>
        <v>-3.0975307156005327E-2</v>
      </c>
      <c r="V241" s="383">
        <f t="shared" si="82"/>
        <v>50.414631039883517</v>
      </c>
      <c r="W241" s="402"/>
      <c r="X241" s="157">
        <f t="shared" si="83"/>
        <v>44423</v>
      </c>
      <c r="Y241" s="385">
        <f t="shared" si="84"/>
        <v>18.02085569630535</v>
      </c>
      <c r="Z241" s="385">
        <f t="shared" si="85"/>
        <v>18.492681299970087</v>
      </c>
      <c r="AA241" s="386">
        <f t="shared" si="86"/>
        <v>20.377171324129279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9.2480452472208749E-2</v>
      </c>
      <c r="AD241" s="231">
        <f>(INDEX(Models!$BJ241:$BT241,,AH241)*(1-AF241)+INDEX(Models!$BJ241:$BT241,,AH241+1)*AF241-ERP_i)*AE241*Ramure*Pc/MaxiM</f>
        <v>1.2227959224786944E-3</v>
      </c>
      <c r="AE241" s="305">
        <f t="shared" si="88"/>
        <v>0.7</v>
      </c>
      <c r="AF241" s="177">
        <f t="shared" si="89"/>
        <v>0.96902469284399473</v>
      </c>
      <c r="AG241" s="919">
        <f t="shared" si="95"/>
        <v>-1</v>
      </c>
      <c r="AH241" s="176">
        <f t="shared" si="90"/>
        <v>5</v>
      </c>
      <c r="AI241" s="225">
        <f t="shared" si="91"/>
        <v>-3.0975307156005327E-2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8">
        <v>28.868000000000002</v>
      </c>
      <c r="C242" s="390"/>
      <c r="D242" s="393">
        <f t="shared" si="74"/>
        <v>29.624476530624705</v>
      </c>
      <c r="E242" s="385">
        <f t="shared" si="96"/>
        <v>30.241512792495637</v>
      </c>
      <c r="F242" s="385">
        <f t="shared" si="75"/>
        <v>30.255095347103303</v>
      </c>
      <c r="G242" s="110">
        <f t="shared" si="97"/>
        <v>0.57347034227303539</v>
      </c>
      <c r="H242" s="412" t="b">
        <f>Wh_hp&gt;='2020'!Maxi_hp</f>
        <v>0</v>
      </c>
      <c r="I242" s="380">
        <f>IF(H242,Wh_hp,'2020'!Maxi_hp)</f>
        <v>53.769916943030935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2.5535523972640806E-2</v>
      </c>
      <c r="M242" s="957"/>
      <c r="N242" s="957"/>
      <c r="O242" s="48">
        <f>IF(t&lt;Tnet,'2020'!Resal+('2020'!Salim-'2020'!Resal)*(1-EXP(('2020'!Tnet-t)/('2020'!Tau_j))),Resal+(Salim-Resal)*(1-EXP((Tnet-t)/(Tau_j))))*Salcycl</f>
        <v>2.0403617573789203E-2</v>
      </c>
      <c r="P242" s="169">
        <f>(INDEX(Models!$BJ242:$BT242,,T242)*(1-R242)+INDEX(Models!$BJ242:$BT242,,T242+1)*R242-ERP_i)*Q242*Ramure*Pc/MaxiM</f>
        <v>1.1474514569925136E-3</v>
      </c>
      <c r="Q242" s="305">
        <f t="shared" si="77"/>
        <v>0.7</v>
      </c>
      <c r="R242" s="177">
        <f t="shared" si="78"/>
        <v>0.97020484447201349</v>
      </c>
      <c r="S242" s="919">
        <f t="shared" si="79"/>
        <v>-1</v>
      </c>
      <c r="T242" s="176">
        <f t="shared" si="80"/>
        <v>5</v>
      </c>
      <c r="U242" s="251">
        <f t="shared" si="81"/>
        <v>-2.9795155527986561E-2</v>
      </c>
      <c r="V242" s="383">
        <f t="shared" si="82"/>
        <v>50.303954760733795</v>
      </c>
      <c r="W242" s="402"/>
      <c r="X242" s="157">
        <f t="shared" si="83"/>
        <v>44424</v>
      </c>
      <c r="Y242" s="385">
        <f t="shared" si="84"/>
        <v>26.743176754509612</v>
      </c>
      <c r="Z242" s="385">
        <f t="shared" si="85"/>
        <v>27.443972984561388</v>
      </c>
      <c r="AA242" s="386">
        <f t="shared" si="86"/>
        <v>30.241512792495637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9.2506609280090316E-2</v>
      </c>
      <c r="AD242" s="231">
        <f>(INDEX(Models!$BJ242:$BT242,,AH242)*(1-AF242)+INDEX(Models!$BJ242:$BT242,,AH242+1)*AF242-ERP_i)*AE242*Ramure*Pc/MaxiM</f>
        <v>1.1474514569925136E-3</v>
      </c>
      <c r="AE242" s="305">
        <f t="shared" si="88"/>
        <v>0.7</v>
      </c>
      <c r="AF242" s="177">
        <f t="shared" si="89"/>
        <v>0.97020484447201349</v>
      </c>
      <c r="AG242" s="919">
        <f t="shared" si="95"/>
        <v>-1</v>
      </c>
      <c r="AH242" s="176">
        <f t="shared" si="90"/>
        <v>5</v>
      </c>
      <c r="AI242" s="225">
        <f t="shared" si="91"/>
        <v>-2.9795155527986561E-2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8">
        <v>43.895000000000003</v>
      </c>
      <c r="C243" s="390"/>
      <c r="D243" s="393">
        <f t="shared" si="74"/>
        <v>45.046240795933336</v>
      </c>
      <c r="E243" s="385">
        <f t="shared" si="96"/>
        <v>45.98896510669119</v>
      </c>
      <c r="F243" s="385">
        <f t="shared" si="75"/>
        <v>46.029586718933118</v>
      </c>
      <c r="G243" s="110">
        <f t="shared" si="97"/>
        <v>0.87435371169026821</v>
      </c>
      <c r="H243" s="412" t="b">
        <f>Wh_hp&gt;='2020'!Maxi_hp</f>
        <v>0</v>
      </c>
      <c r="I243" s="380">
        <f>IF(H243,Wh_hp,'2020'!Maxi_hp)</f>
        <v>51.890414604753857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2.5556867245563053E-2</v>
      </c>
      <c r="M243" s="957"/>
      <c r="N243" s="957"/>
      <c r="O243" s="48">
        <f>IF(t&lt;Tnet,'2020'!Resal+('2020'!Salim-'2020'!Resal)*(1-EXP(('2020'!Tnet-t)/('2020'!Tau_j))),Resal+(Salim-Resal)*(1-EXP((Tnet-t)/(Tau_j))))*Salcycl</f>
        <v>2.049892422173006E-2</v>
      </c>
      <c r="P243" s="169">
        <f>(INDEX(Models!$BJ243:$BT243,,T243)*(1-R243)+INDEX(Models!$BJ243:$BT243,,T243+1)*R243-ERP_i)*Q243*Ramure*Pc/MaxiM</f>
        <v>1.0752541821426004E-3</v>
      </c>
      <c r="Q243" s="305">
        <f t="shared" si="77"/>
        <v>0.7</v>
      </c>
      <c r="R243" s="177">
        <f t="shared" si="78"/>
        <v>0.97134307050686608</v>
      </c>
      <c r="S243" s="919">
        <f t="shared" si="79"/>
        <v>-1</v>
      </c>
      <c r="T243" s="176">
        <f t="shared" si="80"/>
        <v>5</v>
      </c>
      <c r="U243" s="251">
        <f t="shared" si="81"/>
        <v>-2.865692949313392E-2</v>
      </c>
      <c r="V243" s="383">
        <f t="shared" si="82"/>
        <v>50.19311003549204</v>
      </c>
      <c r="W243" s="402"/>
      <c r="X243" s="157">
        <f t="shared" si="83"/>
        <v>44425</v>
      </c>
      <c r="Y243" s="385">
        <f t="shared" si="84"/>
        <v>40.6669142540024</v>
      </c>
      <c r="Z243" s="385">
        <f t="shared" si="85"/>
        <v>41.733491557429453</v>
      </c>
      <c r="AA243" s="386">
        <f t="shared" si="86"/>
        <v>45.98896510669119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9.2532492074769157E-2</v>
      </c>
      <c r="AD243" s="231">
        <f>(INDEX(Models!$BJ243:$BT243,,AH243)*(1-AF243)+INDEX(Models!$BJ243:$BT243,,AH243+1)*AF243-ERP_i)*AE243*Ramure*Pc/MaxiM</f>
        <v>1.0752541821426004E-3</v>
      </c>
      <c r="AE243" s="305">
        <f t="shared" si="88"/>
        <v>0.7</v>
      </c>
      <c r="AF243" s="177">
        <f t="shared" si="89"/>
        <v>0.97134307050686608</v>
      </c>
      <c r="AG243" s="919">
        <f t="shared" si="95"/>
        <v>-1</v>
      </c>
      <c r="AH243" s="176">
        <f t="shared" si="90"/>
        <v>5</v>
      </c>
      <c r="AI243" s="225">
        <f t="shared" si="91"/>
        <v>-2.865692949313392E-2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8">
        <v>46.896000000000001</v>
      </c>
      <c r="C244" s="390"/>
      <c r="D244" s="393">
        <f t="shared" si="74"/>
        <v>48.127002581146186</v>
      </c>
      <c r="E244" s="385">
        <f t="shared" si="96"/>
        <v>49.138974414326</v>
      </c>
      <c r="F244" s="385">
        <f t="shared" si="75"/>
        <v>49.183966953911138</v>
      </c>
      <c r="G244" s="110">
        <f t="shared" si="97"/>
        <v>0.93629522574307611</v>
      </c>
      <c r="H244" s="412" t="b">
        <f>Wh_hp&gt;='2020'!Maxi_hp</f>
        <v>1</v>
      </c>
      <c r="I244" s="380">
        <f>IF(H244,Wh_hp,'2020'!Maxi_hp)</f>
        <v>49.183966953911138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2.5578210051012684E-2</v>
      </c>
      <c r="M244" s="957"/>
      <c r="N244" s="957"/>
      <c r="O244" s="48">
        <f>IF(t&lt;Tnet,'2020'!Resal+('2020'!Salim-'2020'!Resal)*(1-EXP(('2020'!Tnet-t)/('2020'!Tau_j))),Resal+(Salim-Resal)*(1-EXP((Tnet-t)/(Tau_j))))*Salcycl</f>
        <v>2.0594077211444232E-2</v>
      </c>
      <c r="P244" s="169">
        <f>(INDEX(Models!$BJ244:$BT244,,T244)*(1-R244)+INDEX(Models!$BJ244:$BT244,,T244+1)*R244-ERP_i)*Q244*Ramure*Pc/MaxiM</f>
        <v>1.0062313216667844E-3</v>
      </c>
      <c r="Q244" s="305">
        <f t="shared" si="77"/>
        <v>0.7</v>
      </c>
      <c r="R244" s="177">
        <f t="shared" si="78"/>
        <v>0.97244065531167967</v>
      </c>
      <c r="S244" s="919">
        <f t="shared" si="79"/>
        <v>-1</v>
      </c>
      <c r="T244" s="176">
        <f t="shared" si="80"/>
        <v>5</v>
      </c>
      <c r="U244" s="251">
        <f t="shared" si="81"/>
        <v>-2.7559344688320331E-2</v>
      </c>
      <c r="V244" s="383">
        <f t="shared" si="82"/>
        <v>50.082181465470541</v>
      </c>
      <c r="W244" s="402"/>
      <c r="X244" s="157">
        <f t="shared" si="83"/>
        <v>44426</v>
      </c>
      <c r="Y244" s="385">
        <f t="shared" si="84"/>
        <v>43.450212759301138</v>
      </c>
      <c r="Z244" s="385">
        <f t="shared" si="85"/>
        <v>44.590764705267759</v>
      </c>
      <c r="AA244" s="386">
        <f t="shared" si="86"/>
        <v>49.138974414326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9.2558091886676575E-2</v>
      </c>
      <c r="AD244" s="231">
        <f>(INDEX(Models!$BJ244:$BT244,,AH244)*(1-AF244)+INDEX(Models!$BJ244:$BT244,,AH244+1)*AF244-ERP_i)*AE244*Ramure*Pc/MaxiM</f>
        <v>1.0062313216667844E-3</v>
      </c>
      <c r="AE244" s="305">
        <f t="shared" si="88"/>
        <v>0.7</v>
      </c>
      <c r="AF244" s="177">
        <f t="shared" si="89"/>
        <v>0.97244065531167967</v>
      </c>
      <c r="AG244" s="919">
        <f t="shared" si="95"/>
        <v>-1</v>
      </c>
      <c r="AH244" s="176">
        <f t="shared" si="90"/>
        <v>5</v>
      </c>
      <c r="AI244" s="225">
        <f t="shared" si="91"/>
        <v>-2.7559344688320331E-2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8">
        <v>42.14</v>
      </c>
      <c r="C245" s="390"/>
      <c r="D245" s="393">
        <f t="shared" si="74"/>
        <v>43.247106570319566</v>
      </c>
      <c r="E245" s="385">
        <f t="shared" si="96"/>
        <v>44.160751616706079</v>
      </c>
      <c r="F245" s="385">
        <f t="shared" si="75"/>
        <v>44.193006864418827</v>
      </c>
      <c r="G245" s="110">
        <f t="shared" si="97"/>
        <v>0.84310715404406866</v>
      </c>
      <c r="H245" s="412" t="b">
        <f>Wh_hp&gt;='2020'!Maxi_hp</f>
        <v>0</v>
      </c>
      <c r="I245" s="380">
        <f>IF(H245,Wh_hp,'2020'!Maxi_hp)</f>
        <v>49.967163493960541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2.5599552389000135E-2</v>
      </c>
      <c r="M245" s="957"/>
      <c r="N245" s="957"/>
      <c r="O245" s="48">
        <f>IF(t&lt;Tnet,'2020'!Resal+('2020'!Salim-'2020'!Resal)*(1-EXP(('2020'!Tnet-t)/('2020'!Tau_j))),Resal+(Salim-Resal)*(1-EXP((Tnet-t)/(Tau_j))))*Salcycl</f>
        <v>2.0689073734897197E-2</v>
      </c>
      <c r="P245" s="169">
        <f>(INDEX(Models!$BJ245:$BT245,,T245)*(1-R245)+INDEX(Models!$BJ245:$BT245,,T245+1)*R245-ERP_i)*Q245*Ramure*Pc/MaxiM</f>
        <v>9.404101190938083E-4</v>
      </c>
      <c r="Q245" s="305">
        <f t="shared" si="77"/>
        <v>0.7</v>
      </c>
      <c r="R245" s="177">
        <f t="shared" si="78"/>
        <v>0.97349885936111902</v>
      </c>
      <c r="S245" s="919">
        <f t="shared" si="79"/>
        <v>-1</v>
      </c>
      <c r="T245" s="176">
        <f t="shared" si="80"/>
        <v>5</v>
      </c>
      <c r="U245" s="251">
        <f t="shared" si="81"/>
        <v>-2.6501140638880982E-2</v>
      </c>
      <c r="V245" s="383">
        <f t="shared" si="82"/>
        <v>49.971253654222537</v>
      </c>
      <c r="W245" s="402"/>
      <c r="X245" s="157">
        <f t="shared" si="83"/>
        <v>44427</v>
      </c>
      <c r="Y245" s="385">
        <f t="shared" si="84"/>
        <v>39.046368767482093</v>
      </c>
      <c r="Z245" s="385">
        <f t="shared" si="85"/>
        <v>40.072199128412329</v>
      </c>
      <c r="AA245" s="386">
        <f t="shared" si="86"/>
        <v>44.160751616706079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9.2583399027724902E-2</v>
      </c>
      <c r="AD245" s="231">
        <f>(INDEX(Models!$BJ245:$BT245,,AH245)*(1-AF245)+INDEX(Models!$BJ245:$BT245,,AH245+1)*AF245-ERP_i)*AE245*Ramure*Pc/MaxiM</f>
        <v>9.404101190938083E-4</v>
      </c>
      <c r="AE245" s="305">
        <f t="shared" si="88"/>
        <v>0.7</v>
      </c>
      <c r="AF245" s="177">
        <f t="shared" si="89"/>
        <v>0.97349885936111902</v>
      </c>
      <c r="AG245" s="919">
        <f t="shared" si="95"/>
        <v>-1</v>
      </c>
      <c r="AH245" s="176">
        <f t="shared" si="90"/>
        <v>5</v>
      </c>
      <c r="AI245" s="225">
        <f t="shared" si="91"/>
        <v>-2.6501140638880982E-2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8">
        <v>50.09</v>
      </c>
      <c r="C246" s="390"/>
      <c r="D246" s="393">
        <f t="shared" si="74"/>
        <v>51.407095764779243</v>
      </c>
      <c r="E246" s="385">
        <f t="shared" si="96"/>
        <v>52.498213961019935</v>
      </c>
      <c r="F246" s="385">
        <f t="shared" si="75"/>
        <v>52.544338316202321</v>
      </c>
      <c r="G246" s="110">
        <f t="shared" si="97"/>
        <v>1.0046046309747407</v>
      </c>
      <c r="H246" s="412" t="b">
        <f>Wh_hp&gt;='2020'!Maxi_hp</f>
        <v>1</v>
      </c>
      <c r="I246" s="380">
        <f>IF(H246,Wh_hp,'2020'!Maxi_hp)</f>
        <v>52.544338316202321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2.5620894259535731E-2</v>
      </c>
      <c r="M246" s="957"/>
      <c r="N246" s="957"/>
      <c r="O246" s="48">
        <f>IF(t&lt;Tnet,'2020'!Resal+('2020'!Salim-'2020'!Resal)*(1-EXP(('2020'!Tnet-t)/('2020'!Tau_j))),Resal+(Salim-Resal)*(1-EXP((Tnet-t)/(Tau_j))))*Salcycl</f>
        <v>2.0783910802200895E-2</v>
      </c>
      <c r="P246" s="169">
        <f>(INDEX(Models!$BJ246:$BT246,,T246)*(1-R246)+INDEX(Models!$BJ246:$BT246,,T246+1)*R246-ERP_i)*Q246*Ramure*Pc/MaxiM</f>
        <v>8.7781779465588366E-4</v>
      </c>
      <c r="Q246" s="305">
        <f t="shared" si="77"/>
        <v>0.7</v>
      </c>
      <c r="R246" s="177">
        <f t="shared" si="78"/>
        <v>0.97451891843040428</v>
      </c>
      <c r="S246" s="919">
        <f t="shared" si="79"/>
        <v>-1</v>
      </c>
      <c r="T246" s="176">
        <f t="shared" si="80"/>
        <v>5</v>
      </c>
      <c r="U246" s="251">
        <f t="shared" si="81"/>
        <v>-2.548108156959572E-2</v>
      </c>
      <c r="V246" s="383">
        <f t="shared" si="82"/>
        <v>49.860411206146878</v>
      </c>
      <c r="W246" s="402"/>
      <c r="X246" s="157">
        <f t="shared" si="83"/>
        <v>44428</v>
      </c>
      <c r="Y246" s="385">
        <f t="shared" si="84"/>
        <v>46.415950051556599</v>
      </c>
      <c r="Z246" s="385">
        <f t="shared" si="85"/>
        <v>47.636438197516071</v>
      </c>
      <c r="AA246" s="386">
        <f t="shared" si="86"/>
        <v>52.498213961019935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9.2608403156605484E-2</v>
      </c>
      <c r="AD246" s="231">
        <f>(INDEX(Models!$BJ246:$BT246,,AH246)*(1-AF246)+INDEX(Models!$BJ246:$BT246,,AH246+1)*AF246-ERP_i)*AE246*Ramure*Pc/MaxiM</f>
        <v>8.7781779465588366E-4</v>
      </c>
      <c r="AE246" s="305">
        <f t="shared" si="88"/>
        <v>0.7</v>
      </c>
      <c r="AF246" s="177">
        <f t="shared" si="89"/>
        <v>0.97451891843040428</v>
      </c>
      <c r="AG246" s="919">
        <f t="shared" si="95"/>
        <v>-1</v>
      </c>
      <c r="AH246" s="176">
        <f t="shared" si="90"/>
        <v>5</v>
      </c>
      <c r="AI246" s="225">
        <f t="shared" si="91"/>
        <v>-2.548108156959572E-2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8">
        <v>48.151000000000003</v>
      </c>
      <c r="C247" s="390"/>
      <c r="D247" s="393">
        <f t="shared" si="74"/>
        <v>49.418192949635859</v>
      </c>
      <c r="E247" s="385">
        <f t="shared" si="96"/>
        <v>50.471976411952632</v>
      </c>
      <c r="F247" s="385">
        <f t="shared" si="75"/>
        <v>50.51141951825646</v>
      </c>
      <c r="G247" s="110">
        <f t="shared" si="97"/>
        <v>0.96781197518467221</v>
      </c>
      <c r="H247" s="412" t="b">
        <f>Wh_hp&gt;='2020'!Maxi_hp</f>
        <v>0</v>
      </c>
      <c r="I247" s="380">
        <f>IF(H247,Wh_hp,'2020'!Maxi_hp)</f>
        <v>51.773522913939907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2.5642235662629465E-2</v>
      </c>
      <c r="M247" s="957"/>
      <c r="N247" s="957"/>
      <c r="O247" s="48">
        <f>IF(t&lt;Tnet,'2020'!Resal+('2020'!Salim-'2020'!Resal)*(1-EXP(('2020'!Tnet-t)/('2020'!Tau_j))),Resal+(Salim-Resal)*(1-EXP((Tnet-t)/(Tau_j))))*Salcycl</f>
        <v>2.0878585251264736E-2</v>
      </c>
      <c r="P247" s="169">
        <f>(INDEX(Models!$BJ247:$BT247,,T247)*(1-R247)+INDEX(Models!$BJ247:$BT247,,T247+1)*R247-ERP_i)*Q247*Ramure*Pc/MaxiM</f>
        <v>8.1846798151805186E-4</v>
      </c>
      <c r="Q247" s="305">
        <f t="shared" si="77"/>
        <v>0.7</v>
      </c>
      <c r="R247" s="177">
        <f t="shared" si="78"/>
        <v>0.9755020429140685</v>
      </c>
      <c r="S247" s="919">
        <f t="shared" si="79"/>
        <v>-1</v>
      </c>
      <c r="T247" s="176">
        <f t="shared" si="80"/>
        <v>5</v>
      </c>
      <c r="U247" s="251">
        <f t="shared" si="81"/>
        <v>-2.4497957085931499E-2</v>
      </c>
      <c r="V247" s="383">
        <f t="shared" si="82"/>
        <v>49.750560730638199</v>
      </c>
      <c r="W247" s="402"/>
      <c r="X247" s="157">
        <f t="shared" si="83"/>
        <v>44429</v>
      </c>
      <c r="Y247" s="385">
        <f t="shared" si="84"/>
        <v>44.622273871970826</v>
      </c>
      <c r="Z247" s="385">
        <f t="shared" si="85"/>
        <v>45.796601110185648</v>
      </c>
      <c r="AA247" s="386">
        <f t="shared" si="86"/>
        <v>50.471976411952632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9.2633093334933692E-2</v>
      </c>
      <c r="AD247" s="231">
        <f>(INDEX(Models!$BJ247:$BT247,,AH247)*(1-AF247)+INDEX(Models!$BJ247:$BT247,,AH247+1)*AF247-ERP_i)*AE247*Ramure*Pc/MaxiM</f>
        <v>8.1846798151805186E-4</v>
      </c>
      <c r="AE247" s="305">
        <f t="shared" si="88"/>
        <v>0.7</v>
      </c>
      <c r="AF247" s="177">
        <f t="shared" si="89"/>
        <v>0.9755020429140685</v>
      </c>
      <c r="AG247" s="919">
        <f t="shared" si="95"/>
        <v>-1</v>
      </c>
      <c r="AH247" s="176">
        <f t="shared" si="90"/>
        <v>5</v>
      </c>
      <c r="AI247" s="225">
        <f t="shared" si="91"/>
        <v>-2.4497957085931499E-2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8">
        <v>15.889000000000001</v>
      </c>
      <c r="C248" s="390"/>
      <c r="D248" s="393">
        <f t="shared" si="74"/>
        <v>16.30750900651606</v>
      </c>
      <c r="E248" s="385">
        <f t="shared" si="96"/>
        <v>16.656854783565453</v>
      </c>
      <c r="F248" s="385">
        <f t="shared" si="75"/>
        <v>16.657220012016662</v>
      </c>
      <c r="G248" s="110">
        <f t="shared" si="97"/>
        <v>0.31983320289058093</v>
      </c>
      <c r="H248" s="412" t="b">
        <f>Wh_hp&gt;='2020'!Maxi_hp</f>
        <v>0</v>
      </c>
      <c r="I248" s="380">
        <f>IF(H248,Wh_hp,'2020'!Maxi_hp)</f>
        <v>53.717329476513434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2.5663576598291771E-2</v>
      </c>
      <c r="M248" s="957"/>
      <c r="N248" s="957"/>
      <c r="O248" s="48">
        <f>IF(t&lt;Tnet,'2020'!Resal+('2020'!Salim-'2020'!Resal)*(1-EXP(('2020'!Tnet-t)/('2020'!Tau_j))),Resal+(Salim-Resal)*(1-EXP((Tnet-t)/(Tau_j))))*Salcycl</f>
        <v>2.0973093755615586E-2</v>
      </c>
      <c r="P248" s="169">
        <f>(INDEX(Models!$BJ248:$BT248,,T248)*(1-R248)+INDEX(Models!$BJ248:$BT248,,T248+1)*R248-ERP_i)*Q248*Ramure*Pc/MaxiM</f>
        <v>7.647019729223358E-4</v>
      </c>
      <c r="Q248" s="305">
        <f t="shared" si="77"/>
        <v>0.7</v>
      </c>
      <c r="R248" s="177">
        <f t="shared" si="78"/>
        <v>0.9764494172656869</v>
      </c>
      <c r="S248" s="919">
        <f t="shared" si="79"/>
        <v>-1</v>
      </c>
      <c r="T248" s="176">
        <f t="shared" si="80"/>
        <v>5</v>
      </c>
      <c r="U248" s="251">
        <f t="shared" si="81"/>
        <v>-2.3550582734313097E-2</v>
      </c>
      <c r="V248" s="383">
        <f t="shared" si="82"/>
        <v>49.642118555660254</v>
      </c>
      <c r="W248" s="402"/>
      <c r="X248" s="157">
        <f t="shared" si="83"/>
        <v>44430</v>
      </c>
      <c r="Y248" s="385">
        <f t="shared" si="84"/>
        <v>14.725607188845222</v>
      </c>
      <c r="Z248" s="385">
        <f t="shared" si="85"/>
        <v>15.113472959815663</v>
      </c>
      <c r="AA248" s="386">
        <f t="shared" si="86"/>
        <v>16.656854783565453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9.265745807381201E-2</v>
      </c>
      <c r="AD248" s="231">
        <f>(INDEX(Models!$BJ248:$BT248,,AH248)*(1-AF248)+INDEX(Models!$BJ248:$BT248,,AH248+1)*AF248-ERP_i)*AE248*Ramure*Pc/MaxiM</f>
        <v>7.647019729223358E-4</v>
      </c>
      <c r="AE248" s="305">
        <f t="shared" si="88"/>
        <v>0.7</v>
      </c>
      <c r="AF248" s="177">
        <f t="shared" si="89"/>
        <v>0.9764494172656869</v>
      </c>
      <c r="AG248" s="919">
        <f t="shared" si="95"/>
        <v>-1</v>
      </c>
      <c r="AH248" s="176">
        <f t="shared" si="90"/>
        <v>5</v>
      </c>
      <c r="AI248" s="225">
        <f t="shared" si="91"/>
        <v>-2.3550582734313097E-2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8">
        <v>45.564</v>
      </c>
      <c r="C249" s="390"/>
      <c r="D249" s="393">
        <f t="shared" si="74"/>
        <v>46.765159236595146</v>
      </c>
      <c r="E249" s="385">
        <f t="shared" si="96"/>
        <v>47.771583870992394</v>
      </c>
      <c r="F249" s="385">
        <f t="shared" si="75"/>
        <v>47.801861207918463</v>
      </c>
      <c r="G249" s="110">
        <f t="shared" si="97"/>
        <v>0.919765199143464</v>
      </c>
      <c r="H249" s="412" t="b">
        <f>Wh_hp&gt;='2020'!Maxi_hp</f>
        <v>0</v>
      </c>
      <c r="I249" s="380">
        <f>IF(H249,Wh_hp,'2020'!Maxi_hp)</f>
        <v>51.339633290441888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2.5684917066532753E-2</v>
      </c>
      <c r="M249" s="957"/>
      <c r="N249" s="957"/>
      <c r="O249" s="48">
        <f>IF(t&lt;Tnet,'2020'!Resal+('2020'!Salim-'2020'!Resal)*(1-EXP(('2020'!Tnet-t)/('2020'!Tau_j))),Resal+(Salim-Resal)*(1-EXP((Tnet-t)/(Tau_j))))*Salcycl</f>
        <v>2.1067432830259705E-2</v>
      </c>
      <c r="P249" s="169">
        <f>(INDEX(Models!$BJ249:$BT249,,T249)*(1-R249)+INDEX(Models!$BJ249:$BT249,,T249+1)*R249-ERP_i)*Q249*Ramure*Pc/MaxiM</f>
        <v>7.1530439375565064E-4</v>
      </c>
      <c r="Q249" s="305">
        <f t="shared" si="77"/>
        <v>0.7</v>
      </c>
      <c r="R249" s="177">
        <f t="shared" si="78"/>
        <v>0.9773621995500732</v>
      </c>
      <c r="S249" s="919">
        <f t="shared" si="79"/>
        <v>-1</v>
      </c>
      <c r="T249" s="176">
        <f t="shared" si="80"/>
        <v>5</v>
      </c>
      <c r="U249" s="251">
        <f t="shared" si="81"/>
        <v>-2.2637800449926804E-2</v>
      </c>
      <c r="V249" s="383">
        <f t="shared" si="82"/>
        <v>49.534669761526899</v>
      </c>
      <c r="W249" s="402"/>
      <c r="X249" s="157">
        <f t="shared" si="83"/>
        <v>44431</v>
      </c>
      <c r="Y249" s="385">
        <f t="shared" si="84"/>
        <v>42.230754381888147</v>
      </c>
      <c r="Z249" s="385">
        <f t="shared" si="85"/>
        <v>43.344042519325285</v>
      </c>
      <c r="AA249" s="386">
        <f t="shared" si="86"/>
        <v>47.771583870992394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9.2681485370544228E-2</v>
      </c>
      <c r="AD249" s="231">
        <f>(INDEX(Models!$BJ249:$BT249,,AH249)*(1-AF249)+INDEX(Models!$BJ249:$BT249,,AH249+1)*AF249-ERP_i)*AE249*Ramure*Pc/MaxiM</f>
        <v>7.1530439375565064E-4</v>
      </c>
      <c r="AE249" s="305">
        <f t="shared" si="88"/>
        <v>0.7</v>
      </c>
      <c r="AF249" s="177">
        <f t="shared" si="89"/>
        <v>0.9773621995500732</v>
      </c>
      <c r="AG249" s="919">
        <f t="shared" si="95"/>
        <v>-1</v>
      </c>
      <c r="AH249" s="176">
        <f t="shared" si="90"/>
        <v>5</v>
      </c>
      <c r="AI249" s="225">
        <f t="shared" si="91"/>
        <v>-2.2637800449926804E-2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8">
        <v>44.704999999999998</v>
      </c>
      <c r="C250" s="390"/>
      <c r="D250" s="393">
        <f t="shared" si="74"/>
        <v>45.884519247180371</v>
      </c>
      <c r="E250" s="385">
        <f t="shared" si="96"/>
        <v>46.876500955206211</v>
      </c>
      <c r="F250" s="385">
        <f t="shared" si="75"/>
        <v>46.903649753394539</v>
      </c>
      <c r="G250" s="110">
        <f t="shared" si="97"/>
        <v>0.90436888608272914</v>
      </c>
      <c r="H250" s="412" t="b">
        <f>Wh_hp&gt;='2020'!Maxi_hp</f>
        <v>0</v>
      </c>
      <c r="I250" s="380">
        <f>IF(H250,Wh_hp,'2020'!Maxi_hp)</f>
        <v>51.228164501997107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2.5706257067362737E-2</v>
      </c>
      <c r="M250" s="957"/>
      <c r="N250" s="957"/>
      <c r="O250" s="48">
        <f>IF(t&lt;Tnet,'2020'!Resal+('2020'!Salim-'2020'!Resal)*(1-EXP(('2020'!Tnet-t)/('2020'!Tau_j))),Resal+(Salim-Resal)*(1-EXP((Tnet-t)/(Tau_j))))*Salcycl</f>
        <v>2.1161598835496356E-2</v>
      </c>
      <c r="P250" s="169">
        <f>(INDEX(Models!$BJ250:$BT250,,T250)*(1-R250)+INDEX(Models!$BJ250:$BT250,,T250+1)*R250-ERP_i)*Q250*Ramure*Pc/MaxiM</f>
        <v>6.7031728140869986E-4</v>
      </c>
      <c r="Q250" s="305">
        <f t="shared" si="77"/>
        <v>0.7</v>
      </c>
      <c r="R250" s="177">
        <f t="shared" si="78"/>
        <v>0.9782415210997375</v>
      </c>
      <c r="S250" s="919">
        <f t="shared" si="79"/>
        <v>-1</v>
      </c>
      <c r="T250" s="176">
        <f t="shared" si="80"/>
        <v>5</v>
      </c>
      <c r="U250" s="251">
        <f t="shared" si="81"/>
        <v>-2.1758478900262557E-2</v>
      </c>
      <c r="V250" s="383">
        <f t="shared" si="82"/>
        <v>49.427736800016866</v>
      </c>
      <c r="W250" s="402"/>
      <c r="X250" s="157">
        <f t="shared" si="83"/>
        <v>44432</v>
      </c>
      <c r="Y250" s="385">
        <f t="shared" si="84"/>
        <v>41.437499439805215</v>
      </c>
      <c r="Z250" s="385">
        <f t="shared" si="85"/>
        <v>42.530807305687695</v>
      </c>
      <c r="AA250" s="386">
        <f t="shared" si="86"/>
        <v>46.876500955206211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9.2705162735399763E-2</v>
      </c>
      <c r="AD250" s="231">
        <f>(INDEX(Models!$BJ250:$BT250,,AH250)*(1-AF250)+INDEX(Models!$BJ250:$BT250,,AH250+1)*AF250-ERP_i)*AE250*Ramure*Pc/MaxiM</f>
        <v>6.7031728140869986E-4</v>
      </c>
      <c r="AE250" s="305">
        <f t="shared" si="88"/>
        <v>0.7</v>
      </c>
      <c r="AF250" s="177">
        <f t="shared" si="89"/>
        <v>0.9782415210997375</v>
      </c>
      <c r="AG250" s="919">
        <f t="shared" si="95"/>
        <v>-1</v>
      </c>
      <c r="AH250" s="176">
        <f t="shared" si="90"/>
        <v>5</v>
      </c>
      <c r="AI250" s="225">
        <f t="shared" si="91"/>
        <v>-2.1758478900262557E-2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8">
        <v>48.298000000000002</v>
      </c>
      <c r="C251" s="390"/>
      <c r="D251" s="393">
        <f t="shared" si="74"/>
        <v>49.573404554506197</v>
      </c>
      <c r="E251" s="385">
        <f t="shared" si="96"/>
        <v>50.650000087483313</v>
      </c>
      <c r="F251" s="385">
        <f t="shared" si="75"/>
        <v>50.680972332086561</v>
      </c>
      <c r="G251" s="110">
        <f t="shared" si="97"/>
        <v>0.97924317483081014</v>
      </c>
      <c r="H251" s="412" t="b">
        <f>Wh_hp&gt;='2020'!Maxi_hp</f>
        <v>1</v>
      </c>
      <c r="I251" s="380">
        <f>IF(H251,Wh_hp,'2020'!Maxi_hp)</f>
        <v>50.680972332086561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2.5727596600791935E-2</v>
      </c>
      <c r="M251" s="957"/>
      <c r="N251" s="957"/>
      <c r="O251" s="48">
        <f>IF(t&lt;Tnet,'2020'!Resal+('2020'!Salim-'2020'!Resal)*(1-EXP(('2020'!Tnet-t)/('2020'!Tau_j))),Resal+(Salim-Resal)*(1-EXP((Tnet-t)/(Tau_j))))*Salcycl</f>
        <v>2.125558797862992E-2</v>
      </c>
      <c r="P251" s="169">
        <f>(INDEX(Models!$BJ251:$BT251,,T251)*(1-R251)+INDEX(Models!$BJ251:$BT251,,T251+1)*R251-ERP_i)*Q251*Ramure*Pc/MaxiM</f>
        <v>6.2977992027687653E-4</v>
      </c>
      <c r="Q251" s="305">
        <f t="shared" si="77"/>
        <v>0.7</v>
      </c>
      <c r="R251" s="177">
        <f t="shared" si="78"/>
        <v>0.97908848626770206</v>
      </c>
      <c r="S251" s="919">
        <f t="shared" si="79"/>
        <v>-1</v>
      </c>
      <c r="T251" s="176">
        <f t="shared" si="80"/>
        <v>5</v>
      </c>
      <c r="U251" s="251">
        <f t="shared" si="81"/>
        <v>-2.0911513732297937E-2</v>
      </c>
      <c r="V251" s="383">
        <f t="shared" si="82"/>
        <v>49.32084239962289</v>
      </c>
      <c r="W251" s="402"/>
      <c r="X251" s="157">
        <f t="shared" si="83"/>
        <v>44433</v>
      </c>
      <c r="Y251" s="385">
        <f t="shared" si="84"/>
        <v>44.771034674195853</v>
      </c>
      <c r="Z251" s="385">
        <f t="shared" si="85"/>
        <v>45.953302708760937</v>
      </c>
      <c r="AA251" s="386">
        <f t="shared" si="86"/>
        <v>50.650000087483313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9.2728477208493199E-2</v>
      </c>
      <c r="AD251" s="231">
        <f>(INDEX(Models!$BJ251:$BT251,,AH251)*(1-AF251)+INDEX(Models!$BJ251:$BT251,,AH251+1)*AF251-ERP_i)*AE251*Ramure*Pc/MaxiM</f>
        <v>6.2977992027687653E-4</v>
      </c>
      <c r="AE251" s="305">
        <f t="shared" si="88"/>
        <v>0.7</v>
      </c>
      <c r="AF251" s="177">
        <f t="shared" si="89"/>
        <v>0.97908848626770206</v>
      </c>
      <c r="AG251" s="919">
        <f t="shared" si="95"/>
        <v>-1</v>
      </c>
      <c r="AH251" s="176">
        <f t="shared" si="90"/>
        <v>5</v>
      </c>
      <c r="AI251" s="225">
        <f t="shared" si="91"/>
        <v>-2.0911513732297937E-2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8">
        <v>49.276000000000003</v>
      </c>
      <c r="C252" s="390"/>
      <c r="D252" s="393">
        <f t="shared" si="74"/>
        <v>50.578338381110399</v>
      </c>
      <c r="E252" s="385">
        <f t="shared" si="96"/>
        <v>51.681711726932178</v>
      </c>
      <c r="F252" s="385">
        <f t="shared" si="75"/>
        <v>51.712414866985</v>
      </c>
      <c r="G252" s="110">
        <f t="shared" si="97"/>
        <v>1.0012697815122873</v>
      </c>
      <c r="H252" s="412" t="b">
        <f>Wh_hp&gt;='2020'!Maxi_hp</f>
        <v>0</v>
      </c>
      <c r="I252" s="380">
        <f>IF(H252,Wh_hp,'2020'!Maxi_hp)</f>
        <v>53.637175533284911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2.5748935666830564E-2</v>
      </c>
      <c r="M252" s="957"/>
      <c r="N252" s="957"/>
      <c r="O252" s="48">
        <f>IF(t&lt;Tnet,'2020'!Resal+('2020'!Salim-'2020'!Resal)*(1-EXP(('2020'!Tnet-t)/('2020'!Tau_j))),Resal+(Salim-Resal)*(1-EXP((Tnet-t)/(Tau_j))))*Salcycl</f>
        <v>2.1349396313566676E-2</v>
      </c>
      <c r="P252" s="169">
        <f>(INDEX(Models!$BJ252:$BT252,,T252)*(1-R252)+INDEX(Models!$BJ252:$BT252,,T252+1)*R252-ERP_i)*Q252*Ramure*Pc/MaxiM</f>
        <v>5.9372860717867503E-4</v>
      </c>
      <c r="Q252" s="305">
        <f t="shared" si="77"/>
        <v>0.7</v>
      </c>
      <c r="R252" s="177">
        <f t="shared" si="78"/>
        <v>0.97990417226910576</v>
      </c>
      <c r="S252" s="919">
        <f t="shared" si="79"/>
        <v>-1</v>
      </c>
      <c r="T252" s="176">
        <f t="shared" si="80"/>
        <v>5</v>
      </c>
      <c r="U252" s="251">
        <f t="shared" si="81"/>
        <v>-2.00958277308943E-2</v>
      </c>
      <c r="V252" s="383">
        <f t="shared" si="82"/>
        <v>49.213509595361039</v>
      </c>
      <c r="W252" s="402"/>
      <c r="X252" s="157">
        <f t="shared" si="83"/>
        <v>44434</v>
      </c>
      <c r="Y252" s="385">
        <f t="shared" si="84"/>
        <v>45.680839605039694</v>
      </c>
      <c r="Z252" s="385">
        <f t="shared" si="85"/>
        <v>46.888159815669432</v>
      </c>
      <c r="AA252" s="386">
        <f t="shared" si="86"/>
        <v>51.681711726932178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9.2751415367009662E-2</v>
      </c>
      <c r="AD252" s="231">
        <f>(INDEX(Models!$BJ252:$BT252,,AH252)*(1-AF252)+INDEX(Models!$BJ252:$BT252,,AH252+1)*AF252-ERP_i)*AE252*Ramure*Pc/MaxiM</f>
        <v>5.9372860717867503E-4</v>
      </c>
      <c r="AE252" s="305">
        <f t="shared" si="88"/>
        <v>0.7</v>
      </c>
      <c r="AF252" s="177">
        <f t="shared" si="89"/>
        <v>0.97990417226910576</v>
      </c>
      <c r="AG252" s="919">
        <f t="shared" si="95"/>
        <v>-1</v>
      </c>
      <c r="AH252" s="176">
        <f t="shared" si="90"/>
        <v>5</v>
      </c>
      <c r="AI252" s="225">
        <f t="shared" si="91"/>
        <v>-2.00958277308943E-2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8">
        <v>44.433999999999997</v>
      </c>
      <c r="C253" s="390"/>
      <c r="D253" s="393">
        <f t="shared" si="74"/>
        <v>45.609365867479987</v>
      </c>
      <c r="E253" s="385">
        <f t="shared" si="96"/>
        <v>46.608799270210618</v>
      </c>
      <c r="F253" s="385">
        <f t="shared" si="75"/>
        <v>46.631452684670315</v>
      </c>
      <c r="G253" s="110">
        <f t="shared" si="97"/>
        <v>0.90480331475931053</v>
      </c>
      <c r="H253" s="412" t="b">
        <f>Wh_hp&gt;='2020'!Maxi_hp</f>
        <v>0</v>
      </c>
      <c r="I253" s="380">
        <f>IF(H253,Wh_hp,'2020'!Maxi_hp)</f>
        <v>51.403994258295555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2.5770274265488946E-2</v>
      </c>
      <c r="M253" s="957"/>
      <c r="N253" s="957"/>
      <c r="O253" s="48">
        <f>IF(t&lt;Tnet,'2020'!Resal+('2020'!Salim-'2020'!Resal)*(1-EXP(('2020'!Tnet-t)/('2020'!Tau_j))),Resal+(Salim-Resal)*(1-EXP((Tnet-t)/(Tau_j))))*Salcycl</f>
        <v>2.144301973832231E-2</v>
      </c>
      <c r="P253" s="169">
        <f>(INDEX(Models!$BJ253:$BT253,,T253)*(1-R253)+INDEX(Models!$BJ253:$BT253,,T253+1)*R253-ERP_i)*Q253*Ramure*Pc/MaxiM</f>
        <v>5.6219753766560492E-4</v>
      </c>
      <c r="Q253" s="305">
        <f t="shared" si="77"/>
        <v>0.7</v>
      </c>
      <c r="R253" s="177">
        <f t="shared" si="78"/>
        <v>0.98068962910435298</v>
      </c>
      <c r="S253" s="919">
        <f t="shared" si="79"/>
        <v>-1</v>
      </c>
      <c r="T253" s="176">
        <f t="shared" si="80"/>
        <v>5</v>
      </c>
      <c r="U253" s="251">
        <f t="shared" si="81"/>
        <v>-1.9310370895647078E-2</v>
      </c>
      <c r="V253" s="383">
        <f t="shared" si="82"/>
        <v>49.105261705680874</v>
      </c>
      <c r="W253" s="402"/>
      <c r="X253" s="157">
        <f t="shared" si="83"/>
        <v>44435</v>
      </c>
      <c r="Y253" s="385">
        <f t="shared" si="84"/>
        <v>41.195027501534433</v>
      </c>
      <c r="Z253" s="385">
        <f t="shared" si="85"/>
        <v>42.284716236179143</v>
      </c>
      <c r="AA253" s="386">
        <f t="shared" si="86"/>
        <v>46.608799270210618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9.277396332316927E-2</v>
      </c>
      <c r="AD253" s="231">
        <f>(INDEX(Models!$BJ253:$BT253,,AH253)*(1-AF253)+INDEX(Models!$BJ253:$BT253,,AH253+1)*AF253-ERP_i)*AE253*Ramure*Pc/MaxiM</f>
        <v>5.6219753766560492E-4</v>
      </c>
      <c r="AE253" s="305">
        <f t="shared" si="88"/>
        <v>0.7</v>
      </c>
      <c r="AF253" s="177">
        <f t="shared" si="89"/>
        <v>0.98068962910435298</v>
      </c>
      <c r="AG253" s="919">
        <f t="shared" si="95"/>
        <v>-1</v>
      </c>
      <c r="AH253" s="176">
        <f t="shared" si="90"/>
        <v>5</v>
      </c>
      <c r="AI253" s="225">
        <f t="shared" si="91"/>
        <v>-1.9310370895647078E-2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8">
        <v>50.820999999999998</v>
      </c>
      <c r="C254" s="390"/>
      <c r="D254" s="393">
        <f t="shared" si="74"/>
        <v>52.16645704009116</v>
      </c>
      <c r="E254" s="385">
        <f t="shared" si="96"/>
        <v>53.314665889029435</v>
      </c>
      <c r="F254" s="385">
        <f t="shared" si="75"/>
        <v>53.343274555388398</v>
      </c>
      <c r="G254" s="110">
        <f t="shared" si="97"/>
        <v>1.0372570686188689</v>
      </c>
      <c r="H254" s="412" t="b">
        <f>Wh_hp&gt;='2020'!Maxi_hp</f>
        <v>1</v>
      </c>
      <c r="I254" s="380">
        <f>IF(H254,Wh_hp,'2020'!Maxi_hp)</f>
        <v>53.343274555388398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2.5791612396777186E-2</v>
      </c>
      <c r="M254" s="957"/>
      <c r="N254" s="957"/>
      <c r="O254" s="48">
        <f>IF(t&lt;Tnet,'2020'!Resal+('2020'!Salim-'2020'!Resal)*(1-EXP(('2020'!Tnet-t)/('2020'!Tau_j))),Resal+(Salim-Resal)*(1-EXP((Tnet-t)/(Tau_j))))*Salcycl</f>
        <v>2.1536453990505845E-2</v>
      </c>
      <c r="P254" s="169">
        <f>(INDEX(Models!$BJ254:$BT254,,T254)*(1-R254)+INDEX(Models!$BJ254:$BT254,,T254+1)*R254-ERP_i)*Q254*Ramure*Pc/MaxiM</f>
        <v>5.3631252669460421E-4</v>
      </c>
      <c r="Q254" s="305">
        <f t="shared" si="77"/>
        <v>0.7</v>
      </c>
      <c r="R254" s="177">
        <f t="shared" si="78"/>
        <v>0.98144587955691276</v>
      </c>
      <c r="S254" s="919">
        <f t="shared" si="79"/>
        <v>-1</v>
      </c>
      <c r="T254" s="176">
        <f t="shared" si="80"/>
        <v>5</v>
      </c>
      <c r="U254" s="251">
        <f t="shared" si="81"/>
        <v>-1.8554120443087241E-2</v>
      </c>
      <c r="V254" s="383">
        <f t="shared" si="82"/>
        <v>48.995568733669181</v>
      </c>
      <c r="W254" s="402"/>
      <c r="X254" s="157">
        <f t="shared" si="83"/>
        <v>44436</v>
      </c>
      <c r="Y254" s="385">
        <f t="shared" si="84"/>
        <v>47.119802519721887</v>
      </c>
      <c r="Z254" s="385">
        <f t="shared" si="85"/>
        <v>48.367272463797462</v>
      </c>
      <c r="AA254" s="386">
        <f t="shared" si="86"/>
        <v>53.314665889029435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9.2796106713481291E-2</v>
      </c>
      <c r="AD254" s="231">
        <f>(INDEX(Models!$BJ254:$BT254,,AH254)*(1-AF254)+INDEX(Models!$BJ254:$BT254,,AH254+1)*AF254-ERP_i)*AE254*Ramure*Pc/MaxiM</f>
        <v>5.3631252669460421E-4</v>
      </c>
      <c r="AE254" s="305">
        <f t="shared" si="88"/>
        <v>0.7</v>
      </c>
      <c r="AF254" s="177">
        <f t="shared" si="89"/>
        <v>0.98144587955691276</v>
      </c>
      <c r="AG254" s="919">
        <f t="shared" si="95"/>
        <v>-1</v>
      </c>
      <c r="AH254" s="176">
        <f t="shared" si="90"/>
        <v>5</v>
      </c>
      <c r="AI254" s="225">
        <f t="shared" si="91"/>
        <v>-1.8554120443087241E-2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8">
        <v>50.308</v>
      </c>
      <c r="C255" s="390"/>
      <c r="D255" s="393">
        <f t="shared" si="74"/>
        <v>51.641006727747921</v>
      </c>
      <c r="E255" s="385">
        <f t="shared" si="96"/>
        <v>52.782679977999649</v>
      </c>
      <c r="F255" s="385">
        <f t="shared" si="75"/>
        <v>52.809812213553279</v>
      </c>
      <c r="G255" s="110">
        <f t="shared" si="97"/>
        <v>1.0291287332153849</v>
      </c>
      <c r="H255" s="412" t="b">
        <f>Wh_hp&gt;='2020'!Maxi_hp</f>
        <v>1</v>
      </c>
      <c r="I255" s="380">
        <f>IF(H255,Wh_hp,'2020'!Maxi_hp)</f>
        <v>52.809812213553279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2.5812950060705608E-2</v>
      </c>
      <c r="M255" s="957"/>
      <c r="N255" s="957"/>
      <c r="O255" s="48">
        <f>IF(t&lt;Tnet,'2020'!Resal+('2020'!Salim-'2020'!Resal)*(1-EXP(('2020'!Tnet-t)/('2020'!Tau_j))),Resal+(Salim-Resal)*(1-EXP((Tnet-t)/(Tau_j))))*Salcycl</f>
        <v>2.1629694640885669E-2</v>
      </c>
      <c r="P255" s="169">
        <f>(INDEX(Models!$BJ255:$BT255,,T255)*(1-R255)+INDEX(Models!$BJ255:$BT255,,T255+1)*R255-ERP_i)*Q255*Ramure*Pc/MaxiM</f>
        <v>5.1377261945023428E-4</v>
      </c>
      <c r="Q255" s="305">
        <f t="shared" si="77"/>
        <v>0.7</v>
      </c>
      <c r="R255" s="177">
        <f t="shared" si="78"/>
        <v>0.98217391925920738</v>
      </c>
      <c r="S255" s="919">
        <f t="shared" si="79"/>
        <v>-1</v>
      </c>
      <c r="T255" s="176">
        <f t="shared" si="80"/>
        <v>5</v>
      </c>
      <c r="U255" s="251">
        <f t="shared" si="81"/>
        <v>-1.7826080740792616E-2</v>
      </c>
      <c r="V255" s="383">
        <f t="shared" si="82"/>
        <v>48.88406899574062</v>
      </c>
      <c r="W255" s="402"/>
      <c r="X255" s="157">
        <f t="shared" si="83"/>
        <v>44437</v>
      </c>
      <c r="Y255" s="385">
        <f t="shared" si="84"/>
        <v>46.647491572630329</v>
      </c>
      <c r="Z255" s="385">
        <f t="shared" si="85"/>
        <v>47.883506124965557</v>
      </c>
      <c r="AA255" s="386">
        <f t="shared" si="86"/>
        <v>52.782679977999649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9.2817830679990374E-2</v>
      </c>
      <c r="AD255" s="231">
        <f>(INDEX(Models!$BJ255:$BT255,,AH255)*(1-AF255)+INDEX(Models!$BJ255:$BT255,,AH255+1)*AF255-ERP_i)*AE255*Ramure*Pc/MaxiM</f>
        <v>5.1377261945023428E-4</v>
      </c>
      <c r="AE255" s="305">
        <f t="shared" si="88"/>
        <v>0.7</v>
      </c>
      <c r="AF255" s="177">
        <f t="shared" si="89"/>
        <v>0.98217391925920738</v>
      </c>
      <c r="AG255" s="919">
        <f t="shared" si="95"/>
        <v>-1</v>
      </c>
      <c r="AH255" s="176">
        <f t="shared" si="90"/>
        <v>5</v>
      </c>
      <c r="AI255" s="225">
        <f t="shared" si="91"/>
        <v>-1.7826080740792616E-2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8">
        <v>48.599000000000004</v>
      </c>
      <c r="C256" s="390"/>
      <c r="D256" s="393">
        <f t="shared" si="74"/>
        <v>49.887816173669172</v>
      </c>
      <c r="E256" s="385">
        <f t="shared" si="96"/>
        <v>50.995579744975728</v>
      </c>
      <c r="F256" s="385">
        <f t="shared" si="75"/>
        <v>51.020688029577649</v>
      </c>
      <c r="G256" s="110">
        <f t="shared" si="97"/>
        <v>0.99648541667786139</v>
      </c>
      <c r="H256" s="412" t="b">
        <f>Wh_hp&gt;='2020'!Maxi_hp</f>
        <v>1</v>
      </c>
      <c r="I256" s="380">
        <f>IF(H256,Wh_hp,'2020'!Maxi_hp)</f>
        <v>51.020688029577649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2.5834287257284427E-2</v>
      </c>
      <c r="M256" s="957"/>
      <c r="N256" s="957"/>
      <c r="O256" s="48">
        <f>IF(t&lt;Tnet,'2020'!Resal+('2020'!Salim-'2020'!Resal)*(1-EXP(('2020'!Tnet-t)/('2020'!Tau_j))),Resal+(Salim-Resal)*(1-EXP((Tnet-t)/(Tau_j))))*Salcycl</f>
        <v>2.1722737085182405E-2</v>
      </c>
      <c r="P256" s="169">
        <f>(INDEX(Models!$BJ256:$BT256,,T256)*(1-R256)+INDEX(Models!$BJ256:$BT256,,T256+1)*R256-ERP_i)*Q256*Ramure*Pc/MaxiM</f>
        <v>4.9460124101642806E-4</v>
      </c>
      <c r="Q256" s="305">
        <f t="shared" si="77"/>
        <v>0.7</v>
      </c>
      <c r="R256" s="177">
        <f t="shared" si="78"/>
        <v>0.98287471682038208</v>
      </c>
      <c r="S256" s="919">
        <f t="shared" si="79"/>
        <v>-1</v>
      </c>
      <c r="T256" s="176">
        <f t="shared" si="80"/>
        <v>5</v>
      </c>
      <c r="U256" s="251">
        <f t="shared" si="81"/>
        <v>-1.7125283179617923E-2</v>
      </c>
      <c r="V256" s="383">
        <f t="shared" si="82"/>
        <v>48.770286574987459</v>
      </c>
      <c r="W256" s="402"/>
      <c r="X256" s="157">
        <f t="shared" si="83"/>
        <v>44438</v>
      </c>
      <c r="Y256" s="385">
        <f t="shared" si="84"/>
        <v>45.066070004862048</v>
      </c>
      <c r="Z256" s="385">
        <f t="shared" si="85"/>
        <v>46.261195005499374</v>
      </c>
      <c r="AA256" s="386">
        <f t="shared" si="86"/>
        <v>50.995579744975728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9.2839119844358747E-2</v>
      </c>
      <c r="AD256" s="231">
        <f>(INDEX(Models!$BJ256:$BT256,,AH256)*(1-AF256)+INDEX(Models!$BJ256:$BT256,,AH256+1)*AF256-ERP_i)*AE256*Ramure*Pc/MaxiM</f>
        <v>4.9460124101642806E-4</v>
      </c>
      <c r="AE256" s="305">
        <f t="shared" si="88"/>
        <v>0.7</v>
      </c>
      <c r="AF256" s="177">
        <f t="shared" si="89"/>
        <v>0.98287471682038208</v>
      </c>
      <c r="AG256" s="919">
        <f t="shared" si="95"/>
        <v>-1</v>
      </c>
      <c r="AH256" s="176">
        <f t="shared" si="90"/>
        <v>5</v>
      </c>
      <c r="AI256" s="225">
        <f t="shared" si="91"/>
        <v>-1.7125283179617923E-2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8">
        <v>49.183</v>
      </c>
      <c r="C257" s="390"/>
      <c r="D257" s="393">
        <f t="shared" si="74"/>
        <v>50.488409327242898</v>
      </c>
      <c r="E257" s="385">
        <f t="shared" si="96"/>
        <v>51.614407381750524</v>
      </c>
      <c r="F257" s="385">
        <f t="shared" si="75"/>
        <v>51.639133296774915</v>
      </c>
      <c r="G257" s="110">
        <f t="shared" si="97"/>
        <v>1.0108779739107316</v>
      </c>
      <c r="H257" s="412" t="b">
        <f>Wh_hp&gt;='2020'!Maxi_hp</f>
        <v>1</v>
      </c>
      <c r="I257" s="380">
        <f>IF(H257,Wh_hp,'2020'!Maxi_hp)</f>
        <v>51.639133296774915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2.5855623986523857E-2</v>
      </c>
      <c r="M257" s="957"/>
      <c r="N257" s="957"/>
      <c r="O257" s="48">
        <f>IF(t&lt;Tnet,'2020'!Resal+('2020'!Salim-'2020'!Resal)*(1-EXP(('2020'!Tnet-t)/('2020'!Tau_j))),Resal+(Salim-Resal)*(1-EXP((Tnet-t)/(Tau_j))))*Salcycl</f>
        <v>2.1815576534271165E-2</v>
      </c>
      <c r="P257" s="169">
        <f>(INDEX(Models!$BJ257:$BT257,,T257)*(1-R257)+INDEX(Models!$BJ257:$BT257,,T257+1)*R257-ERP_i)*Q257*Ramure*Pc/MaxiM</f>
        <v>4.788212629806752E-4</v>
      </c>
      <c r="Q257" s="305">
        <f t="shared" si="77"/>
        <v>0.7</v>
      </c>
      <c r="R257" s="177">
        <f t="shared" si="78"/>
        <v>0.98354921401008233</v>
      </c>
      <c r="S257" s="919">
        <f t="shared" si="79"/>
        <v>-1</v>
      </c>
      <c r="T257" s="176">
        <f t="shared" si="80"/>
        <v>5</v>
      </c>
      <c r="U257" s="251">
        <f t="shared" si="81"/>
        <v>-1.6450785989917727E-2</v>
      </c>
      <c r="V257" s="383">
        <f t="shared" si="82"/>
        <v>48.653745822285806</v>
      </c>
      <c r="W257" s="402"/>
      <c r="X257" s="157">
        <f t="shared" si="83"/>
        <v>44439</v>
      </c>
      <c r="Y257" s="385">
        <f t="shared" si="84"/>
        <v>45.610896679430056</v>
      </c>
      <c r="Z257" s="385">
        <f t="shared" si="85"/>
        <v>46.821495665853007</v>
      </c>
      <c r="AA257" s="386">
        <f t="shared" si="86"/>
        <v>51.614407381750524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9.2859958275761642E-2</v>
      </c>
      <c r="AD257" s="231">
        <f>(INDEX(Models!$BJ257:$BT257,,AH257)*(1-AF257)+INDEX(Models!$BJ257:$BT257,,AH257+1)*AF257-ERP_i)*AE257*Ramure*Pc/MaxiM</f>
        <v>4.788212629806752E-4</v>
      </c>
      <c r="AE257" s="305">
        <f t="shared" si="88"/>
        <v>0.7</v>
      </c>
      <c r="AF257" s="177">
        <f t="shared" si="89"/>
        <v>0.98354921401008233</v>
      </c>
      <c r="AG257" s="919">
        <f t="shared" si="95"/>
        <v>-1</v>
      </c>
      <c r="AH257" s="176">
        <f t="shared" si="90"/>
        <v>5</v>
      </c>
      <c r="AI257" s="225">
        <f t="shared" si="91"/>
        <v>-1.6450785989917727E-2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8">
        <v>35.747</v>
      </c>
      <c r="C258" s="390"/>
      <c r="D258" s="393">
        <f t="shared" si="74"/>
        <v>36.696596365400296</v>
      </c>
      <c r="E258" s="385">
        <f t="shared" si="96"/>
        <v>37.518560799366455</v>
      </c>
      <c r="F258" s="385">
        <f t="shared" si="75"/>
        <v>37.529477822781715</v>
      </c>
      <c r="G258" s="110">
        <f t="shared" si="97"/>
        <v>0.7364063007845727</v>
      </c>
      <c r="H258" s="412" t="b">
        <f>Wh_hp&gt;='2020'!Maxi_hp</f>
        <v>0</v>
      </c>
      <c r="I258" s="380">
        <f>IF(H258,Wh_hp,'2020'!Maxi_hp)</f>
        <v>52.083506608695828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2.5876960248434222E-2</v>
      </c>
      <c r="M258" s="957"/>
      <c r="N258" s="957"/>
      <c r="O258" s="48">
        <f>IF(t&lt;Tnet,'2020'!Resal+('2020'!Salim-'2020'!Resal)*(1-EXP(('2020'!Tnet-t)/('2020'!Tau_j))),Resal+(Salim-Resal)*(1-EXP((Tnet-t)/(Tau_j))))*Salcycl</f>
        <v>2.1908208003011614E-2</v>
      </c>
      <c r="P258" s="169">
        <f>(INDEX(Models!$BJ258:$BT258,,T258)*(1-R258)+INDEX(Models!$BJ258:$BT258,,T258+1)*R258-ERP_i)*Q258*Ramure*Pc/MaxiM</f>
        <v>4.6645531553378763E-4</v>
      </c>
      <c r="Q258" s="305">
        <f t="shared" si="77"/>
        <v>0.7</v>
      </c>
      <c r="R258" s="177">
        <f t="shared" si="78"/>
        <v>0.98419832599270374</v>
      </c>
      <c r="S258" s="919">
        <f t="shared" si="79"/>
        <v>-1</v>
      </c>
      <c r="T258" s="176">
        <f t="shared" si="80"/>
        <v>5</v>
      </c>
      <c r="U258" s="251">
        <f t="shared" si="81"/>
        <v>-1.5801674007296262E-2</v>
      </c>
      <c r="V258" s="383">
        <f t="shared" si="82"/>
        <v>48.533971358709174</v>
      </c>
      <c r="W258" s="402"/>
      <c r="X258" s="157">
        <f t="shared" si="83"/>
        <v>44440</v>
      </c>
      <c r="Y258" s="385">
        <f t="shared" si="84"/>
        <v>33.153132587701634</v>
      </c>
      <c r="Z258" s="385">
        <f t="shared" si="85"/>
        <v>34.033824511692899</v>
      </c>
      <c r="AA258" s="386">
        <f t="shared" si="86"/>
        <v>37.518560799366455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9.2880329453692734E-2</v>
      </c>
      <c r="AD258" s="231">
        <f>(INDEX(Models!$BJ258:$BT258,,AH258)*(1-AF258)+INDEX(Models!$BJ258:$BT258,,AH258+1)*AF258-ERP_i)*AE258*Ramure*Pc/MaxiM</f>
        <v>4.6645531553378763E-4</v>
      </c>
      <c r="AE258" s="305">
        <f t="shared" si="88"/>
        <v>0.7</v>
      </c>
      <c r="AF258" s="177">
        <f t="shared" si="89"/>
        <v>0.98419832599270374</v>
      </c>
      <c r="AG258" s="919">
        <f t="shared" si="95"/>
        <v>-1</v>
      </c>
      <c r="AH258" s="176">
        <f t="shared" si="90"/>
        <v>5</v>
      </c>
      <c r="AI258" s="225">
        <f t="shared" si="91"/>
        <v>-1.5801674007296262E-2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8">
        <v>18.286000000000001</v>
      </c>
      <c r="C259" s="390"/>
      <c r="D259" s="393">
        <f t="shared" si="74"/>
        <v>18.772167142013014</v>
      </c>
      <c r="E259" s="385">
        <f t="shared" si="96"/>
        <v>19.194457222354178</v>
      </c>
      <c r="F259" s="385">
        <f t="shared" si="75"/>
        <v>19.195432422138307</v>
      </c>
      <c r="G259" s="110">
        <f t="shared" si="97"/>
        <v>0.37757442703838434</v>
      </c>
      <c r="H259" s="412" t="b">
        <f>Wh_hp&gt;='2020'!Maxi_hp</f>
        <v>0</v>
      </c>
      <c r="I259" s="380">
        <f>IF(H259,Wh_hp,'2020'!Maxi_hp)</f>
        <v>50.502495754224739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2.5898296043025626E-2</v>
      </c>
      <c r="M259" s="957"/>
      <c r="N259" s="957"/>
      <c r="O259" s="48">
        <f>IF(t&lt;Tnet,'2020'!Resal+('2020'!Salim-'2020'!Resal)*(1-EXP(('2020'!Tnet-t)/('2020'!Tau_j))),Resal+(Salim-Resal)*(1-EXP((Tnet-t)/(Tau_j))))*Salcycl</f>
        <v>2.2000626297958563E-2</v>
      </c>
      <c r="P259" s="169">
        <f>(INDEX(Models!$BJ259:$BT259,,T259)*(1-R259)+INDEX(Models!$BJ259:$BT259,,T259+1)*R259-ERP_i)*Q259*Ramure*Pc/MaxiM</f>
        <v>4.5752610487693199E-4</v>
      </c>
      <c r="Q259" s="305">
        <f t="shared" si="77"/>
        <v>0.7</v>
      </c>
      <c r="R259" s="177">
        <f t="shared" si="78"/>
        <v>0.98482294160691031</v>
      </c>
      <c r="S259" s="919">
        <f t="shared" si="79"/>
        <v>-1</v>
      </c>
      <c r="T259" s="176">
        <f t="shared" si="80"/>
        <v>5</v>
      </c>
      <c r="U259" s="251">
        <f t="shared" si="81"/>
        <v>-1.5177058393089637E-2</v>
      </c>
      <c r="V259" s="383">
        <f t="shared" si="82"/>
        <v>48.410488073492978</v>
      </c>
      <c r="W259" s="402"/>
      <c r="X259" s="157">
        <f t="shared" si="83"/>
        <v>44441</v>
      </c>
      <c r="Y259" s="385">
        <f t="shared" si="84"/>
        <v>16.960365305027974</v>
      </c>
      <c r="Z259" s="385">
        <f t="shared" si="85"/>
        <v>17.411287996039793</v>
      </c>
      <c r="AA259" s="386">
        <f t="shared" si="86"/>
        <v>19.194457222354178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9.2900216226884227E-2</v>
      </c>
      <c r="AD259" s="231">
        <f>(INDEX(Models!$BJ259:$BT259,,AH259)*(1-AF259)+INDEX(Models!$BJ259:$BT259,,AH259+1)*AF259-ERP_i)*AE259*Ramure*Pc/MaxiM</f>
        <v>4.5752610487693199E-4</v>
      </c>
      <c r="AE259" s="305">
        <f t="shared" si="88"/>
        <v>0.7</v>
      </c>
      <c r="AF259" s="177">
        <f t="shared" si="89"/>
        <v>0.98482294160691031</v>
      </c>
      <c r="AG259" s="919">
        <f t="shared" si="95"/>
        <v>-1</v>
      </c>
      <c r="AH259" s="176">
        <f t="shared" si="90"/>
        <v>5</v>
      </c>
      <c r="AI259" s="225">
        <f t="shared" si="91"/>
        <v>-1.5177058393089637E-2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8">
        <v>28.182000000000002</v>
      </c>
      <c r="C260" s="390"/>
      <c r="D260" s="393">
        <f t="shared" si="74"/>
        <v>28.931904294145294</v>
      </c>
      <c r="E260" s="385">
        <f t="shared" si="96"/>
        <v>29.585532311751543</v>
      </c>
      <c r="F260" s="385">
        <f t="shared" si="75"/>
        <v>29.590953463376607</v>
      </c>
      <c r="G260" s="110">
        <f t="shared" si="97"/>
        <v>0.58352890568433124</v>
      </c>
      <c r="H260" s="412" t="b">
        <f>Wh_hp&gt;='2020'!Maxi_hp</f>
        <v>0</v>
      </c>
      <c r="I260" s="380">
        <f>IF(H260,Wh_hp,'2020'!Maxi_hp)</f>
        <v>52.236523625300045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2.5919631370308505E-2</v>
      </c>
      <c r="M260" s="957"/>
      <c r="N260" s="957"/>
      <c r="O260" s="48">
        <f>IF(t&lt;Tnet,'2020'!Resal+('2020'!Salim-'2020'!Resal)*(1-EXP(('2020'!Tnet-t)/('2020'!Tau_j))),Resal+(Salim-Resal)*(1-EXP((Tnet-t)/(Tau_j))))*Salcycl</f>
        <v>2.2092826004236649E-2</v>
      </c>
      <c r="P260" s="169">
        <f>(INDEX(Models!$BJ260:$BT260,,T260)*(1-R260)+INDEX(Models!$BJ260:$BT260,,T260+1)*R260-ERP_i)*Q260*Ramure*Pc/MaxiM</f>
        <v>4.5205673610578694E-4</v>
      </c>
      <c r="Q260" s="305">
        <f t="shared" si="77"/>
        <v>0.7</v>
      </c>
      <c r="R260" s="177">
        <f t="shared" si="78"/>
        <v>0.98542392368553577</v>
      </c>
      <c r="S260" s="919">
        <f t="shared" si="79"/>
        <v>-1</v>
      </c>
      <c r="T260" s="176">
        <f t="shared" si="80"/>
        <v>5</v>
      </c>
      <c r="U260" s="251">
        <f t="shared" si="81"/>
        <v>-1.457607631446417E-2</v>
      </c>
      <c r="V260" s="383">
        <f t="shared" si="82"/>
        <v>48.282821127401434</v>
      </c>
      <c r="W260" s="402"/>
      <c r="X260" s="157">
        <f t="shared" si="83"/>
        <v>44442</v>
      </c>
      <c r="Y260" s="385">
        <f t="shared" si="84"/>
        <v>26.140865402037445</v>
      </c>
      <c r="Z260" s="385">
        <f t="shared" si="85"/>
        <v>26.836456460786362</v>
      </c>
      <c r="AA260" s="386">
        <f t="shared" si="86"/>
        <v>29.585532311751543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9.2919600769637997E-2</v>
      </c>
      <c r="AD260" s="231">
        <f>(INDEX(Models!$BJ260:$BT260,,AH260)*(1-AF260)+INDEX(Models!$BJ260:$BT260,,AH260+1)*AF260-ERP_i)*AE260*Ramure*Pc/MaxiM</f>
        <v>4.5205673610578694E-4</v>
      </c>
      <c r="AE260" s="305">
        <f t="shared" si="88"/>
        <v>0.7</v>
      </c>
      <c r="AF260" s="177">
        <f t="shared" si="89"/>
        <v>0.98542392368553577</v>
      </c>
      <c r="AG260" s="919">
        <f t="shared" si="95"/>
        <v>-1</v>
      </c>
      <c r="AH260" s="176">
        <f t="shared" si="90"/>
        <v>5</v>
      </c>
      <c r="AI260" s="225">
        <f t="shared" si="91"/>
        <v>-1.457607631446417E-2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8">
        <v>37.322000000000003</v>
      </c>
      <c r="C261" s="390"/>
      <c r="D261" s="393">
        <f t="shared" si="74"/>
        <v>38.315952838669418</v>
      </c>
      <c r="E261" s="385">
        <f t="shared" si="96"/>
        <v>39.185270280463904</v>
      </c>
      <c r="F261" s="385">
        <f t="shared" si="75"/>
        <v>39.197242918418198</v>
      </c>
      <c r="G261" s="110">
        <f t="shared" si="97"/>
        <v>0.7749693454396045</v>
      </c>
      <c r="H261" s="412" t="b">
        <f>Wh_hp&gt;='2020'!Maxi_hp</f>
        <v>0</v>
      </c>
      <c r="I261" s="380">
        <f>IF(H261,Wh_hp,'2020'!Maxi_hp)</f>
        <v>51.364733019215166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2.594096623029285E-2</v>
      </c>
      <c r="M261" s="957"/>
      <c r="N261" s="957"/>
      <c r="O261" s="48">
        <f>IF(t&lt;Tnet,'2020'!Resal+('2020'!Salim-'2020'!Resal)*(1-EXP(('2020'!Tnet-t)/('2020'!Tau_j))),Resal+(Salim-Resal)*(1-EXP((Tnet-t)/(Tau_j))))*Salcycl</f>
        <v>2.2184801471891193E-2</v>
      </c>
      <c r="P261" s="169">
        <f>(INDEX(Models!$BJ261:$BT261,,T261)*(1-R261)+INDEX(Models!$BJ261:$BT261,,T261+1)*R261-ERP_i)*Q261*Ramure*Pc/MaxiM</f>
        <v>4.5005364643135122E-4</v>
      </c>
      <c r="Q261" s="305">
        <f t="shared" si="77"/>
        <v>0.7</v>
      </c>
      <c r="R261" s="177">
        <f t="shared" si="78"/>
        <v>0.98600210941130007</v>
      </c>
      <c r="S261" s="919">
        <f t="shared" si="79"/>
        <v>-1</v>
      </c>
      <c r="T261" s="176">
        <f t="shared" si="80"/>
        <v>5</v>
      </c>
      <c r="U261" s="251">
        <f t="shared" si="81"/>
        <v>-1.3997890588699935E-2</v>
      </c>
      <c r="V261" s="383">
        <f t="shared" si="82"/>
        <v>48.152357923633595</v>
      </c>
      <c r="W261" s="402"/>
      <c r="X261" s="157">
        <f t="shared" si="83"/>
        <v>44443</v>
      </c>
      <c r="Y261" s="385">
        <f t="shared" si="84"/>
        <v>34.621419954927305</v>
      </c>
      <c r="Z261" s="385">
        <f t="shared" si="85"/>
        <v>35.543451428132542</v>
      </c>
      <c r="AA261" s="386">
        <f t="shared" si="86"/>
        <v>39.185270280463904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9.293846453694142E-2</v>
      </c>
      <c r="AD261" s="231">
        <f>(INDEX(Models!$BJ261:$BT261,,AH261)*(1-AF261)+INDEX(Models!$BJ261:$BT261,,AH261+1)*AF261-ERP_i)*AE261*Ramure*Pc/MaxiM</f>
        <v>4.5005364643135122E-4</v>
      </c>
      <c r="AE261" s="305">
        <f t="shared" si="88"/>
        <v>0.7</v>
      </c>
      <c r="AF261" s="177">
        <f t="shared" si="89"/>
        <v>0.98600210941130007</v>
      </c>
      <c r="AG261" s="919">
        <f t="shared" si="95"/>
        <v>-1</v>
      </c>
      <c r="AH261" s="176">
        <f t="shared" si="90"/>
        <v>5</v>
      </c>
      <c r="AI261" s="225">
        <f t="shared" si="91"/>
        <v>-1.3997890588699935E-2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8">
        <v>44.112000000000002</v>
      </c>
      <c r="C262" s="390"/>
      <c r="D262" s="393">
        <f t="shared" si="74"/>
        <v>45.287774824540968</v>
      </c>
      <c r="E262" s="385">
        <f t="shared" si="96"/>
        <v>46.319615916354714</v>
      </c>
      <c r="F262" s="385">
        <f t="shared" si="75"/>
        <v>46.338127041109445</v>
      </c>
      <c r="G262" s="110">
        <f t="shared" si="97"/>
        <v>0.9185580042624184</v>
      </c>
      <c r="H262" s="412" t="b">
        <f>Wh_hp&gt;='2020'!Maxi_hp</f>
        <v>0</v>
      </c>
      <c r="I262" s="380">
        <f>IF(H262,Wh_hp,'2020'!Maxi_hp)</f>
        <v>50.98450100113412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2.5962300622988987E-2</v>
      </c>
      <c r="M262" s="957"/>
      <c r="N262" s="957"/>
      <c r="O262" s="48">
        <f>IF(t&lt;Tnet,'2020'!Resal+('2020'!Salim-'2020'!Resal)*(1-EXP(('2020'!Tnet-t)/('2020'!Tau_j))),Resal+(Salim-Resal)*(1-EXP((Tnet-t)/(Tau_j))))*Salcycl</f>
        <v>2.2276546802051937E-2</v>
      </c>
      <c r="P262" s="169">
        <f>(INDEX(Models!$BJ262:$BT262,,T262)*(1-R262)+INDEX(Models!$BJ262:$BT262,,T262+1)*R262-ERP_i)*Q262*Ramure*Pc/MaxiM</f>
        <v>4.5204120938895711E-4</v>
      </c>
      <c r="Q262" s="305">
        <f t="shared" si="77"/>
        <v>0.7</v>
      </c>
      <c r="R262" s="177">
        <f t="shared" si="78"/>
        <v>0.98655831070407196</v>
      </c>
      <c r="S262" s="919">
        <f t="shared" si="79"/>
        <v>-1</v>
      </c>
      <c r="T262" s="176">
        <f t="shared" si="80"/>
        <v>5</v>
      </c>
      <c r="U262" s="251">
        <f t="shared" si="81"/>
        <v>-1.3441689295928039E-2</v>
      </c>
      <c r="V262" s="383">
        <f t="shared" si="82"/>
        <v>48.02057165672506</v>
      </c>
      <c r="W262" s="402"/>
      <c r="X262" s="157">
        <f t="shared" si="83"/>
        <v>44444</v>
      </c>
      <c r="Y262" s="385">
        <f t="shared" si="84"/>
        <v>40.92311586387558</v>
      </c>
      <c r="Z262" s="385">
        <f t="shared" si="85"/>
        <v>42.013893189195628</v>
      </c>
      <c r="AA262" s="386">
        <f t="shared" si="86"/>
        <v>46.319615916354714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9.2956788219800482E-2</v>
      </c>
      <c r="AD262" s="231">
        <f>(INDEX(Models!$BJ262:$BT262,,AH262)*(1-AF262)+INDEX(Models!$BJ262:$BT262,,AH262+1)*AF262-ERP_i)*AE262*Ramure*Pc/MaxiM</f>
        <v>4.5204120938895711E-4</v>
      </c>
      <c r="AE262" s="305">
        <f t="shared" si="88"/>
        <v>0.7</v>
      </c>
      <c r="AF262" s="177">
        <f t="shared" si="89"/>
        <v>0.98655831070407196</v>
      </c>
      <c r="AG262" s="919">
        <f t="shared" si="95"/>
        <v>-1</v>
      </c>
      <c r="AH262" s="176">
        <f t="shared" si="90"/>
        <v>5</v>
      </c>
      <c r="AI262" s="225">
        <f t="shared" si="91"/>
        <v>-1.3441689295928039E-2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8">
        <v>47.474000000000004</v>
      </c>
      <c r="C263" s="390"/>
      <c r="D263" s="393">
        <f t="shared" si="74"/>
        <v>48.740454148313169</v>
      </c>
      <c r="E263" s="385">
        <f t="shared" si="96"/>
        <v>49.855627610302989</v>
      </c>
      <c r="F263" s="385">
        <f t="shared" si="75"/>
        <v>49.878074841762292</v>
      </c>
      <c r="G263" s="110">
        <f t="shared" si="97"/>
        <v>0.99136440514842039</v>
      </c>
      <c r="H263" s="412" t="b">
        <f>Wh_hp&gt;='2020'!Maxi_hp</f>
        <v>0</v>
      </c>
      <c r="I263" s="380">
        <f>IF(H263,Wh_hp,'2020'!Maxi_hp)</f>
        <v>50.093779259666192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2.5983634548407242E-2</v>
      </c>
      <c r="M263" s="957"/>
      <c r="N263" s="957"/>
      <c r="O263" s="48">
        <f>IF(t&lt;Tnet,'2020'!Resal+('2020'!Salim-'2020'!Resal)*(1-EXP(('2020'!Tnet-t)/('2020'!Tau_j))),Resal+(Salim-Resal)*(1-EXP((Tnet-t)/(Tau_j))))*Salcycl</f>
        <v>2.2368055833266884E-2</v>
      </c>
      <c r="P263" s="169">
        <f>(INDEX(Models!$BJ263:$BT263,,T263)*(1-R263)+INDEX(Models!$BJ263:$BT263,,T263+1)*R263-ERP_i)*Q263*Ramure*Pc/MaxiM</f>
        <v>4.5565970649409898E-4</v>
      </c>
      <c r="Q263" s="305">
        <f t="shared" si="77"/>
        <v>0.7</v>
      </c>
      <c r="R263" s="177">
        <f t="shared" si="78"/>
        <v>0.9870933146357036</v>
      </c>
      <c r="S263" s="919">
        <f t="shared" si="79"/>
        <v>-1</v>
      </c>
      <c r="T263" s="176">
        <f t="shared" si="80"/>
        <v>5</v>
      </c>
      <c r="U263" s="251">
        <f t="shared" si="81"/>
        <v>-1.29066853642964E-2</v>
      </c>
      <c r="V263" s="383">
        <f t="shared" si="82"/>
        <v>47.88726823471054</v>
      </c>
      <c r="W263" s="402"/>
      <c r="X263" s="157">
        <f t="shared" si="83"/>
        <v>44445</v>
      </c>
      <c r="Y263" s="385">
        <f t="shared" si="84"/>
        <v>44.045334636838405</v>
      </c>
      <c r="Z263" s="385">
        <f t="shared" si="85"/>
        <v>45.22032298340001</v>
      </c>
      <c r="AA263" s="386">
        <f t="shared" si="86"/>
        <v>49.855627610302989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9.2974551702264832E-2</v>
      </c>
      <c r="AD263" s="231">
        <f>(INDEX(Models!$BJ263:$BT263,,AH263)*(1-AF263)+INDEX(Models!$BJ263:$BT263,,AH263+1)*AF263-ERP_i)*AE263*Ramure*Pc/MaxiM</f>
        <v>4.5565970649409898E-4</v>
      </c>
      <c r="AE263" s="305">
        <f t="shared" si="88"/>
        <v>0.7</v>
      </c>
      <c r="AF263" s="177">
        <f t="shared" si="89"/>
        <v>0.9870933146357036</v>
      </c>
      <c r="AG263" s="919">
        <f t="shared" si="95"/>
        <v>-1</v>
      </c>
      <c r="AH263" s="176">
        <f t="shared" si="90"/>
        <v>5</v>
      </c>
      <c r="AI263" s="225">
        <f t="shared" si="91"/>
        <v>-1.29066853642964E-2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8">
        <v>38.036999999999999</v>
      </c>
      <c r="C264" s="390"/>
      <c r="D264" s="393">
        <f t="shared" si="74"/>
        <v>39.052560588682852</v>
      </c>
      <c r="E264" s="385">
        <f t="shared" si="96"/>
        <v>39.949806154063332</v>
      </c>
      <c r="F264" s="385">
        <f t="shared" si="75"/>
        <v>39.962872340070923</v>
      </c>
      <c r="G264" s="110">
        <f t="shared" si="97"/>
        <v>0.79644395916970712</v>
      </c>
      <c r="H264" s="412" t="b">
        <f>Wh_hp&gt;='2020'!Maxi_hp</f>
        <v>0</v>
      </c>
      <c r="I264" s="380">
        <f>IF(H264,Wh_hp,'2020'!Maxi_hp)</f>
        <v>51.37719632099251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2.6004968006557716E-2</v>
      </c>
      <c r="M264" s="957"/>
      <c r="N264" s="957"/>
      <c r="O264" s="48">
        <f>IF(t&lt;Tnet,'2020'!Resal+('2020'!Salim-'2020'!Resal)*(1-EXP(('2020'!Tnet-t)/('2020'!Tau_j))),Resal+(Salim-Resal)*(1-EXP((Tnet-t)/(Tau_j))))*Salcycl</f>
        <v>2.245932212838091E-2</v>
      </c>
      <c r="P264" s="169">
        <f>(INDEX(Models!$BJ264:$BT264,,T264)*(1-R264)+INDEX(Models!$BJ264:$BT264,,T264+1)*R264-ERP_i)*Q264*Ramure*Pc/MaxiM</f>
        <v>4.6092108998037118E-4</v>
      </c>
      <c r="Q264" s="305">
        <f t="shared" si="77"/>
        <v>0.7</v>
      </c>
      <c r="R264" s="177">
        <f t="shared" si="78"/>
        <v>0.98760788386874121</v>
      </c>
      <c r="S264" s="919">
        <f t="shared" si="79"/>
        <v>-1</v>
      </c>
      <c r="T264" s="176">
        <f t="shared" si="80"/>
        <v>5</v>
      </c>
      <c r="U264" s="251">
        <f t="shared" si="81"/>
        <v>-1.239211613125879E-2</v>
      </c>
      <c r="V264" s="383">
        <f t="shared" si="82"/>
        <v>47.752139176196813</v>
      </c>
      <c r="W264" s="402"/>
      <c r="X264" s="157">
        <f t="shared" si="83"/>
        <v>44446</v>
      </c>
      <c r="Y264" s="385">
        <f t="shared" si="84"/>
        <v>35.292519476667394</v>
      </c>
      <c r="Z264" s="385">
        <f t="shared" si="85"/>
        <v>36.234804405968482</v>
      </c>
      <c r="AA264" s="386">
        <f t="shared" si="86"/>
        <v>39.949806154063332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9.2991734021642861E-2</v>
      </c>
      <c r="AD264" s="231">
        <f>(INDEX(Models!$BJ264:$BT264,,AH264)*(1-AF264)+INDEX(Models!$BJ264:$BT264,,AH264+1)*AF264-ERP_i)*AE264*Ramure*Pc/MaxiM</f>
        <v>4.6092108998037118E-4</v>
      </c>
      <c r="AE264" s="305">
        <f t="shared" si="88"/>
        <v>0.7</v>
      </c>
      <c r="AF264" s="177">
        <f t="shared" si="89"/>
        <v>0.98760788386874121</v>
      </c>
      <c r="AG264" s="919">
        <f t="shared" si="95"/>
        <v>-1</v>
      </c>
      <c r="AH264" s="176">
        <f t="shared" si="90"/>
        <v>5</v>
      </c>
      <c r="AI264" s="225">
        <f t="shared" si="91"/>
        <v>-1.239211613125879E-2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8">
        <v>30.847000000000001</v>
      </c>
      <c r="C265" s="390"/>
      <c r="D265" s="393">
        <f t="shared" si="74"/>
        <v>31.671286433699954</v>
      </c>
      <c r="E265" s="385">
        <f t="shared" si="96"/>
        <v>32.401961651997404</v>
      </c>
      <c r="F265" s="385">
        <f t="shared" si="75"/>
        <v>32.409496132834569</v>
      </c>
      <c r="G265" s="110">
        <f t="shared" si="97"/>
        <v>0.64769123944473839</v>
      </c>
      <c r="H265" s="412" t="b">
        <f>Wh_hp&gt;='2020'!Maxi_hp</f>
        <v>0</v>
      </c>
      <c r="I265" s="380">
        <f>IF(H265,Wh_hp,'2020'!Maxi_hp)</f>
        <v>49.21838095853591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2.6026300997450735E-2</v>
      </c>
      <c r="M265" s="957"/>
      <c r="N265" s="957"/>
      <c r="O265" s="48">
        <f>IF(t&lt;Tnet,'2020'!Resal+('2020'!Salim-'2020'!Resal)*(1-EXP(('2020'!Tnet-t)/('2020'!Tau_j))),Resal+(Salim-Resal)*(1-EXP((Tnet-t)/(Tau_j))))*Salcycl</f>
        <v>2.2550338962345096E-2</v>
      </c>
      <c r="P265" s="169">
        <f>(INDEX(Models!$BJ265:$BT265,,T265)*(1-R265)+INDEX(Models!$BJ265:$BT265,,T265+1)*R265-ERP_i)*Q265*Ramure*Pc/MaxiM</f>
        <v>4.6783734629516748E-4</v>
      </c>
      <c r="Q265" s="305">
        <f t="shared" si="77"/>
        <v>0.7</v>
      </c>
      <c r="R265" s="177">
        <f t="shared" si="78"/>
        <v>0.98810275711558704</v>
      </c>
      <c r="S265" s="919">
        <f t="shared" si="79"/>
        <v>-1</v>
      </c>
      <c r="T265" s="176">
        <f t="shared" si="80"/>
        <v>5</v>
      </c>
      <c r="U265" s="251">
        <f t="shared" si="81"/>
        <v>-1.1897242884412962E-2</v>
      </c>
      <c r="V265" s="383">
        <f t="shared" si="82"/>
        <v>47.614876179491091</v>
      </c>
      <c r="W265" s="402"/>
      <c r="X265" s="157">
        <f t="shared" si="83"/>
        <v>44447</v>
      </c>
      <c r="Y265" s="385">
        <f t="shared" si="84"/>
        <v>28.62344085208753</v>
      </c>
      <c r="Z265" s="385">
        <f t="shared" si="85"/>
        <v>29.388309850051311</v>
      </c>
      <c r="AA265" s="386">
        <f t="shared" si="86"/>
        <v>32.401961651997404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9.300831333340949E-2</v>
      </c>
      <c r="AD265" s="231">
        <f>(INDEX(Models!$BJ265:$BT265,,AH265)*(1-AF265)+INDEX(Models!$BJ265:$BT265,,AH265+1)*AF265-ERP_i)*AE265*Ramure*Pc/MaxiM</f>
        <v>4.6783734629516748E-4</v>
      </c>
      <c r="AE265" s="305">
        <f t="shared" si="88"/>
        <v>0.7</v>
      </c>
      <c r="AF265" s="177">
        <f t="shared" si="89"/>
        <v>0.98810275711558704</v>
      </c>
      <c r="AG265" s="919">
        <f t="shared" si="95"/>
        <v>-1</v>
      </c>
      <c r="AH265" s="176">
        <f t="shared" si="90"/>
        <v>5</v>
      </c>
      <c r="AI265" s="225">
        <f t="shared" si="91"/>
        <v>-1.1897242884412962E-2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8">
        <v>17.638999999999999</v>
      </c>
      <c r="C266" s="390"/>
      <c r="D266" s="393">
        <f t="shared" si="74"/>
        <v>18.110741969619799</v>
      </c>
      <c r="E266" s="385">
        <f t="shared" si="96"/>
        <v>18.530288061897153</v>
      </c>
      <c r="F266" s="385">
        <f t="shared" si="75"/>
        <v>18.531190368859015</v>
      </c>
      <c r="G266" s="110">
        <f t="shared" si="97"/>
        <v>0.37138265117051833</v>
      </c>
      <c r="H266" s="412" t="b">
        <f>Wh_hp&gt;='2020'!Maxi_hp</f>
        <v>0</v>
      </c>
      <c r="I266" s="380">
        <f>IF(H266,Wh_hp,'2020'!Maxi_hp)</f>
        <v>48.849649959056784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2.6047633521096514E-2</v>
      </c>
      <c r="M266" s="957"/>
      <c r="N266" s="957"/>
      <c r="O266" s="48">
        <f>IF(t&lt;Tnet,'2020'!Resal+('2020'!Salim-'2020'!Resal)*(1-EXP(('2020'!Tnet-t)/('2020'!Tau_j))),Resal+(Salim-Resal)*(1-EXP((Tnet-t)/(Tau_j))))*Salcycl</f>
        <v>2.2641099311350988E-2</v>
      </c>
      <c r="P266" s="169">
        <f>(INDEX(Models!$BJ266:$BT266,,T266)*(1-R266)+INDEX(Models!$BJ266:$BT266,,T266+1)*R266-ERP_i)*Q266*Ramure*Pc/MaxiM</f>
        <v>4.7642058130709976E-4</v>
      </c>
      <c r="Q266" s="305">
        <f t="shared" si="77"/>
        <v>0.7</v>
      </c>
      <c r="R266" s="177">
        <f t="shared" si="78"/>
        <v>0.98857864961494224</v>
      </c>
      <c r="S266" s="919">
        <f t="shared" si="79"/>
        <v>-1</v>
      </c>
      <c r="T266" s="176">
        <f t="shared" si="80"/>
        <v>5</v>
      </c>
      <c r="U266" s="251">
        <f t="shared" si="81"/>
        <v>-1.142135038505776E-2</v>
      </c>
      <c r="V266" s="383">
        <f t="shared" si="82"/>
        <v>47.475171119348126</v>
      </c>
      <c r="W266" s="402"/>
      <c r="X266" s="157">
        <f t="shared" si="83"/>
        <v>44448</v>
      </c>
      <c r="Y266" s="385">
        <f t="shared" si="84"/>
        <v>16.368751484424905</v>
      </c>
      <c r="Z266" s="385">
        <f t="shared" si="85"/>
        <v>16.806521599821448</v>
      </c>
      <c r="AA266" s="386">
        <f t="shared" si="86"/>
        <v>18.530288061897153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9.3024266882293885E-2</v>
      </c>
      <c r="AD266" s="231">
        <f>(INDEX(Models!$BJ266:$BT266,,AH266)*(1-AF266)+INDEX(Models!$BJ266:$BT266,,AH266+1)*AF266-ERP_i)*AE266*Ramure*Pc/MaxiM</f>
        <v>4.7642058130709976E-4</v>
      </c>
      <c r="AE266" s="305">
        <f t="shared" si="88"/>
        <v>0.7</v>
      </c>
      <c r="AF266" s="177">
        <f t="shared" si="89"/>
        <v>0.98857864961494224</v>
      </c>
      <c r="AG266" s="919">
        <f t="shared" si="95"/>
        <v>-1</v>
      </c>
      <c r="AH266" s="176">
        <f t="shared" si="90"/>
        <v>5</v>
      </c>
      <c r="AI266" s="225">
        <f t="shared" si="91"/>
        <v>-1.142135038505776E-2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8">
        <v>37.054000000000002</v>
      </c>
      <c r="C267" s="390"/>
      <c r="D267" s="393">
        <f t="shared" si="74"/>
        <v>38.045815042716718</v>
      </c>
      <c r="E267" s="385">
        <f t="shared" si="96"/>
        <v>38.930773655331748</v>
      </c>
      <c r="F267" s="385">
        <f t="shared" si="75"/>
        <v>38.94384714112666</v>
      </c>
      <c r="G267" s="110">
        <f t="shared" si="97"/>
        <v>0.7827229603015885</v>
      </c>
      <c r="H267" s="412" t="b">
        <f>Wh_hp&gt;='2020'!Maxi_hp</f>
        <v>1</v>
      </c>
      <c r="I267" s="380">
        <f>IF(H267,Wh_hp,'2020'!Maxi_hp)</f>
        <v>38.94384714112666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2.6068965577505265E-2</v>
      </c>
      <c r="M267" s="957"/>
      <c r="N267" s="957"/>
      <c r="O267" s="48">
        <f>IF(t&lt;Tnet,'2020'!Resal+('2020'!Salim-'2020'!Resal)*(1-EXP(('2020'!Tnet-t)/('2020'!Tau_j))),Resal+(Salim-Resal)*(1-EXP((Tnet-t)/(Tau_j))))*Salcycl</f>
        <v>2.2731595843686215E-2</v>
      </c>
      <c r="P267" s="169">
        <f>(INDEX(Models!$BJ267:$BT267,,T267)*(1-R267)+INDEX(Models!$BJ267:$BT267,,T267+1)*R267-ERP_i)*Q267*Ramure*Pc/MaxiM</f>
        <v>4.8668310628028141E-4</v>
      </c>
      <c r="Q267" s="305">
        <f t="shared" si="77"/>
        <v>0.7</v>
      </c>
      <c r="R267" s="177">
        <f t="shared" si="78"/>
        <v>0.98903625362260716</v>
      </c>
      <c r="S267" s="919">
        <f t="shared" si="79"/>
        <v>-1</v>
      </c>
      <c r="T267" s="176">
        <f t="shared" si="80"/>
        <v>5</v>
      </c>
      <c r="U267" s="251">
        <f t="shared" si="81"/>
        <v>-1.0963746377392891E-2</v>
      </c>
      <c r="V267" s="383">
        <f t="shared" si="82"/>
        <v>47.332716052618608</v>
      </c>
      <c r="W267" s="402"/>
      <c r="X267" s="157">
        <f t="shared" si="83"/>
        <v>44449</v>
      </c>
      <c r="Y267" s="385">
        <f t="shared" si="84"/>
        <v>34.388210642994068</v>
      </c>
      <c r="Z267" s="385">
        <f t="shared" si="85"/>
        <v>35.308671176481205</v>
      </c>
      <c r="AA267" s="386">
        <f t="shared" si="86"/>
        <v>38.930773655331748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9.3039570981001532E-2</v>
      </c>
      <c r="AD267" s="231">
        <f>(INDEX(Models!$BJ267:$BT267,,AH267)*(1-AF267)+INDEX(Models!$BJ267:$BT267,,AH267+1)*AF267-ERP_i)*AE267*Ramure*Pc/MaxiM</f>
        <v>4.8668310628028141E-4</v>
      </c>
      <c r="AE267" s="305">
        <f t="shared" si="88"/>
        <v>0.7</v>
      </c>
      <c r="AF267" s="177">
        <f t="shared" si="89"/>
        <v>0.98903625362260716</v>
      </c>
      <c r="AG267" s="919">
        <f t="shared" si="95"/>
        <v>-1</v>
      </c>
      <c r="AH267" s="176">
        <f t="shared" si="90"/>
        <v>5</v>
      </c>
      <c r="AI267" s="225">
        <f t="shared" si="91"/>
        <v>-1.0963746377392891E-2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8">
        <v>36.619999999999997</v>
      </c>
      <c r="C268" s="390"/>
      <c r="D268" s="393">
        <f t="shared" si="74"/>
        <v>37.601021833404616</v>
      </c>
      <c r="E268" s="385">
        <f t="shared" si="96"/>
        <v>38.479186946770326</v>
      </c>
      <c r="F268" s="385">
        <f t="shared" si="75"/>
        <v>38.492252096911933</v>
      </c>
      <c r="G268" s="110">
        <f t="shared" si="97"/>
        <v>0.77593425937155769</v>
      </c>
      <c r="H268" s="412" t="b">
        <f>Wh_hp&gt;='2020'!Maxi_hp</f>
        <v>0</v>
      </c>
      <c r="I268" s="380">
        <f>IF(H268,Wh_hp,'2020'!Maxi_hp)</f>
        <v>48.02648130757494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2.6090297166687204E-2</v>
      </c>
      <c r="M268" s="957"/>
      <c r="N268" s="957"/>
      <c r="O268" s="48">
        <f>IF(t&lt;Tnet,'2020'!Resal+('2020'!Salim-'2020'!Resal)*(1-EXP(('2020'!Tnet-t)/('2020'!Tau_j))),Resal+(Salim-Resal)*(1-EXP((Tnet-t)/(Tau_j))))*Salcycl</f>
        <v>2.2821820912705622E-2</v>
      </c>
      <c r="P268" s="169">
        <f>(INDEX(Models!$BJ268:$BT268,,T268)*(1-R268)+INDEX(Models!$BJ268:$BT268,,T268+1)*R268-ERP_i)*Q268*Ramure*Pc/MaxiM</f>
        <v>4.9909022241843284E-4</v>
      </c>
      <c r="Q268" s="305">
        <f t="shared" si="77"/>
        <v>0.7</v>
      </c>
      <c r="R268" s="177">
        <f t="shared" si="78"/>
        <v>0.98947623891394376</v>
      </c>
      <c r="S268" s="919">
        <f t="shared" si="79"/>
        <v>-1</v>
      </c>
      <c r="T268" s="176">
        <f t="shared" si="80"/>
        <v>5</v>
      </c>
      <c r="U268" s="251">
        <f t="shared" si="81"/>
        <v>-1.0523761086056183E-2</v>
      </c>
      <c r="V268" s="383">
        <f t="shared" si="82"/>
        <v>47.187181843744597</v>
      </c>
      <c r="W268" s="402"/>
      <c r="X268" s="157">
        <f t="shared" si="83"/>
        <v>44450</v>
      </c>
      <c r="Y268" s="385">
        <f t="shared" si="84"/>
        <v>33.988023750668845</v>
      </c>
      <c r="Z268" s="385">
        <f t="shared" si="85"/>
        <v>34.898536950387054</v>
      </c>
      <c r="AA268" s="386">
        <f t="shared" si="86"/>
        <v>38.479186946770326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9.3054200997971098E-2</v>
      </c>
      <c r="AD268" s="231">
        <f>(INDEX(Models!$BJ268:$BT268,,AH268)*(1-AF268)+INDEX(Models!$BJ268:$BT268,,AH268+1)*AF268-ERP_i)*AE268*Ramure*Pc/MaxiM</f>
        <v>4.9909022241843284E-4</v>
      </c>
      <c r="AE268" s="305">
        <f t="shared" si="88"/>
        <v>0.7</v>
      </c>
      <c r="AF268" s="177">
        <f t="shared" si="89"/>
        <v>0.98947623891394376</v>
      </c>
      <c r="AG268" s="919">
        <f t="shared" si="95"/>
        <v>-1</v>
      </c>
      <c r="AH268" s="176">
        <f t="shared" si="90"/>
        <v>5</v>
      </c>
      <c r="AI268" s="225">
        <f t="shared" si="91"/>
        <v>-1.0523761086056183E-2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8">
        <v>45.797000000000004</v>
      </c>
      <c r="C269" s="390"/>
      <c r="D269" s="393">
        <f t="shared" si="74"/>
        <v>47.024896620876646</v>
      </c>
      <c r="E269" s="385">
        <f t="shared" si="96"/>
        <v>48.127584604050945</v>
      </c>
      <c r="F269" s="385">
        <f t="shared" si="75"/>
        <v>48.151333349366546</v>
      </c>
      <c r="G269" s="110">
        <f t="shared" si="97"/>
        <v>0.9735917563127684</v>
      </c>
      <c r="H269" s="412" t="b">
        <f>Wh_hp&gt;='2020'!Maxi_hp</f>
        <v>0</v>
      </c>
      <c r="I269" s="380">
        <f>IF(H269,Wh_hp,'2020'!Maxi_hp)</f>
        <v>49.547587041399964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2.6111628288652544E-2</v>
      </c>
      <c r="M269" s="957"/>
      <c r="N269" s="957"/>
      <c r="O269" s="48">
        <f>IF(t&lt;Tnet,'2020'!Resal+('2020'!Salim-'2020'!Resal)*(1-EXP(('2020'!Tnet-t)/('2020'!Tau_j))),Resal+(Salim-Resal)*(1-EXP((Tnet-t)/(Tau_j))))*Salcycl</f>
        <v>2.291176655230448E-2</v>
      </c>
      <c r="P269" s="169">
        <f>(INDEX(Models!$BJ269:$BT269,,T269)*(1-R269)+INDEX(Models!$BJ269:$BT269,,T269+1)*R269-ERP_i)*Q269*Ramure*Pc/MaxiM</f>
        <v>5.1253259999519893E-4</v>
      </c>
      <c r="Q269" s="305">
        <f t="shared" si="77"/>
        <v>0.7</v>
      </c>
      <c r="R269" s="177">
        <f t="shared" si="78"/>
        <v>0.98989925329553086</v>
      </c>
      <c r="S269" s="919">
        <f t="shared" si="79"/>
        <v>-1</v>
      </c>
      <c r="T269" s="176">
        <f t="shared" si="80"/>
        <v>5</v>
      </c>
      <c r="U269" s="251">
        <f t="shared" si="81"/>
        <v>-1.0100746704469199E-2</v>
      </c>
      <c r="V269" s="383">
        <f t="shared" si="82"/>
        <v>47.038313927995091</v>
      </c>
      <c r="W269" s="402"/>
      <c r="X269" s="157">
        <f t="shared" si="83"/>
        <v>44451</v>
      </c>
      <c r="Y269" s="385">
        <f t="shared" si="84"/>
        <v>42.508708391416491</v>
      </c>
      <c r="Z269" s="385">
        <f t="shared" si="85"/>
        <v>43.648440238298406</v>
      </c>
      <c r="AA269" s="386">
        <f t="shared" si="86"/>
        <v>48.127584604050945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9.3068131355495562E-2</v>
      </c>
      <c r="AD269" s="231">
        <f>(INDEX(Models!$BJ269:$BT269,,AH269)*(1-AF269)+INDEX(Models!$BJ269:$BT269,,AH269+1)*AF269-ERP_i)*AE269*Ramure*Pc/MaxiM</f>
        <v>5.1253259999519893E-4</v>
      </c>
      <c r="AE269" s="305">
        <f t="shared" si="88"/>
        <v>0.7</v>
      </c>
      <c r="AF269" s="177">
        <f t="shared" si="89"/>
        <v>0.98989925329553086</v>
      </c>
      <c r="AG269" s="919">
        <f t="shared" si="95"/>
        <v>-1</v>
      </c>
      <c r="AH269" s="176">
        <f t="shared" si="90"/>
        <v>5</v>
      </c>
      <c r="AI269" s="225">
        <f t="shared" si="91"/>
        <v>-1.0100746704469199E-2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8">
        <v>33.241999999999997</v>
      </c>
      <c r="C270" s="390"/>
      <c r="D270" s="393">
        <f t="shared" si="74"/>
        <v>34.134023022212958</v>
      </c>
      <c r="E270" s="385">
        <f t="shared" si="96"/>
        <v>34.93763847493846</v>
      </c>
      <c r="F270" s="385">
        <f t="shared" si="75"/>
        <v>34.948400123087922</v>
      </c>
      <c r="G270" s="110">
        <f t="shared" si="97"/>
        <v>0.7088438582431561</v>
      </c>
      <c r="H270" s="412" t="b">
        <f>Wh_hp&gt;='2020'!Maxi_hp</f>
        <v>0</v>
      </c>
      <c r="I270" s="380">
        <f>IF(H270,Wh_hp,'2020'!Maxi_hp)</f>
        <v>47.552887947991515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2.6132958943411722E-2</v>
      </c>
      <c r="M270" s="957"/>
      <c r="N270" s="957"/>
      <c r="O270" s="48">
        <f>IF(t&lt;Tnet,'2020'!Resal+('2020'!Salim-'2020'!Resal)*(1-EXP(('2020'!Tnet-t)/('2020'!Tau_j))),Resal+(Salim-Resal)*(1-EXP((Tnet-t)/(Tau_j))))*Salcycl</f>
        <v>2.300142447526762E-2</v>
      </c>
      <c r="P270" s="169">
        <f>(INDEX(Models!$BJ270:$BT270,,T270)*(1-R270)+INDEX(Models!$BJ270:$BT270,,T270+1)*R270-ERP_i)*Q270*Ramure*Pc/MaxiM</f>
        <v>5.2701991603955865E-4</v>
      </c>
      <c r="Q270" s="305">
        <f t="shared" si="77"/>
        <v>0.7</v>
      </c>
      <c r="R270" s="177">
        <f t="shared" si="78"/>
        <v>0.99030592312374088</v>
      </c>
      <c r="S270" s="919">
        <f t="shared" si="79"/>
        <v>-1</v>
      </c>
      <c r="T270" s="176">
        <f t="shared" si="80"/>
        <v>5</v>
      </c>
      <c r="U270" s="251">
        <f t="shared" si="81"/>
        <v>-9.6940768762591167E-3</v>
      </c>
      <c r="V270" s="383">
        <f t="shared" si="82"/>
        <v>46.885804780702586</v>
      </c>
      <c r="W270" s="402"/>
      <c r="X270" s="157">
        <f t="shared" si="83"/>
        <v>44452</v>
      </c>
      <c r="Y270" s="385">
        <f t="shared" si="84"/>
        <v>30.857558034622262</v>
      </c>
      <c r="Z270" s="385">
        <f t="shared" si="85"/>
        <v>31.685596425096829</v>
      </c>
      <c r="AA270" s="386">
        <f t="shared" si="86"/>
        <v>34.93763847493846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9.3081335539446752E-2</v>
      </c>
      <c r="AD270" s="231">
        <f>(INDEX(Models!$BJ270:$BT270,,AH270)*(1-AF270)+INDEX(Models!$BJ270:$BT270,,AH270+1)*AF270-ERP_i)*AE270*Ramure*Pc/MaxiM</f>
        <v>5.2701991603955865E-4</v>
      </c>
      <c r="AE270" s="305">
        <f t="shared" si="88"/>
        <v>0.7</v>
      </c>
      <c r="AF270" s="177">
        <f t="shared" si="89"/>
        <v>0.99030592312374088</v>
      </c>
      <c r="AG270" s="919">
        <f t="shared" si="95"/>
        <v>-1</v>
      </c>
      <c r="AH270" s="176">
        <f t="shared" si="90"/>
        <v>5</v>
      </c>
      <c r="AI270" s="225">
        <f t="shared" si="91"/>
        <v>-9.6940768762591167E-3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8">
        <v>19.981000000000002</v>
      </c>
      <c r="C271" s="390"/>
      <c r="D271" s="393">
        <f t="shared" ref="D271:D334" si="98">Wh/(1-Ppv)</f>
        <v>20.51762386689537</v>
      </c>
      <c r="E271" s="385">
        <f t="shared" si="96"/>
        <v>21.002590183848376</v>
      </c>
      <c r="F271" s="385">
        <f t="shared" ref="F271:F334" si="99">Wh_sa/(1-Pvg*MEDIAN((-Sdif+Wh/Env_an)/Csdif,0,1))</f>
        <v>21.004667410514141</v>
      </c>
      <c r="G271" s="110">
        <f t="shared" si="97"/>
        <v>0.42740024076342009</v>
      </c>
      <c r="H271" s="412" t="b">
        <f>Wh_hp&gt;='2020'!Maxi_hp</f>
        <v>0</v>
      </c>
      <c r="I271" s="380">
        <f>IF(H271,Wh_hp,'2020'!Maxi_hp)</f>
        <v>47.223329847400791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2.6154289130974728E-2</v>
      </c>
      <c r="M271" s="957"/>
      <c r="N271" s="957"/>
      <c r="O271" s="48">
        <f>IF(t&lt;Tnet,'2020'!Resal+('2020'!Salim-'2020'!Resal)*(1-EXP(('2020'!Tnet-t)/('2020'!Tau_j))),Resal+(Salim-Resal)*(1-EXP((Tnet-t)/(Tau_j))))*Salcycl</f>
        <v>2.3090786074850791E-2</v>
      </c>
      <c r="P271" s="169">
        <f>(INDEX(Models!$BJ271:$BT271,,T271)*(1-R271)+INDEX(Models!$BJ271:$BT271,,T271+1)*R271-ERP_i)*Q271*Ramure*Pc/MaxiM</f>
        <v>5.4256227311459757E-4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0.9906968538281764</v>
      </c>
      <c r="S271" s="919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-9.3031461718235398E-3</v>
      </c>
      <c r="V271" s="383">
        <f t="shared" ref="V271:V334" si="106">MaxiM*(1-Ppv)*(1-Pvg)*(1-Psa)</f>
        <v>46.729347047884886</v>
      </c>
      <c r="W271" s="402"/>
      <c r="X271" s="157">
        <f t="shared" ref="X271:X334" si="107">t</f>
        <v>44453</v>
      </c>
      <c r="Y271" s="385">
        <f t="shared" ref="Y271:Y334" si="108">Wh_pvt_s*(1-Ppv)</f>
        <v>18.549208873456298</v>
      </c>
      <c r="Z271" s="385">
        <f t="shared" ref="Z271:Z334" si="109">Wh_sa_s*(1-Psa_s)</f>
        <v>19.047379545270722</v>
      </c>
      <c r="AA271" s="386">
        <f t="shared" ref="AA271:AA334" si="110">Wh_hp*(1-Pvg_s*MEDIAN((-Sdif+Wh/Env_an)/Csdif,0,1))</f>
        <v>21.002590183848376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9.3093786121736036E-2</v>
      </c>
      <c r="AD271" s="231">
        <f>(INDEX(Models!$BJ271:$BT271,,AH271)*(1-AF271)+INDEX(Models!$BJ271:$BT271,,AH271+1)*AF271-ERP_i)*AE271*Ramure*Pc/MaxiM</f>
        <v>5.4256227311459757E-4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0.9906968538281764</v>
      </c>
      <c r="AG271" s="919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-9.3031461718235398E-3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8">
        <v>28.574999999999999</v>
      </c>
      <c r="C272" s="390"/>
      <c r="D272" s="393">
        <f t="shared" si="98"/>
        <v>29.343073097322879</v>
      </c>
      <c r="E272" s="385">
        <f t="shared" si="96"/>
        <v>30.039381220711491</v>
      </c>
      <c r="F272" s="385">
        <f t="shared" si="99"/>
        <v>30.046908470686386</v>
      </c>
      <c r="G272" s="110">
        <f t="shared" si="97"/>
        <v>0.61342100550549261</v>
      </c>
      <c r="H272" s="412" t="b">
        <f>Wh_hp&gt;='2020'!Maxi_hp</f>
        <v>0</v>
      </c>
      <c r="I272" s="380">
        <f>IF(H272,Wh_hp,'2020'!Maxi_hp)</f>
        <v>48.01660304214726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2.6175618851351889E-2</v>
      </c>
      <c r="M272" s="957"/>
      <c r="N272" s="957"/>
      <c r="O272" s="48">
        <f>IF(t&lt;Tnet,'2020'!Resal+('2020'!Salim-'2020'!Resal)*(1-EXP(('2020'!Tnet-t)/('2020'!Tau_j))),Resal+(Salim-Resal)*(1-EXP((Tnet-t)/(Tau_j))))*Salcycl</f>
        <v>2.3179842429927284E-2</v>
      </c>
      <c r="P272" s="169">
        <f>(INDEX(Models!$BJ272:$BT272,,T272)*(1-R272)+INDEX(Models!$BJ272:$BT272,,T272+1)*R272-ERP_i)*Q272*Ramure*Pc/MaxiM</f>
        <v>5.5917025962403722E-4</v>
      </c>
      <c r="Q272" s="305">
        <f t="shared" si="101"/>
        <v>0.7</v>
      </c>
      <c r="R272" s="177">
        <f t="shared" si="102"/>
        <v>0.99107263043807459</v>
      </c>
      <c r="S272" s="919">
        <f t="shared" si="103"/>
        <v>-1</v>
      </c>
      <c r="T272" s="176">
        <f t="shared" si="104"/>
        <v>5</v>
      </c>
      <c r="U272" s="251">
        <f t="shared" si="105"/>
        <v>-8.9273695619254689E-3</v>
      </c>
      <c r="V272" s="383">
        <f t="shared" si="106"/>
        <v>46.568633541779839</v>
      </c>
      <c r="W272" s="402"/>
      <c r="X272" s="157">
        <f t="shared" si="107"/>
        <v>44454</v>
      </c>
      <c r="Y272" s="385">
        <f t="shared" si="108"/>
        <v>26.529460339612672</v>
      </c>
      <c r="Z272" s="385">
        <f t="shared" si="109"/>
        <v>27.242550970351111</v>
      </c>
      <c r="AA272" s="386">
        <f t="shared" si="110"/>
        <v>30.039381220711491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9.3105454796519785E-2</v>
      </c>
      <c r="AD272" s="231">
        <f>(INDEX(Models!$BJ272:$BT272,,AH272)*(1-AF272)+INDEX(Models!$BJ272:$BT272,,AH272+1)*AF272-ERP_i)*AE272*Ramure*Pc/MaxiM</f>
        <v>5.5917025962403722E-4</v>
      </c>
      <c r="AE272" s="305">
        <f t="shared" si="112"/>
        <v>0.7</v>
      </c>
      <c r="AF272" s="177">
        <f t="shared" si="113"/>
        <v>0.99107263043807459</v>
      </c>
      <c r="AG272" s="919">
        <f t="shared" ref="AG272:AG335" si="119">INDEX(Echel_vg,AH272)</f>
        <v>-1</v>
      </c>
      <c r="AH272" s="176">
        <f t="shared" si="114"/>
        <v>5</v>
      </c>
      <c r="AI272" s="225">
        <f t="shared" si="115"/>
        <v>-8.9273695619254689E-3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8">
        <v>22.664999999999999</v>
      </c>
      <c r="C273" s="390"/>
      <c r="D273" s="393">
        <f t="shared" si="98"/>
        <v>23.274726810399699</v>
      </c>
      <c r="E273" s="385">
        <f t="shared" si="96"/>
        <v>23.829198525423703</v>
      </c>
      <c r="F273" s="385">
        <f t="shared" si="99"/>
        <v>23.832899413071942</v>
      </c>
      <c r="G273" s="110">
        <f t="shared" si="97"/>
        <v>0.48822854577119718</v>
      </c>
      <c r="H273" s="412" t="b">
        <f>Wh_hp&gt;='2020'!Maxi_hp</f>
        <v>0</v>
      </c>
      <c r="I273" s="380">
        <f>IF(H273,Wh_hp,'2020'!Maxi_hp)</f>
        <v>47.259197332077989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2.6196948104553419E-2</v>
      </c>
      <c r="M273" s="957"/>
      <c r="N273" s="957"/>
      <c r="O273" s="48">
        <f>IF(t&lt;Tnet,'2020'!Resal+('2020'!Salim-'2020'!Resal)*(1-EXP(('2020'!Tnet-t)/('2020'!Tau_j))),Resal+(Salim-Resal)*(1-EXP((Tnet-t)/(Tau_j))))*Salcycl</f>
        <v>2.3268584314005806E-2</v>
      </c>
      <c r="P273" s="169">
        <f>(INDEX(Models!$BJ273:$BT273,,T273)*(1-R273)+INDEX(Models!$BJ273:$BT273,,T273+1)*R273-ERP_i)*Q273*Ramure*Pc/MaxiM</f>
        <v>5.7685501269656822E-4</v>
      </c>
      <c r="Q273" s="305">
        <f t="shared" si="101"/>
        <v>0.7</v>
      </c>
      <c r="R273" s="177">
        <f t="shared" si="102"/>
        <v>0.99143381810997022</v>
      </c>
      <c r="S273" s="919">
        <f t="shared" si="103"/>
        <v>-1</v>
      </c>
      <c r="T273" s="176">
        <f t="shared" si="104"/>
        <v>5</v>
      </c>
      <c r="U273" s="251">
        <f t="shared" si="105"/>
        <v>-8.5661818900298337E-3</v>
      </c>
      <c r="V273" s="383">
        <f t="shared" si="106"/>
        <v>46.403357247336089</v>
      </c>
      <c r="W273" s="402"/>
      <c r="X273" s="157">
        <f t="shared" si="107"/>
        <v>44455</v>
      </c>
      <c r="Y273" s="385">
        <f t="shared" si="108"/>
        <v>21.044187223480197</v>
      </c>
      <c r="Z273" s="385">
        <f t="shared" si="109"/>
        <v>21.61031143054954</v>
      </c>
      <c r="AA273" s="386">
        <f t="shared" si="110"/>
        <v>23.829198525423703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9.3116312431020254E-2</v>
      </c>
      <c r="AD273" s="231">
        <f>(INDEX(Models!$BJ273:$BT273,,AH273)*(1-AF273)+INDEX(Models!$BJ273:$BT273,,AH273+1)*AF273-ERP_i)*AE273*Ramure*Pc/MaxiM</f>
        <v>5.7685501269656822E-4</v>
      </c>
      <c r="AE273" s="305">
        <f t="shared" si="112"/>
        <v>0.7</v>
      </c>
      <c r="AF273" s="177">
        <f t="shared" si="113"/>
        <v>0.99143381810997022</v>
      </c>
      <c r="AG273" s="919">
        <f t="shared" si="119"/>
        <v>-1</v>
      </c>
      <c r="AH273" s="176">
        <f t="shared" si="114"/>
        <v>5</v>
      </c>
      <c r="AI273" s="225">
        <f t="shared" si="115"/>
        <v>-8.5661818900298337E-3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8">
        <v>42.658999999999999</v>
      </c>
      <c r="C274" s="390"/>
      <c r="D274" s="393">
        <f t="shared" si="98"/>
        <v>43.80755870400229</v>
      </c>
      <c r="E274" s="385">
        <f t="shared" si="96"/>
        <v>44.855242706966898</v>
      </c>
      <c r="F274" s="385">
        <f t="shared" si="99"/>
        <v>44.879021714590237</v>
      </c>
      <c r="G274" s="110">
        <f t="shared" si="97"/>
        <v>0.92263096441684267</v>
      </c>
      <c r="H274" s="412" t="b">
        <f>Wh_hp&gt;='2020'!Maxi_hp</f>
        <v>0</v>
      </c>
      <c r="I274" s="380">
        <f>IF(H274,Wh_hp,'2020'!Maxi_hp)</f>
        <v>45.090850708314242</v>
      </c>
      <c r="J274" s="85">
        <f>IF(H274,An,'2020'!An_max)</f>
        <v>2018</v>
      </c>
      <c r="K274" s="197">
        <f t="shared" si="100"/>
        <v>44456</v>
      </c>
      <c r="L274" s="147">
        <f>IF(t&lt;Tvie,1-EXP((T0-t)*PertePVj)+'2020'!Pspv,1-EXP((T0-t)*PertePVj)+Pspv)</f>
        <v>2.6218276890589531E-2</v>
      </c>
      <c r="M274" s="957"/>
      <c r="N274" s="957"/>
      <c r="O274" s="48">
        <f>IF(t&lt;Tnet,'2020'!Resal+('2020'!Salim-'2020'!Resal)*(1-EXP(('2020'!Tnet-t)/('2020'!Tau_j))),Resal+(Salim-Resal)*(1-EXP((Tnet-t)/(Tau_j))))*Salcycl</f>
        <v>2.335700220839251E-2</v>
      </c>
      <c r="P274" s="169">
        <f>(INDEX(Models!$BJ274:$BT274,,T274)*(1-R274)+INDEX(Models!$BJ274:$BT274,,T274+1)*R274-ERP_i)*Q274*Ramure*Pc/MaxiM</f>
        <v>5.9562828454107317E-4</v>
      </c>
      <c r="Q274" s="305">
        <f t="shared" si="101"/>
        <v>0.7</v>
      </c>
      <c r="R274" s="177">
        <f t="shared" si="102"/>
        <v>0.99178096265506843</v>
      </c>
      <c r="S274" s="919">
        <f t="shared" si="103"/>
        <v>-1</v>
      </c>
      <c r="T274" s="176">
        <f t="shared" si="104"/>
        <v>5</v>
      </c>
      <c r="U274" s="251">
        <f t="shared" si="105"/>
        <v>-8.2190373449315124E-3</v>
      </c>
      <c r="V274" s="383">
        <f t="shared" si="106"/>
        <v>46.233211312700497</v>
      </c>
      <c r="W274" s="402"/>
      <c r="X274" s="157">
        <f t="shared" si="107"/>
        <v>44456</v>
      </c>
      <c r="Y274" s="385">
        <f t="shared" si="108"/>
        <v>39.611530531677886</v>
      </c>
      <c r="Z274" s="385">
        <f t="shared" si="109"/>
        <v>40.67803861135652</v>
      </c>
      <c r="AA274" s="386">
        <f t="shared" si="110"/>
        <v>44.855242706966898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9.3126329131679828E-2</v>
      </c>
      <c r="AD274" s="231">
        <f>(INDEX(Models!$BJ274:$BT274,,AH274)*(1-AF274)+INDEX(Models!$BJ274:$BT274,,AH274+1)*AF274-ERP_i)*AE274*Ramure*Pc/MaxiM</f>
        <v>5.9562828454107317E-4</v>
      </c>
      <c r="AE274" s="305">
        <f t="shared" si="112"/>
        <v>0.7</v>
      </c>
      <c r="AF274" s="177">
        <f t="shared" si="113"/>
        <v>0.99178096265506843</v>
      </c>
      <c r="AG274" s="919">
        <f t="shared" si="119"/>
        <v>-1</v>
      </c>
      <c r="AH274" s="176">
        <f t="shared" si="114"/>
        <v>5</v>
      </c>
      <c r="AI274" s="225">
        <f t="shared" si="115"/>
        <v>-8.2190373449315124E-3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8">
        <v>7.9050000000000002</v>
      </c>
      <c r="C275" s="390"/>
      <c r="D275" s="393">
        <f t="shared" si="98"/>
        <v>8.1180134684985674</v>
      </c>
      <c r="E275" s="385">
        <f t="shared" si="96"/>
        <v>8.3129103696840225</v>
      </c>
      <c r="F275" s="385">
        <f t="shared" si="99"/>
        <v>8.3129103696840225</v>
      </c>
      <c r="G275" s="110">
        <f t="shared" si="97"/>
        <v>0.17152387224725027</v>
      </c>
      <c r="H275" s="412" t="b">
        <f>Wh_hp&gt;='2020'!Maxi_hp</f>
        <v>0</v>
      </c>
      <c r="I275" s="380">
        <f>IF(H275,Wh_hp,'2020'!Maxi_hp)</f>
        <v>43.498795639954182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2.6239605209470551E-2</v>
      </c>
      <c r="M275" s="957"/>
      <c r="N275" s="957"/>
      <c r="O275" s="48">
        <f>IF(t&lt;Tnet,'2020'!Resal+('2020'!Salim-'2020'!Resal)*(1-EXP(('2020'!Tnet-t)/('2020'!Tau_j))),Resal+(Salim-Resal)*(1-EXP((Tnet-t)/(Tau_j))))*Salcycl</f>
        <v>2.3445086319734135E-2</v>
      </c>
      <c r="P275" s="169">
        <f>(INDEX(Models!$BJ275:$BT275,,T275)*(1-R275)+INDEX(Models!$BJ275:$BT275,,T275+1)*R275-ERP_i)*Q275*Ramure*Pc/MaxiM</f>
        <v>6.1549417812387379E-4</v>
      </c>
      <c r="Q275" s="305">
        <f t="shared" si="101"/>
        <v>0.7</v>
      </c>
      <c r="R275" s="177">
        <f t="shared" si="102"/>
        <v>0.99211459106492628</v>
      </c>
      <c r="S275" s="919">
        <f t="shared" si="103"/>
        <v>-1</v>
      </c>
      <c r="T275" s="176">
        <f t="shared" si="104"/>
        <v>5</v>
      </c>
      <c r="U275" s="251">
        <f t="shared" si="105"/>
        <v>-7.8854089350736678E-3</v>
      </c>
      <c r="V275" s="383">
        <f t="shared" si="106"/>
        <v>46.058513109673449</v>
      </c>
      <c r="W275" s="402"/>
      <c r="X275" s="157">
        <f t="shared" si="107"/>
        <v>44457</v>
      </c>
      <c r="Y275" s="385">
        <f t="shared" si="108"/>
        <v>7.3408714400248272</v>
      </c>
      <c r="Z275" s="385">
        <f t="shared" si="109"/>
        <v>7.5386835193722979</v>
      </c>
      <c r="AA275" s="386">
        <f t="shared" si="110"/>
        <v>8.3129103696840225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9.3135474326201936E-2</v>
      </c>
      <c r="AD275" s="231">
        <f>(INDEX(Models!$BJ275:$BT275,,AH275)*(1-AF275)+INDEX(Models!$BJ275:$BT275,,AH275+1)*AF275-ERP_i)*AE275*Ramure*Pc/MaxiM</f>
        <v>6.1549417812387379E-4</v>
      </c>
      <c r="AE275" s="305">
        <f t="shared" si="112"/>
        <v>0.7</v>
      </c>
      <c r="AF275" s="177">
        <f t="shared" si="113"/>
        <v>0.99211459106492628</v>
      </c>
      <c r="AG275" s="919">
        <f t="shared" si="119"/>
        <v>-1</v>
      </c>
      <c r="AH275" s="176">
        <f t="shared" si="114"/>
        <v>5</v>
      </c>
      <c r="AI275" s="225">
        <f t="shared" si="115"/>
        <v>-7.8854089350736678E-3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8">
        <v>29.126999999999999</v>
      </c>
      <c r="C276" s="390"/>
      <c r="D276" s="393">
        <f t="shared" si="98"/>
        <v>29.912530973588684</v>
      </c>
      <c r="E276" s="385">
        <f t="shared" si="96"/>
        <v>30.633421981304842</v>
      </c>
      <c r="F276" s="385">
        <f t="shared" si="99"/>
        <v>30.64276530942087</v>
      </c>
      <c r="G276" s="110">
        <f t="shared" si="97"/>
        <v>0.63464357233811564</v>
      </c>
      <c r="H276" s="412" t="b">
        <f>Wh_hp&gt;='2020'!Maxi_hp</f>
        <v>0</v>
      </c>
      <c r="I276" s="380">
        <f>IF(H276,Wh_hp,'2020'!Maxi_hp)</f>
        <v>42.121990012430572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2.6260933061206693E-2</v>
      </c>
      <c r="M276" s="957"/>
      <c r="N276" s="957"/>
      <c r="O276" s="48">
        <f>IF(t&lt;Tnet,'2020'!Resal+('2020'!Salim-'2020'!Resal)*(1-EXP(('2020'!Tnet-t)/('2020'!Tau_j))),Resal+(Salim-Resal)*(1-EXP((Tnet-t)/(Tau_j))))*Salcycl</f>
        <v>2.3532826602137659E-2</v>
      </c>
      <c r="P276" s="169">
        <f>(INDEX(Models!$BJ276:$BT276,,T276)*(1-R276)+INDEX(Models!$BJ276:$BT276,,T276+1)*R276-ERP_i)*Q276*Ramure*Pc/MaxiM</f>
        <v>6.3740469551596475E-4</v>
      </c>
      <c r="Q276" s="305">
        <f t="shared" si="101"/>
        <v>0.7</v>
      </c>
      <c r="R276" s="177">
        <f t="shared" si="102"/>
        <v>0.99243521203418794</v>
      </c>
      <c r="S276" s="919">
        <f t="shared" si="103"/>
        <v>-1</v>
      </c>
      <c r="T276" s="176">
        <f t="shared" si="104"/>
        <v>5</v>
      </c>
      <c r="U276" s="251">
        <f t="shared" si="105"/>
        <v>-7.5647879658120587E-3</v>
      </c>
      <c r="V276" s="383">
        <f t="shared" si="106"/>
        <v>45.879787935687304</v>
      </c>
      <c r="W276" s="402"/>
      <c r="X276" s="157">
        <f t="shared" si="107"/>
        <v>44458</v>
      </c>
      <c r="Y276" s="385">
        <f t="shared" si="108"/>
        <v>27.050579557170931</v>
      </c>
      <c r="Z276" s="385">
        <f t="shared" si="109"/>
        <v>27.780111197768406</v>
      </c>
      <c r="AA276" s="386">
        <f t="shared" si="110"/>
        <v>30.633421981304842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9.3143716861856796E-2</v>
      </c>
      <c r="AD276" s="231">
        <f>(INDEX(Models!$BJ276:$BT276,,AH276)*(1-AF276)+INDEX(Models!$BJ276:$BT276,,AH276+1)*AF276-ERP_i)*AE276*Ramure*Pc/MaxiM</f>
        <v>6.3740469551596475E-4</v>
      </c>
      <c r="AE276" s="305">
        <f t="shared" si="112"/>
        <v>0.7</v>
      </c>
      <c r="AF276" s="177">
        <f t="shared" si="113"/>
        <v>0.99243521203418794</v>
      </c>
      <c r="AG276" s="919">
        <f t="shared" si="119"/>
        <v>-1</v>
      </c>
      <c r="AH276" s="176">
        <f t="shared" si="114"/>
        <v>5</v>
      </c>
      <c r="AI276" s="225">
        <f t="shared" si="115"/>
        <v>-7.5647879658120587E-3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8">
        <v>30.381</v>
      </c>
      <c r="C277" s="390"/>
      <c r="D277" s="393">
        <f t="shared" si="98"/>
        <v>31.201033693716695</v>
      </c>
      <c r="E277" s="385">
        <f t="shared" si="96"/>
        <v>31.955837372138067</v>
      </c>
      <c r="F277" s="385">
        <f t="shared" si="99"/>
        <v>31.966847473125533</v>
      </c>
      <c r="G277" s="110">
        <f t="shared" si="97"/>
        <v>0.66462342153255027</v>
      </c>
      <c r="H277" s="412" t="b">
        <f>Wh_hp&gt;='2020'!Maxi_hp</f>
        <v>0</v>
      </c>
      <c r="I277" s="380">
        <f>IF(H277,Wh_hp,'2020'!Maxi_hp)</f>
        <v>46.992391841113573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2.6282260445808059E-2</v>
      </c>
      <c r="M277" s="957"/>
      <c r="N277" s="957"/>
      <c r="O277" s="48">
        <f>IF(t&lt;Tnet,'2020'!Resal+('2020'!Salim-'2020'!Resal)*(1-EXP(('2020'!Tnet-t)/('2020'!Tau_j))),Resal+(Salim-Resal)*(1-EXP((Tnet-t)/(Tau_j))))*Salcycl</f>
        <v>2.3620212784017842E-2</v>
      </c>
      <c r="P277" s="169">
        <f>(INDEX(Models!$BJ277:$BT277,,T277)*(1-R277)+INDEX(Models!$BJ277:$BT277,,T277+1)*R277-ERP_i)*Q277*Ramure*Pc/MaxiM</f>
        <v>6.6083707291567258E-4</v>
      </c>
      <c r="Q277" s="305">
        <f t="shared" si="101"/>
        <v>0.7</v>
      </c>
      <c r="R277" s="177">
        <f t="shared" si="102"/>
        <v>0.99274331647924674</v>
      </c>
      <c r="S277" s="919">
        <f t="shared" si="103"/>
        <v>-1</v>
      </c>
      <c r="T277" s="176">
        <f t="shared" si="104"/>
        <v>5</v>
      </c>
      <c r="U277" s="251">
        <f t="shared" si="105"/>
        <v>-7.2566835207533154E-3</v>
      </c>
      <c r="V277" s="383">
        <f t="shared" si="106"/>
        <v>45.697131205888226</v>
      </c>
      <c r="W277" s="402"/>
      <c r="X277" s="157">
        <f t="shared" si="107"/>
        <v>44459</v>
      </c>
      <c r="Y277" s="385">
        <f t="shared" si="108"/>
        <v>28.217481626058436</v>
      </c>
      <c r="Z277" s="385">
        <f t="shared" si="109"/>
        <v>28.979118362347553</v>
      </c>
      <c r="AA277" s="386">
        <f t="shared" si="110"/>
        <v>31.955837372138067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9.3151025120245562E-2</v>
      </c>
      <c r="AD277" s="231">
        <f>(INDEX(Models!$BJ277:$BT277,,AH277)*(1-AF277)+INDEX(Models!$BJ277:$BT277,,AH277+1)*AF277-ERP_i)*AE277*Ramure*Pc/MaxiM</f>
        <v>6.6083707291567258E-4</v>
      </c>
      <c r="AE277" s="305">
        <f t="shared" si="112"/>
        <v>0.7</v>
      </c>
      <c r="AF277" s="177">
        <f t="shared" si="113"/>
        <v>0.99274331647924674</v>
      </c>
      <c r="AG277" s="919">
        <f t="shared" si="119"/>
        <v>-1</v>
      </c>
      <c r="AH277" s="176">
        <f t="shared" si="114"/>
        <v>5</v>
      </c>
      <c r="AI277" s="225">
        <f t="shared" si="115"/>
        <v>-7.2566835207533154E-3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8">
        <v>13.3</v>
      </c>
      <c r="C278" s="390"/>
      <c r="D278" s="393">
        <f t="shared" si="98"/>
        <v>13.659288282663331</v>
      </c>
      <c r="E278" s="385">
        <f t="shared" si="96"/>
        <v>13.990975621196588</v>
      </c>
      <c r="F278" s="385">
        <f t="shared" si="99"/>
        <v>13.990975621196588</v>
      </c>
      <c r="G278" s="110">
        <f t="shared" si="97"/>
        <v>0.29203910394097787</v>
      </c>
      <c r="H278" s="412" t="b">
        <f>Wh_hp&gt;='2020'!Maxi_hp</f>
        <v>0</v>
      </c>
      <c r="I278" s="380">
        <f>IF(H278,Wh_hp,'2020'!Maxi_hp)</f>
        <v>34.570937857482065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2.6303587363284975E-2</v>
      </c>
      <c r="M278" s="957"/>
      <c r="N278" s="957"/>
      <c r="O278" s="48">
        <f>IF(t&lt;Tnet,'2020'!Resal+('2020'!Salim-'2020'!Resal)*(1-EXP(('2020'!Tnet-t)/('2020'!Tau_j))),Resal+(Salim-Resal)*(1-EXP((Tnet-t)/(Tau_j))))*Salcycl</f>
        <v>2.3707234399775848E-2</v>
      </c>
      <c r="P278" s="169">
        <f>(INDEX(Models!$BJ278:$BT278,,T278)*(1-R278)+INDEX(Models!$BJ278:$BT278,,T278+1)*R278-ERP_i)*Q278*Ramure*Pc/MaxiM</f>
        <v>6.8579986738384841E-4</v>
      </c>
      <c r="Q278" s="305">
        <f t="shared" si="101"/>
        <v>0.7</v>
      </c>
      <c r="R278" s="177">
        <f t="shared" si="102"/>
        <v>0.99303937805183429</v>
      </c>
      <c r="S278" s="919">
        <f t="shared" si="103"/>
        <v>-1</v>
      </c>
      <c r="T278" s="176">
        <f t="shared" si="104"/>
        <v>5</v>
      </c>
      <c r="U278" s="251">
        <f t="shared" si="105"/>
        <v>-6.9606219481656573E-3</v>
      </c>
      <c r="V278" s="383">
        <f t="shared" si="106"/>
        <v>45.510613758251807</v>
      </c>
      <c r="W278" s="402"/>
      <c r="X278" s="157">
        <f t="shared" si="107"/>
        <v>44460</v>
      </c>
      <c r="Y278" s="385">
        <f t="shared" si="108"/>
        <v>12.353883427077854</v>
      </c>
      <c r="Z278" s="385">
        <f t="shared" si="109"/>
        <v>12.687613168486708</v>
      </c>
      <c r="AA278" s="386">
        <f t="shared" si="110"/>
        <v>13.990975621196588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9.3157367148525516E-2</v>
      </c>
      <c r="AD278" s="231">
        <f>(INDEX(Models!$BJ278:$BT278,,AH278)*(1-AF278)+INDEX(Models!$BJ278:$BT278,,AH278+1)*AF278-ERP_i)*AE278*Ramure*Pc/MaxiM</f>
        <v>6.8579986738384841E-4</v>
      </c>
      <c r="AE278" s="305">
        <f t="shared" si="112"/>
        <v>0.7</v>
      </c>
      <c r="AF278" s="177">
        <f t="shared" si="113"/>
        <v>0.99303937805183429</v>
      </c>
      <c r="AG278" s="919">
        <f t="shared" si="119"/>
        <v>-1</v>
      </c>
      <c r="AH278" s="176">
        <f t="shared" si="114"/>
        <v>5</v>
      </c>
      <c r="AI278" s="225">
        <f t="shared" si="115"/>
        <v>-6.9606219481656573E-3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8">
        <v>44.347999999999999</v>
      </c>
      <c r="C279" s="390"/>
      <c r="D279" s="393">
        <f t="shared" si="98"/>
        <v>45.547021413170071</v>
      </c>
      <c r="E279" s="385">
        <f t="shared" si="96"/>
        <v>46.657176715636417</v>
      </c>
      <c r="F279" s="385">
        <f t="shared" si="99"/>
        <v>46.689414371662046</v>
      </c>
      <c r="G279" s="110">
        <f t="shared" si="97"/>
        <v>0.9785245214702939</v>
      </c>
      <c r="H279" s="412" t="b">
        <f>Wh_hp&gt;='2020'!Maxi_hp</f>
        <v>1</v>
      </c>
      <c r="I279" s="380">
        <f>IF(H279,Wh_hp,'2020'!Maxi_hp)</f>
        <v>46.689414371662046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2.6324913813647766E-2</v>
      </c>
      <c r="M279" s="957"/>
      <c r="N279" s="957"/>
      <c r="O279" s="48">
        <f>IF(t&lt;Tnet,'2020'!Resal+('2020'!Salim-'2020'!Resal)*(1-EXP(('2020'!Tnet-t)/('2020'!Tau_j))),Resal+(Salim-Resal)*(1-EXP((Tnet-t)/(Tau_j))))*Salcycl</f>
        <v>2.3793880826361542E-2</v>
      </c>
      <c r="P279" s="169">
        <f>(INDEX(Models!$BJ279:$BT279,,T279)*(1-R279)+INDEX(Models!$BJ279:$BT279,,T279+1)*R279-ERP_i)*Q279*Ramure*Pc/MaxiM</f>
        <v>7.1230146975908193E-4</v>
      </c>
      <c r="Q279" s="305">
        <f t="shared" si="101"/>
        <v>0.7</v>
      </c>
      <c r="R279" s="177">
        <f t="shared" si="102"/>
        <v>0.99332385364664444</v>
      </c>
      <c r="S279" s="919">
        <f t="shared" si="103"/>
        <v>-1</v>
      </c>
      <c r="T279" s="176">
        <f t="shared" si="104"/>
        <v>5</v>
      </c>
      <c r="U279" s="251">
        <f t="shared" si="105"/>
        <v>-6.6761463533555054E-3</v>
      </c>
      <c r="V279" s="383">
        <f t="shared" si="106"/>
        <v>45.320306432045719</v>
      </c>
      <c r="W279" s="402"/>
      <c r="X279" s="157">
        <f t="shared" si="107"/>
        <v>44461</v>
      </c>
      <c r="Y279" s="385">
        <f t="shared" si="108"/>
        <v>41.196648239798783</v>
      </c>
      <c r="Z279" s="385">
        <f t="shared" si="109"/>
        <v>42.310467654211017</v>
      </c>
      <c r="AA279" s="386">
        <f t="shared" si="110"/>
        <v>46.657176715636417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9.3162710806902846E-2</v>
      </c>
      <c r="AD279" s="231">
        <f>(INDEX(Models!$BJ279:$BT279,,AH279)*(1-AF279)+INDEX(Models!$BJ279:$BT279,,AH279+1)*AF279-ERP_i)*AE279*Ramure*Pc/MaxiM</f>
        <v>7.1230146975908193E-4</v>
      </c>
      <c r="AE279" s="305">
        <f t="shared" si="112"/>
        <v>0.7</v>
      </c>
      <c r="AF279" s="177">
        <f t="shared" si="113"/>
        <v>0.99332385364664444</v>
      </c>
      <c r="AG279" s="919">
        <f t="shared" si="119"/>
        <v>-1</v>
      </c>
      <c r="AH279" s="176">
        <f t="shared" si="114"/>
        <v>5</v>
      </c>
      <c r="AI279" s="225">
        <f t="shared" si="115"/>
        <v>-6.6761463533555054E-3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8">
        <v>39.003</v>
      </c>
      <c r="C280" s="390"/>
      <c r="D280" s="393">
        <f t="shared" si="98"/>
        <v>40.058387893314766</v>
      </c>
      <c r="E280" s="385">
        <f t="shared" si="96"/>
        <v>41.038390457171012</v>
      </c>
      <c r="F280" s="385">
        <f t="shared" si="99"/>
        <v>41.062898414155768</v>
      </c>
      <c r="G280" s="110">
        <f t="shared" si="97"/>
        <v>0.86418378065088641</v>
      </c>
      <c r="H280" s="412" t="b">
        <f>Wh_hp&gt;='2020'!Maxi_hp</f>
        <v>0</v>
      </c>
      <c r="I280" s="380">
        <f>IF(H280,Wh_hp,'2020'!Maxi_hp)</f>
        <v>46.242324699542912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2.6346239796906423E-2</v>
      </c>
      <c r="M280" s="957"/>
      <c r="N280" s="957"/>
      <c r="O280" s="48">
        <f>IF(t&lt;Tnet,'2020'!Resal+('2020'!Salim-'2020'!Resal)*(1-EXP(('2020'!Tnet-t)/('2020'!Tau_j))),Resal+(Salim-Resal)*(1-EXP((Tnet-t)/(Tau_j))))*Salcycl</f>
        <v>2.3880141324719082E-2</v>
      </c>
      <c r="P280" s="169">
        <f>(INDEX(Models!$BJ280:$BT280,,T280)*(1-R280)+INDEX(Models!$BJ280:$BT280,,T280+1)*R280-ERP_i)*Q280*Ramure*Pc/MaxiM</f>
        <v>7.40353991251364E-4</v>
      </c>
      <c r="Q280" s="305">
        <f t="shared" si="101"/>
        <v>0.7</v>
      </c>
      <c r="R280" s="177">
        <f t="shared" si="102"/>
        <v>0.99359718390220975</v>
      </c>
      <c r="S280" s="919">
        <f t="shared" si="103"/>
        <v>-1</v>
      </c>
      <c r="T280" s="176">
        <f t="shared" si="104"/>
        <v>5</v>
      </c>
      <c r="U280" s="251">
        <f t="shared" si="105"/>
        <v>-6.4028160977902537E-3</v>
      </c>
      <c r="V280" s="383">
        <f t="shared" si="106"/>
        <v>45.126279886309156</v>
      </c>
      <c r="W280" s="402"/>
      <c r="X280" s="157">
        <f t="shared" si="107"/>
        <v>44462</v>
      </c>
      <c r="Y280" s="385">
        <f t="shared" si="108"/>
        <v>36.234491339599131</v>
      </c>
      <c r="Z280" s="385">
        <f t="shared" si="109"/>
        <v>37.214965751316988</v>
      </c>
      <c r="AA280" s="386">
        <f t="shared" si="110"/>
        <v>41.038390457171012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9.3167023932000229E-2</v>
      </c>
      <c r="AD280" s="231">
        <f>(INDEX(Models!$BJ280:$BT280,,AH280)*(1-AF280)+INDEX(Models!$BJ280:$BT280,,AH280+1)*AF280-ERP_i)*AE280*Ramure*Pc/MaxiM</f>
        <v>7.40353991251364E-4</v>
      </c>
      <c r="AE280" s="305">
        <f t="shared" si="112"/>
        <v>0.7</v>
      </c>
      <c r="AF280" s="177">
        <f t="shared" si="113"/>
        <v>0.99359718390220975</v>
      </c>
      <c r="AG280" s="919">
        <f t="shared" si="119"/>
        <v>-1</v>
      </c>
      <c r="AH280" s="176">
        <f t="shared" si="114"/>
        <v>5</v>
      </c>
      <c r="AI280" s="225">
        <f t="shared" si="115"/>
        <v>-6.4028160977902537E-3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8">
        <v>40.210999999999999</v>
      </c>
      <c r="C281" s="390"/>
      <c r="D281" s="393">
        <f t="shared" si="98"/>
        <v>41.299979917914136</v>
      </c>
      <c r="E281" s="385">
        <f t="shared" si="96"/>
        <v>42.314079359044968</v>
      </c>
      <c r="F281" s="385">
        <f t="shared" si="99"/>
        <v>42.341790799167022</v>
      </c>
      <c r="G281" s="110">
        <f t="shared" si="97"/>
        <v>0.8948943065047521</v>
      </c>
      <c r="H281" s="412" t="b">
        <f>Wh_hp&gt;='2020'!Maxi_hp</f>
        <v>1</v>
      </c>
      <c r="I281" s="380">
        <f>IF(H281,Wh_hp,'2020'!Maxi_hp)</f>
        <v>42.341790799167022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2.6367565313071384E-2</v>
      </c>
      <c r="M281" s="957"/>
      <c r="N281" s="957"/>
      <c r="O281" s="48">
        <f>IF(t&lt;Tnet,'2020'!Resal+('2020'!Salim-'2020'!Resal)*(1-EXP(('2020'!Tnet-t)/('2020'!Tau_j))),Resal+(Salim-Resal)*(1-EXP((Tnet-t)/(Tau_j))))*Salcycl</f>
        <v>2.3966005086060234E-2</v>
      </c>
      <c r="P281" s="169">
        <f>(INDEX(Models!$BJ281:$BT281,,T281)*(1-R281)+INDEX(Models!$BJ281:$BT281,,T281+1)*R281-ERP_i)*Q281*Ramure*Pc/MaxiM</f>
        <v>7.6996785539469386E-4</v>
      </c>
      <c r="Q281" s="305">
        <f t="shared" si="101"/>
        <v>0.7</v>
      </c>
      <c r="R281" s="177">
        <f t="shared" si="102"/>
        <v>0.99385979369434585</v>
      </c>
      <c r="S281" s="919">
        <f t="shared" si="103"/>
        <v>-1</v>
      </c>
      <c r="T281" s="176">
        <f t="shared" si="104"/>
        <v>5</v>
      </c>
      <c r="U281" s="251">
        <f t="shared" si="105"/>
        <v>-6.1402063056542056E-3</v>
      </c>
      <c r="V281" s="383">
        <f t="shared" si="106"/>
        <v>44.928604852926618</v>
      </c>
      <c r="W281" s="402"/>
      <c r="X281" s="157">
        <f t="shared" si="107"/>
        <v>44463</v>
      </c>
      <c r="Y281" s="385">
        <f t="shared" si="108"/>
        <v>37.35989758704271</v>
      </c>
      <c r="Z281" s="385">
        <f t="shared" si="109"/>
        <v>38.371664969291807</v>
      </c>
      <c r="AA281" s="386">
        <f t="shared" si="110"/>
        <v>42.314079359044968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9.3170274515506829E-2</v>
      </c>
      <c r="AD281" s="231">
        <f>(INDEX(Models!$BJ281:$BT281,,AH281)*(1-AF281)+INDEX(Models!$BJ281:$BT281,,AH281+1)*AF281-ERP_i)*AE281*Ramure*Pc/MaxiM</f>
        <v>7.6996785539469386E-4</v>
      </c>
      <c r="AE281" s="305">
        <f t="shared" si="112"/>
        <v>0.7</v>
      </c>
      <c r="AF281" s="177">
        <f t="shared" si="113"/>
        <v>0.99385979369434585</v>
      </c>
      <c r="AG281" s="919">
        <f t="shared" si="119"/>
        <v>-1</v>
      </c>
      <c r="AH281" s="176">
        <f t="shared" si="114"/>
        <v>5</v>
      </c>
      <c r="AI281" s="225">
        <f t="shared" si="115"/>
        <v>-6.1402063056542056E-3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8">
        <v>33.499000000000002</v>
      </c>
      <c r="C282" s="390"/>
      <c r="D282" s="393">
        <f t="shared" si="98"/>
        <v>34.40696153565932</v>
      </c>
      <c r="E282" s="385">
        <f t="shared" si="96"/>
        <v>35.254893235340262</v>
      </c>
      <c r="F282" s="385">
        <f t="shared" si="99"/>
        <v>35.273006111576798</v>
      </c>
      <c r="G282" s="110">
        <f t="shared" si="97"/>
        <v>0.74874450621273825</v>
      </c>
      <c r="H282" s="412" t="b">
        <f>Wh_hp&gt;='2020'!Maxi_hp</f>
        <v>0</v>
      </c>
      <c r="I282" s="380">
        <f>IF(H282,Wh_hp,'2020'!Maxi_hp)</f>
        <v>48.914209724554347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2.638889036215275E-2</v>
      </c>
      <c r="M282" s="957"/>
      <c r="N282" s="957"/>
      <c r="O282" s="48">
        <f>IF(t&lt;Tnet,'2020'!Resal+('2020'!Salim-'2020'!Resal)*(1-EXP(('2020'!Tnet-t)/('2020'!Tau_j))),Resal+(Salim-Resal)*(1-EXP((Tnet-t)/(Tau_j))))*Salcycl</f>
        <v>2.405146128285408E-2</v>
      </c>
      <c r="P282" s="169">
        <f>(INDEX(Models!$BJ282:$BT282,,T282)*(1-R282)+INDEX(Models!$BJ282:$BT282,,T282+1)*R282-ERP_i)*Q282*Ramure*Pc/MaxiM</f>
        <v>8.0063700493751349E-4</v>
      </c>
      <c r="Q282" s="305">
        <f t="shared" si="101"/>
        <v>0.7</v>
      </c>
      <c r="R282" s="177">
        <f t="shared" si="102"/>
        <v>0.99411209262156408</v>
      </c>
      <c r="S282" s="919">
        <f t="shared" si="103"/>
        <v>-1</v>
      </c>
      <c r="T282" s="176">
        <f t="shared" si="104"/>
        <v>5</v>
      </c>
      <c r="U282" s="251">
        <f t="shared" si="105"/>
        <v>-5.8879073784359193E-3</v>
      </c>
      <c r="V282" s="383">
        <f t="shared" si="106"/>
        <v>44.727375167367491</v>
      </c>
      <c r="W282" s="402"/>
      <c r="X282" s="157">
        <f t="shared" si="107"/>
        <v>44464</v>
      </c>
      <c r="Y282" s="385">
        <f t="shared" si="108"/>
        <v>31.126453426838875</v>
      </c>
      <c r="Z282" s="385">
        <f t="shared" si="109"/>
        <v>31.970109131578148</v>
      </c>
      <c r="AA282" s="386">
        <f t="shared" si="110"/>
        <v>35.254893235340262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9.3172430897319455E-2</v>
      </c>
      <c r="AD282" s="231">
        <f>(INDEX(Models!$BJ282:$BT282,,AH282)*(1-AF282)+INDEX(Models!$BJ282:$BT282,,AH282+1)*AF282-ERP_i)*AE282*Ramure*Pc/MaxiM</f>
        <v>8.0063700493751349E-4</v>
      </c>
      <c r="AE282" s="305">
        <f t="shared" si="112"/>
        <v>0.7</v>
      </c>
      <c r="AF282" s="177">
        <f t="shared" si="113"/>
        <v>0.99411209262156408</v>
      </c>
      <c r="AG282" s="919">
        <f t="shared" si="119"/>
        <v>-1</v>
      </c>
      <c r="AH282" s="176">
        <f t="shared" si="114"/>
        <v>5</v>
      </c>
      <c r="AI282" s="225">
        <f t="shared" si="115"/>
        <v>-5.8879073784359193E-3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8">
        <v>36.512999999999998</v>
      </c>
      <c r="C283" s="390"/>
      <c r="D283" s="393">
        <f t="shared" si="98"/>
        <v>37.503474831451562</v>
      </c>
      <c r="E283" s="385">
        <f t="shared" si="96"/>
        <v>38.431066227807428</v>
      </c>
      <c r="F283" s="385">
        <f t="shared" si="99"/>
        <v>38.454835057181363</v>
      </c>
      <c r="G283" s="110">
        <f t="shared" si="97"/>
        <v>0.81992339089692257</v>
      </c>
      <c r="H283" s="412" t="b">
        <f>Wh_hp&gt;='2020'!Maxi_hp</f>
        <v>0</v>
      </c>
      <c r="I283" s="380">
        <f>IF(H283,Wh_hp,'2020'!Maxi_hp)</f>
        <v>47.979649608380406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2.6410214944160959E-2</v>
      </c>
      <c r="M283" s="957"/>
      <c r="N283" s="957"/>
      <c r="O283" s="48">
        <f>IF(t&lt;Tnet,'2020'!Resal+('2020'!Salim-'2020'!Resal)*(1-EXP(('2020'!Tnet-t)/('2020'!Tau_j))),Resal+(Salim-Resal)*(1-EXP((Tnet-t)/(Tau_j))))*Salcycl</f>
        <v>2.4136499124364479E-2</v>
      </c>
      <c r="P283" s="169">
        <f>(INDEX(Models!$BJ283:$BT283,,T283)*(1-R283)+INDEX(Models!$BJ283:$BT283,,T283+1)*R283-ERP_i)*Q283*Ramure*Pc/MaxiM</f>
        <v>8.3189592876702859E-4</v>
      </c>
      <c r="Q283" s="305">
        <f t="shared" si="101"/>
        <v>0.7</v>
      </c>
      <c r="R283" s="177">
        <f t="shared" si="102"/>
        <v>0.994354475481942</v>
      </c>
      <c r="S283" s="919">
        <f t="shared" si="103"/>
        <v>-1</v>
      </c>
      <c r="T283" s="176">
        <f t="shared" si="104"/>
        <v>5</v>
      </c>
      <c r="U283" s="251">
        <f t="shared" si="105"/>
        <v>-5.6455245180579983E-3</v>
      </c>
      <c r="V283" s="383">
        <f t="shared" si="106"/>
        <v>44.522682420717146</v>
      </c>
      <c r="W283" s="402"/>
      <c r="X283" s="157">
        <f t="shared" si="107"/>
        <v>44465</v>
      </c>
      <c r="Y283" s="385">
        <f t="shared" si="108"/>
        <v>33.929906542563806</v>
      </c>
      <c r="Z283" s="385">
        <f t="shared" si="109"/>
        <v>34.850310740080126</v>
      </c>
      <c r="AA283" s="386">
        <f t="shared" si="110"/>
        <v>38.431066227807428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9.3173461972189342E-2</v>
      </c>
      <c r="AD283" s="231">
        <f>(INDEX(Models!$BJ283:$BT283,,AH283)*(1-AF283)+INDEX(Models!$BJ283:$BT283,,AH283+1)*AF283-ERP_i)*AE283*Ramure*Pc/MaxiM</f>
        <v>8.3189592876702859E-4</v>
      </c>
      <c r="AE283" s="305">
        <f t="shared" si="112"/>
        <v>0.7</v>
      </c>
      <c r="AF283" s="177">
        <f t="shared" si="113"/>
        <v>0.994354475481942</v>
      </c>
      <c r="AG283" s="919">
        <f t="shared" si="119"/>
        <v>-1</v>
      </c>
      <c r="AH283" s="176">
        <f t="shared" si="114"/>
        <v>5</v>
      </c>
      <c r="AI283" s="225">
        <f t="shared" si="115"/>
        <v>-5.6455245180579983E-3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8">
        <v>24.55</v>
      </c>
      <c r="C284" s="390"/>
      <c r="D284" s="393">
        <f t="shared" si="98"/>
        <v>25.216511200736655</v>
      </c>
      <c r="E284" s="385">
        <f t="shared" si="96"/>
        <v>25.842443821360177</v>
      </c>
      <c r="F284" s="385">
        <f t="shared" si="99"/>
        <v>25.850545578849289</v>
      </c>
      <c r="G284" s="110">
        <f t="shared" si="97"/>
        <v>0.55368854906254983</v>
      </c>
      <c r="H284" s="412" t="b">
        <f>Wh_hp&gt;='2020'!Maxi_hp</f>
        <v>0</v>
      </c>
      <c r="I284" s="380">
        <f>IF(H284,Wh_hp,'2020'!Maxi_hp)</f>
        <v>46.988763169188566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2.6431539059106002E-2</v>
      </c>
      <c r="M284" s="957"/>
      <c r="N284" s="957"/>
      <c r="O284" s="48">
        <f>IF(t&lt;Tnet,'2020'!Resal+('2020'!Salim-'2020'!Resal)*(1-EXP(('2020'!Tnet-t)/('2020'!Tau_j))),Resal+(Salim-Resal)*(1-EXP((Tnet-t)/(Tau_j))))*Salcycl</f>
        <v>2.4221107916510408E-2</v>
      </c>
      <c r="P284" s="169">
        <f>(INDEX(Models!$BJ284:$BT284,,T284)*(1-R284)+INDEX(Models!$BJ284:$BT284,,T284+1)*R284-ERP_i)*Q284*Ramure*Pc/MaxiM</f>
        <v>8.6374374742413315E-4</v>
      </c>
      <c r="Q284" s="305">
        <f t="shared" si="101"/>
        <v>0.7</v>
      </c>
      <c r="R284" s="177">
        <f t="shared" si="102"/>
        <v>0.99458732274101125</v>
      </c>
      <c r="S284" s="919">
        <f t="shared" si="103"/>
        <v>-1</v>
      </c>
      <c r="T284" s="176">
        <f t="shared" si="104"/>
        <v>5</v>
      </c>
      <c r="U284" s="251">
        <f t="shared" si="105"/>
        <v>-5.4126772589887517E-3</v>
      </c>
      <c r="V284" s="383">
        <f t="shared" si="106"/>
        <v>44.314597174642635</v>
      </c>
      <c r="W284" s="402"/>
      <c r="X284" s="157">
        <f t="shared" si="107"/>
        <v>44466</v>
      </c>
      <c r="Y284" s="385">
        <f t="shared" si="108"/>
        <v>22.815204086943503</v>
      </c>
      <c r="Z284" s="385">
        <f t="shared" si="109"/>
        <v>23.434617083727233</v>
      </c>
      <c r="AA284" s="386">
        <f t="shared" si="110"/>
        <v>25.842443821360177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9.3173337408699097E-2</v>
      </c>
      <c r="AD284" s="231">
        <f>(INDEX(Models!$BJ284:$BT284,,AH284)*(1-AF284)+INDEX(Models!$BJ284:$BT284,,AH284+1)*AF284-ERP_i)*AE284*Ramure*Pc/MaxiM</f>
        <v>8.6374374742413315E-4</v>
      </c>
      <c r="AE284" s="305">
        <f t="shared" si="112"/>
        <v>0.7</v>
      </c>
      <c r="AF284" s="177">
        <f t="shared" si="113"/>
        <v>0.99458732274101125</v>
      </c>
      <c r="AG284" s="919">
        <f t="shared" si="119"/>
        <v>-1</v>
      </c>
      <c r="AH284" s="176">
        <f t="shared" si="114"/>
        <v>5</v>
      </c>
      <c r="AI284" s="225">
        <f t="shared" si="115"/>
        <v>-5.4126772589887517E-3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8">
        <v>25.85</v>
      </c>
      <c r="C285" s="390"/>
      <c r="D285" s="393">
        <f t="shared" si="98"/>
        <v>26.552386638285707</v>
      </c>
      <c r="E285" s="385">
        <f t="shared" si="96"/>
        <v>27.213826226370095</v>
      </c>
      <c r="F285" s="385">
        <f t="shared" si="99"/>
        <v>27.22379867655286</v>
      </c>
      <c r="G285" s="110">
        <f t="shared" si="97"/>
        <v>0.58581472189344341</v>
      </c>
      <c r="H285" s="412" t="b">
        <f>Wh_hp&gt;='2020'!Maxi_hp</f>
        <v>0</v>
      </c>
      <c r="I285" s="380">
        <f>IF(H285,Wh_hp,'2020'!Maxi_hp)</f>
        <v>44.138858996476266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2.6452862706998204E-2</v>
      </c>
      <c r="M285" s="957"/>
      <c r="N285" s="957"/>
      <c r="O285" s="48">
        <f>IF(t&lt;Tnet,'2020'!Resal+('2020'!Salim-'2020'!Resal)*(1-EXP(('2020'!Tnet-t)/('2020'!Tau_j))),Resal+(Salim-Resal)*(1-EXP((Tnet-t)/(Tau_j))))*Salcycl</f>
        <v>2.4305277125766956E-2</v>
      </c>
      <c r="P285" s="169">
        <f>(INDEX(Models!$BJ285:$BT285,,T285)*(1-R285)+INDEX(Models!$BJ285:$BT285,,T285+1)*R285-ERP_i)*Q285*Ramure*Pc/MaxiM</f>
        <v>8.9617902140923938E-4</v>
      </c>
      <c r="Q285" s="305">
        <f t="shared" si="101"/>
        <v>0.7</v>
      </c>
      <c r="R285" s="177">
        <f t="shared" si="102"/>
        <v>0.99481100099029796</v>
      </c>
      <c r="S285" s="919">
        <f t="shared" si="103"/>
        <v>-1</v>
      </c>
      <c r="T285" s="176">
        <f t="shared" si="104"/>
        <v>5</v>
      </c>
      <c r="U285" s="251">
        <f t="shared" si="105"/>
        <v>-5.1889990097020999E-3</v>
      </c>
      <c r="V285" s="383">
        <f t="shared" si="106"/>
        <v>44.103189961604393</v>
      </c>
      <c r="W285" s="402"/>
      <c r="X285" s="157">
        <f t="shared" si="107"/>
        <v>44467</v>
      </c>
      <c r="Y285" s="385">
        <f t="shared" si="108"/>
        <v>24.025448257286467</v>
      </c>
      <c r="Z285" s="385">
        <f t="shared" si="109"/>
        <v>24.678258850506683</v>
      </c>
      <c r="AA285" s="386">
        <f t="shared" si="110"/>
        <v>27.213826226370095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9.3172027879212915E-2</v>
      </c>
      <c r="AD285" s="231">
        <f>(INDEX(Models!$BJ285:$BT285,,AH285)*(1-AF285)+INDEX(Models!$BJ285:$BT285,,AH285+1)*AF285-ERP_i)*AE285*Ramure*Pc/MaxiM</f>
        <v>8.9617902140923938E-4</v>
      </c>
      <c r="AE285" s="305">
        <f t="shared" si="112"/>
        <v>0.7</v>
      </c>
      <c r="AF285" s="177">
        <f t="shared" si="113"/>
        <v>0.99481100099029796</v>
      </c>
      <c r="AG285" s="919">
        <f t="shared" si="119"/>
        <v>-1</v>
      </c>
      <c r="AH285" s="176">
        <f t="shared" si="114"/>
        <v>5</v>
      </c>
      <c r="AI285" s="225">
        <f t="shared" si="115"/>
        <v>-5.1889990097020999E-3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8">
        <v>27.596</v>
      </c>
      <c r="C286" s="390"/>
      <c r="D286" s="393">
        <f t="shared" si="98"/>
        <v>28.346449164439807</v>
      </c>
      <c r="E286" s="385">
        <f t="shared" si="96"/>
        <v>29.055073242512094</v>
      </c>
      <c r="F286" s="385">
        <f t="shared" si="99"/>
        <v>29.067759135452263</v>
      </c>
      <c r="G286" s="110">
        <f t="shared" si="97"/>
        <v>0.6284647638523071</v>
      </c>
      <c r="H286" s="412" t="b">
        <f>Wh_hp&gt;='2020'!Maxi_hp</f>
        <v>0</v>
      </c>
      <c r="I286" s="380">
        <f>IF(H286,Wh_hp,'2020'!Maxi_hp)</f>
        <v>45.467806820564945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2.6474185887847779E-2</v>
      </c>
      <c r="M286" s="957"/>
      <c r="N286" s="957"/>
      <c r="O286" s="48">
        <f>IF(t&lt;Tnet,'2020'!Resal+('2020'!Salim-'2020'!Resal)*(1-EXP(('2020'!Tnet-t)/('2020'!Tau_j))),Resal+(Salim-Resal)*(1-EXP((Tnet-t)/(Tau_j))))*Salcycl</f>
        <v>2.4388996446770648E-2</v>
      </c>
      <c r="P286" s="169">
        <f>(INDEX(Models!$BJ286:$BT286,,T286)*(1-R286)+INDEX(Models!$BJ286:$BT286,,T286+1)*R286-ERP_i)*Q286*Ramure*Pc/MaxiM</f>
        <v>9.2919974397194819E-4</v>
      </c>
      <c r="Q286" s="305">
        <f t="shared" si="101"/>
        <v>0.7</v>
      </c>
      <c r="R286" s="177">
        <f t="shared" si="102"/>
        <v>0.99502586339620813</v>
      </c>
      <c r="S286" s="919">
        <f t="shared" si="103"/>
        <v>-1</v>
      </c>
      <c r="T286" s="176">
        <f t="shared" si="104"/>
        <v>5</v>
      </c>
      <c r="U286" s="251">
        <f t="shared" si="105"/>
        <v>-4.9741366037918677E-3</v>
      </c>
      <c r="V286" s="383">
        <f t="shared" si="106"/>
        <v>43.888531280706978</v>
      </c>
      <c r="W286" s="402"/>
      <c r="X286" s="157">
        <f t="shared" si="107"/>
        <v>44468</v>
      </c>
      <c r="Y286" s="385">
        <f t="shared" si="108"/>
        <v>25.650483892267754</v>
      </c>
      <c r="Z286" s="385">
        <f t="shared" si="109"/>
        <v>26.348026442073127</v>
      </c>
      <c r="AA286" s="386">
        <f t="shared" si="110"/>
        <v>29.055073242512094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9.3169505299271982E-2</v>
      </c>
      <c r="AD286" s="231">
        <f>(INDEX(Models!$BJ286:$BT286,,AH286)*(1-AF286)+INDEX(Models!$BJ286:$BT286,,AH286+1)*AF286-ERP_i)*AE286*Ramure*Pc/MaxiM</f>
        <v>9.2919974397194819E-4</v>
      </c>
      <c r="AE286" s="305">
        <f t="shared" si="112"/>
        <v>0.7</v>
      </c>
      <c r="AF286" s="177">
        <f t="shared" si="113"/>
        <v>0.99502586339620813</v>
      </c>
      <c r="AG286" s="919">
        <f t="shared" si="119"/>
        <v>-1</v>
      </c>
      <c r="AH286" s="176">
        <f t="shared" si="114"/>
        <v>5</v>
      </c>
      <c r="AI286" s="225">
        <f t="shared" si="115"/>
        <v>-4.9741366037918677E-3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8">
        <v>14.441000000000001</v>
      </c>
      <c r="C287" s="390"/>
      <c r="D287" s="393">
        <f t="shared" si="98"/>
        <v>14.834035310157685</v>
      </c>
      <c r="E287" s="385">
        <f t="shared" si="96"/>
        <v>15.206164457614982</v>
      </c>
      <c r="F287" s="385">
        <f t="shared" si="99"/>
        <v>15.206806147268132</v>
      </c>
      <c r="G287" s="110">
        <f t="shared" si="97"/>
        <v>0.33037500534681707</v>
      </c>
      <c r="H287" s="412" t="b">
        <f>Wh_hp&gt;='2020'!Maxi_hp</f>
        <v>0</v>
      </c>
      <c r="I287" s="380">
        <f>IF(H287,Wh_hp,'2020'!Maxi_hp)</f>
        <v>41.385817820684117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2.6495508601664941E-2</v>
      </c>
      <c r="M287" s="957"/>
      <c r="N287" s="957"/>
      <c r="O287" s="48">
        <f>IF(t&lt;Tnet,'2020'!Resal+('2020'!Salim-'2020'!Resal)*(1-EXP(('2020'!Tnet-t)/('2020'!Tau_j))),Resal+(Salim-Resal)*(1-EXP((Tnet-t)/(Tau_j))))*Salcycl</f>
        <v>2.447225587323848E-2</v>
      </c>
      <c r="P287" s="169">
        <f>(INDEX(Models!$BJ287:$BT287,,T287)*(1-R287)+INDEX(Models!$BJ287:$BT287,,T287+1)*R287-ERP_i)*Q287*Ramure*Pc/MaxiM</f>
        <v>9.6280333907938168E-4</v>
      </c>
      <c r="Q287" s="305">
        <f t="shared" si="101"/>
        <v>0.7</v>
      </c>
      <c r="R287" s="177">
        <f t="shared" si="102"/>
        <v>0.99523225013901717</v>
      </c>
      <c r="S287" s="919">
        <f t="shared" si="103"/>
        <v>-1</v>
      </c>
      <c r="T287" s="176">
        <f t="shared" si="104"/>
        <v>5</v>
      </c>
      <c r="U287" s="251">
        <f t="shared" si="105"/>
        <v>-4.7677498609828839E-3</v>
      </c>
      <c r="V287" s="383">
        <f t="shared" si="106"/>
        <v>43.67069159890822</v>
      </c>
      <c r="W287" s="402"/>
      <c r="X287" s="157">
        <f t="shared" si="107"/>
        <v>44469</v>
      </c>
      <c r="Y287" s="385">
        <f t="shared" si="108"/>
        <v>13.424111803175862</v>
      </c>
      <c r="Z287" s="385">
        <f t="shared" si="109"/>
        <v>13.789470846604479</v>
      </c>
      <c r="AA287" s="386">
        <f t="shared" si="110"/>
        <v>15.206164457614982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9.3165743074746732E-2</v>
      </c>
      <c r="AD287" s="231">
        <f>(INDEX(Models!$BJ287:$BT287,,AH287)*(1-AF287)+INDEX(Models!$BJ287:$BT287,,AH287+1)*AF287-ERP_i)*AE287*Ramure*Pc/MaxiM</f>
        <v>9.6280333907938168E-4</v>
      </c>
      <c r="AE287" s="305">
        <f t="shared" si="112"/>
        <v>0.7</v>
      </c>
      <c r="AF287" s="177">
        <f t="shared" si="113"/>
        <v>0.99523225013901717</v>
      </c>
      <c r="AG287" s="919">
        <f t="shared" si="119"/>
        <v>-1</v>
      </c>
      <c r="AH287" s="176">
        <f t="shared" si="114"/>
        <v>5</v>
      </c>
      <c r="AI287" s="225">
        <f t="shared" si="115"/>
        <v>-4.7677498609828839E-3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8">
        <v>31.411000000000001</v>
      </c>
      <c r="C288" s="390"/>
      <c r="D288" s="393">
        <f t="shared" si="98"/>
        <v>32.266608191466659</v>
      </c>
      <c r="E288" s="385">
        <f t="shared" si="96"/>
        <v>33.078861140858102</v>
      </c>
      <c r="F288" s="385">
        <f t="shared" si="99"/>
        <v>33.098798570151033</v>
      </c>
      <c r="G288" s="110">
        <f t="shared" si="97"/>
        <v>0.72264174595670316</v>
      </c>
      <c r="H288" s="412" t="b">
        <f>Wh_hp&gt;='2020'!Maxi_hp</f>
        <v>0</v>
      </c>
      <c r="I288" s="380">
        <f>IF(H288,Wh_hp,'2020'!Maxi_hp)</f>
        <v>43.981299080889379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2.6516830848460016E-2</v>
      </c>
      <c r="M288" s="957"/>
      <c r="N288" s="957"/>
      <c r="O288" s="48">
        <f>IF(t&lt;Tnet,'2020'!Resal+('2020'!Salim-'2020'!Resal)*(1-EXP(('2020'!Tnet-t)/('2020'!Tau_j))),Resal+(Salim-Resal)*(1-EXP((Tnet-t)/(Tau_j))))*Salcycl</f>
        <v>2.4555045771759241E-2</v>
      </c>
      <c r="P288" s="169">
        <f>(INDEX(Models!$BJ288:$BT288,,T288)*(1-R288)+INDEX(Models!$BJ288:$BT288,,T288+1)*R288-ERP_i)*Q288*Ramure*Pc/MaxiM</f>
        <v>9.9698666525996609E-4</v>
      </c>
      <c r="Q288" s="305">
        <f t="shared" si="101"/>
        <v>0.7</v>
      </c>
      <c r="R288" s="177">
        <f t="shared" si="102"/>
        <v>0.99543048884176533</v>
      </c>
      <c r="S288" s="919">
        <f t="shared" si="103"/>
        <v>-1</v>
      </c>
      <c r="T288" s="176">
        <f t="shared" si="104"/>
        <v>5</v>
      </c>
      <c r="U288" s="251">
        <f t="shared" si="105"/>
        <v>-4.5695111582346182E-3</v>
      </c>
      <c r="V288" s="383">
        <f t="shared" si="106"/>
        <v>43.449741343453134</v>
      </c>
      <c r="W288" s="402"/>
      <c r="X288" s="157">
        <f t="shared" si="107"/>
        <v>44470</v>
      </c>
      <c r="Y288" s="385">
        <f t="shared" si="108"/>
        <v>29.201779777632485</v>
      </c>
      <c r="Z288" s="385">
        <f t="shared" si="109"/>
        <v>29.99721074077112</v>
      </c>
      <c r="AA288" s="386">
        <f t="shared" si="110"/>
        <v>33.078861140858102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9.3160716354911424E-2</v>
      </c>
      <c r="AD288" s="231">
        <f>(INDEX(Models!$BJ288:$BT288,,AH288)*(1-AF288)+INDEX(Models!$BJ288:$BT288,,AH288+1)*AF288-ERP_i)*AE288*Ramure*Pc/MaxiM</f>
        <v>9.9698666525996609E-4</v>
      </c>
      <c r="AE288" s="305">
        <f t="shared" si="112"/>
        <v>0.7</v>
      </c>
      <c r="AF288" s="177">
        <f t="shared" si="113"/>
        <v>0.99543048884176533</v>
      </c>
      <c r="AG288" s="919">
        <f t="shared" si="119"/>
        <v>-1</v>
      </c>
      <c r="AH288" s="176">
        <f t="shared" si="114"/>
        <v>5</v>
      </c>
      <c r="AI288" s="225">
        <f t="shared" si="115"/>
        <v>-4.5695111582346182E-3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8">
        <v>39.789000000000001</v>
      </c>
      <c r="C289" s="390"/>
      <c r="D289" s="393">
        <f t="shared" si="98"/>
        <v>40.873712829553675</v>
      </c>
      <c r="E289" s="385">
        <f t="shared" si="96"/>
        <v>41.906170101075197</v>
      </c>
      <c r="F289" s="385">
        <f t="shared" si="99"/>
        <v>41.944532277589161</v>
      </c>
      <c r="G289" s="110">
        <f t="shared" si="97"/>
        <v>0.92039889566499755</v>
      </c>
      <c r="H289" s="412" t="b">
        <f>Wh_hp&gt;='2020'!Maxi_hp</f>
        <v>0</v>
      </c>
      <c r="I289" s="380">
        <f>IF(H289,Wh_hp,'2020'!Maxi_hp)</f>
        <v>47.647904130278036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2.6538152628243106E-2</v>
      </c>
      <c r="M289" s="957"/>
      <c r="N289" s="957"/>
      <c r="O289" s="48">
        <f>IF(t&lt;Tnet,'2020'!Resal+('2020'!Salim-'2020'!Resal)*(1-EXP(('2020'!Tnet-t)/('2020'!Tau_j))),Resal+(Salim-Resal)*(1-EXP((Tnet-t)/(Tau_j))))*Salcycl</f>
        <v>2.4637356957968089E-2</v>
      </c>
      <c r="P289" s="169">
        <f>(INDEX(Models!$BJ289:$BT289,,T289)*(1-R289)+INDEX(Models!$BJ289:$BT289,,T289+1)*R289-ERP_i)*Q289*Ramure*Pc/MaxiM</f>
        <v>1.0317615612012339E-3</v>
      </c>
      <c r="Q289" s="305">
        <f t="shared" si="101"/>
        <v>0.7</v>
      </c>
      <c r="R289" s="177">
        <f t="shared" si="102"/>
        <v>0.99562089498892181</v>
      </c>
      <c r="S289" s="919">
        <f t="shared" si="103"/>
        <v>-1</v>
      </c>
      <c r="T289" s="176">
        <f t="shared" si="104"/>
        <v>5</v>
      </c>
      <c r="U289" s="251">
        <f t="shared" si="105"/>
        <v>-4.3791050110782437E-3</v>
      </c>
      <c r="V289" s="383">
        <f t="shared" si="106"/>
        <v>43.225099357033208</v>
      </c>
      <c r="W289" s="402"/>
      <c r="X289" s="157">
        <f t="shared" si="107"/>
        <v>44471</v>
      </c>
      <c r="Y289" s="385">
        <f t="shared" si="108"/>
        <v>36.993911695005444</v>
      </c>
      <c r="Z289" s="385">
        <f t="shared" si="109"/>
        <v>38.002425873068425</v>
      </c>
      <c r="AA289" s="386">
        <f t="shared" si="110"/>
        <v>41.906170101075197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9.3154402289476038E-2</v>
      </c>
      <c r="AD289" s="231">
        <f>(INDEX(Models!$BJ289:$BT289,,AH289)*(1-AF289)+INDEX(Models!$BJ289:$BT289,,AH289+1)*AF289-ERP_i)*AE289*Ramure*Pc/MaxiM</f>
        <v>1.0317615612012339E-3</v>
      </c>
      <c r="AE289" s="305">
        <f t="shared" si="112"/>
        <v>0.7</v>
      </c>
      <c r="AF289" s="177">
        <f t="shared" si="113"/>
        <v>0.99562089498892181</v>
      </c>
      <c r="AG289" s="919">
        <f t="shared" si="119"/>
        <v>-1</v>
      </c>
      <c r="AH289" s="176">
        <f t="shared" si="114"/>
        <v>5</v>
      </c>
      <c r="AI289" s="225">
        <f t="shared" si="115"/>
        <v>-4.3791050110782437E-3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8">
        <v>6.6269999999999998</v>
      </c>
      <c r="C290" s="390"/>
      <c r="D290" s="393">
        <f t="shared" si="98"/>
        <v>6.807811902828572</v>
      </c>
      <c r="E290" s="385">
        <f t="shared" si="96"/>
        <v>6.9803607008649564</v>
      </c>
      <c r="F290" s="385">
        <f t="shared" si="99"/>
        <v>6.9803607008649564</v>
      </c>
      <c r="G290" s="110">
        <f t="shared" si="97"/>
        <v>0.1539651108223215</v>
      </c>
      <c r="H290" s="412" t="b">
        <f>Wh_hp&gt;='2020'!Maxi_hp</f>
        <v>0</v>
      </c>
      <c r="I290" s="380">
        <f>IF(H290,Wh_hp,'2020'!Maxi_hp)</f>
        <v>43.351504842538631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2.6559473941024536E-2</v>
      </c>
      <c r="M290" s="957"/>
      <c r="N290" s="957"/>
      <c r="O290" s="48">
        <f>IF(t&lt;Tnet,'2020'!Resal+('2020'!Salim-'2020'!Resal)*(1-EXP(('2020'!Tnet-t)/('2020'!Tau_j))),Resal+(Salim-Resal)*(1-EXP((Tnet-t)/(Tau_j))))*Salcycl</f>
        <v>2.4719180774569926E-2</v>
      </c>
      <c r="P290" s="169">
        <f>(INDEX(Models!$BJ290:$BT290,,T290)*(1-R290)+INDEX(Models!$BJ290:$BT290,,T290+1)*R290-ERP_i)*Q290*Ramure*Pc/MaxiM</f>
        <v>1.0653008401060276E-3</v>
      </c>
      <c r="Q290" s="305">
        <f t="shared" si="101"/>
        <v>0.7</v>
      </c>
      <c r="R290" s="177">
        <f t="shared" si="102"/>
        <v>0.99580377233470985</v>
      </c>
      <c r="S290" s="919">
        <f t="shared" si="103"/>
        <v>-1</v>
      </c>
      <c r="T290" s="176">
        <f t="shared" si="104"/>
        <v>5</v>
      </c>
      <c r="U290" s="251">
        <f t="shared" si="105"/>
        <v>-4.1962276652901531E-3</v>
      </c>
      <c r="V290" s="383">
        <f t="shared" si="106"/>
        <v>42.996365968730061</v>
      </c>
      <c r="W290" s="402"/>
      <c r="X290" s="157">
        <f t="shared" si="107"/>
        <v>44472</v>
      </c>
      <c r="Y290" s="385">
        <f t="shared" si="108"/>
        <v>6.1620367883454206</v>
      </c>
      <c r="Z290" s="385">
        <f t="shared" si="109"/>
        <v>6.3301625763340121</v>
      </c>
      <c r="AA290" s="386">
        <f t="shared" si="110"/>
        <v>6.9803607008649564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9.3146780287496636E-2</v>
      </c>
      <c r="AD290" s="231">
        <f>(INDEX(Models!$BJ290:$BT290,,AH290)*(1-AF290)+INDEX(Models!$BJ290:$BT290,,AH290+1)*AF290-ERP_i)*AE290*Ramure*Pc/MaxiM</f>
        <v>1.0653008401060276E-3</v>
      </c>
      <c r="AE290" s="305">
        <f t="shared" si="112"/>
        <v>0.7</v>
      </c>
      <c r="AF290" s="177">
        <f t="shared" si="113"/>
        <v>0.99580377233470985</v>
      </c>
      <c r="AG290" s="919">
        <f t="shared" si="119"/>
        <v>-1</v>
      </c>
      <c r="AH290" s="176">
        <f t="shared" si="114"/>
        <v>5</v>
      </c>
      <c r="AI290" s="225">
        <f t="shared" si="115"/>
        <v>-4.1962276652901531E-3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8">
        <v>33.783000000000001</v>
      </c>
      <c r="C291" s="390"/>
      <c r="D291" s="393">
        <f t="shared" si="98"/>
        <v>34.705499767288124</v>
      </c>
      <c r="E291" s="385">
        <f t="shared" si="96"/>
        <v>35.58810283808976</v>
      </c>
      <c r="F291" s="385">
        <f t="shared" si="99"/>
        <v>35.615441518160196</v>
      </c>
      <c r="G291" s="110">
        <f t="shared" si="97"/>
        <v>0.789730378639808</v>
      </c>
      <c r="H291" s="412" t="b">
        <f>Wh_hp&gt;='2020'!Maxi_hp</f>
        <v>0</v>
      </c>
      <c r="I291" s="380">
        <f>IF(H291,Wh_hp,'2020'!Maxi_hp)</f>
        <v>44.844605022343991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2.658079478681441E-2</v>
      </c>
      <c r="M291" s="957"/>
      <c r="N291" s="957"/>
      <c r="O291" s="48">
        <f>IF(t&lt;Tnet,'2020'!Resal+('2020'!Salim-'2020'!Resal)*(1-EXP(('2020'!Tnet-t)/('2020'!Tau_j))),Resal+(Salim-Resal)*(1-EXP((Tnet-t)/(Tau_j))))*Salcycl</f>
        <v>2.4800509170637461E-2</v>
      </c>
      <c r="P291" s="169">
        <f>(INDEX(Models!$BJ291:$BT291,,T291)*(1-R291)+INDEX(Models!$BJ291:$BT291,,T291+1)*R291-ERP_i)*Q291*Ramure*Pc/MaxiM</f>
        <v>1.0966034457216649E-3</v>
      </c>
      <c r="Q291" s="305">
        <f t="shared" si="101"/>
        <v>0.7</v>
      </c>
      <c r="R291" s="177">
        <f t="shared" si="102"/>
        <v>0.99597941330104023</v>
      </c>
      <c r="S291" s="919">
        <f t="shared" si="103"/>
        <v>-1</v>
      </c>
      <c r="T291" s="176">
        <f t="shared" si="104"/>
        <v>5</v>
      </c>
      <c r="U291" s="251">
        <f t="shared" si="105"/>
        <v>-4.0205866989597161E-3</v>
      </c>
      <c r="V291" s="383">
        <f t="shared" si="106"/>
        <v>42.763806363978532</v>
      </c>
      <c r="W291" s="402"/>
      <c r="X291" s="157">
        <f t="shared" si="107"/>
        <v>44473</v>
      </c>
      <c r="Y291" s="385">
        <f t="shared" si="108"/>
        <v>31.415648695802002</v>
      </c>
      <c r="Z291" s="385">
        <f t="shared" si="109"/>
        <v>32.273504084935077</v>
      </c>
      <c r="AA291" s="386">
        <f t="shared" si="110"/>
        <v>35.58810283808976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9.3137832275989846E-2</v>
      </c>
      <c r="AD291" s="231">
        <f>(INDEX(Models!$BJ291:$BT291,,AH291)*(1-AF291)+INDEX(Models!$BJ291:$BT291,,AH291+1)*AF291-ERP_i)*AE291*Ramure*Pc/MaxiM</f>
        <v>1.0966034457216649E-3</v>
      </c>
      <c r="AE291" s="305">
        <f t="shared" si="112"/>
        <v>0.7</v>
      </c>
      <c r="AF291" s="177">
        <f t="shared" si="113"/>
        <v>0.99597941330104023</v>
      </c>
      <c r="AG291" s="919">
        <f t="shared" si="119"/>
        <v>-1</v>
      </c>
      <c r="AH291" s="176">
        <f t="shared" si="114"/>
        <v>5</v>
      </c>
      <c r="AI291" s="225">
        <f t="shared" si="115"/>
        <v>-4.0205866989597161E-3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8">
        <v>11.889000000000001</v>
      </c>
      <c r="C292" s="390"/>
      <c r="D292" s="393">
        <f t="shared" si="98"/>
        <v>12.213916000056759</v>
      </c>
      <c r="E292" s="385">
        <f t="shared" si="96"/>
        <v>12.525568872503172</v>
      </c>
      <c r="F292" s="385">
        <f t="shared" si="99"/>
        <v>12.525568872503172</v>
      </c>
      <c r="G292" s="110">
        <f t="shared" si="97"/>
        <v>0.27924465988951691</v>
      </c>
      <c r="H292" s="412" t="b">
        <f>Wh_hp&gt;='2020'!Maxi_hp</f>
        <v>0</v>
      </c>
      <c r="I292" s="380">
        <f>IF(H292,Wh_hp,'2020'!Maxi_hp)</f>
        <v>44.683643039833356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2.6602115165623164E-2</v>
      </c>
      <c r="M292" s="957"/>
      <c r="N292" s="957"/>
      <c r="O292" s="48">
        <f>IF(t&lt;Tnet,'2020'!Resal+('2020'!Salim-'2020'!Resal)*(1-EXP(('2020'!Tnet-t)/('2020'!Tau_j))),Resal+(Salim-Resal)*(1-EXP((Tnet-t)/(Tau_j))))*Salcycl</f>
        <v>2.4881334781573894E-2</v>
      </c>
      <c r="P292" s="169">
        <f>(INDEX(Models!$BJ292:$BT292,,T292)*(1-R292)+INDEX(Models!$BJ292:$BT292,,T292+1)*R292-ERP_i)*Q292*Ramure*Pc/MaxiM</f>
        <v>1.1256450845222475E-3</v>
      </c>
      <c r="Q292" s="305">
        <f t="shared" si="101"/>
        <v>0.7</v>
      </c>
      <c r="R292" s="177">
        <f t="shared" si="102"/>
        <v>0.99614809936502202</v>
      </c>
      <c r="S292" s="919">
        <f t="shared" si="103"/>
        <v>-1</v>
      </c>
      <c r="T292" s="176">
        <f t="shared" si="104"/>
        <v>5</v>
      </c>
      <c r="U292" s="251">
        <f t="shared" si="105"/>
        <v>-3.8519006349780338E-3</v>
      </c>
      <c r="V292" s="383">
        <f t="shared" si="106"/>
        <v>42.527643000545474</v>
      </c>
      <c r="W292" s="402"/>
      <c r="X292" s="157">
        <f t="shared" si="107"/>
        <v>44474</v>
      </c>
      <c r="Y292" s="385">
        <f t="shared" si="108"/>
        <v>11.056917507963988</v>
      </c>
      <c r="Z292" s="385">
        <f t="shared" si="109"/>
        <v>11.359093419280766</v>
      </c>
      <c r="AA292" s="386">
        <f t="shared" si="110"/>
        <v>12.525568872503172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9.3127542956002299E-2</v>
      </c>
      <c r="AD292" s="231">
        <f>(INDEX(Models!$BJ292:$BT292,,AH292)*(1-AF292)+INDEX(Models!$BJ292:$BT292,,AH292+1)*AF292-ERP_i)*AE292*Ramure*Pc/MaxiM</f>
        <v>1.1256450845222475E-3</v>
      </c>
      <c r="AE292" s="305">
        <f t="shared" si="112"/>
        <v>0.7</v>
      </c>
      <c r="AF292" s="177">
        <f t="shared" si="113"/>
        <v>0.99614809936502202</v>
      </c>
      <c r="AG292" s="919">
        <f t="shared" si="119"/>
        <v>-1</v>
      </c>
      <c r="AH292" s="176">
        <f t="shared" si="114"/>
        <v>5</v>
      </c>
      <c r="AI292" s="225">
        <f t="shared" si="115"/>
        <v>-3.8519006349780338E-3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8">
        <v>39.137</v>
      </c>
      <c r="C293" s="390"/>
      <c r="D293" s="393">
        <f t="shared" si="98"/>
        <v>40.207460720111442</v>
      </c>
      <c r="E293" s="385">
        <f t="shared" si="96"/>
        <v>41.236799313302349</v>
      </c>
      <c r="F293" s="385">
        <f t="shared" si="99"/>
        <v>41.279305763767212</v>
      </c>
      <c r="G293" s="110">
        <f t="shared" si="97"/>
        <v>0.92537133952109651</v>
      </c>
      <c r="H293" s="412" t="b">
        <f>Wh_hp&gt;='2020'!Maxi_hp</f>
        <v>0</v>
      </c>
      <c r="I293" s="380">
        <f>IF(H293,Wh_hp,'2020'!Maxi_hp)</f>
        <v>42.282942542755286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2.6623435077460789E-2</v>
      </c>
      <c r="M293" s="957"/>
      <c r="N293" s="957"/>
      <c r="O293" s="48">
        <f>IF(t&lt;Tnet,'2020'!Resal+('2020'!Salim-'2020'!Resal)*(1-EXP(('2020'!Tnet-t)/('2020'!Tau_j))),Resal+(Salim-Resal)*(1-EXP((Tnet-t)/(Tau_j))))*Salcycl</f>
        <v>2.4961651009099039E-2</v>
      </c>
      <c r="P293" s="169">
        <f>(INDEX(Models!$BJ293:$BT293,,T293)*(1-R293)+INDEX(Models!$BJ293:$BT293,,T293+1)*R293-ERP_i)*Q293*Ramure*Pc/MaxiM</f>
        <v>1.1524009414007684E-3</v>
      </c>
      <c r="Q293" s="305">
        <f t="shared" si="101"/>
        <v>0.7</v>
      </c>
      <c r="R293" s="177">
        <f t="shared" si="102"/>
        <v>0.99631010143606114</v>
      </c>
      <c r="S293" s="919">
        <f t="shared" si="103"/>
        <v>-1</v>
      </c>
      <c r="T293" s="176">
        <f t="shared" si="104"/>
        <v>5</v>
      </c>
      <c r="U293" s="251">
        <f t="shared" si="105"/>
        <v>-3.6898985639388648E-3</v>
      </c>
      <c r="V293" s="383">
        <f t="shared" si="106"/>
        <v>42.288098110216914</v>
      </c>
      <c r="W293" s="402"/>
      <c r="X293" s="157">
        <f t="shared" si="107"/>
        <v>44475</v>
      </c>
      <c r="Y293" s="385">
        <f t="shared" si="108"/>
        <v>36.401361091413293</v>
      </c>
      <c r="Z293" s="385">
        <f t="shared" si="109"/>
        <v>37.396997629905023</v>
      </c>
      <c r="AA293" s="386">
        <f t="shared" si="110"/>
        <v>41.236799313302349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9.3115900053830358E-2</v>
      </c>
      <c r="AD293" s="231">
        <f>(INDEX(Models!$BJ293:$BT293,,AH293)*(1-AF293)+INDEX(Models!$BJ293:$BT293,,AH293+1)*AF293-ERP_i)*AE293*Ramure*Pc/MaxiM</f>
        <v>1.1524009414007684E-3</v>
      </c>
      <c r="AE293" s="305">
        <f t="shared" si="112"/>
        <v>0.7</v>
      </c>
      <c r="AF293" s="177">
        <f t="shared" si="113"/>
        <v>0.99631010143606114</v>
      </c>
      <c r="AG293" s="919">
        <f t="shared" si="119"/>
        <v>-1</v>
      </c>
      <c r="AH293" s="176">
        <f t="shared" si="114"/>
        <v>5</v>
      </c>
      <c r="AI293" s="225">
        <f t="shared" si="115"/>
        <v>-3.6898985639388648E-3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8">
        <v>42.261000000000003</v>
      </c>
      <c r="C294" s="390"/>
      <c r="D294" s="393">
        <f t="shared" si="98"/>
        <v>43.417858172902669</v>
      </c>
      <c r="E294" s="385">
        <f t="shared" si="96"/>
        <v>44.533029908244238</v>
      </c>
      <c r="F294" s="385">
        <f t="shared" si="99"/>
        <v>44.5855001708373</v>
      </c>
      <c r="G294" s="110">
        <f t="shared" si="97"/>
        <v>1.0051279410966996</v>
      </c>
      <c r="H294" s="412" t="b">
        <f>Wh_hp&gt;='2020'!Maxi_hp</f>
        <v>1</v>
      </c>
      <c r="I294" s="380">
        <f>IF(H294,Wh_hp,'2020'!Maxi_hp)</f>
        <v>44.5855001708373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2.6644754522337721E-2</v>
      </c>
      <c r="M294" s="957"/>
      <c r="N294" s="957"/>
      <c r="O294" s="48">
        <f>IF(t&lt;Tnet,'2020'!Resal+('2020'!Salim-'2020'!Resal)*(1-EXP(('2020'!Tnet-t)/('2020'!Tau_j))),Resal+(Salim-Resal)*(1-EXP((Tnet-t)/(Tau_j))))*Salcycl</f>
        <v>2.5041452100592984E-2</v>
      </c>
      <c r="P294" s="169">
        <f>(INDEX(Models!$BJ294:$BT294,,T294)*(1-R294)+INDEX(Models!$BJ294:$BT294,,T294+1)*R294-ERP_i)*Q294*Ramure*Pc/MaxiM</f>
        <v>1.1768458891794834E-3</v>
      </c>
      <c r="Q294" s="305">
        <f t="shared" si="101"/>
        <v>0.7</v>
      </c>
      <c r="R294" s="177">
        <f t="shared" si="102"/>
        <v>0.99646568022258397</v>
      </c>
      <c r="S294" s="919">
        <f t="shared" si="103"/>
        <v>-1</v>
      </c>
      <c r="T294" s="176">
        <f t="shared" si="104"/>
        <v>5</v>
      </c>
      <c r="U294" s="251">
        <f t="shared" si="105"/>
        <v>-3.5343197774160284E-3</v>
      </c>
      <c r="V294" s="383">
        <f t="shared" si="106"/>
        <v>42.045393697730496</v>
      </c>
      <c r="W294" s="402"/>
      <c r="X294" s="157">
        <f t="shared" si="107"/>
        <v>44476</v>
      </c>
      <c r="Y294" s="385">
        <f t="shared" si="108"/>
        <v>39.310777525221162</v>
      </c>
      <c r="Z294" s="385">
        <f t="shared" si="109"/>
        <v>40.386875920034598</v>
      </c>
      <c r="AA294" s="386">
        <f t="shared" si="110"/>
        <v>44.533029908244238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9.3102894565053482E-2</v>
      </c>
      <c r="AD294" s="231">
        <f>(INDEX(Models!$BJ294:$BT294,,AH294)*(1-AF294)+INDEX(Models!$BJ294:$BT294,,AH294+1)*AF294-ERP_i)*AE294*Ramure*Pc/MaxiM</f>
        <v>1.1768458891794834E-3</v>
      </c>
      <c r="AE294" s="305">
        <f t="shared" si="112"/>
        <v>0.7</v>
      </c>
      <c r="AF294" s="177">
        <f t="shared" si="113"/>
        <v>0.99646568022258397</v>
      </c>
      <c r="AG294" s="919">
        <f t="shared" si="119"/>
        <v>-1</v>
      </c>
      <c r="AH294" s="176">
        <f t="shared" si="114"/>
        <v>5</v>
      </c>
      <c r="AI294" s="225">
        <f t="shared" si="115"/>
        <v>-3.5343197774160284E-3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8">
        <v>39.582999999999998</v>
      </c>
      <c r="C295" s="390"/>
      <c r="D295" s="393">
        <f t="shared" si="98"/>
        <v>40.667440969972944</v>
      </c>
      <c r="E295" s="385">
        <f t="shared" si="96"/>
        <v>41.715361436081288</v>
      </c>
      <c r="F295" s="385">
        <f t="shared" si="99"/>
        <v>41.761638375375632</v>
      </c>
      <c r="G295" s="110">
        <f t="shared" si="97"/>
        <v>0.94688123931211809</v>
      </c>
      <c r="H295" s="412" t="b">
        <f>Wh_hp&gt;='2020'!Maxi_hp</f>
        <v>1</v>
      </c>
      <c r="I295" s="380">
        <f>IF(H295,Wh_hp,'2020'!Maxi_hp)</f>
        <v>41.761638375375632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2.6666073500264065E-2</v>
      </c>
      <c r="M295" s="957"/>
      <c r="N295" s="957"/>
      <c r="O295" s="48">
        <f>IF(t&lt;Tnet,'2020'!Resal+('2020'!Salim-'2020'!Resal)*(1-EXP(('2020'!Tnet-t)/('2020'!Tau_j))),Resal+(Salim-Resal)*(1-EXP((Tnet-t)/(Tau_j))))*Salcycl</f>
        <v>2.5120733227111756E-2</v>
      </c>
      <c r="P295" s="169">
        <f>(INDEX(Models!$BJ295:$BT295,,T295)*(1-R295)+INDEX(Models!$BJ295:$BT295,,T295+1)*R295-ERP_i)*Q295*Ramure*Pc/MaxiM</f>
        <v>1.1989546988361297E-3</v>
      </c>
      <c r="Q295" s="305">
        <f t="shared" si="101"/>
        <v>0.7</v>
      </c>
      <c r="R295" s="177">
        <f t="shared" si="102"/>
        <v>0.99661508658844511</v>
      </c>
      <c r="S295" s="919">
        <f t="shared" si="103"/>
        <v>-1</v>
      </c>
      <c r="T295" s="176">
        <f t="shared" si="104"/>
        <v>5</v>
      </c>
      <c r="U295" s="251">
        <f t="shared" si="105"/>
        <v>-3.3849134115548352E-3</v>
      </c>
      <c r="V295" s="383">
        <f t="shared" si="106"/>
        <v>41.799751530722737</v>
      </c>
      <c r="W295" s="402"/>
      <c r="X295" s="157">
        <f t="shared" si="107"/>
        <v>44477</v>
      </c>
      <c r="Y295" s="385">
        <f t="shared" si="108"/>
        <v>36.823305507895377</v>
      </c>
      <c r="Z295" s="385">
        <f t="shared" si="109"/>
        <v>37.832140137473537</v>
      </c>
      <c r="AA295" s="386">
        <f t="shared" si="110"/>
        <v>41.715361436081288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9.3088520989033016E-2</v>
      </c>
      <c r="AD295" s="231">
        <f>(INDEX(Models!$BJ295:$BT295,,AH295)*(1-AF295)+INDEX(Models!$BJ295:$BT295,,AH295+1)*AF295-ERP_i)*AE295*Ramure*Pc/MaxiM</f>
        <v>1.1989546988361297E-3</v>
      </c>
      <c r="AE295" s="305">
        <f t="shared" si="112"/>
        <v>0.7</v>
      </c>
      <c r="AF295" s="177">
        <f t="shared" si="113"/>
        <v>0.99661508658844511</v>
      </c>
      <c r="AG295" s="919">
        <f t="shared" si="119"/>
        <v>-1</v>
      </c>
      <c r="AH295" s="176">
        <f t="shared" si="114"/>
        <v>5</v>
      </c>
      <c r="AI295" s="225">
        <f t="shared" si="115"/>
        <v>-3.3849134115548352E-3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8">
        <v>14.613</v>
      </c>
      <c r="C296" s="390"/>
      <c r="D296" s="393">
        <f t="shared" si="98"/>
        <v>15.013675853019368</v>
      </c>
      <c r="E296" s="385">
        <f t="shared" si="96"/>
        <v>15.401793195240298</v>
      </c>
      <c r="F296" s="385">
        <f t="shared" si="99"/>
        <v>15.403178422759321</v>
      </c>
      <c r="G296" s="110">
        <f t="shared" si="97"/>
        <v>0.35128795173739014</v>
      </c>
      <c r="H296" s="412" t="b">
        <f>Wh_hp&gt;='2020'!Maxi_hp</f>
        <v>0</v>
      </c>
      <c r="I296" s="380">
        <f>IF(H296,Wh_hp,'2020'!Maxi_hp)</f>
        <v>37.398017587935655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2.6687392011250144E-2</v>
      </c>
      <c r="M296" s="957"/>
      <c r="N296" s="957"/>
      <c r="O296" s="48">
        <f>IF(t&lt;Tnet,'2020'!Resal+('2020'!Salim-'2020'!Resal)*(1-EXP(('2020'!Tnet-t)/('2020'!Tau_j))),Resal+(Salim-Resal)*(1-EXP((Tnet-t)/(Tau_j))))*Salcycl</f>
        <v>2.5199490559376595E-2</v>
      </c>
      <c r="P296" s="169">
        <f>(INDEX(Models!$BJ296:$BT296,,T296)*(1-R296)+INDEX(Models!$BJ296:$BT296,,T296+1)*R296-ERP_i)*Q296*Ramure*Pc/MaxiM</f>
        <v>1.217998376100134E-3</v>
      </c>
      <c r="Q296" s="305">
        <f t="shared" si="101"/>
        <v>0.7</v>
      </c>
      <c r="R296" s="177">
        <f t="shared" si="102"/>
        <v>0.99675856189910772</v>
      </c>
      <c r="S296" s="919">
        <f t="shared" si="103"/>
        <v>-1</v>
      </c>
      <c r="T296" s="176">
        <f t="shared" si="104"/>
        <v>5</v>
      </c>
      <c r="U296" s="251">
        <f t="shared" si="105"/>
        <v>-3.2414381008922799E-3</v>
      </c>
      <c r="V296" s="383">
        <f t="shared" si="106"/>
        <v>41.551422417712409</v>
      </c>
      <c r="W296" s="402"/>
      <c r="X296" s="157">
        <f t="shared" si="107"/>
        <v>44478</v>
      </c>
      <c r="Y296" s="385">
        <f t="shared" si="108"/>
        <v>13.595527878052037</v>
      </c>
      <c r="Z296" s="385">
        <f t="shared" si="109"/>
        <v>13.968305523284851</v>
      </c>
      <c r="AA296" s="386">
        <f t="shared" si="110"/>
        <v>15.401793195240298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9.3072777551541613E-2</v>
      </c>
      <c r="AD296" s="231">
        <f>(INDEX(Models!$BJ296:$BT296,,AH296)*(1-AF296)+INDEX(Models!$BJ296:$BT296,,AH296+1)*AF296-ERP_i)*AE296*Ramure*Pc/MaxiM</f>
        <v>1.217998376100134E-3</v>
      </c>
      <c r="AE296" s="305">
        <f t="shared" si="112"/>
        <v>0.7</v>
      </c>
      <c r="AF296" s="177">
        <f t="shared" si="113"/>
        <v>0.99675856189910772</v>
      </c>
      <c r="AG296" s="919">
        <f t="shared" si="119"/>
        <v>-1</v>
      </c>
      <c r="AH296" s="176">
        <f t="shared" si="114"/>
        <v>5</v>
      </c>
      <c r="AI296" s="225">
        <f t="shared" si="115"/>
        <v>-3.2414381008922799E-3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8">
        <v>30.475999999999999</v>
      </c>
      <c r="C297" s="390"/>
      <c r="D297" s="393">
        <f t="shared" si="98"/>
        <v>31.312311447615812</v>
      </c>
      <c r="E297" s="385">
        <f t="shared" ref="E297:E360" si="120">Wh_pvt/(1-Psa)</f>
        <v>32.124341602918491</v>
      </c>
      <c r="F297" s="385">
        <f t="shared" si="99"/>
        <v>32.149169345237013</v>
      </c>
      <c r="G297" s="110">
        <f t="shared" ref="G297:G360" si="121">+Wh_hp/MaxiM</f>
        <v>0.73756552724092506</v>
      </c>
      <c r="H297" s="412" t="b">
        <f>Wh_hp&gt;='2020'!Maxi_hp</f>
        <v>1</v>
      </c>
      <c r="I297" s="380">
        <f>IF(H297,Wh_hp,'2020'!Maxi_hp)</f>
        <v>32.149169345237013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2.6708710055306062E-2</v>
      </c>
      <c r="M297" s="957"/>
      <c r="N297" s="957"/>
      <c r="O297" s="48">
        <f>IF(t&lt;Tnet,'2020'!Resal+('2020'!Salim-'2020'!Resal)*(1-EXP(('2020'!Tnet-t)/('2020'!Tau_j))),Resal+(Salim-Resal)*(1-EXP((Tnet-t)/(Tau_j))))*Salcycl</f>
        <v>2.527772134103148E-2</v>
      </c>
      <c r="P297" s="169">
        <f>(INDEX(Models!$BJ297:$BT297,,T297)*(1-R297)+INDEX(Models!$BJ297:$BT297,,T297+1)*R297-ERP_i)*Q297*Ramure*Pc/MaxiM</f>
        <v>1.2344791634956919E-3</v>
      </c>
      <c r="Q297" s="305">
        <f t="shared" si="101"/>
        <v>0.7</v>
      </c>
      <c r="R297" s="177">
        <f t="shared" si="102"/>
        <v>0.99689633835769875</v>
      </c>
      <c r="S297" s="919">
        <f t="shared" si="103"/>
        <v>-1</v>
      </c>
      <c r="T297" s="176">
        <f t="shared" si="104"/>
        <v>5</v>
      </c>
      <c r="U297" s="251">
        <f t="shared" si="105"/>
        <v>-3.103661642301192E-3</v>
      </c>
      <c r="V297" s="383">
        <f t="shared" si="106"/>
        <v>41.300605315669834</v>
      </c>
      <c r="W297" s="402"/>
      <c r="X297" s="157">
        <f t="shared" si="107"/>
        <v>44479</v>
      </c>
      <c r="Y297" s="385">
        <f t="shared" si="108"/>
        <v>28.356831597630077</v>
      </c>
      <c r="Z297" s="385">
        <f t="shared" si="109"/>
        <v>29.134989586972896</v>
      </c>
      <c r="AA297" s="386">
        <f t="shared" si="110"/>
        <v>32.124341602918491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9.3055666413222674E-2</v>
      </c>
      <c r="AD297" s="231">
        <f>(INDEX(Models!$BJ297:$BT297,,AH297)*(1-AF297)+INDEX(Models!$BJ297:$BT297,,AH297+1)*AF297-ERP_i)*AE297*Ramure*Pc/MaxiM</f>
        <v>1.2344791634956919E-3</v>
      </c>
      <c r="AE297" s="305">
        <f t="shared" si="112"/>
        <v>0.7</v>
      </c>
      <c r="AF297" s="177">
        <f t="shared" si="113"/>
        <v>0.99689633835769875</v>
      </c>
      <c r="AG297" s="919">
        <f t="shared" si="119"/>
        <v>-1</v>
      </c>
      <c r="AH297" s="176">
        <f t="shared" si="114"/>
        <v>5</v>
      </c>
      <c r="AI297" s="225">
        <f t="shared" si="115"/>
        <v>-3.103661642301192E-3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8">
        <v>41.228000000000002</v>
      </c>
      <c r="C298" s="390"/>
      <c r="D298" s="393">
        <f t="shared" si="98"/>
        <v>42.360291769517509</v>
      </c>
      <c r="E298" s="385">
        <f t="shared" si="120"/>
        <v>43.462296729297407</v>
      </c>
      <c r="F298" s="385">
        <f t="shared" si="99"/>
        <v>43.516621662814977</v>
      </c>
      <c r="G298" s="110">
        <f t="shared" si="121"/>
        <v>1.0043968270975496</v>
      </c>
      <c r="H298" s="412" t="b">
        <f>Wh_hp&gt;='2020'!Maxi_hp</f>
        <v>1</v>
      </c>
      <c r="I298" s="380">
        <f>IF(H298,Wh_hp,'2020'!Maxi_hp)</f>
        <v>43.516621662814977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2.6730027632442033E-2</v>
      </c>
      <c r="M298" s="957"/>
      <c r="N298" s="957"/>
      <c r="O298" s="48">
        <f>IF(t&lt;Tnet,'2020'!Resal+('2020'!Salim-'2020'!Resal)*(1-EXP(('2020'!Tnet-t)/('2020'!Tau_j))),Resal+(Salim-Resal)*(1-EXP((Tnet-t)/(Tau_j))))*Salcycl</f>
        <v>2.5355423958464039E-2</v>
      </c>
      <c r="P298" s="169">
        <f>(INDEX(Models!$BJ298:$BT298,,T298)*(1-R298)+INDEX(Models!$BJ298:$BT298,,T298+1)*R298-ERP_i)*Q298*Ramure*Pc/MaxiM</f>
        <v>1.2483720344493012E-3</v>
      </c>
      <c r="Q298" s="305">
        <f t="shared" si="101"/>
        <v>0.7</v>
      </c>
      <c r="R298" s="177">
        <f t="shared" si="102"/>
        <v>0.99702863933106511</v>
      </c>
      <c r="S298" s="919">
        <f t="shared" si="103"/>
        <v>-1</v>
      </c>
      <c r="T298" s="176">
        <f t="shared" si="104"/>
        <v>5</v>
      </c>
      <c r="U298" s="251">
        <f t="shared" si="105"/>
        <v>-2.9713606689348859E-3</v>
      </c>
      <c r="V298" s="383">
        <f t="shared" si="106"/>
        <v>41.047521146734795</v>
      </c>
      <c r="W298" s="402"/>
      <c r="X298" s="157">
        <f t="shared" si="107"/>
        <v>44480</v>
      </c>
      <c r="Y298" s="385">
        <f t="shared" si="108"/>
        <v>38.365024020693689</v>
      </c>
      <c r="Z298" s="385">
        <f t="shared" si="109"/>
        <v>39.418686602821687</v>
      </c>
      <c r="AA298" s="386">
        <f t="shared" si="110"/>
        <v>43.462296729297407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9.3037193861639E-2</v>
      </c>
      <c r="AD298" s="231">
        <f>(INDEX(Models!$BJ298:$BT298,,AH298)*(1-AF298)+INDEX(Models!$BJ298:$BT298,,AH298+1)*AF298-ERP_i)*AE298*Ramure*Pc/MaxiM</f>
        <v>1.2483720344493012E-3</v>
      </c>
      <c r="AE298" s="305">
        <f t="shared" si="112"/>
        <v>0.7</v>
      </c>
      <c r="AF298" s="177">
        <f t="shared" si="113"/>
        <v>0.99702863933106511</v>
      </c>
      <c r="AG298" s="919">
        <f t="shared" si="119"/>
        <v>-1</v>
      </c>
      <c r="AH298" s="176">
        <f t="shared" si="114"/>
        <v>5</v>
      </c>
      <c r="AI298" s="225">
        <f t="shared" si="115"/>
        <v>-2.9713606689348859E-3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8">
        <v>40.552</v>
      </c>
      <c r="C299" s="390"/>
      <c r="D299" s="393">
        <f t="shared" si="98"/>
        <v>41.666638613826656</v>
      </c>
      <c r="E299" s="385">
        <f t="shared" si="120"/>
        <v>42.753983489080611</v>
      </c>
      <c r="F299" s="385">
        <f t="shared" si="99"/>
        <v>42.807452061099632</v>
      </c>
      <c r="G299" s="110">
        <f t="shared" si="121"/>
        <v>0.99409641988741404</v>
      </c>
      <c r="H299" s="412" t="b">
        <f>Wh_hp&gt;='2020'!Maxi_hp</f>
        <v>1</v>
      </c>
      <c r="I299" s="380">
        <f>IF(H299,Wh_hp,'2020'!Maxi_hp)</f>
        <v>42.807452061099632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2.6751344742668492E-2</v>
      </c>
      <c r="M299" s="957"/>
      <c r="N299" s="957"/>
      <c r="O299" s="48">
        <f>IF(t&lt;Tnet,'2020'!Resal+('2020'!Salim-'2020'!Resal)*(1-EXP(('2020'!Tnet-t)/('2020'!Tau_j))),Resal+(Salim-Resal)*(1-EXP((Tnet-t)/(Tau_j))))*Salcycl</f>
        <v>2.5432598006491301E-2</v>
      </c>
      <c r="P299" s="169">
        <f>(INDEX(Models!$BJ299:$BT299,,T299)*(1-R299)+INDEX(Models!$BJ299:$BT299,,T299+1)*R299-ERP_i)*Q299*Ramure*Pc/MaxiM</f>
        <v>1.2596527465541655E-3</v>
      </c>
      <c r="Q299" s="305">
        <f t="shared" si="101"/>
        <v>0.7</v>
      </c>
      <c r="R299" s="177">
        <f t="shared" si="102"/>
        <v>0.99715567966596663</v>
      </c>
      <c r="S299" s="919">
        <f t="shared" si="103"/>
        <v>-1</v>
      </c>
      <c r="T299" s="176">
        <f t="shared" si="104"/>
        <v>5</v>
      </c>
      <c r="U299" s="251">
        <f t="shared" si="105"/>
        <v>-2.8443203340334233E-3</v>
      </c>
      <c r="V299" s="383">
        <f t="shared" si="106"/>
        <v>40.792390573375165</v>
      </c>
      <c r="W299" s="402"/>
      <c r="X299" s="157">
        <f t="shared" si="107"/>
        <v>44481</v>
      </c>
      <c r="Y299" s="385">
        <f t="shared" si="108"/>
        <v>37.739780252107607</v>
      </c>
      <c r="Z299" s="385">
        <f t="shared" si="109"/>
        <v>38.777120367177936</v>
      </c>
      <c r="AA299" s="386">
        <f t="shared" si="110"/>
        <v>42.753983489080611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9.3017370484749534E-2</v>
      </c>
      <c r="AD299" s="231">
        <f>(INDEX(Models!$BJ299:$BT299,,AH299)*(1-AF299)+INDEX(Models!$BJ299:$BT299,,AH299+1)*AF299-ERP_i)*AE299*Ramure*Pc/MaxiM</f>
        <v>1.2596527465541655E-3</v>
      </c>
      <c r="AE299" s="305">
        <f t="shared" si="112"/>
        <v>0.7</v>
      </c>
      <c r="AF299" s="177">
        <f t="shared" si="113"/>
        <v>0.99715567966596663</v>
      </c>
      <c r="AG299" s="919">
        <f t="shared" si="119"/>
        <v>-1</v>
      </c>
      <c r="AH299" s="176">
        <f t="shared" si="114"/>
        <v>5</v>
      </c>
      <c r="AI299" s="225">
        <f t="shared" si="115"/>
        <v>-2.8443203340334233E-3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8">
        <v>38.447000000000003</v>
      </c>
      <c r="C300" s="390"/>
      <c r="D300" s="393">
        <f t="shared" si="98"/>
        <v>39.504644469557604</v>
      </c>
      <c r="E300" s="385">
        <f t="shared" si="120"/>
        <v>40.538757541292462</v>
      </c>
      <c r="F300" s="385">
        <f t="shared" si="99"/>
        <v>40.586444549486444</v>
      </c>
      <c r="G300" s="110">
        <f t="shared" si="121"/>
        <v>0.94839016141963539</v>
      </c>
      <c r="H300" s="412" t="b">
        <f>Wh_hp&gt;='2020'!Maxi_hp</f>
        <v>0</v>
      </c>
      <c r="I300" s="380">
        <f>IF(H300,Wh_hp,'2020'!Maxi_hp)</f>
        <v>41.038729599738197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2.6772661385995433E-2</v>
      </c>
      <c r="M300" s="957"/>
      <c r="N300" s="957"/>
      <c r="O300" s="48">
        <f>IF(t&lt;Tnet,'2020'!Resal+('2020'!Salim-'2020'!Resal)*(1-EXP(('2020'!Tnet-t)/('2020'!Tau_j))),Resal+(Salim-Resal)*(1-EXP((Tnet-t)/(Tau_j))))*Salcycl</f>
        <v>2.5509244349226131E-2</v>
      </c>
      <c r="P300" s="169">
        <f>(INDEX(Models!$BJ300:$BT300,,T300)*(1-R300)+INDEX(Models!$BJ300:$BT300,,T300+1)*R300-ERP_i)*Q300*Ramure*Pc/MaxiM</f>
        <v>1.2682980429245313E-3</v>
      </c>
      <c r="Q300" s="305">
        <f t="shared" si="101"/>
        <v>0.7</v>
      </c>
      <c r="R300" s="177">
        <f t="shared" si="102"/>
        <v>0.99727766599556067</v>
      </c>
      <c r="S300" s="919">
        <f t="shared" si="103"/>
        <v>-1</v>
      </c>
      <c r="T300" s="176">
        <f t="shared" si="104"/>
        <v>5</v>
      </c>
      <c r="U300" s="251">
        <f t="shared" si="105"/>
        <v>-2.7223340044392752E-3</v>
      </c>
      <c r="V300" s="383">
        <f t="shared" si="106"/>
        <v>40.535433998407527</v>
      </c>
      <c r="W300" s="402"/>
      <c r="X300" s="157">
        <f t="shared" si="107"/>
        <v>44482</v>
      </c>
      <c r="Y300" s="385">
        <f t="shared" si="108"/>
        <v>35.784407867417805</v>
      </c>
      <c r="Z300" s="385">
        <f t="shared" si="109"/>
        <v>36.768806678179843</v>
      </c>
      <c r="AA300" s="386">
        <f t="shared" si="110"/>
        <v>40.538757541292462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9.2996211323757919E-2</v>
      </c>
      <c r="AD300" s="231">
        <f>(INDEX(Models!$BJ300:$BT300,,AH300)*(1-AF300)+INDEX(Models!$BJ300:$BT300,,AH300+1)*AF300-ERP_i)*AE300*Ramure*Pc/MaxiM</f>
        <v>1.2682980429245313E-3</v>
      </c>
      <c r="AE300" s="305">
        <f t="shared" si="112"/>
        <v>0.7</v>
      </c>
      <c r="AF300" s="177">
        <f t="shared" si="113"/>
        <v>0.99727766599556067</v>
      </c>
      <c r="AG300" s="919">
        <f t="shared" si="119"/>
        <v>-1</v>
      </c>
      <c r="AH300" s="176">
        <f t="shared" si="114"/>
        <v>5</v>
      </c>
      <c r="AI300" s="225">
        <f t="shared" si="115"/>
        <v>-2.7223340044392752E-3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8">
        <v>42.094999999999999</v>
      </c>
      <c r="C301" s="390"/>
      <c r="D301" s="393">
        <f t="shared" si="98"/>
        <v>43.253945238199016</v>
      </c>
      <c r="E301" s="385">
        <f t="shared" si="120"/>
        <v>44.389671185498599</v>
      </c>
      <c r="F301" s="385">
        <f t="shared" si="99"/>
        <v>44.446308487241133</v>
      </c>
      <c r="G301" s="110">
        <f t="shared" si="121"/>
        <v>1.0451407560811183</v>
      </c>
      <c r="H301" s="412" t="b">
        <f>Wh_hp&gt;='2020'!Maxi_hp</f>
        <v>1</v>
      </c>
      <c r="I301" s="380">
        <f>IF(H301,Wh_hp,'2020'!Maxi_hp)</f>
        <v>44.446308487241133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2.679397756243318E-2</v>
      </c>
      <c r="M301" s="957"/>
      <c r="N301" s="957"/>
      <c r="O301" s="48">
        <f>IF(t&lt;Tnet,'2020'!Resal+('2020'!Salim-'2020'!Resal)*(1-EXP(('2020'!Tnet-t)/('2020'!Tau_j))),Resal+(Salim-Resal)*(1-EXP((Tnet-t)/(Tau_j))))*Salcycl</f>
        <v>2.5585365175460211E-2</v>
      </c>
      <c r="P301" s="169">
        <f>(INDEX(Models!$BJ301:$BT301,,T301)*(1-R301)+INDEX(Models!$BJ301:$BT301,,T301+1)*R301-ERP_i)*Q301*Ramure*Pc/MaxiM</f>
        <v>1.274285844431701E-3</v>
      </c>
      <c r="Q301" s="305">
        <f t="shared" si="101"/>
        <v>0.7</v>
      </c>
      <c r="R301" s="177">
        <f t="shared" si="102"/>
        <v>0.99739479703634148</v>
      </c>
      <c r="S301" s="919">
        <f t="shared" si="103"/>
        <v>-1</v>
      </c>
      <c r="T301" s="176">
        <f t="shared" si="104"/>
        <v>5</v>
      </c>
      <c r="U301" s="251">
        <f t="shared" si="105"/>
        <v>-2.6052029636584595E-3</v>
      </c>
      <c r="V301" s="383">
        <f t="shared" si="106"/>
        <v>40.27687156497494</v>
      </c>
      <c r="W301" s="402"/>
      <c r="X301" s="157">
        <f t="shared" si="107"/>
        <v>44483</v>
      </c>
      <c r="Y301" s="385">
        <f t="shared" si="108"/>
        <v>39.183802478307406</v>
      </c>
      <c r="Z301" s="385">
        <f t="shared" si="109"/>
        <v>40.262597615420255</v>
      </c>
      <c r="AA301" s="386">
        <f t="shared" si="110"/>
        <v>44.389671185498599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9.2973736003401378E-2</v>
      </c>
      <c r="AD301" s="231">
        <f>(INDEX(Models!$BJ301:$BT301,,AH301)*(1-AF301)+INDEX(Models!$BJ301:$BT301,,AH301+1)*AF301-ERP_i)*AE301*Ramure*Pc/MaxiM</f>
        <v>1.274285844431701E-3</v>
      </c>
      <c r="AE301" s="305">
        <f t="shared" si="112"/>
        <v>0.7</v>
      </c>
      <c r="AF301" s="177">
        <f t="shared" si="113"/>
        <v>0.99739479703634148</v>
      </c>
      <c r="AG301" s="919">
        <f t="shared" si="119"/>
        <v>-1</v>
      </c>
      <c r="AH301" s="176">
        <f t="shared" si="114"/>
        <v>5</v>
      </c>
      <c r="AI301" s="225">
        <f t="shared" si="115"/>
        <v>-2.6052029636584595E-3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8">
        <v>35.518000000000001</v>
      </c>
      <c r="C302" s="390"/>
      <c r="D302" s="393">
        <f t="shared" si="98"/>
        <v>36.496668879453324</v>
      </c>
      <c r="E302" s="385">
        <f t="shared" si="120"/>
        <v>37.457874038466187</v>
      </c>
      <c r="F302" s="385">
        <f t="shared" si="99"/>
        <v>37.498087119876288</v>
      </c>
      <c r="G302" s="110">
        <f t="shared" si="121"/>
        <v>0.88739216735312387</v>
      </c>
      <c r="H302" s="412" t="b">
        <f>Wh_hp&gt;='2020'!Maxi_hp</f>
        <v>1</v>
      </c>
      <c r="I302" s="380">
        <f>IF(H302,Wh_hp,'2020'!Maxi_hp)</f>
        <v>37.498087119876288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2.6815293271991947E-2</v>
      </c>
      <c r="M302" s="957"/>
      <c r="N302" s="957"/>
      <c r="O302" s="48">
        <f>IF(t&lt;Tnet,'2020'!Resal+('2020'!Salim-'2020'!Resal)*(1-EXP(('2020'!Tnet-t)/('2020'!Tau_j))),Resal+(Salim-Resal)*(1-EXP((Tnet-t)/(Tau_j))))*Salcycl</f>
        <v>2.5660964047927184E-2</v>
      </c>
      <c r="P302" s="169">
        <f>(INDEX(Models!$BJ302:$BT302,,T302)*(1-R302)+INDEX(Models!$BJ302:$BT302,,T302+1)*R302-ERP_i)*Q302*Ramure*Pc/MaxiM</f>
        <v>1.2775954311783624E-3</v>
      </c>
      <c r="Q302" s="305">
        <f t="shared" si="101"/>
        <v>0.7</v>
      </c>
      <c r="R302" s="177">
        <f t="shared" si="102"/>
        <v>0.99750726387570754</v>
      </c>
      <c r="S302" s="919">
        <f t="shared" si="103"/>
        <v>-1</v>
      </c>
      <c r="T302" s="176">
        <f t="shared" si="104"/>
        <v>5</v>
      </c>
      <c r="U302" s="251">
        <f t="shared" si="105"/>
        <v>-2.4927361242924606E-3</v>
      </c>
      <c r="V302" s="383">
        <f t="shared" si="106"/>
        <v>40.016923156187943</v>
      </c>
      <c r="W302" s="402"/>
      <c r="X302" s="157">
        <f t="shared" si="107"/>
        <v>44484</v>
      </c>
      <c r="Y302" s="385">
        <f t="shared" si="108"/>
        <v>33.065084963300592</v>
      </c>
      <c r="Z302" s="385">
        <f t="shared" si="109"/>
        <v>33.976165813856994</v>
      </c>
      <c r="AA302" s="386">
        <f t="shared" si="110"/>
        <v>37.457874038466187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9.294996883789397E-2</v>
      </c>
      <c r="AD302" s="231">
        <f>(INDEX(Models!$BJ302:$BT302,,AH302)*(1-AF302)+INDEX(Models!$BJ302:$BT302,,AH302+1)*AF302-ERP_i)*AE302*Ramure*Pc/MaxiM</f>
        <v>1.2775954311783624E-3</v>
      </c>
      <c r="AE302" s="305">
        <f t="shared" si="112"/>
        <v>0.7</v>
      </c>
      <c r="AF302" s="177">
        <f t="shared" si="113"/>
        <v>0.99750726387570754</v>
      </c>
      <c r="AG302" s="919">
        <f t="shared" si="119"/>
        <v>-1</v>
      </c>
      <c r="AH302" s="176">
        <f t="shared" si="114"/>
        <v>5</v>
      </c>
      <c r="AI302" s="225">
        <f t="shared" si="115"/>
        <v>-2.4927361242924606E-3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8">
        <v>37.274000000000001</v>
      </c>
      <c r="C303" s="390"/>
      <c r="D303" s="393">
        <f t="shared" si="98"/>
        <v>38.301892905270009</v>
      </c>
      <c r="E303" s="385">
        <f t="shared" si="120"/>
        <v>39.313671357629772</v>
      </c>
      <c r="F303" s="385">
        <f t="shared" si="99"/>
        <v>39.359495276629886</v>
      </c>
      <c r="G303" s="110">
        <f t="shared" si="121"/>
        <v>0.93747453707601003</v>
      </c>
      <c r="H303" s="412" t="b">
        <f>Wh_hp&gt;='2020'!Maxi_hp</f>
        <v>1</v>
      </c>
      <c r="I303" s="380">
        <f>IF(H303,Wh_hp,'2020'!Maxi_hp)</f>
        <v>39.359495276629886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2.6836608514682059E-2</v>
      </c>
      <c r="M303" s="957"/>
      <c r="N303" s="957"/>
      <c r="O303" s="48">
        <f>IF(t&lt;Tnet,'2020'!Resal+('2020'!Salim-'2020'!Resal)*(1-EXP(('2020'!Tnet-t)/('2020'!Tau_j))),Resal+(Salim-Resal)*(1-EXP((Tnet-t)/(Tau_j))))*Salcycl</f>
        <v>2.573604594584384E-2</v>
      </c>
      <c r="P303" s="169">
        <f>(INDEX(Models!$BJ303:$BT303,,T303)*(1-R303)+INDEX(Models!$BJ303:$BT303,,T303+1)*R303-ERP_i)*Q303*Ramure*Pc/MaxiM</f>
        <v>1.278218278814308E-3</v>
      </c>
      <c r="Q303" s="305">
        <f t="shared" si="101"/>
        <v>0.7</v>
      </c>
      <c r="R303" s="177">
        <f t="shared" si="102"/>
        <v>0.99761525025034059</v>
      </c>
      <c r="S303" s="919">
        <f t="shared" si="103"/>
        <v>-1</v>
      </c>
      <c r="T303" s="176">
        <f t="shared" si="104"/>
        <v>5</v>
      </c>
      <c r="U303" s="251">
        <f t="shared" si="105"/>
        <v>-2.384749749659465E-3</v>
      </c>
      <c r="V303" s="383">
        <f t="shared" si="106"/>
        <v>39.755476193620105</v>
      </c>
      <c r="W303" s="402"/>
      <c r="X303" s="157">
        <f t="shared" si="107"/>
        <v>44485</v>
      </c>
      <c r="Y303" s="385">
        <f t="shared" si="108"/>
        <v>34.703445289484193</v>
      </c>
      <c r="Z303" s="385">
        <f t="shared" si="109"/>
        <v>35.660450848358657</v>
      </c>
      <c r="AA303" s="386">
        <f t="shared" si="110"/>
        <v>39.313671357629772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9.2924938910904406E-2</v>
      </c>
      <c r="AD303" s="231">
        <f>(INDEX(Models!$BJ303:$BT303,,AH303)*(1-AF303)+INDEX(Models!$BJ303:$BT303,,AH303+1)*AF303-ERP_i)*AE303*Ramure*Pc/MaxiM</f>
        <v>1.278218278814308E-3</v>
      </c>
      <c r="AE303" s="305">
        <f t="shared" si="112"/>
        <v>0.7</v>
      </c>
      <c r="AF303" s="177">
        <f t="shared" si="113"/>
        <v>0.99761525025034059</v>
      </c>
      <c r="AG303" s="919">
        <f t="shared" si="119"/>
        <v>-1</v>
      </c>
      <c r="AH303" s="176">
        <f t="shared" si="114"/>
        <v>5</v>
      </c>
      <c r="AI303" s="225">
        <f t="shared" si="115"/>
        <v>-2.384749749659465E-3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8">
        <v>37.79</v>
      </c>
      <c r="C304" s="390"/>
      <c r="D304" s="393">
        <f t="shared" si="98"/>
        <v>38.832973010251926</v>
      </c>
      <c r="E304" s="385">
        <f t="shared" si="120"/>
        <v>39.861831487663771</v>
      </c>
      <c r="F304" s="385">
        <f t="shared" si="99"/>
        <v>39.909622414686694</v>
      </c>
      <c r="G304" s="110">
        <f t="shared" si="121"/>
        <v>0.9568223858009659</v>
      </c>
      <c r="H304" s="412" t="b">
        <f>Wh_hp&gt;='2020'!Maxi_hp</f>
        <v>1</v>
      </c>
      <c r="I304" s="380">
        <f>IF(H304,Wh_hp,'2020'!Maxi_hp)</f>
        <v>39.909622414686694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2.6857923290513508E-2</v>
      </c>
      <c r="M304" s="957"/>
      <c r="N304" s="957"/>
      <c r="O304" s="48">
        <f>IF(t&lt;Tnet,'2020'!Resal+('2020'!Salim-'2020'!Resal)*(1-EXP(('2020'!Tnet-t)/('2020'!Tau_j))),Resal+(Salim-Resal)*(1-EXP((Tnet-t)/(Tau_j))))*Salcycl</f>
        <v>2.5810617300167205E-2</v>
      </c>
      <c r="P304" s="169">
        <f>(INDEX(Models!$BJ304:$BT304,,T304)*(1-R304)+INDEX(Models!$BJ304:$BT304,,T304+1)*R304-ERP_i)*Q304*Ramure*Pc/MaxiM</f>
        <v>1.2760513750252188E-3</v>
      </c>
      <c r="Q304" s="305">
        <f t="shared" si="101"/>
        <v>0.7</v>
      </c>
      <c r="R304" s="177">
        <f t="shared" si="102"/>
        <v>0.99771893281558532</v>
      </c>
      <c r="S304" s="919">
        <f t="shared" si="103"/>
        <v>-1</v>
      </c>
      <c r="T304" s="176">
        <f t="shared" si="104"/>
        <v>5</v>
      </c>
      <c r="U304" s="251">
        <f t="shared" si="105"/>
        <v>-2.2810671844146202E-3</v>
      </c>
      <c r="V304" s="383">
        <f t="shared" si="106"/>
        <v>39.49220643612292</v>
      </c>
      <c r="W304" s="402"/>
      <c r="X304" s="157">
        <f t="shared" si="107"/>
        <v>44486</v>
      </c>
      <c r="Y304" s="385">
        <f t="shared" si="108"/>
        <v>35.187571828136051</v>
      </c>
      <c r="Z304" s="385">
        <f t="shared" si="109"/>
        <v>36.15871995496979</v>
      </c>
      <c r="AA304" s="386">
        <f t="shared" si="110"/>
        <v>39.861831487663771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9.2898680128132086E-2</v>
      </c>
      <c r="AD304" s="231">
        <f>(INDEX(Models!$BJ304:$BT304,,AH304)*(1-AF304)+INDEX(Models!$BJ304:$BT304,,AH304+1)*AF304-ERP_i)*AE304*Ramure*Pc/MaxiM</f>
        <v>1.2760513750252188E-3</v>
      </c>
      <c r="AE304" s="305">
        <f t="shared" si="112"/>
        <v>0.7</v>
      </c>
      <c r="AF304" s="177">
        <f t="shared" si="113"/>
        <v>0.99771893281558532</v>
      </c>
      <c r="AG304" s="919">
        <f t="shared" si="119"/>
        <v>-1</v>
      </c>
      <c r="AH304" s="176">
        <f t="shared" si="114"/>
        <v>5</v>
      </c>
      <c r="AI304" s="225">
        <f t="shared" si="115"/>
        <v>-2.2810671844146202E-3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8">
        <v>35.502000000000002</v>
      </c>
      <c r="C305" s="390"/>
      <c r="D305" s="393">
        <f t="shared" si="98"/>
        <v>36.482625149650843</v>
      </c>
      <c r="E305" s="385">
        <f t="shared" si="120"/>
        <v>37.452059962625043</v>
      </c>
      <c r="F305" s="385">
        <f t="shared" si="99"/>
        <v>37.493313615026771</v>
      </c>
      <c r="G305" s="110">
        <f t="shared" si="121"/>
        <v>0.90488492305084489</v>
      </c>
      <c r="H305" s="412" t="b">
        <f>Wh_hp&gt;='2020'!Maxi_hp</f>
        <v>0</v>
      </c>
      <c r="I305" s="380">
        <f>IF(H305,Wh_hp,'2020'!Maxi_hp)</f>
        <v>40.636688636439388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2.6879237599496841E-2</v>
      </c>
      <c r="M305" s="957"/>
      <c r="N305" s="957"/>
      <c r="O305" s="48">
        <f>IF(t&lt;Tnet,'2020'!Resal+('2020'!Salim-'2020'!Resal)*(1-EXP(('2020'!Tnet-t)/('2020'!Tau_j))),Resal+(Salim-Resal)*(1-EXP((Tnet-t)/(Tau_j))))*Salcycl</f>
        <v>2.5884686021052958E-2</v>
      </c>
      <c r="P305" s="169">
        <f>(INDEX(Models!$BJ305:$BT305,,T305)*(1-R305)+INDEX(Models!$BJ305:$BT305,,T305+1)*R305-ERP_i)*Q305*Ramure*Pc/MaxiM</f>
        <v>1.2729798814576721E-3</v>
      </c>
      <c r="Q305" s="305">
        <f t="shared" si="101"/>
        <v>0.7</v>
      </c>
      <c r="R305" s="177">
        <f t="shared" si="102"/>
        <v>0.9978184814060258</v>
      </c>
      <c r="S305" s="919">
        <f t="shared" si="103"/>
        <v>-1</v>
      </c>
      <c r="T305" s="176">
        <f t="shared" si="104"/>
        <v>5</v>
      </c>
      <c r="U305" s="251">
        <f t="shared" si="105"/>
        <v>-2.1815185939741411E-3</v>
      </c>
      <c r="V305" s="383">
        <f t="shared" si="106"/>
        <v>39.226935529405438</v>
      </c>
      <c r="W305" s="402"/>
      <c r="X305" s="157">
        <f t="shared" si="107"/>
        <v>44487</v>
      </c>
      <c r="Y305" s="385">
        <f t="shared" si="108"/>
        <v>33.060650095856452</v>
      </c>
      <c r="Z305" s="385">
        <f t="shared" si="109"/>
        <v>33.97384104137511</v>
      </c>
      <c r="AA305" s="386">
        <f t="shared" si="110"/>
        <v>37.452059962625043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9.2871231241245217E-2</v>
      </c>
      <c r="AD305" s="231">
        <f>(INDEX(Models!$BJ305:$BT305,,AH305)*(1-AF305)+INDEX(Models!$BJ305:$BT305,,AH305+1)*AF305-ERP_i)*AE305*Ramure*Pc/MaxiM</f>
        <v>1.2729798814576721E-3</v>
      </c>
      <c r="AE305" s="305">
        <f t="shared" si="112"/>
        <v>0.7</v>
      </c>
      <c r="AF305" s="177">
        <f t="shared" si="113"/>
        <v>0.9978184814060258</v>
      </c>
      <c r="AG305" s="919">
        <f t="shared" si="119"/>
        <v>-1</v>
      </c>
      <c r="AH305" s="176">
        <f t="shared" si="114"/>
        <v>5</v>
      </c>
      <c r="AI305" s="225">
        <f t="shared" si="115"/>
        <v>-2.1815185939741411E-3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8">
        <v>34.551000000000002</v>
      </c>
      <c r="C306" s="390"/>
      <c r="D306" s="393">
        <f t="shared" si="98"/>
        <v>35.506134600309487</v>
      </c>
      <c r="E306" s="385">
        <f t="shared" si="120"/>
        <v>36.452374880371806</v>
      </c>
      <c r="F306" s="385">
        <f t="shared" si="99"/>
        <v>36.491196711411874</v>
      </c>
      <c r="G306" s="110">
        <f t="shared" si="121"/>
        <v>0.88666053377500043</v>
      </c>
      <c r="H306" s="412" t="b">
        <f>Wh_hp&gt;='2020'!Maxi_hp</f>
        <v>0</v>
      </c>
      <c r="I306" s="380">
        <f>IF(H306,Wh_hp,'2020'!Maxi_hp)</f>
        <v>39.555235344496339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2.690055144164194E-2</v>
      </c>
      <c r="M306" s="957"/>
      <c r="N306" s="957"/>
      <c r="O306" s="48">
        <f>IF(t&lt;Tnet,'2020'!Resal+('2020'!Salim-'2020'!Resal)*(1-EXP(('2020'!Tnet-t)/('2020'!Tau_j))),Resal+(Salim-Resal)*(1-EXP((Tnet-t)/(Tau_j))))*Salcycl</f>
        <v>2.5958261517052422E-2</v>
      </c>
      <c r="P306" s="169">
        <f>(INDEX(Models!$BJ306:$BT306,,T306)*(1-R306)+INDEX(Models!$BJ306:$BT306,,T306+1)*R306-ERP_i)*Q306*Ramure*Pc/MaxiM</f>
        <v>1.2690077565620116E-3</v>
      </c>
      <c r="Q306" s="305">
        <f t="shared" si="101"/>
        <v>0.7</v>
      </c>
      <c r="R306" s="177">
        <f t="shared" si="102"/>
        <v>0.99791405928745602</v>
      </c>
      <c r="S306" s="919">
        <f t="shared" si="103"/>
        <v>-1</v>
      </c>
      <c r="T306" s="176">
        <f t="shared" si="104"/>
        <v>5</v>
      </c>
      <c r="U306" s="251">
        <f t="shared" si="105"/>
        <v>-2.0859407125440321E-3</v>
      </c>
      <c r="V306" s="383">
        <f t="shared" si="106"/>
        <v>38.959560469569645</v>
      </c>
      <c r="W306" s="402"/>
      <c r="X306" s="157">
        <f t="shared" si="107"/>
        <v>44488</v>
      </c>
      <c r="Y306" s="385">
        <f t="shared" si="108"/>
        <v>32.178491794236614</v>
      </c>
      <c r="Z306" s="385">
        <f t="shared" si="109"/>
        <v>33.068040313771512</v>
      </c>
      <c r="AA306" s="386">
        <f t="shared" si="110"/>
        <v>36.452374880371806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9.2842635842160987E-2</v>
      </c>
      <c r="AD306" s="231">
        <f>(INDEX(Models!$BJ306:$BT306,,AH306)*(1-AF306)+INDEX(Models!$BJ306:$BT306,,AH306+1)*AF306-ERP_i)*AE306*Ramure*Pc/MaxiM</f>
        <v>1.2690077565620116E-3</v>
      </c>
      <c r="AE306" s="305">
        <f t="shared" si="112"/>
        <v>0.7</v>
      </c>
      <c r="AF306" s="177">
        <f t="shared" si="113"/>
        <v>0.99791405928745602</v>
      </c>
      <c r="AG306" s="919">
        <f t="shared" si="119"/>
        <v>-1</v>
      </c>
      <c r="AH306" s="176">
        <f t="shared" si="114"/>
        <v>5</v>
      </c>
      <c r="AI306" s="225">
        <f t="shared" si="115"/>
        <v>-2.0859407125440321E-3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8">
        <v>28.432000000000002</v>
      </c>
      <c r="C307" s="390"/>
      <c r="D307" s="393">
        <f t="shared" si="98"/>
        <v>29.21861973052329</v>
      </c>
      <c r="E307" s="385">
        <f t="shared" si="120"/>
        <v>29.999548621704076</v>
      </c>
      <c r="F307" s="385">
        <f t="shared" si="99"/>
        <v>30.023126775449192</v>
      </c>
      <c r="G307" s="110">
        <f t="shared" si="121"/>
        <v>0.73451516885967327</v>
      </c>
      <c r="H307" s="412" t="b">
        <f>Wh_hp&gt;='2020'!Maxi_hp</f>
        <v>0</v>
      </c>
      <c r="I307" s="380">
        <f>IF(H307,Wh_hp,'2020'!Maxi_hp)</f>
        <v>32.753589060137877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2.6921864816959351E-2</v>
      </c>
      <c r="M307" s="957"/>
      <c r="N307" s="957"/>
      <c r="O307" s="48">
        <f>IF(t&lt;Tnet,'2020'!Resal+('2020'!Salim-'2020'!Resal)*(1-EXP(('2020'!Tnet-t)/('2020'!Tau_j))),Resal+(Salim-Resal)*(1-EXP((Tnet-t)/(Tau_j))))*Salcycl</f>
        <v>2.6031354705643772E-2</v>
      </c>
      <c r="P307" s="169">
        <f>(INDEX(Models!$BJ307:$BT307,,T307)*(1-R307)+INDEX(Models!$BJ307:$BT307,,T307+1)*R307-ERP_i)*Q307*Ramure*Pc/MaxiM</f>
        <v>1.2641399555927758E-3</v>
      </c>
      <c r="Q307" s="305">
        <f t="shared" si="101"/>
        <v>0.7</v>
      </c>
      <c r="R307" s="177">
        <f t="shared" si="102"/>
        <v>0.99800582340044941</v>
      </c>
      <c r="S307" s="919">
        <f t="shared" si="103"/>
        <v>-1</v>
      </c>
      <c r="T307" s="176">
        <f t="shared" si="104"/>
        <v>5</v>
      </c>
      <c r="U307" s="251">
        <f t="shared" si="105"/>
        <v>-1.9941765995506455E-3</v>
      </c>
      <c r="V307" s="383">
        <f t="shared" si="106"/>
        <v>38.689978188900788</v>
      </c>
      <c r="W307" s="402"/>
      <c r="X307" s="157">
        <f t="shared" si="107"/>
        <v>44489</v>
      </c>
      <c r="Y307" s="385">
        <f t="shared" si="108"/>
        <v>26.482518249822085</v>
      </c>
      <c r="Z307" s="385">
        <f t="shared" si="109"/>
        <v>27.215202245645564</v>
      </c>
      <c r="AA307" s="386">
        <f t="shared" si="110"/>
        <v>29.999548621704076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9.2812942326875369E-2</v>
      </c>
      <c r="AD307" s="231">
        <f>(INDEX(Models!$BJ307:$BT307,,AH307)*(1-AF307)+INDEX(Models!$BJ307:$BT307,,AH307+1)*AF307-ERP_i)*AE307*Ramure*Pc/MaxiM</f>
        <v>1.2641399555927758E-3</v>
      </c>
      <c r="AE307" s="305">
        <f t="shared" si="112"/>
        <v>0.7</v>
      </c>
      <c r="AF307" s="177">
        <f t="shared" si="113"/>
        <v>0.99800582340044941</v>
      </c>
      <c r="AG307" s="919">
        <f t="shared" si="119"/>
        <v>-1</v>
      </c>
      <c r="AH307" s="176">
        <f t="shared" si="114"/>
        <v>5</v>
      </c>
      <c r="AI307" s="225">
        <f t="shared" si="115"/>
        <v>-1.9941765995506455E-3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8">
        <v>13.711</v>
      </c>
      <c r="C308" s="390"/>
      <c r="D308" s="393">
        <f t="shared" si="98"/>
        <v>14.090646801026734</v>
      </c>
      <c r="E308" s="385">
        <f t="shared" si="120"/>
        <v>14.468327709464894</v>
      </c>
      <c r="F308" s="385">
        <f t="shared" si="99"/>
        <v>14.469807523722899</v>
      </c>
      <c r="G308" s="110">
        <f t="shared" si="121"/>
        <v>0.35647655810618095</v>
      </c>
      <c r="H308" s="412" t="b">
        <f>Wh_hp&gt;='2020'!Maxi_hp</f>
        <v>0</v>
      </c>
      <c r="I308" s="380">
        <f>IF(H308,Wh_hp,'2020'!Maxi_hp)</f>
        <v>25.301063614108177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2.6943177725459067E-2</v>
      </c>
      <c r="M308" s="957"/>
      <c r="N308" s="957"/>
      <c r="O308" s="48">
        <f>IF(t&lt;Tnet,'2020'!Resal+('2020'!Salim-'2020'!Resal)*(1-EXP(('2020'!Tnet-t)/('2020'!Tau_j))),Resal+(Salim-Resal)*(1-EXP((Tnet-t)/(Tau_j))))*Salcycl</f>
        <v>2.6103978014756335E-2</v>
      </c>
      <c r="P308" s="169">
        <f>(INDEX(Models!$BJ308:$BT308,,T308)*(1-R308)+INDEX(Models!$BJ308:$BT308,,T308+1)*R308-ERP_i)*Q308*Ramure*Pc/MaxiM</f>
        <v>1.2583823872086991E-3</v>
      </c>
      <c r="Q308" s="305">
        <f t="shared" si="101"/>
        <v>0.7</v>
      </c>
      <c r="R308" s="177">
        <f t="shared" si="102"/>
        <v>0.99809392459573465</v>
      </c>
      <c r="S308" s="919">
        <f t="shared" si="103"/>
        <v>-1</v>
      </c>
      <c r="T308" s="176">
        <f t="shared" si="104"/>
        <v>5</v>
      </c>
      <c r="U308" s="251">
        <f t="shared" si="105"/>
        <v>-1.9060754042653505E-3</v>
      </c>
      <c r="V308" s="383">
        <f t="shared" si="106"/>
        <v>38.41808556011808</v>
      </c>
      <c r="W308" s="402"/>
      <c r="X308" s="157">
        <f t="shared" si="107"/>
        <v>44490</v>
      </c>
      <c r="Y308" s="385">
        <f t="shared" si="108"/>
        <v>12.772270265519964</v>
      </c>
      <c r="Z308" s="385">
        <f t="shared" si="109"/>
        <v>13.125924378870817</v>
      </c>
      <c r="AA308" s="386">
        <f t="shared" si="110"/>
        <v>14.468327709464894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9.2782203828290555E-2</v>
      </c>
      <c r="AD308" s="231">
        <f>(INDEX(Models!$BJ308:$BT308,,AH308)*(1-AF308)+INDEX(Models!$BJ308:$BT308,,AH308+1)*AF308-ERP_i)*AE308*Ramure*Pc/MaxiM</f>
        <v>1.2583823872086991E-3</v>
      </c>
      <c r="AE308" s="305">
        <f t="shared" si="112"/>
        <v>0.7</v>
      </c>
      <c r="AF308" s="177">
        <f t="shared" si="113"/>
        <v>0.99809392459573465</v>
      </c>
      <c r="AG308" s="919">
        <f t="shared" si="119"/>
        <v>-1</v>
      </c>
      <c r="AH308" s="176">
        <f t="shared" si="114"/>
        <v>5</v>
      </c>
      <c r="AI308" s="225">
        <f t="shared" si="115"/>
        <v>-1.9060754042653505E-3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8">
        <v>14.129</v>
      </c>
      <c r="C309" s="390"/>
      <c r="D309" s="393">
        <f t="shared" si="98"/>
        <v>14.520538929177546</v>
      </c>
      <c r="E309" s="385">
        <f t="shared" si="120"/>
        <v>14.910847439416356</v>
      </c>
      <c r="F309" s="385">
        <f t="shared" si="99"/>
        <v>14.912725174836</v>
      </c>
      <c r="G309" s="110">
        <f t="shared" si="121"/>
        <v>0.36999718986441532</v>
      </c>
      <c r="H309" s="412" t="b">
        <f>Wh_hp&gt;='2020'!Maxi_hp</f>
        <v>0</v>
      </c>
      <c r="I309" s="380">
        <f>IF(H309,Wh_hp,'2020'!Maxi_hp)</f>
        <v>27.955272529178899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2.69644901671513E-2</v>
      </c>
      <c r="M309" s="957"/>
      <c r="N309" s="957"/>
      <c r="O309" s="48">
        <f>IF(t&lt;Tnet,'2020'!Resal+('2020'!Salim-'2020'!Resal)*(1-EXP(('2020'!Tnet-t)/('2020'!Tau_j))),Resal+(Salim-Resal)*(1-EXP((Tnet-t)/(Tau_j))))*Salcycl</f>
        <v>2.6176145375013459E-2</v>
      </c>
      <c r="P309" s="169">
        <f>(INDEX(Models!$BJ309:$BT309,,T309)*(1-R309)+INDEX(Models!$BJ309:$BT309,,T309+1)*R309-ERP_i)*Q309*Ramure*Pc/MaxiM</f>
        <v>1.2517418587081838E-3</v>
      </c>
      <c r="Q309" s="305">
        <f t="shared" si="101"/>
        <v>0.7</v>
      </c>
      <c r="R309" s="177">
        <f t="shared" si="102"/>
        <v>0.99817850786158058</v>
      </c>
      <c r="S309" s="919">
        <f t="shared" si="103"/>
        <v>-1</v>
      </c>
      <c r="T309" s="176">
        <f t="shared" si="104"/>
        <v>5</v>
      </c>
      <c r="U309" s="251">
        <f t="shared" si="105"/>
        <v>-1.8214921384194227E-3</v>
      </c>
      <c r="V309" s="383">
        <f t="shared" si="106"/>
        <v>38.143779399990031</v>
      </c>
      <c r="W309" s="402"/>
      <c r="X309" s="157">
        <f t="shared" si="107"/>
        <v>44491</v>
      </c>
      <c r="Y309" s="385">
        <f t="shared" si="108"/>
        <v>13.163087383611936</v>
      </c>
      <c r="Z309" s="385">
        <f t="shared" si="109"/>
        <v>13.527859210269865</v>
      </c>
      <c r="AA309" s="386">
        <f t="shared" si="110"/>
        <v>14.910847439416356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9.2750478117736262E-2</v>
      </c>
      <c r="AD309" s="231">
        <f>(INDEX(Models!$BJ309:$BT309,,AH309)*(1-AF309)+INDEX(Models!$BJ309:$BT309,,AH309+1)*AF309-ERP_i)*AE309*Ramure*Pc/MaxiM</f>
        <v>1.2517418587081838E-3</v>
      </c>
      <c r="AE309" s="305">
        <f t="shared" si="112"/>
        <v>0.7</v>
      </c>
      <c r="AF309" s="177">
        <f t="shared" si="113"/>
        <v>0.99817850786158058</v>
      </c>
      <c r="AG309" s="919">
        <f t="shared" si="119"/>
        <v>-1</v>
      </c>
      <c r="AH309" s="176">
        <f t="shared" si="114"/>
        <v>5</v>
      </c>
      <c r="AI309" s="225">
        <f t="shared" si="115"/>
        <v>-1.8214921384194227E-3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8">
        <v>38.247</v>
      </c>
      <c r="C310" s="390"/>
      <c r="D310" s="393">
        <f t="shared" si="98"/>
        <v>39.30775119643581</v>
      </c>
      <c r="E310" s="385">
        <f t="shared" si="120"/>
        <v>40.367307114742296</v>
      </c>
      <c r="F310" s="385">
        <f t="shared" si="99"/>
        <v>40.417600881584974</v>
      </c>
      <c r="G310" s="110">
        <f t="shared" si="121"/>
        <v>1.0100364123815417</v>
      </c>
      <c r="H310" s="412" t="b">
        <f>Wh_hp&gt;='2020'!Maxi_hp</f>
        <v>1</v>
      </c>
      <c r="I310" s="380">
        <f>IF(H310,Wh_hp,'2020'!Maxi_hp)</f>
        <v>40.417600881584974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2.6985802142046489E-2</v>
      </c>
      <c r="M310" s="957"/>
      <c r="N310" s="957"/>
      <c r="O310" s="48">
        <f>IF(t&lt;Tnet,'2020'!Resal+('2020'!Salim-'2020'!Resal)*(1-EXP(('2020'!Tnet-t)/('2020'!Tau_j))),Resal+(Salim-Resal)*(1-EXP((Tnet-t)/(Tau_j))))*Salcycl</f>
        <v>2.6247872202491623E-2</v>
      </c>
      <c r="P310" s="169">
        <f>(INDEX(Models!$BJ310:$BT310,,T310)*(1-R310)+INDEX(Models!$BJ310:$BT310,,T310+1)*R310-ERP_i)*Q310*Ramure*Pc/MaxiM</f>
        <v>1.2443530973060043E-3</v>
      </c>
      <c r="Q310" s="305">
        <f t="shared" si="101"/>
        <v>0.7</v>
      </c>
      <c r="R310" s="177">
        <f t="shared" si="102"/>
        <v>0.99825971254340229</v>
      </c>
      <c r="S310" s="919">
        <f t="shared" si="103"/>
        <v>-1</v>
      </c>
      <c r="T310" s="176">
        <f t="shared" si="104"/>
        <v>5</v>
      </c>
      <c r="U310" s="251">
        <f t="shared" si="105"/>
        <v>-1.7402874565976556E-3</v>
      </c>
      <c r="V310" s="383">
        <f t="shared" si="106"/>
        <v>37.866951657533093</v>
      </c>
      <c r="W310" s="402"/>
      <c r="X310" s="157">
        <f t="shared" si="107"/>
        <v>44492</v>
      </c>
      <c r="Y310" s="385">
        <f t="shared" si="108"/>
        <v>35.636195559384191</v>
      </c>
      <c r="Z310" s="385">
        <f t="shared" si="109"/>
        <v>36.624538098041789</v>
      </c>
      <c r="AA310" s="386">
        <f t="shared" si="110"/>
        <v>40.367307114742296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9.2717827475136044E-2</v>
      </c>
      <c r="AD310" s="231">
        <f>(INDEX(Models!$BJ310:$BT310,,AH310)*(1-AF310)+INDEX(Models!$BJ310:$BT310,,AH310+1)*AF310-ERP_i)*AE310*Ramure*Pc/MaxiM</f>
        <v>1.2443530973060043E-3</v>
      </c>
      <c r="AE310" s="305">
        <f t="shared" si="112"/>
        <v>0.7</v>
      </c>
      <c r="AF310" s="177">
        <f t="shared" si="113"/>
        <v>0.99825971254340229</v>
      </c>
      <c r="AG310" s="919">
        <f t="shared" si="119"/>
        <v>-1</v>
      </c>
      <c r="AH310" s="176">
        <f t="shared" si="114"/>
        <v>5</v>
      </c>
      <c r="AI310" s="225">
        <f t="shared" si="115"/>
        <v>-1.7402874565976556E-3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8">
        <v>39.352000000000004</v>
      </c>
      <c r="C311" s="390"/>
      <c r="D311" s="393">
        <f t="shared" si="98"/>
        <v>40.444283357124931</v>
      </c>
      <c r="E311" s="385">
        <f t="shared" si="120"/>
        <v>41.537516539438244</v>
      </c>
      <c r="F311" s="385">
        <f t="shared" si="99"/>
        <v>41.588960428568228</v>
      </c>
      <c r="G311" s="110">
        <f t="shared" si="121"/>
        <v>1.0469445923345255</v>
      </c>
      <c r="H311" s="412" t="b">
        <f>Wh_hp&gt;='2020'!Maxi_hp</f>
        <v>1</v>
      </c>
      <c r="I311" s="380">
        <f>IF(H311,Wh_hp,'2020'!Maxi_hp)</f>
        <v>41.588960428568228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2.7007113650154624E-2</v>
      </c>
      <c r="M311" s="957"/>
      <c r="N311" s="957"/>
      <c r="O311" s="48">
        <f>IF(t&lt;Tnet,'2020'!Resal+('2020'!Salim-'2020'!Resal)*(1-EXP(('2020'!Tnet-t)/('2020'!Tau_j))),Resal+(Salim-Resal)*(1-EXP((Tnet-t)/(Tau_j))))*Salcycl</f>
        <v>2.6319175371867395E-2</v>
      </c>
      <c r="P311" s="169">
        <f>(INDEX(Models!$BJ311:$BT311,,T311)*(1-R311)+INDEX(Models!$BJ311:$BT311,,T311+1)*R311-ERP_i)*Q311*Ramure*Pc/MaxiM</f>
        <v>1.2369602077056704E-3</v>
      </c>
      <c r="Q311" s="305">
        <f t="shared" si="101"/>
        <v>0.7</v>
      </c>
      <c r="R311" s="177">
        <f t="shared" si="102"/>
        <v>0.99833767255579509</v>
      </c>
      <c r="S311" s="919">
        <f t="shared" si="103"/>
        <v>-1</v>
      </c>
      <c r="T311" s="176">
        <f t="shared" si="104"/>
        <v>5</v>
      </c>
      <c r="U311" s="251">
        <f t="shared" si="105"/>
        <v>-1.6623274442049696E-3</v>
      </c>
      <c r="V311" s="383">
        <f t="shared" si="106"/>
        <v>37.58747147473305</v>
      </c>
      <c r="W311" s="402"/>
      <c r="X311" s="157">
        <f t="shared" si="107"/>
        <v>44493</v>
      </c>
      <c r="Y311" s="385">
        <f t="shared" si="108"/>
        <v>36.66980574555452</v>
      </c>
      <c r="Z311" s="385">
        <f t="shared" si="109"/>
        <v>37.687640125633635</v>
      </c>
      <c r="AA311" s="386">
        <f t="shared" si="110"/>
        <v>41.537516539438244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9.2684318528029969E-2</v>
      </c>
      <c r="AD311" s="231">
        <f>(INDEX(Models!$BJ311:$BT311,,AH311)*(1-AF311)+INDEX(Models!$BJ311:$BT311,,AH311+1)*AF311-ERP_i)*AE311*Ramure*Pc/MaxiM</f>
        <v>1.2369602077056704E-3</v>
      </c>
      <c r="AE311" s="305">
        <f t="shared" si="112"/>
        <v>0.7</v>
      </c>
      <c r="AF311" s="177">
        <f t="shared" si="113"/>
        <v>0.99833767255579509</v>
      </c>
      <c r="AG311" s="919">
        <f t="shared" si="119"/>
        <v>-1</v>
      </c>
      <c r="AH311" s="176">
        <f t="shared" si="114"/>
        <v>5</v>
      </c>
      <c r="AI311" s="225">
        <f t="shared" si="115"/>
        <v>-1.6623274442049696E-3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8">
        <v>34.616</v>
      </c>
      <c r="C312" s="390"/>
      <c r="D312" s="393">
        <f t="shared" si="98"/>
        <v>35.577606662377384</v>
      </c>
      <c r="E312" s="385">
        <f t="shared" si="120"/>
        <v>36.541951434880268</v>
      </c>
      <c r="F312" s="385">
        <f t="shared" si="99"/>
        <v>36.582300259815973</v>
      </c>
      <c r="G312" s="110">
        <f t="shared" si="121"/>
        <v>0.92779501802744635</v>
      </c>
      <c r="H312" s="412" t="b">
        <f>Wh_hp&gt;='2020'!Maxi_hp</f>
        <v>0</v>
      </c>
      <c r="I312" s="380">
        <f>IF(H312,Wh_hp,'2020'!Maxi_hp)</f>
        <v>39.380465592356508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2.7028424691486141E-2</v>
      </c>
      <c r="M312" s="957"/>
      <c r="N312" s="957"/>
      <c r="O312" s="48">
        <f>IF(t&lt;Tnet,'2020'!Resal+('2020'!Salim-'2020'!Resal)*(1-EXP(('2020'!Tnet-t)/('2020'!Tau_j))),Resal+(Salim-Resal)*(1-EXP((Tnet-t)/(Tau_j))))*Salcycl</f>
        <v>2.6390073179901049E-2</v>
      </c>
      <c r="P312" s="169">
        <f>(INDEX(Models!$BJ312:$BT312,,T312)*(1-R312)+INDEX(Models!$BJ312:$BT312,,T312+1)*R312-ERP_i)*Q312*Ramure*Pc/MaxiM</f>
        <v>1.2295853853054857E-3</v>
      </c>
      <c r="Q312" s="305">
        <f t="shared" si="101"/>
        <v>0.7</v>
      </c>
      <c r="R312" s="177">
        <f t="shared" si="102"/>
        <v>0.99841251658720331</v>
      </c>
      <c r="S312" s="919">
        <f t="shared" si="103"/>
        <v>-1</v>
      </c>
      <c r="T312" s="176">
        <f t="shared" si="104"/>
        <v>5</v>
      </c>
      <c r="U312" s="251">
        <f t="shared" si="105"/>
        <v>-1.5874834127967419E-3</v>
      </c>
      <c r="V312" s="383">
        <f t="shared" si="106"/>
        <v>37.305235783442001</v>
      </c>
      <c r="W312" s="402"/>
      <c r="X312" s="157">
        <f t="shared" si="107"/>
        <v>44494</v>
      </c>
      <c r="Y312" s="385">
        <f t="shared" si="108"/>
        <v>32.260175221259061</v>
      </c>
      <c r="Z312" s="385">
        <f t="shared" si="109"/>
        <v>33.156338828325865</v>
      </c>
      <c r="AA312" s="386">
        <f t="shared" si="110"/>
        <v>36.541951434880268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9.2650022059925952E-2</v>
      </c>
      <c r="AD312" s="231">
        <f>(INDEX(Models!$BJ312:$BT312,,AH312)*(1-AF312)+INDEX(Models!$BJ312:$BT312,,AH312+1)*AF312-ERP_i)*AE312*Ramure*Pc/MaxiM</f>
        <v>1.2295853853054857E-3</v>
      </c>
      <c r="AE312" s="305">
        <f t="shared" si="112"/>
        <v>0.7</v>
      </c>
      <c r="AF312" s="177">
        <f t="shared" si="113"/>
        <v>0.99841251658720331</v>
      </c>
      <c r="AG312" s="919">
        <f t="shared" si="119"/>
        <v>-1</v>
      </c>
      <c r="AH312" s="176">
        <f t="shared" si="114"/>
        <v>5</v>
      </c>
      <c r="AI312" s="225">
        <f t="shared" si="115"/>
        <v>-1.5874834127967419E-3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8">
        <v>29.347000000000001</v>
      </c>
      <c r="C313" s="390"/>
      <c r="D313" s="393">
        <f t="shared" si="98"/>
        <v>30.162898417037663</v>
      </c>
      <c r="E313" s="385">
        <f t="shared" si="120"/>
        <v>30.982719303984545</v>
      </c>
      <c r="F313" s="385">
        <f t="shared" si="99"/>
        <v>31.009397822625154</v>
      </c>
      <c r="G313" s="110">
        <f t="shared" si="121"/>
        <v>0.79244347915437086</v>
      </c>
      <c r="H313" s="412" t="b">
        <f>Wh_hp&gt;='2020'!Maxi_hp</f>
        <v>0</v>
      </c>
      <c r="I313" s="380">
        <f>IF(H313,Wh_hp,'2020'!Maxi_hp)</f>
        <v>38.95254653773808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2.7049735266051145E-2</v>
      </c>
      <c r="M313" s="957"/>
      <c r="N313" s="957"/>
      <c r="O313" s="48">
        <f>IF(t&lt;Tnet,'2020'!Resal+('2020'!Salim-'2020'!Resal)*(1-EXP(('2020'!Tnet-t)/('2020'!Tau_j))),Resal+(Salim-Resal)*(1-EXP((Tnet-t)/(Tau_j))))*Salcycl</f>
        <v>2.6460585299284814E-2</v>
      </c>
      <c r="P313" s="169">
        <f>(INDEX(Models!$BJ313:$BT313,,T313)*(1-R313)+INDEX(Models!$BJ313:$BT313,,T313+1)*R313-ERP_i)*Q313*Ramure*Pc/MaxiM</f>
        <v>1.222241055453056E-3</v>
      </c>
      <c r="Q313" s="305">
        <f t="shared" si="101"/>
        <v>0.7</v>
      </c>
      <c r="R313" s="177">
        <f t="shared" si="102"/>
        <v>0.9984843682974327</v>
      </c>
      <c r="S313" s="919">
        <f t="shared" si="103"/>
        <v>-1</v>
      </c>
      <c r="T313" s="176">
        <f t="shared" si="104"/>
        <v>5</v>
      </c>
      <c r="U313" s="251">
        <f t="shared" si="105"/>
        <v>-1.5156317025672439E-3</v>
      </c>
      <c r="V313" s="383">
        <f t="shared" si="106"/>
        <v>37.020141896716368</v>
      </c>
      <c r="W313" s="402"/>
      <c r="X313" s="157">
        <f t="shared" si="107"/>
        <v>44495</v>
      </c>
      <c r="Y313" s="385">
        <f t="shared" si="108"/>
        <v>27.352798271527526</v>
      </c>
      <c r="Z313" s="385">
        <f t="shared" si="109"/>
        <v>28.11325435941691</v>
      </c>
      <c r="AA313" s="386">
        <f t="shared" si="110"/>
        <v>30.982719303984545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9.261501278871305E-2</v>
      </c>
      <c r="AD313" s="231">
        <f>(INDEX(Models!$BJ313:$BT313,,AH313)*(1-AF313)+INDEX(Models!$BJ313:$BT313,,AH313+1)*AF313-ERP_i)*AE313*Ramure*Pc/MaxiM</f>
        <v>1.222241055453056E-3</v>
      </c>
      <c r="AE313" s="305">
        <f t="shared" si="112"/>
        <v>0.7</v>
      </c>
      <c r="AF313" s="177">
        <f t="shared" si="113"/>
        <v>0.9984843682974327</v>
      </c>
      <c r="AG313" s="919">
        <f t="shared" si="119"/>
        <v>-1</v>
      </c>
      <c r="AH313" s="176">
        <f t="shared" si="114"/>
        <v>5</v>
      </c>
      <c r="AI313" s="225">
        <f t="shared" si="115"/>
        <v>-1.5156317025672439E-3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8">
        <v>31.406000000000002</v>
      </c>
      <c r="C314" s="390"/>
      <c r="D314" s="393">
        <f t="shared" si="98"/>
        <v>32.279849264089528</v>
      </c>
      <c r="E314" s="385">
        <f t="shared" si="120"/>
        <v>33.159597687538621</v>
      </c>
      <c r="F314" s="385">
        <f t="shared" si="99"/>
        <v>33.191570367929572</v>
      </c>
      <c r="G314" s="110">
        <f t="shared" si="121"/>
        <v>0.85478640352178248</v>
      </c>
      <c r="H314" s="412" t="b">
        <f>Wh_hp&gt;='2020'!Maxi_hp</f>
        <v>1</v>
      </c>
      <c r="I314" s="380">
        <f>IF(H314,Wh_hp,'2020'!Maxi_hp)</f>
        <v>33.191570367929572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2.7071045373859848E-2</v>
      </c>
      <c r="M314" s="957"/>
      <c r="N314" s="957"/>
      <c r="O314" s="48">
        <f>IF(t&lt;Tnet,'2020'!Resal+('2020'!Salim-'2020'!Resal)*(1-EXP(('2020'!Tnet-t)/('2020'!Tau_j))),Resal+(Salim-Resal)*(1-EXP((Tnet-t)/(Tau_j))))*Salcycl</f>
        <v>2.6530732722963687E-2</v>
      </c>
      <c r="P314" s="169">
        <f>(INDEX(Models!$BJ314:$BT314,,T314)*(1-R314)+INDEX(Models!$BJ314:$BT314,,T314+1)*R314-ERP_i)*Q314*Ramure*Pc/MaxiM</f>
        <v>1.2149402143298267E-3</v>
      </c>
      <c r="Q314" s="305">
        <f t="shared" si="101"/>
        <v>0.7</v>
      </c>
      <c r="R314" s="177">
        <f t="shared" si="102"/>
        <v>0.99855334650821004</v>
      </c>
      <c r="S314" s="919">
        <f t="shared" si="103"/>
        <v>-1</v>
      </c>
      <c r="T314" s="176">
        <f t="shared" si="104"/>
        <v>5</v>
      </c>
      <c r="U314" s="251">
        <f t="shared" si="105"/>
        <v>-1.4466534917899621E-3</v>
      </c>
      <c r="V314" s="383">
        <f t="shared" si="106"/>
        <v>36.732087125797982</v>
      </c>
      <c r="W314" s="402"/>
      <c r="X314" s="157">
        <f t="shared" si="107"/>
        <v>44496</v>
      </c>
      <c r="Y314" s="385">
        <f t="shared" si="108"/>
        <v>29.275143336834883</v>
      </c>
      <c r="Z314" s="385">
        <f t="shared" si="109"/>
        <v>30.089703053481653</v>
      </c>
      <c r="AA314" s="386">
        <f t="shared" si="110"/>
        <v>33.159597687538621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9.2579369116128699E-2</v>
      </c>
      <c r="AD314" s="231">
        <f>(INDEX(Models!$BJ314:$BT314,,AH314)*(1-AF314)+INDEX(Models!$BJ314:$BT314,,AH314+1)*AF314-ERP_i)*AE314*Ramure*Pc/MaxiM</f>
        <v>1.2149402143298267E-3</v>
      </c>
      <c r="AE314" s="305">
        <f t="shared" si="112"/>
        <v>0.7</v>
      </c>
      <c r="AF314" s="177">
        <f t="shared" si="113"/>
        <v>0.99855334650821004</v>
      </c>
      <c r="AG314" s="919">
        <f t="shared" si="119"/>
        <v>-1</v>
      </c>
      <c r="AH314" s="176">
        <f t="shared" si="114"/>
        <v>5</v>
      </c>
      <c r="AI314" s="225">
        <f t="shared" si="115"/>
        <v>-1.4466534917899621E-3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8">
        <v>36.337000000000003</v>
      </c>
      <c r="C315" s="390"/>
      <c r="D315" s="393">
        <f t="shared" si="98"/>
        <v>37.348868813295574</v>
      </c>
      <c r="E315" s="385">
        <f t="shared" si="120"/>
        <v>38.369518640386154</v>
      </c>
      <c r="F315" s="385">
        <f t="shared" si="99"/>
        <v>38.41572407667438</v>
      </c>
      <c r="G315" s="110">
        <f t="shared" si="121"/>
        <v>0.99714201174397965</v>
      </c>
      <c r="H315" s="412" t="b">
        <f>Wh_hp&gt;='2020'!Maxi_hp</f>
        <v>1</v>
      </c>
      <c r="I315" s="380">
        <f>IF(H315,Wh_hp,'2020'!Maxi_hp)</f>
        <v>38.41572407667438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2.7092355014922465E-2</v>
      </c>
      <c r="M315" s="957"/>
      <c r="N315" s="957"/>
      <c r="O315" s="48">
        <f>IF(t&lt;Tnet,'2020'!Resal+('2020'!Salim-'2020'!Resal)*(1-EXP(('2020'!Tnet-t)/('2020'!Tau_j))),Resal+(Salim-Resal)*(1-EXP((Tnet-t)/(Tau_j))))*Salcycl</f>
        <v>2.660053769911741E-2</v>
      </c>
      <c r="P315" s="169">
        <f>(INDEX(Models!$BJ315:$BT315,,T315)*(1-R315)+INDEX(Models!$BJ315:$BT315,,T315+1)*R315-ERP_i)*Q315*Ramure*Pc/MaxiM</f>
        <v>1.2076964099294271E-3</v>
      </c>
      <c r="Q315" s="305">
        <f t="shared" si="101"/>
        <v>0.7</v>
      </c>
      <c r="R315" s="177">
        <f t="shared" si="102"/>
        <v>0.99861956538699215</v>
      </c>
      <c r="S315" s="919">
        <f t="shared" si="103"/>
        <v>-1</v>
      </c>
      <c r="T315" s="176">
        <f t="shared" si="104"/>
        <v>5</v>
      </c>
      <c r="U315" s="251">
        <f t="shared" si="105"/>
        <v>-1.3804346130078526E-3</v>
      </c>
      <c r="V315" s="383">
        <f t="shared" si="106"/>
        <v>36.440968781875291</v>
      </c>
      <c r="W315" s="402"/>
      <c r="X315" s="157">
        <f t="shared" si="107"/>
        <v>44497</v>
      </c>
      <c r="Y315" s="385">
        <f t="shared" si="108"/>
        <v>33.875361560426214</v>
      </c>
      <c r="Z315" s="385">
        <f t="shared" si="109"/>
        <v>34.818681644695879</v>
      </c>
      <c r="AA315" s="386">
        <f t="shared" si="110"/>
        <v>38.369518640386154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9.2543172849523722E-2</v>
      </c>
      <c r="AD315" s="231">
        <f>(INDEX(Models!$BJ315:$BT315,,AH315)*(1-AF315)+INDEX(Models!$BJ315:$BT315,,AH315+1)*AF315-ERP_i)*AE315*Ramure*Pc/MaxiM</f>
        <v>1.2076964099294271E-3</v>
      </c>
      <c r="AE315" s="305">
        <f t="shared" si="112"/>
        <v>0.7</v>
      </c>
      <c r="AF315" s="177">
        <f t="shared" si="113"/>
        <v>0.99861956538699215</v>
      </c>
      <c r="AG315" s="919">
        <f t="shared" si="119"/>
        <v>-1</v>
      </c>
      <c r="AH315" s="176">
        <f t="shared" si="114"/>
        <v>5</v>
      </c>
      <c r="AI315" s="225">
        <f t="shared" si="115"/>
        <v>-1.3804346130078526E-3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8">
        <v>17.423000000000002</v>
      </c>
      <c r="C316" s="390"/>
      <c r="D316" s="393">
        <f t="shared" si="98"/>
        <v>17.9085668681744</v>
      </c>
      <c r="E316" s="385">
        <f t="shared" si="120"/>
        <v>18.399275994213063</v>
      </c>
      <c r="F316" s="385">
        <f t="shared" si="99"/>
        <v>18.405021127395965</v>
      </c>
      <c r="G316" s="110">
        <f t="shared" si="121"/>
        <v>0.48157991333791733</v>
      </c>
      <c r="H316" s="412" t="b">
        <f>Wh_hp&gt;='2020'!Maxi_hp</f>
        <v>0</v>
      </c>
      <c r="I316" s="380">
        <f>IF(H316,Wh_hp,'2020'!Maxi_hp)</f>
        <v>30.720187323726929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2.711366418924932E-2</v>
      </c>
      <c r="M316" s="957"/>
      <c r="N316" s="957"/>
      <c r="O316" s="48">
        <f>IF(t&lt;Tnet,'2020'!Resal+('2020'!Salim-'2020'!Resal)*(1-EXP(('2020'!Tnet-t)/('2020'!Tau_j))),Resal+(Salim-Resal)*(1-EXP((Tnet-t)/(Tau_j))))*Salcycl</f>
        <v>2.6670023657072255E-2</v>
      </c>
      <c r="P316" s="169">
        <f>(INDEX(Models!$BJ316:$BT316,,T316)*(1-R316)+INDEX(Models!$BJ316:$BT316,,T316+1)*R316-ERP_i)*Q316*Ramure*Pc/MaxiM</f>
        <v>1.2005237213817243E-3</v>
      </c>
      <c r="Q316" s="305">
        <f t="shared" si="101"/>
        <v>0.7</v>
      </c>
      <c r="R316" s="177">
        <f t="shared" si="102"/>
        <v>0.99868313462422831</v>
      </c>
      <c r="S316" s="919">
        <f t="shared" si="103"/>
        <v>-1</v>
      </c>
      <c r="T316" s="176">
        <f t="shared" si="104"/>
        <v>5</v>
      </c>
      <c r="U316" s="251">
        <f t="shared" si="105"/>
        <v>-1.3168653757716919E-3</v>
      </c>
      <c r="V316" s="383">
        <f t="shared" si="106"/>
        <v>36.146684184795951</v>
      </c>
      <c r="W316" s="402"/>
      <c r="X316" s="157">
        <f t="shared" si="107"/>
        <v>44498</v>
      </c>
      <c r="Y316" s="385">
        <f t="shared" si="108"/>
        <v>16.24450030285481</v>
      </c>
      <c r="Z316" s="385">
        <f t="shared" si="109"/>
        <v>16.697223205748415</v>
      </c>
      <c r="AA316" s="386">
        <f t="shared" si="110"/>
        <v>18.399275994213063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9.2506508897414144E-2</v>
      </c>
      <c r="AD316" s="231">
        <f>(INDEX(Models!$BJ316:$BT316,,AH316)*(1-AF316)+INDEX(Models!$BJ316:$BT316,,AH316+1)*AF316-ERP_i)*AE316*Ramure*Pc/MaxiM</f>
        <v>1.2005237213817243E-3</v>
      </c>
      <c r="AE316" s="305">
        <f t="shared" si="112"/>
        <v>0.7</v>
      </c>
      <c r="AF316" s="177">
        <f t="shared" si="113"/>
        <v>0.99868313462422831</v>
      </c>
      <c r="AG316" s="919">
        <f t="shared" si="119"/>
        <v>-1</v>
      </c>
      <c r="AH316" s="176">
        <f t="shared" si="114"/>
        <v>5</v>
      </c>
      <c r="AI316" s="225">
        <f t="shared" si="115"/>
        <v>-1.3168653757716919E-3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8">
        <v>11.609</v>
      </c>
      <c r="C317" s="390"/>
      <c r="D317" s="393">
        <f t="shared" si="98"/>
        <v>11.932796098722479</v>
      </c>
      <c r="E317" s="385">
        <f t="shared" si="120"/>
        <v>12.260635879055599</v>
      </c>
      <c r="F317" s="385">
        <f t="shared" si="99"/>
        <v>12.261134585784506</v>
      </c>
      <c r="G317" s="110">
        <f t="shared" si="121"/>
        <v>0.32348159565757972</v>
      </c>
      <c r="H317" s="412" t="b">
        <f>Wh_hp&gt;='2020'!Maxi_hp</f>
        <v>0</v>
      </c>
      <c r="I317" s="380">
        <f>IF(H317,Wh_hp,'2020'!Maxi_hp)</f>
        <v>35.207799824990232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2.7134972896850518E-2</v>
      </c>
      <c r="M317" s="957"/>
      <c r="N317" s="957"/>
      <c r="O317" s="48">
        <f>IF(t&lt;Tnet,'2020'!Resal+('2020'!Salim-'2020'!Resal)*(1-EXP(('2020'!Tnet-t)/('2020'!Tau_j))),Resal+(Salim-Resal)*(1-EXP((Tnet-t)/(Tau_j))))*Salcycl</f>
        <v>2.6739215124490952E-2</v>
      </c>
      <c r="P317" s="169">
        <f>(INDEX(Models!$BJ317:$BT317,,T317)*(1-R317)+INDEX(Models!$BJ317:$BT317,,T317+1)*R317-ERP_i)*Q317*Ramure*Pc/MaxiM</f>
        <v>1.193531112171211E-3</v>
      </c>
      <c r="Q317" s="305">
        <f t="shared" si="101"/>
        <v>0.7</v>
      </c>
      <c r="R317" s="177">
        <f t="shared" si="102"/>
        <v>0.99874415960427099</v>
      </c>
      <c r="S317" s="919">
        <f t="shared" si="103"/>
        <v>-1</v>
      </c>
      <c r="T317" s="176">
        <f t="shared" si="104"/>
        <v>5</v>
      </c>
      <c r="U317" s="251">
        <f t="shared" si="105"/>
        <v>-1.2558403957290132E-3</v>
      </c>
      <c r="V317" s="383">
        <f t="shared" si="106"/>
        <v>35.846292619259067</v>
      </c>
      <c r="W317" s="402"/>
      <c r="X317" s="157">
        <f t="shared" si="107"/>
        <v>44499</v>
      </c>
      <c r="Y317" s="385">
        <f t="shared" si="108"/>
        <v>10.824973270502046</v>
      </c>
      <c r="Z317" s="385">
        <f t="shared" si="109"/>
        <v>11.126901439488494</v>
      </c>
      <c r="AA317" s="386">
        <f t="shared" si="110"/>
        <v>12.260635879055599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9.2469464940543797E-2</v>
      </c>
      <c r="AD317" s="231">
        <f>(INDEX(Models!$BJ317:$BT317,,AH317)*(1-AF317)+INDEX(Models!$BJ317:$BT317,,AH317+1)*AF317-ERP_i)*AE317*Ramure*Pc/MaxiM</f>
        <v>1.193531112171211E-3</v>
      </c>
      <c r="AE317" s="305">
        <f t="shared" si="112"/>
        <v>0.7</v>
      </c>
      <c r="AF317" s="177">
        <f t="shared" si="113"/>
        <v>0.99874415960427099</v>
      </c>
      <c r="AG317" s="919">
        <f t="shared" si="119"/>
        <v>-1</v>
      </c>
      <c r="AH317" s="176">
        <f t="shared" si="114"/>
        <v>5</v>
      </c>
      <c r="AI317" s="225">
        <f t="shared" si="115"/>
        <v>-1.2558403957290132E-3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8">
        <v>20.519000000000002</v>
      </c>
      <c r="C318" s="390"/>
      <c r="D318" s="393">
        <f t="shared" si="98"/>
        <v>21.091774148469479</v>
      </c>
      <c r="E318" s="385">
        <f t="shared" si="120"/>
        <v>21.672781045703339</v>
      </c>
      <c r="F318" s="385">
        <f t="shared" si="99"/>
        <v>21.682981269884813</v>
      </c>
      <c r="G318" s="110">
        <f t="shared" si="121"/>
        <v>0.57697018923820753</v>
      </c>
      <c r="H318" s="412" t="b">
        <f>Wh_hp&gt;='2020'!Maxi_hp</f>
        <v>0</v>
      </c>
      <c r="I318" s="380">
        <f>IF(H318,Wh_hp,'2020'!Maxi_hp)</f>
        <v>35.869115091380415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2.7156281137736382E-2</v>
      </c>
      <c r="M318" s="957"/>
      <c r="N318" s="957"/>
      <c r="O318" s="48">
        <f>IF(t&lt;Tnet,'2020'!Resal+('2020'!Salim-'2020'!Resal)*(1-EXP(('2020'!Tnet-t)/('2020'!Tau_j))),Resal+(Salim-Resal)*(1-EXP((Tnet-t)/(Tau_j))))*Salcycl</f>
        <v>2.6808137636265487E-2</v>
      </c>
      <c r="P318" s="169">
        <f>(INDEX(Models!$BJ318:$BT318,,T318)*(1-R318)+INDEX(Models!$BJ318:$BT318,,T318+1)*R318-ERP_i)*Q318*Ramure*Pc/MaxiM</f>
        <v>1.1871539013381042E-3</v>
      </c>
      <c r="Q318" s="305">
        <f t="shared" si="101"/>
        <v>0.7</v>
      </c>
      <c r="R318" s="177">
        <f t="shared" si="102"/>
        <v>0.99880274157013194</v>
      </c>
      <c r="S318" s="919">
        <f t="shared" si="103"/>
        <v>-1</v>
      </c>
      <c r="T318" s="176">
        <f t="shared" si="104"/>
        <v>5</v>
      </c>
      <c r="U318" s="251">
        <f t="shared" si="105"/>
        <v>-1.1972584298681199E-3</v>
      </c>
      <c r="V318" s="383">
        <f t="shared" si="106"/>
        <v>35.53786124107674</v>
      </c>
      <c r="W318" s="402"/>
      <c r="X318" s="157">
        <f t="shared" si="107"/>
        <v>44500</v>
      </c>
      <c r="Y318" s="385">
        <f t="shared" si="108"/>
        <v>19.135368700196754</v>
      </c>
      <c r="Z318" s="385">
        <f t="shared" si="109"/>
        <v>19.669519707209993</v>
      </c>
      <c r="AA318" s="386">
        <f t="shared" si="110"/>
        <v>21.672781045703339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9.2432131080403879E-2</v>
      </c>
      <c r="AD318" s="231">
        <f>(INDEX(Models!$BJ318:$BT318,,AH318)*(1-AF318)+INDEX(Models!$BJ318:$BT318,,AH318+1)*AF318-ERP_i)*AE318*Ramure*Pc/MaxiM</f>
        <v>1.1871539013381042E-3</v>
      </c>
      <c r="AE318" s="305">
        <f t="shared" si="112"/>
        <v>0.7</v>
      </c>
      <c r="AF318" s="177">
        <f t="shared" si="113"/>
        <v>0.99880274157013194</v>
      </c>
      <c r="AG318" s="919">
        <f t="shared" si="119"/>
        <v>-1</v>
      </c>
      <c r="AH318" s="176">
        <f t="shared" si="114"/>
        <v>5</v>
      </c>
      <c r="AI318" s="225">
        <f t="shared" si="115"/>
        <v>-1.1972584298681199E-3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8">
        <v>16.317</v>
      </c>
      <c r="C319" s="390"/>
      <c r="D319" s="393">
        <f t="shared" si="98"/>
        <v>16.772845499878805</v>
      </c>
      <c r="E319" s="385">
        <f t="shared" si="120"/>
        <v>17.236096933921566</v>
      </c>
      <c r="F319" s="385">
        <f t="shared" si="99"/>
        <v>17.240847411829012</v>
      </c>
      <c r="G319" s="110">
        <f t="shared" si="121"/>
        <v>0.46283109730060523</v>
      </c>
      <c r="H319" s="412" t="b">
        <f>Wh_hp&gt;='2020'!Maxi_hp</f>
        <v>0</v>
      </c>
      <c r="I319" s="380">
        <f>IF(H319,Wh_hp,'2020'!Maxi_hp)</f>
        <v>32.156200585342432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2.7177588911917017E-2</v>
      </c>
      <c r="M319" s="957"/>
      <c r="N319" s="957"/>
      <c r="O319" s="48">
        <f>IF(t&lt;Tnet,'2020'!Resal+('2020'!Salim-'2020'!Resal)*(1-EXP(('2020'!Tnet-t)/('2020'!Tau_j))),Resal+(Salim-Resal)*(1-EXP((Tnet-t)/(Tau_j))))*Salcycl</f>
        <v>2.6876817635613153E-2</v>
      </c>
      <c r="P319" s="169">
        <f>(INDEX(Models!$BJ319:$BT319,,T319)*(1-R319)+INDEX(Models!$BJ319:$BT319,,T319+1)*R319-ERP_i)*Q319*Ramure*Pc/MaxiM</f>
        <v>1.1814658919170244E-3</v>
      </c>
      <c r="Q319" s="305">
        <f t="shared" si="101"/>
        <v>0.7</v>
      </c>
      <c r="R319" s="177">
        <f t="shared" si="102"/>
        <v>0.99885897778227362</v>
      </c>
      <c r="S319" s="919">
        <f t="shared" si="103"/>
        <v>-1</v>
      </c>
      <c r="T319" s="176">
        <f t="shared" si="104"/>
        <v>5</v>
      </c>
      <c r="U319" s="251">
        <f t="shared" si="105"/>
        <v>-1.1410222177264395E-3</v>
      </c>
      <c r="V319" s="383">
        <f t="shared" si="106"/>
        <v>35.222814470532789</v>
      </c>
      <c r="W319" s="402"/>
      <c r="X319" s="157">
        <f t="shared" si="107"/>
        <v>44501</v>
      </c>
      <c r="Y319" s="385">
        <f t="shared" si="108"/>
        <v>15.218420020072697</v>
      </c>
      <c r="Z319" s="385">
        <f t="shared" si="109"/>
        <v>15.64357466133124</v>
      </c>
      <c r="AA319" s="386">
        <f t="shared" si="110"/>
        <v>17.236096933921566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9.2394599467362962E-2</v>
      </c>
      <c r="AD319" s="231">
        <f>(INDEX(Models!$BJ319:$BT319,,AH319)*(1-AF319)+INDEX(Models!$BJ319:$BT319,,AH319+1)*AF319-ERP_i)*AE319*Ramure*Pc/MaxiM</f>
        <v>1.1814658919170244E-3</v>
      </c>
      <c r="AE319" s="305">
        <f t="shared" si="112"/>
        <v>0.7</v>
      </c>
      <c r="AF319" s="177">
        <f t="shared" si="113"/>
        <v>0.99885897778227362</v>
      </c>
      <c r="AG319" s="919">
        <f t="shared" si="119"/>
        <v>-1</v>
      </c>
      <c r="AH319" s="176">
        <f t="shared" si="114"/>
        <v>5</v>
      </c>
      <c r="AI319" s="225">
        <f t="shared" si="115"/>
        <v>-1.1410222177264395E-3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8">
        <v>28.801000000000002</v>
      </c>
      <c r="C320" s="390"/>
      <c r="D320" s="393">
        <f t="shared" si="98"/>
        <v>29.606257525891639</v>
      </c>
      <c r="E320" s="385">
        <f t="shared" si="120"/>
        <v>30.426097309243843</v>
      </c>
      <c r="F320" s="385">
        <f t="shared" si="99"/>
        <v>30.452976140898151</v>
      </c>
      <c r="G320" s="110">
        <f t="shared" si="121"/>
        <v>0.82493989616071706</v>
      </c>
      <c r="H320" s="412" t="b">
        <f>Wh_hp&gt;='2020'!Maxi_hp</f>
        <v>0</v>
      </c>
      <c r="I320" s="380">
        <f>IF(H320,Wh_hp,'2020'!Maxi_hp)</f>
        <v>31.314634502139715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2.7198896219402746E-2</v>
      </c>
      <c r="M320" s="957"/>
      <c r="N320" s="957"/>
      <c r="O320" s="48">
        <f>IF(t&lt;Tnet,'2020'!Resal+('2020'!Salim-'2020'!Resal)*(1-EXP(('2020'!Tnet-t)/('2020'!Tau_j))),Resal+(Salim-Resal)*(1-EXP((Tnet-t)/(Tau_j))))*Salcycl</f>
        <v>2.694528236794692E-2</v>
      </c>
      <c r="P320" s="169">
        <f>(INDEX(Models!$BJ320:$BT320,,T320)*(1-R320)+INDEX(Models!$BJ320:$BT320,,T320+1)*R320-ERP_i)*Q320*Ramure*Pc/MaxiM</f>
        <v>1.176436246367334E-3</v>
      </c>
      <c r="Q320" s="305">
        <f t="shared" si="101"/>
        <v>0.7</v>
      </c>
      <c r="R320" s="177">
        <f t="shared" si="102"/>
        <v>0.99891296167162769</v>
      </c>
      <c r="S320" s="919">
        <f t="shared" si="103"/>
        <v>-1</v>
      </c>
      <c r="T320" s="176">
        <f t="shared" si="104"/>
        <v>5</v>
      </c>
      <c r="U320" s="251">
        <f t="shared" si="105"/>
        <v>-1.087038328372314E-3</v>
      </c>
      <c r="V320" s="383">
        <f t="shared" si="106"/>
        <v>34.902580005854581</v>
      </c>
      <c r="W320" s="402"/>
      <c r="X320" s="157">
        <f t="shared" si="107"/>
        <v>44502</v>
      </c>
      <c r="Y320" s="385">
        <f t="shared" si="108"/>
        <v>26.864909658956361</v>
      </c>
      <c r="Z320" s="385">
        <f t="shared" si="109"/>
        <v>27.616035338108944</v>
      </c>
      <c r="AA320" s="386">
        <f t="shared" si="110"/>
        <v>30.426097309243843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9.2356963910753195E-2</v>
      </c>
      <c r="AD320" s="231">
        <f>(INDEX(Models!$BJ320:$BT320,,AH320)*(1-AF320)+INDEX(Models!$BJ320:$BT320,,AH320+1)*AF320-ERP_i)*AE320*Ramure*Pc/MaxiM</f>
        <v>1.176436246367334E-3</v>
      </c>
      <c r="AE320" s="305">
        <f t="shared" si="112"/>
        <v>0.7</v>
      </c>
      <c r="AF320" s="177">
        <f t="shared" si="113"/>
        <v>0.99891296167162769</v>
      </c>
      <c r="AG320" s="919">
        <f t="shared" si="119"/>
        <v>-1</v>
      </c>
      <c r="AH320" s="176">
        <f t="shared" si="114"/>
        <v>5</v>
      </c>
      <c r="AI320" s="225">
        <f t="shared" si="115"/>
        <v>-1.087038328372314E-3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8">
        <v>18.747</v>
      </c>
      <c r="C321" s="390"/>
      <c r="D321" s="393">
        <f t="shared" si="98"/>
        <v>19.271576217942592</v>
      </c>
      <c r="E321" s="385">
        <f t="shared" si="120"/>
        <v>19.806623629154178</v>
      </c>
      <c r="F321" s="385">
        <f t="shared" si="99"/>
        <v>19.81465749838593</v>
      </c>
      <c r="G321" s="110">
        <f t="shared" si="121"/>
        <v>0.54174058933225666</v>
      </c>
      <c r="H321" s="412" t="b">
        <f>Wh_hp&gt;='2020'!Maxi_hp</f>
        <v>0</v>
      </c>
      <c r="I321" s="380">
        <f>IF(H321,Wh_hp,'2020'!Maxi_hp)</f>
        <v>31.18806335046073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2.7220203060203785E-2</v>
      </c>
      <c r="M321" s="957"/>
      <c r="N321" s="957"/>
      <c r="O321" s="48">
        <f>IF(t&lt;Tnet,'2020'!Resal+('2020'!Salim-'2020'!Resal)*(1-EXP(('2020'!Tnet-t)/('2020'!Tau_j))),Resal+(Salim-Resal)*(1-EXP((Tnet-t)/(Tau_j))))*Salcycl</f>
        <v>2.7013559768158845E-2</v>
      </c>
      <c r="P321" s="169">
        <f>(INDEX(Models!$BJ321:$BT321,,T321)*(1-R321)+INDEX(Models!$BJ321:$BT321,,T321+1)*R321-ERP_i)*Q321*Ramure*Pc/MaxiM</f>
        <v>1.1720343437800402E-3</v>
      </c>
      <c r="Q321" s="305">
        <f t="shared" si="101"/>
        <v>0.7</v>
      </c>
      <c r="R321" s="177">
        <f t="shared" si="102"/>
        <v>0.99896478298702096</v>
      </c>
      <c r="S321" s="919">
        <f t="shared" si="103"/>
        <v>-1</v>
      </c>
      <c r="T321" s="176">
        <f t="shared" si="104"/>
        <v>5</v>
      </c>
      <c r="U321" s="251">
        <f t="shared" si="105"/>
        <v>-1.035217012979095E-3</v>
      </c>
      <c r="V321" s="383">
        <f t="shared" si="106"/>
        <v>34.57858502481858</v>
      </c>
      <c r="W321" s="402"/>
      <c r="X321" s="157">
        <f t="shared" si="107"/>
        <v>44503</v>
      </c>
      <c r="Y321" s="385">
        <f t="shared" si="108"/>
        <v>17.488722364699154</v>
      </c>
      <c r="Z321" s="385">
        <f t="shared" si="109"/>
        <v>17.978089614644311</v>
      </c>
      <c r="AA321" s="386">
        <f t="shared" si="110"/>
        <v>19.806623629154178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9.2319319473429806E-2</v>
      </c>
      <c r="AD321" s="231">
        <f>(INDEX(Models!$BJ321:$BT321,,AH321)*(1-AF321)+INDEX(Models!$BJ321:$BT321,,AH321+1)*AF321-ERP_i)*AE321*Ramure*Pc/MaxiM</f>
        <v>1.1720343437800402E-3</v>
      </c>
      <c r="AE321" s="305">
        <f t="shared" si="112"/>
        <v>0.7</v>
      </c>
      <c r="AF321" s="177">
        <f t="shared" si="113"/>
        <v>0.99896478298702096</v>
      </c>
      <c r="AG321" s="919">
        <f t="shared" si="119"/>
        <v>-1</v>
      </c>
      <c r="AH321" s="176">
        <f t="shared" si="114"/>
        <v>5</v>
      </c>
      <c r="AI321" s="225">
        <f t="shared" si="115"/>
        <v>-1.035217012979095E-3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8">
        <v>16.022000000000002</v>
      </c>
      <c r="C322" s="390"/>
      <c r="D322" s="393">
        <f t="shared" si="98"/>
        <v>16.470686357806073</v>
      </c>
      <c r="E322" s="385">
        <f t="shared" si="120"/>
        <v>16.929156323973665</v>
      </c>
      <c r="F322" s="385">
        <f t="shared" si="99"/>
        <v>16.933897519927605</v>
      </c>
      <c r="G322" s="110">
        <f t="shared" si="121"/>
        <v>0.46734919970779581</v>
      </c>
      <c r="H322" s="412" t="b">
        <f>Wh_hp&gt;='2020'!Maxi_hp</f>
        <v>0</v>
      </c>
      <c r="I322" s="380">
        <f>IF(H322,Wh_hp,'2020'!Maxi_hp)</f>
        <v>29.822160701304174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2.7241509434330347E-2</v>
      </c>
      <c r="M322" s="957"/>
      <c r="N322" s="957"/>
      <c r="O322" s="48">
        <f>IF(t&lt;Tnet,'2020'!Resal+('2020'!Salim-'2020'!Resal)*(1-EXP(('2020'!Tnet-t)/('2020'!Tau_j))),Resal+(Salim-Resal)*(1-EXP((Tnet-t)/(Tau_j))))*Salcycl</f>
        <v>2.7081678342017808E-2</v>
      </c>
      <c r="P322" s="169">
        <f>(INDEX(Models!$BJ322:$BT322,,T322)*(1-R322)+INDEX(Models!$BJ322:$BT322,,T322+1)*R322-ERP_i)*Q322*Ramure*Pc/MaxiM</f>
        <v>1.1682294685437106E-3</v>
      </c>
      <c r="Q322" s="305">
        <f t="shared" si="101"/>
        <v>0.7</v>
      </c>
      <c r="R322" s="177">
        <f t="shared" si="102"/>
        <v>0.99901452793719325</v>
      </c>
      <c r="S322" s="919">
        <f t="shared" si="103"/>
        <v>-1</v>
      </c>
      <c r="T322" s="176">
        <f t="shared" si="104"/>
        <v>5</v>
      </c>
      <c r="U322" s="251">
        <f t="shared" si="105"/>
        <v>-9.8547206280674704E-4</v>
      </c>
      <c r="V322" s="383">
        <f t="shared" si="106"/>
        <v>34.252256198002172</v>
      </c>
      <c r="W322" s="402"/>
      <c r="X322" s="157">
        <f t="shared" si="107"/>
        <v>44504</v>
      </c>
      <c r="Y322" s="385">
        <f t="shared" si="108"/>
        <v>14.948286289434076</v>
      </c>
      <c r="Z322" s="385">
        <f t="shared" si="109"/>
        <v>15.366903948318647</v>
      </c>
      <c r="AA322" s="386">
        <f t="shared" si="110"/>
        <v>16.929156323973665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9.2281762053474908E-2</v>
      </c>
      <c r="AD322" s="231">
        <f>(INDEX(Models!$BJ322:$BT322,,AH322)*(1-AF322)+INDEX(Models!$BJ322:$BT322,,AH322+1)*AF322-ERP_i)*AE322*Ramure*Pc/MaxiM</f>
        <v>1.1682294685437106E-3</v>
      </c>
      <c r="AE322" s="305">
        <f t="shared" si="112"/>
        <v>0.7</v>
      </c>
      <c r="AF322" s="177">
        <f t="shared" si="113"/>
        <v>0.99901452793719325</v>
      </c>
      <c r="AG322" s="919">
        <f t="shared" si="119"/>
        <v>-1</v>
      </c>
      <c r="AH322" s="176">
        <f t="shared" si="114"/>
        <v>5</v>
      </c>
      <c r="AI322" s="225">
        <f t="shared" si="115"/>
        <v>-9.8547206280674704E-4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8">
        <v>10.355</v>
      </c>
      <c r="C323" s="390"/>
      <c r="D323" s="393">
        <f t="shared" si="98"/>
        <v>10.645218629776609</v>
      </c>
      <c r="E323" s="385">
        <f t="shared" si="120"/>
        <v>10.942298387681182</v>
      </c>
      <c r="F323" s="385">
        <f t="shared" si="99"/>
        <v>10.942393667401571</v>
      </c>
      <c r="G323" s="110">
        <f t="shared" si="121"/>
        <v>0.30487901486568886</v>
      </c>
      <c r="H323" s="412" t="b">
        <f>Wh_hp&gt;='2020'!Maxi_hp</f>
        <v>0</v>
      </c>
      <c r="I323" s="380">
        <f>IF(H323,Wh_hp,'2020'!Maxi_hp)</f>
        <v>15.481414009273431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2.7262815341792535E-2</v>
      </c>
      <c r="M323" s="957"/>
      <c r="N323" s="957"/>
      <c r="O323" s="48">
        <f>IF(t&lt;Tnet,'2020'!Resal+('2020'!Salim-'2020'!Resal)*(1-EXP(('2020'!Tnet-t)/('2020'!Tau_j))),Resal+(Salim-Resal)*(1-EXP((Tnet-t)/(Tau_j))))*Salcycl</f>
        <v>2.7149667042440061E-2</v>
      </c>
      <c r="P323" s="169">
        <f>(INDEX(Models!$BJ323:$BT323,,T323)*(1-R323)+INDEX(Models!$BJ323:$BT323,,T323+1)*R323-ERP_i)*Q323*Ramure*Pc/MaxiM</f>
        <v>1.1649905087851987E-3</v>
      </c>
      <c r="Q323" s="305">
        <f t="shared" si="101"/>
        <v>0.7</v>
      </c>
      <c r="R323" s="177">
        <f t="shared" si="102"/>
        <v>0.99906227932758274</v>
      </c>
      <c r="S323" s="919">
        <f t="shared" si="103"/>
        <v>-1</v>
      </c>
      <c r="T323" s="176">
        <f t="shared" si="104"/>
        <v>5</v>
      </c>
      <c r="U323" s="251">
        <f t="shared" si="105"/>
        <v>-9.3772067241731927E-4</v>
      </c>
      <c r="V323" s="383">
        <f t="shared" si="106"/>
        <v>33.925019695546347</v>
      </c>
      <c r="W323" s="402"/>
      <c r="X323" s="157">
        <f t="shared" si="107"/>
        <v>44505</v>
      </c>
      <c r="Y323" s="385">
        <f t="shared" si="108"/>
        <v>9.6621330581661802</v>
      </c>
      <c r="Z323" s="385">
        <f t="shared" si="109"/>
        <v>9.932932770079292</v>
      </c>
      <c r="AA323" s="386">
        <f t="shared" si="110"/>
        <v>10.942298387681182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9.2244387955845927E-2</v>
      </c>
      <c r="AD323" s="231">
        <f>(INDEX(Models!$BJ323:$BT323,,AH323)*(1-AF323)+INDEX(Models!$BJ323:$BT323,,AH323+1)*AF323-ERP_i)*AE323*Ramure*Pc/MaxiM</f>
        <v>1.1649905087851987E-3</v>
      </c>
      <c r="AE323" s="305">
        <f t="shared" si="112"/>
        <v>0.7</v>
      </c>
      <c r="AF323" s="177">
        <f t="shared" si="113"/>
        <v>0.99906227932758274</v>
      </c>
      <c r="AG323" s="919">
        <f t="shared" si="119"/>
        <v>-1</v>
      </c>
      <c r="AH323" s="176">
        <f t="shared" si="114"/>
        <v>5</v>
      </c>
      <c r="AI323" s="225">
        <f t="shared" si="115"/>
        <v>-9.3772067241731927E-4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8">
        <v>17.972999999999999</v>
      </c>
      <c r="C324" s="390"/>
      <c r="D324" s="393">
        <f t="shared" si="98"/>
        <v>18.477132309652657</v>
      </c>
      <c r="E324" s="385">
        <f t="shared" si="120"/>
        <v>18.994105421319802</v>
      </c>
      <c r="F324" s="385">
        <f t="shared" si="99"/>
        <v>19.001523669411036</v>
      </c>
      <c r="G324" s="110">
        <f t="shared" si="121"/>
        <v>0.53452468997066083</v>
      </c>
      <c r="H324" s="412" t="b">
        <f>Wh_hp&gt;='2020'!Maxi_hp</f>
        <v>0</v>
      </c>
      <c r="I324" s="380">
        <f>IF(H324,Wh_hp,'2020'!Maxi_hp)</f>
        <v>23.980630754996582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2.7284120782600785E-2</v>
      </c>
      <c r="M324" s="957"/>
      <c r="N324" s="957"/>
      <c r="O324" s="48">
        <f>IF(t&lt;Tnet,'2020'!Resal+('2020'!Salim-'2020'!Resal)*(1-EXP(('2020'!Tnet-t)/('2020'!Tau_j))),Resal+(Salim-Resal)*(1-EXP((Tnet-t)/(Tau_j))))*Salcycl</f>
        <v>2.7217555141442543E-2</v>
      </c>
      <c r="P324" s="169">
        <f>(INDEX(Models!$BJ324:$BT324,,T324)*(1-R324)+INDEX(Models!$BJ324:$BT324,,T324+1)*R324-ERP_i)*Q324*Ramure*Pc/MaxiM</f>
        <v>1.1632075949277144E-3</v>
      </c>
      <c r="Q324" s="305">
        <f t="shared" si="101"/>
        <v>0.7</v>
      </c>
      <c r="R324" s="177">
        <f t="shared" si="102"/>
        <v>0.99910811669205191</v>
      </c>
      <c r="S324" s="919">
        <f t="shared" si="103"/>
        <v>-1</v>
      </c>
      <c r="T324" s="176">
        <f t="shared" si="104"/>
        <v>5</v>
      </c>
      <c r="U324" s="251">
        <f t="shared" si="105"/>
        <v>-8.9188330794814918E-4</v>
      </c>
      <c r="V324" s="383">
        <f t="shared" si="106"/>
        <v>33.598270186145825</v>
      </c>
      <c r="W324" s="402"/>
      <c r="X324" s="157">
        <f t="shared" si="107"/>
        <v>44506</v>
      </c>
      <c r="Y324" s="385">
        <f t="shared" si="108"/>
        <v>16.772258176463943</v>
      </c>
      <c r="Z324" s="385">
        <f t="shared" si="109"/>
        <v>17.242710368785282</v>
      </c>
      <c r="AA324" s="386">
        <f t="shared" si="110"/>
        <v>18.994105421319802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9.220729345687842E-2</v>
      </c>
      <c r="AD324" s="231">
        <f>(INDEX(Models!$BJ324:$BT324,,AH324)*(1-AF324)+INDEX(Models!$BJ324:$BT324,,AH324+1)*AF324-ERP_i)*AE324*Ramure*Pc/MaxiM</f>
        <v>1.1632075949277144E-3</v>
      </c>
      <c r="AE324" s="305">
        <f t="shared" si="112"/>
        <v>0.7</v>
      </c>
      <c r="AF324" s="177">
        <f t="shared" si="113"/>
        <v>0.99910811669205191</v>
      </c>
      <c r="AG324" s="919">
        <f t="shared" si="119"/>
        <v>-1</v>
      </c>
      <c r="AH324" s="176">
        <f t="shared" si="114"/>
        <v>5</v>
      </c>
      <c r="AI324" s="225">
        <f t="shared" si="115"/>
        <v>-8.9188330794814918E-4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8">
        <v>9.7919999999999998</v>
      </c>
      <c r="C325" s="390"/>
      <c r="D325" s="393">
        <f t="shared" si="98"/>
        <v>10.066880456918621</v>
      </c>
      <c r="E325" s="385">
        <f t="shared" si="120"/>
        <v>10.349263975435361</v>
      </c>
      <c r="F325" s="385">
        <f t="shared" si="99"/>
        <v>10.349263975435361</v>
      </c>
      <c r="G325" s="110">
        <f t="shared" si="121"/>
        <v>0.29394662005710898</v>
      </c>
      <c r="H325" s="412" t="b">
        <f>Wh_hp&gt;='2020'!Maxi_hp</f>
        <v>0</v>
      </c>
      <c r="I325" s="380">
        <f>IF(H325,Wh_hp,'2020'!Maxi_hp)</f>
        <v>17.134956539555297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2.7305425756765089E-2</v>
      </c>
      <c r="M325" s="957"/>
      <c r="N325" s="957"/>
      <c r="O325" s="48">
        <f>IF(t&lt;Tnet,'2020'!Resal+('2020'!Salim-'2020'!Resal)*(1-EXP(('2020'!Tnet-t)/('2020'!Tau_j))),Resal+(Salim-Resal)*(1-EXP((Tnet-t)/(Tau_j))))*Salcycl</f>
        <v>2.728537209863377E-2</v>
      </c>
      <c r="P325" s="169">
        <f>(INDEX(Models!$BJ325:$BT325,,T325)*(1-R325)+INDEX(Models!$BJ325:$BT325,,T325+1)*R325-ERP_i)*Q325*Ramure*Pc/MaxiM</f>
        <v>1.1627245751205321E-3</v>
      </c>
      <c r="Q325" s="305">
        <f t="shared" si="101"/>
        <v>0.7</v>
      </c>
      <c r="R325" s="177">
        <f t="shared" si="102"/>
        <v>0.99915211641972301</v>
      </c>
      <c r="S325" s="919">
        <f t="shared" si="103"/>
        <v>-1</v>
      </c>
      <c r="T325" s="176">
        <f t="shared" si="104"/>
        <v>5</v>
      </c>
      <c r="U325" s="251">
        <f t="shared" si="105"/>
        <v>-8.4788358027704236E-4</v>
      </c>
      <c r="V325" s="383">
        <f t="shared" si="106"/>
        <v>33.273437874741369</v>
      </c>
      <c r="W325" s="402"/>
      <c r="X325" s="157">
        <f t="shared" si="107"/>
        <v>44507</v>
      </c>
      <c r="Y325" s="385">
        <f t="shared" si="108"/>
        <v>9.138821891679104</v>
      </c>
      <c r="Z325" s="385">
        <f t="shared" si="109"/>
        <v>9.3953663705682633</v>
      </c>
      <c r="AA325" s="386">
        <f t="shared" si="110"/>
        <v>10.349263975435361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9.2170574364634578E-2</v>
      </c>
      <c r="AD325" s="231">
        <f>(INDEX(Models!$BJ325:$BT325,,AH325)*(1-AF325)+INDEX(Models!$BJ325:$BT325,,AH325+1)*AF325-ERP_i)*AE325*Ramure*Pc/MaxiM</f>
        <v>1.1627245751205321E-3</v>
      </c>
      <c r="AE325" s="305">
        <f t="shared" si="112"/>
        <v>0.7</v>
      </c>
      <c r="AF325" s="177">
        <f t="shared" si="113"/>
        <v>0.99915211641972301</v>
      </c>
      <c r="AG325" s="919">
        <f t="shared" si="119"/>
        <v>-1</v>
      </c>
      <c r="AH325" s="176">
        <f t="shared" si="114"/>
        <v>5</v>
      </c>
      <c r="AI325" s="225">
        <f t="shared" si="115"/>
        <v>-8.4788358027704236E-4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8">
        <v>25.92</v>
      </c>
      <c r="C326" s="390"/>
      <c r="D326" s="393">
        <f t="shared" si="98"/>
        <v>26.648208403057087</v>
      </c>
      <c r="E326" s="385">
        <f t="shared" si="120"/>
        <v>27.397619529191616</v>
      </c>
      <c r="F326" s="385">
        <f t="shared" si="99"/>
        <v>27.419796880522092</v>
      </c>
      <c r="G326" s="110">
        <f t="shared" si="121"/>
        <v>0.78632069218952294</v>
      </c>
      <c r="H326" s="412" t="b">
        <f>Wh_hp&gt;='2020'!Maxi_hp</f>
        <v>1</v>
      </c>
      <c r="I326" s="380">
        <f>IF(H326,Wh_hp,'2020'!Maxi_hp)</f>
        <v>27.419796880522092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2.7326730264295884E-2</v>
      </c>
      <c r="M326" s="957"/>
      <c r="N326" s="957"/>
      <c r="O326" s="48">
        <f>IF(t&lt;Tnet,'2020'!Resal+('2020'!Salim-'2020'!Resal)*(1-EXP(('2020'!Tnet-t)/('2020'!Tau_j))),Resal+(Salim-Resal)*(1-EXP((Tnet-t)/(Tau_j))))*Salcycl</f>
        <v>2.7353147427134884E-2</v>
      </c>
      <c r="P326" s="169">
        <f>(INDEX(Models!$BJ326:$BT326,,T326)*(1-R326)+INDEX(Models!$BJ326:$BT326,,T326+1)*R326-ERP_i)*Q326*Ramure*Pc/MaxiM</f>
        <v>1.1635135402293727E-3</v>
      </c>
      <c r="Q326" s="305">
        <f t="shared" si="101"/>
        <v>0.7</v>
      </c>
      <c r="R326" s="177">
        <f t="shared" si="102"/>
        <v>0.99919435187708894</v>
      </c>
      <c r="S326" s="919">
        <f t="shared" si="103"/>
        <v>-1</v>
      </c>
      <c r="T326" s="176">
        <f t="shared" si="104"/>
        <v>5</v>
      </c>
      <c r="U326" s="251">
        <f t="shared" si="105"/>
        <v>-8.0564812291100685E-4</v>
      </c>
      <c r="V326" s="383">
        <f t="shared" si="106"/>
        <v>32.951948038294233</v>
      </c>
      <c r="W326" s="402"/>
      <c r="X326" s="157">
        <f t="shared" si="107"/>
        <v>44508</v>
      </c>
      <c r="Y326" s="385">
        <f t="shared" si="108"/>
        <v>24.193650777532859</v>
      </c>
      <c r="Z326" s="385">
        <f t="shared" si="109"/>
        <v>24.873358331422828</v>
      </c>
      <c r="AA326" s="386">
        <f t="shared" si="110"/>
        <v>27.397619529191616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9.2134325578148865E-2</v>
      </c>
      <c r="AD326" s="231">
        <f>(INDEX(Models!$BJ326:$BT326,,AH326)*(1-AF326)+INDEX(Models!$BJ326:$BT326,,AH326+1)*AF326-ERP_i)*AE326*Ramure*Pc/MaxiM</f>
        <v>1.1635135402293727E-3</v>
      </c>
      <c r="AE326" s="305">
        <f t="shared" si="112"/>
        <v>0.7</v>
      </c>
      <c r="AF326" s="177">
        <f t="shared" si="113"/>
        <v>0.99919435187708894</v>
      </c>
      <c r="AG326" s="919">
        <f t="shared" si="119"/>
        <v>-1</v>
      </c>
      <c r="AH326" s="176">
        <f t="shared" si="114"/>
        <v>5</v>
      </c>
      <c r="AI326" s="225">
        <f t="shared" si="115"/>
        <v>-8.0564812291100685E-4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8">
        <v>23.858000000000001</v>
      </c>
      <c r="C327" s="390"/>
      <c r="D327" s="393">
        <f t="shared" si="98"/>
        <v>24.528814870545659</v>
      </c>
      <c r="E327" s="385">
        <f t="shared" si="120"/>
        <v>25.220380673221094</v>
      </c>
      <c r="F327" s="385">
        <f t="shared" si="99"/>
        <v>25.238495016802947</v>
      </c>
      <c r="G327" s="110">
        <f t="shared" si="121"/>
        <v>0.73072295162604894</v>
      </c>
      <c r="H327" s="412" t="b">
        <f>Wh_hp&gt;='2020'!Maxi_hp</f>
        <v>0</v>
      </c>
      <c r="I327" s="380">
        <f>IF(H327,Wh_hp,'2020'!Maxi_hp)</f>
        <v>26.175340990445164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2.7348034305203162E-2</v>
      </c>
      <c r="M327" s="957"/>
      <c r="N327" s="957"/>
      <c r="O327" s="48">
        <f>IF(t&lt;Tnet,'2020'!Resal+('2020'!Salim-'2020'!Resal)*(1-EXP(('2020'!Tnet-t)/('2020'!Tau_j))),Resal+(Salim-Resal)*(1-EXP((Tnet-t)/(Tau_j))))*Salcycl</f>
        <v>2.7420910557854349E-2</v>
      </c>
      <c r="P327" s="169">
        <f>(INDEX(Models!$BJ327:$BT327,,T327)*(1-R327)+INDEX(Models!$BJ327:$BT327,,T327+1)*R327-ERP_i)*Q327*Ramure*Pc/MaxiM</f>
        <v>1.1655447934976254E-3</v>
      </c>
      <c r="Q327" s="305">
        <f t="shared" si="101"/>
        <v>0.7</v>
      </c>
      <c r="R327" s="177">
        <f t="shared" si="102"/>
        <v>0.9992348935255585</v>
      </c>
      <c r="S327" s="919">
        <f t="shared" si="103"/>
        <v>-1</v>
      </c>
      <c r="T327" s="176">
        <f t="shared" si="104"/>
        <v>5</v>
      </c>
      <c r="U327" s="251">
        <f t="shared" si="105"/>
        <v>-7.6510647444150148E-4</v>
      </c>
      <c r="V327" s="383">
        <f t="shared" si="106"/>
        <v>32.635225472072278</v>
      </c>
      <c r="W327" s="402"/>
      <c r="X327" s="157">
        <f t="shared" si="107"/>
        <v>44509</v>
      </c>
      <c r="Y327" s="385">
        <f t="shared" si="108"/>
        <v>22.271413056832863</v>
      </c>
      <c r="Z327" s="385">
        <f t="shared" si="109"/>
        <v>22.897617896575852</v>
      </c>
      <c r="AA327" s="386">
        <f t="shared" si="110"/>
        <v>25.220380673221094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9.2098640648653821E-2</v>
      </c>
      <c r="AD327" s="231">
        <f>(INDEX(Models!$BJ327:$BT327,,AH327)*(1-AF327)+INDEX(Models!$BJ327:$BT327,,AH327+1)*AF327-ERP_i)*AE327*Ramure*Pc/MaxiM</f>
        <v>1.1655447934976254E-3</v>
      </c>
      <c r="AE327" s="305">
        <f t="shared" si="112"/>
        <v>0.7</v>
      </c>
      <c r="AF327" s="177">
        <f t="shared" si="113"/>
        <v>0.9992348935255585</v>
      </c>
      <c r="AG327" s="919">
        <f t="shared" si="119"/>
        <v>-1</v>
      </c>
      <c r="AH327" s="176">
        <f t="shared" si="114"/>
        <v>5</v>
      </c>
      <c r="AI327" s="225">
        <f t="shared" si="115"/>
        <v>-7.6510647444150148E-4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8">
        <v>6.7869999999999999</v>
      </c>
      <c r="C328" s="390"/>
      <c r="D328" s="393">
        <f t="shared" si="98"/>
        <v>6.977982768097367</v>
      </c>
      <c r="E328" s="385">
        <f t="shared" si="120"/>
        <v>7.1752201762486365</v>
      </c>
      <c r="F328" s="385">
        <f t="shared" si="99"/>
        <v>7.1752201762486365</v>
      </c>
      <c r="G328" s="110">
        <f t="shared" si="121"/>
        <v>0.20971791242356264</v>
      </c>
      <c r="H328" s="412" t="b">
        <f>Wh_hp&gt;='2020'!Maxi_hp</f>
        <v>0</v>
      </c>
      <c r="I328" s="380">
        <f>IF(H328,Wh_hp,'2020'!Maxi_hp)</f>
        <v>21.661173331050904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2.7369337879497357E-2</v>
      </c>
      <c r="M328" s="957"/>
      <c r="N328" s="957"/>
      <c r="O328" s="48">
        <f>IF(t&lt;Tnet,'2020'!Resal+('2020'!Salim-'2020'!Resal)*(1-EXP(('2020'!Tnet-t)/('2020'!Tau_j))),Resal+(Salim-Resal)*(1-EXP((Tnet-t)/(Tau_j))))*Salcycl</f>
        <v>2.7488690703062167E-2</v>
      </c>
      <c r="P328" s="169">
        <f>(INDEX(Models!$BJ328:$BT328,,T328)*(1-R328)+INDEX(Models!$BJ328:$BT328,,T328+1)*R328-ERP_i)*Q328*Ramure*Pc/MaxiM</f>
        <v>1.1687863222357817E-3</v>
      </c>
      <c r="Q328" s="305">
        <f t="shared" si="101"/>
        <v>0.7</v>
      </c>
      <c r="R328" s="177">
        <f t="shared" si="102"/>
        <v>0.99927380903459362</v>
      </c>
      <c r="S328" s="919">
        <f t="shared" si="103"/>
        <v>-1</v>
      </c>
      <c r="T328" s="176">
        <f t="shared" si="104"/>
        <v>5</v>
      </c>
      <c r="U328" s="251">
        <f t="shared" si="105"/>
        <v>-7.2619096540632588E-4</v>
      </c>
      <c r="V328" s="383">
        <f t="shared" si="106"/>
        <v>32.324694485511813</v>
      </c>
      <c r="W328" s="402"/>
      <c r="X328" s="157">
        <f t="shared" si="107"/>
        <v>44510</v>
      </c>
      <c r="Y328" s="385">
        <f t="shared" si="108"/>
        <v>6.3363420156526331</v>
      </c>
      <c r="Z328" s="385">
        <f t="shared" si="109"/>
        <v>6.5146434946213958</v>
      </c>
      <c r="AA328" s="386">
        <f t="shared" si="110"/>
        <v>7.1752201762486365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9.206361134587572E-2</v>
      </c>
      <c r="AD328" s="231">
        <f>(INDEX(Models!$BJ328:$BT328,,AH328)*(1-AF328)+INDEX(Models!$BJ328:$BT328,,AH328+1)*AF328-ERP_i)*AE328*Ramure*Pc/MaxiM</f>
        <v>1.1687863222357817E-3</v>
      </c>
      <c r="AE328" s="305">
        <f t="shared" si="112"/>
        <v>0.7</v>
      </c>
      <c r="AF328" s="177">
        <f t="shared" si="113"/>
        <v>0.99927380903459362</v>
      </c>
      <c r="AG328" s="919">
        <f t="shared" si="119"/>
        <v>-1</v>
      </c>
      <c r="AH328" s="176">
        <f t="shared" si="114"/>
        <v>5</v>
      </c>
      <c r="AI328" s="225">
        <f t="shared" si="115"/>
        <v>-7.2619096540632588E-4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8">
        <v>9.1110000000000007</v>
      </c>
      <c r="C329" s="390"/>
      <c r="D329" s="393">
        <f t="shared" si="98"/>
        <v>9.3675841339297552</v>
      </c>
      <c r="E329" s="385">
        <f t="shared" si="120"/>
        <v>9.6330370813279131</v>
      </c>
      <c r="F329" s="385">
        <f t="shared" si="99"/>
        <v>9.6330370813279131</v>
      </c>
      <c r="G329" s="110">
        <f t="shared" si="121"/>
        <v>0.28419129902317208</v>
      </c>
      <c r="H329" s="412" t="b">
        <f>Wh_hp&gt;='2020'!Maxi_hp</f>
        <v>0</v>
      </c>
      <c r="I329" s="380">
        <f>IF(H329,Wh_hp,'2020'!Maxi_hp)</f>
        <v>29.153917771397072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2.7390640987188575E-2</v>
      </c>
      <c r="M329" s="957"/>
      <c r="N329" s="957"/>
      <c r="O329" s="48">
        <f>IF(t&lt;Tnet,'2020'!Resal+('2020'!Salim-'2020'!Resal)*(1-EXP(('2020'!Tnet-t)/('2020'!Tau_j))),Resal+(Salim-Resal)*(1-EXP((Tnet-t)/(Tau_j))))*Salcycl</f>
        <v>2.7556516720224848E-2</v>
      </c>
      <c r="P329" s="169">
        <f>(INDEX(Models!$BJ329:$BT329,,T329)*(1-R329)+INDEX(Models!$BJ329:$BT329,,T329+1)*R329-ERP_i)*Q329*Ramure*Pc/MaxiM</f>
        <v>1.1732032683466297E-3</v>
      </c>
      <c r="Q329" s="305">
        <f t="shared" si="101"/>
        <v>0.7</v>
      </c>
      <c r="R329" s="177">
        <f t="shared" si="102"/>
        <v>0.99931116339059078</v>
      </c>
      <c r="S329" s="919">
        <f t="shared" si="103"/>
        <v>-1</v>
      </c>
      <c r="T329" s="176">
        <f t="shared" si="104"/>
        <v>5</v>
      </c>
      <c r="U329" s="251">
        <f t="shared" si="105"/>
        <v>-6.8883660940921576E-4</v>
      </c>
      <c r="V329" s="383">
        <f t="shared" si="106"/>
        <v>32.021778908439011</v>
      </c>
      <c r="W329" s="402"/>
      <c r="X329" s="157">
        <f t="shared" si="107"/>
        <v>44511</v>
      </c>
      <c r="Y329" s="385">
        <f t="shared" si="108"/>
        <v>8.506942502904236</v>
      </c>
      <c r="Z329" s="385">
        <f t="shared" si="109"/>
        <v>8.746515159527867</v>
      </c>
      <c r="AA329" s="386">
        <f t="shared" si="110"/>
        <v>9.6330370813279131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9.2029327232470134E-2</v>
      </c>
      <c r="AD329" s="231">
        <f>(INDEX(Models!$BJ329:$BT329,,AH329)*(1-AF329)+INDEX(Models!$BJ329:$BT329,,AH329+1)*AF329-ERP_i)*AE329*Ramure*Pc/MaxiM</f>
        <v>1.1732032683466297E-3</v>
      </c>
      <c r="AE329" s="305">
        <f t="shared" si="112"/>
        <v>0.7</v>
      </c>
      <c r="AF329" s="177">
        <f t="shared" si="113"/>
        <v>0.99931116339059078</v>
      </c>
      <c r="AG329" s="919">
        <f t="shared" si="119"/>
        <v>-1</v>
      </c>
      <c r="AH329" s="176">
        <f t="shared" si="114"/>
        <v>5</v>
      </c>
      <c r="AI329" s="225">
        <f t="shared" si="115"/>
        <v>-6.8883660940921576E-4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8">
        <v>10.986000000000001</v>
      </c>
      <c r="C330" s="390"/>
      <c r="D330" s="393">
        <f t="shared" si="98"/>
        <v>11.29563531859913</v>
      </c>
      <c r="E330" s="385">
        <f t="shared" si="120"/>
        <v>11.616535334508443</v>
      </c>
      <c r="F330" s="385">
        <f t="shared" si="99"/>
        <v>11.617440258036734</v>
      </c>
      <c r="G330" s="110">
        <f t="shared" si="121"/>
        <v>0.34587553056452613</v>
      </c>
      <c r="H330" s="412" t="b">
        <f>Wh_hp&gt;='2020'!Maxi_hp</f>
        <v>0</v>
      </c>
      <c r="I330" s="380">
        <f>IF(H330,Wh_hp,'2020'!Maxi_hp)</f>
        <v>32.840746587016881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2.7411943628287139E-2</v>
      </c>
      <c r="M330" s="957"/>
      <c r="N330" s="957"/>
      <c r="O330" s="48">
        <f>IF(t&lt;Tnet,'2020'!Resal+('2020'!Salim-'2020'!Resal)*(1-EXP(('2020'!Tnet-t)/('2020'!Tau_j))),Resal+(Salim-Resal)*(1-EXP((Tnet-t)/(Tau_j))))*Salcycl</f>
        <v>2.7624416977068588E-2</v>
      </c>
      <c r="P330" s="169">
        <f>(INDEX(Models!$BJ330:$BT330,,T330)*(1-R330)+INDEX(Models!$BJ330:$BT330,,T330+1)*R330-ERP_i)*Q330*Ramure*Pc/MaxiM</f>
        <v>1.1787574034010536E-3</v>
      </c>
      <c r="Q330" s="305">
        <f t="shared" si="101"/>
        <v>0.7</v>
      </c>
      <c r="R330" s="177">
        <f t="shared" si="102"/>
        <v>0.99934701900165401</v>
      </c>
      <c r="S330" s="919">
        <f t="shared" si="103"/>
        <v>-1</v>
      </c>
      <c r="T330" s="176">
        <f t="shared" si="104"/>
        <v>5</v>
      </c>
      <c r="U330" s="251">
        <f t="shared" si="105"/>
        <v>-6.5298099834598666E-4</v>
      </c>
      <c r="V330" s="383">
        <f t="shared" si="106"/>
        <v>31.727902085303523</v>
      </c>
      <c r="W330" s="402"/>
      <c r="X330" s="157">
        <f t="shared" si="107"/>
        <v>44512</v>
      </c>
      <c r="Y330" s="385">
        <f t="shared" si="108"/>
        <v>10.258724600525497</v>
      </c>
      <c r="Z330" s="385">
        <f t="shared" si="109"/>
        <v>10.547861999042194</v>
      </c>
      <c r="AA330" s="386">
        <f t="shared" si="110"/>
        <v>11.616535334508443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9.1995875249620634E-2</v>
      </c>
      <c r="AD330" s="231">
        <f>(INDEX(Models!$BJ330:$BT330,,AH330)*(1-AF330)+INDEX(Models!$BJ330:$BT330,,AH330+1)*AF330-ERP_i)*AE330*Ramure*Pc/MaxiM</f>
        <v>1.1787574034010536E-3</v>
      </c>
      <c r="AE330" s="305">
        <f t="shared" si="112"/>
        <v>0.7</v>
      </c>
      <c r="AF330" s="177">
        <f t="shared" si="113"/>
        <v>0.99934701900165401</v>
      </c>
      <c r="AG330" s="919">
        <f t="shared" si="119"/>
        <v>-1</v>
      </c>
      <c r="AH330" s="176">
        <f t="shared" si="114"/>
        <v>5</v>
      </c>
      <c r="AI330" s="225">
        <f t="shared" si="115"/>
        <v>-6.5298099834598666E-4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8">
        <v>5.7940000000000005</v>
      </c>
      <c r="C331" s="390"/>
      <c r="D331" s="393">
        <f t="shared" si="98"/>
        <v>5.95743168784609</v>
      </c>
      <c r="E331" s="385">
        <f t="shared" si="120"/>
        <v>6.1271060779551059</v>
      </c>
      <c r="F331" s="385">
        <f t="shared" si="99"/>
        <v>6.1271060779551059</v>
      </c>
      <c r="G331" s="110">
        <f t="shared" si="121"/>
        <v>0.18406881058413677</v>
      </c>
      <c r="H331" s="412" t="b">
        <f>Wh_hp&gt;='2020'!Maxi_hp</f>
        <v>0</v>
      </c>
      <c r="I331" s="380">
        <f>IF(H331,Wh_hp,'2020'!Maxi_hp)</f>
        <v>30.808485289546699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2.7433245802803041E-2</v>
      </c>
      <c r="M331" s="957"/>
      <c r="N331" s="957"/>
      <c r="O331" s="48">
        <f>IF(t&lt;Tnet,'2020'!Resal+('2020'!Salim-'2020'!Resal)*(1-EXP(('2020'!Tnet-t)/('2020'!Tau_j))),Resal+(Salim-Resal)*(1-EXP((Tnet-t)/(Tau_j))))*Salcycl</f>
        <v>2.7692419218836788E-2</v>
      </c>
      <c r="P331" s="169">
        <f>(INDEX(Models!$BJ331:$BT331,,T331)*(1-R331)+INDEX(Models!$BJ331:$BT331,,T331+1)*R331-ERP_i)*Q331*Ramure*Pc/MaxiM</f>
        <v>1.1855740758764681E-3</v>
      </c>
      <c r="Q331" s="305">
        <f t="shared" si="101"/>
        <v>0.7</v>
      </c>
      <c r="R331" s="177">
        <f t="shared" si="102"/>
        <v>0.99938143579840477</v>
      </c>
      <c r="S331" s="919">
        <f t="shared" si="103"/>
        <v>-1</v>
      </c>
      <c r="T331" s="176">
        <f t="shared" si="104"/>
        <v>5</v>
      </c>
      <c r="U331" s="251">
        <f t="shared" si="105"/>
        <v>-6.1856420159528414E-4</v>
      </c>
      <c r="V331" s="383">
        <f t="shared" si="106"/>
        <v>31.440040088481531</v>
      </c>
      <c r="W331" s="402"/>
      <c r="X331" s="157">
        <f t="shared" si="107"/>
        <v>44513</v>
      </c>
      <c r="Y331" s="385">
        <f t="shared" si="108"/>
        <v>5.411008322872334</v>
      </c>
      <c r="Z331" s="385">
        <f t="shared" si="109"/>
        <v>5.5636369426783858</v>
      </c>
      <c r="AA331" s="386">
        <f t="shared" si="110"/>
        <v>6.1271060779551059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9.1963339316752143E-2</v>
      </c>
      <c r="AD331" s="231">
        <f>(INDEX(Models!$BJ331:$BT331,,AH331)*(1-AF331)+INDEX(Models!$BJ331:$BT331,,AH331+1)*AF331-ERP_i)*AE331*Ramure*Pc/MaxiM</f>
        <v>1.1855740758764681E-3</v>
      </c>
      <c r="AE331" s="305">
        <f t="shared" si="112"/>
        <v>0.7</v>
      </c>
      <c r="AF331" s="177">
        <f t="shared" si="113"/>
        <v>0.99938143579840477</v>
      </c>
      <c r="AG331" s="919">
        <f t="shared" si="119"/>
        <v>-1</v>
      </c>
      <c r="AH331" s="176">
        <f t="shared" si="114"/>
        <v>5</v>
      </c>
      <c r="AI331" s="225">
        <f t="shared" si="115"/>
        <v>-6.1856420159528414E-4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8">
        <v>4.8479999999999999</v>
      </c>
      <c r="C332" s="390"/>
      <c r="D332" s="393">
        <f t="shared" si="98"/>
        <v>4.9848569931527917</v>
      </c>
      <c r="E332" s="385">
        <f t="shared" si="120"/>
        <v>5.1271906271670815</v>
      </c>
      <c r="F332" s="385">
        <f t="shared" si="99"/>
        <v>5.1271906271670815</v>
      </c>
      <c r="G332" s="110">
        <f t="shared" si="121"/>
        <v>0.15542582157348658</v>
      </c>
      <c r="H332" s="412" t="b">
        <f>Wh_hp&gt;='2020'!Maxi_hp</f>
        <v>0</v>
      </c>
      <c r="I332" s="380">
        <f>IF(H332,Wh_hp,'2020'!Maxi_hp)</f>
        <v>20.754830581758107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2.745454751074683E-2</v>
      </c>
      <c r="M332" s="957"/>
      <c r="N332" s="957"/>
      <c r="O332" s="48">
        <f>IF(t&lt;Tnet,'2020'!Resal+('2020'!Salim-'2020'!Resal)*(1-EXP(('2020'!Tnet-t)/('2020'!Tau_j))),Resal+(Salim-Resal)*(1-EXP((Tnet-t)/(Tau_j))))*Salcycl</f>
        <v>2.7760550438697768E-2</v>
      </c>
      <c r="P332" s="169">
        <f>(INDEX(Models!$BJ332:$BT332,,T332)*(1-R332)+INDEX(Models!$BJ332:$BT332,,T332+1)*R332-ERP_i)*Q332*Ramure*Pc/MaxiM</f>
        <v>1.1993568877609266E-3</v>
      </c>
      <c r="Q332" s="305">
        <f t="shared" si="101"/>
        <v>0.7</v>
      </c>
      <c r="R332" s="177">
        <f t="shared" si="102"/>
        <v>0.99941447133096639</v>
      </c>
      <c r="S332" s="919">
        <f t="shared" si="103"/>
        <v>-1</v>
      </c>
      <c r="T332" s="176">
        <f t="shared" si="104"/>
        <v>5</v>
      </c>
      <c r="U332" s="251">
        <f t="shared" si="105"/>
        <v>-5.8552866903360812E-4</v>
      </c>
      <c r="V332" s="383">
        <f t="shared" si="106"/>
        <v>31.15431830301576</v>
      </c>
      <c r="W332" s="402"/>
      <c r="X332" s="157">
        <f t="shared" si="107"/>
        <v>44514</v>
      </c>
      <c r="Y332" s="385">
        <f t="shared" si="108"/>
        <v>4.5280148175817141</v>
      </c>
      <c r="Z332" s="385">
        <f t="shared" si="109"/>
        <v>4.6558387641340078</v>
      </c>
      <c r="AA332" s="386">
        <f t="shared" si="110"/>
        <v>5.1271906271670815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9.1931799948212364E-2</v>
      </c>
      <c r="AD332" s="231">
        <f>(INDEX(Models!$BJ332:$BT332,,AH332)*(1-AF332)+INDEX(Models!$BJ332:$BT332,,AH332+1)*AF332-ERP_i)*AE332*Ramure*Pc/MaxiM</f>
        <v>1.1993568877609266E-3</v>
      </c>
      <c r="AE332" s="305">
        <f t="shared" si="112"/>
        <v>0.7</v>
      </c>
      <c r="AF332" s="177">
        <f t="shared" si="113"/>
        <v>0.99941447133096639</v>
      </c>
      <c r="AG332" s="919">
        <f t="shared" si="119"/>
        <v>-1</v>
      </c>
      <c r="AH332" s="176">
        <f t="shared" si="114"/>
        <v>5</v>
      </c>
      <c r="AI332" s="225">
        <f t="shared" si="115"/>
        <v>-5.8552866903360812E-4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8">
        <v>7.1920000000000002</v>
      </c>
      <c r="C333" s="390"/>
      <c r="D333" s="393">
        <f t="shared" si="98"/>
        <v>7.3951890971260239</v>
      </c>
      <c r="E333" s="385">
        <f t="shared" si="120"/>
        <v>7.6068797107915715</v>
      </c>
      <c r="F333" s="385">
        <f t="shared" si="99"/>
        <v>7.6068797107915715</v>
      </c>
      <c r="G333" s="110">
        <f t="shared" si="121"/>
        <v>0.23268409052822983</v>
      </c>
      <c r="H333" s="412" t="b">
        <f>Wh_hp&gt;='2020'!Maxi_hp</f>
        <v>0</v>
      </c>
      <c r="I333" s="380">
        <f>IF(H333,Wh_hp,'2020'!Maxi_hp)</f>
        <v>29.501536808911666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2.7475848752128385E-2</v>
      </c>
      <c r="M333" s="957"/>
      <c r="N333" s="957"/>
      <c r="O333" s="48">
        <f>IF(t&lt;Tnet,'2020'!Resal+('2020'!Salim-'2020'!Resal)*(1-EXP(('2020'!Tnet-t)/('2020'!Tau_j))),Resal+(Salim-Resal)*(1-EXP((Tnet-t)/(Tau_j))))*Salcycl</f>
        <v>2.7828836752240294E-2</v>
      </c>
      <c r="P333" s="169">
        <f>(INDEX(Models!$BJ333:$BT333,,T333)*(1-R333)+INDEX(Models!$BJ333:$BT333,,T333+1)*R333-ERP_i)*Q333*Ramure*Pc/MaxiM</f>
        <v>1.2197788029712289E-3</v>
      </c>
      <c r="Q333" s="305">
        <f t="shared" si="101"/>
        <v>0.7</v>
      </c>
      <c r="R333" s="177">
        <f t="shared" si="102"/>
        <v>0.99944618086226145</v>
      </c>
      <c r="S333" s="919">
        <f t="shared" si="103"/>
        <v>-1</v>
      </c>
      <c r="T333" s="176">
        <f t="shared" si="104"/>
        <v>5</v>
      </c>
      <c r="U333" s="251">
        <f t="shared" si="105"/>
        <v>-5.5381913773849822E-4</v>
      </c>
      <c r="V333" s="383">
        <f t="shared" si="106"/>
        <v>30.871158120617377</v>
      </c>
      <c r="W333" s="402"/>
      <c r="X333" s="157">
        <f t="shared" si="107"/>
        <v>44515</v>
      </c>
      <c r="Y333" s="385">
        <f t="shared" si="108"/>
        <v>6.7179997242946126</v>
      </c>
      <c r="Z333" s="385">
        <f t="shared" si="109"/>
        <v>6.9077973186316948</v>
      </c>
      <c r="AA333" s="386">
        <f t="shared" si="110"/>
        <v>7.6068797107915715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9.1901333889652187E-2</v>
      </c>
      <c r="AD333" s="231">
        <f>(INDEX(Models!$BJ333:$BT333,,AH333)*(1-AF333)+INDEX(Models!$BJ333:$BT333,,AH333+1)*AF333-ERP_i)*AE333*Ramure*Pc/MaxiM</f>
        <v>1.2197788029712289E-3</v>
      </c>
      <c r="AE333" s="305">
        <f t="shared" si="112"/>
        <v>0.7</v>
      </c>
      <c r="AF333" s="177">
        <f t="shared" si="113"/>
        <v>0.99944618086226145</v>
      </c>
      <c r="AG333" s="919">
        <f t="shared" si="119"/>
        <v>-1</v>
      </c>
      <c r="AH333" s="176">
        <f t="shared" si="114"/>
        <v>5</v>
      </c>
      <c r="AI333" s="225">
        <f t="shared" si="115"/>
        <v>-5.5381913773849822E-4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8">
        <v>7.6710000000000003</v>
      </c>
      <c r="C334" s="390"/>
      <c r="D334" s="393">
        <f t="shared" si="98"/>
        <v>7.8878946177573628</v>
      </c>
      <c r="E334" s="385">
        <f t="shared" si="120"/>
        <v>8.1142606067728593</v>
      </c>
      <c r="F334" s="385">
        <f t="shared" si="99"/>
        <v>8.1142606067728593</v>
      </c>
      <c r="G334" s="110">
        <f t="shared" si="121"/>
        <v>0.2504476128817783</v>
      </c>
      <c r="H334" s="412" t="b">
        <f>Wh_hp&gt;='2020'!Maxi_hp</f>
        <v>0</v>
      </c>
      <c r="I334" s="380">
        <f>IF(H334,Wh_hp,'2020'!Maxi_hp)</f>
        <v>26.374163427809396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2.7497149526958142E-2</v>
      </c>
      <c r="M334" s="957"/>
      <c r="N334" s="957"/>
      <c r="O334" s="48">
        <f>IF(t&lt;Tnet,'2020'!Resal+('2020'!Salim-'2020'!Resal)*(1-EXP(('2020'!Tnet-t)/('2020'!Tau_j))),Resal+(Salim-Resal)*(1-EXP((Tnet-t)/(Tau_j))))*Salcycl</f>
        <v>2.7897303276967968E-2</v>
      </c>
      <c r="P334" s="169">
        <f>(INDEX(Models!$BJ334:$BT334,,T334)*(1-R334)+INDEX(Models!$BJ334:$BT334,,T334+1)*R334-ERP_i)*Q334*Ramure*Pc/MaxiM</f>
        <v>1.2468837850821055E-3</v>
      </c>
      <c r="Q334" s="305">
        <f t="shared" si="101"/>
        <v>0.7</v>
      </c>
      <c r="R334" s="177">
        <f t="shared" si="102"/>
        <v>0.99947661745775107</v>
      </c>
      <c r="S334" s="919">
        <f t="shared" si="103"/>
        <v>-1</v>
      </c>
      <c r="T334" s="176">
        <f t="shared" si="104"/>
        <v>5</v>
      </c>
      <c r="U334" s="251">
        <f t="shared" si="105"/>
        <v>-5.2338254224892911E-4</v>
      </c>
      <c r="V334" s="383">
        <f t="shared" si="106"/>
        <v>30.59096897082885</v>
      </c>
      <c r="W334" s="402"/>
      <c r="X334" s="157">
        <f t="shared" si="107"/>
        <v>44516</v>
      </c>
      <c r="Y334" s="385">
        <f t="shared" si="108"/>
        <v>7.1661665025745771</v>
      </c>
      <c r="Z334" s="385">
        <f t="shared" si="109"/>
        <v>7.3687871445197644</v>
      </c>
      <c r="AA334" s="386">
        <f t="shared" si="110"/>
        <v>8.1142606067728593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9.1872013776690756E-2</v>
      </c>
      <c r="AD334" s="231">
        <f>(INDEX(Models!$BJ334:$BT334,,AH334)*(1-AF334)+INDEX(Models!$BJ334:$BT334,,AH334+1)*AF334-ERP_i)*AE334*Ramure*Pc/MaxiM</f>
        <v>1.2468837850821055E-3</v>
      </c>
      <c r="AE334" s="305">
        <f t="shared" si="112"/>
        <v>0.7</v>
      </c>
      <c r="AF334" s="177">
        <f t="shared" si="113"/>
        <v>0.99947661745775107</v>
      </c>
      <c r="AG334" s="919">
        <f t="shared" si="119"/>
        <v>-1</v>
      </c>
      <c r="AH334" s="176">
        <f t="shared" si="114"/>
        <v>5</v>
      </c>
      <c r="AI334" s="225">
        <f t="shared" si="115"/>
        <v>-5.2338254224892911E-4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8">
        <v>3.1619999999999999</v>
      </c>
      <c r="C335" s="390"/>
      <c r="D335" s="393">
        <f t="shared" ref="D335:D379" si="122">Wh/(1-Ppv)</f>
        <v>3.2514755672889706</v>
      </c>
      <c r="E335" s="385">
        <f t="shared" si="120"/>
        <v>3.3450223761488704</v>
      </c>
      <c r="F335" s="385">
        <f t="shared" ref="F335:F379" si="123">Wh_sa/(1-Pvg*MEDIAN((-Sdif+Wh/Env_an)/Csdif,0,1))</f>
        <v>3.3450223761488704</v>
      </c>
      <c r="G335" s="110">
        <f t="shared" si="121"/>
        <v>0.1041741011111141</v>
      </c>
      <c r="H335" s="412" t="b">
        <f>Wh_hp&gt;='2020'!Maxi_hp</f>
        <v>0</v>
      </c>
      <c r="I335" s="380">
        <f>IF(H335,Wh_hp,'2020'!Maxi_hp)</f>
        <v>31.482813740825435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2.7518449835246317E-2</v>
      </c>
      <c r="M335" s="957"/>
      <c r="N335" s="957"/>
      <c r="O335" s="48">
        <f>IF(t&lt;Tnet,'2020'!Resal+('2020'!Salim-'2020'!Resal)*(1-EXP(('2020'!Tnet-t)/('2020'!Tau_j))),Resal+(Salim-Resal)*(1-EXP((Tnet-t)/(Tau_j))))*Salcycl</f>
        <v>2.7965974017668722E-2</v>
      </c>
      <c r="P335" s="169">
        <f>(INDEX(Models!$BJ335:$BT335,,T335)*(1-R335)+INDEX(Models!$BJ335:$BT335,,T335+1)*R335-ERP_i)*Q335*Ramure*Pc/MaxiM</f>
        <v>1.280717197705338E-3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0.99950583207174537</v>
      </c>
      <c r="S335" s="919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-4.9416792825468514E-4</v>
      </c>
      <c r="V335" s="383">
        <f t="shared" ref="V335:V379" si="130">MaxiM*(1-Ppv)*(1-Pvg)*(1-Psa)</f>
        <v>30.314160031508461</v>
      </c>
      <c r="W335" s="402"/>
      <c r="X335" s="157">
        <f t="shared" ref="X335:X379" si="131">t</f>
        <v>44517</v>
      </c>
      <c r="Y335" s="385">
        <f t="shared" ref="Y335:Y379" si="132">Wh_pvt_s*(1-Ppv)</f>
        <v>2.9542068350710093</v>
      </c>
      <c r="Z335" s="385">
        <f t="shared" ref="Z335:Z379" si="133">Wh_sa_s*(1-Psa_s)</f>
        <v>3.037802449383765</v>
      </c>
      <c r="AA335" s="386">
        <f t="shared" ref="AA335:AA379" si="134">Wh_hp*(1-Pvg_s*MEDIAN((-Sdif+Wh/Env_an)/Csdif,0,1))</f>
        <v>3.3450223761488704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9.1843907818281459E-2</v>
      </c>
      <c r="AD335" s="231">
        <f>(INDEX(Models!$BJ335:$BT335,,AH335)*(1-AF335)+INDEX(Models!$BJ335:$BT335,,AH335+1)*AF335-ERP_i)*AE335*Ramure*Pc/MaxiM</f>
        <v>1.280717197705338E-3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0.99950583207174537</v>
      </c>
      <c r="AG335" s="919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-4.9416792825468514E-4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8">
        <v>18.077000000000002</v>
      </c>
      <c r="C336" s="390"/>
      <c r="D336" s="393">
        <f t="shared" si="122"/>
        <v>18.588934605806081</v>
      </c>
      <c r="E336" s="385">
        <f t="shared" si="120"/>
        <v>19.125104456615077</v>
      </c>
      <c r="F336" s="385">
        <f t="shared" si="123"/>
        <v>19.136003740735831</v>
      </c>
      <c r="G336" s="110">
        <f t="shared" si="121"/>
        <v>0.60128885356715311</v>
      </c>
      <c r="H336" s="412" t="b">
        <f>Wh_hp&gt;='2020'!Maxi_hp</f>
        <v>0</v>
      </c>
      <c r="I336" s="380">
        <f>IF(H336,Wh_hp,'2020'!Maxi_hp)</f>
        <v>29.94043779612808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2.7539749677003011E-2</v>
      </c>
      <c r="M336" s="957"/>
      <c r="N336" s="957"/>
      <c r="O336" s="48">
        <f>IF(t&lt;Tnet,'2020'!Resal+('2020'!Salim-'2020'!Resal)*(1-EXP(('2020'!Tnet-t)/('2020'!Tau_j))),Resal+(Salim-Resal)*(1-EXP((Tnet-t)/(Tau_j))))*Salcycl</f>
        <v>2.8034871758493562E-2</v>
      </c>
      <c r="P336" s="169">
        <f>(INDEX(Models!$BJ336:$BT336,,T336)*(1-R336)+INDEX(Models!$BJ336:$BT336,,T336+1)*R336-ERP_i)*Q336*Ramure*Pc/MaxiM</f>
        <v>1.3213253255482135E-3</v>
      </c>
      <c r="Q336" s="305">
        <f t="shared" si="125"/>
        <v>0.7</v>
      </c>
      <c r="R336" s="177">
        <f t="shared" si="126"/>
        <v>0.99953387363040869</v>
      </c>
      <c r="S336" s="919">
        <f t="shared" si="127"/>
        <v>-1</v>
      </c>
      <c r="T336" s="176">
        <f t="shared" si="128"/>
        <v>5</v>
      </c>
      <c r="U336" s="251">
        <f t="shared" si="129"/>
        <v>-4.6612636959131315E-4</v>
      </c>
      <c r="V336" s="383">
        <f t="shared" si="130"/>
        <v>30.041140224446405</v>
      </c>
      <c r="W336" s="402"/>
      <c r="X336" s="157">
        <f t="shared" si="131"/>
        <v>44518</v>
      </c>
      <c r="Y336" s="385">
        <f t="shared" si="132"/>
        <v>16.890752740742997</v>
      </c>
      <c r="Z336" s="385">
        <f t="shared" si="133"/>
        <v>17.369093220142243</v>
      </c>
      <c r="AA336" s="386">
        <f t="shared" si="134"/>
        <v>19.125104456615077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9.1817079507006585E-2</v>
      </c>
      <c r="AD336" s="231">
        <f>(INDEX(Models!$BJ336:$BT336,,AH336)*(1-AF336)+INDEX(Models!$BJ336:$BT336,,AH336+1)*AF336-ERP_i)*AE336*Ramure*Pc/MaxiM</f>
        <v>1.3213253255482135E-3</v>
      </c>
      <c r="AE336" s="305">
        <f t="shared" si="136"/>
        <v>0.7</v>
      </c>
      <c r="AF336" s="177">
        <f t="shared" si="137"/>
        <v>0.99953387363040869</v>
      </c>
      <c r="AG336" s="919">
        <f t="shared" ref="AG336:AG379" si="143">INDEX(Echel_vg,AH336)</f>
        <v>-1</v>
      </c>
      <c r="AH336" s="176">
        <f t="shared" si="138"/>
        <v>5</v>
      </c>
      <c r="AI336" s="225">
        <f t="shared" si="139"/>
        <v>-4.6612636959131315E-4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8">
        <v>29.777000000000001</v>
      </c>
      <c r="C337" s="390"/>
      <c r="D337" s="393">
        <f t="shared" si="122"/>
        <v>30.620945377577328</v>
      </c>
      <c r="E337" s="385">
        <f t="shared" si="120"/>
        <v>31.506401861425473</v>
      </c>
      <c r="F337" s="385">
        <f t="shared" si="123"/>
        <v>31.549585507891482</v>
      </c>
      <c r="G337" s="110">
        <f t="shared" si="121"/>
        <v>1.0001572536678087</v>
      </c>
      <c r="H337" s="412" t="b">
        <f>Wh_hp&gt;='2020'!Maxi_hp</f>
        <v>1</v>
      </c>
      <c r="I337" s="380">
        <f>IF(H337,Wh_hp,'2020'!Maxi_hp)</f>
        <v>31.549585507891482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2.7561049052238551E-2</v>
      </c>
      <c r="M337" s="957"/>
      <c r="N337" s="957"/>
      <c r="O337" s="48">
        <f>IF(t&lt;Tnet,'2020'!Resal+('2020'!Salim-'2020'!Resal)*(1-EXP(('2020'!Tnet-t)/('2020'!Tau_j))),Resal+(Salim-Resal)*(1-EXP((Tnet-t)/(Tau_j))))*Salcycl</f>
        <v>2.8104017962528541E-2</v>
      </c>
      <c r="P337" s="169">
        <f>(INDEX(Models!$BJ337:$BT337,,T337)*(1-R337)+INDEX(Models!$BJ337:$BT337,,T337+1)*R337-ERP_i)*Q337*Ramure*Pc/MaxiM</f>
        <v>1.3687547956916382E-3</v>
      </c>
      <c r="Q337" s="305">
        <f t="shared" si="125"/>
        <v>0.7</v>
      </c>
      <c r="R337" s="177">
        <f t="shared" si="126"/>
        <v>0.9995607891115792</v>
      </c>
      <c r="S337" s="919">
        <f t="shared" si="127"/>
        <v>-1</v>
      </c>
      <c r="T337" s="176">
        <f t="shared" si="128"/>
        <v>5</v>
      </c>
      <c r="U337" s="251">
        <f t="shared" si="129"/>
        <v>-4.3921088842080458E-4</v>
      </c>
      <c r="V337" s="383">
        <f t="shared" si="130"/>
        <v>29.772318193764857</v>
      </c>
      <c r="W337" s="402"/>
      <c r="X337" s="157">
        <f t="shared" si="131"/>
        <v>44519</v>
      </c>
      <c r="Y337" s="385">
        <f t="shared" si="132"/>
        <v>27.825736913262226</v>
      </c>
      <c r="Z337" s="385">
        <f t="shared" si="133"/>
        <v>28.614379222616105</v>
      </c>
      <c r="AA337" s="386">
        <f t="shared" si="134"/>
        <v>31.506401861425473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9.1791587358319882E-2</v>
      </c>
      <c r="AD337" s="231">
        <f>(INDEX(Models!$BJ337:$BT337,,AH337)*(1-AF337)+INDEX(Models!$BJ337:$BT337,,AH337+1)*AF337-ERP_i)*AE337*Ramure*Pc/MaxiM</f>
        <v>1.3687547956916382E-3</v>
      </c>
      <c r="AE337" s="305">
        <f t="shared" si="136"/>
        <v>0.7</v>
      </c>
      <c r="AF337" s="177">
        <f t="shared" si="137"/>
        <v>0.9995607891115792</v>
      </c>
      <c r="AG337" s="919">
        <f t="shared" si="143"/>
        <v>-1</v>
      </c>
      <c r="AH337" s="176">
        <f t="shared" si="138"/>
        <v>5</v>
      </c>
      <c r="AI337" s="225">
        <f t="shared" si="139"/>
        <v>-4.3921088842080458E-4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8">
        <v>22.193000000000001</v>
      </c>
      <c r="C338" s="390"/>
      <c r="D338" s="393">
        <f t="shared" si="122"/>
        <v>22.822498083476873</v>
      </c>
      <c r="E338" s="385">
        <f t="shared" si="120"/>
        <v>23.484126541636581</v>
      </c>
      <c r="F338" s="385">
        <f t="shared" si="123"/>
        <v>23.505765203340307</v>
      </c>
      <c r="G338" s="110">
        <f t="shared" si="121"/>
        <v>0.7517202521265357</v>
      </c>
      <c r="H338" s="412" t="b">
        <f>Wh_hp&gt;='2020'!Maxi_hp</f>
        <v>0</v>
      </c>
      <c r="I338" s="380">
        <f>IF(H338,Wh_hp,'2020'!Maxi_hp)</f>
        <v>31.724603682982458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2.7582347960963038E-2</v>
      </c>
      <c r="M338" s="957"/>
      <c r="N338" s="957"/>
      <c r="O338" s="48">
        <f>IF(t&lt;Tnet,'2020'!Resal+('2020'!Salim-'2020'!Resal)*(1-EXP(('2020'!Tnet-t)/('2020'!Tau_j))),Resal+(Salim-Resal)*(1-EXP((Tnet-t)/(Tau_j))))*Salcycl</f>
        <v>2.8173432679587398E-2</v>
      </c>
      <c r="P338" s="169">
        <f>(INDEX(Models!$BJ338:$BT338,,T338)*(1-R338)+INDEX(Models!$BJ338:$BT338,,T338+1)*R338-ERP_i)*Q338*Ramure*Pc/MaxiM</f>
        <v>1.4253427241711768E-3</v>
      </c>
      <c r="Q338" s="305">
        <f t="shared" si="125"/>
        <v>0.7</v>
      </c>
      <c r="R338" s="177">
        <f t="shared" si="126"/>
        <v>0.99958662362151829</v>
      </c>
      <c r="S338" s="919">
        <f t="shared" si="127"/>
        <v>-1</v>
      </c>
      <c r="T338" s="176">
        <f t="shared" si="128"/>
        <v>5</v>
      </c>
      <c r="U338" s="251">
        <f t="shared" si="129"/>
        <v>-4.1337637848176678E-4</v>
      </c>
      <c r="V338" s="383">
        <f t="shared" si="130"/>
        <v>29.508034612274852</v>
      </c>
      <c r="W338" s="402"/>
      <c r="X338" s="157">
        <f t="shared" si="131"/>
        <v>44520</v>
      </c>
      <c r="Y338" s="385">
        <f t="shared" si="132"/>
        <v>20.740742114163059</v>
      </c>
      <c r="Z338" s="385">
        <f t="shared" si="133"/>
        <v>21.329047318991321</v>
      </c>
      <c r="AA338" s="386">
        <f t="shared" si="134"/>
        <v>23.484126541636581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9.1767484680529893E-2</v>
      </c>
      <c r="AD338" s="231">
        <f>(INDEX(Models!$BJ338:$BT338,,AH338)*(1-AF338)+INDEX(Models!$BJ338:$BT338,,AH338+1)*AF338-ERP_i)*AE338*Ramure*Pc/MaxiM</f>
        <v>1.4253427241711768E-3</v>
      </c>
      <c r="AE338" s="305">
        <f t="shared" si="136"/>
        <v>0.7</v>
      </c>
      <c r="AF338" s="177">
        <f t="shared" si="137"/>
        <v>0.99958662362151829</v>
      </c>
      <c r="AG338" s="919">
        <f t="shared" si="143"/>
        <v>-1</v>
      </c>
      <c r="AH338" s="176">
        <f t="shared" si="138"/>
        <v>5</v>
      </c>
      <c r="AI338" s="225">
        <f t="shared" si="139"/>
        <v>-4.1337637848176678E-4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8">
        <v>10.013</v>
      </c>
      <c r="C339" s="390"/>
      <c r="D339" s="393">
        <f t="shared" si="122"/>
        <v>10.297241410832884</v>
      </c>
      <c r="E339" s="385">
        <f t="shared" si="120"/>
        <v>10.59652036020489</v>
      </c>
      <c r="F339" s="385">
        <f t="shared" si="123"/>
        <v>10.597475562923528</v>
      </c>
      <c r="G339" s="110">
        <f t="shared" si="121"/>
        <v>0.34186034796809472</v>
      </c>
      <c r="H339" s="412" t="b">
        <f>Wh_hp&gt;='2020'!Maxi_hp</f>
        <v>0</v>
      </c>
      <c r="I339" s="380">
        <f>IF(H339,Wh_hp,'2020'!Maxi_hp)</f>
        <v>30.885830486283265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2.7603646403186799E-2</v>
      </c>
      <c r="M339" s="957"/>
      <c r="N339" s="957"/>
      <c r="O339" s="48">
        <f>IF(t&lt;Tnet,'2020'!Resal+('2020'!Salim-'2020'!Resal)*(1-EXP(('2020'!Tnet-t)/('2020'!Tau_j))),Resal+(Salim-Resal)*(1-EXP((Tnet-t)/(Tau_j))))*Salcycl</f>
        <v>2.8243134462888887E-2</v>
      </c>
      <c r="P339" s="169">
        <f>(INDEX(Models!$BJ339:$BT339,,T339)*(1-R339)+INDEX(Models!$BJ339:$BT339,,T339+1)*R339-ERP_i)*Q339*Ramure*Pc/MaxiM</f>
        <v>1.490196417099338E-3</v>
      </c>
      <c r="Q339" s="305">
        <f t="shared" si="125"/>
        <v>0.7</v>
      </c>
      <c r="R339" s="177">
        <f t="shared" si="126"/>
        <v>0.99961142046870333</v>
      </c>
      <c r="S339" s="919">
        <f t="shared" si="127"/>
        <v>-1</v>
      </c>
      <c r="T339" s="176">
        <f t="shared" si="128"/>
        <v>5</v>
      </c>
      <c r="U339" s="251">
        <f t="shared" si="129"/>
        <v>-3.8857953129667333E-4</v>
      </c>
      <c r="V339" s="383">
        <f t="shared" si="130"/>
        <v>29.248726797541767</v>
      </c>
      <c r="W339" s="402"/>
      <c r="X339" s="157">
        <f t="shared" si="131"/>
        <v>44521</v>
      </c>
      <c r="Y339" s="385">
        <f t="shared" si="132"/>
        <v>9.3586775109128624</v>
      </c>
      <c r="Z339" s="385">
        <f t="shared" si="133"/>
        <v>9.6243445137323818</v>
      </c>
      <c r="AA339" s="386">
        <f t="shared" si="134"/>
        <v>10.59652036020489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9.1744819377076153E-2</v>
      </c>
      <c r="AD339" s="231">
        <f>(INDEX(Models!$BJ339:$BT339,,AH339)*(1-AF339)+INDEX(Models!$BJ339:$BT339,,AH339+1)*AF339-ERP_i)*AE339*Ramure*Pc/MaxiM</f>
        <v>1.490196417099338E-3</v>
      </c>
      <c r="AE339" s="305">
        <f t="shared" si="136"/>
        <v>0.7</v>
      </c>
      <c r="AF339" s="177">
        <f t="shared" si="137"/>
        <v>0.99961142046870333</v>
      </c>
      <c r="AG339" s="919">
        <f t="shared" si="143"/>
        <v>-1</v>
      </c>
      <c r="AH339" s="176">
        <f t="shared" si="138"/>
        <v>5</v>
      </c>
      <c r="AI339" s="225">
        <f t="shared" si="139"/>
        <v>-3.8857953129667333E-4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8">
        <v>17.687999999999999</v>
      </c>
      <c r="C340" s="390"/>
      <c r="D340" s="393">
        <f t="shared" si="122"/>
        <v>18.190511878878091</v>
      </c>
      <c r="E340" s="385">
        <f t="shared" si="120"/>
        <v>18.720549421039458</v>
      </c>
      <c r="F340" s="385">
        <f t="shared" si="123"/>
        <v>18.7335212510995</v>
      </c>
      <c r="G340" s="110">
        <f t="shared" si="121"/>
        <v>0.60950868298572614</v>
      </c>
      <c r="H340" s="412" t="b">
        <f>Wh_hp&gt;='2020'!Maxi_hp</f>
        <v>0</v>
      </c>
      <c r="I340" s="380">
        <f>IF(H340,Wh_hp,'2020'!Maxi_hp)</f>
        <v>31.571381737013635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2.7624944378920047E-2</v>
      </c>
      <c r="M340" s="957"/>
      <c r="N340" s="957"/>
      <c r="O340" s="48">
        <f>IF(t&lt;Tnet,'2020'!Resal+('2020'!Salim-'2020'!Resal)*(1-EXP(('2020'!Tnet-t)/('2020'!Tau_j))),Resal+(Salim-Resal)*(1-EXP((Tnet-t)/(Tau_j))))*Salcycl</f>
        <v>2.8313140295213483E-2</v>
      </c>
      <c r="P340" s="169">
        <f>(INDEX(Models!$BJ340:$BT340,,T340)*(1-R340)+INDEX(Models!$BJ340:$BT340,,T340+1)*R340-ERP_i)*Q340*Ramure*Pc/MaxiM</f>
        <v>1.5633695526812012E-3</v>
      </c>
      <c r="Q340" s="305">
        <f t="shared" si="125"/>
        <v>0.7</v>
      </c>
      <c r="R340" s="177">
        <f t="shared" si="126"/>
        <v>0.99963522123477189</v>
      </c>
      <c r="S340" s="919">
        <f t="shared" si="127"/>
        <v>-1</v>
      </c>
      <c r="T340" s="176">
        <f t="shared" si="128"/>
        <v>5</v>
      </c>
      <c r="U340" s="251">
        <f t="shared" si="129"/>
        <v>-3.6477876522805763E-4</v>
      </c>
      <c r="V340" s="383">
        <f t="shared" si="130"/>
        <v>28.994803204773977</v>
      </c>
      <c r="W340" s="402"/>
      <c r="X340" s="157">
        <f t="shared" si="131"/>
        <v>44522</v>
      </c>
      <c r="Y340" s="385">
        <f t="shared" si="132"/>
        <v>16.533713721865045</v>
      </c>
      <c r="Z340" s="385">
        <f t="shared" si="133"/>
        <v>17.003432601738794</v>
      </c>
      <c r="AA340" s="386">
        <f t="shared" si="134"/>
        <v>18.720549421039458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9.1723633782395828E-2</v>
      </c>
      <c r="AD340" s="231">
        <f>(INDEX(Models!$BJ340:$BT340,,AH340)*(1-AF340)+INDEX(Models!$BJ340:$BT340,,AH340+1)*AF340-ERP_i)*AE340*Ramure*Pc/MaxiM</f>
        <v>1.5633695526812012E-3</v>
      </c>
      <c r="AE340" s="305">
        <f t="shared" si="136"/>
        <v>0.7</v>
      </c>
      <c r="AF340" s="177">
        <f t="shared" si="137"/>
        <v>0.99963522123477189</v>
      </c>
      <c r="AG340" s="919">
        <f t="shared" si="143"/>
        <v>-1</v>
      </c>
      <c r="AH340" s="176">
        <f t="shared" si="138"/>
        <v>5</v>
      </c>
      <c r="AI340" s="225">
        <f t="shared" si="139"/>
        <v>-3.6477876522805763E-4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8">
        <v>10.934000000000001</v>
      </c>
      <c r="C341" s="390"/>
      <c r="D341" s="393">
        <f t="shared" si="122"/>
        <v>11.244878634739148</v>
      </c>
      <c r="E341" s="385">
        <f t="shared" si="120"/>
        <v>11.573371011863086</v>
      </c>
      <c r="F341" s="385">
        <f t="shared" si="123"/>
        <v>11.575556800125788</v>
      </c>
      <c r="G341" s="110">
        <f t="shared" si="121"/>
        <v>0.37980313622448764</v>
      </c>
      <c r="H341" s="412" t="b">
        <f>Wh_hp&gt;='2020'!Maxi_hp</f>
        <v>0</v>
      </c>
      <c r="I341" s="380">
        <f>IF(H341,Wh_hp,'2020'!Maxi_hp)</f>
        <v>31.553325364511156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2.7646241888172995E-2</v>
      </c>
      <c r="M341" s="957"/>
      <c r="N341" s="957"/>
      <c r="O341" s="48">
        <f>IF(t&lt;Tnet,'2020'!Resal+('2020'!Salim-'2020'!Resal)*(1-EXP(('2020'!Tnet-t)/('2020'!Tau_j))),Resal+(Salim-Resal)*(1-EXP((Tnet-t)/(Tau_j))))*Salcycl</f>
        <v>2.8383465525059437E-2</v>
      </c>
      <c r="P341" s="169">
        <f>(INDEX(Models!$BJ341:$BT341,,T341)*(1-R341)+INDEX(Models!$BJ341:$BT341,,T341+1)*R341-ERP_i)*Q341*Ramure*Pc/MaxiM</f>
        <v>1.6449024642527566E-3</v>
      </c>
      <c r="Q341" s="305">
        <f t="shared" si="125"/>
        <v>0.7</v>
      </c>
      <c r="R341" s="177">
        <f t="shared" si="126"/>
        <v>0.99965806584272165</v>
      </c>
      <c r="S341" s="919">
        <f t="shared" si="127"/>
        <v>-1</v>
      </c>
      <c r="T341" s="176">
        <f t="shared" si="128"/>
        <v>5</v>
      </c>
      <c r="U341" s="251">
        <f t="shared" si="129"/>
        <v>-3.419341572783452E-4</v>
      </c>
      <c r="V341" s="383">
        <f t="shared" si="130"/>
        <v>28.746672243348701</v>
      </c>
      <c r="W341" s="402"/>
      <c r="X341" s="157">
        <f t="shared" si="131"/>
        <v>44523</v>
      </c>
      <c r="Y341" s="385">
        <f t="shared" si="132"/>
        <v>10.221428412773419</v>
      </c>
      <c r="Z341" s="385">
        <f t="shared" si="133"/>
        <v>10.512047007070741</v>
      </c>
      <c r="AA341" s="386">
        <f t="shared" si="134"/>
        <v>11.573371011863086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9.1703964532412655E-2</v>
      </c>
      <c r="AD341" s="231">
        <f>(INDEX(Models!$BJ341:$BT341,,AH341)*(1-AF341)+INDEX(Models!$BJ341:$BT341,,AH341+1)*AF341-ERP_i)*AE341*Ramure*Pc/MaxiM</f>
        <v>1.6449024642527566E-3</v>
      </c>
      <c r="AE341" s="305">
        <f t="shared" si="136"/>
        <v>0.7</v>
      </c>
      <c r="AF341" s="177">
        <f t="shared" si="137"/>
        <v>0.99965806584272165</v>
      </c>
      <c r="AG341" s="919">
        <f t="shared" si="143"/>
        <v>-1</v>
      </c>
      <c r="AH341" s="176">
        <f t="shared" si="138"/>
        <v>5</v>
      </c>
      <c r="AI341" s="225">
        <f t="shared" si="139"/>
        <v>-3.419341572783452E-4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8">
        <v>1.48</v>
      </c>
      <c r="C342" s="390"/>
      <c r="D342" s="393">
        <f t="shared" si="122"/>
        <v>1.5221131241188777</v>
      </c>
      <c r="E342" s="385">
        <f t="shared" si="120"/>
        <v>1.5666919714517742</v>
      </c>
      <c r="F342" s="385">
        <f t="shared" si="123"/>
        <v>1.5666919714517742</v>
      </c>
      <c r="G342" s="110">
        <f t="shared" si="121"/>
        <v>5.1831111196642743E-2</v>
      </c>
      <c r="H342" s="412" t="b">
        <f>Wh_hp&gt;='2020'!Maxi_hp</f>
        <v>0</v>
      </c>
      <c r="I342" s="380">
        <f>IF(H342,Wh_hp,'2020'!Maxi_hp)</f>
        <v>29.21125181785667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2.7667538930955748E-2</v>
      </c>
      <c r="M342" s="957"/>
      <c r="N342" s="957"/>
      <c r="O342" s="48">
        <f>IF(t&lt;Tnet,'2020'!Resal+('2020'!Salim-'2020'!Resal)*(1-EXP(('2020'!Tnet-t)/('2020'!Tau_j))),Resal+(Salim-Resal)*(1-EXP((Tnet-t)/(Tau_j))))*Salcycl</f>
        <v>2.845412381323904E-2</v>
      </c>
      <c r="P342" s="169">
        <f>(INDEX(Models!$BJ342:$BT342,,T342)*(1-R342)+INDEX(Models!$BJ342:$BT342,,T342+1)*R342-ERP_i)*Q342*Ramure*Pc/MaxiM</f>
        <v>1.7348359568873603E-3</v>
      </c>
      <c r="Q342" s="305">
        <f t="shared" si="125"/>
        <v>0.7</v>
      </c>
      <c r="R342" s="177">
        <f t="shared" si="126"/>
        <v>0.99967999262246965</v>
      </c>
      <c r="S342" s="919">
        <f t="shared" si="127"/>
        <v>-1</v>
      </c>
      <c r="T342" s="176">
        <f t="shared" si="128"/>
        <v>5</v>
      </c>
      <c r="U342" s="251">
        <f t="shared" si="129"/>
        <v>-3.2000737753035136E-4</v>
      </c>
      <c r="V342" s="383">
        <f t="shared" si="130"/>
        <v>28.504741817680813</v>
      </c>
      <c r="W342" s="402"/>
      <c r="X342" s="157">
        <f t="shared" si="131"/>
        <v>44524</v>
      </c>
      <c r="Y342" s="385">
        <f t="shared" si="132"/>
        <v>1.3836762484341827</v>
      </c>
      <c r="Z342" s="385">
        <f t="shared" si="133"/>
        <v>1.4230484981575962</v>
      </c>
      <c r="AA342" s="386">
        <f t="shared" si="134"/>
        <v>1.5666919714517742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9.1685842470406592E-2</v>
      </c>
      <c r="AD342" s="231">
        <f>(INDEX(Models!$BJ342:$BT342,,AH342)*(1-AF342)+INDEX(Models!$BJ342:$BT342,,AH342+1)*AF342-ERP_i)*AE342*Ramure*Pc/MaxiM</f>
        <v>1.7348359568873603E-3</v>
      </c>
      <c r="AE342" s="305">
        <f t="shared" si="136"/>
        <v>0.7</v>
      </c>
      <c r="AF342" s="177">
        <f t="shared" si="137"/>
        <v>0.99967999262246965</v>
      </c>
      <c r="AG342" s="919">
        <f t="shared" si="143"/>
        <v>-1</v>
      </c>
      <c r="AH342" s="176">
        <f t="shared" si="138"/>
        <v>5</v>
      </c>
      <c r="AI342" s="225">
        <f t="shared" si="139"/>
        <v>-3.2000737753035136E-4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8">
        <v>13.215</v>
      </c>
      <c r="C343" s="390"/>
      <c r="D343" s="393">
        <f t="shared" si="122"/>
        <v>13.591328046607991</v>
      </c>
      <c r="E343" s="385">
        <f t="shared" si="120"/>
        <v>13.99040616037728</v>
      </c>
      <c r="F343" s="385">
        <f t="shared" si="123"/>
        <v>13.99654467213146</v>
      </c>
      <c r="G343" s="110">
        <f t="shared" si="121"/>
        <v>0.46681403794359139</v>
      </c>
      <c r="H343" s="412" t="b">
        <f>Wh_hp&gt;='2020'!Maxi_hp</f>
        <v>0</v>
      </c>
      <c r="I343" s="380">
        <f>IF(H343,Wh_hp,'2020'!Maxi_hp)</f>
        <v>27.276647569608237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2.7688835507278631E-2</v>
      </c>
      <c r="M343" s="957"/>
      <c r="N343" s="957"/>
      <c r="O343" s="48">
        <f>IF(t&lt;Tnet,'2020'!Resal+('2020'!Salim-'2020'!Resal)*(1-EXP(('2020'!Tnet-t)/('2020'!Tau_j))),Resal+(Salim-Resal)*(1-EXP((Tnet-t)/(Tau_j))))*Salcycl</f>
        <v>2.8525127090272228E-2</v>
      </c>
      <c r="P343" s="169">
        <f>(INDEX(Models!$BJ343:$BT343,,T343)*(1-R343)+INDEX(Models!$BJ343:$BT343,,T343+1)*R343-ERP_i)*Q343*Ramure*Pc/MaxiM</f>
        <v>1.8332130797286685E-3</v>
      </c>
      <c r="Q343" s="305">
        <f t="shared" si="125"/>
        <v>0.7</v>
      </c>
      <c r="R343" s="177">
        <f t="shared" si="126"/>
        <v>0.99970103837386692</v>
      </c>
      <c r="S343" s="919">
        <f t="shared" si="127"/>
        <v>-1</v>
      </c>
      <c r="T343" s="176">
        <f t="shared" si="128"/>
        <v>5</v>
      </c>
      <c r="U343" s="251">
        <f t="shared" si="129"/>
        <v>-2.989616261330208E-4</v>
      </c>
      <c r="V343" s="383">
        <f t="shared" si="130"/>
        <v>28.269419248472985</v>
      </c>
      <c r="W343" s="402"/>
      <c r="X343" s="157">
        <f t="shared" si="131"/>
        <v>44525</v>
      </c>
      <c r="Y343" s="385">
        <f t="shared" si="132"/>
        <v>12.35604814202455</v>
      </c>
      <c r="Z343" s="385">
        <f t="shared" si="133"/>
        <v>12.707915524626321</v>
      </c>
      <c r="AA343" s="386">
        <f t="shared" si="134"/>
        <v>13.99040616037728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9.1669292588741694E-2</v>
      </c>
      <c r="AD343" s="231">
        <f>(INDEX(Models!$BJ343:$BT343,,AH343)*(1-AF343)+INDEX(Models!$BJ343:$BT343,,AH343+1)*AF343-ERP_i)*AE343*Ramure*Pc/MaxiM</f>
        <v>1.8332130797286685E-3</v>
      </c>
      <c r="AE343" s="305">
        <f t="shared" si="136"/>
        <v>0.7</v>
      </c>
      <c r="AF343" s="177">
        <f t="shared" si="137"/>
        <v>0.99970103837386692</v>
      </c>
      <c r="AG343" s="919">
        <f t="shared" si="143"/>
        <v>-1</v>
      </c>
      <c r="AH343" s="176">
        <f t="shared" si="138"/>
        <v>5</v>
      </c>
      <c r="AI343" s="225">
        <f t="shared" si="139"/>
        <v>-2.989616261330208E-4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8">
        <v>7.7940000000000005</v>
      </c>
      <c r="C344" s="390"/>
      <c r="D344" s="393">
        <f t="shared" si="122"/>
        <v>8.0161279608552292</v>
      </c>
      <c r="E344" s="385">
        <f t="shared" si="120"/>
        <v>8.2521092845606354</v>
      </c>
      <c r="F344" s="385">
        <f t="shared" si="123"/>
        <v>8.2521092845606354</v>
      </c>
      <c r="G344" s="110">
        <f t="shared" si="121"/>
        <v>0.27740979879653049</v>
      </c>
      <c r="H344" s="412" t="b">
        <f>Wh_hp&gt;='2020'!Maxi_hp</f>
        <v>0</v>
      </c>
      <c r="I344" s="380">
        <f>IF(H344,Wh_hp,'2020'!Maxi_hp)</f>
        <v>27.777098112719983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2.7710131617151856E-2</v>
      </c>
      <c r="M344" s="957"/>
      <c r="N344" s="957"/>
      <c r="O344" s="48">
        <f>IF(t&lt;Tnet,'2020'!Resal+('2020'!Salim-'2020'!Resal)*(1-EXP(('2020'!Tnet-t)/('2020'!Tau_j))),Resal+(Salim-Resal)*(1-EXP((Tnet-t)/(Tau_j))))*Salcycl</f>
        <v>2.8596485524848645E-2</v>
      </c>
      <c r="P344" s="169">
        <f>(INDEX(Models!$BJ344:$BT344,,T344)*(1-R344)+INDEX(Models!$BJ344:$BT344,,T344+1)*R344-ERP_i)*Q344*Ramure*Pc/MaxiM</f>
        <v>1.9400700387113856E-3</v>
      </c>
      <c r="Q344" s="305">
        <f t="shared" si="125"/>
        <v>0.7</v>
      </c>
      <c r="R344" s="177">
        <f t="shared" si="126"/>
        <v>0.99972123842726535</v>
      </c>
      <c r="S344" s="919">
        <f t="shared" si="127"/>
        <v>-1</v>
      </c>
      <c r="T344" s="176">
        <f t="shared" si="128"/>
        <v>5</v>
      </c>
      <c r="U344" s="251">
        <f t="shared" si="129"/>
        <v>-2.7876157273465374E-4</v>
      </c>
      <c r="V344" s="383">
        <f t="shared" si="130"/>
        <v>28.041111481515451</v>
      </c>
      <c r="W344" s="402"/>
      <c r="X344" s="157">
        <f t="shared" si="131"/>
        <v>44526</v>
      </c>
      <c r="Y344" s="385">
        <f t="shared" si="132"/>
        <v>7.2880589942865459</v>
      </c>
      <c r="Z344" s="385">
        <f t="shared" si="133"/>
        <v>7.4957677039341579</v>
      </c>
      <c r="AA344" s="386">
        <f t="shared" si="134"/>
        <v>8.2521092845606354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9.1654334006647464E-2</v>
      </c>
      <c r="AD344" s="231">
        <f>(INDEX(Models!$BJ344:$BT344,,AH344)*(1-AF344)+INDEX(Models!$BJ344:$BT344,,AH344+1)*AF344-ERP_i)*AE344*Ramure*Pc/MaxiM</f>
        <v>1.9400700387113856E-3</v>
      </c>
      <c r="AE344" s="305">
        <f t="shared" si="136"/>
        <v>0.7</v>
      </c>
      <c r="AF344" s="177">
        <f t="shared" si="137"/>
        <v>0.99972123842726535</v>
      </c>
      <c r="AG344" s="919">
        <f t="shared" si="143"/>
        <v>-1</v>
      </c>
      <c r="AH344" s="176">
        <f t="shared" si="138"/>
        <v>5</v>
      </c>
      <c r="AI344" s="225">
        <f t="shared" si="139"/>
        <v>-2.7876157273465374E-4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8">
        <v>13.575000000000001</v>
      </c>
      <c r="C345" s="390"/>
      <c r="D345" s="393">
        <f t="shared" si="122"/>
        <v>13.962191497923021</v>
      </c>
      <c r="E345" s="385">
        <f t="shared" si="120"/>
        <v>14.374276231645018</v>
      </c>
      <c r="F345" s="385">
        <f t="shared" si="123"/>
        <v>14.382218620284819</v>
      </c>
      <c r="G345" s="110">
        <f t="shared" si="121"/>
        <v>0.48730371641485154</v>
      </c>
      <c r="H345" s="412" t="b">
        <f>Wh_hp&gt;='2020'!Maxi_hp</f>
        <v>0</v>
      </c>
      <c r="I345" s="380">
        <f>IF(H345,Wh_hp,'2020'!Maxi_hp)</f>
        <v>27.662208875171967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2.7731427260585639E-2</v>
      </c>
      <c r="M345" s="957"/>
      <c r="N345" s="957"/>
      <c r="O345" s="48">
        <f>IF(t&lt;Tnet,'2020'!Resal+('2020'!Salim-'2020'!Resal)*(1-EXP(('2020'!Tnet-t)/('2020'!Tau_j))),Resal+(Salim-Resal)*(1-EXP((Tnet-t)/(Tau_j))))*Salcycl</f>
        <v>2.8668207503539586E-2</v>
      </c>
      <c r="P345" s="169">
        <f>(INDEX(Models!$BJ345:$BT345,,T345)*(1-R345)+INDEX(Models!$BJ345:$BT345,,T345+1)*R345-ERP_i)*Q345*Ramure*Pc/MaxiM</f>
        <v>2.055785842138556E-3</v>
      </c>
      <c r="Q345" s="305">
        <f t="shared" si="125"/>
        <v>0.7</v>
      </c>
      <c r="R345" s="177">
        <f t="shared" si="126"/>
        <v>0.99974062670172592</v>
      </c>
      <c r="S345" s="919">
        <f t="shared" si="127"/>
        <v>-1</v>
      </c>
      <c r="T345" s="176">
        <f t="shared" si="128"/>
        <v>5</v>
      </c>
      <c r="U345" s="251">
        <f t="shared" si="129"/>
        <v>-2.5937329827407929E-4</v>
      </c>
      <c r="V345" s="383">
        <f t="shared" si="130"/>
        <v>27.815462073779397</v>
      </c>
      <c r="W345" s="402"/>
      <c r="X345" s="157">
        <f t="shared" si="131"/>
        <v>44527</v>
      </c>
      <c r="Y345" s="385">
        <f t="shared" si="132"/>
        <v>12.694914129213624</v>
      </c>
      <c r="Z345" s="385">
        <f t="shared" si="133"/>
        <v>13.057003471216889</v>
      </c>
      <c r="AA345" s="386">
        <f t="shared" si="134"/>
        <v>14.374276231645018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9.1640979983962478E-2</v>
      </c>
      <c r="AD345" s="231">
        <f>(INDEX(Models!$BJ345:$BT345,,AH345)*(1-AF345)+INDEX(Models!$BJ345:$BT345,,AH345+1)*AF345-ERP_i)*AE345*Ramure*Pc/MaxiM</f>
        <v>2.055785842138556E-3</v>
      </c>
      <c r="AE345" s="305">
        <f t="shared" si="136"/>
        <v>0.7</v>
      </c>
      <c r="AF345" s="177">
        <f t="shared" si="137"/>
        <v>0.99974062670172592</v>
      </c>
      <c r="AG345" s="919">
        <f t="shared" si="143"/>
        <v>-1</v>
      </c>
      <c r="AH345" s="176">
        <f t="shared" si="138"/>
        <v>5</v>
      </c>
      <c r="AI345" s="225">
        <f t="shared" si="139"/>
        <v>-2.5937329827407929E-4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8">
        <v>6.0659999999999998</v>
      </c>
      <c r="C346" s="390"/>
      <c r="D346" s="393">
        <f t="shared" si="122"/>
        <v>6.2391534951977432</v>
      </c>
      <c r="E346" s="385">
        <f t="shared" si="120"/>
        <v>6.4237747049204241</v>
      </c>
      <c r="F346" s="385">
        <f t="shared" si="123"/>
        <v>6.4237747049204241</v>
      </c>
      <c r="G346" s="110">
        <f t="shared" si="121"/>
        <v>0.21939077570201071</v>
      </c>
      <c r="H346" s="412" t="b">
        <f>Wh_hp&gt;='2020'!Maxi_hp</f>
        <v>0</v>
      </c>
      <c r="I346" s="380">
        <f>IF(H346,Wh_hp,'2020'!Maxi_hp)</f>
        <v>20.343286490073936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2.7752722437590083E-2</v>
      </c>
      <c r="M346" s="957"/>
      <c r="N346" s="957"/>
      <c r="O346" s="48">
        <f>IF(t&lt;Tnet,'2020'!Resal+('2020'!Salim-'2020'!Resal)*(1-EXP(('2020'!Tnet-t)/('2020'!Tau_j))),Resal+(Salim-Resal)*(1-EXP((Tnet-t)/(Tau_j))))*Salcycl</f>
        <v>2.874029962185105E-2</v>
      </c>
      <c r="P346" s="169">
        <f>(INDEX(Models!$BJ346:$BT346,,T346)*(1-R346)+INDEX(Models!$BJ346:$BT346,,T346+1)*R346-ERP_i)*Q346*Ramure*Pc/MaxiM</f>
        <v>2.1732706362030756E-3</v>
      </c>
      <c r="Q346" s="305">
        <f t="shared" si="125"/>
        <v>0.7</v>
      </c>
      <c r="R346" s="177">
        <f t="shared" si="126"/>
        <v>0.9997592357609606</v>
      </c>
      <c r="S346" s="919">
        <f t="shared" si="127"/>
        <v>-1</v>
      </c>
      <c r="T346" s="176">
        <f t="shared" si="128"/>
        <v>5</v>
      </c>
      <c r="U346" s="251">
        <f t="shared" si="129"/>
        <v>-2.4076423903934829E-4</v>
      </c>
      <c r="V346" s="383">
        <f t="shared" si="130"/>
        <v>27.58920433620272</v>
      </c>
      <c r="W346" s="402"/>
      <c r="X346" s="157">
        <f t="shared" si="131"/>
        <v>44528</v>
      </c>
      <c r="Y346" s="385">
        <f t="shared" si="132"/>
        <v>5.6732272947449784</v>
      </c>
      <c r="Z346" s="385">
        <f t="shared" si="133"/>
        <v>5.8351691238146008</v>
      </c>
      <c r="AA346" s="386">
        <f t="shared" si="134"/>
        <v>6.4237747049204241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9.1629237970467556E-2</v>
      </c>
      <c r="AD346" s="231">
        <f>(INDEX(Models!$BJ346:$BT346,,AH346)*(1-AF346)+INDEX(Models!$BJ346:$BT346,,AH346+1)*AF346-ERP_i)*AE346*Ramure*Pc/MaxiM</f>
        <v>2.1732706362030756E-3</v>
      </c>
      <c r="AE346" s="305">
        <f t="shared" si="136"/>
        <v>0.7</v>
      </c>
      <c r="AF346" s="177">
        <f t="shared" si="137"/>
        <v>0.9997592357609606</v>
      </c>
      <c r="AG346" s="919">
        <f t="shared" si="143"/>
        <v>-1</v>
      </c>
      <c r="AH346" s="176">
        <f t="shared" si="138"/>
        <v>5</v>
      </c>
      <c r="AI346" s="225">
        <f t="shared" si="139"/>
        <v>-2.4076423903934829E-4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8">
        <v>8.2360000000000007</v>
      </c>
      <c r="C347" s="390"/>
      <c r="D347" s="393">
        <f t="shared" si="122"/>
        <v>8.4712815181521819</v>
      </c>
      <c r="E347" s="385">
        <f t="shared" si="120"/>
        <v>8.7226038683095748</v>
      </c>
      <c r="F347" s="385">
        <f t="shared" si="123"/>
        <v>8.722631705669551</v>
      </c>
      <c r="G347" s="110">
        <f t="shared" si="121"/>
        <v>0.30028963576858186</v>
      </c>
      <c r="H347" s="412" t="b">
        <f>Wh_hp&gt;='2020'!Maxi_hp</f>
        <v>0</v>
      </c>
      <c r="I347" s="380">
        <f>IF(H347,Wh_hp,'2020'!Maxi_hp)</f>
        <v>29.549892661364552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2.7774017148175623E-2</v>
      </c>
      <c r="M347" s="957"/>
      <c r="N347" s="957"/>
      <c r="O347" s="48">
        <f>IF(t&lt;Tnet,'2020'!Resal+('2020'!Salim-'2020'!Resal)*(1-EXP(('2020'!Tnet-t)/('2020'!Tau_j))),Resal+(Salim-Resal)*(1-EXP((Tnet-t)/(Tau_j))))*Salcycl</f>
        <v>2.8812766686617704E-2</v>
      </c>
      <c r="P347" s="169">
        <f>(INDEX(Models!$BJ347:$BT347,,T347)*(1-R347)+INDEX(Models!$BJ347:$BT347,,T347+1)*R347-ERP_i)*Q347*Ramure*Pc/MaxiM</f>
        <v>2.2867301094097372E-3</v>
      </c>
      <c r="Q347" s="305">
        <f t="shared" si="125"/>
        <v>0.7</v>
      </c>
      <c r="R347" s="177">
        <f t="shared" si="126"/>
        <v>0.99977709686708982</v>
      </c>
      <c r="S347" s="919">
        <f t="shared" si="127"/>
        <v>-1</v>
      </c>
      <c r="T347" s="176">
        <f t="shared" si="128"/>
        <v>5</v>
      </c>
      <c r="U347" s="251">
        <f t="shared" si="129"/>
        <v>-2.2290313291017938E-4</v>
      </c>
      <c r="V347" s="383">
        <f t="shared" si="130"/>
        <v>27.364223524038561</v>
      </c>
      <c r="W347" s="402"/>
      <c r="X347" s="157">
        <f t="shared" si="131"/>
        <v>44529</v>
      </c>
      <c r="Y347" s="385">
        <f t="shared" si="132"/>
        <v>7.7033807240933694</v>
      </c>
      <c r="Z347" s="385">
        <f t="shared" si="133"/>
        <v>7.9234466677151447</v>
      </c>
      <c r="AA347" s="386">
        <f t="shared" si="134"/>
        <v>8.7226038683095748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9.1619109690155534E-2</v>
      </c>
      <c r="AD347" s="231">
        <f>(INDEX(Models!$BJ347:$BT347,,AH347)*(1-AF347)+INDEX(Models!$BJ347:$BT347,,AH347+1)*AF347-ERP_i)*AE347*Ramure*Pc/MaxiM</f>
        <v>2.2867301094097372E-3</v>
      </c>
      <c r="AE347" s="305">
        <f t="shared" si="136"/>
        <v>0.7</v>
      </c>
      <c r="AF347" s="177">
        <f t="shared" si="137"/>
        <v>0.99977709686708982</v>
      </c>
      <c r="AG347" s="919">
        <f t="shared" si="143"/>
        <v>-1</v>
      </c>
      <c r="AH347" s="176">
        <f t="shared" si="138"/>
        <v>5</v>
      </c>
      <c r="AI347" s="225">
        <f t="shared" si="139"/>
        <v>-2.2290313291017938E-4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8">
        <v>21.177</v>
      </c>
      <c r="C348" s="390"/>
      <c r="D348" s="393">
        <f t="shared" si="122"/>
        <v>21.782449980084795</v>
      </c>
      <c r="E348" s="385">
        <f t="shared" si="120"/>
        <v>22.430364788314357</v>
      </c>
      <c r="F348" s="385">
        <f t="shared" si="123"/>
        <v>22.467295773603123</v>
      </c>
      <c r="G348" s="110">
        <f t="shared" si="121"/>
        <v>0.77963497809151416</v>
      </c>
      <c r="H348" s="412" t="b">
        <f>Wh_hp&gt;='2020'!Maxi_hp</f>
        <v>0</v>
      </c>
      <c r="I348" s="380">
        <f>IF(H348,Wh_hp,'2020'!Maxi_hp)</f>
        <v>27.333508248606524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2.7795311392352251E-2</v>
      </c>
      <c r="M348" s="957"/>
      <c r="N348" s="957"/>
      <c r="O348" s="48">
        <f>IF(t&lt;Tnet,'2020'!Resal+('2020'!Salim-'2020'!Resal)*(1-EXP(('2020'!Tnet-t)/('2020'!Tau_j))),Resal+(Salim-Resal)*(1-EXP((Tnet-t)/(Tau_j))))*Salcycl</f>
        <v>2.8885611729645575E-2</v>
      </c>
      <c r="P348" s="169">
        <f>(INDEX(Models!$BJ348:$BT348,,T348)*(1-R348)+INDEX(Models!$BJ348:$BT348,,T348+1)*R348-ERP_i)*Q348*Ramure*Pc/MaxiM</f>
        <v>2.3960466759826902E-3</v>
      </c>
      <c r="Q348" s="305">
        <f t="shared" si="125"/>
        <v>0.7</v>
      </c>
      <c r="R348" s="177">
        <f t="shared" si="126"/>
        <v>0.99979424003229889</v>
      </c>
      <c r="S348" s="919">
        <f t="shared" si="127"/>
        <v>-1</v>
      </c>
      <c r="T348" s="176">
        <f t="shared" si="128"/>
        <v>5</v>
      </c>
      <c r="U348" s="251">
        <f t="shared" si="129"/>
        <v>-2.0575996770111349E-4</v>
      </c>
      <c r="V348" s="383">
        <f t="shared" si="130"/>
        <v>27.142243902145267</v>
      </c>
      <c r="W348" s="402"/>
      <c r="X348" s="157">
        <f t="shared" si="131"/>
        <v>44530</v>
      </c>
      <c r="Y348" s="385">
        <f t="shared" si="132"/>
        <v>19.809162279183322</v>
      </c>
      <c r="Z348" s="385">
        <f t="shared" si="133"/>
        <v>20.375505807890317</v>
      </c>
      <c r="AA348" s="386">
        <f t="shared" si="134"/>
        <v>22.430364788314357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9.1610591259513E-2</v>
      </c>
      <c r="AD348" s="231">
        <f>(INDEX(Models!$BJ348:$BT348,,AH348)*(1-AF348)+INDEX(Models!$BJ348:$BT348,,AH348+1)*AF348-ERP_i)*AE348*Ramure*Pc/MaxiM</f>
        <v>2.3960466759826902E-3</v>
      </c>
      <c r="AE348" s="305">
        <f t="shared" si="136"/>
        <v>0.7</v>
      </c>
      <c r="AF348" s="177">
        <f t="shared" si="137"/>
        <v>0.99979424003229889</v>
      </c>
      <c r="AG348" s="919">
        <f t="shared" si="143"/>
        <v>-1</v>
      </c>
      <c r="AH348" s="176">
        <f t="shared" si="138"/>
        <v>5</v>
      </c>
      <c r="AI348" s="225">
        <f t="shared" si="139"/>
        <v>-2.0575996770111349E-4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8">
        <v>4.0410000000000004</v>
      </c>
      <c r="C349" s="390"/>
      <c r="D349" s="393">
        <f t="shared" si="122"/>
        <v>4.1566231448616415</v>
      </c>
      <c r="E349" s="385">
        <f t="shared" si="120"/>
        <v>4.2805838713140529</v>
      </c>
      <c r="F349" s="385">
        <f t="shared" si="123"/>
        <v>4.2805838713140529</v>
      </c>
      <c r="G349" s="110">
        <f t="shared" si="121"/>
        <v>0.14970825598759888</v>
      </c>
      <c r="H349" s="412" t="b">
        <f>Wh_hp&gt;='2020'!Maxi_hp</f>
        <v>0</v>
      </c>
      <c r="I349" s="380">
        <f>IF(H349,Wh_hp,'2020'!Maxi_hp)</f>
        <v>28.263329653266126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2.7816605170130293E-2</v>
      </c>
      <c r="M349" s="957"/>
      <c r="N349" s="957"/>
      <c r="O349" s="48">
        <f>IF(t&lt;Tnet,'2020'!Resal+('2020'!Salim-'2020'!Resal)*(1-EXP(('2020'!Tnet-t)/('2020'!Tau_j))),Resal+(Salim-Resal)*(1-EXP((Tnet-t)/(Tau_j))))*Salcycl</f>
        <v>2.8958836032421293E-2</v>
      </c>
      <c r="P349" s="169">
        <f>(INDEX(Models!$BJ349:$BT349,,T349)*(1-R349)+INDEX(Models!$BJ349:$BT349,,T349+1)*R349-ERP_i)*Q349*Ramure*Pc/MaxiM</f>
        <v>2.5010652668072631E-3</v>
      </c>
      <c r="Q349" s="305">
        <f t="shared" si="125"/>
        <v>0.7</v>
      </c>
      <c r="R349" s="177">
        <f t="shared" si="126"/>
        <v>0.99981069406847434</v>
      </c>
      <c r="S349" s="919">
        <f t="shared" si="127"/>
        <v>-1</v>
      </c>
      <c r="T349" s="176">
        <f t="shared" si="128"/>
        <v>5</v>
      </c>
      <c r="U349" s="251">
        <f t="shared" si="129"/>
        <v>-1.8930593152560737E-4</v>
      </c>
      <c r="V349" s="383">
        <f t="shared" si="130"/>
        <v>26.924989331187803</v>
      </c>
      <c r="W349" s="402"/>
      <c r="X349" s="157">
        <f t="shared" si="131"/>
        <v>44531</v>
      </c>
      <c r="Y349" s="385">
        <f t="shared" si="132"/>
        <v>3.7803027227393429</v>
      </c>
      <c r="Z349" s="385">
        <f t="shared" si="133"/>
        <v>3.8884666646676154</v>
      </c>
      <c r="AA349" s="386">
        <f t="shared" si="134"/>
        <v>4.2805838713140529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9.1603673338624653E-2</v>
      </c>
      <c r="AD349" s="231">
        <f>(INDEX(Models!$BJ349:$BT349,,AH349)*(1-AF349)+INDEX(Models!$BJ349:$BT349,,AH349+1)*AF349-ERP_i)*AE349*Ramure*Pc/MaxiM</f>
        <v>2.5010652668072631E-3</v>
      </c>
      <c r="AE349" s="305">
        <f t="shared" si="136"/>
        <v>0.7</v>
      </c>
      <c r="AF349" s="177">
        <f t="shared" si="137"/>
        <v>0.99981069406847434</v>
      </c>
      <c r="AG349" s="919">
        <f t="shared" si="143"/>
        <v>-1</v>
      </c>
      <c r="AH349" s="176">
        <f t="shared" si="138"/>
        <v>5</v>
      </c>
      <c r="AI349" s="225">
        <f t="shared" si="139"/>
        <v>-1.8930593152560737E-4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8">
        <v>10.811999999999999</v>
      </c>
      <c r="C350" s="390"/>
      <c r="D350" s="393">
        <f t="shared" si="122"/>
        <v>11.121602028213267</v>
      </c>
      <c r="E350" s="385">
        <f t="shared" si="120"/>
        <v>11.454143760076084</v>
      </c>
      <c r="F350" s="385">
        <f t="shared" si="123"/>
        <v>11.458603807529059</v>
      </c>
      <c r="G350" s="110">
        <f t="shared" si="121"/>
        <v>0.40383306923828899</v>
      </c>
      <c r="H350" s="412" t="b">
        <f>Wh_hp&gt;='2020'!Maxi_hp</f>
        <v>1</v>
      </c>
      <c r="I350" s="380">
        <f>IF(H350,Wh_hp,'2020'!Maxi_hp)</f>
        <v>11.458603807529059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2.7837898481519963E-2</v>
      </c>
      <c r="M350" s="957"/>
      <c r="N350" s="957"/>
      <c r="O350" s="48">
        <f>IF(t&lt;Tnet,'2020'!Resal+('2020'!Salim-'2020'!Resal)*(1-EXP(('2020'!Tnet-t)/('2020'!Tau_j))),Resal+(Salim-Resal)*(1-EXP((Tnet-t)/(Tau_j))))*Salcycl</f>
        <v>2.9032439161616335E-2</v>
      </c>
      <c r="P350" s="169">
        <f>(INDEX(Models!$BJ350:$BT350,,T350)*(1-R350)+INDEX(Models!$BJ350:$BT350,,T350+1)*R350-ERP_i)*Q350*Ramure*Pc/MaxiM</f>
        <v>2.6015943751255878E-3</v>
      </c>
      <c r="Q350" s="305">
        <f t="shared" si="125"/>
        <v>0.7</v>
      </c>
      <c r="R350" s="177">
        <f t="shared" si="126"/>
        <v>0.99982648663489626</v>
      </c>
      <c r="S350" s="919">
        <f t="shared" si="127"/>
        <v>-1</v>
      </c>
      <c r="T350" s="176">
        <f t="shared" si="128"/>
        <v>5</v>
      </c>
      <c r="U350" s="251">
        <f t="shared" si="129"/>
        <v>-1.7351336510368354E-4</v>
      </c>
      <c r="V350" s="383">
        <f t="shared" si="130"/>
        <v>26.714183256216415</v>
      </c>
      <c r="W350" s="402"/>
      <c r="X350" s="157">
        <f t="shared" si="131"/>
        <v>44532</v>
      </c>
      <c r="Y350" s="385">
        <f t="shared" si="132"/>
        <v>10.115310881484234</v>
      </c>
      <c r="Z350" s="385">
        <f t="shared" si="133"/>
        <v>10.404963190484905</v>
      </c>
      <c r="AA350" s="386">
        <f t="shared" si="134"/>
        <v>11.454143760076084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9.1598341313660209E-2</v>
      </c>
      <c r="AD350" s="231">
        <f>(INDEX(Models!$BJ350:$BT350,,AH350)*(1-AF350)+INDEX(Models!$BJ350:$BT350,,AH350+1)*AF350-ERP_i)*AE350*Ramure*Pc/MaxiM</f>
        <v>2.6015943751255878E-3</v>
      </c>
      <c r="AE350" s="305">
        <f t="shared" si="136"/>
        <v>0.7</v>
      </c>
      <c r="AF350" s="177">
        <f t="shared" si="137"/>
        <v>0.99982648663489626</v>
      </c>
      <c r="AG350" s="919">
        <f t="shared" si="143"/>
        <v>-1</v>
      </c>
      <c r="AH350" s="176">
        <f t="shared" si="138"/>
        <v>5</v>
      </c>
      <c r="AI350" s="225">
        <f t="shared" si="139"/>
        <v>-1.7351336510368354E-4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8">
        <v>15.72</v>
      </c>
      <c r="C351" s="390"/>
      <c r="D351" s="393">
        <f t="shared" si="122"/>
        <v>16.17049696890173</v>
      </c>
      <c r="E351" s="385">
        <f t="shared" si="120"/>
        <v>16.65527230337311</v>
      </c>
      <c r="F351" s="385">
        <f t="shared" si="123"/>
        <v>16.674095051480148</v>
      </c>
      <c r="G351" s="110">
        <f t="shared" si="121"/>
        <v>0.59201802073762977</v>
      </c>
      <c r="H351" s="412" t="b">
        <f>Wh_hp&gt;='2020'!Maxi_hp</f>
        <v>1</v>
      </c>
      <c r="I351" s="380">
        <f>IF(H351,Wh_hp,'2020'!Maxi_hp)</f>
        <v>16.674095051480148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2.7859191326531474E-2</v>
      </c>
      <c r="M351" s="957"/>
      <c r="N351" s="957"/>
      <c r="O351" s="48">
        <f>IF(t&lt;Tnet,'2020'!Resal+('2020'!Salim-'2020'!Resal)*(1-EXP(('2020'!Tnet-t)/('2020'!Tau_j))),Resal+(Salim-Resal)*(1-EXP((Tnet-t)/(Tau_j))))*Salcycl</f>
        <v>2.9106419015028664E-2</v>
      </c>
      <c r="P351" s="169">
        <f>(INDEX(Models!$BJ351:$BT351,,T351)*(1-R351)+INDEX(Models!$BJ351:$BT351,,T351+1)*R351-ERP_i)*Q351*Ramure*Pc/MaxiM</f>
        <v>2.6974075609193082E-3</v>
      </c>
      <c r="Q351" s="305">
        <f t="shared" si="125"/>
        <v>0.7</v>
      </c>
      <c r="R351" s="177">
        <f t="shared" si="126"/>
        <v>0.99984164428405897</v>
      </c>
      <c r="S351" s="919">
        <f t="shared" si="127"/>
        <v>-1</v>
      </c>
      <c r="T351" s="176">
        <f t="shared" si="128"/>
        <v>5</v>
      </c>
      <c r="U351" s="251">
        <f t="shared" si="129"/>
        <v>-1.5835571594108311E-4</v>
      </c>
      <c r="V351" s="383">
        <f t="shared" si="130"/>
        <v>26.511548709064073</v>
      </c>
      <c r="W351" s="402"/>
      <c r="X351" s="157">
        <f t="shared" si="131"/>
        <v>44533</v>
      </c>
      <c r="Y351" s="385">
        <f t="shared" si="132"/>
        <v>14.708237393546595</v>
      </c>
      <c r="Z351" s="385">
        <f t="shared" si="133"/>
        <v>15.12973970675778</v>
      </c>
      <c r="AA351" s="386">
        <f t="shared" si="134"/>
        <v>16.65527230337311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9.1594575509063872E-2</v>
      </c>
      <c r="AD351" s="231">
        <f>(INDEX(Models!$BJ351:$BT351,,AH351)*(1-AF351)+INDEX(Models!$BJ351:$BT351,,AH351+1)*AF351-ERP_i)*AE351*Ramure*Pc/MaxiM</f>
        <v>2.6974075609193082E-3</v>
      </c>
      <c r="AE351" s="305">
        <f t="shared" si="136"/>
        <v>0.7</v>
      </c>
      <c r="AF351" s="177">
        <f t="shared" si="137"/>
        <v>0.99984164428405897</v>
      </c>
      <c r="AG351" s="919">
        <f t="shared" si="143"/>
        <v>-1</v>
      </c>
      <c r="AH351" s="176">
        <f t="shared" si="138"/>
        <v>5</v>
      </c>
      <c r="AI351" s="225">
        <f t="shared" si="139"/>
        <v>-1.5835571594108311E-4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8">
        <v>7.1550000000000002</v>
      </c>
      <c r="C352" s="390"/>
      <c r="D352" s="393">
        <f t="shared" si="122"/>
        <v>7.3602061064166806</v>
      </c>
      <c r="E352" s="385">
        <f t="shared" si="120"/>
        <v>7.5814383287926699</v>
      </c>
      <c r="F352" s="385">
        <f t="shared" si="123"/>
        <v>7.5814383287926699</v>
      </c>
      <c r="G352" s="110">
        <f t="shared" si="121"/>
        <v>0.27110080451427321</v>
      </c>
      <c r="H352" s="412" t="b">
        <f>Wh_hp&gt;='2020'!Maxi_hp</f>
        <v>0</v>
      </c>
      <c r="I352" s="380">
        <f>IF(H352,Wh_hp,'2020'!Maxi_hp)</f>
        <v>13.794125294942017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2.7880483705175041E-2</v>
      </c>
      <c r="M352" s="957"/>
      <c r="N352" s="957"/>
      <c r="O352" s="48">
        <f>IF(t&lt;Tnet,'2020'!Resal+('2020'!Salim-'2020'!Resal)*(1-EXP(('2020'!Tnet-t)/('2020'!Tau_j))),Resal+(Salim-Resal)*(1-EXP((Tnet-t)/(Tau_j))))*Salcycl</f>
        <v>2.9180771877520596E-2</v>
      </c>
      <c r="P352" s="169">
        <f>(INDEX(Models!$BJ352:$BT352,,T352)*(1-R352)+INDEX(Models!$BJ352:$BT352,,T352+1)*R352-ERP_i)*Q352*Ramure*Pc/MaxiM</f>
        <v>2.7847333856652191E-3</v>
      </c>
      <c r="Q352" s="305">
        <f t="shared" si="125"/>
        <v>0.7</v>
      </c>
      <c r="R352" s="177">
        <f t="shared" si="126"/>
        <v>0.99985619250569391</v>
      </c>
      <c r="S352" s="919">
        <f t="shared" si="127"/>
        <v>-1</v>
      </c>
      <c r="T352" s="176">
        <f t="shared" si="128"/>
        <v>5</v>
      </c>
      <c r="U352" s="251">
        <f t="shared" si="129"/>
        <v>-1.4380749430609185E-4</v>
      </c>
      <c r="V352" s="383">
        <f t="shared" si="130"/>
        <v>26.318900991125275</v>
      </c>
      <c r="W352" s="402"/>
      <c r="X352" s="157">
        <f t="shared" si="131"/>
        <v>44534</v>
      </c>
      <c r="Y352" s="385">
        <f t="shared" si="132"/>
        <v>6.6950226543266647</v>
      </c>
      <c r="Z352" s="385">
        <f t="shared" si="133"/>
        <v>6.8870365650556433</v>
      </c>
      <c r="AA352" s="386">
        <f t="shared" si="134"/>
        <v>7.5814383287926699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9.1592351427543489E-2</v>
      </c>
      <c r="AD352" s="231">
        <f>(INDEX(Models!$BJ352:$BT352,,AH352)*(1-AF352)+INDEX(Models!$BJ352:$BT352,,AH352+1)*AF352-ERP_i)*AE352*Ramure*Pc/MaxiM</f>
        <v>2.7847333856652191E-3</v>
      </c>
      <c r="AE352" s="305">
        <f t="shared" si="136"/>
        <v>0.7</v>
      </c>
      <c r="AF352" s="177">
        <f t="shared" si="137"/>
        <v>0.99985619250569391</v>
      </c>
      <c r="AG352" s="919">
        <f t="shared" si="143"/>
        <v>-1</v>
      </c>
      <c r="AH352" s="176">
        <f t="shared" si="138"/>
        <v>5</v>
      </c>
      <c r="AI352" s="225">
        <f t="shared" si="139"/>
        <v>-1.4380749430609185E-4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8">
        <v>6.5369999999999999</v>
      </c>
      <c r="C353" s="390"/>
      <c r="D353" s="393">
        <f t="shared" si="122"/>
        <v>6.7246290920366567</v>
      </c>
      <c r="E353" s="385">
        <f t="shared" si="120"/>
        <v>6.9272903838115978</v>
      </c>
      <c r="F353" s="385">
        <f t="shared" si="123"/>
        <v>6.9272903838115978</v>
      </c>
      <c r="G353" s="110">
        <f t="shared" si="121"/>
        <v>0.24937992958510288</v>
      </c>
      <c r="H353" s="412" t="b">
        <f>Wh_hp&gt;='2020'!Maxi_hp</f>
        <v>0</v>
      </c>
      <c r="I353" s="380">
        <f>IF(H353,Wh_hp,'2020'!Maxi_hp)</f>
        <v>21.606623524518486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2.7901775617460878E-2</v>
      </c>
      <c r="M353" s="957"/>
      <c r="N353" s="957"/>
      <c r="O353" s="48">
        <f>IF(t&lt;Tnet,'2020'!Resal+('2020'!Salim-'2020'!Resal)*(1-EXP(('2020'!Tnet-t)/('2020'!Tau_j))),Resal+(Salim-Resal)*(1-EXP((Tnet-t)/(Tau_j))))*Salcycl</f>
        <v>2.9255492486433176E-2</v>
      </c>
      <c r="P353" s="169">
        <f>(INDEX(Models!$BJ353:$BT353,,T353)*(1-R353)+INDEX(Models!$BJ353:$BT353,,T353+1)*R353-ERP_i)*Q353*Ramure*Pc/MaxiM</f>
        <v>2.8608570898012789E-3</v>
      </c>
      <c r="Q353" s="305">
        <f t="shared" si="125"/>
        <v>0.7</v>
      </c>
      <c r="R353" s="177">
        <f t="shared" si="126"/>
        <v>0.9998701557690628</v>
      </c>
      <c r="S353" s="919">
        <f t="shared" si="127"/>
        <v>-1</v>
      </c>
      <c r="T353" s="176">
        <f t="shared" si="128"/>
        <v>5</v>
      </c>
      <c r="U353" s="251">
        <f t="shared" si="129"/>
        <v>-1.2984423093714836E-4</v>
      </c>
      <c r="V353" s="383">
        <f t="shared" si="130"/>
        <v>26.138023970287261</v>
      </c>
      <c r="W353" s="402"/>
      <c r="X353" s="157">
        <f t="shared" si="131"/>
        <v>44535</v>
      </c>
      <c r="Y353" s="385">
        <f t="shared" si="132"/>
        <v>6.1172279660145676</v>
      </c>
      <c r="Z353" s="385">
        <f t="shared" si="133"/>
        <v>6.2928084966929454</v>
      </c>
      <c r="AA353" s="386">
        <f t="shared" si="134"/>
        <v>6.9272903838115978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9.1591640015752054E-2</v>
      </c>
      <c r="AD353" s="231">
        <f>(INDEX(Models!$BJ353:$BT353,,AH353)*(1-AF353)+INDEX(Models!$BJ353:$BT353,,AH353+1)*AF353-ERP_i)*AE353*Ramure*Pc/MaxiM</f>
        <v>2.8608570898012789E-3</v>
      </c>
      <c r="AE353" s="305">
        <f t="shared" si="136"/>
        <v>0.7</v>
      </c>
      <c r="AF353" s="177">
        <f t="shared" si="137"/>
        <v>0.9998701557690628</v>
      </c>
      <c r="AG353" s="919">
        <f t="shared" si="143"/>
        <v>-1</v>
      </c>
      <c r="AH353" s="176">
        <f t="shared" si="138"/>
        <v>5</v>
      </c>
      <c r="AI353" s="225">
        <f t="shared" si="139"/>
        <v>-1.2984423093714836E-4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8">
        <v>10.399000000000001</v>
      </c>
      <c r="C354" s="390"/>
      <c r="D354" s="393">
        <f t="shared" si="122"/>
        <v>10.697712956303869</v>
      </c>
      <c r="E354" s="385">
        <f t="shared" si="120"/>
        <v>11.020964162387038</v>
      </c>
      <c r="F354" s="385">
        <f t="shared" si="123"/>
        <v>11.025591004146349</v>
      </c>
      <c r="G354" s="110">
        <f t="shared" si="121"/>
        <v>0.39940996584033622</v>
      </c>
      <c r="H354" s="412" t="b">
        <f>Wh_hp&gt;='2020'!Maxi_hp</f>
        <v>0</v>
      </c>
      <c r="I354" s="380">
        <f>IF(H354,Wh_hp,'2020'!Maxi_hp)</f>
        <v>23.022498392650729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2.7923067063399198E-2</v>
      </c>
      <c r="M354" s="957"/>
      <c r="N354" s="957"/>
      <c r="O354" s="48">
        <f>IF(t&lt;Tnet,'2020'!Resal+('2020'!Salim-'2020'!Resal)*(1-EXP(('2020'!Tnet-t)/('2020'!Tau_j))),Resal+(Salim-Resal)*(1-EXP((Tnet-t)/(Tau_j))))*Salcycl</f>
        <v>2.9330574105882554E-2</v>
      </c>
      <c r="P354" s="169">
        <f>(INDEX(Models!$BJ354:$BT354,,T354)*(1-R354)+INDEX(Models!$BJ354:$BT354,,T354+1)*R354-ERP_i)*Q354*Ramure*Pc/MaxiM</f>
        <v>2.9254164527463943E-3</v>
      </c>
      <c r="Q354" s="305">
        <f t="shared" si="125"/>
        <v>0.7</v>
      </c>
      <c r="R354" s="177">
        <f t="shared" si="126"/>
        <v>0.99988355756358582</v>
      </c>
      <c r="S354" s="919">
        <f t="shared" si="127"/>
        <v>-1</v>
      </c>
      <c r="T354" s="176">
        <f t="shared" si="128"/>
        <v>5</v>
      </c>
      <c r="U354" s="251">
        <f t="shared" si="129"/>
        <v>-1.1644243641417695E-4</v>
      </c>
      <c r="V354" s="383">
        <f t="shared" si="130"/>
        <v>25.970637784451466</v>
      </c>
      <c r="W354" s="402"/>
      <c r="X354" s="157">
        <f t="shared" si="131"/>
        <v>44536</v>
      </c>
      <c r="Y354" s="385">
        <f t="shared" si="132"/>
        <v>9.7319749625279606</v>
      </c>
      <c r="Z354" s="385">
        <f t="shared" si="133"/>
        <v>10.01152751678625</v>
      </c>
      <c r="AA354" s="386">
        <f t="shared" si="134"/>
        <v>11.020964162387038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9.1592407953366678E-2</v>
      </c>
      <c r="AD354" s="231">
        <f>(INDEX(Models!$BJ354:$BT354,,AH354)*(1-AF354)+INDEX(Models!$BJ354:$BT354,,AH354+1)*AF354-ERP_i)*AE354*Ramure*Pc/MaxiM</f>
        <v>2.9254164527463943E-3</v>
      </c>
      <c r="AE354" s="305">
        <f t="shared" si="136"/>
        <v>0.7</v>
      </c>
      <c r="AF354" s="177">
        <f t="shared" si="137"/>
        <v>0.99988355756358582</v>
      </c>
      <c r="AG354" s="919">
        <f t="shared" si="143"/>
        <v>-1</v>
      </c>
      <c r="AH354" s="176">
        <f t="shared" si="138"/>
        <v>5</v>
      </c>
      <c r="AI354" s="225">
        <f t="shared" si="139"/>
        <v>-1.1644243641417695E-4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8">
        <v>5.9539999999999997</v>
      </c>
      <c r="C355" s="390"/>
      <c r="D355" s="393">
        <f t="shared" si="122"/>
        <v>6.1251637694453951</v>
      </c>
      <c r="E355" s="385">
        <f t="shared" si="120"/>
        <v>6.3107373667839193</v>
      </c>
      <c r="F355" s="385">
        <f t="shared" si="123"/>
        <v>6.3107373667839193</v>
      </c>
      <c r="G355" s="110">
        <f t="shared" si="121"/>
        <v>0.22992340449641135</v>
      </c>
      <c r="H355" s="412" t="b">
        <f>Wh_hp&gt;='2020'!Maxi_hp</f>
        <v>0</v>
      </c>
      <c r="I355" s="380">
        <f>IF(H355,Wh_hp,'2020'!Maxi_hp)</f>
        <v>23.615013833101326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2.7944358043000217E-2</v>
      </c>
      <c r="M355" s="957"/>
      <c r="N355" s="957"/>
      <c r="O355" s="48">
        <f>IF(t&lt;Tnet,'2020'!Resal+('2020'!Salim-'2020'!Resal)*(1-EXP(('2020'!Tnet-t)/('2020'!Tau_j))),Resal+(Salim-Resal)*(1-EXP((Tnet-t)/(Tau_j))))*Salcycl</f>
        <v>2.9406008609275447E-2</v>
      </c>
      <c r="P355" s="169">
        <f>(INDEX(Models!$BJ355:$BT355,,T355)*(1-R355)+INDEX(Models!$BJ355:$BT355,,T355+1)*R355-ERP_i)*Q355*Ramure*Pc/MaxiM</f>
        <v>2.9780399775537858E-3</v>
      </c>
      <c r="Q355" s="305">
        <f t="shared" si="125"/>
        <v>0.7</v>
      </c>
      <c r="R355" s="177">
        <f t="shared" si="126"/>
        <v>0.99989642043787086</v>
      </c>
      <c r="S355" s="919">
        <f t="shared" si="127"/>
        <v>-1</v>
      </c>
      <c r="T355" s="176">
        <f t="shared" si="128"/>
        <v>5</v>
      </c>
      <c r="U355" s="251">
        <f t="shared" si="129"/>
        <v>-1.0357956212914132E-4</v>
      </c>
      <c r="V355" s="383">
        <f t="shared" si="130"/>
        <v>25.818462296065636</v>
      </c>
      <c r="W355" s="402"/>
      <c r="X355" s="157">
        <f t="shared" si="131"/>
        <v>44537</v>
      </c>
      <c r="Y355" s="385">
        <f t="shared" si="132"/>
        <v>5.5725109496070955</v>
      </c>
      <c r="Z355" s="385">
        <f t="shared" si="133"/>
        <v>5.7327077886078488</v>
      </c>
      <c r="AA355" s="386">
        <f t="shared" si="134"/>
        <v>6.3107373667839193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9.1594617963105987E-2</v>
      </c>
      <c r="AD355" s="231">
        <f>(INDEX(Models!$BJ355:$BT355,,AH355)*(1-AF355)+INDEX(Models!$BJ355:$BT355,,AH355+1)*AF355-ERP_i)*AE355*Ramure*Pc/MaxiM</f>
        <v>2.9780399775537858E-3</v>
      </c>
      <c r="AE355" s="305">
        <f t="shared" si="136"/>
        <v>0.7</v>
      </c>
      <c r="AF355" s="177">
        <f t="shared" si="137"/>
        <v>0.99989642043787086</v>
      </c>
      <c r="AG355" s="919">
        <f t="shared" si="143"/>
        <v>-1</v>
      </c>
      <c r="AH355" s="176">
        <f t="shared" si="138"/>
        <v>5</v>
      </c>
      <c r="AI355" s="225">
        <f t="shared" si="139"/>
        <v>-1.0357956212914132E-4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8">
        <v>8.4930000000000003</v>
      </c>
      <c r="C356" s="390"/>
      <c r="D356" s="393">
        <f t="shared" si="122"/>
        <v>8.737345534533496</v>
      </c>
      <c r="E356" s="385">
        <f t="shared" si="120"/>
        <v>9.0027630740157623</v>
      </c>
      <c r="F356" s="385">
        <f t="shared" si="123"/>
        <v>9.0039543210650557</v>
      </c>
      <c r="G356" s="110">
        <f t="shared" si="121"/>
        <v>0.32972837725251081</v>
      </c>
      <c r="H356" s="412" t="b">
        <f>Wh_hp&gt;='2020'!Maxi_hp</f>
        <v>0</v>
      </c>
      <c r="I356" s="380">
        <f>IF(H356,Wh_hp,'2020'!Maxi_hp)</f>
        <v>18.625313050324355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2.7965648556274147E-2</v>
      </c>
      <c r="M356" s="957"/>
      <c r="N356" s="957"/>
      <c r="O356" s="48">
        <f>IF(t&lt;Tnet,'2020'!Resal+('2020'!Salim-'2020'!Resal)*(1-EXP(('2020'!Tnet-t)/('2020'!Tau_j))),Resal+(Salim-Resal)*(1-EXP((Tnet-t)/(Tau_j))))*Salcycl</f>
        <v>2.948178656931771E-2</v>
      </c>
      <c r="P356" s="169">
        <f>(INDEX(Models!$BJ356:$BT356,,T356)*(1-R356)+INDEX(Models!$BJ356:$BT356,,T356+1)*R356-ERP_i)*Q356*Ramure*Pc/MaxiM</f>
        <v>3.0183568480469602E-3</v>
      </c>
      <c r="Q356" s="305">
        <f t="shared" si="125"/>
        <v>0.7</v>
      </c>
      <c r="R356" s="177">
        <f t="shared" si="126"/>
        <v>0.99990876603720491</v>
      </c>
      <c r="S356" s="919">
        <f t="shared" si="127"/>
        <v>-1</v>
      </c>
      <c r="T356" s="176">
        <f t="shared" si="128"/>
        <v>5</v>
      </c>
      <c r="U356" s="251">
        <f t="shared" si="129"/>
        <v>-9.1233962795089774E-5</v>
      </c>
      <c r="V356" s="383">
        <f t="shared" si="130"/>
        <v>25.683217104202701</v>
      </c>
      <c r="W356" s="402"/>
      <c r="X356" s="157">
        <f t="shared" si="131"/>
        <v>44538</v>
      </c>
      <c r="Y356" s="385">
        <f t="shared" si="132"/>
        <v>7.949419323775313</v>
      </c>
      <c r="Z356" s="385">
        <f t="shared" si="133"/>
        <v>8.178125919077182</v>
      </c>
      <c r="AA356" s="386">
        <f t="shared" si="134"/>
        <v>9.0027630740157623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9.1598229139084025E-2</v>
      </c>
      <c r="AD356" s="231">
        <f>(INDEX(Models!$BJ356:$BT356,,AH356)*(1-AF356)+INDEX(Models!$BJ356:$BT356,,AH356+1)*AF356-ERP_i)*AE356*Ramure*Pc/MaxiM</f>
        <v>3.0183568480469602E-3</v>
      </c>
      <c r="AE356" s="305">
        <f t="shared" si="136"/>
        <v>0.7</v>
      </c>
      <c r="AF356" s="177">
        <f t="shared" si="137"/>
        <v>0.99990876603720491</v>
      </c>
      <c r="AG356" s="919">
        <f t="shared" si="143"/>
        <v>-1</v>
      </c>
      <c r="AH356" s="176">
        <f t="shared" si="138"/>
        <v>5</v>
      </c>
      <c r="AI356" s="225">
        <f t="shared" si="139"/>
        <v>-9.1233962795089774E-5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8">
        <v>8.0850000000000009</v>
      </c>
      <c r="C357" s="390"/>
      <c r="D357" s="393">
        <f t="shared" si="122"/>
        <v>8.3177894630160338</v>
      </c>
      <c r="E357" s="385">
        <f t="shared" si="120"/>
        <v>8.5711341669359804</v>
      </c>
      <c r="F357" s="385">
        <f t="shared" si="123"/>
        <v>8.5717396344948984</v>
      </c>
      <c r="G357" s="110">
        <f t="shared" si="121"/>
        <v>0.31529165510729978</v>
      </c>
      <c r="H357" s="412" t="b">
        <f>Wh_hp&gt;='2020'!Maxi_hp</f>
        <v>0</v>
      </c>
      <c r="I357" s="380">
        <f>IF(H357,Wh_hp,'2020'!Maxi_hp)</f>
        <v>9.4747658981708156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2.7986938603231093E-2</v>
      </c>
      <c r="M357" s="957"/>
      <c r="N357" s="957"/>
      <c r="O357" s="48">
        <f>IF(t&lt;Tnet,'2020'!Resal+('2020'!Salim-'2020'!Resal)*(1-EXP(('2020'!Tnet-t)/('2020'!Tau_j))),Resal+(Salim-Resal)*(1-EXP((Tnet-t)/(Tau_j))))*Salcycl</f>
        <v>2.955789735473404E-2</v>
      </c>
      <c r="P357" s="169">
        <f>(INDEX(Models!$BJ357:$BT357,,T357)*(1-R357)+INDEX(Models!$BJ357:$BT357,,T357+1)*R357-ERP_i)*Q357*Ramure*Pc/MaxiM</f>
        <v>3.0460078546035835E-3</v>
      </c>
      <c r="Q357" s="305">
        <f t="shared" si="125"/>
        <v>0.7</v>
      </c>
      <c r="R357" s="177">
        <f t="shared" si="126"/>
        <v>0.99992061513956498</v>
      </c>
      <c r="S357" s="919">
        <f t="shared" si="127"/>
        <v>-1</v>
      </c>
      <c r="T357" s="176">
        <f t="shared" si="128"/>
        <v>5</v>
      </c>
      <c r="U357" s="251">
        <f t="shared" si="129"/>
        <v>-7.9384860435016691E-5</v>
      </c>
      <c r="V357" s="383">
        <f t="shared" si="130"/>
        <v>25.566621517422636</v>
      </c>
      <c r="W357" s="402"/>
      <c r="X357" s="157">
        <f t="shared" si="131"/>
        <v>44539</v>
      </c>
      <c r="Y357" s="385">
        <f t="shared" si="132"/>
        <v>7.5680848243130194</v>
      </c>
      <c r="Z357" s="385">
        <f t="shared" si="133"/>
        <v>7.7859908728364093</v>
      </c>
      <c r="AA357" s="386">
        <f t="shared" si="134"/>
        <v>8.5711341669359804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9.1603197290778704E-2</v>
      </c>
      <c r="AD357" s="231">
        <f>(INDEX(Models!$BJ357:$BT357,,AH357)*(1-AF357)+INDEX(Models!$BJ357:$BT357,,AH357+1)*AF357-ERP_i)*AE357*Ramure*Pc/MaxiM</f>
        <v>3.0460078546035835E-3</v>
      </c>
      <c r="AE357" s="305">
        <f t="shared" si="136"/>
        <v>0.7</v>
      </c>
      <c r="AF357" s="177">
        <f t="shared" si="137"/>
        <v>0.99992061513956498</v>
      </c>
      <c r="AG357" s="919">
        <f t="shared" si="143"/>
        <v>-1</v>
      </c>
      <c r="AH357" s="176">
        <f t="shared" si="138"/>
        <v>5</v>
      </c>
      <c r="AI357" s="225">
        <f t="shared" si="139"/>
        <v>-7.9384860435016691E-5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8">
        <v>2.6230000000000002</v>
      </c>
      <c r="C358" s="390"/>
      <c r="D358" s="393">
        <f t="shared" si="122"/>
        <v>2.6985825148489218</v>
      </c>
      <c r="E358" s="385">
        <f t="shared" si="120"/>
        <v>2.7809954495973987</v>
      </c>
      <c r="F358" s="385">
        <f t="shared" si="123"/>
        <v>2.7809954495973987</v>
      </c>
      <c r="G358" s="110">
        <f t="shared" si="121"/>
        <v>0.10266711396760125</v>
      </c>
      <c r="H358" s="412" t="b">
        <f>Wh_hp&gt;='2020'!Maxi_hp</f>
        <v>0</v>
      </c>
      <c r="I358" s="380">
        <f>IF(H358,Wh_hp,'2020'!Maxi_hp)</f>
        <v>22.134135091685113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2.8008228183881489E-2</v>
      </c>
      <c r="M358" s="957"/>
      <c r="N358" s="957"/>
      <c r="O358" s="48">
        <f>IF(t&lt;Tnet,'2020'!Resal+('2020'!Salim-'2020'!Resal)*(1-EXP(('2020'!Tnet-t)/('2020'!Tau_j))),Resal+(Salim-Resal)*(1-EXP((Tnet-t)/(Tau_j))))*Salcycl</f>
        <v>2.9634329232867934E-2</v>
      </c>
      <c r="P358" s="169">
        <f>(INDEX(Models!$BJ358:$BT358,,T358)*(1-R358)+INDEX(Models!$BJ358:$BT358,,T358+1)*R358-ERP_i)*Q358*Ramure*Pc/MaxiM</f>
        <v>3.0606571550446013E-3</v>
      </c>
      <c r="Q358" s="305">
        <f t="shared" si="125"/>
        <v>0.7</v>
      </c>
      <c r="R358" s="177">
        <f t="shared" si="126"/>
        <v>0.99993198769020952</v>
      </c>
      <c r="S358" s="919">
        <f t="shared" si="127"/>
        <v>-1</v>
      </c>
      <c r="T358" s="176">
        <f t="shared" si="128"/>
        <v>5</v>
      </c>
      <c r="U358" s="251">
        <f t="shared" si="129"/>
        <v>-6.8012309790477232E-5</v>
      </c>
      <c r="V358" s="383">
        <f t="shared" si="130"/>
        <v>25.470394513159562</v>
      </c>
      <c r="W358" s="402"/>
      <c r="X358" s="157">
        <f t="shared" si="131"/>
        <v>44540</v>
      </c>
      <c r="Y358" s="385">
        <f t="shared" si="132"/>
        <v>2.4554746917262178</v>
      </c>
      <c r="Z358" s="385">
        <f t="shared" si="133"/>
        <v>2.5262299156486527</v>
      </c>
      <c r="AA358" s="386">
        <f t="shared" si="134"/>
        <v>2.7809954495973987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9.1609475299798876E-2</v>
      </c>
      <c r="AD358" s="231">
        <f>(INDEX(Models!$BJ358:$BT358,,AH358)*(1-AF358)+INDEX(Models!$BJ358:$BT358,,AH358+1)*AF358-ERP_i)*AE358*Ramure*Pc/MaxiM</f>
        <v>3.0606571550446013E-3</v>
      </c>
      <c r="AE358" s="305">
        <f t="shared" si="136"/>
        <v>0.7</v>
      </c>
      <c r="AF358" s="177">
        <f t="shared" si="137"/>
        <v>0.99993198769020952</v>
      </c>
      <c r="AG358" s="919">
        <f t="shared" si="143"/>
        <v>-1</v>
      </c>
      <c r="AH358" s="176">
        <f t="shared" si="138"/>
        <v>5</v>
      </c>
      <c r="AI358" s="225">
        <f t="shared" si="139"/>
        <v>-6.8012309790477232E-5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8">
        <v>15.167</v>
      </c>
      <c r="C359" s="390"/>
      <c r="D359" s="393">
        <f t="shared" si="122"/>
        <v>15.604383332547949</v>
      </c>
      <c r="E359" s="385">
        <f t="shared" si="120"/>
        <v>16.08220277659111</v>
      </c>
      <c r="F359" s="385">
        <f t="shared" si="123"/>
        <v>16.103146578141981</v>
      </c>
      <c r="G359" s="110">
        <f t="shared" si="121"/>
        <v>0.596237056834655</v>
      </c>
      <c r="H359" s="412" t="b">
        <f>Wh_hp&gt;='2020'!Maxi_hp</f>
        <v>0</v>
      </c>
      <c r="I359" s="380">
        <f>IF(H359,Wh_hp,'2020'!Maxi_hp)</f>
        <v>23.016717284204159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2.802951729823544E-2</v>
      </c>
      <c r="M359" s="957"/>
      <c r="N359" s="957"/>
      <c r="O359" s="48">
        <f>IF(t&lt;Tnet,'2020'!Resal+('2020'!Salim-'2020'!Resal)*(1-EXP(('2020'!Tnet-t)/('2020'!Tau_j))),Resal+(Salim-Resal)*(1-EXP((Tnet-t)/(Tau_j))))*Salcycl</f>
        <v>2.971106947728969E-2</v>
      </c>
      <c r="P359" s="169">
        <f>(INDEX(Models!$BJ359:$BT359,,T359)*(1-R359)+INDEX(Models!$BJ359:$BT359,,T359+1)*R359-ERP_i)*Q359*Ramure*Pc/MaxiM</f>
        <v>3.0623966450569386E-3</v>
      </c>
      <c r="Q359" s="305">
        <f t="shared" si="125"/>
        <v>0.7</v>
      </c>
      <c r="R359" s="177">
        <f t="shared" si="126"/>
        <v>0.99994290283490084</v>
      </c>
      <c r="S359" s="919">
        <f t="shared" si="127"/>
        <v>-1</v>
      </c>
      <c r="T359" s="176">
        <f t="shared" si="128"/>
        <v>5</v>
      </c>
      <c r="U359" s="251">
        <f t="shared" si="129"/>
        <v>-5.7097165099162517E-5</v>
      </c>
      <c r="V359" s="383">
        <f t="shared" si="130"/>
        <v>25.392994118956903</v>
      </c>
      <c r="W359" s="402"/>
      <c r="X359" s="157">
        <f t="shared" si="131"/>
        <v>44541</v>
      </c>
      <c r="Y359" s="385">
        <f t="shared" si="132"/>
        <v>14.199321792764508</v>
      </c>
      <c r="Z359" s="385">
        <f t="shared" si="133"/>
        <v>14.608799387914509</v>
      </c>
      <c r="AA359" s="386">
        <f t="shared" si="134"/>
        <v>16.08220277659111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9.1617013486563773E-2</v>
      </c>
      <c r="AD359" s="231">
        <f>(INDEX(Models!$BJ359:$BT359,,AH359)*(1-AF359)+INDEX(Models!$BJ359:$BT359,,AH359+1)*AF359-ERP_i)*AE359*Ramure*Pc/MaxiM</f>
        <v>3.0623966450569386E-3</v>
      </c>
      <c r="AE359" s="305">
        <f t="shared" si="136"/>
        <v>0.7</v>
      </c>
      <c r="AF359" s="177">
        <f t="shared" si="137"/>
        <v>0.99994290283490084</v>
      </c>
      <c r="AG359" s="919">
        <f t="shared" si="143"/>
        <v>-1</v>
      </c>
      <c r="AH359" s="176">
        <f t="shared" si="138"/>
        <v>5</v>
      </c>
      <c r="AI359" s="225">
        <f t="shared" si="139"/>
        <v>-5.7097165099162517E-5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8">
        <v>25.039000000000001</v>
      </c>
      <c r="C360" s="390"/>
      <c r="D360" s="393">
        <f t="shared" si="122"/>
        <v>25.761634613400052</v>
      </c>
      <c r="E360" s="385">
        <f t="shared" si="120"/>
        <v>26.552585813823281</v>
      </c>
      <c r="F360" s="385">
        <f t="shared" si="123"/>
        <v>26.632515874966092</v>
      </c>
      <c r="G360" s="110">
        <f t="shared" si="121"/>
        <v>0.98840698386997072</v>
      </c>
      <c r="H360" s="412" t="b">
        <f>Wh_hp&gt;='2020'!Maxi_hp</f>
        <v>1</v>
      </c>
      <c r="I360" s="380">
        <f>IF(H360,Wh_hp,'2020'!Maxi_hp)</f>
        <v>26.632515874966092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2.8050805946303048E-2</v>
      </c>
      <c r="M360" s="957"/>
      <c r="N360" s="957"/>
      <c r="O360" s="48">
        <f>IF(t&lt;Tnet,'2020'!Resal+('2020'!Salim-'2020'!Resal)*(1-EXP(('2020'!Tnet-t)/('2020'!Tau_j))),Resal+(Salim-Resal)*(1-EXP((Tnet-t)/(Tau_j))))*Salcycl</f>
        <v>2.9788104479506486E-2</v>
      </c>
      <c r="P360" s="169">
        <f>(INDEX(Models!$BJ360:$BT360,,T360)*(1-R360)+INDEX(Models!$BJ360:$BT360,,T360+1)*R360-ERP_i)*Q360*Ramure*Pc/MaxiM</f>
        <v>3.0515412889385498E-3</v>
      </c>
      <c r="Q360" s="305">
        <f t="shared" si="125"/>
        <v>0.7</v>
      </c>
      <c r="R360" s="177">
        <f t="shared" si="126"/>
        <v>0.99995337895181557</v>
      </c>
      <c r="S360" s="919">
        <f t="shared" si="127"/>
        <v>-1</v>
      </c>
      <c r="T360" s="176">
        <f t="shared" si="128"/>
        <v>5</v>
      </c>
      <c r="U360" s="251">
        <f t="shared" si="129"/>
        <v>-4.6621048184425362E-5</v>
      </c>
      <c r="V360" s="383">
        <f t="shared" si="130"/>
        <v>25.331403603515373</v>
      </c>
      <c r="W360" s="402"/>
      <c r="X360" s="157">
        <f t="shared" si="131"/>
        <v>44542</v>
      </c>
      <c r="Y360" s="385">
        <f t="shared" si="132"/>
        <v>23.443108356818822</v>
      </c>
      <c r="Z360" s="385">
        <f t="shared" si="133"/>
        <v>24.119684959092286</v>
      </c>
      <c r="AA360" s="386">
        <f t="shared" si="134"/>
        <v>26.552585813823281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9.1625759983964605E-2</v>
      </c>
      <c r="AD360" s="231">
        <f>(INDEX(Models!$BJ360:$BT360,,AH360)*(1-AF360)+INDEX(Models!$BJ360:$BT360,,AH360+1)*AF360-ERP_i)*AE360*Ramure*Pc/MaxiM</f>
        <v>3.0515412889385498E-3</v>
      </c>
      <c r="AE360" s="305">
        <f t="shared" si="136"/>
        <v>0.7</v>
      </c>
      <c r="AF360" s="177">
        <f t="shared" si="137"/>
        <v>0.99995337895181557</v>
      </c>
      <c r="AG360" s="919">
        <f t="shared" si="143"/>
        <v>-1</v>
      </c>
      <c r="AH360" s="176">
        <f t="shared" si="138"/>
        <v>5</v>
      </c>
      <c r="AI360" s="225">
        <f t="shared" si="139"/>
        <v>-4.6621048184425362E-5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8">
        <v>26.179000000000002</v>
      </c>
      <c r="C361" s="390"/>
      <c r="D361" s="393">
        <f t="shared" si="122"/>
        <v>26.93512537487554</v>
      </c>
      <c r="E361" s="385">
        <f t="shared" ref="E361:E379" si="144">Wh_pvt/(1-Psa)</f>
        <v>27.76431840115962</v>
      </c>
      <c r="F361" s="385">
        <f t="shared" si="123"/>
        <v>27.848923412804474</v>
      </c>
      <c r="G361" s="110">
        <f t="shared" ref="G361:G379" si="145">+Wh_hp/MaxiM</f>
        <v>1.03536185034025</v>
      </c>
      <c r="H361" s="412" t="b">
        <f>Wh_hp&gt;='2020'!Maxi_hp</f>
        <v>1</v>
      </c>
      <c r="I361" s="380">
        <f>IF(H361,Wh_hp,'2020'!Maxi_hp)</f>
        <v>27.848923412804474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2.8072094128094638E-2</v>
      </c>
      <c r="M361" s="957"/>
      <c r="N361" s="957"/>
      <c r="O361" s="48">
        <f>IF(t&lt;Tnet,'2020'!Resal+('2020'!Salim-'2020'!Resal)*(1-EXP(('2020'!Tnet-t)/('2020'!Tau_j))),Resal+(Salim-Resal)*(1-EXP((Tnet-t)/(Tau_j))))*Salcycl</f>
        <v>2.9865419863843945E-2</v>
      </c>
      <c r="P361" s="169">
        <f>(INDEX(Models!$BJ361:$BT361,,T361)*(1-R361)+INDEX(Models!$BJ361:$BT361,,T361+1)*R361-ERP_i)*Q361*Ramure*Pc/MaxiM</f>
        <v>3.0379993650295131E-3</v>
      </c>
      <c r="Q361" s="305">
        <f t="shared" si="125"/>
        <v>0.7</v>
      </c>
      <c r="R361" s="177">
        <f t="shared" si="126"/>
        <v>0.99996343368219143</v>
      </c>
      <c r="S361" s="919">
        <f t="shared" si="127"/>
        <v>-1</v>
      </c>
      <c r="T361" s="176">
        <f t="shared" si="128"/>
        <v>5</v>
      </c>
      <c r="U361" s="251">
        <f t="shared" si="129"/>
        <v>-3.6566317808517379E-5</v>
      </c>
      <c r="V361" s="383">
        <f t="shared" si="130"/>
        <v>25.284879862433431</v>
      </c>
      <c r="W361" s="402"/>
      <c r="X361" s="157">
        <f t="shared" si="131"/>
        <v>44543</v>
      </c>
      <c r="Y361" s="385">
        <f t="shared" si="132"/>
        <v>24.512135238320617</v>
      </c>
      <c r="Z361" s="385">
        <f t="shared" si="133"/>
        <v>25.220116729060333</v>
      </c>
      <c r="AA361" s="386">
        <f t="shared" si="134"/>
        <v>27.76431840115962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9.1635661115059885E-2</v>
      </c>
      <c r="AD361" s="231">
        <f>(INDEX(Models!$BJ361:$BT361,,AH361)*(1-AF361)+INDEX(Models!$BJ361:$BT361,,AH361+1)*AF361-ERP_i)*AE361*Ramure*Pc/MaxiM</f>
        <v>3.0379993650295131E-3</v>
      </c>
      <c r="AE361" s="305">
        <f t="shared" si="136"/>
        <v>0.7</v>
      </c>
      <c r="AF361" s="177">
        <f t="shared" si="137"/>
        <v>0.99996343368219143</v>
      </c>
      <c r="AG361" s="919">
        <f t="shared" si="143"/>
        <v>-1</v>
      </c>
      <c r="AH361" s="176">
        <f t="shared" si="138"/>
        <v>5</v>
      </c>
      <c r="AI361" s="225">
        <f t="shared" si="139"/>
        <v>-3.6566317808517379E-5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8">
        <v>26.242000000000001</v>
      </c>
      <c r="C362" s="390"/>
      <c r="D362" s="393">
        <f t="shared" si="122"/>
        <v>27.000536378462719</v>
      </c>
      <c r="E362" s="385">
        <f t="shared" si="144"/>
        <v>27.833968926866955</v>
      </c>
      <c r="F362" s="385">
        <f t="shared" si="123"/>
        <v>27.918333223458241</v>
      </c>
      <c r="G362" s="110">
        <f t="shared" si="145"/>
        <v>1.0391664619110799</v>
      </c>
      <c r="H362" s="412" t="b">
        <f>Wh_hp&gt;='2020'!Maxi_hp</f>
        <v>1</v>
      </c>
      <c r="I362" s="380">
        <f>IF(H362,Wh_hp,'2020'!Maxi_hp)</f>
        <v>27.918333223458241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2.8093381843620424E-2</v>
      </c>
      <c r="M362" s="957"/>
      <c r="N362" s="957"/>
      <c r="O362" s="48">
        <f>IF(t&lt;Tnet,'2020'!Resal+('2020'!Salim-'2020'!Resal)*(1-EXP(('2020'!Tnet-t)/('2020'!Tau_j))),Resal+(Salim-Resal)*(1-EXP((Tnet-t)/(Tau_j))))*Salcycl</f>
        <v>2.9943000604551181E-2</v>
      </c>
      <c r="P362" s="169">
        <f>(INDEX(Models!$BJ362:$BT362,,T362)*(1-R362)+INDEX(Models!$BJ362:$BT362,,T362+1)*R362-ERP_i)*Q362*Ramure*Pc/MaxiM</f>
        <v>3.0218242584911549E-3</v>
      </c>
      <c r="Q362" s="305">
        <f t="shared" si="125"/>
        <v>0.7</v>
      </c>
      <c r="R362" s="177">
        <f t="shared" si="126"/>
        <v>0.99997308395976081</v>
      </c>
      <c r="S362" s="919">
        <f t="shared" si="127"/>
        <v>-1</v>
      </c>
      <c r="T362" s="176">
        <f t="shared" si="128"/>
        <v>5</v>
      </c>
      <c r="U362" s="251">
        <f t="shared" si="129"/>
        <v>-2.691604023918881E-5</v>
      </c>
      <c r="V362" s="383">
        <f t="shared" si="130"/>
        <v>25.252932000653324</v>
      </c>
      <c r="W362" s="402"/>
      <c r="X362" s="157">
        <f t="shared" si="131"/>
        <v>44544</v>
      </c>
      <c r="Y362" s="385">
        <f t="shared" si="132"/>
        <v>24.572791409822585</v>
      </c>
      <c r="Z362" s="385">
        <f t="shared" si="133"/>
        <v>25.283078590857819</v>
      </c>
      <c r="AA362" s="386">
        <f t="shared" si="134"/>
        <v>27.833968926866955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9.1646661771863508E-2</v>
      </c>
      <c r="AD362" s="231">
        <f>(INDEX(Models!$BJ362:$BT362,,AH362)*(1-AF362)+INDEX(Models!$BJ362:$BT362,,AH362+1)*AF362-ERP_i)*AE362*Ramure*Pc/MaxiM</f>
        <v>3.0218242584911549E-3</v>
      </c>
      <c r="AE362" s="305">
        <f t="shared" si="136"/>
        <v>0.7</v>
      </c>
      <c r="AF362" s="177">
        <f t="shared" si="137"/>
        <v>0.99997308395976081</v>
      </c>
      <c r="AG362" s="919">
        <f t="shared" si="143"/>
        <v>-1</v>
      </c>
      <c r="AH362" s="176">
        <f t="shared" si="138"/>
        <v>5</v>
      </c>
      <c r="AI362" s="225">
        <f t="shared" si="139"/>
        <v>-2.691604023918881E-5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8">
        <v>24.663</v>
      </c>
      <c r="C363" s="390"/>
      <c r="D363" s="393">
        <f t="shared" si="122"/>
        <v>25.376450508807235</v>
      </c>
      <c r="E363" s="385">
        <f t="shared" si="144"/>
        <v>26.161851020719283</v>
      </c>
      <c r="F363" s="385">
        <f t="shared" si="123"/>
        <v>26.238094222517823</v>
      </c>
      <c r="G363" s="110">
        <f t="shared" si="145"/>
        <v>0.97723505599140537</v>
      </c>
      <c r="H363" s="412" t="b">
        <f>Wh_hp&gt;='2020'!Maxi_hp</f>
        <v>0</v>
      </c>
      <c r="I363" s="380">
        <f>IF(H363,Wh_hp,'2020'!Maxi_hp)</f>
        <v>27.64680505166011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2.8114669092890732E-2</v>
      </c>
      <c r="M363" s="957"/>
      <c r="N363" s="957"/>
      <c r="O363" s="48">
        <f>IF(t&lt;Tnet,'2020'!Resal+('2020'!Salim-'2020'!Resal)*(1-EXP(('2020'!Tnet-t)/('2020'!Tau_j))),Resal+(Salim-Resal)*(1-EXP((Tnet-t)/(Tau_j))))*Salcycl</f>
        <v>3.0020831144173876E-2</v>
      </c>
      <c r="P363" s="169">
        <f>(INDEX(Models!$BJ363:$BT363,,T363)*(1-R363)+INDEX(Models!$BJ363:$BT363,,T363+1)*R363-ERP_i)*Q363*Ramure*Pc/MaxiM</f>
        <v>3.003075986840215E-3</v>
      </c>
      <c r="Q363" s="305">
        <f t="shared" si="125"/>
        <v>0.7</v>
      </c>
      <c r="R363" s="177">
        <f t="shared" si="126"/>
        <v>0.99998234603901737</v>
      </c>
      <c r="S363" s="919">
        <f t="shared" si="127"/>
        <v>-1</v>
      </c>
      <c r="T363" s="176">
        <f t="shared" si="128"/>
        <v>5</v>
      </c>
      <c r="U363" s="251">
        <f t="shared" si="129"/>
        <v>-1.7653960982688677E-5</v>
      </c>
      <c r="V363" s="383">
        <f t="shared" si="130"/>
        <v>25.235069347598316</v>
      </c>
      <c r="W363" s="402"/>
      <c r="X363" s="157">
        <f t="shared" si="131"/>
        <v>44545</v>
      </c>
      <c r="Y363" s="385">
        <f t="shared" si="132"/>
        <v>23.095775722142204</v>
      </c>
      <c r="Z363" s="385">
        <f t="shared" si="133"/>
        <v>23.763889615028717</v>
      </c>
      <c r="AA363" s="386">
        <f t="shared" si="134"/>
        <v>26.161851020719283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9.1658705792318079E-2</v>
      </c>
      <c r="AD363" s="231">
        <f>(INDEX(Models!$BJ363:$BT363,,AH363)*(1-AF363)+INDEX(Models!$BJ363:$BT363,,AH363+1)*AF363-ERP_i)*AE363*Ramure*Pc/MaxiM</f>
        <v>3.003075986840215E-3</v>
      </c>
      <c r="AE363" s="305">
        <f t="shared" si="136"/>
        <v>0.7</v>
      </c>
      <c r="AF363" s="177">
        <f t="shared" si="137"/>
        <v>0.99998234603901737</v>
      </c>
      <c r="AG363" s="919">
        <f t="shared" si="143"/>
        <v>-1</v>
      </c>
      <c r="AH363" s="176">
        <f t="shared" si="138"/>
        <v>5</v>
      </c>
      <c r="AI363" s="225">
        <f t="shared" si="139"/>
        <v>-1.7653960982688677E-5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8">
        <v>25.949000000000002</v>
      </c>
      <c r="C364" s="390"/>
      <c r="D364" s="393">
        <f t="shared" si="122"/>
        <v>26.700236681136975</v>
      </c>
      <c r="E364" s="385">
        <f t="shared" si="144"/>
        <v>27.528823874510714</v>
      </c>
      <c r="F364" s="385">
        <f t="shared" si="123"/>
        <v>27.611155388131891</v>
      </c>
      <c r="G364" s="110">
        <f t="shared" si="145"/>
        <v>1.0284651502658102</v>
      </c>
      <c r="H364" s="412" t="b">
        <f>Wh_hp&gt;='2020'!Maxi_hp</f>
        <v>1</v>
      </c>
      <c r="I364" s="380">
        <f>IF(H364,Wh_hp,'2020'!Maxi_hp)</f>
        <v>27.611155388131891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2.8135955875915553E-2</v>
      </c>
      <c r="M364" s="957"/>
      <c r="N364" s="957"/>
      <c r="O364" s="48">
        <f>IF(t&lt;Tnet,'2020'!Resal+('2020'!Salim-'2020'!Resal)*(1-EXP(('2020'!Tnet-t)/('2020'!Tau_j))),Resal+(Salim-Resal)*(1-EXP((Tnet-t)/(Tau_j))))*Salcycl</f>
        <v>3.009889551223938E-2</v>
      </c>
      <c r="P364" s="169">
        <f>(INDEX(Models!$BJ364:$BT364,,T364)*(1-R364)+INDEX(Models!$BJ364:$BT364,,T364+1)*R364-ERP_i)*Q364*Ramure*Pc/MaxiM</f>
        <v>2.9818206613898314E-3</v>
      </c>
      <c r="Q364" s="305">
        <f t="shared" si="125"/>
        <v>0.7</v>
      </c>
      <c r="R364" s="177">
        <f t="shared" si="126"/>
        <v>0.99999123552236258</v>
      </c>
      <c r="S364" s="919">
        <f t="shared" si="127"/>
        <v>-1</v>
      </c>
      <c r="T364" s="176">
        <f t="shared" si="128"/>
        <v>5</v>
      </c>
      <c r="U364" s="251">
        <f t="shared" si="129"/>
        <v>-8.7644776374795619E-6</v>
      </c>
      <c r="V364" s="383">
        <f t="shared" si="130"/>
        <v>25.230801445526275</v>
      </c>
      <c r="W364" s="402"/>
      <c r="X364" s="157">
        <f t="shared" si="131"/>
        <v>44546</v>
      </c>
      <c r="Y364" s="385">
        <f t="shared" si="132"/>
        <v>24.301663339535573</v>
      </c>
      <c r="Z364" s="385">
        <f t="shared" si="133"/>
        <v>25.005208790739886</v>
      </c>
      <c r="AA364" s="386">
        <f t="shared" si="134"/>
        <v>27.528823874510714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9.167173633260349E-2</v>
      </c>
      <c r="AD364" s="231">
        <f>(INDEX(Models!$BJ364:$BT364,,AH364)*(1-AF364)+INDEX(Models!$BJ364:$BT364,,AH364+1)*AF364-ERP_i)*AE364*Ramure*Pc/MaxiM</f>
        <v>2.9818206613898314E-3</v>
      </c>
      <c r="AE364" s="305">
        <f t="shared" si="136"/>
        <v>0.7</v>
      </c>
      <c r="AF364" s="177">
        <f t="shared" si="137"/>
        <v>0.99999123552236258</v>
      </c>
      <c r="AG364" s="919">
        <f t="shared" si="143"/>
        <v>-1</v>
      </c>
      <c r="AH364" s="176">
        <f t="shared" si="138"/>
        <v>5</v>
      </c>
      <c r="AI364" s="225">
        <f t="shared" si="139"/>
        <v>-8.7644776374795619E-6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8">
        <v>26.283999999999999</v>
      </c>
      <c r="C365" s="390"/>
      <c r="D365" s="393">
        <f t="shared" si="122"/>
        <v>27.04552746712119</v>
      </c>
      <c r="E365" s="385">
        <f t="shared" si="144"/>
        <v>27.88708085444155</v>
      </c>
      <c r="F365" s="385">
        <f t="shared" si="123"/>
        <v>27.969819213232515</v>
      </c>
      <c r="G365" s="110">
        <f t="shared" si="145"/>
        <v>1.0413778494310415</v>
      </c>
      <c r="H365" s="412" t="b">
        <f>Wh_hp&gt;='2020'!Maxi_hp</f>
        <v>1</v>
      </c>
      <c r="I365" s="380">
        <f>IF(H365,Wh_hp,'2020'!Maxi_hp)</f>
        <v>27.969819213232515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2.8157242192705101E-2</v>
      </c>
      <c r="M365" s="957"/>
      <c r="N365" s="957"/>
      <c r="O365" s="48">
        <f>IF(t&lt;Tnet,'2020'!Resal+('2020'!Salim-'2020'!Resal)*(1-EXP(('2020'!Tnet-t)/('2020'!Tau_j))),Resal+(Salim-Resal)*(1-EXP((Tnet-t)/(Tau_j))))*Salcycl</f>
        <v>3.0177177443307893E-2</v>
      </c>
      <c r="P365" s="169">
        <f>(INDEX(Models!$BJ365:$BT365,,T365)*(1-R365)+INDEX(Models!$BJ365:$BT365,,T365+1)*R365-ERP_i)*Q365*Ramure*Pc/MaxiM</f>
        <v>2.9581299099646205E-3</v>
      </c>
      <c r="Q365" s="305">
        <f t="shared" si="125"/>
        <v>0.7</v>
      </c>
      <c r="R365" s="177">
        <f t="shared" si="126"/>
        <v>0.99999976738617491</v>
      </c>
      <c r="S365" s="919">
        <f t="shared" si="127"/>
        <v>-1</v>
      </c>
      <c r="T365" s="176">
        <f t="shared" si="128"/>
        <v>5</v>
      </c>
      <c r="U365" s="251">
        <f t="shared" si="129"/>
        <v>-2.3261382503525496E-7</v>
      </c>
      <c r="V365" s="383">
        <f t="shared" si="130"/>
        <v>25.239638056792078</v>
      </c>
      <c r="W365" s="402"/>
      <c r="X365" s="157">
        <f t="shared" si="131"/>
        <v>44547</v>
      </c>
      <c r="Y365" s="385">
        <f t="shared" si="132"/>
        <v>24.617004884768171</v>
      </c>
      <c r="Z365" s="385">
        <f t="shared" si="133"/>
        <v>25.330234430423605</v>
      </c>
      <c r="AA365" s="386">
        <f t="shared" si="134"/>
        <v>27.88708085444155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9.1685696232014155E-2</v>
      </c>
      <c r="AD365" s="231">
        <f>(INDEX(Models!$BJ365:$BT365,,AH365)*(1-AF365)+INDEX(Models!$BJ365:$BT365,,AH365+1)*AF365-ERP_i)*AE365*Ramure*Pc/MaxiM</f>
        <v>2.9581299099646205E-3</v>
      </c>
      <c r="AE365" s="305">
        <f t="shared" si="136"/>
        <v>0.7</v>
      </c>
      <c r="AF365" s="177">
        <f t="shared" si="137"/>
        <v>0.99999976738617491</v>
      </c>
      <c r="AG365" s="919">
        <f t="shared" si="143"/>
        <v>-1</v>
      </c>
      <c r="AH365" s="176">
        <f t="shared" si="138"/>
        <v>5</v>
      </c>
      <c r="AI365" s="225">
        <f t="shared" si="139"/>
        <v>-2.3261382503525496E-7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8">
        <v>26.341000000000001</v>
      </c>
      <c r="C366" s="390"/>
      <c r="D366" s="393">
        <f t="shared" si="122"/>
        <v>27.104772594665228</v>
      </c>
      <c r="E366" s="385">
        <f t="shared" si="144"/>
        <v>27.950431356431174</v>
      </c>
      <c r="F366" s="385">
        <f t="shared" si="123"/>
        <v>28.032685021410803</v>
      </c>
      <c r="G366" s="110">
        <f t="shared" si="145"/>
        <v>1.0427521944805132</v>
      </c>
      <c r="H366" s="412" t="b">
        <f>Wh_hp&gt;='2020'!Maxi_hp</f>
        <v>1</v>
      </c>
      <c r="I366" s="380">
        <f>IF(H366,Wh_hp,'2020'!Maxi_hp)</f>
        <v>28.032685021410803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2.8178528043269813E-2</v>
      </c>
      <c r="M366" s="957"/>
      <c r="N366" s="957"/>
      <c r="O366" s="48">
        <f>IF(t&lt;Tnet,'2020'!Resal+('2020'!Salim-'2020'!Resal)*(1-EXP(('2020'!Tnet-t)/('2020'!Tau_j))),Resal+(Salim-Resal)*(1-EXP((Tnet-t)/(Tau_j))))*Salcycl</f>
        <v>3.0255660493460148E-2</v>
      </c>
      <c r="P366" s="169">
        <f>(INDEX(Models!$BJ366:$BT366,,T366)*(1-R366)+INDEX(Models!$BJ366:$BT366,,T366+1)*R366-ERP_i)*Q366*Ramure*Pc/MaxiM</f>
        <v>2.9342057286629534E-3</v>
      </c>
      <c r="Q366" s="305">
        <f t="shared" si="125"/>
        <v>0.7</v>
      </c>
      <c r="R366" s="177">
        <f t="shared" si="126"/>
        <v>7.956005844245162E-6</v>
      </c>
      <c r="S366" s="919">
        <f t="shared" si="127"/>
        <v>0</v>
      </c>
      <c r="T366" s="176">
        <f t="shared" si="128"/>
        <v>6</v>
      </c>
      <c r="U366" s="251">
        <f t="shared" si="129"/>
        <v>7.956005844245162E-6</v>
      </c>
      <c r="V366" s="383">
        <f t="shared" si="130"/>
        <v>25.261035305826208</v>
      </c>
      <c r="W366" s="402"/>
      <c r="X366" s="157">
        <f t="shared" si="131"/>
        <v>44548</v>
      </c>
      <c r="Y366" s="385">
        <f t="shared" si="132"/>
        <v>24.671983539950244</v>
      </c>
      <c r="Z366" s="385">
        <f t="shared" si="133"/>
        <v>25.387362032940089</v>
      </c>
      <c r="AA366" s="386">
        <f t="shared" si="134"/>
        <v>27.950431356431174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9.1700528367743547E-2</v>
      </c>
      <c r="AD366" s="231">
        <f>(INDEX(Models!$BJ366:$BT366,,AH366)*(1-AF366)+INDEX(Models!$BJ366:$BT366,,AH366+1)*AF366-ERP_i)*AE366*Ramure*Pc/MaxiM</f>
        <v>2.9342057286629534E-3</v>
      </c>
      <c r="AE366" s="305">
        <f t="shared" si="136"/>
        <v>0.7</v>
      </c>
      <c r="AF366" s="177">
        <f t="shared" si="137"/>
        <v>7.956005844245162E-6</v>
      </c>
      <c r="AG366" s="919">
        <f t="shared" si="143"/>
        <v>0</v>
      </c>
      <c r="AH366" s="176">
        <f t="shared" si="138"/>
        <v>6</v>
      </c>
      <c r="AI366" s="225">
        <f t="shared" si="139"/>
        <v>7.956005844245162E-6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8">
        <v>25.818000000000001</v>
      </c>
      <c r="C367" s="390"/>
      <c r="D367" s="393">
        <f t="shared" si="122"/>
        <v>26.567189795530112</v>
      </c>
      <c r="E367" s="385">
        <f t="shared" si="144"/>
        <v>27.398298781642513</v>
      </c>
      <c r="F367" s="385">
        <f t="shared" si="123"/>
        <v>27.478360183893841</v>
      </c>
      <c r="G367" s="110">
        <f t="shared" si="145"/>
        <v>1.0206996413857079</v>
      </c>
      <c r="H367" s="412" t="b">
        <f>Wh_hp&gt;='2020'!Maxi_hp</f>
        <v>1</v>
      </c>
      <c r="I367" s="380">
        <f>IF(H367,Wh_hp,'2020'!Maxi_hp)</f>
        <v>27.478360183893841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2.819981342761968E-2</v>
      </c>
      <c r="M367" s="957"/>
      <c r="N367" s="957"/>
      <c r="O367" s="48">
        <f>IF(t&lt;Tnet,'2020'!Resal+('2020'!Salim-'2020'!Resal)*(1-EXP(('2020'!Tnet-t)/('2020'!Tau_j))),Resal+(Salim-Resal)*(1-EXP((Tnet-t)/(Tau_j))))*Salcycl</f>
        <v>3.0334328154318302E-2</v>
      </c>
      <c r="P367" s="169">
        <f>(INDEX(Models!$BJ367:$BT367,,T367)*(1-R367)+INDEX(Models!$BJ367:$BT367,,T367+1)*R367-ERP_i)*Q367*Ramure*Pc/MaxiM</f>
        <v>2.9136164500185632E-3</v>
      </c>
      <c r="Q367" s="305">
        <f t="shared" si="125"/>
        <v>0.7</v>
      </c>
      <c r="R367" s="177">
        <f t="shared" si="126"/>
        <v>1.5815179810474422E-5</v>
      </c>
      <c r="S367" s="919">
        <f t="shared" si="127"/>
        <v>0</v>
      </c>
      <c r="T367" s="176">
        <f t="shared" si="128"/>
        <v>6</v>
      </c>
      <c r="U367" s="251">
        <f t="shared" si="129"/>
        <v>1.5815179810474422E-5</v>
      </c>
      <c r="V367" s="383">
        <f t="shared" si="130"/>
        <v>25.294414686919389</v>
      </c>
      <c r="W367" s="402"/>
      <c r="X367" s="157">
        <f t="shared" si="131"/>
        <v>44549</v>
      </c>
      <c r="Y367" s="385">
        <f t="shared" si="132"/>
        <v>24.183667060702465</v>
      </c>
      <c r="Z367" s="385">
        <f t="shared" si="133"/>
        <v>24.885431588565815</v>
      </c>
      <c r="AA367" s="386">
        <f t="shared" si="134"/>
        <v>27.398298781642513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9.1716175997043223E-2</v>
      </c>
      <c r="AD367" s="231">
        <f>(INDEX(Models!$BJ367:$BT367,,AH367)*(1-AF367)+INDEX(Models!$BJ367:$BT367,,AH367+1)*AF367-ERP_i)*AE367*Ramure*Pc/MaxiM</f>
        <v>2.9136164500185632E-3</v>
      </c>
      <c r="AE367" s="305">
        <f t="shared" si="136"/>
        <v>0.7</v>
      </c>
      <c r="AF367" s="177">
        <f t="shared" si="137"/>
        <v>1.5815179810474422E-5</v>
      </c>
      <c r="AG367" s="919">
        <f t="shared" si="143"/>
        <v>0</v>
      </c>
      <c r="AH367" s="176">
        <f t="shared" si="138"/>
        <v>6</v>
      </c>
      <c r="AI367" s="225">
        <f t="shared" si="139"/>
        <v>1.5815179810474422E-5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8">
        <v>26.382000000000001</v>
      </c>
      <c r="C368" s="390"/>
      <c r="D368" s="393">
        <f t="shared" si="122"/>
        <v>27.148150628801041</v>
      </c>
      <c r="E368" s="385">
        <f t="shared" si="144"/>
        <v>27.999710412513782</v>
      </c>
      <c r="F368" s="385">
        <f t="shared" si="123"/>
        <v>28.081044157306998</v>
      </c>
      <c r="G368" s="110">
        <f t="shared" si="145"/>
        <v>1.0411500488225389</v>
      </c>
      <c r="H368" s="412" t="b">
        <f>Wh_hp&gt;='2020'!Maxi_hp</f>
        <v>1</v>
      </c>
      <c r="I368" s="380">
        <f>IF(H368,Wh_hp,'2020'!Maxi_hp)</f>
        <v>28.081044157306998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2.8221098345765139E-2</v>
      </c>
      <c r="M368" s="957"/>
      <c r="N368" s="957"/>
      <c r="O368" s="48">
        <f>IF(t&lt;Tnet,'2020'!Resal+('2020'!Salim-'2020'!Resal)*(1-EXP(('2020'!Tnet-t)/('2020'!Tau_j))),Resal+(Salim-Resal)*(1-EXP((Tnet-t)/(Tau_j))))*Salcycl</f>
        <v>3.0413163963730037E-2</v>
      </c>
      <c r="P368" s="169">
        <f>(INDEX(Models!$BJ368:$BT368,,T368)*(1-R368)+INDEX(Models!$BJ368:$BT368,,T368+1)*R368-ERP_i)*Q368*Ramure*Pc/MaxiM</f>
        <v>2.8963931803102747E-3</v>
      </c>
      <c r="Q368" s="305">
        <f t="shared" si="125"/>
        <v>0.7</v>
      </c>
      <c r="R368" s="177">
        <f t="shared" si="126"/>
        <v>2.3358152648811359E-5</v>
      </c>
      <c r="S368" s="919">
        <f t="shared" si="127"/>
        <v>0</v>
      </c>
      <c r="T368" s="176">
        <f t="shared" si="128"/>
        <v>6</v>
      </c>
      <c r="U368" s="251">
        <f t="shared" si="129"/>
        <v>2.3358152648811359E-5</v>
      </c>
      <c r="V368" s="383">
        <f t="shared" si="130"/>
        <v>25.339287098757787</v>
      </c>
      <c r="W368" s="402"/>
      <c r="X368" s="157">
        <f t="shared" si="131"/>
        <v>44550</v>
      </c>
      <c r="Y368" s="385">
        <f t="shared" si="132"/>
        <v>24.713527558837168</v>
      </c>
      <c r="Z368" s="385">
        <f t="shared" si="133"/>
        <v>25.431224650759496</v>
      </c>
      <c r="AA368" s="386">
        <f t="shared" si="134"/>
        <v>27.999710412513782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9.1732583084372279E-2</v>
      </c>
      <c r="AD368" s="231">
        <f>(INDEX(Models!$BJ368:$BT368,,AH368)*(1-AF368)+INDEX(Models!$BJ368:$BT368,,AH368+1)*AF368-ERP_i)*AE368*Ramure*Pc/MaxiM</f>
        <v>2.8963931803102747E-3</v>
      </c>
      <c r="AE368" s="305">
        <f t="shared" si="136"/>
        <v>0.7</v>
      </c>
      <c r="AF368" s="177">
        <f t="shared" si="137"/>
        <v>2.3358152648811359E-5</v>
      </c>
      <c r="AG368" s="919">
        <f t="shared" si="143"/>
        <v>0</v>
      </c>
      <c r="AH368" s="176">
        <f t="shared" si="138"/>
        <v>6</v>
      </c>
      <c r="AI368" s="225">
        <f t="shared" si="139"/>
        <v>2.3358152648811359E-5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8">
        <v>20.23</v>
      </c>
      <c r="C369" s="390"/>
      <c r="D369" s="393">
        <f t="shared" si="122"/>
        <v>20.817948469745687</v>
      </c>
      <c r="E369" s="385">
        <f t="shared" si="144"/>
        <v>21.47269720855364</v>
      </c>
      <c r="F369" s="385">
        <f t="shared" si="123"/>
        <v>21.516698973693472</v>
      </c>
      <c r="G369" s="110">
        <f t="shared" si="145"/>
        <v>0.79593980639054496</v>
      </c>
      <c r="H369" s="412" t="b">
        <f>Wh_hp&gt;='2020'!Maxi_hp</f>
        <v>0</v>
      </c>
      <c r="I369" s="380">
        <f>IF(H369,Wh_hp,'2020'!Maxi_hp)</f>
        <v>22.604541758183334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2.824238279771607E-2</v>
      </c>
      <c r="M369" s="957"/>
      <c r="N369" s="957"/>
      <c r="O369" s="48">
        <f>IF(t&lt;Tnet,'2020'!Resal+('2020'!Salim-'2020'!Resal)*(1-EXP(('2020'!Tnet-t)/('2020'!Tau_j))),Resal+(Salim-Resal)*(1-EXP((Tnet-t)/(Tau_j))))*Salcycl</f>
        <v>3.0492151612287081E-2</v>
      </c>
      <c r="P369" s="169">
        <f>(INDEX(Models!$BJ369:$BT369,,T369)*(1-R369)+INDEX(Models!$BJ369:$BT369,,T369+1)*R369-ERP_i)*Q369*Ramure*Pc/MaxiM</f>
        <v>2.8825606476531834E-3</v>
      </c>
      <c r="Q369" s="305">
        <f t="shared" si="125"/>
        <v>0.7</v>
      </c>
      <c r="R369" s="177">
        <f t="shared" si="126"/>
        <v>3.0597637235729724E-5</v>
      </c>
      <c r="S369" s="919">
        <f t="shared" si="127"/>
        <v>0</v>
      </c>
      <c r="T369" s="176">
        <f t="shared" si="128"/>
        <v>6</v>
      </c>
      <c r="U369" s="251">
        <f t="shared" si="129"/>
        <v>3.0597637235729724E-5</v>
      </c>
      <c r="V369" s="383">
        <f t="shared" si="130"/>
        <v>25.395163520628088</v>
      </c>
      <c r="W369" s="402"/>
      <c r="X369" s="157">
        <f t="shared" si="131"/>
        <v>44551</v>
      </c>
      <c r="Y369" s="385">
        <f t="shared" si="132"/>
        <v>18.951784360042762</v>
      </c>
      <c r="Z369" s="385">
        <f t="shared" si="133"/>
        <v>19.502583797187466</v>
      </c>
      <c r="AA369" s="386">
        <f t="shared" si="134"/>
        <v>21.47269720855364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9.1749694611321611E-2</v>
      </c>
      <c r="AD369" s="231">
        <f>(INDEX(Models!$BJ369:$BT369,,AH369)*(1-AF369)+INDEX(Models!$BJ369:$BT369,,AH369+1)*AF369-ERP_i)*AE369*Ramure*Pc/MaxiM</f>
        <v>2.8825606476531834E-3</v>
      </c>
      <c r="AE369" s="305">
        <f t="shared" si="136"/>
        <v>0.7</v>
      </c>
      <c r="AF369" s="177">
        <f t="shared" si="137"/>
        <v>3.0597637235729724E-5</v>
      </c>
      <c r="AG369" s="919">
        <f t="shared" si="143"/>
        <v>0</v>
      </c>
      <c r="AH369" s="176">
        <f t="shared" si="138"/>
        <v>6</v>
      </c>
      <c r="AI369" s="225">
        <f t="shared" si="139"/>
        <v>3.0597637235729724E-5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8">
        <v>25.417000000000002</v>
      </c>
      <c r="C370" s="390"/>
      <c r="D370" s="393">
        <f t="shared" si="122"/>
        <v>26.156272160646612</v>
      </c>
      <c r="E370" s="385">
        <f t="shared" si="144"/>
        <v>26.98111938230219</v>
      </c>
      <c r="F370" s="385">
        <f t="shared" si="123"/>
        <v>27.058641236912877</v>
      </c>
      <c r="G370" s="110">
        <f t="shared" si="145"/>
        <v>0.99824291827310518</v>
      </c>
      <c r="H370" s="412" t="b">
        <f>Wh_hp&gt;='2020'!Maxi_hp</f>
        <v>1</v>
      </c>
      <c r="I370" s="380">
        <f>IF(H370,Wh_hp,'2020'!Maxi_hp)</f>
        <v>27.058641236912877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2.8263666783483021E-2</v>
      </c>
      <c r="M370" s="957"/>
      <c r="N370" s="957"/>
      <c r="O370" s="48">
        <f>IF(t&lt;Tnet,'2020'!Resal+('2020'!Salim-'2020'!Resal)*(1-EXP(('2020'!Tnet-t)/('2020'!Tau_j))),Resal+(Salim-Resal)*(1-EXP((Tnet-t)/(Tau_j))))*Salcycl</f>
        <v>3.0571275044897581E-2</v>
      </c>
      <c r="P370" s="169">
        <f>(INDEX(Models!$BJ370:$BT370,,T370)*(1-R370)+INDEX(Models!$BJ370:$BT370,,T370+1)*R370-ERP_i)*Q370*Ramure*Pc/MaxiM</f>
        <v>2.8721373135997879E-3</v>
      </c>
      <c r="Q370" s="305">
        <f t="shared" si="125"/>
        <v>0.7</v>
      </c>
      <c r="R370" s="177">
        <f t="shared" si="126"/>
        <v>3.7545836032992774E-5</v>
      </c>
      <c r="S370" s="919">
        <f t="shared" si="127"/>
        <v>0</v>
      </c>
      <c r="T370" s="176">
        <f t="shared" si="128"/>
        <v>6</v>
      </c>
      <c r="U370" s="251">
        <f t="shared" si="129"/>
        <v>3.7545836032992774E-5</v>
      </c>
      <c r="V370" s="383">
        <f t="shared" si="130"/>
        <v>25.461555017016639</v>
      </c>
      <c r="W370" s="402"/>
      <c r="X370" s="157">
        <f t="shared" si="131"/>
        <v>44552</v>
      </c>
      <c r="Y370" s="385">
        <f t="shared" si="132"/>
        <v>23.812525825323974</v>
      </c>
      <c r="Z370" s="385">
        <f t="shared" si="133"/>
        <v>24.505130673155758</v>
      </c>
      <c r="AA370" s="386">
        <f t="shared" si="134"/>
        <v>26.98111938230219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9.1767456867283034E-2</v>
      </c>
      <c r="AD370" s="231">
        <f>(INDEX(Models!$BJ370:$BT370,,AH370)*(1-AF370)+INDEX(Models!$BJ370:$BT370,,AH370+1)*AF370-ERP_i)*AE370*Ramure*Pc/MaxiM</f>
        <v>2.8721373135997879E-3</v>
      </c>
      <c r="AE370" s="305">
        <f t="shared" si="136"/>
        <v>0.7</v>
      </c>
      <c r="AF370" s="177">
        <f t="shared" si="137"/>
        <v>3.7545836032992774E-5</v>
      </c>
      <c r="AG370" s="919">
        <f t="shared" si="143"/>
        <v>0</v>
      </c>
      <c r="AH370" s="176">
        <f t="shared" si="138"/>
        <v>6</v>
      </c>
      <c r="AI370" s="225">
        <f t="shared" si="139"/>
        <v>3.7545836032992774E-5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8">
        <v>9.1560000000000006</v>
      </c>
      <c r="C371" s="390"/>
      <c r="D371" s="393">
        <f t="shared" si="122"/>
        <v>9.4225153792315339</v>
      </c>
      <c r="E371" s="385">
        <f t="shared" si="144"/>
        <v>9.7204522822892283</v>
      </c>
      <c r="F371" s="385">
        <f t="shared" si="123"/>
        <v>9.7227813117538915</v>
      </c>
      <c r="G371" s="110">
        <f t="shared" si="145"/>
        <v>0.35758336853166617</v>
      </c>
      <c r="H371" s="412" t="b">
        <f>Wh_hp&gt;='2020'!Maxi_hp</f>
        <v>0</v>
      </c>
      <c r="I371" s="380">
        <f>IF(H371,Wh_hp,'2020'!Maxi_hp)</f>
        <v>22.375250435644084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2.8284950303075984E-2</v>
      </c>
      <c r="M371" s="957"/>
      <c r="N371" s="957"/>
      <c r="O371" s="48">
        <f>IF(t&lt;Tnet,'2020'!Resal+('2020'!Salim-'2020'!Resal)*(1-EXP(('2020'!Tnet-t)/('2020'!Tau_j))),Resal+(Salim-Resal)*(1-EXP((Tnet-t)/(Tau_j))))*Salcycl</f>
        <v>3.0650518556686716E-2</v>
      </c>
      <c r="P371" s="169">
        <f>(INDEX(Models!$BJ371:$BT371,,T371)*(1-R371)+INDEX(Models!$BJ371:$BT371,,T371+1)*R371-ERP_i)*Q371*Ramure*Pc/MaxiM</f>
        <v>2.8651121934083145E-3</v>
      </c>
      <c r="Q371" s="305">
        <f t="shared" si="125"/>
        <v>0.7</v>
      </c>
      <c r="R371" s="177">
        <f t="shared" si="126"/>
        <v>3.7545836032992774E-5</v>
      </c>
      <c r="S371" s="919">
        <f t="shared" si="127"/>
        <v>0</v>
      </c>
      <c r="T371" s="176">
        <f t="shared" si="128"/>
        <v>6</v>
      </c>
      <c r="U371" s="251">
        <f t="shared" si="129"/>
        <v>3.7545836032992774E-5</v>
      </c>
      <c r="V371" s="383">
        <f t="shared" si="130"/>
        <v>25.53797334305969</v>
      </c>
      <c r="W371" s="402"/>
      <c r="X371" s="157">
        <f t="shared" si="131"/>
        <v>44553</v>
      </c>
      <c r="Y371" s="385">
        <f t="shared" si="132"/>
        <v>8.5785459343135866</v>
      </c>
      <c r="Z371" s="385">
        <f t="shared" si="133"/>
        <v>8.8282526209604537</v>
      </c>
      <c r="AA371" s="386">
        <f t="shared" si="134"/>
        <v>9.7204522822892283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9.1785817719034671E-2</v>
      </c>
      <c r="AD371" s="231">
        <f>(INDEX(Models!$BJ371:$BT371,,AH371)*(1-AF371)+INDEX(Models!$BJ371:$BT371,,AH371+1)*AF371-ERP_i)*AE371*Ramure*Pc/MaxiM</f>
        <v>2.8651121934083145E-3</v>
      </c>
      <c r="AE371" s="305">
        <f t="shared" si="136"/>
        <v>0.7</v>
      </c>
      <c r="AF371" s="177">
        <f t="shared" si="137"/>
        <v>3.7545836032992774E-5</v>
      </c>
      <c r="AG371" s="919">
        <f t="shared" si="143"/>
        <v>0</v>
      </c>
      <c r="AH371" s="176">
        <f t="shared" si="138"/>
        <v>6</v>
      </c>
      <c r="AI371" s="225">
        <f t="shared" si="139"/>
        <v>3.7545836032992774E-5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8">
        <v>16.818999999999999</v>
      </c>
      <c r="C372" s="390"/>
      <c r="D372" s="393">
        <f t="shared" si="122"/>
        <v>17.30895121216799</v>
      </c>
      <c r="E372" s="385">
        <f t="shared" si="144"/>
        <v>17.857716461867707</v>
      </c>
      <c r="F372" s="385">
        <f t="shared" si="123"/>
        <v>17.883770104835254</v>
      </c>
      <c r="G372" s="110">
        <f t="shared" si="145"/>
        <v>0.65545529897609967</v>
      </c>
      <c r="H372" s="412" t="b">
        <f>Wh_hp&gt;='2020'!Maxi_hp</f>
        <v>1</v>
      </c>
      <c r="I372" s="380">
        <f>IF(H372,Wh_hp,'2020'!Maxi_hp)</f>
        <v>17.883770104835254</v>
      </c>
      <c r="J372" s="85">
        <f>IF(H372,An,'2020'!An_max)</f>
        <v>2021</v>
      </c>
      <c r="K372" s="197">
        <f t="shared" si="124"/>
        <v>44554</v>
      </c>
      <c r="L372" s="147">
        <f>IF(t&lt;Tvie,1-EXP((T0-t)*PertePVj)+'2020'!Pspv,1-EXP((T0-t)*PertePVj)+Pspv)</f>
        <v>2.8306233356505284E-2</v>
      </c>
      <c r="M372" s="957"/>
      <c r="N372" s="957"/>
      <c r="O372" s="48">
        <f>IF(t&lt;Tnet,'2020'!Resal+('2020'!Salim-'2020'!Resal)*(1-EXP(('2020'!Tnet-t)/('2020'!Tau_j))),Resal+(Salim-Resal)*(1-EXP((Tnet-t)/(Tau_j))))*Salcycl</f>
        <v>3.0729866882561203E-2</v>
      </c>
      <c r="P372" s="169">
        <f>(INDEX(Models!$BJ372:$BT372,,T372)*(1-R372)+INDEX(Models!$BJ372:$BT372,,T372+1)*R372-ERP_i)*Q372*Ramure*Pc/MaxiM</f>
        <v>2.8615131382827993E-3</v>
      </c>
      <c r="Q372" s="305">
        <f t="shared" si="125"/>
        <v>0.7</v>
      </c>
      <c r="R372" s="177">
        <f t="shared" si="126"/>
        <v>3.7545836032992774E-5</v>
      </c>
      <c r="S372" s="919">
        <f t="shared" si="127"/>
        <v>0</v>
      </c>
      <c r="T372" s="176">
        <f t="shared" si="128"/>
        <v>6</v>
      </c>
      <c r="U372" s="251">
        <f t="shared" si="129"/>
        <v>3.7545836032992774E-5</v>
      </c>
      <c r="V372" s="383">
        <f t="shared" si="130"/>
        <v>25.623929229878293</v>
      </c>
      <c r="W372" s="402"/>
      <c r="X372" s="157">
        <f t="shared" si="131"/>
        <v>44554</v>
      </c>
      <c r="Y372" s="385">
        <f t="shared" si="132"/>
        <v>15.759214874240621</v>
      </c>
      <c r="Z372" s="385">
        <f t="shared" si="133"/>
        <v>16.218293679784949</v>
      </c>
      <c r="AA372" s="386">
        <f t="shared" si="134"/>
        <v>17.857716461867707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9.1804726857629415E-2</v>
      </c>
      <c r="AD372" s="231">
        <f>(INDEX(Models!$BJ372:$BT372,,AH372)*(1-AF372)+INDEX(Models!$BJ372:$BT372,,AH372+1)*AF372-ERP_i)*AE372*Ramure*Pc/MaxiM</f>
        <v>2.8615131382827993E-3</v>
      </c>
      <c r="AE372" s="305">
        <f t="shared" si="136"/>
        <v>0.7</v>
      </c>
      <c r="AF372" s="177">
        <f t="shared" si="137"/>
        <v>3.7545836032992774E-5</v>
      </c>
      <c r="AG372" s="919">
        <f t="shared" si="143"/>
        <v>0</v>
      </c>
      <c r="AH372" s="176">
        <f t="shared" si="138"/>
        <v>6</v>
      </c>
      <c r="AI372" s="225">
        <f t="shared" si="139"/>
        <v>3.7545836032992774E-5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8">
        <v>11.063000000000001</v>
      </c>
      <c r="C373" s="390"/>
      <c r="D373" s="393">
        <f t="shared" si="122"/>
        <v>11.38552360134541</v>
      </c>
      <c r="E373" s="385">
        <f t="shared" si="144"/>
        <v>11.747454513719624</v>
      </c>
      <c r="F373" s="385">
        <f t="shared" si="123"/>
        <v>11.753702649345914</v>
      </c>
      <c r="G373" s="110">
        <f t="shared" si="145"/>
        <v>0.42906987781284406</v>
      </c>
      <c r="H373" s="412" t="b">
        <f>Wh_hp&gt;='2020'!Maxi_hp</f>
        <v>0</v>
      </c>
      <c r="I373" s="380">
        <f>IF(H373,Wh_hp,'2020'!Maxi_hp)</f>
        <v>18.791308820692279</v>
      </c>
      <c r="J373" s="85">
        <f>IF(H373,An,'2020'!An_max)</f>
        <v>2019</v>
      </c>
      <c r="K373" s="197">
        <f t="shared" si="124"/>
        <v>44555</v>
      </c>
      <c r="L373" s="147">
        <f>IF(t&lt;Tvie,1-EXP((T0-t)*PertePVj)+'2020'!Pspv,1-EXP((T0-t)*PertePVj)+Pspv)</f>
        <v>2.8327515943781134E-2</v>
      </c>
      <c r="M373" s="957"/>
      <c r="N373" s="957"/>
      <c r="O373" s="48">
        <f>IF(t&lt;Tnet,'2020'!Resal+('2020'!Salim-'2020'!Resal)*(1-EXP(('2020'!Tnet-t)/('2020'!Tau_j))),Resal+(Salim-Resal)*(1-EXP((Tnet-t)/(Tau_j))))*Salcycl</f>
        <v>3.0809305279839407E-2</v>
      </c>
      <c r="P373" s="169">
        <f>(INDEX(Models!$BJ373:$BT373,,T373)*(1-R373)+INDEX(Models!$BJ373:$BT373,,T373+1)*R373-ERP_i)*Q373*Ramure*Pc/MaxiM</f>
        <v>2.8608131006139475E-3</v>
      </c>
      <c r="Q373" s="305">
        <f t="shared" si="125"/>
        <v>0.7</v>
      </c>
      <c r="R373" s="177">
        <f t="shared" si="126"/>
        <v>3.7545836032992774E-5</v>
      </c>
      <c r="S373" s="919">
        <f t="shared" si="127"/>
        <v>0</v>
      </c>
      <c r="T373" s="176">
        <f t="shared" si="128"/>
        <v>6</v>
      </c>
      <c r="U373" s="251">
        <f t="shared" si="129"/>
        <v>3.7545836032992774E-5</v>
      </c>
      <c r="V373" s="383">
        <f t="shared" si="130"/>
        <v>25.723591088357637</v>
      </c>
      <c r="W373" s="402"/>
      <c r="X373" s="157">
        <f t="shared" si="131"/>
        <v>44555</v>
      </c>
      <c r="Y373" s="385">
        <f t="shared" si="132"/>
        <v>10.366535335028606</v>
      </c>
      <c r="Z373" s="385">
        <f t="shared" si="133"/>
        <v>10.668754652548976</v>
      </c>
      <c r="AA373" s="386">
        <f t="shared" si="134"/>
        <v>11.747454513719624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9.1824136021199765E-2</v>
      </c>
      <c r="AD373" s="231">
        <f>(INDEX(Models!$BJ373:$BT373,,AH373)*(1-AF373)+INDEX(Models!$BJ373:$BT373,,AH373+1)*AF373-ERP_i)*AE373*Ramure*Pc/MaxiM</f>
        <v>2.8608131006139475E-3</v>
      </c>
      <c r="AE373" s="305">
        <f t="shared" si="136"/>
        <v>0.7</v>
      </c>
      <c r="AF373" s="177">
        <f t="shared" si="137"/>
        <v>3.7545836032992774E-5</v>
      </c>
      <c r="AG373" s="919">
        <f t="shared" si="143"/>
        <v>0</v>
      </c>
      <c r="AH373" s="176">
        <f t="shared" si="138"/>
        <v>6</v>
      </c>
      <c r="AI373" s="225">
        <f t="shared" si="139"/>
        <v>3.7545836032992774E-5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8">
        <v>11.221</v>
      </c>
      <c r="C374" s="390"/>
      <c r="D374" s="393">
        <f t="shared" si="122"/>
        <v>11.548382771155824</v>
      </c>
      <c r="E374" s="385">
        <f t="shared" si="144"/>
        <v>11.916468414315473</v>
      </c>
      <c r="F374" s="385">
        <f t="shared" si="123"/>
        <v>11.923013708206716</v>
      </c>
      <c r="G374" s="110">
        <f t="shared" si="145"/>
        <v>0.43323616638857015</v>
      </c>
      <c r="H374" s="412" t="b">
        <f>Wh_hp&gt;='2020'!Maxi_hp</f>
        <v>0</v>
      </c>
      <c r="I374" s="380">
        <f>IF(H374,Wh_hp,'2020'!Maxi_hp)</f>
        <v>26.329619230701343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2.8348798064913638E-2</v>
      </c>
      <c r="M374" s="957"/>
      <c r="N374" s="957"/>
      <c r="O374" s="48">
        <f>IF(t&lt;Tnet,'2020'!Resal+('2020'!Salim-'2020'!Resal)*(1-EXP(('2020'!Tnet-t)/('2020'!Tau_j))),Resal+(Salim-Resal)*(1-EXP((Tnet-t)/(Tau_j))))*Salcycl</f>
        <v>3.0888819603420509E-2</v>
      </c>
      <c r="P374" s="169">
        <f>(INDEX(Models!$BJ374:$BT374,,T374)*(1-R374)+INDEX(Models!$BJ374:$BT374,,T374+1)*R374-ERP_i)*Q374*Ramure*Pc/MaxiM</f>
        <v>2.8625609748419828E-3</v>
      </c>
      <c r="Q374" s="305">
        <f t="shared" si="125"/>
        <v>0.7</v>
      </c>
      <c r="R374" s="177">
        <f t="shared" si="126"/>
        <v>3.7545836032992774E-5</v>
      </c>
      <c r="S374" s="919">
        <f t="shared" si="127"/>
        <v>0</v>
      </c>
      <c r="T374" s="176">
        <f t="shared" si="128"/>
        <v>6</v>
      </c>
      <c r="U374" s="251">
        <f t="shared" si="129"/>
        <v>3.7545836032992774E-5</v>
      </c>
      <c r="V374" s="383">
        <f t="shared" si="130"/>
        <v>25.840466994108446</v>
      </c>
      <c r="W374" s="402"/>
      <c r="X374" s="157">
        <f t="shared" si="131"/>
        <v>44556</v>
      </c>
      <c r="Y374" s="385">
        <f t="shared" si="132"/>
        <v>10.515221257575963</v>
      </c>
      <c r="Z374" s="385">
        <f t="shared" si="133"/>
        <v>10.8220122988933</v>
      </c>
      <c r="AA374" s="386">
        <f t="shared" si="134"/>
        <v>11.916468414315473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9.1843999192527739E-2</v>
      </c>
      <c r="AD374" s="231">
        <f>(INDEX(Models!$BJ374:$BT374,,AH374)*(1-AF374)+INDEX(Models!$BJ374:$BT374,,AH374+1)*AF374-ERP_i)*AE374*Ramure*Pc/MaxiM</f>
        <v>2.8625609748419828E-3</v>
      </c>
      <c r="AE374" s="305">
        <f t="shared" si="136"/>
        <v>0.7</v>
      </c>
      <c r="AF374" s="177">
        <f t="shared" si="137"/>
        <v>3.7545836032992774E-5</v>
      </c>
      <c r="AG374" s="919">
        <f t="shared" si="143"/>
        <v>0</v>
      </c>
      <c r="AH374" s="176">
        <f t="shared" si="138"/>
        <v>6</v>
      </c>
      <c r="AI374" s="225">
        <f t="shared" si="139"/>
        <v>3.7545836032992774E-5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8">
        <v>9.3030000000000008</v>
      </c>
      <c r="C375" s="390"/>
      <c r="D375" s="393">
        <f t="shared" si="122"/>
        <v>9.5746331044625226</v>
      </c>
      <c r="E375" s="385">
        <f t="shared" si="144"/>
        <v>9.8806200629844501</v>
      </c>
      <c r="F375" s="385">
        <f t="shared" si="123"/>
        <v>9.8829720427114669</v>
      </c>
      <c r="G375" s="110">
        <f t="shared" si="145"/>
        <v>0.35723673610474177</v>
      </c>
      <c r="H375" s="412" t="b">
        <f>Wh_hp&gt;='2020'!Maxi_hp</f>
        <v>0</v>
      </c>
      <c r="I375" s="380">
        <f>IF(H375,Wh_hp,'2020'!Maxi_hp)</f>
        <v>27.615988001355355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2.8370079719913122E-2</v>
      </c>
      <c r="M375" s="957"/>
      <c r="N375" s="957"/>
      <c r="O375" s="48">
        <f>IF(t&lt;Tnet,'2020'!Resal+('2020'!Salim-'2020'!Resal)*(1-EXP(('2020'!Tnet-t)/('2020'!Tau_j))),Resal+(Salim-Resal)*(1-EXP((Tnet-t)/(Tau_j))))*Salcycl</f>
        <v>3.0968396373041426E-2</v>
      </c>
      <c r="P375" s="169">
        <f>(INDEX(Models!$BJ375:$BT375,,T375)*(1-R375)+INDEX(Models!$BJ375:$BT375,,T375+1)*R375-ERP_i)*Q375*Ramure*Pc/MaxiM</f>
        <v>2.8634536427694611E-3</v>
      </c>
      <c r="Q375" s="305">
        <f t="shared" si="125"/>
        <v>0.7</v>
      </c>
      <c r="R375" s="177">
        <f t="shared" si="126"/>
        <v>3.7545836032992774E-5</v>
      </c>
      <c r="S375" s="919">
        <f t="shared" si="127"/>
        <v>0</v>
      </c>
      <c r="T375" s="176">
        <f t="shared" si="128"/>
        <v>6</v>
      </c>
      <c r="U375" s="251">
        <f t="shared" si="129"/>
        <v>3.7545836032992774E-5</v>
      </c>
      <c r="V375" s="383">
        <f t="shared" si="130"/>
        <v>25.973167077076969</v>
      </c>
      <c r="W375" s="402"/>
      <c r="X375" s="157">
        <f t="shared" si="131"/>
        <v>44557</v>
      </c>
      <c r="Y375" s="385">
        <f t="shared" si="132"/>
        <v>8.7183809473242047</v>
      </c>
      <c r="Z375" s="385">
        <f t="shared" si="133"/>
        <v>8.9729440863770442</v>
      </c>
      <c r="AA375" s="386">
        <f t="shared" si="134"/>
        <v>9.8806200629844501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9.1864272770472502E-2</v>
      </c>
      <c r="AD375" s="231">
        <f>(INDEX(Models!$BJ375:$BT375,,AH375)*(1-AF375)+INDEX(Models!$BJ375:$BT375,,AH375+1)*AF375-ERP_i)*AE375*Ramure*Pc/MaxiM</f>
        <v>2.8634536427694611E-3</v>
      </c>
      <c r="AE375" s="305">
        <f t="shared" si="136"/>
        <v>0.7</v>
      </c>
      <c r="AF375" s="177">
        <f t="shared" si="137"/>
        <v>3.7545836032992774E-5</v>
      </c>
      <c r="AG375" s="919">
        <f t="shared" si="143"/>
        <v>0</v>
      </c>
      <c r="AH375" s="176">
        <f t="shared" si="138"/>
        <v>6</v>
      </c>
      <c r="AI375" s="225">
        <f t="shared" si="139"/>
        <v>3.7545836032992774E-5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8">
        <v>4.5680000000000005</v>
      </c>
      <c r="C376" s="390"/>
      <c r="D376" s="393">
        <f t="shared" si="122"/>
        <v>4.7014814568473353</v>
      </c>
      <c r="E376" s="385">
        <f t="shared" si="144"/>
        <v>4.8521305158897308</v>
      </c>
      <c r="F376" s="385">
        <f t="shared" si="123"/>
        <v>4.8521305158897308</v>
      </c>
      <c r="G376" s="110">
        <f t="shared" si="145"/>
        <v>0.17438291287850188</v>
      </c>
      <c r="H376" s="412" t="b">
        <f>Wh_hp&gt;='2020'!Maxi_hp</f>
        <v>0</v>
      </c>
      <c r="I376" s="380">
        <f>IF(H376,Wh_hp,'2020'!Maxi_hp)</f>
        <v>6.7936585629445601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2.8391360908789687E-2</v>
      </c>
      <c r="M376" s="957"/>
      <c r="N376" s="957"/>
      <c r="O376" s="48">
        <f>IF(t&lt;Tnet,'2020'!Resal+('2020'!Salim-'2020'!Resal)*(1-EXP(('2020'!Tnet-t)/('2020'!Tau_j))),Resal+(Salim-Resal)*(1-EXP((Tnet-t)/(Tau_j))))*Salcycl</f>
        <v>3.1048022832248768E-2</v>
      </c>
      <c r="P376" s="169">
        <f>(INDEX(Models!$BJ376:$BT376,,T376)*(1-R376)+INDEX(Models!$BJ376:$BT376,,T376+1)*R376-ERP_i)*Q376*Ramure*Pc/MaxiM</f>
        <v>2.8616168741462502E-3</v>
      </c>
      <c r="Q376" s="305">
        <f t="shared" si="125"/>
        <v>0.7</v>
      </c>
      <c r="R376" s="177">
        <f t="shared" si="126"/>
        <v>3.7545836032992774E-5</v>
      </c>
      <c r="S376" s="919">
        <f t="shared" si="127"/>
        <v>0</v>
      </c>
      <c r="T376" s="176">
        <f t="shared" si="128"/>
        <v>6</v>
      </c>
      <c r="U376" s="251">
        <f t="shared" si="129"/>
        <v>3.7545836032992774E-5</v>
      </c>
      <c r="V376" s="383">
        <f t="shared" si="130"/>
        <v>26.120266366306563</v>
      </c>
      <c r="W376" s="402"/>
      <c r="X376" s="157">
        <f t="shared" si="131"/>
        <v>44558</v>
      </c>
      <c r="Y376" s="385">
        <f t="shared" si="132"/>
        <v>4.2811922600551711</v>
      </c>
      <c r="Z376" s="385">
        <f t="shared" si="133"/>
        <v>4.40629291240099</v>
      </c>
      <c r="AA376" s="386">
        <f t="shared" si="134"/>
        <v>4.8521305158897308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9.1884915714594798E-2</v>
      </c>
      <c r="AD376" s="231">
        <f>(INDEX(Models!$BJ376:$BT376,,AH376)*(1-AF376)+INDEX(Models!$BJ376:$BT376,,AH376+1)*AF376-ERP_i)*AE376*Ramure*Pc/MaxiM</f>
        <v>2.8616168741462502E-3</v>
      </c>
      <c r="AE376" s="305">
        <f t="shared" si="136"/>
        <v>0.7</v>
      </c>
      <c r="AF376" s="177">
        <f t="shared" si="137"/>
        <v>3.7545836032992774E-5</v>
      </c>
      <c r="AG376" s="919">
        <f t="shared" si="143"/>
        <v>0</v>
      </c>
      <c r="AH376" s="176">
        <f t="shared" si="138"/>
        <v>6</v>
      </c>
      <c r="AI376" s="225">
        <f t="shared" si="139"/>
        <v>3.7545836032992774E-5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8">
        <v>4.0549999999999997</v>
      </c>
      <c r="C377" s="390"/>
      <c r="D377" s="393">
        <f t="shared" si="122"/>
        <v>4.1735825040060455</v>
      </c>
      <c r="E377" s="385">
        <f t="shared" si="144"/>
        <v>4.3076703173381459</v>
      </c>
      <c r="F377" s="385">
        <f t="shared" si="123"/>
        <v>4.3076703173381459</v>
      </c>
      <c r="G377" s="110">
        <f t="shared" si="145"/>
        <v>0.15385729365425324</v>
      </c>
      <c r="H377" s="412" t="b">
        <f>Wh_hp&gt;='2020'!Maxi_hp</f>
        <v>0</v>
      </c>
      <c r="I377" s="380">
        <f>IF(H377,Wh_hp,'2020'!Maxi_hp)</f>
        <v>27.222037432287717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2.8412641631553659E-2</v>
      </c>
      <c r="M377" s="957"/>
      <c r="N377" s="957"/>
      <c r="O377" s="48">
        <f>IF(t&lt;Tnet,'2020'!Resal+('2020'!Salim-'2020'!Resal)*(1-EXP(('2020'!Tnet-t)/('2020'!Tau_j))),Resal+(Salim-Resal)*(1-EXP((Tnet-t)/(Tau_j))))*Salcycl</f>
        <v>3.112768699879475E-2</v>
      </c>
      <c r="P377" s="169">
        <f>(INDEX(Models!$BJ377:$BT377,,T377)*(1-R377)+INDEX(Models!$BJ377:$BT377,,T377+1)*R377-ERP_i)*Q377*Ramure*Pc/MaxiM</f>
        <v>2.8572418870626854E-3</v>
      </c>
      <c r="Q377" s="305">
        <f t="shared" si="125"/>
        <v>0.7</v>
      </c>
      <c r="R377" s="177">
        <f t="shared" si="126"/>
        <v>3.7545836032992774E-5</v>
      </c>
      <c r="S377" s="919">
        <f t="shared" si="127"/>
        <v>0</v>
      </c>
      <c r="T377" s="176">
        <f t="shared" si="128"/>
        <v>6</v>
      </c>
      <c r="U377" s="251">
        <f t="shared" si="129"/>
        <v>3.7545836032992774E-5</v>
      </c>
      <c r="V377" s="383">
        <f t="shared" si="130"/>
        <v>26.280287324137419</v>
      </c>
      <c r="W377" s="402"/>
      <c r="X377" s="157">
        <f t="shared" si="131"/>
        <v>44559</v>
      </c>
      <c r="Y377" s="385">
        <f t="shared" si="132"/>
        <v>3.8006263240321401</v>
      </c>
      <c r="Z377" s="385">
        <f t="shared" si="133"/>
        <v>3.9117700444501491</v>
      </c>
      <c r="AA377" s="386">
        <f t="shared" si="134"/>
        <v>4.3076703173381459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9.1905889662567533E-2</v>
      </c>
      <c r="AD377" s="231">
        <f>(INDEX(Models!$BJ377:$BT377,,AH377)*(1-AF377)+INDEX(Models!$BJ377:$BT377,,AH377+1)*AF377-ERP_i)*AE377*Ramure*Pc/MaxiM</f>
        <v>2.8572418870626854E-3</v>
      </c>
      <c r="AE377" s="305">
        <f t="shared" si="136"/>
        <v>0.7</v>
      </c>
      <c r="AF377" s="177">
        <f t="shared" si="137"/>
        <v>3.7545836032992774E-5</v>
      </c>
      <c r="AG377" s="919">
        <f t="shared" si="143"/>
        <v>0</v>
      </c>
      <c r="AH377" s="176">
        <f t="shared" si="138"/>
        <v>6</v>
      </c>
      <c r="AI377" s="225">
        <f t="shared" si="139"/>
        <v>3.7545836032992774E-5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8">
        <v>20.003</v>
      </c>
      <c r="C378" s="390"/>
      <c r="D378" s="393">
        <f t="shared" si="122"/>
        <v>20.58840921955133</v>
      </c>
      <c r="E378" s="385">
        <f t="shared" si="144"/>
        <v>21.251616440684085</v>
      </c>
      <c r="F378" s="385">
        <f t="shared" si="123"/>
        <v>21.291170207200807</v>
      </c>
      <c r="G378" s="110">
        <f t="shared" si="145"/>
        <v>0.7554548349767638</v>
      </c>
      <c r="H378" s="412" t="b">
        <f>Wh_hp&gt;='2020'!Maxi_hp</f>
        <v>0</v>
      </c>
      <c r="I378" s="380">
        <f>IF(H378,Wh_hp,'2020'!Maxi_hp)</f>
        <v>27.784365944966957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2.8433921888215141E-2</v>
      </c>
      <c r="M378" s="957"/>
      <c r="N378" s="957"/>
      <c r="O378" s="48">
        <f>IF(t&lt;Tnet,'2020'!Resal+('2020'!Salim-'2020'!Resal)*(1-EXP(('2020'!Tnet-t)/('2020'!Tau_j))),Resal+(Salim-Resal)*(1-EXP((Tnet-t)/(Tau_j))))*Salcycl</f>
        <v>3.1207377706248811E-2</v>
      </c>
      <c r="P378" s="169">
        <f>(INDEX(Models!$BJ378:$BT378,,T378)*(1-R378)+INDEX(Models!$BJ378:$BT378,,T378+1)*R378-ERP_i)*Q378*Ramure*Pc/MaxiM</f>
        <v>2.8505222639115093E-3</v>
      </c>
      <c r="Q378" s="305">
        <f t="shared" si="125"/>
        <v>0.7</v>
      </c>
      <c r="R378" s="177">
        <f t="shared" si="126"/>
        <v>3.7545836032992774E-5</v>
      </c>
      <c r="S378" s="919">
        <f t="shared" si="127"/>
        <v>0</v>
      </c>
      <c r="T378" s="176">
        <f t="shared" si="128"/>
        <v>6</v>
      </c>
      <c r="U378" s="251">
        <f t="shared" si="129"/>
        <v>3.7545836032992774E-5</v>
      </c>
      <c r="V378" s="383">
        <f t="shared" si="130"/>
        <v>26.451753010170922</v>
      </c>
      <c r="W378" s="402"/>
      <c r="X378" s="157">
        <f t="shared" si="131"/>
        <v>44560</v>
      </c>
      <c r="Y378" s="385">
        <f t="shared" si="132"/>
        <v>18.749297445218435</v>
      </c>
      <c r="Z378" s="385">
        <f t="shared" si="133"/>
        <v>19.298015716704768</v>
      </c>
      <c r="AA378" s="386">
        <f t="shared" si="134"/>
        <v>21.251616440684085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9.1927159020212021E-2</v>
      </c>
      <c r="AD378" s="231">
        <f>(INDEX(Models!$BJ378:$BT378,,AH378)*(1-AF378)+INDEX(Models!$BJ378:$BT378,,AH378+1)*AF378-ERP_i)*AE378*Ramure*Pc/MaxiM</f>
        <v>2.8505222639115093E-3</v>
      </c>
      <c r="AE378" s="305">
        <f t="shared" si="136"/>
        <v>0.7</v>
      </c>
      <c r="AF378" s="177">
        <f t="shared" si="137"/>
        <v>3.7545836032992774E-5</v>
      </c>
      <c r="AG378" s="919">
        <f t="shared" si="143"/>
        <v>0</v>
      </c>
      <c r="AH378" s="176">
        <f t="shared" si="138"/>
        <v>6</v>
      </c>
      <c r="AI378" s="225">
        <f t="shared" si="139"/>
        <v>3.7545836032992774E-5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8">
        <v>26.315999999999999</v>
      </c>
      <c r="C379" s="390"/>
      <c r="D379" s="393">
        <f t="shared" si="122"/>
        <v>27.086759195739432</v>
      </c>
      <c r="E379" s="385">
        <f t="shared" si="144"/>
        <v>27.961596016897332</v>
      </c>
      <c r="F379" s="385">
        <f t="shared" si="123"/>
        <v>28.039920073924794</v>
      </c>
      <c r="G379" s="110">
        <f t="shared" si="145"/>
        <v>0.98804262815170918</v>
      </c>
      <c r="H379" s="412" t="b">
        <f>Wh_hp&gt;='2020'!Maxi_hp</f>
        <v>1</v>
      </c>
      <c r="I379" s="380">
        <f>IF(H379,Wh_hp,'2020'!Maxi_hp)</f>
        <v>28.039920073924794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2.8455201678784348E-2</v>
      </c>
      <c r="M379" s="957"/>
      <c r="N379" s="957"/>
      <c r="O379" s="48">
        <f>IF(t&lt;Tnet,'2020'!Resal+('2020'!Salim-'2020'!Resal)*(1-EXP(('2020'!Tnet-t)/('2020'!Tau_j))),Resal+(Salim-Resal)*(1-EXP((Tnet-t)/(Tau_j))))*Salcycl</f>
        <v>3.1287084636700706E-2</v>
      </c>
      <c r="P379" s="169">
        <f>(INDEX(Models!$BJ379:$BT379,,T379)*(1-R379)+INDEX(Models!$BJ379:$BT379,,T379+1)*R379-ERP_i)*Q379*Ramure*Pc/MaxiM</f>
        <v>2.8416518015240947E-3</v>
      </c>
      <c r="Q379" s="306">
        <f t="shared" si="125"/>
        <v>0.7</v>
      </c>
      <c r="R379" s="177">
        <f t="shared" si="126"/>
        <v>3.7545836032992774E-5</v>
      </c>
      <c r="S379" s="919">
        <f t="shared" si="127"/>
        <v>0</v>
      </c>
      <c r="T379" s="176">
        <f t="shared" si="128"/>
        <v>6</v>
      </c>
      <c r="U379" s="307">
        <f t="shared" si="129"/>
        <v>3.7545836032992774E-5</v>
      </c>
      <c r="V379" s="383">
        <f t="shared" si="130"/>
        <v>26.633187070627493</v>
      </c>
      <c r="W379" s="402"/>
      <c r="X379" s="157">
        <f t="shared" si="131"/>
        <v>44561</v>
      </c>
      <c r="Y379" s="385">
        <f t="shared" si="132"/>
        <v>24.668070248701145</v>
      </c>
      <c r="Z379" s="385">
        <f t="shared" si="133"/>
        <v>25.390563864194863</v>
      </c>
      <c r="AA379" s="386">
        <f t="shared" si="134"/>
        <v>27.961596016897332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9.1948691024245521E-2</v>
      </c>
      <c r="AD379" s="231">
        <f>(INDEX(Models!$BJ379:$BT379,,AH379)*(1-AF379)+INDEX(Models!$BJ379:$BT379,,AH379+1)*AF379-ERP_i)*AE379*Ramure*Pc/MaxiM</f>
        <v>2.8416518015240947E-3</v>
      </c>
      <c r="AE379" s="306">
        <f t="shared" si="136"/>
        <v>0.7</v>
      </c>
      <c r="AF379" s="177">
        <f t="shared" si="137"/>
        <v>3.7545836032992774E-5</v>
      </c>
      <c r="AG379" s="919">
        <f t="shared" si="143"/>
        <v>0</v>
      </c>
      <c r="AH379" s="176">
        <f t="shared" si="138"/>
        <v>6</v>
      </c>
      <c r="AI379" s="222">
        <f t="shared" si="139"/>
        <v>3.7545836032992774E-5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84"/>
      <c r="C380" s="394"/>
      <c r="D380" s="401"/>
      <c r="E380" s="387"/>
      <c r="F380" s="387"/>
      <c r="G380" s="122"/>
      <c r="H380" s="412" t="b">
        <f>Wh_hp&gt;='2020'!Maxi_hp</f>
        <v>0</v>
      </c>
      <c r="I380" s="380">
        <f>IF(H380,Wh_hp,'2020'!Maxi_hp)</f>
        <v>15.624559392660943</v>
      </c>
      <c r="J380" s="85">
        <f>IF(H380,An,'2020'!An_max)</f>
        <v>2020</v>
      </c>
      <c r="K380" s="234"/>
      <c r="L380" s="214"/>
      <c r="M380" s="962"/>
      <c r="N380" s="962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1.48</v>
      </c>
      <c r="C381" s="375"/>
      <c r="D381" s="373">
        <f>MIN(D15:D380)</f>
        <v>1.5221131241188777</v>
      </c>
      <c r="E381" s="373">
        <f>MIN(E15:E380)</f>
        <v>1.5666919714517742</v>
      </c>
      <c r="F381" s="374">
        <f>MIN(F15:F380)</f>
        <v>1.5666919714517742</v>
      </c>
      <c r="G381" s="125">
        <f>+MIN(G15:G380)</f>
        <v>5.1831111196642743E-2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2.0678483516328505E-2</v>
      </c>
      <c r="M381" s="959"/>
      <c r="N381" s="959"/>
      <c r="O381" s="47">
        <f t="shared" si="146"/>
        <v>8.0531107998261017E-3</v>
      </c>
      <c r="P381" s="168">
        <f t="shared" si="146"/>
        <v>1.7914033848360277E-4</v>
      </c>
      <c r="Q381" s="310">
        <f t="shared" si="146"/>
        <v>0.7</v>
      </c>
      <c r="R381" s="311">
        <f t="shared" si="146"/>
        <v>7.956005844245162E-6</v>
      </c>
      <c r="S381" s="919">
        <f t="shared" si="146"/>
        <v>-1</v>
      </c>
      <c r="T381" s="176">
        <f t="shared" si="146"/>
        <v>5</v>
      </c>
      <c r="U381" s="252">
        <f>+MIN(U15:U380)</f>
        <v>-0.49996118112779597</v>
      </c>
      <c r="V381" s="57">
        <f>MIN(V15:V380)</f>
        <v>25.230801445526275</v>
      </c>
      <c r="W381" s="58"/>
      <c r="X381" s="112" t="s">
        <v>7</v>
      </c>
      <c r="Y381" s="373">
        <f>MIN(Y15:Y380)</f>
        <v>1.3836762484341827</v>
      </c>
      <c r="Z381" s="373">
        <f>MIN(Z15:Z380)</f>
        <v>1.4230484981575962</v>
      </c>
      <c r="AA381" s="373">
        <f>MIN(AA15:AA380)</f>
        <v>1.5666919714517742</v>
      </c>
      <c r="AB381" s="200" t="s">
        <v>7</v>
      </c>
      <c r="AC381" s="47">
        <f t="shared" ref="AC381:AH381" si="147">MIN(AC15:AC380)</f>
        <v>8.0854451332278879E-2</v>
      </c>
      <c r="AD381" s="168">
        <f t="shared" si="147"/>
        <v>1.7914033848360277E-4</v>
      </c>
      <c r="AE381" s="310">
        <f t="shared" si="147"/>
        <v>0.7</v>
      </c>
      <c r="AF381" s="311">
        <f t="shared" si="147"/>
        <v>7.956005844245162E-6</v>
      </c>
      <c r="AG381" s="919">
        <f t="shared" si="147"/>
        <v>-1</v>
      </c>
      <c r="AH381" s="176">
        <f t="shared" si="147"/>
        <v>5</v>
      </c>
      <c r="AI381" s="226">
        <f>MIN(AI15:AI380)</f>
        <v>-0.49996118112779597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29.916142465753438</v>
      </c>
      <c r="C382" s="375"/>
      <c r="D382" s="375">
        <f>AVERAGE(D15:D380)</f>
        <v>30.667661776834638</v>
      </c>
      <c r="E382" s="375">
        <f>AVERAGE(E15:E380)</f>
        <v>31.804595099603915</v>
      </c>
      <c r="F382" s="376">
        <f>AVERAGE(F15:F380)</f>
        <v>31.844894534196751</v>
      </c>
      <c r="G382" s="126">
        <f>AVERAGE(G15:G380)</f>
        <v>0.65964574996018366</v>
      </c>
      <c r="H382" s="94"/>
      <c r="I382" s="376">
        <f>AVERAGE(I15:I380)</f>
        <v>42.673246036580146</v>
      </c>
      <c r="J382" s="59">
        <f>AVERAGE(J15:J380)</f>
        <v>2019.6939890710382</v>
      </c>
      <c r="K382" s="200" t="s">
        <v>8</v>
      </c>
      <c r="L382" s="147">
        <f t="shared" ref="L382:V382" si="148">AVERAGE(L15:L380)</f>
        <v>2.457199513363198E-2</v>
      </c>
      <c r="M382" s="957"/>
      <c r="N382" s="957"/>
      <c r="O382" s="48">
        <f t="shared" si="148"/>
        <v>3.9208572342775125E-2</v>
      </c>
      <c r="P382" s="169">
        <f t="shared" si="148"/>
        <v>1.6737226115594291E-3</v>
      </c>
      <c r="Q382" s="312">
        <f t="shared" si="148"/>
        <v>0.69999999999999529</v>
      </c>
      <c r="R382" s="177">
        <f t="shared" si="148"/>
        <v>0.74156625148778776</v>
      </c>
      <c r="S382" s="919">
        <f t="shared" si="148"/>
        <v>-0.9616438356164384</v>
      </c>
      <c r="T382" s="176">
        <f t="shared" si="148"/>
        <v>5.0383561643835613</v>
      </c>
      <c r="U382" s="251">
        <f t="shared" si="148"/>
        <v>-0.22007758412865203</v>
      </c>
      <c r="V382" s="59">
        <f t="shared" si="148"/>
        <v>43.784058829495351</v>
      </c>
      <c r="X382" s="112" t="s">
        <v>8</v>
      </c>
      <c r="Y382" s="375">
        <f>AVERAGE(Y15:Y380)</f>
        <v>28.269664503693498</v>
      </c>
      <c r="Z382" s="375">
        <f>AVERAGE(Z15:Z380)</f>
        <v>28.978595267335908</v>
      </c>
      <c r="AA382" s="375">
        <f>AVERAGE(AA15:AA380)</f>
        <v>31.804595099603915</v>
      </c>
      <c r="AB382" s="200" t="s">
        <v>8</v>
      </c>
      <c r="AC382" s="48">
        <f t="shared" ref="AC382:AH382" si="149">AVERAGE(AC15:AC380)</f>
        <v>8.8585767669578167E-2</v>
      </c>
      <c r="AD382" s="169">
        <f t="shared" si="149"/>
        <v>1.6737226115594291E-3</v>
      </c>
      <c r="AE382" s="312">
        <f t="shared" si="149"/>
        <v>0.69999999999999529</v>
      </c>
      <c r="AF382" s="177">
        <f t="shared" si="149"/>
        <v>0.74156625148778776</v>
      </c>
      <c r="AG382" s="919">
        <f t="shared" si="149"/>
        <v>-0.9616438356164384</v>
      </c>
      <c r="AH382" s="176">
        <f t="shared" si="149"/>
        <v>5.0383561643835613</v>
      </c>
      <c r="AI382" s="225">
        <f>AVERAGE(AI15:AI380)</f>
        <v>-0.22007758412865203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59.480000000000004</v>
      </c>
      <c r="C383" s="377"/>
      <c r="D383" s="377">
        <f>MAX(D15:D380)</f>
        <v>60.92111855310921</v>
      </c>
      <c r="E383" s="377">
        <f>MAX(E15:E380)</f>
        <v>61.616597028833525</v>
      </c>
      <c r="F383" s="378">
        <f>MAX(F15:F380)</f>
        <v>61.745336141235896</v>
      </c>
      <c r="G383" s="127">
        <f>+MAX(G15:G380)</f>
        <v>1.0469445923345255</v>
      </c>
      <c r="H383" s="94"/>
      <c r="I383" s="378">
        <f>MAX(I15:I380)</f>
        <v>61.987907498178245</v>
      </c>
      <c r="J383" s="60">
        <f>MAX(J15:J380)</f>
        <v>2021</v>
      </c>
      <c r="K383" s="200" t="s">
        <v>9</v>
      </c>
      <c r="L383" s="148">
        <f t="shared" ref="L383:T383" si="150">MAX(L15:L380)</f>
        <v>2.8455201678784348E-2</v>
      </c>
      <c r="M383" s="960"/>
      <c r="N383" s="960"/>
      <c r="O383" s="49">
        <f t="shared" si="150"/>
        <v>8.5019272584818742E-2</v>
      </c>
      <c r="P383" s="170">
        <f t="shared" si="150"/>
        <v>4.9835722818774705E-3</v>
      </c>
      <c r="Q383" s="313">
        <f t="shared" si="150"/>
        <v>0.7</v>
      </c>
      <c r="R383" s="314">
        <f t="shared" si="150"/>
        <v>0.99999976738617491</v>
      </c>
      <c r="S383" s="920">
        <f t="shared" si="150"/>
        <v>0</v>
      </c>
      <c r="T383" s="233">
        <f t="shared" si="150"/>
        <v>6</v>
      </c>
      <c r="U383" s="253">
        <f>+MAX(U15:U380)</f>
        <v>3.7545836032992774E-5</v>
      </c>
      <c r="V383" s="60">
        <f>MAX(V15:V380)</f>
        <v>57.585528351508245</v>
      </c>
      <c r="X383" s="112" t="s">
        <v>9</v>
      </c>
      <c r="Y383" s="377">
        <f>MAX(Y15:Y380)</f>
        <v>54.895190722083257</v>
      </c>
      <c r="Z383" s="377">
        <f>MAX(Z15:Z380)</f>
        <v>56.225225655271934</v>
      </c>
      <c r="AA383" s="377">
        <f>MAX(AA15:AA380)</f>
        <v>61.616597028833525</v>
      </c>
      <c r="AB383" s="200" t="s">
        <v>9</v>
      </c>
      <c r="AC383" s="49">
        <f t="shared" ref="AC383:AH383" si="151">MAX(AC15:AC380)</f>
        <v>9.3173461972189342E-2</v>
      </c>
      <c r="AD383" s="170">
        <f t="shared" si="151"/>
        <v>4.9835722818774705E-3</v>
      </c>
      <c r="AE383" s="313">
        <f t="shared" si="151"/>
        <v>0.7</v>
      </c>
      <c r="AF383" s="314">
        <f t="shared" si="151"/>
        <v>0.99999976738617491</v>
      </c>
      <c r="AG383" s="920">
        <f t="shared" si="151"/>
        <v>0</v>
      </c>
      <c r="AH383" s="233">
        <f t="shared" si="151"/>
        <v>6</v>
      </c>
      <c r="AI383" s="227">
        <f>MAX(AI15:AI380)</f>
        <v>3.7545836032992774E-5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26" priority="7" stopIfTrue="1" operator="lessThan">
      <formula>0.01</formula>
    </cfRule>
    <cfRule type="cellIs" dxfId="25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6" sqref="B376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1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2">
        <f>'2021'!An+1</f>
        <v>2022</v>
      </c>
      <c r="K1" s="1213"/>
      <c r="L1" s="113" t="str">
        <f>"Calcul pertes et enveloppes en "&amp;TEXT(An,0)</f>
        <v>Calcul pertes et enveloppes en 2022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941" t="s">
        <v>279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25</v>
      </c>
      <c r="P2" s="18"/>
      <c r="Q2" s="874"/>
      <c r="R2" s="18"/>
      <c r="S2" s="494"/>
      <c r="T2" s="494"/>
      <c r="U2" s="294" t="s">
        <v>81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947" t="s">
        <v>271</v>
      </c>
      <c r="AK2" s="947" t="s">
        <v>273</v>
      </c>
      <c r="AL2" s="947" t="s">
        <v>272</v>
      </c>
      <c r="AM2" s="947" t="s">
        <v>274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2">
        <f>Tmaj</f>
        <v>44947</v>
      </c>
      <c r="F3" s="1222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172</v>
      </c>
      <c r="V3" s="643">
        <f>Salim_i</f>
        <v>0.14000000000000001</v>
      </c>
      <c r="W3" s="449"/>
      <c r="X3" s="501" t="s">
        <v>99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945">
        <f>AL11-AJ11</f>
        <v>0</v>
      </c>
      <c r="AK3" s="946">
        <f>AM11-AK11</f>
        <v>0</v>
      </c>
      <c r="AL3" s="945"/>
      <c r="AM3" s="946"/>
      <c r="AN3" s="944" t="s">
        <v>280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1" t="str">
        <f>Station</f>
        <v>Aureville</v>
      </c>
      <c r="F4" s="1162"/>
      <c r="G4" s="1162"/>
      <c r="H4" s="1162"/>
      <c r="I4" s="1163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84</v>
      </c>
      <c r="V4" s="642">
        <f>Persistant</f>
        <v>0.6</v>
      </c>
      <c r="W4" s="507" t="s">
        <v>55</v>
      </c>
      <c r="X4" s="508"/>
      <c r="Y4" s="509"/>
      <c r="Z4" s="510" t="s">
        <v>28</v>
      </c>
      <c r="AA4" s="511" t="s">
        <v>29</v>
      </c>
      <c r="AB4" s="504"/>
      <c r="AC4" s="427"/>
      <c r="AD4" s="427"/>
      <c r="AE4" s="427"/>
      <c r="AF4" s="427"/>
      <c r="AG4" s="427"/>
      <c r="AH4" s="427"/>
      <c r="AI4" s="427"/>
      <c r="AJ4" s="945">
        <f>AL12-AJ12</f>
        <v>541.64998954509838</v>
      </c>
      <c r="AK4" s="946">
        <f>AM12-AK12</f>
        <v>-1.0239382159245274</v>
      </c>
      <c r="AL4" s="945"/>
      <c r="AM4" s="946"/>
      <c r="AN4" s="944" t="s">
        <v>281</v>
      </c>
    </row>
    <row r="5" spans="1:40" s="35" customFormat="1" ht="16.5" customHeight="1" x14ac:dyDescent="0.25">
      <c r="D5" s="161" t="s">
        <v>21</v>
      </c>
      <c r="E5" s="1223">
        <f>T0</f>
        <v>43243</v>
      </c>
      <c r="F5" s="1223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541.48431288720531</v>
      </c>
      <c r="AA5" s="237">
        <f>Wh_Pvg_s-Wh_Pvg</f>
        <v>-1.028148077575409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2.2275</v>
      </c>
      <c r="AK5" s="515">
        <f>SUMIF(AK15:AK380,"VRAI",Wh)</f>
        <v>2.2275</v>
      </c>
      <c r="AL5" s="515">
        <f>SUMIF(AJ15:AJ380,"VRAI",Wh_s)</f>
        <v>0</v>
      </c>
      <c r="AM5" s="515">
        <f>SUMIF(AK15:AK380,"VRAI",Wh_s)</f>
        <v>0</v>
      </c>
      <c r="AN5" s="944" t="s">
        <v>277</v>
      </c>
    </row>
    <row r="6" spans="1:40" s="6" customFormat="1" ht="16.5" customHeight="1" x14ac:dyDescent="0.2">
      <c r="B6" s="8"/>
      <c r="C6" s="8"/>
      <c r="D6" s="161" t="s">
        <v>11</v>
      </c>
      <c r="E6" s="1224">
        <f>Tservice</f>
        <v>43272</v>
      </c>
      <c r="F6" s="1224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10695.941499999999</v>
      </c>
      <c r="AK6" s="515">
        <f>SUMIF(AK15:AK380,"FAUX",Wh)</f>
        <v>10695.941499999999</v>
      </c>
      <c r="AL6" s="515">
        <f>SUMIF(AJ15:AJ380,"FAUX",Wh_s)</f>
        <v>10154.160661312562</v>
      </c>
      <c r="AM6" s="515">
        <f>SUMIF(AK15:AK380,"FAUX",Wh_s)</f>
        <v>10154.160661312562</v>
      </c>
      <c r="AN6" s="944" t="s">
        <v>278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83</v>
      </c>
      <c r="M7" s="955"/>
      <c r="N7" s="95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944" t="s">
        <v>269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AND(YEAR(Tnet)=An,Resal_2022&lt;&gt;"I")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7"/>
      <c r="W8" s="404"/>
      <c r="X8" s="1210" t="s">
        <v>105</v>
      </c>
      <c r="Y8" s="1211"/>
      <c r="Z8" s="497"/>
      <c r="AA8" s="497"/>
      <c r="AB8" s="461"/>
      <c r="AC8" s="519" t="s">
        <v>62</v>
      </c>
      <c r="AD8" s="461"/>
      <c r="AE8" s="461"/>
      <c r="AF8" s="461"/>
      <c r="AG8" s="461"/>
      <c r="AH8" s="461"/>
      <c r="AI8" s="461"/>
      <c r="AJ8" s="515">
        <f>SUMIF(AJ15:AJ380,"FAUX",Wh_pvt)</f>
        <v>11051.936788695595</v>
      </c>
      <c r="AK8" s="515">
        <f>SUMIF(AK15:AK380,"FAUX",Wh_sa)</f>
        <v>11873.956070578915</v>
      </c>
      <c r="AL8" s="515">
        <f>SUMIF(AJ15:AJ380,"FAUX",Wh_pvt_s)</f>
        <v>10492.243214669137</v>
      </c>
      <c r="AM8" s="515">
        <f>SUMIF(AK15:AK380,"FAUX",Wh_sa_s)</f>
        <v>11873.956070578915</v>
      </c>
      <c r="AN8" s="944" t="s">
        <v>270</v>
      </c>
    </row>
    <row r="9" spans="1:40" s="19" customFormat="1" ht="15" customHeight="1" x14ac:dyDescent="0.25">
      <c r="A9" s="34"/>
      <c r="B9" s="210"/>
      <c r="C9" s="210"/>
      <c r="D9" s="184">
        <f>SUM(D$15:D$380)</f>
        <v>11051.936788695595</v>
      </c>
      <c r="E9" s="184">
        <f>SUM(E$15:E$380)</f>
        <v>11873.956070578915</v>
      </c>
      <c r="F9" s="184">
        <f>SUM(F$15:F$380)</f>
        <v>11896.397243331223</v>
      </c>
      <c r="H9" s="1214">
        <f>+SUM(Wh)</f>
        <v>10698.169</v>
      </c>
      <c r="I9" s="1215"/>
      <c r="J9" s="1216"/>
      <c r="K9" s="191"/>
      <c r="L9" s="232"/>
      <c r="M9" s="232"/>
      <c r="N9" s="232"/>
      <c r="O9" s="223">
        <f>Tnet_2022</f>
        <v>44562</v>
      </c>
      <c r="P9" s="244" t="s">
        <v>93</v>
      </c>
      <c r="Q9" s="245"/>
      <c r="R9" s="245"/>
      <c r="S9" s="245"/>
      <c r="T9" s="245"/>
      <c r="U9" s="246"/>
      <c r="V9" s="461"/>
      <c r="W9" s="520"/>
      <c r="X9" s="1208">
        <f>+SUM(Wh_s)</f>
        <v>10154.160661312562</v>
      </c>
      <c r="Y9" s="1209"/>
      <c r="Z9" s="515">
        <f>SUM(Z$15:Z$380)</f>
        <v>10492.243214669137</v>
      </c>
      <c r="AA9" s="515">
        <f>SUM(AA$15:AA$380)</f>
        <v>11873.956070578915</v>
      </c>
      <c r="AB9" s="515">
        <f>F9</f>
        <v>11896.397243331223</v>
      </c>
      <c r="AC9" s="325">
        <f>IF(An_Tnet,Tnet,'2021'!Tnet_s)</f>
        <v>44562</v>
      </c>
      <c r="AD9" s="316" t="s">
        <v>93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944" t="s">
        <v>275</v>
      </c>
    </row>
    <row r="10" spans="1:40" s="19" customFormat="1" ht="15" customHeight="1" x14ac:dyDescent="0.25">
      <c r="A10" s="206"/>
      <c r="B10" s="207"/>
      <c r="C10" s="951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3.1348857787303515E-2</v>
      </c>
      <c r="P10" s="420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7"/>
      <c r="W10" s="504"/>
      <c r="X10" s="505"/>
      <c r="Y10" s="521" t="s">
        <v>27</v>
      </c>
      <c r="Z10" s="511" t="s">
        <v>28</v>
      </c>
      <c r="AA10" s="511" t="s">
        <v>29</v>
      </c>
      <c r="AB10" s="427"/>
      <c r="AC10" s="318">
        <f>IF(OR(Inflex,GainD),'2021'!Resal_s+('2021'!Salim-'2021'!Resal_s)*(1-EXP(('2021'!Tnet_s-Tnet)/('2021'!Tau_j))),IF(Acti_net,'2021'!Resal+('2021'!Salim-'2021'!Resal)*(1-EXP(('2021'!Tnet-Tnet)/'2021'!Tau_j)),'2021'!Resal_s))</f>
        <v>9.1917852346710377E-2</v>
      </c>
      <c r="AD10" s="427"/>
      <c r="AE10" s="427"/>
      <c r="AF10" s="260"/>
      <c r="AG10" s="261"/>
      <c r="AH10" s="262"/>
      <c r="AI10" s="472"/>
      <c r="AJ10" s="515">
        <f>SUMIF(AJ15:AJ380,"FAUX",Wh_sa)</f>
        <v>11873.956070578915</v>
      </c>
      <c r="AK10" s="515">
        <f>SUMIF(AK15:AK380,"FAUX",Wh_hp)</f>
        <v>11896.397243331223</v>
      </c>
      <c r="AL10" s="515">
        <f>SUMIF(AJ15:AJ380,"FAUX",Wh_sa_s)</f>
        <v>11873.956070578915</v>
      </c>
      <c r="AM10" s="515">
        <f>SUMIF(AK15:AK380,"FAUX",Wh_hp)</f>
        <v>11896.397243331223</v>
      </c>
      <c r="AN10" s="944" t="s">
        <v>276</v>
      </c>
    </row>
    <row r="11" spans="1:40" s="40" customFormat="1" ht="15" customHeight="1" x14ac:dyDescent="0.25">
      <c r="A11" s="216"/>
      <c r="B11" s="217" t="s">
        <v>44</v>
      </c>
      <c r="C11" s="952"/>
      <c r="D11" s="50">
        <f>D$9-Prod_an</f>
        <v>353.7677886955953</v>
      </c>
      <c r="E11" s="51">
        <f>(E$9-D$9)*Prod_an/D$9</f>
        <v>795.70679483449362</v>
      </c>
      <c r="F11" s="186">
        <f>(F$9-E$9)*Prod_an/E$9</f>
        <v>20.218995020307105</v>
      </c>
      <c r="G11" s="185" t="s">
        <v>6</v>
      </c>
      <c r="K11" s="194"/>
      <c r="L11" s="211">
        <f>Tvie_2022</f>
        <v>43243</v>
      </c>
      <c r="M11" s="956"/>
      <c r="N11" s="956"/>
      <c r="O11" s="202">
        <f>IF(An_Tnet,Salim_2022,'2021'!Salim)</f>
        <v>0.18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0.50003754583603299</v>
      </c>
      <c r="V11" s="19"/>
      <c r="W11" s="948"/>
      <c r="X11" s="235" t="s">
        <v>44</v>
      </c>
      <c r="Y11" s="50">
        <f>Z$9-Prod_an_s</f>
        <v>338.08255335657486</v>
      </c>
      <c r="Z11" s="51">
        <f>(AA$9-Z$9)*Prod_an_s/Z$9</f>
        <v>1337.1911077216989</v>
      </c>
      <c r="AA11" s="186">
        <f>(AB$9-AA$9)*Prod_an_s/AA$9</f>
        <v>19.190846942731696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5">
        <f>IF($AJ7=0,0,($AJ9-$AJ7)*$AJ5/$AJ7)</f>
        <v>0</v>
      </c>
      <c r="AK11" s="946">
        <f>IF($AK7=0,0,($AK9-$AK7)*$AK5/$AK7)</f>
        <v>0</v>
      </c>
      <c r="AL11" s="945">
        <f>IF($AL7=0,0,($AL9-$AL7)*$AL5/$AL7)</f>
        <v>0</v>
      </c>
      <c r="AM11" s="946">
        <f>IF($AM7=0,0,($AM9-$AM7)*$AM5/$AM7)</f>
        <v>0</v>
      </c>
      <c r="AN11" s="944" t="s">
        <v>282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Pspv_2022</f>
        <v>0</v>
      </c>
      <c r="M12" s="212"/>
      <c r="N12" s="212"/>
      <c r="O12" s="205">
        <f>IF(An_Tnet,Tau_2022*365,'2021'!Tau_j)</f>
        <v>620.5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3.7545836032992774E-5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'2021'!Df_s</f>
        <v>0.7</v>
      </c>
      <c r="AF12" s="203"/>
      <c r="AG12" s="203"/>
      <c r="AH12" s="203"/>
      <c r="AI12" s="297">
        <f>'2021'!Hdf_s</f>
        <v>3.7545836032992774E-5</v>
      </c>
      <c r="AJ12" s="945">
        <f>IF($AJ8=0,0,($AJ10-$AJ8)*$AJ6/$AJ8)</f>
        <v>795.54111817660055</v>
      </c>
      <c r="AK12" s="946">
        <f>IF($AK8=0,0,($AK10-$AK8)*$AK6/$AK8)</f>
        <v>20.214785158656223</v>
      </c>
      <c r="AL12" s="945">
        <f>IF($AL8=0,0,($AL10-$AL8)*$AL6/$AL8)</f>
        <v>1337.1911077216989</v>
      </c>
      <c r="AM12" s="946">
        <f>IF($AM8=0,0,($AM10-$AM8)*$AM6/$AM8)</f>
        <v>19.190846942731696</v>
      </c>
      <c r="AN12" s="944" t="s">
        <v>283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212</v>
      </c>
      <c r="V13" s="124" t="s">
        <v>42</v>
      </c>
      <c r="W13" s="949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216</v>
      </c>
      <c r="AJ13" s="73">
        <f>+AJ11+AJ12</f>
        <v>795.54111817660055</v>
      </c>
      <c r="AK13" s="73">
        <f>+AK11+AK12</f>
        <v>20.214785158656223</v>
      </c>
      <c r="AL13" s="73">
        <f>+AL11+AL12</f>
        <v>1337.1911077216989</v>
      </c>
      <c r="AM13" s="73">
        <f>+AM11+AM12</f>
        <v>19.190846942731696</v>
      </c>
      <c r="AN13" s="943" t="s">
        <v>284</v>
      </c>
    </row>
    <row r="14" spans="1:40" s="46" customFormat="1" ht="40.5" customHeight="1" thickBot="1" x14ac:dyDescent="0.25">
      <c r="A14" s="45" t="s">
        <v>2</v>
      </c>
      <c r="B14" s="1225" t="s">
        <v>197</v>
      </c>
      <c r="C14" s="414"/>
      <c r="D14" s="53" t="s">
        <v>31</v>
      </c>
      <c r="E14" s="162" t="s">
        <v>30</v>
      </c>
      <c r="F14" s="162" t="str">
        <f>"Hors pertes "&amp; TEXT(An,0)</f>
        <v>Hors pertes 2022</v>
      </c>
      <c r="G14" s="107" t="s">
        <v>43</v>
      </c>
      <c r="H14" s="411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213</v>
      </c>
      <c r="S14" s="172" t="s">
        <v>214</v>
      </c>
      <c r="T14" s="172" t="s">
        <v>215</v>
      </c>
      <c r="U14" s="108" t="s">
        <v>211</v>
      </c>
      <c r="V14" s="45" t="str">
        <f>"Enveloppe "&amp; TEXT(An,0)</f>
        <v>Enveloppe 2022</v>
      </c>
      <c r="W14" s="950"/>
      <c r="X14" s="258" t="s">
        <v>2</v>
      </c>
      <c r="Y14" s="107" t="str">
        <f>"Wh / Jour "&amp; TEXT(An,0)</f>
        <v>Wh / Jour 2022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213</v>
      </c>
      <c r="AG14" s="172" t="s">
        <v>214</v>
      </c>
      <c r="AH14" s="172" t="s">
        <v>215</v>
      </c>
      <c r="AI14" s="108" t="s">
        <v>218</v>
      </c>
      <c r="AJ14" s="728" t="s">
        <v>267</v>
      </c>
      <c r="AK14" s="728" t="s">
        <v>268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617">
        <v>26.35</v>
      </c>
      <c r="C15" s="953"/>
      <c r="D15" s="393">
        <f t="shared" ref="D15:D78" si="0">Wh/(1-Ppv)</f>
        <v>27.122349057705865</v>
      </c>
      <c r="E15" s="400">
        <f t="shared" ref="E15:E79" si="1">Wh_pvt/(1-Psa)</f>
        <v>28.000639469461955</v>
      </c>
      <c r="F15" s="400">
        <f t="shared" ref="F15:F78" si="2">Wh_sa/(1-Pvg*MEDIAN((-Sdif+Wh/Env_an)/Csdif,0,1))</f>
        <v>28.078120973122783</v>
      </c>
      <c r="G15" s="123">
        <f>+Wh_hp/MaxiM</f>
        <v>0.98229145359971426</v>
      </c>
      <c r="H15" s="412" t="b">
        <f>Wh_hp&gt;='2021'!Maxi_hp</f>
        <v>1</v>
      </c>
      <c r="I15" s="379">
        <f>IF(H15,Wh_hp,'2021'!Maxi_hp)</f>
        <v>28.078120973122783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2.8476481003271603E-2</v>
      </c>
      <c r="M15" s="957"/>
      <c r="N15" s="957"/>
      <c r="O15" s="48">
        <f>IF(t&lt;Tnet,'2021'!Resal+('2021'!Salim-'2021'!Resal)*(1-EXP(('2021'!Tnet-t)/('2021'!Tau_j))),Resal+(Salim-Resal)*(1-EXP((Tnet-t)/(Tau_j))))*Salcycl</f>
        <v>3.1366798344515431E-2</v>
      </c>
      <c r="P15" s="338">
        <f>(INDEX(Models!$BJ15:$BT15,,T15)*(1-R15)+INDEX(Models!$BJ15:$BT15,,T15+1)*R15-ERP_i)*Q15*Ramure*Pc/MaxiM</f>
        <v>2.830827362265937E-3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3.8741334262374074E-5</v>
      </c>
      <c r="S15" s="918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3.8741334262374074E-5</v>
      </c>
      <c r="V15" s="382">
        <f t="shared" ref="V15:V78" si="8">MaxiM*(1-Ppv)*(1-Pvg)*(1-Psa)</f>
        <v>26.823113608205247</v>
      </c>
      <c r="W15" s="402"/>
      <c r="X15" s="156">
        <f t="shared" ref="X15:X78" si="9">t</f>
        <v>44562</v>
      </c>
      <c r="Y15" s="385">
        <f t="shared" ref="Y15:Y78" si="10">Wh_pvt_s*(1-Ppv)</f>
        <v>24.701381750444952</v>
      </c>
      <c r="Z15" s="385">
        <f>Wh_sa_s*(1-Psa_s)</f>
        <v>25.425407895378118</v>
      </c>
      <c r="AA15" s="386">
        <f t="shared" ref="AA15:AA78" si="11">Wh_hp*(1-Pvg_s*MEDIAN((-Sdif+Wh/Env_an)/Csdif,0,1))</f>
        <v>28.000639469461955</v>
      </c>
      <c r="AB15" s="197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9.197045577807017E-2</v>
      </c>
      <c r="AD15" s="231">
        <f>(INDEX(Models!$BJ15:$BT15,,AH15)*(1-AF15)+INDEX(Models!$BJ15:$BT15,,AH15+1)*AF15-ERP_i)*AE15*Ramure*Pc/MaxiM</f>
        <v>2.830827362265937E-3</v>
      </c>
      <c r="AE15" s="303">
        <f t="shared" ref="AE15:AE78" si="13">IF(OR(t&lt;Ttai,Notai),Dd_s+PousD*Croivg,Dens_s+PousD*(Croivg-Croi_tai))</f>
        <v>0.7</v>
      </c>
      <c r="AF15" s="304">
        <f>(Hp_vg_s-AG15)/(INDEX(Echel_vg,AH15+1)-AG15)</f>
        <v>3.8741334262374074E-5</v>
      </c>
      <c r="AG15" s="918">
        <f>INDEX(Echel_vg,AH15)</f>
        <v>0</v>
      </c>
      <c r="AH15" s="249">
        <f t="shared" ref="AH15:AH78" si="14">MIN(MATCH(Hp_vg_s,Echel_vg),10)</f>
        <v>6</v>
      </c>
      <c r="AI15" s="224">
        <f>IF(OR(t&lt;Ttai,Notai),Hdd_s+PousH*Croivg,Hdtai_s+PousH*(Croivg-Croi_tai))</f>
        <v>3.8741334262374074E-5</v>
      </c>
      <c r="AJ15" s="265" t="b">
        <f t="shared" ref="AJ15:AJ78" si="15">t&lt;Tnet</f>
        <v>0</v>
      </c>
      <c r="AK15" s="265" t="b">
        <f t="shared" ref="AK15:AK78" si="16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7">A15+1</f>
        <v>44563</v>
      </c>
      <c r="B16" s="618">
        <v>18.411999999999999</v>
      </c>
      <c r="C16" s="953"/>
      <c r="D16" s="393">
        <f t="shared" si="0"/>
        <v>18.952092171582311</v>
      </c>
      <c r="E16" s="385">
        <f t="shared" si="1"/>
        <v>19.57062258673426</v>
      </c>
      <c r="F16" s="385">
        <f t="shared" si="2"/>
        <v>19.600634406666657</v>
      </c>
      <c r="G16" s="110">
        <f t="shared" ref="G16:G79" si="18">+Wh_hp/MaxiM</f>
        <v>0.68065275063042041</v>
      </c>
      <c r="H16" s="412" t="b">
        <f>Wh_hp&gt;='2021'!Maxi_hp</f>
        <v>0</v>
      </c>
      <c r="I16" s="380">
        <f>IF(H16,Wh_hp,'2021'!Maxi_hp)</f>
        <v>25.967841110496515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2.8497759861687011E-2</v>
      </c>
      <c r="M16" s="957"/>
      <c r="N16" s="957"/>
      <c r="O16" s="48">
        <f>IF(t&lt;Tnet,'2021'!Resal+('2021'!Salim-'2021'!Resal)*(1-EXP(('2021'!Tnet-t)/('2021'!Tau_j))),Resal+(Salim-Resal)*(1-EXP((Tnet-t)/(Tau_j))))*Salcycl</f>
        <v>3.160504538936907E-2</v>
      </c>
      <c r="P16" s="339">
        <f>(INDEX(Models!$BJ16:$BT16,,T16)*(1-R16)+INDEX(Models!$BJ16:$BT16,,T16+1)*R16-ERP_i)*Q16*Ramure*Pc/MaxiM</f>
        <v>2.8092931351562651E-3</v>
      </c>
      <c r="Q16" s="305">
        <f t="shared" si="4"/>
        <v>0.7</v>
      </c>
      <c r="R16" s="177">
        <f t="shared" si="5"/>
        <v>6.7955948256612916E-5</v>
      </c>
      <c r="S16" s="919">
        <f t="shared" si="6"/>
        <v>0</v>
      </c>
      <c r="T16" s="176">
        <f t="shared" si="7"/>
        <v>6</v>
      </c>
      <c r="U16" s="251">
        <f t="shared" ref="U16:U78" si="19">IF(OR(t&lt;Ttai,Notai),Hdd+PousH*Croivg,Hdtf+PousH*(Croivg-Croi_tai))</f>
        <v>6.7955948256612916E-5</v>
      </c>
      <c r="V16" s="383">
        <f t="shared" si="8"/>
        <v>27.015877058329782</v>
      </c>
      <c r="W16" s="402"/>
      <c r="X16" s="157">
        <f t="shared" si="9"/>
        <v>44563</v>
      </c>
      <c r="Y16" s="385">
        <f t="shared" si="10"/>
        <v>17.261649971624568</v>
      </c>
      <c r="Z16" s="385">
        <f t="shared" ref="Z16:Z78" si="20">Wh_sa_s*(1-Psa_s)</f>
        <v>17.767998115132521</v>
      </c>
      <c r="AA16" s="386">
        <f t="shared" si="11"/>
        <v>19.57062258673426</v>
      </c>
      <c r="AB16" s="197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9.2108693201392075E-2</v>
      </c>
      <c r="AD16" s="231">
        <f>(INDEX(Models!$BJ16:$BT16,,AH16)*(1-AF16)+INDEX(Models!$BJ16:$BT16,,AH16+1)*AF16-ERP_i)*AE16*Ramure*Pc/MaxiM</f>
        <v>2.8092931351562651E-3</v>
      </c>
      <c r="AE16" s="305">
        <f>IF(OR(t&lt;Ttai,Notai),Dd_s+PousD*Croivg,Dens_s+PousD*(Croivg-Croi_tai))</f>
        <v>0.7</v>
      </c>
      <c r="AF16" s="177">
        <f t="shared" ref="AF16:AF78" si="21">(Hp_vg_s-AG16)/(INDEX(Echel_vg,AH16+1)-AG16)</f>
        <v>6.7955948256612916E-5</v>
      </c>
      <c r="AG16" s="919">
        <f t="shared" ref="AG16:AG79" si="22">INDEX(Echel_vg,AH16)</f>
        <v>0</v>
      </c>
      <c r="AH16" s="176">
        <f t="shared" si="14"/>
        <v>6</v>
      </c>
      <c r="AI16" s="225">
        <f t="shared" ref="AI16:AI78" si="23">IF(OR(t&lt;Ttai,Notai),Hdd_s+PousH*Croivg,Hdtai_s+PousH*(Croivg-Croi_tai))</f>
        <v>6.7955948256612916E-5</v>
      </c>
      <c r="AJ16" s="265" t="b">
        <f t="shared" si="15"/>
        <v>0</v>
      </c>
      <c r="AK16" s="265" t="b">
        <f t="shared" si="16"/>
        <v>0</v>
      </c>
      <c r="AL16" s="265"/>
      <c r="AM16" s="265"/>
      <c r="AN16" s="75"/>
    </row>
    <row r="17" spans="1:40" s="6" customFormat="1" ht="11.25" x14ac:dyDescent="0.2">
      <c r="A17" s="56">
        <f t="shared" si="17"/>
        <v>44564</v>
      </c>
      <c r="B17" s="618">
        <v>19.501000000000001</v>
      </c>
      <c r="C17" s="953"/>
      <c r="D17" s="393">
        <f t="shared" si="0"/>
        <v>20.073476236685618</v>
      </c>
      <c r="E17" s="385">
        <f t="shared" si="1"/>
        <v>20.733698555357229</v>
      </c>
      <c r="F17" s="385">
        <f t="shared" si="2"/>
        <v>20.768023752553823</v>
      </c>
      <c r="G17" s="110">
        <f t="shared" si="18"/>
        <v>0.71576280675400228</v>
      </c>
      <c r="H17" s="412" t="b">
        <f>Wh_hp&gt;='2021'!Maxi_hp</f>
        <v>0</v>
      </c>
      <c r="I17" s="380">
        <f>IF(H17,Wh_hp,'2021'!Maxi_hp)</f>
        <v>30.270872638205173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2.8519038254040785E-2</v>
      </c>
      <c r="M17" s="957"/>
      <c r="N17" s="957"/>
      <c r="O17" s="48">
        <f>IF(t&lt;Tnet,'2021'!Resal+('2021'!Salim-'2021'!Resal)*(1-EXP(('2021'!Tnet-t)/('2021'!Tau_j))),Resal+(Salim-Resal)*(1-EXP((Tnet-t)/(Tau_j))))*Salcycl</f>
        <v>3.18429592727449E-2</v>
      </c>
      <c r="P17" s="339">
        <f>(INDEX(Models!$BJ17:$BT17,,T17)*(1-R17)+INDEX(Models!$BJ17:$BT17,,T17+1)*R17-ERP_i)*Q17*Ramure*Pc/MaxiM</f>
        <v>2.7773330786022114E-3</v>
      </c>
      <c r="Q17" s="305">
        <f t="shared" si="4"/>
        <v>0.7</v>
      </c>
      <c r="R17" s="177">
        <f t="shared" si="5"/>
        <v>9.8392543746195573E-5</v>
      </c>
      <c r="S17" s="919">
        <f t="shared" si="6"/>
        <v>0</v>
      </c>
      <c r="T17" s="176">
        <f t="shared" si="7"/>
        <v>6</v>
      </c>
      <c r="U17" s="251">
        <f t="shared" si="19"/>
        <v>9.8392543746195573E-5</v>
      </c>
      <c r="V17" s="383">
        <f t="shared" si="8"/>
        <v>27.21437019456458</v>
      </c>
      <c r="W17" s="402"/>
      <c r="X17" s="157">
        <f t="shared" si="9"/>
        <v>44564</v>
      </c>
      <c r="Y17" s="385">
        <f t="shared" si="10"/>
        <v>18.284320096162098</v>
      </c>
      <c r="Z17" s="385">
        <f t="shared" si="20"/>
        <v>18.821079173081539</v>
      </c>
      <c r="AA17" s="386">
        <f t="shared" si="11"/>
        <v>20.733698555357229</v>
      </c>
      <c r="AB17" s="197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9.2246898312385361E-2</v>
      </c>
      <c r="AD17" s="231">
        <f>(INDEX(Models!$BJ17:$BT17,,AH17)*(1-AF17)+INDEX(Models!$BJ17:$BT17,,AH17+1)*AF17-ERP_i)*AE17*Ramure*Pc/MaxiM</f>
        <v>2.7773330786022114E-3</v>
      </c>
      <c r="AE17" s="305">
        <f t="shared" si="13"/>
        <v>0.7</v>
      </c>
      <c r="AF17" s="177">
        <f>(Hp_vg_s-AG17)/(INDEX(Echel_vg,AH17+1)-AG17)</f>
        <v>9.8392543746195573E-5</v>
      </c>
      <c r="AG17" s="919">
        <f>INDEX(Echel_vg,AH17)</f>
        <v>0</v>
      </c>
      <c r="AH17" s="176">
        <f t="shared" si="14"/>
        <v>6</v>
      </c>
      <c r="AI17" s="225">
        <f t="shared" si="23"/>
        <v>9.8392543746195573E-5</v>
      </c>
      <c r="AJ17" s="265" t="b">
        <f t="shared" si="15"/>
        <v>0</v>
      </c>
      <c r="AK17" s="265" t="b">
        <f t="shared" si="16"/>
        <v>0</v>
      </c>
      <c r="AL17" s="265"/>
      <c r="AM17" s="265"/>
      <c r="AN17" s="75"/>
    </row>
    <row r="18" spans="1:40" s="6" customFormat="1" ht="11.25" x14ac:dyDescent="0.2">
      <c r="A18" s="56">
        <f t="shared" si="17"/>
        <v>44565</v>
      </c>
      <c r="B18" s="618">
        <v>20.385999999999999</v>
      </c>
      <c r="C18" s="953"/>
      <c r="D18" s="393">
        <f t="shared" si="0"/>
        <v>20.984916141702168</v>
      </c>
      <c r="E18" s="385">
        <f t="shared" si="1"/>
        <v>21.68043612659784</v>
      </c>
      <c r="F18" s="385">
        <f t="shared" si="2"/>
        <v>21.718078409964704</v>
      </c>
      <c r="G18" s="110">
        <f t="shared" si="18"/>
        <v>0.74280368702646804</v>
      </c>
      <c r="H18" s="412" t="b">
        <f>Wh_hp&gt;='2021'!Maxi_hp</f>
        <v>0</v>
      </c>
      <c r="I18" s="380">
        <f>IF(H18,Wh_hp,'2021'!Maxi_hp)</f>
        <v>25.910930416910517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2.854031618034325E-2</v>
      </c>
      <c r="M18" s="957"/>
      <c r="N18" s="957"/>
      <c r="O18" s="48">
        <f>IF(t&lt;Tnet,'2021'!Resal+('2021'!Salim-'2021'!Resal)*(1-EXP(('2021'!Tnet-t)/('2021'!Tau_j))),Resal+(Salim-Resal)*(1-EXP((Tnet-t)/(Tau_j))))*Salcycl</f>
        <v>3.2080534765737426E-2</v>
      </c>
      <c r="P18" s="339">
        <f>(INDEX(Models!$BJ18:$BT18,,T18)*(1-R18)+INDEX(Models!$BJ18:$BT18,,T18+1)*R18-ERP_i)*Q18*Ramure*Pc/MaxiM</f>
        <v>2.7353312263620213E-3</v>
      </c>
      <c r="Q18" s="305">
        <f t="shared" si="4"/>
        <v>0.7</v>
      </c>
      <c r="R18" s="177">
        <f t="shared" si="5"/>
        <v>1.3010207504131512E-4</v>
      </c>
      <c r="S18" s="919">
        <f t="shared" si="6"/>
        <v>0</v>
      </c>
      <c r="T18" s="176">
        <f t="shared" si="7"/>
        <v>6</v>
      </c>
      <c r="U18" s="251">
        <f t="shared" si="19"/>
        <v>1.3010207504131512E-4</v>
      </c>
      <c r="V18" s="383">
        <f t="shared" si="8"/>
        <v>27.41711695521419</v>
      </c>
      <c r="W18" s="402"/>
      <c r="X18" s="157">
        <f t="shared" si="9"/>
        <v>44565</v>
      </c>
      <c r="Y18" s="385">
        <f t="shared" si="10"/>
        <v>19.115886205546499</v>
      </c>
      <c r="Z18" s="385">
        <f>Wh_sa_s*(1-Psa_s)</f>
        <v>19.677487932783016</v>
      </c>
      <c r="AA18" s="386">
        <f t="shared" si="11"/>
        <v>21.68043612659784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9.2385050841185923E-2</v>
      </c>
      <c r="AD18" s="231">
        <f>(INDEX(Models!$BJ18:$BT18,,AH18)*(1-AF18)+INDEX(Models!$BJ18:$BT18,,AH18+1)*AF18-ERP_i)*AE18*Ramure*Pc/MaxiM</f>
        <v>2.7353312263620213E-3</v>
      </c>
      <c r="AE18" s="305">
        <f t="shared" si="13"/>
        <v>0.7</v>
      </c>
      <c r="AF18" s="177">
        <f t="shared" si="21"/>
        <v>1.3010207504131512E-4</v>
      </c>
      <c r="AG18" s="919">
        <f t="shared" si="22"/>
        <v>0</v>
      </c>
      <c r="AH18" s="176">
        <f t="shared" si="14"/>
        <v>6</v>
      </c>
      <c r="AI18" s="225">
        <f t="shared" si="23"/>
        <v>1.3010207504131512E-4</v>
      </c>
      <c r="AJ18" s="265" t="b">
        <f t="shared" si="15"/>
        <v>0</v>
      </c>
      <c r="AK18" s="265" t="b">
        <f t="shared" si="16"/>
        <v>0</v>
      </c>
      <c r="AL18" s="265"/>
      <c r="AM18" s="265"/>
      <c r="AN18" s="75"/>
    </row>
    <row r="19" spans="1:40" s="6" customFormat="1" ht="11.25" x14ac:dyDescent="0.2">
      <c r="A19" s="56">
        <f t="shared" si="17"/>
        <v>44566</v>
      </c>
      <c r="B19" s="618">
        <v>14.398</v>
      </c>
      <c r="C19" s="953"/>
      <c r="D19" s="393">
        <f t="shared" si="0"/>
        <v>14.821320534318346</v>
      </c>
      <c r="E19" s="385">
        <f t="shared" si="1"/>
        <v>15.316309460675662</v>
      </c>
      <c r="F19" s="385">
        <f t="shared" si="2"/>
        <v>15.329311575882917</v>
      </c>
      <c r="G19" s="110">
        <f t="shared" si="18"/>
        <v>0.52028151250931198</v>
      </c>
      <c r="H19" s="412" t="b">
        <f>Wh_hp&gt;='2021'!Maxi_hp</f>
        <v>0</v>
      </c>
      <c r="I19" s="380">
        <f>IF(H19,Wh_hp,'2021'!Maxi_hp)</f>
        <v>29.868700088933423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2.8561593640604399E-2</v>
      </c>
      <c r="M19" s="957"/>
      <c r="N19" s="957"/>
      <c r="O19" s="48">
        <f>IF(t&lt;Tnet,'2021'!Resal+('2021'!Salim-'2021'!Resal)*(1-EXP(('2021'!Tnet-t)/('2021'!Tau_j))),Resal+(Salim-Resal)*(1-EXP((Tnet-t)/(Tau_j))))*Salcycl</f>
        <v>3.2317767385687195E-2</v>
      </c>
      <c r="P19" s="339">
        <f>(INDEX(Models!$BJ19:$BT19,,T19)*(1-R19)+INDEX(Models!$BJ19:$BT19,,T19+1)*R19-ERP_i)*Q19*Ramure*Pc/MaxiM</f>
        <v>2.683660797451116E-3</v>
      </c>
      <c r="Q19" s="305">
        <f t="shared" si="4"/>
        <v>0.7</v>
      </c>
      <c r="R19" s="177">
        <f t="shared" si="5"/>
        <v>1.6313760760298195E-4</v>
      </c>
      <c r="S19" s="919">
        <f t="shared" si="6"/>
        <v>0</v>
      </c>
      <c r="T19" s="176">
        <f t="shared" si="7"/>
        <v>6</v>
      </c>
      <c r="U19" s="251">
        <f t="shared" si="19"/>
        <v>1.6313760760298195E-4</v>
      </c>
      <c r="V19" s="383">
        <f t="shared" si="8"/>
        <v>27.622642860464843</v>
      </c>
      <c r="W19" s="402"/>
      <c r="X19" s="157">
        <f t="shared" si="9"/>
        <v>44566</v>
      </c>
      <c r="Y19" s="385">
        <f t="shared" si="10"/>
        <v>13.502213317738654</v>
      </c>
      <c r="Z19" s="385">
        <f t="shared" si="20"/>
        <v>13.899196520693607</v>
      </c>
      <c r="AA19" s="386">
        <f t="shared" si="11"/>
        <v>15.316309460675662</v>
      </c>
      <c r="AB19" s="197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9.2523133175159811E-2</v>
      </c>
      <c r="AD19" s="231">
        <f>(INDEX(Models!$BJ19:$BT19,,AH19)*(1-AF19)+INDEX(Models!$BJ19:$BT19,,AH19+1)*AF19-ERP_i)*AE19*Ramure*Pc/MaxiM</f>
        <v>2.683660797451116E-3</v>
      </c>
      <c r="AE19" s="305">
        <f t="shared" si="13"/>
        <v>0.7</v>
      </c>
      <c r="AF19" s="177">
        <f t="shared" si="21"/>
        <v>1.6313760760298195E-4</v>
      </c>
      <c r="AG19" s="919">
        <f t="shared" si="22"/>
        <v>0</v>
      </c>
      <c r="AH19" s="176">
        <f t="shared" si="14"/>
        <v>6</v>
      </c>
      <c r="AI19" s="225">
        <f t="shared" si="23"/>
        <v>1.6313760760298195E-4</v>
      </c>
      <c r="AJ19" s="265" t="b">
        <f t="shared" si="15"/>
        <v>0</v>
      </c>
      <c r="AK19" s="265" t="b">
        <f t="shared" si="16"/>
        <v>0</v>
      </c>
      <c r="AL19" s="265"/>
      <c r="AM19" s="265"/>
      <c r="AN19" s="75"/>
    </row>
    <row r="20" spans="1:40" s="6" customFormat="1" ht="11.25" x14ac:dyDescent="0.2">
      <c r="A20" s="56">
        <f t="shared" si="17"/>
        <v>44567</v>
      </c>
      <c r="B20" s="618">
        <v>26.477</v>
      </c>
      <c r="C20" s="953"/>
      <c r="D20" s="393">
        <f t="shared" si="0"/>
        <v>27.256056332157833</v>
      </c>
      <c r="E20" s="385">
        <f t="shared" si="1"/>
        <v>28.173225937753898</v>
      </c>
      <c r="F20" s="385">
        <f t="shared" si="2"/>
        <v>28.242153612765918</v>
      </c>
      <c r="G20" s="110">
        <f t="shared" si="18"/>
        <v>0.95122768878725117</v>
      </c>
      <c r="H20" s="412" t="b">
        <f>Wh_hp&gt;='2021'!Maxi_hp</f>
        <v>0</v>
      </c>
      <c r="I20" s="380">
        <f>IF(H20,Wh_hp,'2021'!Maxi_hp)</f>
        <v>28.521480989437787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2.8582870634834667E-2</v>
      </c>
      <c r="M20" s="957"/>
      <c r="N20" s="957"/>
      <c r="O20" s="48">
        <f>IF(t&lt;Tnet,'2021'!Resal+('2021'!Salim-'2021'!Resal)*(1-EXP(('2021'!Tnet-t)/('2021'!Tau_j))),Resal+(Salim-Resal)*(1-EXP((Tnet-t)/(Tau_j))))*Salcycl</f>
        <v>3.2554653401157055E-2</v>
      </c>
      <c r="P20" s="339">
        <f>(INDEX(Models!$BJ20:$BT20,,T20)*(1-R20)+INDEX(Models!$BJ20:$BT20,,T20+1)*R20-ERP_i)*Q20*Ramure*Pc/MaxiM</f>
        <v>2.6226794067686172E-3</v>
      </c>
      <c r="Q20" s="305">
        <f t="shared" si="4"/>
        <v>0.7</v>
      </c>
      <c r="R20" s="177">
        <f t="shared" si="5"/>
        <v>1.9755440435369355E-4</v>
      </c>
      <c r="S20" s="919">
        <f t="shared" si="6"/>
        <v>0</v>
      </c>
      <c r="T20" s="176">
        <f t="shared" si="7"/>
        <v>6</v>
      </c>
      <c r="U20" s="251">
        <f t="shared" si="19"/>
        <v>1.9755440435369355E-4</v>
      </c>
      <c r="V20" s="383">
        <f t="shared" si="8"/>
        <v>27.829474986204456</v>
      </c>
      <c r="W20" s="402"/>
      <c r="X20" s="157">
        <f t="shared" si="9"/>
        <v>44567</v>
      </c>
      <c r="Y20" s="385">
        <f t="shared" si="10"/>
        <v>24.832008689449548</v>
      </c>
      <c r="Z20" s="385">
        <f t="shared" si="20"/>
        <v>25.562662978444298</v>
      </c>
      <c r="AA20" s="386">
        <f t="shared" si="11"/>
        <v>28.173225937753898</v>
      </c>
      <c r="AB20" s="197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9.2661130290063135E-2</v>
      </c>
      <c r="AD20" s="231">
        <f>(INDEX(Models!$BJ20:$BT20,,AH20)*(1-AF20)+INDEX(Models!$BJ20:$BT20,,AH20+1)*AF20-ERP_i)*AE20*Ramure*Pc/MaxiM</f>
        <v>2.6226794067686172E-3</v>
      </c>
      <c r="AE20" s="305">
        <f t="shared" si="13"/>
        <v>0.7</v>
      </c>
      <c r="AF20" s="177">
        <f t="shared" si="21"/>
        <v>1.9755440435369355E-4</v>
      </c>
      <c r="AG20" s="919">
        <f t="shared" si="22"/>
        <v>0</v>
      </c>
      <c r="AH20" s="176">
        <f t="shared" si="14"/>
        <v>6</v>
      </c>
      <c r="AI20" s="225">
        <f t="shared" si="23"/>
        <v>1.9755440435369355E-4</v>
      </c>
      <c r="AJ20" s="265" t="b">
        <f t="shared" si="15"/>
        <v>0</v>
      </c>
      <c r="AK20" s="265" t="b">
        <f t="shared" si="16"/>
        <v>0</v>
      </c>
      <c r="AL20" s="265"/>
      <c r="AM20" s="265"/>
      <c r="AN20" s="75"/>
    </row>
    <row r="21" spans="1:40" s="6" customFormat="1" ht="11.25" x14ac:dyDescent="0.2">
      <c r="A21" s="56">
        <f t="shared" si="17"/>
        <v>44568</v>
      </c>
      <c r="B21" s="618">
        <v>9.6219999999999999</v>
      </c>
      <c r="C21" s="953"/>
      <c r="D21" s="393">
        <f t="shared" si="0"/>
        <v>9.90533362058218</v>
      </c>
      <c r="E21" s="385">
        <f t="shared" si="1"/>
        <v>10.241153219873969</v>
      </c>
      <c r="F21" s="385">
        <f t="shared" si="2"/>
        <v>10.24276685593966</v>
      </c>
      <c r="G21" s="110">
        <f t="shared" si="18"/>
        <v>0.34237770332776762</v>
      </c>
      <c r="H21" s="412" t="b">
        <f>Wh_hp&gt;='2021'!Maxi_hp</f>
        <v>0</v>
      </c>
      <c r="I21" s="380">
        <f>IF(H21,Wh_hp,'2021'!Maxi_hp)</f>
        <v>15.334327230197083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2.8604147163044047E-2</v>
      </c>
      <c r="M21" s="957"/>
      <c r="N21" s="957"/>
      <c r="O21" s="48">
        <f>IF(t&lt;Tnet,'2021'!Resal+('2021'!Salim-'2021'!Resal)*(1-EXP(('2021'!Tnet-t)/('2021'!Tau_j))),Resal+(Salim-Resal)*(1-EXP((Tnet-t)/(Tau_j))))*Salcycl</f>
        <v>3.2791189828123762E-2</v>
      </c>
      <c r="P21" s="339">
        <f>(INDEX(Models!$BJ21:$BT21,,T21)*(1-R21)+INDEX(Models!$BJ21:$BT21,,T21+1)*R21-ERP_i)*Q21*Ramure*Pc/MaxiM</f>
        <v>2.5527248289049335E-3</v>
      </c>
      <c r="Q21" s="305">
        <f t="shared" si="4"/>
        <v>0.7</v>
      </c>
      <c r="R21" s="177">
        <f t="shared" si="5"/>
        <v>2.3341001541687728E-4</v>
      </c>
      <c r="S21" s="919">
        <f t="shared" si="6"/>
        <v>0</v>
      </c>
      <c r="T21" s="176">
        <f t="shared" si="7"/>
        <v>6</v>
      </c>
      <c r="U21" s="251">
        <f t="shared" si="19"/>
        <v>2.3341001541687728E-4</v>
      </c>
      <c r="V21" s="383">
        <f t="shared" si="8"/>
        <v>28.03614195121942</v>
      </c>
      <c r="W21" s="402"/>
      <c r="X21" s="157">
        <f t="shared" si="9"/>
        <v>44568</v>
      </c>
      <c r="Y21" s="385">
        <f t="shared" si="10"/>
        <v>9.025029181714828</v>
      </c>
      <c r="Z21" s="385">
        <f t="shared" si="20"/>
        <v>9.29078413847175</v>
      </c>
      <c r="AA21" s="386">
        <f t="shared" si="11"/>
        <v>10.241153219873969</v>
      </c>
      <c r="AB21" s="197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9.2799029659856397E-2</v>
      </c>
      <c r="AD21" s="231">
        <f>(INDEX(Models!$BJ21:$BT21,,AH21)*(1-AF21)+INDEX(Models!$BJ21:$BT21,,AH21+1)*AF21-ERP_i)*AE21*Ramure*Pc/MaxiM</f>
        <v>2.5527248289049335E-3</v>
      </c>
      <c r="AE21" s="305">
        <f t="shared" si="13"/>
        <v>0.7</v>
      </c>
      <c r="AF21" s="177">
        <f t="shared" si="21"/>
        <v>2.3341001541687728E-4</v>
      </c>
      <c r="AG21" s="919">
        <f t="shared" si="22"/>
        <v>0</v>
      </c>
      <c r="AH21" s="176">
        <f t="shared" si="14"/>
        <v>6</v>
      </c>
      <c r="AI21" s="225">
        <f t="shared" si="23"/>
        <v>2.3341001541687728E-4</v>
      </c>
      <c r="AJ21" s="265" t="b">
        <f t="shared" si="15"/>
        <v>0</v>
      </c>
      <c r="AK21" s="265" t="b">
        <f t="shared" si="16"/>
        <v>0</v>
      </c>
      <c r="AL21" s="265"/>
      <c r="AM21" s="265"/>
      <c r="AN21" s="75"/>
    </row>
    <row r="22" spans="1:40" s="6" customFormat="1" ht="11.25" x14ac:dyDescent="0.2">
      <c r="A22" s="56">
        <f t="shared" si="17"/>
        <v>44569</v>
      </c>
      <c r="B22" s="618">
        <v>5.577</v>
      </c>
      <c r="C22" s="953"/>
      <c r="D22" s="393">
        <f t="shared" si="0"/>
        <v>5.7413485316006971</v>
      </c>
      <c r="E22" s="385">
        <f t="shared" si="1"/>
        <v>5.9374468104958833</v>
      </c>
      <c r="F22" s="385">
        <f t="shared" si="2"/>
        <v>5.9374468104958833</v>
      </c>
      <c r="G22" s="110">
        <f t="shared" si="18"/>
        <v>0.19698904517809962</v>
      </c>
      <c r="H22" s="412" t="b">
        <f>Wh_hp&gt;='2021'!Maxi_hp</f>
        <v>0</v>
      </c>
      <c r="I22" s="380">
        <f>IF(H22,Wh_hp,'2021'!Maxi_hp)</f>
        <v>20.926751067686602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2.8625423225242974E-2</v>
      </c>
      <c r="M22" s="957"/>
      <c r="N22" s="957"/>
      <c r="O22" s="48">
        <f>IF(t&lt;Tnet,'2021'!Resal+('2021'!Salim-'2021'!Resal)*(1-EXP(('2021'!Tnet-t)/('2021'!Tau_j))),Resal+(Salim-Resal)*(1-EXP((Tnet-t)/(Tau_j))))*Salcycl</f>
        <v>3.3027374417659593E-2</v>
      </c>
      <c r="P22" s="339">
        <f>(INDEX(Models!$BJ22:$BT22,,T22)*(1-R22)+INDEX(Models!$BJ22:$BT22,,T22+1)*R22-ERP_i)*Q22*Ramure*Pc/MaxiM</f>
        <v>2.4741112660904641E-3</v>
      </c>
      <c r="Q22" s="305">
        <f t="shared" si="4"/>
        <v>0.7</v>
      </c>
      <c r="R22" s="177">
        <f t="shared" si="5"/>
        <v>2.707643714140299E-4</v>
      </c>
      <c r="S22" s="919">
        <f t="shared" si="6"/>
        <v>0</v>
      </c>
      <c r="T22" s="176">
        <f t="shared" si="7"/>
        <v>6</v>
      </c>
      <c r="U22" s="251">
        <f t="shared" si="19"/>
        <v>2.707643714140299E-4</v>
      </c>
      <c r="V22" s="383">
        <f t="shared" si="8"/>
        <v>28.241173901011965</v>
      </c>
      <c r="W22" s="402"/>
      <c r="X22" s="157">
        <f t="shared" si="9"/>
        <v>44569</v>
      </c>
      <c r="Y22" s="385">
        <f t="shared" si="10"/>
        <v>5.2314731716610297</v>
      </c>
      <c r="Z22" s="385">
        <f t="shared" si="20"/>
        <v>5.3856393782005547</v>
      </c>
      <c r="AA22" s="386">
        <f t="shared" si="11"/>
        <v>5.9374468104958833</v>
      </c>
      <c r="AB22" s="197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9.2936821146738416E-2</v>
      </c>
      <c r="AD22" s="231">
        <f>(INDEX(Models!$BJ22:$BT22,,AH22)*(1-AF22)+INDEX(Models!$BJ22:$BT22,,AH22+1)*AF22-ERP_i)*AE22*Ramure*Pc/MaxiM</f>
        <v>2.4741112660904641E-3</v>
      </c>
      <c r="AE22" s="305">
        <f t="shared" si="13"/>
        <v>0.7</v>
      </c>
      <c r="AF22" s="177">
        <f t="shared" si="21"/>
        <v>2.707643714140299E-4</v>
      </c>
      <c r="AG22" s="919">
        <f t="shared" si="22"/>
        <v>0</v>
      </c>
      <c r="AH22" s="176">
        <f t="shared" si="14"/>
        <v>6</v>
      </c>
      <c r="AI22" s="225">
        <f t="shared" si="23"/>
        <v>2.707643714140299E-4</v>
      </c>
      <c r="AJ22" s="265" t="b">
        <f t="shared" si="15"/>
        <v>0</v>
      </c>
      <c r="AK22" s="265" t="b">
        <f t="shared" si="16"/>
        <v>0</v>
      </c>
      <c r="AL22" s="265"/>
      <c r="AM22" s="265"/>
      <c r="AN22" s="75"/>
    </row>
    <row r="23" spans="1:40" s="6" customFormat="1" ht="11.25" x14ac:dyDescent="0.2">
      <c r="A23" s="56">
        <f t="shared" si="17"/>
        <v>44570</v>
      </c>
      <c r="B23" s="618">
        <v>1.6580000000000001</v>
      </c>
      <c r="C23" s="953"/>
      <c r="D23" s="393">
        <f t="shared" si="0"/>
        <v>1.7068969632247319</v>
      </c>
      <c r="E23" s="385">
        <f t="shared" si="1"/>
        <v>1.7656273901798933</v>
      </c>
      <c r="F23" s="385">
        <f t="shared" si="2"/>
        <v>1.7656273901798933</v>
      </c>
      <c r="G23" s="110">
        <f t="shared" si="18"/>
        <v>5.8146174981703609E-2</v>
      </c>
      <c r="H23" s="412" t="b">
        <f>Wh_hp&gt;='2021'!Maxi_hp</f>
        <v>0</v>
      </c>
      <c r="I23" s="380">
        <f>IF(H23,Wh_hp,'2021'!Maxi_hp)</f>
        <v>27.858667670277544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2.8646698821441441E-2</v>
      </c>
      <c r="M23" s="957"/>
      <c r="N23" s="957"/>
      <c r="O23" s="48">
        <f>IF(t&lt;Tnet,'2021'!Resal+('2021'!Salim-'2021'!Resal)*(1-EXP(('2021'!Tnet-t)/('2021'!Tau_j))),Resal+(Salim-Resal)*(1-EXP((Tnet-t)/(Tau_j))))*Salcycl</f>
        <v>3.3263205635463977E-2</v>
      </c>
      <c r="P23" s="339">
        <f>(INDEX(Models!$BJ23:$BT23,,T23)*(1-R23)+INDEX(Models!$BJ23:$BT23,,T23+1)*R23-ERP_i)*Q23*Ramure*Pc/MaxiM</f>
        <v>2.3868597451680964E-3</v>
      </c>
      <c r="Q23" s="305">
        <f t="shared" si="4"/>
        <v>0.7</v>
      </c>
      <c r="R23" s="177">
        <f t="shared" si="5"/>
        <v>3.0967988044914647E-4</v>
      </c>
      <c r="S23" s="919">
        <f t="shared" si="6"/>
        <v>0</v>
      </c>
      <c r="T23" s="176">
        <f t="shared" si="7"/>
        <v>6</v>
      </c>
      <c r="U23" s="251">
        <f t="shared" si="19"/>
        <v>3.0967988044914647E-4</v>
      </c>
      <c r="V23" s="383">
        <f t="shared" si="8"/>
        <v>28.446283647427808</v>
      </c>
      <c r="W23" s="402"/>
      <c r="X23" s="157">
        <f t="shared" si="9"/>
        <v>44570</v>
      </c>
      <c r="Y23" s="385">
        <f t="shared" si="10"/>
        <v>1.5554207649381782</v>
      </c>
      <c r="Z23" s="385">
        <f t="shared" si="20"/>
        <v>1.6012925091735017</v>
      </c>
      <c r="AA23" s="386">
        <f t="shared" si="11"/>
        <v>1.7656273901798933</v>
      </c>
      <c r="AB23" s="197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9.3074496873118903E-2</v>
      </c>
      <c r="AD23" s="231">
        <f>(INDEX(Models!$BJ23:$BT23,,AH23)*(1-AF23)+INDEX(Models!$BJ23:$BT23,,AH23+1)*AF23-ERP_i)*AE23*Ramure*Pc/MaxiM</f>
        <v>2.3868597451680964E-3</v>
      </c>
      <c r="AE23" s="305">
        <f t="shared" si="13"/>
        <v>0.7</v>
      </c>
      <c r="AF23" s="177">
        <f t="shared" si="21"/>
        <v>3.0967988044914647E-4</v>
      </c>
      <c r="AG23" s="919">
        <f t="shared" si="22"/>
        <v>0</v>
      </c>
      <c r="AH23" s="176">
        <f t="shared" si="14"/>
        <v>6</v>
      </c>
      <c r="AI23" s="225">
        <f t="shared" si="23"/>
        <v>3.0967988044914647E-4</v>
      </c>
      <c r="AJ23" s="265" t="b">
        <f t="shared" si="15"/>
        <v>0</v>
      </c>
      <c r="AK23" s="265" t="b">
        <f t="shared" si="16"/>
        <v>0</v>
      </c>
      <c r="AL23" s="265"/>
      <c r="AM23" s="265"/>
      <c r="AN23" s="75"/>
    </row>
    <row r="24" spans="1:40" s="6" customFormat="1" ht="11.25" x14ac:dyDescent="0.2">
      <c r="A24" s="56">
        <f t="shared" si="17"/>
        <v>44571</v>
      </c>
      <c r="B24" s="618">
        <v>1.534</v>
      </c>
      <c r="C24" s="953"/>
      <c r="D24" s="393">
        <f t="shared" si="0"/>
        <v>1.5792746031866571</v>
      </c>
      <c r="E24" s="385">
        <f t="shared" si="1"/>
        <v>1.6340118474852492</v>
      </c>
      <c r="F24" s="385">
        <f t="shared" si="2"/>
        <v>1.6340118474852492</v>
      </c>
      <c r="G24" s="110">
        <f t="shared" si="18"/>
        <v>5.3411912289260337E-2</v>
      </c>
      <c r="H24" s="412" t="b">
        <f>Wh_hp&gt;='2021'!Maxi_hp</f>
        <v>0</v>
      </c>
      <c r="I24" s="380">
        <f>IF(H24,Wh_hp,'2021'!Maxi_hp)</f>
        <v>10.822941868477683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2.8667973951649772E-2</v>
      </c>
      <c r="M24" s="957"/>
      <c r="N24" s="957"/>
      <c r="O24" s="48">
        <f>IF(t&lt;Tnet,'2021'!Resal+('2021'!Salim-'2021'!Resal)*(1-EXP(('2021'!Tnet-t)/('2021'!Tau_j))),Resal+(Salim-Resal)*(1-EXP((Tnet-t)/(Tau_j))))*Salcycl</f>
        <v>3.3498682633686445E-2</v>
      </c>
      <c r="P24" s="339">
        <f>(INDEX(Models!$BJ24:$BT24,,T24)*(1-R24)+INDEX(Models!$BJ24:$BT24,,T24+1)*R24-ERP_i)*Q24*Ramure*Pc/MaxiM</f>
        <v>2.2930002178958605E-3</v>
      </c>
      <c r="Q24" s="305">
        <f t="shared" si="4"/>
        <v>0.7</v>
      </c>
      <c r="R24" s="177">
        <f t="shared" si="5"/>
        <v>3.5022152891870436E-4</v>
      </c>
      <c r="S24" s="919">
        <f t="shared" si="6"/>
        <v>0</v>
      </c>
      <c r="T24" s="176">
        <f t="shared" si="7"/>
        <v>6</v>
      </c>
      <c r="U24" s="251">
        <f t="shared" si="19"/>
        <v>3.5022152891870436E-4</v>
      </c>
      <c r="V24" s="383">
        <f t="shared" si="8"/>
        <v>28.654329569351244</v>
      </c>
      <c r="W24" s="402"/>
      <c r="X24" s="157">
        <f t="shared" si="9"/>
        <v>44571</v>
      </c>
      <c r="Y24" s="385">
        <f t="shared" si="10"/>
        <v>1.4392248501406681</v>
      </c>
      <c r="Z24" s="385">
        <f t="shared" si="20"/>
        <v>1.4817022516964014</v>
      </c>
      <c r="AA24" s="386">
        <f t="shared" si="11"/>
        <v>1.6340118474852492</v>
      </c>
      <c r="AB24" s="197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9.321205107738538E-2</v>
      </c>
      <c r="AD24" s="231">
        <f>(INDEX(Models!$BJ24:$BT24,,AH24)*(1-AF24)+INDEX(Models!$BJ24:$BT24,,AH24+1)*AF24-ERP_i)*AE24*Ramure*Pc/MaxiM</f>
        <v>2.2930002178958605E-3</v>
      </c>
      <c r="AE24" s="305">
        <f t="shared" si="13"/>
        <v>0.7</v>
      </c>
      <c r="AF24" s="177">
        <f t="shared" si="21"/>
        <v>3.5022152891870436E-4</v>
      </c>
      <c r="AG24" s="919">
        <f t="shared" si="22"/>
        <v>0</v>
      </c>
      <c r="AH24" s="176">
        <f t="shared" si="14"/>
        <v>6</v>
      </c>
      <c r="AI24" s="225">
        <f t="shared" si="23"/>
        <v>3.5022152891870436E-4</v>
      </c>
      <c r="AJ24" s="265" t="b">
        <f t="shared" si="15"/>
        <v>0</v>
      </c>
      <c r="AK24" s="265" t="b">
        <f t="shared" si="16"/>
        <v>0</v>
      </c>
      <c r="AL24" s="265"/>
      <c r="AM24" s="265"/>
      <c r="AN24" s="75"/>
    </row>
    <row r="25" spans="1:40" s="6" customFormat="1" ht="11.25" x14ac:dyDescent="0.2">
      <c r="A25" s="56">
        <f t="shared" si="17"/>
        <v>44572</v>
      </c>
      <c r="B25" s="618">
        <v>28.456</v>
      </c>
      <c r="C25" s="953"/>
      <c r="D25" s="393">
        <f t="shared" si="0"/>
        <v>29.296494411752452</v>
      </c>
      <c r="E25" s="385">
        <f t="shared" si="1"/>
        <v>30.319279066042466</v>
      </c>
      <c r="F25" s="385">
        <f t="shared" si="2"/>
        <v>30.384642936610089</v>
      </c>
      <c r="G25" s="110">
        <f t="shared" si="18"/>
        <v>0.98576740561199583</v>
      </c>
      <c r="H25" s="412" t="b">
        <f>Wh_hp&gt;='2021'!Maxi_hp</f>
        <v>1</v>
      </c>
      <c r="I25" s="380">
        <f>IF(H25,Wh_hp,'2021'!Maxi_hp)</f>
        <v>30.384642936610089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2.8689248615878182E-2</v>
      </c>
      <c r="M25" s="957"/>
      <c r="N25" s="957"/>
      <c r="O25" s="48">
        <f>IF(t&lt;Tnet,'2021'!Resal+('2021'!Salim-'2021'!Resal)*(1-EXP(('2021'!Tnet-t)/('2021'!Tau_j))),Resal+(Salim-Resal)*(1-EXP((Tnet-t)/(Tau_j))))*Salcycl</f>
        <v>3.3733805215557661E-2</v>
      </c>
      <c r="P25" s="339">
        <f>(INDEX(Models!$BJ25:$BT25,,T25)*(1-R25)+INDEX(Models!$BJ25:$BT25,,T25+1)*R25-ERP_i)*Q25*Ramure*Pc/MaxiM</f>
        <v>2.1957201137845872E-3</v>
      </c>
      <c r="Q25" s="305">
        <f t="shared" si="4"/>
        <v>0.7</v>
      </c>
      <c r="R25" s="177">
        <f t="shared" si="5"/>
        <v>3.9245698628471813E-4</v>
      </c>
      <c r="S25" s="919">
        <f t="shared" si="6"/>
        <v>0</v>
      </c>
      <c r="T25" s="176">
        <f t="shared" si="7"/>
        <v>6</v>
      </c>
      <c r="U25" s="251">
        <f t="shared" si="19"/>
        <v>3.9245698628471813E-4</v>
      </c>
      <c r="V25" s="383">
        <f t="shared" si="8"/>
        <v>28.8655626499086</v>
      </c>
      <c r="W25" s="402"/>
      <c r="X25" s="157">
        <f t="shared" si="9"/>
        <v>44572</v>
      </c>
      <c r="Y25" s="385">
        <f t="shared" si="10"/>
        <v>26.700351660489989</v>
      </c>
      <c r="Z25" s="385">
        <f t="shared" si="20"/>
        <v>27.488990132603679</v>
      </c>
      <c r="AA25" s="386">
        <f t="shared" si="11"/>
        <v>30.319279066042466</v>
      </c>
      <c r="AB25" s="197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9.3349479955435549E-2</v>
      </c>
      <c r="AD25" s="231">
        <f>(INDEX(Models!$BJ25:$BT25,,AH25)*(1-AF25)+INDEX(Models!$BJ25:$BT25,,AH25+1)*AF25-ERP_i)*AE25*Ramure*Pc/MaxiM</f>
        <v>2.1957201137845872E-3</v>
      </c>
      <c r="AE25" s="305">
        <f t="shared" si="13"/>
        <v>0.7</v>
      </c>
      <c r="AF25" s="177">
        <f t="shared" si="21"/>
        <v>3.9245698628471813E-4</v>
      </c>
      <c r="AG25" s="919">
        <f t="shared" si="22"/>
        <v>0</v>
      </c>
      <c r="AH25" s="176">
        <f t="shared" si="14"/>
        <v>6</v>
      </c>
      <c r="AI25" s="225">
        <f t="shared" si="23"/>
        <v>3.9245698628471813E-4</v>
      </c>
      <c r="AJ25" s="265" t="b">
        <f t="shared" si="15"/>
        <v>0</v>
      </c>
      <c r="AK25" s="265" t="b">
        <f t="shared" si="16"/>
        <v>0</v>
      </c>
      <c r="AL25" s="265"/>
      <c r="AM25" s="265"/>
      <c r="AN25" s="75"/>
    </row>
    <row r="26" spans="1:40" s="6" customFormat="1" ht="11.25" x14ac:dyDescent="0.2">
      <c r="A26" s="56">
        <f t="shared" si="17"/>
        <v>44573</v>
      </c>
      <c r="B26" s="618">
        <v>23.076000000000001</v>
      </c>
      <c r="C26" s="953"/>
      <c r="D26" s="393">
        <f t="shared" si="0"/>
        <v>23.758107692938843</v>
      </c>
      <c r="E26" s="385">
        <f t="shared" si="1"/>
        <v>24.593514298217229</v>
      </c>
      <c r="F26" s="385">
        <f t="shared" si="2"/>
        <v>24.629895614558883</v>
      </c>
      <c r="G26" s="110">
        <f t="shared" si="18"/>
        <v>0.7930351917057854</v>
      </c>
      <c r="H26" s="412" t="b">
        <f>Wh_hp&gt;='2021'!Maxi_hp</f>
        <v>0</v>
      </c>
      <c r="I26" s="380">
        <f>IF(H26,Wh_hp,'2021'!Maxi_hp)</f>
        <v>30.267889314428743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2.8710522814136885E-2</v>
      </c>
      <c r="M26" s="957"/>
      <c r="N26" s="957"/>
      <c r="O26" s="48">
        <f>IF(t&lt;Tnet,'2021'!Resal+('2021'!Salim-'2021'!Resal)*(1-EXP(('2021'!Tnet-t)/('2021'!Tau_j))),Resal+(Salim-Resal)*(1-EXP((Tnet-t)/(Tau_j))))*Salcycl</f>
        <v>3.3968573793414399E-2</v>
      </c>
      <c r="P26" s="339">
        <f>(INDEX(Models!$BJ26:$BT26,,T26)*(1-R26)+INDEX(Models!$BJ26:$BT26,,T26+1)*R26-ERP_i)*Q26*Ramure*Pc/MaxiM</f>
        <v>2.0950943219620686E-3</v>
      </c>
      <c r="Q26" s="305">
        <f t="shared" si="4"/>
        <v>0.7</v>
      </c>
      <c r="R26" s="177">
        <f t="shared" si="5"/>
        <v>4.364567139558326E-4</v>
      </c>
      <c r="S26" s="919">
        <f t="shared" si="6"/>
        <v>0</v>
      </c>
      <c r="T26" s="176">
        <f t="shared" si="7"/>
        <v>6</v>
      </c>
      <c r="U26" s="251">
        <f t="shared" si="19"/>
        <v>4.364567139558326E-4</v>
      </c>
      <c r="V26" s="383">
        <f t="shared" si="8"/>
        <v>29.080321749807403</v>
      </c>
      <c r="W26" s="402"/>
      <c r="X26" s="157">
        <f t="shared" si="9"/>
        <v>44573</v>
      </c>
      <c r="Y26" s="385">
        <f t="shared" si="10"/>
        <v>21.654263477203234</v>
      </c>
      <c r="Z26" s="385">
        <f t="shared" si="20"/>
        <v>22.294345800947596</v>
      </c>
      <c r="AA26" s="386">
        <f t="shared" si="11"/>
        <v>24.593514298217229</v>
      </c>
      <c r="AB26" s="197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9.3486781490040985E-2</v>
      </c>
      <c r="AD26" s="231">
        <f>(INDEX(Models!$BJ26:$BT26,,AH26)*(1-AF26)+INDEX(Models!$BJ26:$BT26,,AH26+1)*AF26-ERP_i)*AE26*Ramure*Pc/MaxiM</f>
        <v>2.0950943219620686E-3</v>
      </c>
      <c r="AE26" s="305">
        <f t="shared" si="13"/>
        <v>0.7</v>
      </c>
      <c r="AF26" s="177">
        <f t="shared" si="21"/>
        <v>4.364567139558326E-4</v>
      </c>
      <c r="AG26" s="919">
        <f t="shared" si="22"/>
        <v>0</v>
      </c>
      <c r="AH26" s="176">
        <f t="shared" si="14"/>
        <v>6</v>
      </c>
      <c r="AI26" s="225">
        <f t="shared" si="23"/>
        <v>4.364567139558326E-4</v>
      </c>
      <c r="AJ26" s="265" t="b">
        <f t="shared" si="15"/>
        <v>0</v>
      </c>
      <c r="AK26" s="265" t="b">
        <f t="shared" si="16"/>
        <v>0</v>
      </c>
      <c r="AL26" s="265"/>
      <c r="AM26" s="265"/>
      <c r="AN26" s="75"/>
    </row>
    <row r="27" spans="1:40" s="6" customFormat="1" ht="11.25" x14ac:dyDescent="0.2">
      <c r="A27" s="56">
        <f t="shared" si="17"/>
        <v>44574</v>
      </c>
      <c r="B27" s="618">
        <v>5.391</v>
      </c>
      <c r="C27" s="953"/>
      <c r="D27" s="393">
        <f t="shared" si="0"/>
        <v>5.5504751219396233</v>
      </c>
      <c r="E27" s="385">
        <f t="shared" si="1"/>
        <v>5.7470411076867869</v>
      </c>
      <c r="F27" s="385">
        <f t="shared" si="2"/>
        <v>5.7470411076867869</v>
      </c>
      <c r="G27" s="110">
        <f t="shared" si="18"/>
        <v>0.18363341622384144</v>
      </c>
      <c r="H27" s="412" t="b">
        <f>Wh_hp&gt;='2021'!Maxi_hp</f>
        <v>0</v>
      </c>
      <c r="I27" s="380">
        <f>IF(H27,Wh_hp,'2021'!Maxi_hp)</f>
        <v>17.075177344016367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2.8731796546435984E-2</v>
      </c>
      <c r="M27" s="957"/>
      <c r="N27" s="957"/>
      <c r="O27" s="48">
        <f>IF(t&lt;Tnet,'2021'!Resal+('2021'!Salim-'2021'!Resal)*(1-EXP(('2021'!Tnet-t)/('2021'!Tau_j))),Resal+(Salim-Resal)*(1-EXP((Tnet-t)/(Tau_j))))*Salcycl</f>
        <v>3.4202989340767528E-2</v>
      </c>
      <c r="P27" s="339">
        <f>(INDEX(Models!$BJ27:$BT27,,T27)*(1-R27)+INDEX(Models!$BJ27:$BT27,,T27+1)*R27-ERP_i)*Q27*Ramure*Pc/MaxiM</f>
        <v>1.9912038659834499E-3</v>
      </c>
      <c r="Q27" s="305">
        <f t="shared" si="4"/>
        <v>0.7</v>
      </c>
      <c r="R27" s="177">
        <f t="shared" si="5"/>
        <v>4.8229407842495189E-4</v>
      </c>
      <c r="S27" s="919">
        <f t="shared" si="6"/>
        <v>0</v>
      </c>
      <c r="T27" s="176">
        <f t="shared" si="7"/>
        <v>6</v>
      </c>
      <c r="U27" s="251">
        <f t="shared" si="19"/>
        <v>4.8229407842495189E-4</v>
      </c>
      <c r="V27" s="383">
        <f t="shared" si="8"/>
        <v>29.298945315051832</v>
      </c>
      <c r="W27" s="402"/>
      <c r="X27" s="157">
        <f t="shared" si="9"/>
        <v>44574</v>
      </c>
      <c r="Y27" s="385">
        <f t="shared" si="10"/>
        <v>5.0593170233599931</v>
      </c>
      <c r="Z27" s="385">
        <f t="shared" si="20"/>
        <v>5.2089803880848216</v>
      </c>
      <c r="AA27" s="386">
        <f t="shared" si="11"/>
        <v>5.7470411076867869</v>
      </c>
      <c r="AB27" s="197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9.3623955270182066E-2</v>
      </c>
      <c r="AD27" s="231">
        <f>(INDEX(Models!$BJ27:$BT27,,AH27)*(1-AF27)+INDEX(Models!$BJ27:$BT27,,AH27+1)*AF27-ERP_i)*AE27*Ramure*Pc/MaxiM</f>
        <v>1.9912038659834499E-3</v>
      </c>
      <c r="AE27" s="305">
        <f t="shared" si="13"/>
        <v>0.7</v>
      </c>
      <c r="AF27" s="177">
        <f t="shared" si="21"/>
        <v>4.8229407842495189E-4</v>
      </c>
      <c r="AG27" s="919">
        <f t="shared" si="22"/>
        <v>0</v>
      </c>
      <c r="AH27" s="176">
        <f t="shared" si="14"/>
        <v>6</v>
      </c>
      <c r="AI27" s="225">
        <f t="shared" si="23"/>
        <v>4.8229407842495189E-4</v>
      </c>
      <c r="AJ27" s="265" t="b">
        <f t="shared" si="15"/>
        <v>0</v>
      </c>
      <c r="AK27" s="265" t="b">
        <f t="shared" si="16"/>
        <v>0</v>
      </c>
      <c r="AL27" s="265"/>
      <c r="AM27" s="265"/>
      <c r="AN27" s="75"/>
    </row>
    <row r="28" spans="1:40" s="6" customFormat="1" ht="11.25" x14ac:dyDescent="0.2">
      <c r="A28" s="56">
        <f t="shared" si="17"/>
        <v>44575</v>
      </c>
      <c r="B28" s="618">
        <v>29.524000000000001</v>
      </c>
      <c r="C28" s="953"/>
      <c r="D28" s="393">
        <f t="shared" si="0"/>
        <v>30.398036876481097</v>
      </c>
      <c r="E28" s="385">
        <f t="shared" si="1"/>
        <v>31.482190758876754</v>
      </c>
      <c r="F28" s="385">
        <f t="shared" si="2"/>
        <v>31.541619457007879</v>
      </c>
      <c r="G28" s="110">
        <f t="shared" si="18"/>
        <v>1.0000754905267712</v>
      </c>
      <c r="H28" s="412" t="b">
        <f>Wh_hp&gt;='2021'!Maxi_hp</f>
        <v>1</v>
      </c>
      <c r="I28" s="380">
        <f>IF(H28,Wh_hp,'2021'!Maxi_hp)</f>
        <v>31.541619457007879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2.8753069812785692E-2</v>
      </c>
      <c r="M28" s="957"/>
      <c r="N28" s="957"/>
      <c r="O28" s="48">
        <f>IF(t&lt;Tnet,'2021'!Resal+('2021'!Salim-'2021'!Resal)*(1-EXP(('2021'!Tnet-t)/('2021'!Tau_j))),Resal+(Salim-Resal)*(1-EXP((Tnet-t)/(Tau_j))))*Salcycl</f>
        <v>3.4437053339115863E-2</v>
      </c>
      <c r="P28" s="339">
        <f>(INDEX(Models!$BJ28:$BT28,,T28)*(1-R28)+INDEX(Models!$BJ28:$BT28,,T28+1)*R28-ERP_i)*Q28*Ramure*Pc/MaxiM</f>
        <v>1.8841359180092009E-3</v>
      </c>
      <c r="Q28" s="305">
        <f t="shared" si="4"/>
        <v>0.7</v>
      </c>
      <c r="R28" s="177">
        <f t="shared" si="5"/>
        <v>5.3004546881443263E-4</v>
      </c>
      <c r="S28" s="919">
        <f t="shared" si="6"/>
        <v>0</v>
      </c>
      <c r="T28" s="176">
        <f t="shared" si="7"/>
        <v>6</v>
      </c>
      <c r="U28" s="251">
        <f t="shared" si="19"/>
        <v>5.3004546881443263E-4</v>
      </c>
      <c r="V28" s="383">
        <f t="shared" si="8"/>
        <v>29.521771385926854</v>
      </c>
      <c r="W28" s="402"/>
      <c r="X28" s="157">
        <f t="shared" si="9"/>
        <v>44575</v>
      </c>
      <c r="Y28" s="385">
        <f t="shared" si="10"/>
        <v>27.710052731980603</v>
      </c>
      <c r="Z28" s="385">
        <f t="shared" si="20"/>
        <v>28.530388998644565</v>
      </c>
      <c r="AA28" s="386">
        <f t="shared" si="11"/>
        <v>31.482190758876754</v>
      </c>
      <c r="AB28" s="197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9.376100230254461E-2</v>
      </c>
      <c r="AD28" s="231">
        <f>(INDEX(Models!$BJ28:$BT28,,AH28)*(1-AF28)+INDEX(Models!$BJ28:$BT28,,AH28+1)*AF28-ERP_i)*AE28*Ramure*Pc/MaxiM</f>
        <v>1.8841359180092009E-3</v>
      </c>
      <c r="AE28" s="305">
        <f t="shared" si="13"/>
        <v>0.7</v>
      </c>
      <c r="AF28" s="177">
        <f t="shared" si="21"/>
        <v>5.3004546881443263E-4</v>
      </c>
      <c r="AG28" s="919">
        <f t="shared" si="22"/>
        <v>0</v>
      </c>
      <c r="AH28" s="176">
        <f t="shared" si="14"/>
        <v>6</v>
      </c>
      <c r="AI28" s="225">
        <f t="shared" si="23"/>
        <v>5.3004546881443263E-4</v>
      </c>
      <c r="AJ28" s="265" t="b">
        <f t="shared" si="15"/>
        <v>0</v>
      </c>
      <c r="AK28" s="265" t="b">
        <f t="shared" si="16"/>
        <v>0</v>
      </c>
      <c r="AL28" s="265"/>
      <c r="AM28" s="265"/>
      <c r="AN28" s="75"/>
    </row>
    <row r="29" spans="1:40" s="6" customFormat="1" ht="11.25" x14ac:dyDescent="0.2">
      <c r="A29" s="56">
        <f t="shared" si="17"/>
        <v>44576</v>
      </c>
      <c r="B29" s="618">
        <v>29.355</v>
      </c>
      <c r="C29" s="953"/>
      <c r="D29" s="393">
        <f t="shared" si="0"/>
        <v>30.224695750916492</v>
      </c>
      <c r="E29" s="385">
        <f t="shared" si="1"/>
        <v>31.310246017866017</v>
      </c>
      <c r="F29" s="385">
        <f t="shared" si="2"/>
        <v>31.364833627737337</v>
      </c>
      <c r="G29" s="110">
        <f t="shared" si="18"/>
        <v>0.98671810467138366</v>
      </c>
      <c r="H29" s="412" t="b">
        <f>Wh_hp&gt;='2021'!Maxi_hp</f>
        <v>1</v>
      </c>
      <c r="I29" s="380">
        <f>IF(H29,Wh_hp,'2021'!Maxi_hp)</f>
        <v>31.364833627737337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2.8774342613196335E-2</v>
      </c>
      <c r="M29" s="957"/>
      <c r="N29" s="957"/>
      <c r="O29" s="48">
        <f>IF(t&lt;Tnet,'2021'!Resal+('2021'!Salim-'2021'!Resal)*(1-EXP(('2021'!Tnet-t)/('2021'!Tau_j))),Resal+(Salim-Resal)*(1-EXP((Tnet-t)/(Tau_j))))*Salcycl</f>
        <v>3.4670767720256686E-2</v>
      </c>
      <c r="P29" s="339">
        <f>(INDEX(Models!$BJ29:$BT29,,T29)*(1-R29)+INDEX(Models!$BJ29:$BT29,,T29+1)*R29-ERP_i)*Q29*Ramure*Pc/MaxiM</f>
        <v>1.7739837810806232E-3</v>
      </c>
      <c r="Q29" s="305">
        <f t="shared" si="4"/>
        <v>0.7</v>
      </c>
      <c r="R29" s="177">
        <f t="shared" si="5"/>
        <v>5.7979041898673675E-4</v>
      </c>
      <c r="S29" s="919">
        <f t="shared" si="6"/>
        <v>0</v>
      </c>
      <c r="T29" s="176">
        <f t="shared" si="7"/>
        <v>6</v>
      </c>
      <c r="U29" s="251">
        <f t="shared" si="19"/>
        <v>5.7979041898673675E-4</v>
      </c>
      <c r="V29" s="383">
        <f t="shared" si="8"/>
        <v>29.749137598631854</v>
      </c>
      <c r="W29" s="402"/>
      <c r="X29" s="157">
        <f t="shared" si="9"/>
        <v>44576</v>
      </c>
      <c r="Y29" s="385">
        <f t="shared" si="10"/>
        <v>27.553942766416949</v>
      </c>
      <c r="Z29" s="385">
        <f t="shared" si="20"/>
        <v>28.370278891266175</v>
      </c>
      <c r="AA29" s="386">
        <f t="shared" si="11"/>
        <v>31.310246017866017</v>
      </c>
      <c r="AB29" s="197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9.3897924817398837E-2</v>
      </c>
      <c r="AD29" s="231">
        <f>(INDEX(Models!$BJ29:$BT29,,AH29)*(1-AF29)+INDEX(Models!$BJ29:$BT29,,AH29+1)*AF29-ERP_i)*AE29*Ramure*Pc/MaxiM</f>
        <v>1.7739837810806232E-3</v>
      </c>
      <c r="AE29" s="305">
        <f t="shared" si="13"/>
        <v>0.7</v>
      </c>
      <c r="AF29" s="177">
        <f t="shared" si="21"/>
        <v>5.7979041898673675E-4</v>
      </c>
      <c r="AG29" s="919">
        <f t="shared" si="22"/>
        <v>0</v>
      </c>
      <c r="AH29" s="176">
        <f t="shared" si="14"/>
        <v>6</v>
      </c>
      <c r="AI29" s="225">
        <f t="shared" si="23"/>
        <v>5.7979041898673675E-4</v>
      </c>
      <c r="AJ29" s="265" t="b">
        <f t="shared" si="15"/>
        <v>0</v>
      </c>
      <c r="AK29" s="265" t="b">
        <f t="shared" si="16"/>
        <v>0</v>
      </c>
      <c r="AL29" s="265"/>
      <c r="AM29" s="265"/>
      <c r="AN29" s="75"/>
    </row>
    <row r="30" spans="1:40" s="6" customFormat="1" ht="11.25" x14ac:dyDescent="0.2">
      <c r="A30" s="56">
        <f t="shared" si="17"/>
        <v>44577</v>
      </c>
      <c r="B30" s="618">
        <v>29.032</v>
      </c>
      <c r="C30" s="953"/>
      <c r="D30" s="393">
        <f t="shared" si="0"/>
        <v>29.89278101172901</v>
      </c>
      <c r="E30" s="385">
        <f t="shared" si="1"/>
        <v>30.973898127400471</v>
      </c>
      <c r="F30" s="385">
        <f t="shared" si="2"/>
        <v>31.023237480348957</v>
      </c>
      <c r="G30" s="110">
        <f t="shared" si="18"/>
        <v>0.96826598298582089</v>
      </c>
      <c r="H30" s="412" t="b">
        <f>Wh_hp&gt;='2021'!Maxi_hp</f>
        <v>0</v>
      </c>
      <c r="I30" s="380">
        <f>IF(H30,Wh_hp,'2021'!Maxi_hp)</f>
        <v>32.204114318448951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2.8795614947678017E-2</v>
      </c>
      <c r="M30" s="957"/>
      <c r="N30" s="957"/>
      <c r="O30" s="48">
        <f>IF(t&lt;Tnet,'2021'!Resal+('2021'!Salim-'2021'!Resal)*(1-EXP(('2021'!Tnet-t)/('2021'!Tau_j))),Resal+(Salim-Resal)*(1-EXP((Tnet-t)/(Tau_j))))*Salcycl</f>
        <v>3.4904134804881755E-2</v>
      </c>
      <c r="P30" s="339">
        <f>(INDEX(Models!$BJ30:$BT30,,T30)*(1-R30)+INDEX(Models!$BJ30:$BT30,,T30+1)*R30-ERP_i)*Q30*Ramure*Pc/MaxiM</f>
        <v>1.6657412169593241E-3</v>
      </c>
      <c r="Q30" s="305">
        <f t="shared" si="4"/>
        <v>0.7</v>
      </c>
      <c r="R30" s="177">
        <f t="shared" si="5"/>
        <v>6.3161173438002513E-4</v>
      </c>
      <c r="S30" s="919">
        <f t="shared" si="6"/>
        <v>0</v>
      </c>
      <c r="T30" s="176">
        <f t="shared" si="7"/>
        <v>6</v>
      </c>
      <c r="U30" s="251">
        <f t="shared" si="19"/>
        <v>6.3161173438002513E-4</v>
      </c>
      <c r="V30" s="383">
        <f t="shared" si="8"/>
        <v>29.981234202139962</v>
      </c>
      <c r="W30" s="402"/>
      <c r="X30" s="157">
        <f t="shared" si="9"/>
        <v>44577</v>
      </c>
      <c r="Y30" s="385">
        <f t="shared" si="10"/>
        <v>27.253234400073392</v>
      </c>
      <c r="Z30" s="385">
        <f t="shared" si="20"/>
        <v>28.061276101636597</v>
      </c>
      <c r="AA30" s="386">
        <f t="shared" si="11"/>
        <v>30.973898127400471</v>
      </c>
      <c r="AB30" s="197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9.4034726071087552E-2</v>
      </c>
      <c r="AD30" s="231">
        <f>(INDEX(Models!$BJ30:$BT30,,AH30)*(1-AF30)+INDEX(Models!$BJ30:$BT30,,AH30+1)*AF30-ERP_i)*AE30*Ramure*Pc/MaxiM</f>
        <v>1.6657412169593241E-3</v>
      </c>
      <c r="AE30" s="305">
        <f t="shared" si="13"/>
        <v>0.7</v>
      </c>
      <c r="AF30" s="177">
        <f t="shared" si="21"/>
        <v>6.3161173438002513E-4</v>
      </c>
      <c r="AG30" s="919">
        <f t="shared" si="22"/>
        <v>0</v>
      </c>
      <c r="AH30" s="176">
        <f t="shared" si="14"/>
        <v>6</v>
      </c>
      <c r="AI30" s="225">
        <f t="shared" si="23"/>
        <v>6.3161173438002513E-4</v>
      </c>
      <c r="AJ30" s="265" t="b">
        <f t="shared" si="15"/>
        <v>0</v>
      </c>
      <c r="AK30" s="265" t="b">
        <f t="shared" si="16"/>
        <v>0</v>
      </c>
      <c r="AL30" s="265"/>
      <c r="AM30" s="265"/>
      <c r="AN30" s="75"/>
    </row>
    <row r="31" spans="1:40" s="6" customFormat="1" ht="11.25" x14ac:dyDescent="0.2">
      <c r="A31" s="56">
        <f t="shared" si="17"/>
        <v>44578</v>
      </c>
      <c r="B31" s="618">
        <v>20.119</v>
      </c>
      <c r="C31" s="953"/>
      <c r="D31" s="393">
        <f t="shared" si="0"/>
        <v>20.715969755739827</v>
      </c>
      <c r="E31" s="385">
        <f t="shared" si="1"/>
        <v>21.470377796334859</v>
      </c>
      <c r="F31" s="385">
        <f t="shared" si="2"/>
        <v>21.487958895001182</v>
      </c>
      <c r="G31" s="110">
        <f t="shared" si="18"/>
        <v>0.6652925557991366</v>
      </c>
      <c r="H31" s="412" t="b">
        <f>Wh_hp&gt;='2021'!Maxi_hp</f>
        <v>1</v>
      </c>
      <c r="I31" s="380">
        <f>IF(H31,Wh_hp,'2021'!Maxi_hp)</f>
        <v>21.487958895001182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2.8816886816241061E-2</v>
      </c>
      <c r="M31" s="957"/>
      <c r="N31" s="957"/>
      <c r="O31" s="48">
        <f>IF(t&lt;Tnet,'2021'!Resal+('2021'!Salim-'2021'!Resal)*(1-EXP(('2021'!Tnet-t)/('2021'!Tau_j))),Resal+(Salim-Resal)*(1-EXP((Tnet-t)/(Tau_j))))*Salcycl</f>
        <v>3.5137157238277011E-2</v>
      </c>
      <c r="P31" s="339">
        <f>(INDEX(Models!$BJ31:$BT31,,T31)*(1-R31)+INDEX(Models!$BJ31:$BT31,,T31+1)*R31-ERP_i)*Q31*Ramure*Pc/MaxiM</f>
        <v>1.5657277948957003E-3</v>
      </c>
      <c r="Q31" s="305">
        <f t="shared" si="4"/>
        <v>0.7</v>
      </c>
      <c r="R31" s="177">
        <f t="shared" si="5"/>
        <v>6.8559562373414853E-4</v>
      </c>
      <c r="S31" s="919">
        <f t="shared" si="6"/>
        <v>0</v>
      </c>
      <c r="T31" s="176">
        <f t="shared" si="7"/>
        <v>6</v>
      </c>
      <c r="U31" s="251">
        <f t="shared" si="19"/>
        <v>6.8559562373414853E-4</v>
      </c>
      <c r="V31" s="383">
        <f t="shared" si="8"/>
        <v>30.218206517687477</v>
      </c>
      <c r="W31" s="402"/>
      <c r="X31" s="157">
        <f t="shared" si="9"/>
        <v>44578</v>
      </c>
      <c r="Y31" s="385">
        <f t="shared" si="10"/>
        <v>18.888037337081219</v>
      </c>
      <c r="Z31" s="385">
        <f t="shared" si="20"/>
        <v>19.448482042857954</v>
      </c>
      <c r="AA31" s="386">
        <f t="shared" si="11"/>
        <v>21.470377796334859</v>
      </c>
      <c r="AB31" s="197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9.4171410147335877E-2</v>
      </c>
      <c r="AD31" s="231">
        <f>(INDEX(Models!$BJ31:$BT31,,AH31)*(1-AF31)+INDEX(Models!$BJ31:$BT31,,AH31+1)*AF31-ERP_i)*AE31*Ramure*Pc/MaxiM</f>
        <v>1.5657277948957003E-3</v>
      </c>
      <c r="AE31" s="305">
        <f t="shared" si="13"/>
        <v>0.7</v>
      </c>
      <c r="AF31" s="177">
        <f t="shared" si="21"/>
        <v>6.8559562373414853E-4</v>
      </c>
      <c r="AG31" s="919">
        <f t="shared" si="22"/>
        <v>0</v>
      </c>
      <c r="AH31" s="176">
        <f t="shared" si="14"/>
        <v>6</v>
      </c>
      <c r="AI31" s="225">
        <f t="shared" si="23"/>
        <v>6.8559562373414853E-4</v>
      </c>
      <c r="AJ31" s="265" t="b">
        <f t="shared" si="15"/>
        <v>0</v>
      </c>
      <c r="AK31" s="265" t="b">
        <f t="shared" si="16"/>
        <v>0</v>
      </c>
      <c r="AL31" s="265"/>
      <c r="AM31" s="265"/>
      <c r="AN31" s="75"/>
    </row>
    <row r="32" spans="1:40" s="6" customFormat="1" ht="11.25" x14ac:dyDescent="0.2">
      <c r="A32" s="56">
        <f t="shared" si="17"/>
        <v>44579</v>
      </c>
      <c r="B32" s="618">
        <v>4.3040000000000003</v>
      </c>
      <c r="C32" s="953"/>
      <c r="D32" s="393">
        <f t="shared" si="0"/>
        <v>4.4318050965701996</v>
      </c>
      <c r="E32" s="385">
        <f t="shared" si="1"/>
        <v>4.5943049168525514</v>
      </c>
      <c r="F32" s="385">
        <f t="shared" si="2"/>
        <v>4.5943049168525514</v>
      </c>
      <c r="G32" s="110">
        <f t="shared" si="18"/>
        <v>0.1410900079454743</v>
      </c>
      <c r="H32" s="412" t="b">
        <f>Wh_hp&gt;='2021'!Maxi_hp</f>
        <v>0</v>
      </c>
      <c r="I32" s="380">
        <f>IF(H32,Wh_hp,'2021'!Maxi_hp)</f>
        <v>30.961638796552403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2.8838158218895571E-2</v>
      </c>
      <c r="M32" s="957"/>
      <c r="N32" s="957"/>
      <c r="O32" s="48">
        <f>IF(t&lt;Tnet,'2021'!Resal+('2021'!Salim-'2021'!Resal)*(1-EXP(('2021'!Tnet-t)/('2021'!Tau_j))),Resal+(Salim-Resal)*(1-EXP((Tnet-t)/(Tau_j))))*Salcycl</f>
        <v>3.5369837923965274E-2</v>
      </c>
      <c r="P32" s="339">
        <f>(INDEX(Models!$BJ32:$BT32,,T32)*(1-R32)+INDEX(Models!$BJ32:$BT32,,T32+1)*R32-ERP_i)*Q32*Ramure*Pc/MaxiM</f>
        <v>1.4737808656298179E-3</v>
      </c>
      <c r="Q32" s="305">
        <f t="shared" si="4"/>
        <v>0.7</v>
      </c>
      <c r="R32" s="177">
        <f t="shared" si="5"/>
        <v>7.4183183587583196E-4</v>
      </c>
      <c r="S32" s="919">
        <f t="shared" si="6"/>
        <v>0</v>
      </c>
      <c r="T32" s="176">
        <f t="shared" si="7"/>
        <v>6</v>
      </c>
      <c r="U32" s="251">
        <f t="shared" si="19"/>
        <v>7.4183183587583196E-4</v>
      </c>
      <c r="V32" s="383">
        <f t="shared" si="8"/>
        <v>30.460391276008746</v>
      </c>
      <c r="W32" s="402"/>
      <c r="X32" s="157">
        <f t="shared" si="9"/>
        <v>44579</v>
      </c>
      <c r="Y32" s="385">
        <f t="shared" si="10"/>
        <v>4.0410289868166114</v>
      </c>
      <c r="Z32" s="385">
        <f t="shared" si="20"/>
        <v>4.1610252925561726</v>
      </c>
      <c r="AA32" s="386">
        <f t="shared" si="11"/>
        <v>4.5943049168525514</v>
      </c>
      <c r="AB32" s="197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9.430798175955829E-2</v>
      </c>
      <c r="AD32" s="231">
        <f>(INDEX(Models!$BJ32:$BT32,,AH32)*(1-AF32)+INDEX(Models!$BJ32:$BT32,,AH32+1)*AF32-ERP_i)*AE32*Ramure*Pc/MaxiM</f>
        <v>1.4737808656298179E-3</v>
      </c>
      <c r="AE32" s="305">
        <f t="shared" si="13"/>
        <v>0.7</v>
      </c>
      <c r="AF32" s="177">
        <f t="shared" si="21"/>
        <v>7.4183183587583196E-4</v>
      </c>
      <c r="AG32" s="919">
        <f t="shared" si="22"/>
        <v>0</v>
      </c>
      <c r="AH32" s="176">
        <f t="shared" si="14"/>
        <v>6</v>
      </c>
      <c r="AI32" s="225">
        <f t="shared" si="23"/>
        <v>7.4183183587583196E-4</v>
      </c>
      <c r="AJ32" s="265" t="b">
        <f t="shared" si="15"/>
        <v>0</v>
      </c>
      <c r="AK32" s="265" t="b">
        <f t="shared" si="16"/>
        <v>0</v>
      </c>
      <c r="AL32" s="265"/>
      <c r="AM32" s="265"/>
      <c r="AN32" s="75"/>
    </row>
    <row r="33" spans="1:40" s="6" customFormat="1" ht="11.25" x14ac:dyDescent="0.2">
      <c r="A33" s="56">
        <f t="shared" si="17"/>
        <v>44580</v>
      </c>
      <c r="B33" s="618">
        <v>10.425000000000001</v>
      </c>
      <c r="C33" s="953"/>
      <c r="D33" s="393">
        <f t="shared" si="0"/>
        <v>10.734800206046474</v>
      </c>
      <c r="E33" s="385">
        <f t="shared" si="1"/>
        <v>11.13109132241536</v>
      </c>
      <c r="F33" s="385">
        <f t="shared" si="2"/>
        <v>11.131964007682249</v>
      </c>
      <c r="G33" s="110">
        <f t="shared" si="18"/>
        <v>0.33904148225090924</v>
      </c>
      <c r="H33" s="412" t="b">
        <f>Wh_hp&gt;='2021'!Maxi_hp</f>
        <v>0</v>
      </c>
      <c r="I33" s="380">
        <f>IF(H33,Wh_hp,'2021'!Maxi_hp)</f>
        <v>32.578902251016416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2.8859429155651761E-2</v>
      </c>
      <c r="M33" s="957"/>
      <c r="N33" s="957"/>
      <c r="O33" s="48">
        <f>IF(t&lt;Tnet,'2021'!Resal+('2021'!Salim-'2021'!Resal)*(1-EXP(('2021'!Tnet-t)/('2021'!Tau_j))),Resal+(Salim-Resal)*(1-EXP((Tnet-t)/(Tau_j))))*Salcycl</f>
        <v>3.5602179956142385E-2</v>
      </c>
      <c r="P33" s="339">
        <f>(INDEX(Models!$BJ33:$BT33,,T33)*(1-R33)+INDEX(Models!$BJ33:$BT33,,T33+1)*R33-ERP_i)*Q33*Ramure*Pc/MaxiM</f>
        <v>1.3897383436745389E-3</v>
      </c>
      <c r="Q33" s="305">
        <f t="shared" si="4"/>
        <v>0.7</v>
      </c>
      <c r="R33" s="177">
        <f t="shared" si="5"/>
        <v>8.0041380173671254E-4</v>
      </c>
      <c r="S33" s="919">
        <f t="shared" si="6"/>
        <v>0</v>
      </c>
      <c r="T33" s="176">
        <f t="shared" si="7"/>
        <v>6</v>
      </c>
      <c r="U33" s="251">
        <f t="shared" si="19"/>
        <v>8.0041380173671254E-4</v>
      </c>
      <c r="V33" s="383">
        <f t="shared" si="8"/>
        <v>30.708124858330986</v>
      </c>
      <c r="W33" s="402"/>
      <c r="X33" s="157">
        <f t="shared" si="9"/>
        <v>44580</v>
      </c>
      <c r="Y33" s="385">
        <f t="shared" si="10"/>
        <v>9.7889236720111423</v>
      </c>
      <c r="Z33" s="385">
        <f t="shared" si="20"/>
        <v>10.079821568467954</v>
      </c>
      <c r="AA33" s="386">
        <f t="shared" si="11"/>
        <v>11.13109132241536</v>
      </c>
      <c r="AB33" s="197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9.4444446056281856E-2</v>
      </c>
      <c r="AD33" s="231">
        <f>(INDEX(Models!$BJ33:$BT33,,AH33)*(1-AF33)+INDEX(Models!$BJ33:$BT33,,AH33+1)*AF33-ERP_i)*AE33*Ramure*Pc/MaxiM</f>
        <v>1.3897383436745389E-3</v>
      </c>
      <c r="AE33" s="305">
        <f t="shared" si="13"/>
        <v>0.7</v>
      </c>
      <c r="AF33" s="177">
        <f t="shared" si="21"/>
        <v>8.0041380173671254E-4</v>
      </c>
      <c r="AG33" s="919">
        <f t="shared" si="22"/>
        <v>0</v>
      </c>
      <c r="AH33" s="176">
        <f t="shared" si="14"/>
        <v>6</v>
      </c>
      <c r="AI33" s="225">
        <f t="shared" si="23"/>
        <v>8.0041380173671254E-4</v>
      </c>
      <c r="AJ33" s="265" t="b">
        <f t="shared" si="15"/>
        <v>0</v>
      </c>
      <c r="AK33" s="265" t="b">
        <f t="shared" si="16"/>
        <v>0</v>
      </c>
      <c r="AL33" s="265"/>
      <c r="AM33" s="265"/>
      <c r="AN33" s="75"/>
    </row>
    <row r="34" spans="1:40" s="6" customFormat="1" ht="11.25" x14ac:dyDescent="0.2">
      <c r="A34" s="56">
        <f t="shared" si="17"/>
        <v>44581</v>
      </c>
      <c r="B34" s="618">
        <v>5.7540000000000004</v>
      </c>
      <c r="C34" s="953"/>
      <c r="D34" s="393">
        <f t="shared" si="0"/>
        <v>5.9251216588807205</v>
      </c>
      <c r="E34" s="385">
        <f t="shared" si="1"/>
        <v>6.1453347300192354</v>
      </c>
      <c r="F34" s="385">
        <f t="shared" si="2"/>
        <v>6.1453347300192354</v>
      </c>
      <c r="G34" s="110">
        <f t="shared" si="18"/>
        <v>0.18559815647923777</v>
      </c>
      <c r="H34" s="412" t="b">
        <f>Wh_hp&gt;='2021'!Maxi_hp</f>
        <v>0</v>
      </c>
      <c r="I34" s="380">
        <f>IF(H34,Wh_hp,'2021'!Maxi_hp)</f>
        <v>11.984563264269097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2.8880699626519735E-2</v>
      </c>
      <c r="M34" s="957"/>
      <c r="N34" s="957"/>
      <c r="O34" s="48">
        <f>IF(t&lt;Tnet,'2021'!Resal+('2021'!Salim-'2021'!Resal)*(1-EXP(('2021'!Tnet-t)/('2021'!Tau_j))),Resal+(Salim-Resal)*(1-EXP((Tnet-t)/(Tau_j))))*Salcycl</f>
        <v>3.5834186551759281E-2</v>
      </c>
      <c r="P34" s="339">
        <f>(INDEX(Models!$BJ34:$BT34,,T34)*(1-R34)+INDEX(Models!$BJ34:$BT34,,T34+1)*R34-ERP_i)*Q34*Ramure*Pc/MaxiM</f>
        <v>1.3134452311251406E-3</v>
      </c>
      <c r="Q34" s="305">
        <f t="shared" si="4"/>
        <v>0.7</v>
      </c>
      <c r="R34" s="177">
        <f t="shared" si="5"/>
        <v>8.6143878177936234E-4</v>
      </c>
      <c r="S34" s="919">
        <f t="shared" si="6"/>
        <v>0</v>
      </c>
      <c r="T34" s="176">
        <f t="shared" si="7"/>
        <v>6</v>
      </c>
      <c r="U34" s="251">
        <f t="shared" si="19"/>
        <v>8.6143878177936234E-4</v>
      </c>
      <c r="V34" s="383">
        <f t="shared" si="8"/>
        <v>30.961743075195585</v>
      </c>
      <c r="W34" s="402"/>
      <c r="X34" s="157">
        <f t="shared" si="9"/>
        <v>44581</v>
      </c>
      <c r="Y34" s="385">
        <f t="shared" si="10"/>
        <v>5.4034087867641691</v>
      </c>
      <c r="Z34" s="385">
        <f t="shared" si="20"/>
        <v>5.564104003170451</v>
      </c>
      <c r="AA34" s="386">
        <f t="shared" si="11"/>
        <v>6.1453347300192354</v>
      </c>
      <c r="AB34" s="197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9.4580808431726379E-2</v>
      </c>
      <c r="AD34" s="231">
        <f>(INDEX(Models!$BJ34:$BT34,,AH34)*(1-AF34)+INDEX(Models!$BJ34:$BT34,,AH34+1)*AF34-ERP_i)*AE34*Ramure*Pc/MaxiM</f>
        <v>1.3134452311251406E-3</v>
      </c>
      <c r="AE34" s="305">
        <f t="shared" si="13"/>
        <v>0.7</v>
      </c>
      <c r="AF34" s="177">
        <f t="shared" si="21"/>
        <v>8.6143878177936234E-4</v>
      </c>
      <c r="AG34" s="919">
        <f t="shared" si="22"/>
        <v>0</v>
      </c>
      <c r="AH34" s="176">
        <f t="shared" si="14"/>
        <v>6</v>
      </c>
      <c r="AI34" s="225">
        <f t="shared" si="23"/>
        <v>8.6143878177936234E-4</v>
      </c>
      <c r="AJ34" s="265" t="b">
        <f t="shared" si="15"/>
        <v>0</v>
      </c>
      <c r="AK34" s="265" t="b">
        <f t="shared" si="16"/>
        <v>0</v>
      </c>
      <c r="AL34" s="265"/>
      <c r="AM34" s="265"/>
      <c r="AN34" s="75"/>
    </row>
    <row r="35" spans="1:40" s="6" customFormat="1" ht="11.25" x14ac:dyDescent="0.2">
      <c r="A35" s="56">
        <f t="shared" si="17"/>
        <v>44582</v>
      </c>
      <c r="B35" s="618">
        <v>16.926000000000002</v>
      </c>
      <c r="C35" s="953"/>
      <c r="D35" s="393">
        <f t="shared" si="0"/>
        <v>17.429754227363958</v>
      </c>
      <c r="E35" s="385">
        <f t="shared" si="1"/>
        <v>18.081893276588577</v>
      </c>
      <c r="F35" s="385">
        <f t="shared" si="2"/>
        <v>18.089681774090039</v>
      </c>
      <c r="G35" s="110">
        <f t="shared" si="18"/>
        <v>0.5416834195841842</v>
      </c>
      <c r="H35" s="412" t="b">
        <f>Wh_hp&gt;='2021'!Maxi_hp</f>
        <v>1</v>
      </c>
      <c r="I35" s="380">
        <f>IF(H35,Wh_hp,'2021'!Maxi_hp)</f>
        <v>18.089681774090039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2.8901969631509927E-2</v>
      </c>
      <c r="M35" s="957"/>
      <c r="N35" s="957"/>
      <c r="O35" s="48">
        <f>IF(t&lt;Tnet,'2021'!Resal+('2021'!Salim-'2021'!Resal)*(1-EXP(('2021'!Tnet-t)/('2021'!Tau_j))),Resal+(Salim-Resal)*(1-EXP((Tnet-t)/(Tau_j))))*Salcycl</f>
        <v>3.6065860983095867E-2</v>
      </c>
      <c r="P35" s="339">
        <f>(INDEX(Models!$BJ35:$BT35,,T35)*(1-R35)+INDEX(Models!$BJ35:$BT35,,T35+1)*R35-ERP_i)*Q35*Ramure*Pc/MaxiM</f>
        <v>1.2447471826834687E-3</v>
      </c>
      <c r="Q35" s="305">
        <f t="shared" si="4"/>
        <v>0.7</v>
      </c>
      <c r="R35" s="177">
        <f t="shared" si="5"/>
        <v>9.2500801901555308E-4</v>
      </c>
      <c r="S35" s="919">
        <f t="shared" si="6"/>
        <v>0</v>
      </c>
      <c r="T35" s="176">
        <f t="shared" si="7"/>
        <v>6</v>
      </c>
      <c r="U35" s="251">
        <f t="shared" si="19"/>
        <v>9.2500801901555308E-4</v>
      </c>
      <c r="V35" s="383">
        <f t="shared" si="8"/>
        <v>31.221581346245362</v>
      </c>
      <c r="W35" s="402"/>
      <c r="X35" s="157">
        <f t="shared" si="9"/>
        <v>44582</v>
      </c>
      <c r="Y35" s="385">
        <f t="shared" si="10"/>
        <v>15.896126280255574</v>
      </c>
      <c r="Z35" s="385">
        <f t="shared" si="20"/>
        <v>16.369229246838938</v>
      </c>
      <c r="AA35" s="386">
        <f t="shared" si="11"/>
        <v>18.081893276588577</v>
      </c>
      <c r="AB35" s="197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9.471707434348707E-2</v>
      </c>
      <c r="AD35" s="231">
        <f>(INDEX(Models!$BJ35:$BT35,,AH35)*(1-AF35)+INDEX(Models!$BJ35:$BT35,,AH35+1)*AF35-ERP_i)*AE35*Ramure*Pc/MaxiM</f>
        <v>1.2447471826834687E-3</v>
      </c>
      <c r="AE35" s="305">
        <f t="shared" si="13"/>
        <v>0.7</v>
      </c>
      <c r="AF35" s="177">
        <f t="shared" si="21"/>
        <v>9.2500801901555308E-4</v>
      </c>
      <c r="AG35" s="919">
        <f t="shared" si="22"/>
        <v>0</v>
      </c>
      <c r="AH35" s="176">
        <f t="shared" si="14"/>
        <v>6</v>
      </c>
      <c r="AI35" s="225">
        <f t="shared" si="23"/>
        <v>9.2500801901555308E-4</v>
      </c>
      <c r="AJ35" s="265" t="b">
        <f t="shared" si="15"/>
        <v>0</v>
      </c>
      <c r="AK35" s="265" t="b">
        <f t="shared" si="16"/>
        <v>0</v>
      </c>
      <c r="AL35" s="265"/>
      <c r="AM35" s="265"/>
      <c r="AN35" s="75"/>
    </row>
    <row r="36" spans="1:40" s="6" customFormat="1" ht="11.25" x14ac:dyDescent="0.2">
      <c r="A36" s="56">
        <f t="shared" si="17"/>
        <v>44583</v>
      </c>
      <c r="B36" s="618">
        <v>30.571999999999999</v>
      </c>
      <c r="C36" s="953"/>
      <c r="D36" s="393">
        <f t="shared" si="0"/>
        <v>31.482578137169476</v>
      </c>
      <c r="E36" s="385">
        <f t="shared" si="1"/>
        <v>32.668347907564993</v>
      </c>
      <c r="F36" s="385">
        <f t="shared" si="2"/>
        <v>32.705445690362119</v>
      </c>
      <c r="G36" s="110">
        <f t="shared" si="18"/>
        <v>0.9708625193879693</v>
      </c>
      <c r="H36" s="412" t="b">
        <f>Wh_hp&gt;='2021'!Maxi_hp</f>
        <v>1</v>
      </c>
      <c r="I36" s="380">
        <f>IF(H36,Wh_hp,'2021'!Maxi_hp)</f>
        <v>32.705445690362119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2.8923239170632442E-2</v>
      </c>
      <c r="M36" s="957"/>
      <c r="N36" s="957"/>
      <c r="O36" s="48">
        <f>IF(t&lt;Tnet,'2021'!Resal+('2021'!Salim-'2021'!Resal)*(1-EXP(('2021'!Tnet-t)/('2021'!Tau_j))),Resal+(Salim-Resal)*(1-EXP((Tnet-t)/(Tau_j))))*Salcycl</f>
        <v>3.629720651165623E-2</v>
      </c>
      <c r="P36" s="339">
        <f>(INDEX(Models!$BJ36:$BT36,,T36)*(1-R36)+INDEX(Models!$BJ36:$BT36,,T36+1)*R36-ERP_i)*Q36*Ramure*Pc/MaxiM</f>
        <v>1.1834814282294193E-3</v>
      </c>
      <c r="Q36" s="305">
        <f t="shared" si="4"/>
        <v>0.7</v>
      </c>
      <c r="R36" s="177">
        <f t="shared" si="5"/>
        <v>9.9122689779764872E-4</v>
      </c>
      <c r="S36" s="919">
        <f t="shared" si="6"/>
        <v>0</v>
      </c>
      <c r="T36" s="176">
        <f t="shared" si="7"/>
        <v>6</v>
      </c>
      <c r="U36" s="251">
        <f t="shared" si="19"/>
        <v>9.9122689779764872E-4</v>
      </c>
      <c r="V36" s="383">
        <f t="shared" si="8"/>
        <v>31.487974974283446</v>
      </c>
      <c r="W36" s="402"/>
      <c r="X36" s="157">
        <f t="shared" si="9"/>
        <v>44583</v>
      </c>
      <c r="Y36" s="385">
        <f t="shared" si="10"/>
        <v>28.714398935331701</v>
      </c>
      <c r="Z36" s="385">
        <f t="shared" si="20"/>
        <v>29.56964896452428</v>
      </c>
      <c r="AA36" s="386">
        <f t="shared" si="11"/>
        <v>32.668347907564993</v>
      </c>
      <c r="AB36" s="197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9.4853249139150636E-2</v>
      </c>
      <c r="AD36" s="231">
        <f>(INDEX(Models!$BJ36:$BT36,,AH36)*(1-AF36)+INDEX(Models!$BJ36:$BT36,,AH36+1)*AF36-ERP_i)*AE36*Ramure*Pc/MaxiM</f>
        <v>1.1834814282294193E-3</v>
      </c>
      <c r="AE36" s="305">
        <f t="shared" si="13"/>
        <v>0.7</v>
      </c>
      <c r="AF36" s="177">
        <f t="shared" si="21"/>
        <v>9.9122689779764872E-4</v>
      </c>
      <c r="AG36" s="919">
        <f t="shared" si="22"/>
        <v>0</v>
      </c>
      <c r="AH36" s="176">
        <f t="shared" si="14"/>
        <v>6</v>
      </c>
      <c r="AI36" s="225">
        <f t="shared" si="23"/>
        <v>9.9122689779764872E-4</v>
      </c>
      <c r="AJ36" s="265" t="b">
        <f t="shared" si="15"/>
        <v>0</v>
      </c>
      <c r="AK36" s="265" t="b">
        <f t="shared" si="16"/>
        <v>0</v>
      </c>
      <c r="AL36" s="265"/>
      <c r="AM36" s="265"/>
      <c r="AN36" s="75"/>
    </row>
    <row r="37" spans="1:40" s="6" customFormat="1" ht="11.25" x14ac:dyDescent="0.2">
      <c r="A37" s="56">
        <f t="shared" si="17"/>
        <v>44584</v>
      </c>
      <c r="B37" s="618">
        <v>30.629000000000001</v>
      </c>
      <c r="C37" s="953"/>
      <c r="D37" s="393">
        <f t="shared" si="0"/>
        <v>31.541966715629268</v>
      </c>
      <c r="E37" s="385">
        <f t="shared" si="1"/>
        <v>32.737821259974496</v>
      </c>
      <c r="F37" s="385">
        <f t="shared" si="2"/>
        <v>32.772948392052989</v>
      </c>
      <c r="G37" s="110">
        <f t="shared" si="18"/>
        <v>0.96424824690085575</v>
      </c>
      <c r="H37" s="412" t="b">
        <f>Wh_hp&gt;='2021'!Maxi_hp</f>
        <v>1</v>
      </c>
      <c r="I37" s="380">
        <f>IF(H37,Wh_hp,'2021'!Maxi_hp)</f>
        <v>32.772948392052989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2.8944508243897382E-2</v>
      </c>
      <c r="M37" s="957"/>
      <c r="N37" s="957"/>
      <c r="O37" s="48">
        <f>IF(t&lt;Tnet,'2021'!Resal+('2021'!Salim-'2021'!Resal)*(1-EXP(('2021'!Tnet-t)/('2021'!Tau_j))),Resal+(Salim-Resal)*(1-EXP((Tnet-t)/(Tau_j))))*Salcycl</f>
        <v>3.6528226324189991E-2</v>
      </c>
      <c r="P37" s="339">
        <f>(INDEX(Models!$BJ37:$BT37,,T37)*(1-R37)+INDEX(Models!$BJ37:$BT37,,T37+1)*R37-ERP_i)*Q37*Ramure*Pc/MaxiM</f>
        <v>1.1294277478754204E-3</v>
      </c>
      <c r="Q37" s="305">
        <f t="shared" si="4"/>
        <v>0.7</v>
      </c>
      <c r="R37" s="177">
        <f t="shared" si="5"/>
        <v>1.0602051085749423E-3</v>
      </c>
      <c r="S37" s="919">
        <f t="shared" si="6"/>
        <v>0</v>
      </c>
      <c r="T37" s="176">
        <f t="shared" si="7"/>
        <v>6</v>
      </c>
      <c r="U37" s="251">
        <f t="shared" si="19"/>
        <v>1.0602051085749423E-3</v>
      </c>
      <c r="V37" s="383">
        <f t="shared" si="8"/>
        <v>31.762810189475179</v>
      </c>
      <c r="W37" s="402"/>
      <c r="X37" s="157">
        <f t="shared" si="9"/>
        <v>44584</v>
      </c>
      <c r="Y37" s="385">
        <f t="shared" si="10"/>
        <v>28.770507166913333</v>
      </c>
      <c r="Z37" s="385">
        <f t="shared" si="20"/>
        <v>29.628077294412279</v>
      </c>
      <c r="AA37" s="386">
        <f t="shared" si="11"/>
        <v>32.737821259974496</v>
      </c>
      <c r="AB37" s="197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9.4989337893545633E-2</v>
      </c>
      <c r="AD37" s="231">
        <f>(INDEX(Models!$BJ37:$BT37,,AH37)*(1-AF37)+INDEX(Models!$BJ37:$BT37,,AH37+1)*AF37-ERP_i)*AE37*Ramure*Pc/MaxiM</f>
        <v>1.1294277478754204E-3</v>
      </c>
      <c r="AE37" s="305">
        <f t="shared" si="13"/>
        <v>0.7</v>
      </c>
      <c r="AF37" s="177">
        <f t="shared" si="21"/>
        <v>1.0602051085749423E-3</v>
      </c>
      <c r="AG37" s="919">
        <f t="shared" si="22"/>
        <v>0</v>
      </c>
      <c r="AH37" s="176">
        <f t="shared" si="14"/>
        <v>6</v>
      </c>
      <c r="AI37" s="225">
        <f t="shared" si="23"/>
        <v>1.0602051085749423E-3</v>
      </c>
      <c r="AJ37" s="265" t="b">
        <f t="shared" si="15"/>
        <v>0</v>
      </c>
      <c r="AK37" s="265" t="b">
        <f t="shared" si="16"/>
        <v>0</v>
      </c>
      <c r="AL37" s="265"/>
      <c r="AM37" s="265"/>
      <c r="AN37" s="75"/>
    </row>
    <row r="38" spans="1:40" s="6" customFormat="1" ht="11.25" x14ac:dyDescent="0.2">
      <c r="A38" s="56">
        <f t="shared" si="17"/>
        <v>44585</v>
      </c>
      <c r="B38" s="618">
        <v>30.913</v>
      </c>
      <c r="C38" s="953"/>
      <c r="D38" s="393">
        <f t="shared" si="0"/>
        <v>31.83512924988494</v>
      </c>
      <c r="E38" s="385">
        <f t="shared" si="1"/>
        <v>33.050012115992558</v>
      </c>
      <c r="F38" s="385">
        <f t="shared" si="2"/>
        <v>33.084036887792983</v>
      </c>
      <c r="G38" s="110">
        <f t="shared" si="18"/>
        <v>0.96456217527480026</v>
      </c>
      <c r="H38" s="412" t="b">
        <f>Wh_hp&gt;='2021'!Maxi_hp</f>
        <v>1</v>
      </c>
      <c r="I38" s="380">
        <f>IF(H38,Wh_hp,'2021'!Maxi_hp)</f>
        <v>33.084036887792983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2.8965776851315073E-2</v>
      </c>
      <c r="M38" s="957"/>
      <c r="N38" s="957"/>
      <c r="O38" s="48">
        <f>IF(t&lt;Tnet,'2021'!Resal+('2021'!Salim-'2021'!Resal)*(1-EXP(('2021'!Tnet-t)/('2021'!Tau_j))),Resal+(Salim-Resal)*(1-EXP((Tnet-t)/(Tau_j))))*Salcycl</f>
        <v>3.6758923471611971E-2</v>
      </c>
      <c r="P38" s="339">
        <f>(INDEX(Models!$BJ38:$BT38,,T38)*(1-R38)+INDEX(Models!$BJ38:$BT38,,T38+1)*R38-ERP_i)*Q38*Ramure*Pc/MaxiM</f>
        <v>1.0831898828863283E-3</v>
      </c>
      <c r="Q38" s="305">
        <f t="shared" si="4"/>
        <v>0.7</v>
      </c>
      <c r="R38" s="177">
        <f t="shared" si="5"/>
        <v>1.132056818804419E-3</v>
      </c>
      <c r="S38" s="919">
        <f t="shared" si="6"/>
        <v>0</v>
      </c>
      <c r="T38" s="176">
        <f t="shared" si="7"/>
        <v>6</v>
      </c>
      <c r="U38" s="251">
        <f t="shared" si="19"/>
        <v>1.132056818804419E-3</v>
      </c>
      <c r="V38" s="383">
        <f t="shared" si="8"/>
        <v>32.04698090290421</v>
      </c>
      <c r="W38" s="402"/>
      <c r="X38" s="157">
        <f t="shared" si="9"/>
        <v>44585</v>
      </c>
      <c r="Y38" s="385">
        <f t="shared" si="10"/>
        <v>29.03986435342739</v>
      </c>
      <c r="Z38" s="385">
        <f t="shared" si="20"/>
        <v>29.906118302671604</v>
      </c>
      <c r="AA38" s="386">
        <f t="shared" si="11"/>
        <v>33.050012115992558</v>
      </c>
      <c r="AB38" s="197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9.5125345258183946E-2</v>
      </c>
      <c r="AD38" s="231">
        <f>(INDEX(Models!$BJ38:$BT38,,AH38)*(1-AF38)+INDEX(Models!$BJ38:$BT38,,AH38+1)*AF38-ERP_i)*AE38*Ramure*Pc/MaxiM</f>
        <v>1.0831898828863283E-3</v>
      </c>
      <c r="AE38" s="305">
        <f t="shared" si="13"/>
        <v>0.7</v>
      </c>
      <c r="AF38" s="177">
        <f t="shared" si="21"/>
        <v>1.132056818804419E-3</v>
      </c>
      <c r="AG38" s="919">
        <f t="shared" si="22"/>
        <v>0</v>
      </c>
      <c r="AH38" s="176">
        <f t="shared" si="14"/>
        <v>6</v>
      </c>
      <c r="AI38" s="225">
        <f t="shared" si="23"/>
        <v>1.132056818804419E-3</v>
      </c>
      <c r="AJ38" s="265" t="b">
        <f t="shared" si="15"/>
        <v>0</v>
      </c>
      <c r="AK38" s="265" t="b">
        <f t="shared" si="16"/>
        <v>0</v>
      </c>
      <c r="AL38" s="265"/>
      <c r="AM38" s="265"/>
      <c r="AN38" s="75"/>
    </row>
    <row r="39" spans="1:40" s="6" customFormat="1" ht="11.25" x14ac:dyDescent="0.2">
      <c r="A39" s="56">
        <f t="shared" si="17"/>
        <v>44586</v>
      </c>
      <c r="B39" s="618">
        <v>30.443999999999999</v>
      </c>
      <c r="C39" s="953"/>
      <c r="D39" s="393">
        <f t="shared" si="0"/>
        <v>31.352825771286703</v>
      </c>
      <c r="E39" s="385">
        <f t="shared" si="1"/>
        <v>32.557089757889933</v>
      </c>
      <c r="F39" s="385">
        <f t="shared" si="2"/>
        <v>32.588227286146612</v>
      </c>
      <c r="G39" s="110">
        <f t="shared" si="18"/>
        <v>0.94130718229472954</v>
      </c>
      <c r="H39" s="412" t="b">
        <f>Wh_hp&gt;='2021'!Maxi_hp</f>
        <v>1</v>
      </c>
      <c r="I39" s="380">
        <f>IF(H39,Wh_hp,'2021'!Maxi_hp)</f>
        <v>32.588227286146612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2.8987044992895616E-2</v>
      </c>
      <c r="M39" s="957"/>
      <c r="N39" s="957"/>
      <c r="O39" s="48">
        <f>IF(t&lt;Tnet,'2021'!Resal+('2021'!Salim-'2021'!Resal)*(1-EXP(('2021'!Tnet-t)/('2021'!Tau_j))),Resal+(Salim-Resal)*(1-EXP((Tnet-t)/(Tau_j))))*Salcycl</f>
        <v>3.6989300811550156E-2</v>
      </c>
      <c r="P39" s="339">
        <f>(INDEX(Models!$BJ39:$BT39,,T39)*(1-R39)+INDEX(Models!$BJ39:$BT39,,T39+1)*R39-ERP_i)*Q39*Ramure*Pc/MaxiM</f>
        <v>1.0427966367304701E-3</v>
      </c>
      <c r="Q39" s="305">
        <f t="shared" si="4"/>
        <v>0.7</v>
      </c>
      <c r="R39" s="177">
        <f t="shared" si="5"/>
        <v>1.2069008502126521E-3</v>
      </c>
      <c r="S39" s="919">
        <f t="shared" si="6"/>
        <v>0</v>
      </c>
      <c r="T39" s="176">
        <f t="shared" si="7"/>
        <v>6</v>
      </c>
      <c r="U39" s="251">
        <f t="shared" si="19"/>
        <v>1.2069008502126521E-3</v>
      </c>
      <c r="V39" s="383">
        <f t="shared" si="8"/>
        <v>32.33943167864318</v>
      </c>
      <c r="W39" s="402"/>
      <c r="X39" s="157">
        <f t="shared" si="9"/>
        <v>44586</v>
      </c>
      <c r="Y39" s="385">
        <f t="shared" si="10"/>
        <v>28.601827328854316</v>
      </c>
      <c r="Z39" s="385">
        <f t="shared" si="20"/>
        <v>29.45565986670595</v>
      </c>
      <c r="AA39" s="386">
        <f t="shared" si="11"/>
        <v>32.557089757889933</v>
      </c>
      <c r="AB39" s="197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9.5261275324290268E-2</v>
      </c>
      <c r="AD39" s="231">
        <f>(INDEX(Models!$BJ39:$BT39,,AH39)*(1-AF39)+INDEX(Models!$BJ39:$BT39,,AH39+1)*AF39-ERP_i)*AE39*Ramure*Pc/MaxiM</f>
        <v>1.0427966367304701E-3</v>
      </c>
      <c r="AE39" s="305">
        <f t="shared" si="13"/>
        <v>0.7</v>
      </c>
      <c r="AF39" s="177">
        <f t="shared" si="21"/>
        <v>1.2069008502126521E-3</v>
      </c>
      <c r="AG39" s="919">
        <f t="shared" si="22"/>
        <v>0</v>
      </c>
      <c r="AH39" s="176">
        <f t="shared" si="14"/>
        <v>6</v>
      </c>
      <c r="AI39" s="225">
        <f t="shared" si="23"/>
        <v>1.2069008502126521E-3</v>
      </c>
      <c r="AJ39" s="265" t="b">
        <f t="shared" si="15"/>
        <v>0</v>
      </c>
      <c r="AK39" s="265" t="b">
        <f t="shared" si="16"/>
        <v>0</v>
      </c>
      <c r="AL39" s="265"/>
      <c r="AM39" s="265"/>
      <c r="AN39" s="75"/>
    </row>
    <row r="40" spans="1:40" s="6" customFormat="1" ht="11.25" x14ac:dyDescent="0.2">
      <c r="A40" s="56">
        <f t="shared" si="17"/>
        <v>44587</v>
      </c>
      <c r="B40" s="618">
        <v>31.224</v>
      </c>
      <c r="C40" s="953"/>
      <c r="D40" s="393">
        <f t="shared" si="0"/>
        <v>32.156814942273364</v>
      </c>
      <c r="E40" s="385">
        <f t="shared" si="1"/>
        <v>33.399939340468187</v>
      </c>
      <c r="F40" s="385">
        <f t="shared" si="2"/>
        <v>33.431556002273844</v>
      </c>
      <c r="G40" s="110">
        <f t="shared" si="18"/>
        <v>0.95658573831930416</v>
      </c>
      <c r="H40" s="412" t="b">
        <f>Wh_hp&gt;='2021'!Maxi_hp</f>
        <v>1</v>
      </c>
      <c r="I40" s="380">
        <f>IF(H40,Wh_hp,'2021'!Maxi_hp)</f>
        <v>33.431556002273844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2.9008312668649339E-2</v>
      </c>
      <c r="M40" s="957"/>
      <c r="N40" s="957"/>
      <c r="O40" s="48">
        <f>IF(t&lt;Tnet,'2021'!Resal+('2021'!Salim-'2021'!Resal)*(1-EXP(('2021'!Tnet-t)/('2021'!Tau_j))),Resal+(Salim-Resal)*(1-EXP((Tnet-t)/(Tau_j))))*Salcycl</f>
        <v>3.7219360955204457E-2</v>
      </c>
      <c r="P40" s="339">
        <f>(INDEX(Models!$BJ40:$BT40,,T40)*(1-R40)+INDEX(Models!$BJ40:$BT40,,T40+1)*R40-ERP_i)*Q40*Ramure*Pc/MaxiM</f>
        <v>1.0081530599349599E-3</v>
      </c>
      <c r="Q40" s="305">
        <f t="shared" si="4"/>
        <v>0.7</v>
      </c>
      <c r="R40" s="177">
        <f t="shared" si="5"/>
        <v>1.2848608626053208E-3</v>
      </c>
      <c r="S40" s="919">
        <f t="shared" si="6"/>
        <v>0</v>
      </c>
      <c r="T40" s="176">
        <f t="shared" si="7"/>
        <v>6</v>
      </c>
      <c r="U40" s="251">
        <f t="shared" si="19"/>
        <v>1.2848608626053208E-3</v>
      </c>
      <c r="V40" s="383">
        <f t="shared" si="8"/>
        <v>32.639048733121669</v>
      </c>
      <c r="W40" s="402"/>
      <c r="X40" s="157">
        <f t="shared" si="9"/>
        <v>44587</v>
      </c>
      <c r="Y40" s="385">
        <f t="shared" si="10"/>
        <v>29.337233031655867</v>
      </c>
      <c r="Z40" s="385">
        <f t="shared" si="20"/>
        <v>30.213680935091819</v>
      </c>
      <c r="AA40" s="386">
        <f t="shared" si="11"/>
        <v>33.399939340468187</v>
      </c>
      <c r="AB40" s="197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9.5397131500649768E-2</v>
      </c>
      <c r="AD40" s="231">
        <f>(INDEX(Models!$BJ40:$BT40,,AH40)*(1-AF40)+INDEX(Models!$BJ40:$BT40,,AH40+1)*AF40-ERP_i)*AE40*Ramure*Pc/MaxiM</f>
        <v>1.0081530599349599E-3</v>
      </c>
      <c r="AE40" s="305">
        <f t="shared" si="13"/>
        <v>0.7</v>
      </c>
      <c r="AF40" s="177">
        <f t="shared" si="21"/>
        <v>1.2848608626053208E-3</v>
      </c>
      <c r="AG40" s="919">
        <f t="shared" si="22"/>
        <v>0</v>
      </c>
      <c r="AH40" s="176">
        <f t="shared" si="14"/>
        <v>6</v>
      </c>
      <c r="AI40" s="225">
        <f t="shared" si="23"/>
        <v>1.2848608626053208E-3</v>
      </c>
      <c r="AJ40" s="265" t="b">
        <f t="shared" si="15"/>
        <v>0</v>
      </c>
      <c r="AK40" s="265" t="b">
        <f t="shared" si="16"/>
        <v>0</v>
      </c>
      <c r="AL40" s="265"/>
      <c r="AM40" s="265"/>
      <c r="AN40" s="75"/>
    </row>
    <row r="41" spans="1:40" s="6" customFormat="1" ht="11.25" x14ac:dyDescent="0.2">
      <c r="A41" s="56">
        <f t="shared" si="17"/>
        <v>44588</v>
      </c>
      <c r="B41" s="618">
        <v>30.933</v>
      </c>
      <c r="C41" s="953"/>
      <c r="D41" s="393">
        <f t="shared" si="0"/>
        <v>31.857819104450193</v>
      </c>
      <c r="E41" s="385">
        <f t="shared" si="1"/>
        <v>33.097282762175929</v>
      </c>
      <c r="F41" s="385">
        <f t="shared" si="2"/>
        <v>33.12688956731003</v>
      </c>
      <c r="G41" s="110">
        <f t="shared" si="18"/>
        <v>0.93885624129021905</v>
      </c>
      <c r="H41" s="412" t="b">
        <f>Wh_hp&gt;='2021'!Maxi_hp</f>
        <v>1</v>
      </c>
      <c r="I41" s="380">
        <f>IF(H41,Wh_hp,'2021'!Maxi_hp)</f>
        <v>33.12688956731003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2.9029579878586453E-2</v>
      </c>
      <c r="M41" s="957"/>
      <c r="N41" s="957"/>
      <c r="O41" s="48">
        <f>IF(t&lt;Tnet,'2021'!Resal+('2021'!Salim-'2021'!Resal)*(1-EXP(('2021'!Tnet-t)/('2021'!Tau_j))),Resal+(Salim-Resal)*(1-EXP((Tnet-t)/(Tau_j))))*Salcycl</f>
        <v>3.7449106219142887E-2</v>
      </c>
      <c r="P41" s="339">
        <f>(INDEX(Models!$BJ41:$BT41,,T41)*(1-R41)+INDEX(Models!$BJ41:$BT41,,T41+1)*R41-ERP_i)*Q41*Ramure*Pc/MaxiM</f>
        <v>9.7915448714517997E-4</v>
      </c>
      <c r="Q41" s="305">
        <f t="shared" si="4"/>
        <v>0.7</v>
      </c>
      <c r="R41" s="177">
        <f t="shared" si="5"/>
        <v>1.366065544427063E-3</v>
      </c>
      <c r="S41" s="919">
        <f t="shared" si="6"/>
        <v>0</v>
      </c>
      <c r="T41" s="176">
        <f t="shared" si="7"/>
        <v>6</v>
      </c>
      <c r="U41" s="251">
        <f t="shared" si="19"/>
        <v>1.366065544427063E-3</v>
      </c>
      <c r="V41" s="383">
        <f t="shared" si="8"/>
        <v>32.944719468354059</v>
      </c>
      <c r="W41" s="402"/>
      <c r="X41" s="157">
        <f t="shared" si="9"/>
        <v>44588</v>
      </c>
      <c r="Y41" s="385">
        <f t="shared" si="10"/>
        <v>29.06639064753907</v>
      </c>
      <c r="Z41" s="385">
        <f t="shared" si="20"/>
        <v>29.935402814747441</v>
      </c>
      <c r="AA41" s="386">
        <f t="shared" si="11"/>
        <v>33.097282762175929</v>
      </c>
      <c r="AB41" s="197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9.5532916407323115E-2</v>
      </c>
      <c r="AD41" s="231">
        <f>(INDEX(Models!$BJ41:$BT41,,AH41)*(1-AF41)+INDEX(Models!$BJ41:$BT41,,AH41+1)*AF41-ERP_i)*AE41*Ramure*Pc/MaxiM</f>
        <v>9.7915448714517997E-4</v>
      </c>
      <c r="AE41" s="305">
        <f t="shared" si="13"/>
        <v>0.7</v>
      </c>
      <c r="AF41" s="177">
        <f t="shared" si="21"/>
        <v>1.366065544427063E-3</v>
      </c>
      <c r="AG41" s="919">
        <f t="shared" si="22"/>
        <v>0</v>
      </c>
      <c r="AH41" s="176">
        <f t="shared" si="14"/>
        <v>6</v>
      </c>
      <c r="AI41" s="225">
        <f t="shared" si="23"/>
        <v>1.366065544427063E-3</v>
      </c>
      <c r="AJ41" s="265" t="b">
        <f t="shared" si="15"/>
        <v>0</v>
      </c>
      <c r="AK41" s="265" t="b">
        <f t="shared" si="16"/>
        <v>0</v>
      </c>
      <c r="AL41" s="265"/>
      <c r="AM41" s="265"/>
      <c r="AN41" s="75"/>
    </row>
    <row r="42" spans="1:40" s="6" customFormat="1" ht="11.25" x14ac:dyDescent="0.2">
      <c r="A42" s="56">
        <f t="shared" si="17"/>
        <v>44589</v>
      </c>
      <c r="B42" s="618">
        <v>4.1900000000000004</v>
      </c>
      <c r="C42" s="953"/>
      <c r="D42" s="393">
        <f t="shared" si="0"/>
        <v>4.3153650069375837</v>
      </c>
      <c r="E42" s="385">
        <f t="shared" si="1"/>
        <v>4.4843279298598375</v>
      </c>
      <c r="F42" s="385">
        <f t="shared" si="2"/>
        <v>4.4843279298598375</v>
      </c>
      <c r="G42" s="110">
        <f t="shared" si="18"/>
        <v>0.12587441924547363</v>
      </c>
      <c r="H42" s="412" t="b">
        <f>Wh_hp&gt;='2021'!Maxi_hp</f>
        <v>0</v>
      </c>
      <c r="I42" s="380">
        <f>IF(H42,Wh_hp,'2021'!Maxi_hp)</f>
        <v>17.427879917759782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2.9050846622716953E-2</v>
      </c>
      <c r="M42" s="957"/>
      <c r="N42" s="957"/>
      <c r="O42" s="48">
        <f>IF(t&lt;Tnet,'2021'!Resal+('2021'!Salim-'2021'!Resal)*(1-EXP(('2021'!Tnet-t)/('2021'!Tau_j))),Resal+(Salim-Resal)*(1-EXP((Tnet-t)/(Tau_j))))*Salcycl</f>
        <v>3.7678538582599765E-2</v>
      </c>
      <c r="P42" s="339">
        <f>(INDEX(Models!$BJ42:$BT42,,T42)*(1-R42)+INDEX(Models!$BJ42:$BT42,,T42+1)*R42-ERP_i)*Q42*Ramure*Pc/MaxiM</f>
        <v>9.556891699688282E-4</v>
      </c>
      <c r="Q42" s="305">
        <f t="shared" si="4"/>
        <v>0.7</v>
      </c>
      <c r="R42" s="177">
        <f t="shared" si="5"/>
        <v>1.4506488102730153E-3</v>
      </c>
      <c r="S42" s="919">
        <f t="shared" si="6"/>
        <v>0</v>
      </c>
      <c r="T42" s="176">
        <f t="shared" si="7"/>
        <v>6</v>
      </c>
      <c r="U42" s="251">
        <f t="shared" si="19"/>
        <v>1.4506488102730153E-3</v>
      </c>
      <c r="V42" s="383">
        <f t="shared" si="8"/>
        <v>33.255332477161417</v>
      </c>
      <c r="W42" s="402"/>
      <c r="X42" s="157">
        <f t="shared" si="9"/>
        <v>44589</v>
      </c>
      <c r="Y42" s="385">
        <f t="shared" si="10"/>
        <v>3.9375079791271022</v>
      </c>
      <c r="Z42" s="385">
        <f t="shared" si="20"/>
        <v>4.0553184123299806</v>
      </c>
      <c r="AA42" s="386">
        <f t="shared" si="11"/>
        <v>4.4843279298598375</v>
      </c>
      <c r="AB42" s="197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9.5668631786093847E-2</v>
      </c>
      <c r="AD42" s="231">
        <f>(INDEX(Models!$BJ42:$BT42,,AH42)*(1-AF42)+INDEX(Models!$BJ42:$BT42,,AH42+1)*AF42-ERP_i)*AE42*Ramure*Pc/MaxiM</f>
        <v>9.556891699688282E-4</v>
      </c>
      <c r="AE42" s="305">
        <f t="shared" si="13"/>
        <v>0.7</v>
      </c>
      <c r="AF42" s="177">
        <f t="shared" si="21"/>
        <v>1.4506488102730153E-3</v>
      </c>
      <c r="AG42" s="919">
        <f t="shared" si="22"/>
        <v>0</v>
      </c>
      <c r="AH42" s="176">
        <f t="shared" si="14"/>
        <v>6</v>
      </c>
      <c r="AI42" s="225">
        <f t="shared" si="23"/>
        <v>1.4506488102730153E-3</v>
      </c>
      <c r="AJ42" s="265" t="b">
        <f t="shared" si="15"/>
        <v>0</v>
      </c>
      <c r="AK42" s="265" t="b">
        <f t="shared" si="16"/>
        <v>0</v>
      </c>
      <c r="AL42" s="265"/>
      <c r="AM42" s="265"/>
      <c r="AN42" s="75"/>
    </row>
    <row r="43" spans="1:40" s="6" customFormat="1" ht="11.25" x14ac:dyDescent="0.2">
      <c r="A43" s="56">
        <f t="shared" si="17"/>
        <v>44590</v>
      </c>
      <c r="B43" s="618">
        <v>6.2279999999999998</v>
      </c>
      <c r="C43" s="953"/>
      <c r="D43" s="393">
        <f t="shared" si="0"/>
        <v>6.4144825612216607</v>
      </c>
      <c r="E43" s="385">
        <f t="shared" si="1"/>
        <v>6.6672213177513679</v>
      </c>
      <c r="F43" s="385">
        <f t="shared" si="2"/>
        <v>6.6672213177513679</v>
      </c>
      <c r="G43" s="110">
        <f t="shared" si="18"/>
        <v>0.18535006282876976</v>
      </c>
      <c r="H43" s="412" t="b">
        <f>Wh_hp&gt;='2021'!Maxi_hp</f>
        <v>0</v>
      </c>
      <c r="I43" s="380">
        <f>IF(H43,Wh_hp,'2021'!Maxi_hp)</f>
        <v>22.511927090396647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2.9072112901051272E-2</v>
      </c>
      <c r="M43" s="957"/>
      <c r="N43" s="957"/>
      <c r="O43" s="48">
        <f>IF(t&lt;Tnet,'2021'!Resal+('2021'!Salim-'2021'!Resal)*(1-EXP(('2021'!Tnet-t)/('2021'!Tau_j))),Resal+(Salim-Resal)*(1-EXP((Tnet-t)/(Tau_j))))*Salcycl</f>
        <v>3.79076596507745E-2</v>
      </c>
      <c r="P43" s="339">
        <f>(INDEX(Models!$BJ43:$BT43,,T43)*(1-R43)+INDEX(Models!$BJ43:$BT43,,T43+1)*R43-ERP_i)*Q43*Ramure*Pc/MaxiM</f>
        <v>9.3764070821988183E-4</v>
      </c>
      <c r="Q43" s="305">
        <f t="shared" si="4"/>
        <v>0.7</v>
      </c>
      <c r="R43" s="177">
        <f t="shared" si="5"/>
        <v>1.5387500055582884E-3</v>
      </c>
      <c r="S43" s="919">
        <f t="shared" si="6"/>
        <v>0</v>
      </c>
      <c r="T43" s="176">
        <f t="shared" si="7"/>
        <v>6</v>
      </c>
      <c r="U43" s="251">
        <f t="shared" si="19"/>
        <v>1.5387500055582884E-3</v>
      </c>
      <c r="V43" s="383">
        <f t="shared" si="8"/>
        <v>33.569777526416964</v>
      </c>
      <c r="W43" s="402"/>
      <c r="X43" s="157">
        <f t="shared" si="9"/>
        <v>44590</v>
      </c>
      <c r="Y43" s="385">
        <f t="shared" si="10"/>
        <v>5.8532125428878583</v>
      </c>
      <c r="Z43" s="385">
        <f t="shared" si="20"/>
        <v>6.0284729902822827</v>
      </c>
      <c r="AA43" s="386">
        <f t="shared" si="11"/>
        <v>6.6672213177513679</v>
      </c>
      <c r="AB43" s="197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9.5804278428320386E-2</v>
      </c>
      <c r="AD43" s="231">
        <f>(INDEX(Models!$BJ43:$BT43,,AH43)*(1-AF43)+INDEX(Models!$BJ43:$BT43,,AH43+1)*AF43-ERP_i)*AE43*Ramure*Pc/MaxiM</f>
        <v>9.3764070821988183E-4</v>
      </c>
      <c r="AE43" s="305">
        <f t="shared" si="13"/>
        <v>0.7</v>
      </c>
      <c r="AF43" s="177">
        <f t="shared" si="21"/>
        <v>1.5387500055582884E-3</v>
      </c>
      <c r="AG43" s="919">
        <f t="shared" si="22"/>
        <v>0</v>
      </c>
      <c r="AH43" s="176">
        <f t="shared" si="14"/>
        <v>6</v>
      </c>
      <c r="AI43" s="225">
        <f t="shared" si="23"/>
        <v>1.5387500055582884E-3</v>
      </c>
      <c r="AJ43" s="265" t="b">
        <f t="shared" si="15"/>
        <v>0</v>
      </c>
      <c r="AK43" s="265" t="b">
        <f t="shared" si="16"/>
        <v>0</v>
      </c>
      <c r="AL43" s="265"/>
      <c r="AM43" s="265"/>
      <c r="AN43" s="75"/>
    </row>
    <row r="44" spans="1:40" s="6" customFormat="1" ht="11.25" x14ac:dyDescent="0.2">
      <c r="A44" s="56">
        <f t="shared" si="17"/>
        <v>44591</v>
      </c>
      <c r="B44" s="618">
        <v>5.1059999999999999</v>
      </c>
      <c r="C44" s="953"/>
      <c r="D44" s="393">
        <f t="shared" si="0"/>
        <v>5.2590021409420569</v>
      </c>
      <c r="E44" s="385">
        <f t="shared" si="1"/>
        <v>5.4675138211725614</v>
      </c>
      <c r="F44" s="385">
        <f t="shared" si="2"/>
        <v>5.4675138211725614</v>
      </c>
      <c r="G44" s="110">
        <f t="shared" si="18"/>
        <v>0.15053813277011782</v>
      </c>
      <c r="H44" s="412" t="b">
        <f>Wh_hp&gt;='2021'!Maxi_hp</f>
        <v>0</v>
      </c>
      <c r="I44" s="380">
        <f>IF(H44,Wh_hp,'2021'!Maxi_hp)</f>
        <v>10.423685229998675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2.9093378713599405E-2</v>
      </c>
      <c r="M44" s="957"/>
      <c r="N44" s="957"/>
      <c r="O44" s="48">
        <f>IF(t&lt;Tnet,'2021'!Resal+('2021'!Salim-'2021'!Resal)*(1-EXP(('2021'!Tnet-t)/('2021'!Tau_j))),Resal+(Salim-Resal)*(1-EXP((Tnet-t)/(Tau_j))))*Salcycl</f>
        <v>3.8136470624556655E-2</v>
      </c>
      <c r="P44" s="339">
        <f>(INDEX(Models!$BJ44:$BT44,,T44)*(1-R44)+INDEX(Models!$BJ44:$BT44,,T44+1)*R44-ERP_i)*Q44*Ramure*Pc/MaxiM</f>
        <v>9.251910645355952E-4</v>
      </c>
      <c r="Q44" s="305">
        <f t="shared" si="4"/>
        <v>0.7</v>
      </c>
      <c r="R44" s="177">
        <f t="shared" si="5"/>
        <v>1.63051411855176E-3</v>
      </c>
      <c r="S44" s="919">
        <f t="shared" si="6"/>
        <v>0</v>
      </c>
      <c r="T44" s="176">
        <f t="shared" si="7"/>
        <v>6</v>
      </c>
      <c r="U44" s="251">
        <f t="shared" si="19"/>
        <v>1.63051411855176E-3</v>
      </c>
      <c r="V44" s="383">
        <f t="shared" si="8"/>
        <v>33.886935360188659</v>
      </c>
      <c r="W44" s="402"/>
      <c r="X44" s="157">
        <f t="shared" si="9"/>
        <v>44591</v>
      </c>
      <c r="Y44" s="385">
        <f t="shared" si="10"/>
        <v>4.7991538858378346</v>
      </c>
      <c r="Z44" s="385">
        <f t="shared" si="20"/>
        <v>4.9429613318314853</v>
      </c>
      <c r="AA44" s="386">
        <f t="shared" si="11"/>
        <v>5.4675138211725614</v>
      </c>
      <c r="AB44" s="197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9.5939856120671047E-2</v>
      </c>
      <c r="AD44" s="231">
        <f>(INDEX(Models!$BJ44:$BT44,,AH44)*(1-AF44)+INDEX(Models!$BJ44:$BT44,,AH44+1)*AF44-ERP_i)*AE44*Ramure*Pc/MaxiM</f>
        <v>9.251910645355952E-4</v>
      </c>
      <c r="AE44" s="305">
        <f t="shared" si="13"/>
        <v>0.7</v>
      </c>
      <c r="AF44" s="177">
        <f t="shared" si="21"/>
        <v>1.63051411855176E-3</v>
      </c>
      <c r="AG44" s="919">
        <f t="shared" si="22"/>
        <v>0</v>
      </c>
      <c r="AH44" s="176">
        <f t="shared" si="14"/>
        <v>6</v>
      </c>
      <c r="AI44" s="225">
        <f t="shared" si="23"/>
        <v>1.63051411855176E-3</v>
      </c>
      <c r="AJ44" s="265" t="b">
        <f t="shared" si="15"/>
        <v>0</v>
      </c>
      <c r="AK44" s="265" t="b">
        <f t="shared" si="16"/>
        <v>0</v>
      </c>
      <c r="AL44" s="265"/>
      <c r="AM44" s="265"/>
      <c r="AN44" s="75"/>
    </row>
    <row r="45" spans="1:40" s="6" customFormat="1" ht="11.25" x14ac:dyDescent="0.2">
      <c r="A45" s="56">
        <f t="shared" si="17"/>
        <v>44592</v>
      </c>
      <c r="B45" s="618">
        <v>7.0049999999999999</v>
      </c>
      <c r="C45" s="953"/>
      <c r="D45" s="393">
        <f t="shared" si="0"/>
        <v>7.215064020839538</v>
      </c>
      <c r="E45" s="385">
        <f t="shared" si="1"/>
        <v>7.5029130728774369</v>
      </c>
      <c r="F45" s="385">
        <f t="shared" si="2"/>
        <v>7.5029130728774369</v>
      </c>
      <c r="G45" s="110">
        <f t="shared" si="18"/>
        <v>0.20460239989563717</v>
      </c>
      <c r="H45" s="412" t="b">
        <f>Wh_hp&gt;='2021'!Maxi_hp</f>
        <v>0</v>
      </c>
      <c r="I45" s="380">
        <f>IF(H45,Wh_hp,'2021'!Maxi_hp)</f>
        <v>26.210661022055326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2.9114644060371786E-2</v>
      </c>
      <c r="M45" s="957"/>
      <c r="N45" s="957"/>
      <c r="O45" s="48">
        <f>IF(t&lt;Tnet,'2021'!Resal+('2021'!Salim-'2021'!Resal)*(1-EXP(('2021'!Tnet-t)/('2021'!Tau_j))),Resal+(Salim-Resal)*(1-EXP((Tnet-t)/(Tau_j))))*Salcycl</f>
        <v>3.8364972277028626E-2</v>
      </c>
      <c r="P45" s="339">
        <f>(INDEX(Models!$BJ45:$BT45,,T45)*(1-R45)+INDEX(Models!$BJ45:$BT45,,T45+1)*R45-ERP_i)*Q45*Ramure*Pc/MaxiM</f>
        <v>9.1394702927851562E-4</v>
      </c>
      <c r="Q45" s="305">
        <f t="shared" si="4"/>
        <v>0.7</v>
      </c>
      <c r="R45" s="177">
        <f t="shared" si="5"/>
        <v>1.7260919999818203E-3</v>
      </c>
      <c r="S45" s="919">
        <f t="shared" si="6"/>
        <v>0</v>
      </c>
      <c r="T45" s="176">
        <f t="shared" si="7"/>
        <v>6</v>
      </c>
      <c r="U45" s="251">
        <f t="shared" si="19"/>
        <v>1.7260919999818203E-3</v>
      </c>
      <c r="V45" s="383">
        <f t="shared" si="8"/>
        <v>34.205844137848445</v>
      </c>
      <c r="W45" s="402"/>
      <c r="X45" s="157">
        <f t="shared" si="9"/>
        <v>44592</v>
      </c>
      <c r="Y45" s="385">
        <f t="shared" si="10"/>
        <v>6.5846104762969535</v>
      </c>
      <c r="Z45" s="385">
        <f t="shared" si="20"/>
        <v>6.7820679712738388</v>
      </c>
      <c r="AA45" s="386">
        <f t="shared" si="11"/>
        <v>7.5029130728774369</v>
      </c>
      <c r="AB45" s="197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9.6075363609023801E-2</v>
      </c>
      <c r="AD45" s="231">
        <f>(INDEX(Models!$BJ45:$BT45,,AH45)*(1-AF45)+INDEX(Models!$BJ45:$BT45,,AH45+1)*AF45-ERP_i)*AE45*Ramure*Pc/MaxiM</f>
        <v>9.1394702927851562E-4</v>
      </c>
      <c r="AE45" s="305">
        <f t="shared" si="13"/>
        <v>0.7</v>
      </c>
      <c r="AF45" s="177">
        <f t="shared" si="21"/>
        <v>1.7260919999818203E-3</v>
      </c>
      <c r="AG45" s="919">
        <f t="shared" si="22"/>
        <v>0</v>
      </c>
      <c r="AH45" s="176">
        <f t="shared" si="14"/>
        <v>6</v>
      </c>
      <c r="AI45" s="225">
        <f t="shared" si="23"/>
        <v>1.7260919999818203E-3</v>
      </c>
      <c r="AJ45" s="265" t="b">
        <f t="shared" si="15"/>
        <v>0</v>
      </c>
      <c r="AK45" s="265" t="b">
        <f t="shared" si="16"/>
        <v>0</v>
      </c>
      <c r="AL45" s="265"/>
      <c r="AM45" s="265"/>
      <c r="AN45" s="75"/>
    </row>
    <row r="46" spans="1:40" s="6" customFormat="1" ht="11.25" x14ac:dyDescent="0.2">
      <c r="A46" s="56">
        <f t="shared" si="17"/>
        <v>44593</v>
      </c>
      <c r="B46" s="618">
        <v>14.49</v>
      </c>
      <c r="C46" s="953"/>
      <c r="D46" s="393">
        <f t="shared" si="0"/>
        <v>14.924849042671084</v>
      </c>
      <c r="E46" s="385">
        <f t="shared" si="1"/>
        <v>15.523968104193216</v>
      </c>
      <c r="F46" s="385">
        <f t="shared" si="2"/>
        <v>15.5263678096159</v>
      </c>
      <c r="G46" s="110">
        <f t="shared" si="18"/>
        <v>0.41937650313110786</v>
      </c>
      <c r="H46" s="412" t="b">
        <f>Wh_hp&gt;='2021'!Maxi_hp</f>
        <v>0</v>
      </c>
      <c r="I46" s="380">
        <f>IF(H46,Wh_hp,'2021'!Maxi_hp)</f>
        <v>29.47119267155292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2.9135908941378408E-2</v>
      </c>
      <c r="M46" s="957"/>
      <c r="N46" s="957"/>
      <c r="O46" s="48">
        <f>IF(t&lt;Tnet,'2021'!Resal+('2021'!Salim-'2021'!Resal)*(1-EXP(('2021'!Tnet-t)/('2021'!Tau_j))),Resal+(Salim-Resal)*(1-EXP((Tnet-t)/(Tau_j))))*Salcycl</f>
        <v>3.859316493701765E-2</v>
      </c>
      <c r="P46" s="339">
        <f>(INDEX(Models!$BJ46:$BT46,,T46)*(1-R46)+INDEX(Models!$BJ46:$BT46,,T46+1)*R46-ERP_i)*Q46*Ramure*Pc/MaxiM</f>
        <v>9.0390842323513632E-4</v>
      </c>
      <c r="Q46" s="305">
        <f t="shared" si="4"/>
        <v>0.7</v>
      </c>
      <c r="R46" s="177">
        <f t="shared" si="5"/>
        <v>1.8256405904222949E-3</v>
      </c>
      <c r="S46" s="919">
        <f t="shared" si="6"/>
        <v>0</v>
      </c>
      <c r="T46" s="176">
        <f t="shared" si="7"/>
        <v>6</v>
      </c>
      <c r="U46" s="251">
        <f t="shared" si="19"/>
        <v>1.8256405904222949E-3</v>
      </c>
      <c r="V46" s="383">
        <f t="shared" si="8"/>
        <v>34.525396888337582</v>
      </c>
      <c r="W46" s="402"/>
      <c r="X46" s="157">
        <f t="shared" si="9"/>
        <v>44593</v>
      </c>
      <c r="Y46" s="385">
        <f t="shared" si="10"/>
        <v>13.621606432316385</v>
      </c>
      <c r="Z46" s="385">
        <f t="shared" si="20"/>
        <v>14.030394735748756</v>
      </c>
      <c r="AA46" s="386">
        <f t="shared" si="11"/>
        <v>15.523968104193216</v>
      </c>
      <c r="AB46" s="197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9.6210798580617318E-2</v>
      </c>
      <c r="AD46" s="231">
        <f>(INDEX(Models!$BJ46:$BT46,,AH46)*(1-AF46)+INDEX(Models!$BJ46:$BT46,,AH46+1)*AF46-ERP_i)*AE46*Ramure*Pc/MaxiM</f>
        <v>9.0390842323513632E-4</v>
      </c>
      <c r="AE46" s="305">
        <f t="shared" si="13"/>
        <v>0.7</v>
      </c>
      <c r="AF46" s="177">
        <f t="shared" si="21"/>
        <v>1.8256405904222949E-3</v>
      </c>
      <c r="AG46" s="919">
        <f t="shared" si="22"/>
        <v>0</v>
      </c>
      <c r="AH46" s="176">
        <f t="shared" si="14"/>
        <v>6</v>
      </c>
      <c r="AI46" s="225">
        <f t="shared" si="23"/>
        <v>1.8256405904222949E-3</v>
      </c>
      <c r="AJ46" s="265" t="b">
        <f t="shared" si="15"/>
        <v>0</v>
      </c>
      <c r="AK46" s="265" t="b">
        <f t="shared" si="16"/>
        <v>0</v>
      </c>
      <c r="AL46" s="265"/>
      <c r="AM46" s="265"/>
      <c r="AN46" s="75"/>
    </row>
    <row r="47" spans="1:40" s="6" customFormat="1" ht="11.25" x14ac:dyDescent="0.2">
      <c r="A47" s="56">
        <f t="shared" si="17"/>
        <v>44594</v>
      </c>
      <c r="B47" s="618">
        <v>5.452</v>
      </c>
      <c r="C47" s="953"/>
      <c r="D47" s="393">
        <f t="shared" si="0"/>
        <v>5.6157390778175245</v>
      </c>
      <c r="E47" s="385">
        <f t="shared" si="1"/>
        <v>5.8425531155631294</v>
      </c>
      <c r="F47" s="385">
        <f t="shared" si="2"/>
        <v>5.8425531155631294</v>
      </c>
      <c r="G47" s="110">
        <f t="shared" si="18"/>
        <v>0.15632659287018294</v>
      </c>
      <c r="H47" s="412" t="b">
        <f>Wh_hp&gt;='2021'!Maxi_hp</f>
        <v>0</v>
      </c>
      <c r="I47" s="380">
        <f>IF(H47,Wh_hp,'2021'!Maxi_hp)</f>
        <v>31.55257955620117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2.9157173356629595E-2</v>
      </c>
      <c r="M47" s="957"/>
      <c r="N47" s="957"/>
      <c r="O47" s="48">
        <f>IF(t&lt;Tnet,'2021'!Resal+('2021'!Salim-'2021'!Resal)*(1-EXP(('2021'!Tnet-t)/('2021'!Tau_j))),Resal+(Salim-Resal)*(1-EXP((Tnet-t)/(Tau_j))))*Salcycl</f>
        <v>3.8821048479889271E-2</v>
      </c>
      <c r="P47" s="339">
        <f>(INDEX(Models!$BJ47:$BT47,,T47)*(1-R47)+INDEX(Models!$BJ47:$BT47,,T47+1)*R47-ERP_i)*Q47*Ramure*Pc/MaxiM</f>
        <v>8.9507371461394086E-4</v>
      </c>
      <c r="Q47" s="305">
        <f t="shared" si="4"/>
        <v>0.7</v>
      </c>
      <c r="R47" s="177">
        <f t="shared" si="5"/>
        <v>1.9293231556671755E-3</v>
      </c>
      <c r="S47" s="919">
        <f t="shared" si="6"/>
        <v>0</v>
      </c>
      <c r="T47" s="176">
        <f t="shared" si="7"/>
        <v>6</v>
      </c>
      <c r="U47" s="251">
        <f t="shared" si="19"/>
        <v>1.9293231556671755E-3</v>
      </c>
      <c r="V47" s="383">
        <f t="shared" si="8"/>
        <v>34.844487800174427</v>
      </c>
      <c r="W47" s="402"/>
      <c r="X47" s="157">
        <f t="shared" si="9"/>
        <v>44594</v>
      </c>
      <c r="Y47" s="385">
        <f t="shared" si="10"/>
        <v>5.1257060307264721</v>
      </c>
      <c r="Z47" s="385">
        <f t="shared" si="20"/>
        <v>5.2796455719287607</v>
      </c>
      <c r="AA47" s="386">
        <f t="shared" si="11"/>
        <v>5.8425531155631294</v>
      </c>
      <c r="AB47" s="197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9.6346157664347329E-2</v>
      </c>
      <c r="AD47" s="231">
        <f>(INDEX(Models!$BJ47:$BT47,,AH47)*(1-AF47)+INDEX(Models!$BJ47:$BT47,,AH47+1)*AF47-ERP_i)*AE47*Ramure*Pc/MaxiM</f>
        <v>8.9507371461394086E-4</v>
      </c>
      <c r="AE47" s="305">
        <f t="shared" si="13"/>
        <v>0.7</v>
      </c>
      <c r="AF47" s="177">
        <f t="shared" si="21"/>
        <v>1.9293231556671755E-3</v>
      </c>
      <c r="AG47" s="919">
        <f t="shared" si="22"/>
        <v>0</v>
      </c>
      <c r="AH47" s="176">
        <f t="shared" si="14"/>
        <v>6</v>
      </c>
      <c r="AI47" s="225">
        <f t="shared" si="23"/>
        <v>1.9293231556671755E-3</v>
      </c>
      <c r="AJ47" s="265" t="b">
        <f t="shared" si="15"/>
        <v>0</v>
      </c>
      <c r="AK47" s="265" t="b">
        <f t="shared" si="16"/>
        <v>0</v>
      </c>
      <c r="AL47" s="265"/>
      <c r="AM47" s="265"/>
      <c r="AN47" s="75"/>
    </row>
    <row r="48" spans="1:40" s="6" customFormat="1" ht="11.25" x14ac:dyDescent="0.2">
      <c r="A48" s="56">
        <f t="shared" si="17"/>
        <v>44595</v>
      </c>
      <c r="B48" s="618">
        <v>11.923</v>
      </c>
      <c r="C48" s="953"/>
      <c r="D48" s="393">
        <f t="shared" si="0"/>
        <v>12.281350619073299</v>
      </c>
      <c r="E48" s="385">
        <f t="shared" si="1"/>
        <v>12.780407941967463</v>
      </c>
      <c r="F48" s="385">
        <f t="shared" si="2"/>
        <v>12.781041294783041</v>
      </c>
      <c r="G48" s="110">
        <f t="shared" si="18"/>
        <v>0.33880340271390885</v>
      </c>
      <c r="H48" s="412" t="b">
        <f>Wh_hp&gt;='2021'!Maxi_hp</f>
        <v>0</v>
      </c>
      <c r="I48" s="380">
        <f>IF(H48,Wh_hp,'2021'!Maxi_hp)</f>
        <v>28.70079034414249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2.9178437306135563E-2</v>
      </c>
      <c r="M48" s="957"/>
      <c r="N48" s="957"/>
      <c r="O48" s="48">
        <f>IF(t&lt;Tnet,'2021'!Resal+('2021'!Salim-'2021'!Resal)*(1-EXP(('2021'!Tnet-t)/('2021'!Tau_j))),Resal+(Salim-Resal)*(1-EXP((Tnet-t)/(Tau_j))))*Salcycl</f>
        <v>3.9048622325692096E-2</v>
      </c>
      <c r="P48" s="339">
        <f>(INDEX(Models!$BJ48:$BT48,,T48)*(1-R48)+INDEX(Models!$BJ48:$BT48,,T48+1)*R48-ERP_i)*Q48*Ramure*Pc/MaxiM</f>
        <v>8.8744048974480382E-4</v>
      </c>
      <c r="Q48" s="305">
        <f t="shared" si="4"/>
        <v>0.7</v>
      </c>
      <c r="R48" s="177">
        <f t="shared" si="5"/>
        <v>2.037309530300159E-3</v>
      </c>
      <c r="S48" s="919">
        <f t="shared" si="6"/>
        <v>0</v>
      </c>
      <c r="T48" s="176">
        <f t="shared" si="7"/>
        <v>6</v>
      </c>
      <c r="U48" s="251">
        <f t="shared" si="19"/>
        <v>2.037309530300159E-3</v>
      </c>
      <c r="V48" s="383">
        <f t="shared" si="8"/>
        <v>35.162012216826128</v>
      </c>
      <c r="W48" s="402"/>
      <c r="X48" s="157">
        <f t="shared" si="9"/>
        <v>44595</v>
      </c>
      <c r="Y48" s="385">
        <f t="shared" si="10"/>
        <v>11.210402610891238</v>
      </c>
      <c r="Z48" s="385">
        <f t="shared" si="20"/>
        <v>11.547335825323328</v>
      </c>
      <c r="AA48" s="386">
        <f t="shared" si="11"/>
        <v>12.780407941967463</v>
      </c>
      <c r="AB48" s="197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9.6481436448914326E-2</v>
      </c>
      <c r="AD48" s="231">
        <f>(INDEX(Models!$BJ48:$BT48,,AH48)*(1-AF48)+INDEX(Models!$BJ48:$BT48,,AH48+1)*AF48-ERP_i)*AE48*Ramure*Pc/MaxiM</f>
        <v>8.8744048974480382E-4</v>
      </c>
      <c r="AE48" s="305">
        <f t="shared" si="13"/>
        <v>0.7</v>
      </c>
      <c r="AF48" s="177">
        <f t="shared" si="21"/>
        <v>2.037309530300159E-3</v>
      </c>
      <c r="AG48" s="919">
        <f t="shared" si="22"/>
        <v>0</v>
      </c>
      <c r="AH48" s="176">
        <f t="shared" si="14"/>
        <v>6</v>
      </c>
      <c r="AI48" s="225">
        <f t="shared" si="23"/>
        <v>2.037309530300159E-3</v>
      </c>
      <c r="AJ48" s="265" t="b">
        <f t="shared" si="15"/>
        <v>0</v>
      </c>
      <c r="AK48" s="265" t="b">
        <f t="shared" si="16"/>
        <v>0</v>
      </c>
      <c r="AL48" s="265"/>
      <c r="AM48" s="265"/>
      <c r="AN48" s="75"/>
    </row>
    <row r="49" spans="1:40" s="6" customFormat="1" ht="11.25" x14ac:dyDescent="0.2">
      <c r="A49" s="56">
        <f t="shared" si="17"/>
        <v>44596</v>
      </c>
      <c r="B49" s="618">
        <v>11.433</v>
      </c>
      <c r="C49" s="953"/>
      <c r="D49" s="393">
        <f t="shared" si="0"/>
        <v>11.776881413512783</v>
      </c>
      <c r="E49" s="385">
        <f t="shared" si="1"/>
        <v>12.25833851267889</v>
      </c>
      <c r="F49" s="385">
        <f t="shared" si="2"/>
        <v>12.258682049594766</v>
      </c>
      <c r="G49" s="110">
        <f t="shared" si="18"/>
        <v>0.32199144592721557</v>
      </c>
      <c r="H49" s="412" t="b">
        <f>Wh_hp&gt;='2021'!Maxi_hp</f>
        <v>0</v>
      </c>
      <c r="I49" s="380">
        <f>IF(H49,Wh_hp,'2021'!Maxi_hp)</f>
        <v>29.923583051666235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2.9199700789906413E-2</v>
      </c>
      <c r="M49" s="957"/>
      <c r="N49" s="957"/>
      <c r="O49" s="48">
        <f>IF(t&lt;Tnet,'2021'!Resal+('2021'!Salim-'2021'!Resal)*(1-EXP(('2021'!Tnet-t)/('2021'!Tau_j))),Resal+(Salim-Resal)*(1-EXP((Tnet-t)/(Tau_j))))*Salcycl</f>
        <v>3.9275885444681899E-2</v>
      </c>
      <c r="P49" s="339">
        <f>(INDEX(Models!$BJ49:$BT49,,T49)*(1-R49)+INDEX(Models!$BJ49:$BT49,,T49+1)*R49-ERP_i)*Q49*Ramure*Pc/MaxiM</f>
        <v>8.8100589765275749E-4</v>
      </c>
      <c r="Q49" s="305">
        <f t="shared" si="4"/>
        <v>0.7</v>
      </c>
      <c r="R49" s="177">
        <f t="shared" si="5"/>
        <v>2.1497763696661266E-3</v>
      </c>
      <c r="S49" s="919">
        <f t="shared" si="6"/>
        <v>0</v>
      </c>
      <c r="T49" s="176">
        <f t="shared" si="7"/>
        <v>6</v>
      </c>
      <c r="U49" s="251">
        <f t="shared" si="19"/>
        <v>2.1497763696661266E-3</v>
      </c>
      <c r="V49" s="383">
        <f t="shared" si="8"/>
        <v>35.476866633535629</v>
      </c>
      <c r="W49" s="402"/>
      <c r="X49" s="157">
        <f t="shared" si="9"/>
        <v>44596</v>
      </c>
      <c r="Y49" s="385">
        <f t="shared" si="10"/>
        <v>10.750622284002256</v>
      </c>
      <c r="Z49" s="385">
        <f t="shared" si="20"/>
        <v>11.073979162088911</v>
      </c>
      <c r="AA49" s="386">
        <f t="shared" si="11"/>
        <v>12.25833851267889</v>
      </c>
      <c r="AB49" s="197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9.6616629518346875E-2</v>
      </c>
      <c r="AD49" s="231">
        <f>(INDEX(Models!$BJ49:$BT49,,AH49)*(1-AF49)+INDEX(Models!$BJ49:$BT49,,AH49+1)*AF49-ERP_i)*AE49*Ramure*Pc/MaxiM</f>
        <v>8.8100589765275749E-4</v>
      </c>
      <c r="AE49" s="305">
        <f t="shared" si="13"/>
        <v>0.7</v>
      </c>
      <c r="AF49" s="177">
        <f t="shared" si="21"/>
        <v>2.1497763696661266E-3</v>
      </c>
      <c r="AG49" s="919">
        <f t="shared" si="22"/>
        <v>0</v>
      </c>
      <c r="AH49" s="176">
        <f t="shared" si="14"/>
        <v>6</v>
      </c>
      <c r="AI49" s="225">
        <f t="shared" si="23"/>
        <v>2.1497763696661266E-3</v>
      </c>
      <c r="AJ49" s="265" t="b">
        <f t="shared" si="15"/>
        <v>0</v>
      </c>
      <c r="AK49" s="265" t="b">
        <f t="shared" si="16"/>
        <v>0</v>
      </c>
      <c r="AL49" s="265"/>
      <c r="AM49" s="265"/>
      <c r="AN49" s="75"/>
    </row>
    <row r="50" spans="1:40" s="6" customFormat="1" ht="11.25" x14ac:dyDescent="0.2">
      <c r="A50" s="56">
        <f t="shared" si="17"/>
        <v>44597</v>
      </c>
      <c r="B50" s="618">
        <v>10.8</v>
      </c>
      <c r="C50" s="953"/>
      <c r="D50" s="393">
        <f t="shared" si="0"/>
        <v>11.125085727400744</v>
      </c>
      <c r="E50" s="385">
        <f t="shared" si="1"/>
        <v>11.582632566407357</v>
      </c>
      <c r="F50" s="385">
        <f t="shared" si="2"/>
        <v>11.582658325123921</v>
      </c>
      <c r="G50" s="110">
        <f t="shared" si="18"/>
        <v>0.30151394833040968</v>
      </c>
      <c r="H50" s="412" t="b">
        <f>Wh_hp&gt;='2021'!Maxi_hp</f>
        <v>0</v>
      </c>
      <c r="I50" s="380">
        <f>IF(H50,Wh_hp,'2021'!Maxi_hp)</f>
        <v>37.591562892350396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2.922096380795236E-2</v>
      </c>
      <c r="M50" s="957"/>
      <c r="N50" s="957"/>
      <c r="O50" s="48">
        <f>IF(t&lt;Tnet,'2021'!Resal+('2021'!Salim-'2021'!Resal)*(1-EXP(('2021'!Tnet-t)/('2021'!Tau_j))),Resal+(Salim-Resal)*(1-EXP((Tnet-t)/(Tau_j))))*Salcycl</f>
        <v>3.9502836370171698E-2</v>
      </c>
      <c r="P50" s="339">
        <f>(INDEX(Models!$BJ50:$BT50,,T50)*(1-R50)+INDEX(Models!$BJ50:$BT50,,T50+1)*R50-ERP_i)*Q50*Ramure*Pc/MaxiM</f>
        <v>8.757670698244539E-4</v>
      </c>
      <c r="Q50" s="305">
        <f t="shared" si="4"/>
        <v>0.7</v>
      </c>
      <c r="R50" s="177">
        <f t="shared" si="5"/>
        <v>2.2669074104469762E-3</v>
      </c>
      <c r="S50" s="919">
        <f t="shared" si="6"/>
        <v>0</v>
      </c>
      <c r="T50" s="176">
        <f t="shared" si="7"/>
        <v>6</v>
      </c>
      <c r="U50" s="251">
        <f t="shared" si="19"/>
        <v>2.2669074104469762E-3</v>
      </c>
      <c r="V50" s="383">
        <f t="shared" si="8"/>
        <v>35.787948692178226</v>
      </c>
      <c r="W50" s="402"/>
      <c r="X50" s="157">
        <f t="shared" si="9"/>
        <v>44597</v>
      </c>
      <c r="Y50" s="385">
        <f t="shared" si="10"/>
        <v>10.156283308207293</v>
      </c>
      <c r="Z50" s="385">
        <f t="shared" si="20"/>
        <v>10.461992821812535</v>
      </c>
      <c r="AA50" s="386">
        <f t="shared" si="11"/>
        <v>11.582632566407357</v>
      </c>
      <c r="AB50" s="197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9.6751730504252384E-2</v>
      </c>
      <c r="AD50" s="231">
        <f>(INDEX(Models!$BJ50:$BT50,,AH50)*(1-AF50)+INDEX(Models!$BJ50:$BT50,,AH50+1)*AF50-ERP_i)*AE50*Ramure*Pc/MaxiM</f>
        <v>8.757670698244539E-4</v>
      </c>
      <c r="AE50" s="305">
        <f t="shared" si="13"/>
        <v>0.7</v>
      </c>
      <c r="AF50" s="177">
        <f t="shared" si="21"/>
        <v>2.2669074104469762E-3</v>
      </c>
      <c r="AG50" s="919">
        <f t="shared" si="22"/>
        <v>0</v>
      </c>
      <c r="AH50" s="176">
        <f t="shared" si="14"/>
        <v>6</v>
      </c>
      <c r="AI50" s="225">
        <f t="shared" si="23"/>
        <v>2.2669074104469762E-3</v>
      </c>
      <c r="AJ50" s="265" t="b">
        <f t="shared" si="15"/>
        <v>0</v>
      </c>
      <c r="AK50" s="265" t="b">
        <f t="shared" si="16"/>
        <v>0</v>
      </c>
      <c r="AL50" s="265"/>
      <c r="AM50" s="265"/>
      <c r="AN50" s="75"/>
    </row>
    <row r="51" spans="1:40" s="6" customFormat="1" ht="11.25" x14ac:dyDescent="0.2">
      <c r="A51" s="56">
        <f t="shared" si="17"/>
        <v>44598</v>
      </c>
      <c r="B51" s="618">
        <v>23.829000000000001</v>
      </c>
      <c r="C51" s="953"/>
      <c r="D51" s="393">
        <f t="shared" si="0"/>
        <v>24.546803174860607</v>
      </c>
      <c r="E51" s="385">
        <f t="shared" si="1"/>
        <v>25.5623831933435</v>
      </c>
      <c r="F51" s="385">
        <f t="shared" si="2"/>
        <v>25.57385089341799</v>
      </c>
      <c r="G51" s="110">
        <f t="shared" si="18"/>
        <v>0.65984007950057511</v>
      </c>
      <c r="H51" s="412" t="b">
        <f>Wh_hp&gt;='2021'!Maxi_hp</f>
        <v>0</v>
      </c>
      <c r="I51" s="380">
        <f>IF(H51,Wh_hp,'2021'!Maxi_hp)</f>
        <v>39.747861870771352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2.924222636028373E-2</v>
      </c>
      <c r="M51" s="957"/>
      <c r="N51" s="957"/>
      <c r="O51" s="48">
        <f>IF(t&lt;Tnet,'2021'!Resal+('2021'!Salim-'2021'!Resal)*(1-EXP(('2021'!Tnet-t)/('2021'!Tau_j))),Resal+(Salim-Resal)*(1-EXP((Tnet-t)/(Tau_j))))*Salcycl</f>
        <v>3.9729473218574972E-2</v>
      </c>
      <c r="P51" s="339">
        <f>(INDEX(Models!$BJ51:$BT51,,T51)*(1-R51)+INDEX(Models!$BJ51:$BT51,,T51+1)*R51-ERP_i)*Q51*Ramure*Pc/MaxiM</f>
        <v>8.7162866948731546E-4</v>
      </c>
      <c r="Q51" s="305">
        <f t="shared" si="4"/>
        <v>0.7</v>
      </c>
      <c r="R51" s="177">
        <f t="shared" si="5"/>
        <v>2.3888937400411256E-3</v>
      </c>
      <c r="S51" s="919">
        <f t="shared" si="6"/>
        <v>0</v>
      </c>
      <c r="T51" s="176">
        <f t="shared" si="7"/>
        <v>6</v>
      </c>
      <c r="U51" s="251">
        <f t="shared" si="19"/>
        <v>2.3888937400411256E-3</v>
      </c>
      <c r="V51" s="383">
        <f t="shared" si="8"/>
        <v>36.098005348387915</v>
      </c>
      <c r="W51" s="402"/>
      <c r="X51" s="157">
        <f t="shared" si="9"/>
        <v>44598</v>
      </c>
      <c r="Y51" s="385">
        <f t="shared" si="10"/>
        <v>22.410649352774669</v>
      </c>
      <c r="Z51" s="385">
        <f t="shared" si="20"/>
        <v>23.085727419672544</v>
      </c>
      <c r="AA51" s="386">
        <f t="shared" si="11"/>
        <v>25.5623831933435</v>
      </c>
      <c r="AB51" s="197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9.6886732153983329E-2</v>
      </c>
      <c r="AD51" s="231">
        <f>(INDEX(Models!$BJ51:$BT51,,AH51)*(1-AF51)+INDEX(Models!$BJ51:$BT51,,AH51+1)*AF51-ERP_i)*AE51*Ramure*Pc/MaxiM</f>
        <v>8.7162866948731546E-4</v>
      </c>
      <c r="AE51" s="305">
        <f t="shared" si="13"/>
        <v>0.7</v>
      </c>
      <c r="AF51" s="177">
        <f t="shared" si="21"/>
        <v>2.3888937400411256E-3</v>
      </c>
      <c r="AG51" s="919">
        <f t="shared" si="22"/>
        <v>0</v>
      </c>
      <c r="AH51" s="176">
        <f t="shared" si="14"/>
        <v>6</v>
      </c>
      <c r="AI51" s="225">
        <f t="shared" si="23"/>
        <v>2.3888937400411256E-3</v>
      </c>
      <c r="AJ51" s="265" t="b">
        <f t="shared" si="15"/>
        <v>0</v>
      </c>
      <c r="AK51" s="265" t="b">
        <f t="shared" si="16"/>
        <v>0</v>
      </c>
      <c r="AL51" s="265"/>
      <c r="AM51" s="265"/>
      <c r="AN51" s="75"/>
    </row>
    <row r="52" spans="1:40" s="6" customFormat="1" ht="11.25" x14ac:dyDescent="0.2">
      <c r="A52" s="56">
        <f t="shared" si="17"/>
        <v>44599</v>
      </c>
      <c r="B52" s="618">
        <v>9.3830000000000009</v>
      </c>
      <c r="C52" s="953"/>
      <c r="D52" s="393">
        <f t="shared" si="0"/>
        <v>9.665856685443984</v>
      </c>
      <c r="E52" s="385">
        <f t="shared" si="1"/>
        <v>10.068137094292277</v>
      </c>
      <c r="F52" s="385">
        <f t="shared" si="2"/>
        <v>10.068137094292277</v>
      </c>
      <c r="G52" s="110">
        <f t="shared" si="18"/>
        <v>0.25747882567294378</v>
      </c>
      <c r="H52" s="412" t="b">
        <f>Wh_hp&gt;='2021'!Maxi_hp</f>
        <v>0</v>
      </c>
      <c r="I52" s="380">
        <f>IF(H52,Wh_hp,'2021'!Maxi_hp)</f>
        <v>25.290736794333089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2.9263488446910513E-2</v>
      </c>
      <c r="M52" s="957"/>
      <c r="N52" s="957"/>
      <c r="O52" s="48">
        <f>IF(t&lt;Tnet,'2021'!Resal+('2021'!Salim-'2021'!Resal)*(1-EXP(('2021'!Tnet-t)/('2021'!Tau_j))),Resal+(Salim-Resal)*(1-EXP((Tnet-t)/(Tau_j))))*Salcycl</f>
        <v>3.995579371643132E-2</v>
      </c>
      <c r="P52" s="339">
        <f>(INDEX(Models!$BJ52:$BT52,,T52)*(1-R52)+INDEX(Models!$BJ52:$BT52,,T52+1)*R52-ERP_i)*Q52*Ramure*Pc/MaxiM</f>
        <v>8.6858751149031211E-4</v>
      </c>
      <c r="Q52" s="305">
        <f t="shared" si="4"/>
        <v>0.7</v>
      </c>
      <c r="R52" s="177">
        <f t="shared" si="5"/>
        <v>2.5159340749425925E-3</v>
      </c>
      <c r="S52" s="919">
        <f t="shared" si="6"/>
        <v>0</v>
      </c>
      <c r="T52" s="176">
        <f t="shared" si="7"/>
        <v>6</v>
      </c>
      <c r="U52" s="251">
        <f t="shared" si="19"/>
        <v>2.5159340749425925E-3</v>
      </c>
      <c r="V52" s="383">
        <f t="shared" si="8"/>
        <v>36.410178657905888</v>
      </c>
      <c r="W52" s="402"/>
      <c r="X52" s="157">
        <f t="shared" si="9"/>
        <v>44599</v>
      </c>
      <c r="Y52" s="385">
        <f t="shared" si="10"/>
        <v>8.8252666115847163</v>
      </c>
      <c r="Z52" s="385">
        <f t="shared" si="20"/>
        <v>9.0913100584473714</v>
      </c>
      <c r="AA52" s="386">
        <f t="shared" si="11"/>
        <v>10.068137094292277</v>
      </c>
      <c r="AB52" s="197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9.7021626413756085E-2</v>
      </c>
      <c r="AD52" s="231">
        <f>(INDEX(Models!$BJ52:$BT52,,AH52)*(1-AF52)+INDEX(Models!$BJ52:$BT52,,AH52+1)*AF52-ERP_i)*AE52*Ramure*Pc/MaxiM</f>
        <v>8.6858751149031211E-4</v>
      </c>
      <c r="AE52" s="305">
        <f t="shared" si="13"/>
        <v>0.7</v>
      </c>
      <c r="AF52" s="177">
        <f t="shared" si="21"/>
        <v>2.5159340749425925E-3</v>
      </c>
      <c r="AG52" s="919">
        <f t="shared" si="22"/>
        <v>0</v>
      </c>
      <c r="AH52" s="176">
        <f t="shared" si="14"/>
        <v>6</v>
      </c>
      <c r="AI52" s="225">
        <f t="shared" si="23"/>
        <v>2.5159340749425925E-3</v>
      </c>
      <c r="AJ52" s="265" t="b">
        <f t="shared" si="15"/>
        <v>0</v>
      </c>
      <c r="AK52" s="265" t="b">
        <f t="shared" si="16"/>
        <v>0</v>
      </c>
      <c r="AL52" s="265"/>
      <c r="AM52" s="265"/>
      <c r="AN52" s="75"/>
    </row>
    <row r="53" spans="1:40" s="6" customFormat="1" ht="11.25" x14ac:dyDescent="0.2">
      <c r="A53" s="56">
        <f t="shared" si="17"/>
        <v>44600</v>
      </c>
      <c r="B53" s="618">
        <v>36.234999999999999</v>
      </c>
      <c r="C53" s="953"/>
      <c r="D53" s="393">
        <f t="shared" si="0"/>
        <v>37.328145408792601</v>
      </c>
      <c r="E53" s="385">
        <f t="shared" si="1"/>
        <v>38.89084956238991</v>
      </c>
      <c r="F53" s="385">
        <f t="shared" si="2"/>
        <v>38.92391427435124</v>
      </c>
      <c r="G53" s="110">
        <f t="shared" si="18"/>
        <v>0.98666843800728599</v>
      </c>
      <c r="H53" s="412" t="b">
        <f>Wh_hp&gt;='2021'!Maxi_hp</f>
        <v>1</v>
      </c>
      <c r="I53" s="380">
        <f>IF(H53,Wh_hp,'2021'!Maxi_hp)</f>
        <v>38.92391427435124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2.9284750067843146E-2</v>
      </c>
      <c r="M53" s="957"/>
      <c r="N53" s="957"/>
      <c r="O53" s="48">
        <f>IF(t&lt;Tnet,'2021'!Resal+('2021'!Salim-'2021'!Resal)*(1-EXP(('2021'!Tnet-t)/('2021'!Tau_j))),Resal+(Salim-Resal)*(1-EXP((Tnet-t)/(Tau_j))))*Salcycl</f>
        <v>4.0181795234130152E-2</v>
      </c>
      <c r="P53" s="339">
        <f>(INDEX(Models!$BJ53:$BT53,,T53)*(1-R53)+INDEX(Models!$BJ53:$BT53,,T53+1)*R53-ERP_i)*Q53*Ramure*Pc/MaxiM</f>
        <v>8.6594219599139669E-4</v>
      </c>
      <c r="Q53" s="305">
        <f t="shared" si="4"/>
        <v>0.7</v>
      </c>
      <c r="R53" s="177">
        <f t="shared" si="5"/>
        <v>2.6482350483088548E-3</v>
      </c>
      <c r="S53" s="919">
        <f t="shared" si="6"/>
        <v>0</v>
      </c>
      <c r="T53" s="176">
        <f t="shared" si="7"/>
        <v>6</v>
      </c>
      <c r="U53" s="251">
        <f t="shared" si="19"/>
        <v>2.6482350483088548E-3</v>
      </c>
      <c r="V53" s="383">
        <f t="shared" si="8"/>
        <v>36.72399079595219</v>
      </c>
      <c r="W53" s="402"/>
      <c r="X53" s="157">
        <f t="shared" si="9"/>
        <v>44600</v>
      </c>
      <c r="Y53" s="385">
        <f t="shared" si="10"/>
        <v>34.08409792560068</v>
      </c>
      <c r="Z53" s="385">
        <f t="shared" si="20"/>
        <v>35.112354449961316</v>
      </c>
      <c r="AA53" s="386">
        <f t="shared" si="11"/>
        <v>38.89084956238991</v>
      </c>
      <c r="AB53" s="197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9.7156404525620133E-2</v>
      </c>
      <c r="AD53" s="231">
        <f>(INDEX(Models!$BJ53:$BT53,,AH53)*(1-AF53)+INDEX(Models!$BJ53:$BT53,,AH53+1)*AF53-ERP_i)*AE53*Ramure*Pc/MaxiM</f>
        <v>8.6594219599139669E-4</v>
      </c>
      <c r="AE53" s="305">
        <f t="shared" si="13"/>
        <v>0.7</v>
      </c>
      <c r="AF53" s="177">
        <f t="shared" si="21"/>
        <v>2.6482350483088548E-3</v>
      </c>
      <c r="AG53" s="919">
        <f t="shared" si="22"/>
        <v>0</v>
      </c>
      <c r="AH53" s="176">
        <f t="shared" si="14"/>
        <v>6</v>
      </c>
      <c r="AI53" s="225">
        <f t="shared" si="23"/>
        <v>2.6482350483088548E-3</v>
      </c>
      <c r="AJ53" s="265" t="b">
        <f t="shared" si="15"/>
        <v>0</v>
      </c>
      <c r="AK53" s="265" t="b">
        <f t="shared" si="16"/>
        <v>0</v>
      </c>
      <c r="AL53" s="265"/>
      <c r="AM53" s="265"/>
      <c r="AN53" s="75"/>
    </row>
    <row r="54" spans="1:40" s="6" customFormat="1" ht="11.25" x14ac:dyDescent="0.2">
      <c r="A54" s="56">
        <f t="shared" si="17"/>
        <v>44601</v>
      </c>
      <c r="B54" s="618">
        <v>36.31</v>
      </c>
      <c r="C54" s="953"/>
      <c r="D54" s="393">
        <f t="shared" si="0"/>
        <v>37.406227317582598</v>
      </c>
      <c r="E54" s="385">
        <f t="shared" si="1"/>
        <v>38.981365877979279</v>
      </c>
      <c r="F54" s="385">
        <f t="shared" si="2"/>
        <v>39.014114888067162</v>
      </c>
      <c r="G54" s="110">
        <f t="shared" si="18"/>
        <v>0.98029582814295124</v>
      </c>
      <c r="H54" s="412" t="b">
        <f>Wh_hp&gt;='2021'!Maxi_hp</f>
        <v>1</v>
      </c>
      <c r="I54" s="380">
        <f>IF(H54,Wh_hp,'2021'!Maxi_hp)</f>
        <v>39.014114888067162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2.9306011223091732E-2</v>
      </c>
      <c r="M54" s="957"/>
      <c r="N54" s="957"/>
      <c r="O54" s="48">
        <f>IF(t&lt;Tnet,'2021'!Resal+('2021'!Salim-'2021'!Resal)*(1-EXP(('2021'!Tnet-t)/('2021'!Tau_j))),Resal+(Salim-Resal)*(1-EXP((Tnet-t)/(Tau_j))))*Salcycl</f>
        <v>4.040747482597782E-2</v>
      </c>
      <c r="P54" s="339">
        <f>(INDEX(Models!$BJ54:$BT54,,T54)*(1-R54)+INDEX(Models!$BJ54:$BT54,,T54+1)*R54-ERP_i)*Q54*Ramure*Pc/MaxiM</f>
        <v>8.6369706054100946E-4</v>
      </c>
      <c r="Q54" s="305">
        <f t="shared" si="4"/>
        <v>0.7</v>
      </c>
      <c r="R54" s="177">
        <f t="shared" si="5"/>
        <v>2.7860115068999874E-3</v>
      </c>
      <c r="S54" s="919">
        <f t="shared" si="6"/>
        <v>0</v>
      </c>
      <c r="T54" s="176">
        <f t="shared" si="7"/>
        <v>6</v>
      </c>
      <c r="U54" s="251">
        <f t="shared" si="19"/>
        <v>2.7860115068999874E-3</v>
      </c>
      <c r="V54" s="383">
        <f t="shared" si="8"/>
        <v>37.038939179077374</v>
      </c>
      <c r="W54" s="402"/>
      <c r="X54" s="157">
        <f t="shared" si="9"/>
        <v>44601</v>
      </c>
      <c r="Y54" s="385">
        <f t="shared" si="10"/>
        <v>34.157583406987776</v>
      </c>
      <c r="Z54" s="385">
        <f t="shared" si="20"/>
        <v>35.188827583064501</v>
      </c>
      <c r="AA54" s="386">
        <f t="shared" si="11"/>
        <v>38.981365877979279</v>
      </c>
      <c r="AB54" s="197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9.729105713705119E-2</v>
      </c>
      <c r="AD54" s="231">
        <f>(INDEX(Models!$BJ54:$BT54,,AH54)*(1-AF54)+INDEX(Models!$BJ54:$BT54,,AH54+1)*AF54-ERP_i)*AE54*Ramure*Pc/MaxiM</f>
        <v>8.6369706054100946E-4</v>
      </c>
      <c r="AE54" s="305">
        <f t="shared" si="13"/>
        <v>0.7</v>
      </c>
      <c r="AF54" s="177">
        <f t="shared" si="21"/>
        <v>2.7860115068999874E-3</v>
      </c>
      <c r="AG54" s="919">
        <f t="shared" si="22"/>
        <v>0</v>
      </c>
      <c r="AH54" s="176">
        <f t="shared" si="14"/>
        <v>6</v>
      </c>
      <c r="AI54" s="225">
        <f t="shared" si="23"/>
        <v>2.7860115068999874E-3</v>
      </c>
      <c r="AJ54" s="265" t="b">
        <f t="shared" si="15"/>
        <v>0</v>
      </c>
      <c r="AK54" s="265" t="b">
        <f t="shared" si="16"/>
        <v>0</v>
      </c>
      <c r="AL54" s="265"/>
      <c r="AM54" s="265"/>
      <c r="AN54" s="75"/>
    </row>
    <row r="55" spans="1:40" s="6" customFormat="1" ht="11.25" x14ac:dyDescent="0.2">
      <c r="A55" s="56">
        <f t="shared" si="17"/>
        <v>44602</v>
      </c>
      <c r="B55" s="618">
        <v>33.731999999999999</v>
      </c>
      <c r="C55" s="953"/>
      <c r="D55" s="393">
        <f t="shared" si="0"/>
        <v>34.751156619458513</v>
      </c>
      <c r="E55" s="385">
        <f t="shared" si="1"/>
        <v>36.222999577148201</v>
      </c>
      <c r="F55" s="385">
        <f t="shared" si="2"/>
        <v>36.249913549485477</v>
      </c>
      <c r="G55" s="110">
        <f t="shared" si="18"/>
        <v>0.90291530510727291</v>
      </c>
      <c r="H55" s="412" t="b">
        <f>Wh_hp&gt;='2021'!Maxi_hp</f>
        <v>1</v>
      </c>
      <c r="I55" s="380">
        <f>IF(H55,Wh_hp,'2021'!Maxi_hp)</f>
        <v>36.249913549485477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2.9327271912666375E-2</v>
      </c>
      <c r="M55" s="957"/>
      <c r="N55" s="957"/>
      <c r="O55" s="48">
        <f>IF(t&lt;Tnet,'2021'!Resal+('2021'!Salim-'2021'!Resal)*(1-EXP(('2021'!Tnet-t)/('2021'!Tau_j))),Resal+(Salim-Resal)*(1-EXP((Tnet-t)/(Tau_j))))*Salcycl</f>
        <v>4.0632829276187825E-2</v>
      </c>
      <c r="P55" s="339">
        <f>(INDEX(Models!$BJ55:$BT55,,T55)*(1-R55)+INDEX(Models!$BJ55:$BT55,,T55+1)*R55-ERP_i)*Q55*Ramure*Pc/MaxiM</f>
        <v>8.6185626119059729E-4</v>
      </c>
      <c r="Q55" s="305">
        <f t="shared" si="4"/>
        <v>0.7</v>
      </c>
      <c r="R55" s="177">
        <f t="shared" si="5"/>
        <v>2.9294868175624945E-3</v>
      </c>
      <c r="S55" s="919">
        <f t="shared" si="6"/>
        <v>0</v>
      </c>
      <c r="T55" s="176">
        <f t="shared" si="7"/>
        <v>6</v>
      </c>
      <c r="U55" s="251">
        <f t="shared" si="19"/>
        <v>2.9294868175624945E-3</v>
      </c>
      <c r="V55" s="383">
        <f t="shared" si="8"/>
        <v>37.35452175097565</v>
      </c>
      <c r="W55" s="402"/>
      <c r="X55" s="157">
        <f t="shared" si="9"/>
        <v>44602</v>
      </c>
      <c r="Y55" s="385">
        <f t="shared" si="10"/>
        <v>31.735128585474168</v>
      </c>
      <c r="Z55" s="385">
        <f t="shared" si="20"/>
        <v>32.693953036062723</v>
      </c>
      <c r="AA55" s="386">
        <f t="shared" si="11"/>
        <v>36.222999577148201</v>
      </c>
      <c r="AB55" s="197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9.7425574421832931E-2</v>
      </c>
      <c r="AD55" s="231">
        <f>(INDEX(Models!$BJ55:$BT55,,AH55)*(1-AF55)+INDEX(Models!$BJ55:$BT55,,AH55+1)*AF55-ERP_i)*AE55*Ramure*Pc/MaxiM</f>
        <v>8.6185626119059729E-4</v>
      </c>
      <c r="AE55" s="305">
        <f t="shared" si="13"/>
        <v>0.7</v>
      </c>
      <c r="AF55" s="177">
        <f t="shared" si="21"/>
        <v>2.9294868175624945E-3</v>
      </c>
      <c r="AG55" s="919">
        <f t="shared" si="22"/>
        <v>0</v>
      </c>
      <c r="AH55" s="176">
        <f t="shared" si="14"/>
        <v>6</v>
      </c>
      <c r="AI55" s="225">
        <f t="shared" si="23"/>
        <v>2.9294868175624945E-3</v>
      </c>
      <c r="AJ55" s="265" t="b">
        <f t="shared" si="15"/>
        <v>0</v>
      </c>
      <c r="AK55" s="265" t="b">
        <f t="shared" si="16"/>
        <v>0</v>
      </c>
      <c r="AL55" s="265"/>
      <c r="AM55" s="265"/>
      <c r="AN55" s="75"/>
    </row>
    <row r="56" spans="1:40" s="6" customFormat="1" ht="11.25" x14ac:dyDescent="0.2">
      <c r="A56" s="56">
        <f t="shared" si="17"/>
        <v>44603</v>
      </c>
      <c r="B56" s="618">
        <v>16.978000000000002</v>
      </c>
      <c r="C56" s="953"/>
      <c r="D56" s="393">
        <f t="shared" si="0"/>
        <v>17.491345309940769</v>
      </c>
      <c r="E56" s="385">
        <f t="shared" si="1"/>
        <v>18.236447437811183</v>
      </c>
      <c r="F56" s="385">
        <f t="shared" si="2"/>
        <v>18.239826142257737</v>
      </c>
      <c r="G56" s="110">
        <f t="shared" si="18"/>
        <v>0.45039627908340751</v>
      </c>
      <c r="H56" s="412" t="b">
        <f>Wh_hp&gt;='2021'!Maxi_hp</f>
        <v>0</v>
      </c>
      <c r="I56" s="380">
        <f>IF(H56,Wh_hp,'2021'!Maxi_hp)</f>
        <v>32.069160070810902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2.9348532136577399E-2</v>
      </c>
      <c r="M56" s="957"/>
      <c r="N56" s="957"/>
      <c r="O56" s="48">
        <f>IF(t&lt;Tnet,'2021'!Resal+('2021'!Salim-'2021'!Resal)*(1-EXP(('2021'!Tnet-t)/('2021'!Tau_j))),Resal+(Salim-Resal)*(1-EXP((Tnet-t)/(Tau_j))))*Salcycl</f>
        <v>4.0857855150314447E-2</v>
      </c>
      <c r="P56" s="339">
        <f>(INDEX(Models!$BJ56:$BT56,,T56)*(1-R56)+INDEX(Models!$BJ56:$BT56,,T56+1)*R56-ERP_i)*Q56*Ramure*Pc/MaxiM</f>
        <v>8.6042386121959068E-4</v>
      </c>
      <c r="Q56" s="305">
        <f t="shared" si="4"/>
        <v>0.7</v>
      </c>
      <c r="R56" s="177">
        <f t="shared" si="5"/>
        <v>3.0788931834236999E-3</v>
      </c>
      <c r="S56" s="919">
        <f t="shared" si="6"/>
        <v>0</v>
      </c>
      <c r="T56" s="176">
        <f t="shared" si="7"/>
        <v>6</v>
      </c>
      <c r="U56" s="251">
        <f t="shared" si="19"/>
        <v>3.0788931834236999E-3</v>
      </c>
      <c r="V56" s="383">
        <f t="shared" si="8"/>
        <v>37.670236976615435</v>
      </c>
      <c r="W56" s="402"/>
      <c r="X56" s="157">
        <f t="shared" si="9"/>
        <v>44603</v>
      </c>
      <c r="Y56" s="385">
        <f t="shared" si="10"/>
        <v>15.974302990965169</v>
      </c>
      <c r="Z56" s="385">
        <f t="shared" si="20"/>
        <v>16.457300606702287</v>
      </c>
      <c r="AA56" s="386">
        <f t="shared" si="11"/>
        <v>18.236447437811183</v>
      </c>
      <c r="AB56" s="197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9.7559946210797513E-2</v>
      </c>
      <c r="AD56" s="231">
        <f>(INDEX(Models!$BJ56:$BT56,,AH56)*(1-AF56)+INDEX(Models!$BJ56:$BT56,,AH56+1)*AF56-ERP_i)*AE56*Ramure*Pc/MaxiM</f>
        <v>8.6042386121959068E-4</v>
      </c>
      <c r="AE56" s="305">
        <f t="shared" si="13"/>
        <v>0.7</v>
      </c>
      <c r="AF56" s="177">
        <f t="shared" si="21"/>
        <v>3.0788931834236999E-3</v>
      </c>
      <c r="AG56" s="919">
        <f t="shared" si="22"/>
        <v>0</v>
      </c>
      <c r="AH56" s="176">
        <f t="shared" si="14"/>
        <v>6</v>
      </c>
      <c r="AI56" s="225">
        <f t="shared" si="23"/>
        <v>3.0788931834236999E-3</v>
      </c>
      <c r="AJ56" s="265" t="b">
        <f t="shared" si="15"/>
        <v>0</v>
      </c>
      <c r="AK56" s="265" t="b">
        <f t="shared" si="16"/>
        <v>0</v>
      </c>
      <c r="AL56" s="265"/>
      <c r="AM56" s="265"/>
      <c r="AN56" s="75"/>
    </row>
    <row r="57" spans="1:40" s="6" customFormat="1" ht="11.25" x14ac:dyDescent="0.2">
      <c r="A57" s="56">
        <f t="shared" si="17"/>
        <v>44604</v>
      </c>
      <c r="B57" s="618">
        <v>28.234000000000002</v>
      </c>
      <c r="C57" s="953"/>
      <c r="D57" s="393">
        <f t="shared" si="0"/>
        <v>29.088317841577961</v>
      </c>
      <c r="E57" s="385">
        <f t="shared" si="1"/>
        <v>30.334537980033261</v>
      </c>
      <c r="F57" s="385">
        <f t="shared" si="2"/>
        <v>30.351055816829202</v>
      </c>
      <c r="G57" s="110">
        <f t="shared" si="18"/>
        <v>0.74304758731002063</v>
      </c>
      <c r="H57" s="412" t="b">
        <f>Wh_hp&gt;='2021'!Maxi_hp</f>
        <v>0</v>
      </c>
      <c r="I57" s="380">
        <f>IF(H57,Wh_hp,'2021'!Maxi_hp)</f>
        <v>40.986650074876621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2.9369791894834907E-2</v>
      </c>
      <c r="M57" s="957"/>
      <c r="N57" s="957"/>
      <c r="O57" s="48">
        <f>IF(t&lt;Tnet,'2021'!Resal+('2021'!Salim-'2021'!Resal)*(1-EXP(('2021'!Tnet-t)/('2021'!Tau_j))),Resal+(Salim-Resal)*(1-EXP((Tnet-t)/(Tau_j))))*Salcycl</f>
        <v>4.1082548851595638E-2</v>
      </c>
      <c r="P57" s="339">
        <f>(INDEX(Models!$BJ57:$BT57,,T57)*(1-R57)+INDEX(Models!$BJ57:$BT57,,T57+1)*R57-ERP_i)*Q57*Ramure*Pc/MaxiM</f>
        <v>8.594039184521144E-4</v>
      </c>
      <c r="Q57" s="305">
        <f t="shared" si="4"/>
        <v>0.7</v>
      </c>
      <c r="R57" s="177">
        <f t="shared" si="5"/>
        <v>3.2344719699465415E-3</v>
      </c>
      <c r="S57" s="919">
        <f t="shared" si="6"/>
        <v>0</v>
      </c>
      <c r="T57" s="176">
        <f t="shared" si="7"/>
        <v>6</v>
      </c>
      <c r="U57" s="251">
        <f t="shared" si="19"/>
        <v>3.2344719699465415E-3</v>
      </c>
      <c r="V57" s="383">
        <f t="shared" si="8"/>
        <v>37.985583838781601</v>
      </c>
      <c r="W57" s="402"/>
      <c r="X57" s="157">
        <f t="shared" si="9"/>
        <v>44604</v>
      </c>
      <c r="Y57" s="385">
        <f t="shared" si="10"/>
        <v>26.56714923259117</v>
      </c>
      <c r="Z57" s="385">
        <f t="shared" si="20"/>
        <v>27.371030708445346</v>
      </c>
      <c r="AA57" s="386">
        <f t="shared" si="11"/>
        <v>30.334537980033261</v>
      </c>
      <c r="AB57" s="197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9.7694162130919859E-2</v>
      </c>
      <c r="AD57" s="231">
        <f>(INDEX(Models!$BJ57:$BT57,,AH57)*(1-AF57)+INDEX(Models!$BJ57:$BT57,,AH57+1)*AF57-ERP_i)*AE57*Ramure*Pc/MaxiM</f>
        <v>8.594039184521144E-4</v>
      </c>
      <c r="AE57" s="305">
        <f t="shared" si="13"/>
        <v>0.7</v>
      </c>
      <c r="AF57" s="177">
        <f t="shared" si="21"/>
        <v>3.2344719699465415E-3</v>
      </c>
      <c r="AG57" s="919">
        <f t="shared" si="22"/>
        <v>0</v>
      </c>
      <c r="AH57" s="176">
        <f t="shared" si="14"/>
        <v>6</v>
      </c>
      <c r="AI57" s="225">
        <f t="shared" si="23"/>
        <v>3.2344719699465415E-3</v>
      </c>
      <c r="AJ57" s="265" t="b">
        <f t="shared" si="15"/>
        <v>0</v>
      </c>
      <c r="AK57" s="265" t="b">
        <f t="shared" si="16"/>
        <v>0</v>
      </c>
      <c r="AL57" s="265"/>
      <c r="AM57" s="265"/>
      <c r="AN57" s="75"/>
    </row>
    <row r="58" spans="1:40" s="6" customFormat="1" ht="11.25" x14ac:dyDescent="0.2">
      <c r="A58" s="56">
        <f t="shared" si="17"/>
        <v>44605</v>
      </c>
      <c r="B58" s="618">
        <v>34.497999999999998</v>
      </c>
      <c r="C58" s="953"/>
      <c r="D58" s="393">
        <f t="shared" si="0"/>
        <v>35.542635416874191</v>
      </c>
      <c r="E58" s="385">
        <f t="shared" si="1"/>
        <v>37.074049729354513</v>
      </c>
      <c r="F58" s="385">
        <f t="shared" si="2"/>
        <v>37.101391406785993</v>
      </c>
      <c r="G58" s="110">
        <f t="shared" si="18"/>
        <v>0.90061977627771084</v>
      </c>
      <c r="H58" s="412" t="b">
        <f>Wh_hp&gt;='2021'!Maxi_hp</f>
        <v>0</v>
      </c>
      <c r="I58" s="380">
        <f>IF(H58,Wh_hp,'2021'!Maxi_hp)</f>
        <v>42.930559585857665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2.9391051187449113E-2</v>
      </c>
      <c r="M58" s="957"/>
      <c r="N58" s="957"/>
      <c r="O58" s="48">
        <f>IF(t&lt;Tnet,'2021'!Resal+('2021'!Salim-'2021'!Resal)*(1-EXP(('2021'!Tnet-t)/('2021'!Tau_j))),Resal+(Salim-Resal)*(1-EXP((Tnet-t)/(Tau_j))))*Salcycl</f>
        <v>4.1306906681623783E-2</v>
      </c>
      <c r="P58" s="339">
        <f>(INDEX(Models!$BJ58:$BT58,,T58)*(1-R58)+INDEX(Models!$BJ58:$BT58,,T58+1)*R58-ERP_i)*Q58*Ramure*Pc/MaxiM</f>
        <v>8.5872479716851571E-4</v>
      </c>
      <c r="Q58" s="305">
        <f t="shared" si="4"/>
        <v>0.7</v>
      </c>
      <c r="R58" s="177">
        <f t="shared" si="5"/>
        <v>3.396474040985724E-3</v>
      </c>
      <c r="S58" s="919">
        <f t="shared" si="6"/>
        <v>0</v>
      </c>
      <c r="T58" s="176">
        <f t="shared" si="7"/>
        <v>6</v>
      </c>
      <c r="U58" s="251">
        <f t="shared" si="19"/>
        <v>3.396474040985724E-3</v>
      </c>
      <c r="V58" s="383">
        <f t="shared" si="8"/>
        <v>38.300064737501977</v>
      </c>
      <c r="W58" s="402"/>
      <c r="X58" s="157">
        <f t="shared" si="9"/>
        <v>44605</v>
      </c>
      <c r="Y58" s="385">
        <f t="shared" si="10"/>
        <v>32.46411449912393</v>
      </c>
      <c r="Z58" s="385">
        <f t="shared" si="20"/>
        <v>33.44716174195667</v>
      </c>
      <c r="AA58" s="386">
        <f t="shared" si="11"/>
        <v>37.074049729354513</v>
      </c>
      <c r="AB58" s="197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9.7828211751200878E-2</v>
      </c>
      <c r="AD58" s="231">
        <f>(INDEX(Models!$BJ58:$BT58,,AH58)*(1-AF58)+INDEX(Models!$BJ58:$BT58,,AH58+1)*AF58-ERP_i)*AE58*Ramure*Pc/MaxiM</f>
        <v>8.5872479716851571E-4</v>
      </c>
      <c r="AE58" s="305">
        <f t="shared" si="13"/>
        <v>0.7</v>
      </c>
      <c r="AF58" s="177">
        <f t="shared" si="21"/>
        <v>3.396474040985724E-3</v>
      </c>
      <c r="AG58" s="919">
        <f t="shared" si="22"/>
        <v>0</v>
      </c>
      <c r="AH58" s="176">
        <f t="shared" si="14"/>
        <v>6</v>
      </c>
      <c r="AI58" s="225">
        <f t="shared" si="23"/>
        <v>3.396474040985724E-3</v>
      </c>
      <c r="AJ58" s="265" t="b">
        <f t="shared" si="15"/>
        <v>0</v>
      </c>
      <c r="AK58" s="265" t="b">
        <f t="shared" si="16"/>
        <v>0</v>
      </c>
      <c r="AL58" s="265"/>
      <c r="AM58" s="265"/>
      <c r="AN58" s="75"/>
    </row>
    <row r="59" spans="1:40" s="6" customFormat="1" ht="11.25" x14ac:dyDescent="0.2">
      <c r="A59" s="56">
        <f t="shared" si="17"/>
        <v>44606</v>
      </c>
      <c r="B59" s="618">
        <v>19.135000000000002</v>
      </c>
      <c r="C59" s="953"/>
      <c r="D59" s="393">
        <f t="shared" si="0"/>
        <v>19.714859561308153</v>
      </c>
      <c r="E59" s="385">
        <f t="shared" si="1"/>
        <v>20.569113885441098</v>
      </c>
      <c r="F59" s="385">
        <f t="shared" si="2"/>
        <v>20.574046071191571</v>
      </c>
      <c r="G59" s="110">
        <f t="shared" si="18"/>
        <v>0.49524952839813507</v>
      </c>
      <c r="H59" s="412" t="b">
        <f>Wh_hp&gt;='2021'!Maxi_hp</f>
        <v>0</v>
      </c>
      <c r="I59" s="380">
        <f>IF(H59,Wh_hp,'2021'!Maxi_hp)</f>
        <v>42.898613753230741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2.9412310014430343E-2</v>
      </c>
      <c r="M59" s="957"/>
      <c r="N59" s="957"/>
      <c r="O59" s="48">
        <f>IF(t&lt;Tnet,'2021'!Resal+('2021'!Salim-'2021'!Resal)*(1-EXP(('2021'!Tnet-t)/('2021'!Tau_j))),Resal+(Salim-Resal)*(1-EXP((Tnet-t)/(Tau_j))))*Salcycl</f>
        <v>4.1530924904722717E-2</v>
      </c>
      <c r="P59" s="339">
        <f>(INDEX(Models!$BJ59:$BT59,,T59)*(1-R59)+INDEX(Models!$BJ59:$BT59,,T59+1)*R59-ERP_i)*Q59*Ramure*Pc/MaxiM</f>
        <v>8.5811699664215023E-4</v>
      </c>
      <c r="Q59" s="305">
        <f t="shared" si="4"/>
        <v>0.7</v>
      </c>
      <c r="R59" s="177">
        <f t="shared" si="5"/>
        <v>3.5651601049674271E-3</v>
      </c>
      <c r="S59" s="919">
        <f t="shared" si="6"/>
        <v>0</v>
      </c>
      <c r="T59" s="176">
        <f t="shared" si="7"/>
        <v>6</v>
      </c>
      <c r="U59" s="251">
        <f t="shared" si="19"/>
        <v>3.5651601049674271E-3</v>
      </c>
      <c r="V59" s="383">
        <f t="shared" si="8"/>
        <v>38.613190326749859</v>
      </c>
      <c r="W59" s="402"/>
      <c r="X59" s="157">
        <f t="shared" si="9"/>
        <v>44606</v>
      </c>
      <c r="Y59" s="385">
        <f t="shared" si="10"/>
        <v>18.008401060727213</v>
      </c>
      <c r="Z59" s="385">
        <f t="shared" si="20"/>
        <v>18.554120608097712</v>
      </c>
      <c r="AA59" s="386">
        <f t="shared" si="11"/>
        <v>20.569113885441098</v>
      </c>
      <c r="AB59" s="197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9.7962084733733024E-2</v>
      </c>
      <c r="AD59" s="231">
        <f>(INDEX(Models!$BJ59:$BT59,,AH59)*(1-AF59)+INDEX(Models!$BJ59:$BT59,,AH59+1)*AF59-ERP_i)*AE59*Ramure*Pc/MaxiM</f>
        <v>8.5811699664215023E-4</v>
      </c>
      <c r="AE59" s="305">
        <f t="shared" si="13"/>
        <v>0.7</v>
      </c>
      <c r="AF59" s="177">
        <f t="shared" si="21"/>
        <v>3.5651601049674271E-3</v>
      </c>
      <c r="AG59" s="919">
        <f t="shared" si="22"/>
        <v>0</v>
      </c>
      <c r="AH59" s="176">
        <f t="shared" si="14"/>
        <v>6</v>
      </c>
      <c r="AI59" s="225">
        <f t="shared" si="23"/>
        <v>3.5651601049674271E-3</v>
      </c>
      <c r="AJ59" s="265" t="b">
        <f t="shared" si="15"/>
        <v>0</v>
      </c>
      <c r="AK59" s="265" t="b">
        <f t="shared" si="16"/>
        <v>0</v>
      </c>
      <c r="AL59" s="265"/>
      <c r="AM59" s="265"/>
      <c r="AN59" s="75"/>
    </row>
    <row r="60" spans="1:40" s="6" customFormat="1" ht="11.25" x14ac:dyDescent="0.2">
      <c r="A60" s="56">
        <f t="shared" si="17"/>
        <v>44607</v>
      </c>
      <c r="B60" s="618">
        <v>18.853999999999999</v>
      </c>
      <c r="C60" s="953"/>
      <c r="D60" s="393">
        <f t="shared" si="0"/>
        <v>19.425769721345549</v>
      </c>
      <c r="E60" s="385">
        <f t="shared" si="1"/>
        <v>20.272228510152836</v>
      </c>
      <c r="F60" s="385">
        <f t="shared" si="2"/>
        <v>20.276808675914122</v>
      </c>
      <c r="G60" s="110">
        <f t="shared" si="18"/>
        <v>0.48406802519947828</v>
      </c>
      <c r="H60" s="412" t="b">
        <f>Wh_hp&gt;='2021'!Maxi_hp</f>
        <v>0</v>
      </c>
      <c r="I60" s="380">
        <f>IF(H60,Wh_hp,'2021'!Maxi_hp)</f>
        <v>43.307632323541206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2.9433568375788699E-2</v>
      </c>
      <c r="M60" s="957"/>
      <c r="N60" s="957"/>
      <c r="O60" s="48">
        <f>IF(t&lt;Tnet,'2021'!Resal+('2021'!Salim-'2021'!Resal)*(1-EXP(('2021'!Tnet-t)/('2021'!Tau_j))),Resal+(Salim-Resal)*(1-EXP((Tnet-t)/(Tau_j))))*Salcycl</f>
        <v>4.1754599815375909E-2</v>
      </c>
      <c r="P60" s="339">
        <f>(INDEX(Models!$BJ60:$BT60,,T60)*(1-R60)+INDEX(Models!$BJ60:$BT60,,T60+1)*R60-ERP_i)*Q60*Ramure*Pc/MaxiM</f>
        <v>8.5759012679872721E-4</v>
      </c>
      <c r="Q60" s="305">
        <f t="shared" si="4"/>
        <v>0.7</v>
      </c>
      <c r="R60" s="177">
        <f t="shared" si="5"/>
        <v>3.7408010712978667E-3</v>
      </c>
      <c r="S60" s="919">
        <f t="shared" si="6"/>
        <v>0</v>
      </c>
      <c r="T60" s="176">
        <f t="shared" si="7"/>
        <v>6</v>
      </c>
      <c r="U60" s="251">
        <f t="shared" si="19"/>
        <v>3.7408010712978667E-3</v>
      </c>
      <c r="V60" s="383">
        <f t="shared" si="8"/>
        <v>38.924461238659866</v>
      </c>
      <c r="W60" s="402"/>
      <c r="X60" s="157">
        <f t="shared" si="9"/>
        <v>44607</v>
      </c>
      <c r="Y60" s="385">
        <f t="shared" si="10"/>
        <v>17.745456780183876</v>
      </c>
      <c r="Z60" s="385">
        <f t="shared" si="20"/>
        <v>18.283608624798028</v>
      </c>
      <c r="AA60" s="386">
        <f t="shared" si="11"/>
        <v>20.272228510152836</v>
      </c>
      <c r="AB60" s="197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9.8095770988318273E-2</v>
      </c>
      <c r="AD60" s="231">
        <f>(INDEX(Models!$BJ60:$BT60,,AH60)*(1-AF60)+INDEX(Models!$BJ60:$BT60,,AH60+1)*AF60-ERP_i)*AE60*Ramure*Pc/MaxiM</f>
        <v>8.5759012679872721E-4</v>
      </c>
      <c r="AE60" s="305">
        <f t="shared" si="13"/>
        <v>0.7</v>
      </c>
      <c r="AF60" s="177">
        <f t="shared" si="21"/>
        <v>3.7408010712978667E-3</v>
      </c>
      <c r="AG60" s="919">
        <f t="shared" si="22"/>
        <v>0</v>
      </c>
      <c r="AH60" s="176">
        <f t="shared" si="14"/>
        <v>6</v>
      </c>
      <c r="AI60" s="225">
        <f t="shared" si="23"/>
        <v>3.7408010712978667E-3</v>
      </c>
      <c r="AJ60" s="265" t="b">
        <f t="shared" si="15"/>
        <v>0</v>
      </c>
      <c r="AK60" s="265" t="b">
        <f t="shared" si="16"/>
        <v>0</v>
      </c>
      <c r="AL60" s="265"/>
      <c r="AM60" s="265"/>
      <c r="AN60" s="75"/>
    </row>
    <row r="61" spans="1:40" s="6" customFormat="1" ht="11.25" x14ac:dyDescent="0.2">
      <c r="A61" s="56">
        <f t="shared" si="17"/>
        <v>44608</v>
      </c>
      <c r="B61" s="618">
        <v>8.1989999999999998</v>
      </c>
      <c r="C61" s="953"/>
      <c r="D61" s="393">
        <f t="shared" si="0"/>
        <v>8.4478293457506552</v>
      </c>
      <c r="E61" s="385">
        <f t="shared" si="1"/>
        <v>8.8179903062377765</v>
      </c>
      <c r="F61" s="385">
        <f t="shared" si="2"/>
        <v>8.8179903062377765</v>
      </c>
      <c r="G61" s="110">
        <f t="shared" si="18"/>
        <v>0.20880108948101742</v>
      </c>
      <c r="H61" s="412" t="b">
        <f>Wh_hp&gt;='2021'!Maxi_hp</f>
        <v>0</v>
      </c>
      <c r="I61" s="380">
        <f>IF(H61,Wh_hp,'2021'!Maxi_hp)</f>
        <v>43.625435149292962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2.9454826271534285E-2</v>
      </c>
      <c r="M61" s="957"/>
      <c r="N61" s="957"/>
      <c r="O61" s="48">
        <f>IF(t&lt;Tnet,'2021'!Resal+('2021'!Salim-'2021'!Resal)*(1-EXP(('2021'!Tnet-t)/('2021'!Tau_j))),Resal+(Salim-Resal)*(1-EXP((Tnet-t)/(Tau_j))))*Salcycl</f>
        <v>4.1977927808025783E-2</v>
      </c>
      <c r="P61" s="339">
        <f>(INDEX(Models!$BJ61:$BT61,,T61)*(1-R61)+INDEX(Models!$BJ61:$BT61,,T61+1)*R61-ERP_i)*Q61*Ramure*Pc/MaxiM</f>
        <v>8.5715354415942524E-4</v>
      </c>
      <c r="Q61" s="305">
        <f t="shared" si="4"/>
        <v>0.7</v>
      </c>
      <c r="R61" s="177">
        <f t="shared" si="5"/>
        <v>3.9236784170859455E-3</v>
      </c>
      <c r="S61" s="919">
        <f t="shared" si="6"/>
        <v>0</v>
      </c>
      <c r="T61" s="176">
        <f t="shared" si="7"/>
        <v>6</v>
      </c>
      <c r="U61" s="251">
        <f t="shared" si="19"/>
        <v>3.9236784170859455E-3</v>
      </c>
      <c r="V61" s="383">
        <f t="shared" si="8"/>
        <v>39.233378611447279</v>
      </c>
      <c r="W61" s="402"/>
      <c r="X61" s="157">
        <f t="shared" si="9"/>
        <v>44608</v>
      </c>
      <c r="Y61" s="385">
        <f t="shared" si="10"/>
        <v>7.7175865828918369</v>
      </c>
      <c r="Z61" s="385">
        <f t="shared" si="20"/>
        <v>7.9518056364587357</v>
      </c>
      <c r="AA61" s="386">
        <f t="shared" si="11"/>
        <v>8.8179903062377765</v>
      </c>
      <c r="AB61" s="197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9.8229260829001908E-2</v>
      </c>
      <c r="AD61" s="231">
        <f>(INDEX(Models!$BJ61:$BT61,,AH61)*(1-AF61)+INDEX(Models!$BJ61:$BT61,,AH61+1)*AF61-ERP_i)*AE61*Ramure*Pc/MaxiM</f>
        <v>8.5715354415942524E-4</v>
      </c>
      <c r="AE61" s="305">
        <f t="shared" si="13"/>
        <v>0.7</v>
      </c>
      <c r="AF61" s="177">
        <f t="shared" si="21"/>
        <v>3.9236784170859455E-3</v>
      </c>
      <c r="AG61" s="919">
        <f t="shared" si="22"/>
        <v>0</v>
      </c>
      <c r="AH61" s="176">
        <f t="shared" si="14"/>
        <v>6</v>
      </c>
      <c r="AI61" s="225">
        <f t="shared" si="23"/>
        <v>3.9236784170859455E-3</v>
      </c>
      <c r="AJ61" s="265" t="b">
        <f t="shared" si="15"/>
        <v>0</v>
      </c>
      <c r="AK61" s="265" t="b">
        <f t="shared" si="16"/>
        <v>0</v>
      </c>
      <c r="AL61" s="265"/>
      <c r="AM61" s="265"/>
      <c r="AN61" s="75"/>
    </row>
    <row r="62" spans="1:40" s="6" customFormat="1" ht="11.25" x14ac:dyDescent="0.2">
      <c r="A62" s="56">
        <f t="shared" si="17"/>
        <v>44609</v>
      </c>
      <c r="B62" s="618">
        <v>9.58</v>
      </c>
      <c r="C62" s="953"/>
      <c r="D62" s="393">
        <f t="shared" si="0"/>
        <v>9.8709571594475491</v>
      </c>
      <c r="E62" s="385">
        <f t="shared" si="1"/>
        <v>10.305874390150896</v>
      </c>
      <c r="F62" s="385">
        <f t="shared" si="2"/>
        <v>10.305874390150896</v>
      </c>
      <c r="G62" s="110">
        <f t="shared" si="18"/>
        <v>0.24208210107638284</v>
      </c>
      <c r="H62" s="412" t="b">
        <f>Wh_hp&gt;='2021'!Maxi_hp</f>
        <v>0</v>
      </c>
      <c r="I62" s="380">
        <f>IF(H62,Wh_hp,'2021'!Maxi_hp)</f>
        <v>44.343925318135149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2.9476083701677536E-2</v>
      </c>
      <c r="M62" s="957"/>
      <c r="N62" s="957"/>
      <c r="O62" s="48">
        <f>IF(t&lt;Tnet,'2021'!Resal+('2021'!Salim-'2021'!Resal)*(1-EXP(('2021'!Tnet-t)/('2021'!Tau_j))),Resal+(Salim-Resal)*(1-EXP((Tnet-t)/(Tau_j))))*Salcycl</f>
        <v>4.2200905448545718E-2</v>
      </c>
      <c r="P62" s="339">
        <f>(INDEX(Models!$BJ62:$BT62,,T62)*(1-R62)+INDEX(Models!$BJ62:$BT62,,T62+1)*R62-ERP_i)*Q62*Ramure*Pc/MaxiM</f>
        <v>8.5681639808809953E-4</v>
      </c>
      <c r="Q62" s="305">
        <f t="shared" si="4"/>
        <v>0.7</v>
      </c>
      <c r="R62" s="177">
        <f t="shared" si="5"/>
        <v>4.1140845642422801E-3</v>
      </c>
      <c r="S62" s="919">
        <f t="shared" si="6"/>
        <v>0</v>
      </c>
      <c r="T62" s="176">
        <f t="shared" si="7"/>
        <v>6</v>
      </c>
      <c r="U62" s="251">
        <f t="shared" si="19"/>
        <v>4.1140845642422801E-3</v>
      </c>
      <c r="V62" s="383">
        <f t="shared" si="8"/>
        <v>39.539444082593207</v>
      </c>
      <c r="W62" s="402"/>
      <c r="X62" s="157">
        <f t="shared" si="9"/>
        <v>44609</v>
      </c>
      <c r="Y62" s="385">
        <f t="shared" si="10"/>
        <v>9.0182657999808562</v>
      </c>
      <c r="Z62" s="385">
        <f t="shared" si="20"/>
        <v>9.2921623553363268</v>
      </c>
      <c r="AA62" s="386">
        <f t="shared" si="11"/>
        <v>10.305874390150896</v>
      </c>
      <c r="AB62" s="197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9.8362545130896595E-2</v>
      </c>
      <c r="AD62" s="231">
        <f>(INDEX(Models!$BJ62:$BT62,,AH62)*(1-AF62)+INDEX(Models!$BJ62:$BT62,,AH62+1)*AF62-ERP_i)*AE62*Ramure*Pc/MaxiM</f>
        <v>8.5681639808809953E-4</v>
      </c>
      <c r="AE62" s="305">
        <f t="shared" si="13"/>
        <v>0.7</v>
      </c>
      <c r="AF62" s="177">
        <f t="shared" si="21"/>
        <v>4.1140845642422801E-3</v>
      </c>
      <c r="AG62" s="919">
        <f t="shared" si="22"/>
        <v>0</v>
      </c>
      <c r="AH62" s="176">
        <f t="shared" si="14"/>
        <v>6</v>
      </c>
      <c r="AI62" s="225">
        <f t="shared" si="23"/>
        <v>4.1140845642422801E-3</v>
      </c>
      <c r="AJ62" s="265" t="b">
        <f t="shared" si="15"/>
        <v>0</v>
      </c>
      <c r="AK62" s="265" t="b">
        <f t="shared" si="16"/>
        <v>0</v>
      </c>
      <c r="AL62" s="265"/>
      <c r="AM62" s="265"/>
      <c r="AN62" s="75"/>
    </row>
    <row r="63" spans="1:40" s="6" customFormat="1" ht="11.25" x14ac:dyDescent="0.2">
      <c r="A63" s="56">
        <f t="shared" si="17"/>
        <v>44610</v>
      </c>
      <c r="B63" s="618">
        <v>31.393000000000001</v>
      </c>
      <c r="C63" s="953"/>
      <c r="D63" s="393">
        <f t="shared" si="0"/>
        <v>32.347155052156779</v>
      </c>
      <c r="E63" s="385">
        <f t="shared" si="1"/>
        <v>33.780231710208419</v>
      </c>
      <c r="F63" s="385">
        <f t="shared" si="2"/>
        <v>33.800413377722457</v>
      </c>
      <c r="G63" s="110">
        <f t="shared" si="18"/>
        <v>0.78772959813827781</v>
      </c>
      <c r="H63" s="412" t="b">
        <f>Wh_hp&gt;='2021'!Maxi_hp</f>
        <v>0</v>
      </c>
      <c r="I63" s="380">
        <f>IF(H63,Wh_hp,'2021'!Maxi_hp)</f>
        <v>43.682090944826165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2.9497340666228444E-2</v>
      </c>
      <c r="M63" s="957"/>
      <c r="N63" s="957"/>
      <c r="O63" s="48">
        <f>IF(t&lt;Tnet,'2021'!Resal+('2021'!Salim-'2021'!Resal)*(1-EXP(('2021'!Tnet-t)/('2021'!Tau_j))),Resal+(Salim-Resal)*(1-EXP((Tnet-t)/(Tau_j))))*Salcycl</f>
        <v>4.2423529546677517E-2</v>
      </c>
      <c r="P63" s="339">
        <f>(INDEX(Models!$BJ63:$BT63,,T63)*(1-R63)+INDEX(Models!$BJ63:$BT63,,T63+1)*R63-ERP_i)*Q63*Ramure*Pc/MaxiM</f>
        <v>8.5658767739839911E-4</v>
      </c>
      <c r="Q63" s="305">
        <f t="shared" si="4"/>
        <v>0.7</v>
      </c>
      <c r="R63" s="177">
        <f t="shared" si="5"/>
        <v>4.3123232669905519E-3</v>
      </c>
      <c r="S63" s="919">
        <f t="shared" si="6"/>
        <v>0</v>
      </c>
      <c r="T63" s="176">
        <f t="shared" si="7"/>
        <v>6</v>
      </c>
      <c r="U63" s="251">
        <f t="shared" si="19"/>
        <v>4.3123232669905519E-3</v>
      </c>
      <c r="V63" s="383">
        <f t="shared" si="8"/>
        <v>39.842159785446277</v>
      </c>
      <c r="W63" s="402"/>
      <c r="X63" s="157">
        <f t="shared" si="9"/>
        <v>44610</v>
      </c>
      <c r="Y63" s="385">
        <f t="shared" si="10"/>
        <v>29.554743685023499</v>
      </c>
      <c r="Z63" s="385">
        <f t="shared" si="20"/>
        <v>30.453026996661887</v>
      </c>
      <c r="AA63" s="386">
        <f t="shared" si="11"/>
        <v>33.780231710208419</v>
      </c>
      <c r="AB63" s="197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9.8495615485699822E-2</v>
      </c>
      <c r="AD63" s="231">
        <f>(INDEX(Models!$BJ63:$BT63,,AH63)*(1-AF63)+INDEX(Models!$BJ63:$BT63,,AH63+1)*AF63-ERP_i)*AE63*Ramure*Pc/MaxiM</f>
        <v>8.5658767739839911E-4</v>
      </c>
      <c r="AE63" s="305">
        <f t="shared" si="13"/>
        <v>0.7</v>
      </c>
      <c r="AF63" s="177">
        <f t="shared" si="21"/>
        <v>4.3123232669905519E-3</v>
      </c>
      <c r="AG63" s="919">
        <f t="shared" si="22"/>
        <v>0</v>
      </c>
      <c r="AH63" s="176">
        <f t="shared" si="14"/>
        <v>6</v>
      </c>
      <c r="AI63" s="225">
        <f t="shared" si="23"/>
        <v>4.3123232669905519E-3</v>
      </c>
      <c r="AJ63" s="265" t="b">
        <f t="shared" si="15"/>
        <v>0</v>
      </c>
      <c r="AK63" s="265" t="b">
        <f t="shared" si="16"/>
        <v>0</v>
      </c>
      <c r="AL63" s="265"/>
      <c r="AM63" s="265"/>
      <c r="AN63" s="75"/>
    </row>
    <row r="64" spans="1:40" s="6" customFormat="1" ht="11.25" x14ac:dyDescent="0.2">
      <c r="A64" s="56">
        <f t="shared" si="17"/>
        <v>44611</v>
      </c>
      <c r="B64" s="618">
        <v>19.138999999999999</v>
      </c>
      <c r="C64" s="953"/>
      <c r="D64" s="393">
        <f t="shared" si="0"/>
        <v>19.721140399078699</v>
      </c>
      <c r="E64" s="385">
        <f t="shared" si="1"/>
        <v>20.59962795587197</v>
      </c>
      <c r="F64" s="385">
        <f t="shared" si="2"/>
        <v>20.604084908841614</v>
      </c>
      <c r="G64" s="110">
        <f t="shared" si="18"/>
        <v>0.47648867196343114</v>
      </c>
      <c r="H64" s="412" t="b">
        <f>Wh_hp&gt;='2021'!Maxi_hp</f>
        <v>0</v>
      </c>
      <c r="I64" s="380">
        <f>IF(H64,Wh_hp,'2021'!Maxi_hp)</f>
        <v>40.826390842051637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2.9518597165197225E-2</v>
      </c>
      <c r="M64" s="957"/>
      <c r="N64" s="957"/>
      <c r="O64" s="48">
        <f>IF(t&lt;Tnet,'2021'!Resal+('2021'!Salim-'2021'!Resal)*(1-EXP(('2021'!Tnet-t)/('2021'!Tau_j))),Resal+(Salim-Resal)*(1-EXP((Tnet-t)/(Tau_j))))*Salcycl</f>
        <v>4.2645797228724087E-2</v>
      </c>
      <c r="P64" s="339">
        <f>(INDEX(Models!$BJ64:$BT64,,T64)*(1-R64)+INDEX(Models!$BJ64:$BT64,,T64+1)*R64-ERP_i)*Q64*Ramure*Pc/MaxiM</f>
        <v>8.5647625734139061E-4</v>
      </c>
      <c r="Q64" s="305">
        <f t="shared" si="4"/>
        <v>0.7</v>
      </c>
      <c r="R64" s="177">
        <f t="shared" si="5"/>
        <v>4.5187100097995167E-3</v>
      </c>
      <c r="S64" s="919">
        <f t="shared" si="6"/>
        <v>0</v>
      </c>
      <c r="T64" s="176">
        <f t="shared" si="7"/>
        <v>6</v>
      </c>
      <c r="U64" s="251">
        <f t="shared" si="19"/>
        <v>4.5187100097995167E-3</v>
      </c>
      <c r="V64" s="383">
        <f t="shared" si="8"/>
        <v>40.141028339152065</v>
      </c>
      <c r="W64" s="402"/>
      <c r="X64" s="157">
        <f t="shared" si="9"/>
        <v>44611</v>
      </c>
      <c r="Y64" s="385">
        <f t="shared" si="10"/>
        <v>18.019819384282407</v>
      </c>
      <c r="Z64" s="385">
        <f t="shared" si="20"/>
        <v>18.567918284313354</v>
      </c>
      <c r="AA64" s="386">
        <f t="shared" si="11"/>
        <v>20.59962795587197</v>
      </c>
      <c r="AB64" s="197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9.8628464354351214E-2</v>
      </c>
      <c r="AD64" s="231">
        <f>(INDEX(Models!$BJ64:$BT64,,AH64)*(1-AF64)+INDEX(Models!$BJ64:$BT64,,AH64+1)*AF64-ERP_i)*AE64*Ramure*Pc/MaxiM</f>
        <v>8.5647625734139061E-4</v>
      </c>
      <c r="AE64" s="305">
        <f t="shared" si="13"/>
        <v>0.7</v>
      </c>
      <c r="AF64" s="177">
        <f t="shared" si="21"/>
        <v>4.5187100097995167E-3</v>
      </c>
      <c r="AG64" s="919">
        <f t="shared" si="22"/>
        <v>0</v>
      </c>
      <c r="AH64" s="176">
        <f t="shared" si="14"/>
        <v>6</v>
      </c>
      <c r="AI64" s="225">
        <f t="shared" si="23"/>
        <v>4.5187100097995167E-3</v>
      </c>
      <c r="AJ64" s="265" t="b">
        <f t="shared" si="15"/>
        <v>0</v>
      </c>
      <c r="AK64" s="265" t="b">
        <f t="shared" si="16"/>
        <v>0</v>
      </c>
      <c r="AL64" s="265"/>
      <c r="AM64" s="265"/>
      <c r="AN64" s="75"/>
    </row>
    <row r="65" spans="1:40" s="6" customFormat="1" ht="11.25" x14ac:dyDescent="0.2">
      <c r="A65" s="56">
        <f t="shared" si="17"/>
        <v>44612</v>
      </c>
      <c r="B65" s="618">
        <v>22.556000000000001</v>
      </c>
      <c r="C65" s="953"/>
      <c r="D65" s="393">
        <f t="shared" si="0"/>
        <v>23.242582474245431</v>
      </c>
      <c r="E65" s="385">
        <f t="shared" si="1"/>
        <v>24.283563118896563</v>
      </c>
      <c r="F65" s="385">
        <f t="shared" si="2"/>
        <v>24.291225533547507</v>
      </c>
      <c r="G65" s="110">
        <f t="shared" si="18"/>
        <v>0.5575097864342814</v>
      </c>
      <c r="H65" s="412" t="b">
        <f>Wh_hp&gt;='2021'!Maxi_hp</f>
        <v>0</v>
      </c>
      <c r="I65" s="380">
        <f>IF(H65,Wh_hp,'2021'!Maxi_hp)</f>
        <v>43.218540620250515</v>
      </c>
      <c r="J65" s="85">
        <f>IF(H65,An,'2021'!An_max)</f>
        <v>2019</v>
      </c>
      <c r="K65" s="197">
        <f t="shared" si="3"/>
        <v>44612</v>
      </c>
      <c r="L65" s="147">
        <f>IF(t&lt;Tvie,1-EXP((T0-t)*PertePVj)+'2021'!Pspv,1-EXP((T0-t)*PertePVj)+Pspv)</f>
        <v>2.9539853198594201E-2</v>
      </c>
      <c r="M65" s="957"/>
      <c r="N65" s="957"/>
      <c r="O65" s="48">
        <f>IF(t&lt;Tnet,'2021'!Resal+('2021'!Salim-'2021'!Resal)*(1-EXP(('2021'!Tnet-t)/('2021'!Tau_j))),Resal+(Salim-Resal)*(1-EXP((Tnet-t)/(Tau_j))))*Salcycl</f>
        <v>4.2867706009793852E-2</v>
      </c>
      <c r="P65" s="339">
        <f>(INDEX(Models!$BJ65:$BT65,,T65)*(1-R65)+INDEX(Models!$BJ65:$BT65,,T65+1)*R65-ERP_i)*Q65*Ramure*Pc/MaxiM</f>
        <v>8.5646907188778045E-4</v>
      </c>
      <c r="Q65" s="305">
        <f t="shared" si="4"/>
        <v>0.7</v>
      </c>
      <c r="R65" s="177">
        <f t="shared" si="5"/>
        <v>4.7335724157098026E-3</v>
      </c>
      <c r="S65" s="919">
        <f t="shared" si="6"/>
        <v>0</v>
      </c>
      <c r="T65" s="176">
        <f t="shared" si="7"/>
        <v>6</v>
      </c>
      <c r="U65" s="251">
        <f t="shared" si="19"/>
        <v>4.7335724157098026E-3</v>
      </c>
      <c r="V65" s="383">
        <f t="shared" si="8"/>
        <v>40.436586473073469</v>
      </c>
      <c r="W65" s="402"/>
      <c r="X65" s="157">
        <f t="shared" si="9"/>
        <v>44612</v>
      </c>
      <c r="Y65" s="385">
        <f t="shared" si="10"/>
        <v>21.238803757352773</v>
      </c>
      <c r="Z65" s="385">
        <f t="shared" si="20"/>
        <v>21.885292072379212</v>
      </c>
      <c r="AA65" s="386">
        <f t="shared" si="11"/>
        <v>24.283563118896563</v>
      </c>
      <c r="AB65" s="197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9.876108521533665E-2</v>
      </c>
      <c r="AD65" s="231">
        <f>(INDEX(Models!$BJ65:$BT65,,AH65)*(1-AF65)+INDEX(Models!$BJ65:$BT65,,AH65+1)*AF65-ERP_i)*AE65*Ramure*Pc/MaxiM</f>
        <v>8.5646907188778045E-4</v>
      </c>
      <c r="AE65" s="305">
        <f t="shared" si="13"/>
        <v>0.7</v>
      </c>
      <c r="AF65" s="177">
        <f t="shared" si="21"/>
        <v>4.7335724157098026E-3</v>
      </c>
      <c r="AG65" s="919">
        <f t="shared" si="22"/>
        <v>0</v>
      </c>
      <c r="AH65" s="176">
        <f t="shared" si="14"/>
        <v>6</v>
      </c>
      <c r="AI65" s="225">
        <f t="shared" si="23"/>
        <v>4.7335724157098026E-3</v>
      </c>
      <c r="AJ65" s="265" t="b">
        <f t="shared" si="15"/>
        <v>0</v>
      </c>
      <c r="AK65" s="265" t="b">
        <f t="shared" si="16"/>
        <v>0</v>
      </c>
      <c r="AL65" s="265"/>
      <c r="AM65" s="265"/>
      <c r="AN65" s="75"/>
    </row>
    <row r="66" spans="1:40" s="6" customFormat="1" ht="11.25" x14ac:dyDescent="0.2">
      <c r="A66" s="56">
        <f t="shared" si="17"/>
        <v>44613</v>
      </c>
      <c r="B66" s="618">
        <v>22.206</v>
      </c>
      <c r="C66" s="953"/>
      <c r="D66" s="393">
        <f t="shared" si="0"/>
        <v>22.882430002133269</v>
      </c>
      <c r="E66" s="385">
        <f t="shared" si="1"/>
        <v>23.912815374426572</v>
      </c>
      <c r="F66" s="385">
        <f t="shared" si="2"/>
        <v>23.919988226784163</v>
      </c>
      <c r="G66" s="110">
        <f t="shared" si="18"/>
        <v>0.54489957924904864</v>
      </c>
      <c r="H66" s="412" t="b">
        <f>Wh_hp&gt;='2021'!Maxi_hp</f>
        <v>0</v>
      </c>
      <c r="I66" s="380">
        <f>IF(H66,Wh_hp,'2021'!Maxi_hp)</f>
        <v>42.441850727741603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2.9561108766429478E-2</v>
      </c>
      <c r="M66" s="957"/>
      <c r="N66" s="957"/>
      <c r="O66" s="48">
        <f>IF(t&lt;Tnet,'2021'!Resal+('2021'!Salim-'2021'!Resal)*(1-EXP(('2021'!Tnet-t)/('2021'!Tau_j))),Resal+(Salim-Resal)*(1-EXP((Tnet-t)/(Tau_j))))*Salcycl</f>
        <v>4.3089253864906384E-2</v>
      </c>
      <c r="P66" s="339">
        <f>(INDEX(Models!$BJ66:$BT66,,T66)*(1-R66)+INDEX(Models!$BJ66:$BT66,,T66+1)*R66-ERP_i)*Q66*Ramure*Pc/MaxiM</f>
        <v>8.5605832753492728E-4</v>
      </c>
      <c r="Q66" s="305">
        <f t="shared" si="4"/>
        <v>0.7</v>
      </c>
      <c r="R66" s="177">
        <f t="shared" si="5"/>
        <v>4.9572506649964241E-3</v>
      </c>
      <c r="S66" s="919">
        <f t="shared" si="6"/>
        <v>0</v>
      </c>
      <c r="T66" s="176">
        <f t="shared" si="7"/>
        <v>6</v>
      </c>
      <c r="U66" s="251">
        <f t="shared" si="19"/>
        <v>4.9572506649964241E-3</v>
      </c>
      <c r="V66" s="383">
        <f t="shared" si="8"/>
        <v>40.729790204340603</v>
      </c>
      <c r="W66" s="402"/>
      <c r="X66" s="157">
        <f t="shared" si="9"/>
        <v>44613</v>
      </c>
      <c r="Y66" s="385">
        <f t="shared" si="10"/>
        <v>20.911011424923974</v>
      </c>
      <c r="Z66" s="385">
        <f t="shared" si="20"/>
        <v>21.547994019842921</v>
      </c>
      <c r="AA66" s="386">
        <f t="shared" si="11"/>
        <v>23.912815374426572</v>
      </c>
      <c r="AB66" s="197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9.8893472707220265E-2</v>
      </c>
      <c r="AD66" s="231">
        <f>(INDEX(Models!$BJ66:$BT66,,AH66)*(1-AF66)+INDEX(Models!$BJ66:$BT66,,AH66+1)*AF66-ERP_i)*AE66*Ramure*Pc/MaxiM</f>
        <v>8.5605832753492728E-4</v>
      </c>
      <c r="AE66" s="305">
        <f t="shared" si="13"/>
        <v>0.7</v>
      </c>
      <c r="AF66" s="177">
        <f t="shared" si="21"/>
        <v>4.9572506649964241E-3</v>
      </c>
      <c r="AG66" s="919">
        <f t="shared" si="22"/>
        <v>0</v>
      </c>
      <c r="AH66" s="176">
        <f t="shared" si="14"/>
        <v>6</v>
      </c>
      <c r="AI66" s="225">
        <f t="shared" si="23"/>
        <v>4.9572506649964241E-3</v>
      </c>
      <c r="AJ66" s="265" t="b">
        <f t="shared" si="15"/>
        <v>0</v>
      </c>
      <c r="AK66" s="265" t="b">
        <f t="shared" si="16"/>
        <v>0</v>
      </c>
      <c r="AL66" s="265"/>
      <c r="AM66" s="265"/>
      <c r="AN66" s="75"/>
    </row>
    <row r="67" spans="1:40" s="6" customFormat="1" ht="11.25" x14ac:dyDescent="0.2">
      <c r="A67" s="56">
        <f t="shared" si="17"/>
        <v>44614</v>
      </c>
      <c r="B67" s="618">
        <v>36.356999999999999</v>
      </c>
      <c r="C67" s="953"/>
      <c r="D67" s="393">
        <f t="shared" si="0"/>
        <v>37.465312507038256</v>
      </c>
      <c r="E67" s="385">
        <f t="shared" si="1"/>
        <v>39.161410394776638</v>
      </c>
      <c r="F67" s="385">
        <f t="shared" si="2"/>
        <v>39.189480553865202</v>
      </c>
      <c r="G67" s="110">
        <f t="shared" si="18"/>
        <v>0.88618445063397644</v>
      </c>
      <c r="H67" s="412" t="b">
        <f>Wh_hp&gt;='2021'!Maxi_hp</f>
        <v>0</v>
      </c>
      <c r="I67" s="380">
        <f>IF(H67,Wh_hp,'2021'!Maxi_hp)</f>
        <v>42.464770609772728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2.9582363868713268E-2</v>
      </c>
      <c r="M67" s="957"/>
      <c r="N67" s="957"/>
      <c r="O67" s="48">
        <f>IF(t&lt;Tnet,'2021'!Resal+('2021'!Salim-'2021'!Resal)*(1-EXP(('2021'!Tnet-t)/('2021'!Tau_j))),Resal+(Salim-Resal)*(1-EXP((Tnet-t)/(Tau_j))))*Salcycl</f>
        <v>4.3310439298289691E-2</v>
      </c>
      <c r="P67" s="339">
        <f>(INDEX(Models!$BJ67:$BT67,,T67)*(1-R67)+INDEX(Models!$BJ67:$BT67,,T67+1)*R67-ERP_i)*Q67*Ramure*Pc/MaxiM</f>
        <v>8.5516093381682854E-4</v>
      </c>
      <c r="Q67" s="305">
        <f t="shared" si="4"/>
        <v>0.7</v>
      </c>
      <c r="R67" s="177">
        <f t="shared" si="5"/>
        <v>5.1900979240657131E-3</v>
      </c>
      <c r="S67" s="919">
        <f t="shared" si="6"/>
        <v>0</v>
      </c>
      <c r="T67" s="176">
        <f t="shared" si="7"/>
        <v>6</v>
      </c>
      <c r="U67" s="251">
        <f t="shared" si="19"/>
        <v>5.1900979240657131E-3</v>
      </c>
      <c r="V67" s="383">
        <f t="shared" si="8"/>
        <v>41.0207453009604</v>
      </c>
      <c r="W67" s="402"/>
      <c r="X67" s="157">
        <f t="shared" si="9"/>
        <v>44614</v>
      </c>
      <c r="Y67" s="385">
        <f t="shared" si="10"/>
        <v>34.239660155944712</v>
      </c>
      <c r="Z67" s="385">
        <f t="shared" si="20"/>
        <v>35.28342734211445</v>
      </c>
      <c r="AA67" s="386">
        <f t="shared" si="11"/>
        <v>39.161410394776638</v>
      </c>
      <c r="AB67" s="197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9.9025622764072743E-2</v>
      </c>
      <c r="AD67" s="231">
        <f>(INDEX(Models!$BJ67:$BT67,,AH67)*(1-AF67)+INDEX(Models!$BJ67:$BT67,,AH67+1)*AF67-ERP_i)*AE67*Ramure*Pc/MaxiM</f>
        <v>8.5516093381682854E-4</v>
      </c>
      <c r="AE67" s="305">
        <f t="shared" si="13"/>
        <v>0.7</v>
      </c>
      <c r="AF67" s="177">
        <f t="shared" si="21"/>
        <v>5.1900979240657131E-3</v>
      </c>
      <c r="AG67" s="919">
        <f t="shared" si="22"/>
        <v>0</v>
      </c>
      <c r="AH67" s="176">
        <f t="shared" si="14"/>
        <v>6</v>
      </c>
      <c r="AI67" s="225">
        <f t="shared" si="23"/>
        <v>5.1900979240657131E-3</v>
      </c>
      <c r="AJ67" s="265" t="b">
        <f t="shared" si="15"/>
        <v>0</v>
      </c>
      <c r="AK67" s="265" t="b">
        <f t="shared" si="16"/>
        <v>0</v>
      </c>
      <c r="AL67" s="265"/>
      <c r="AM67" s="265"/>
      <c r="AN67" s="75"/>
    </row>
    <row r="68" spans="1:40" s="6" customFormat="1" ht="11.25" x14ac:dyDescent="0.2">
      <c r="A68" s="56">
        <f t="shared" si="17"/>
        <v>44615</v>
      </c>
      <c r="B68" s="618">
        <v>37.917999999999999</v>
      </c>
      <c r="C68" s="953"/>
      <c r="D68" s="393">
        <f t="shared" si="0"/>
        <v>39.074754113984895</v>
      </c>
      <c r="E68" s="385">
        <f t="shared" si="1"/>
        <v>40.853142959588112</v>
      </c>
      <c r="F68" s="385">
        <f t="shared" si="2"/>
        <v>40.883954864812502</v>
      </c>
      <c r="G68" s="110">
        <f t="shared" si="18"/>
        <v>0.91780705755355452</v>
      </c>
      <c r="H68" s="412" t="b">
        <f>Wh_hp&gt;='2021'!Maxi_hp</f>
        <v>0</v>
      </c>
      <c r="I68" s="380">
        <f>IF(H68,Wh_hp,'2021'!Maxi_hp)</f>
        <v>43.491209699160983</v>
      </c>
      <c r="J68" s="85">
        <f>IF(H68,An,'2021'!An_max)</f>
        <v>2019</v>
      </c>
      <c r="K68" s="197">
        <f t="shared" si="3"/>
        <v>44615</v>
      </c>
      <c r="L68" s="147">
        <f>IF(t&lt;Tvie,1-EXP((T0-t)*PertePVj)+'2021'!Pspv,1-EXP((T0-t)*PertePVj)+Pspv)</f>
        <v>2.9603618505455676E-2</v>
      </c>
      <c r="M68" s="957"/>
      <c r="N68" s="957"/>
      <c r="O68" s="48">
        <f>IF(t&lt;Tnet,'2021'!Resal+('2021'!Salim-'2021'!Resal)*(1-EXP(('2021'!Tnet-t)/('2021'!Tau_j))),Resal+(Salim-Resal)*(1-EXP((Tnet-t)/(Tau_j))))*Salcycl</f>
        <v>4.3531261410227319E-2</v>
      </c>
      <c r="P68" s="339">
        <f>(INDEX(Models!$BJ68:$BT68,,T68)*(1-R68)+INDEX(Models!$BJ68:$BT68,,T68+1)*R68-ERP_i)*Q68*Ramure*Pc/MaxiM</f>
        <v>8.5378038045312707E-4</v>
      </c>
      <c r="Q68" s="305">
        <f t="shared" si="4"/>
        <v>0.7</v>
      </c>
      <c r="R68" s="177">
        <f t="shared" si="5"/>
        <v>5.4324807844435786E-3</v>
      </c>
      <c r="S68" s="919">
        <f t="shared" si="6"/>
        <v>0</v>
      </c>
      <c r="T68" s="176">
        <f t="shared" si="7"/>
        <v>6</v>
      </c>
      <c r="U68" s="251">
        <f t="shared" si="19"/>
        <v>5.4324807844435786E-3</v>
      </c>
      <c r="V68" s="383">
        <f t="shared" si="8"/>
        <v>41.309553913253204</v>
      </c>
      <c r="W68" s="402"/>
      <c r="X68" s="157">
        <f t="shared" si="9"/>
        <v>44615</v>
      </c>
      <c r="Y68" s="385">
        <f t="shared" si="10"/>
        <v>35.712766445279293</v>
      </c>
      <c r="Z68" s="385">
        <f t="shared" si="20"/>
        <v>36.802246098936088</v>
      </c>
      <c r="AA68" s="386">
        <f t="shared" si="11"/>
        <v>40.853142959588112</v>
      </c>
      <c r="AB68" s="197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9.9157532742564447E-2</v>
      </c>
      <c r="AD68" s="231">
        <f>(INDEX(Models!$BJ68:$BT68,,AH68)*(1-AF68)+INDEX(Models!$BJ68:$BT68,,AH68+1)*AF68-ERP_i)*AE68*Ramure*Pc/MaxiM</f>
        <v>8.5378038045312707E-4</v>
      </c>
      <c r="AE68" s="305">
        <f t="shared" si="13"/>
        <v>0.7</v>
      </c>
      <c r="AF68" s="177">
        <f t="shared" si="21"/>
        <v>5.4324807844435786E-3</v>
      </c>
      <c r="AG68" s="919">
        <f t="shared" si="22"/>
        <v>0</v>
      </c>
      <c r="AH68" s="176">
        <f t="shared" si="14"/>
        <v>6</v>
      </c>
      <c r="AI68" s="225">
        <f t="shared" si="23"/>
        <v>5.4324807844435786E-3</v>
      </c>
      <c r="AJ68" s="265" t="b">
        <f t="shared" si="15"/>
        <v>0</v>
      </c>
      <c r="AK68" s="265" t="b">
        <f t="shared" si="16"/>
        <v>0</v>
      </c>
      <c r="AL68" s="265"/>
      <c r="AM68" s="265"/>
      <c r="AN68" s="75"/>
    </row>
    <row r="69" spans="1:40" s="6" customFormat="1" ht="11.25" x14ac:dyDescent="0.2">
      <c r="A69" s="56">
        <f t="shared" si="17"/>
        <v>44616</v>
      </c>
      <c r="B69" s="618">
        <v>21.565999999999999</v>
      </c>
      <c r="C69" s="953"/>
      <c r="D69" s="393">
        <f t="shared" si="0"/>
        <v>22.224394868289036</v>
      </c>
      <c r="E69" s="385">
        <f t="shared" si="1"/>
        <v>23.241239050781967</v>
      </c>
      <c r="F69" s="385">
        <f t="shared" si="2"/>
        <v>23.247419902424795</v>
      </c>
      <c r="G69" s="110">
        <f t="shared" si="18"/>
        <v>0.51815542693358485</v>
      </c>
      <c r="H69" s="412" t="b">
        <f>Wh_hp&gt;='2021'!Maxi_hp</f>
        <v>0</v>
      </c>
      <c r="I69" s="380">
        <f>IF(H69,Wh_hp,'2021'!Maxi_hp)</f>
        <v>44.144707241290959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2.9624872676667136E-2</v>
      </c>
      <c r="M69" s="957"/>
      <c r="N69" s="957"/>
      <c r="O69" s="48">
        <f>IF(t&lt;Tnet,'2021'!Resal+('2021'!Salim-'2021'!Resal)*(1-EXP(('2021'!Tnet-t)/('2021'!Tau_j))),Resal+(Salim-Resal)*(1-EXP((Tnet-t)/(Tau_j))))*Salcycl</f>
        <v>4.3751719960847799E-2</v>
      </c>
      <c r="P69" s="339">
        <f>(INDEX(Models!$BJ69:$BT69,,T69)*(1-R69)+INDEX(Models!$BJ69:$BT69,,T69+1)*R69-ERP_i)*Q69*Ramure*Pc/MaxiM</f>
        <v>8.5192420755716633E-4</v>
      </c>
      <c r="Q69" s="305">
        <f t="shared" si="4"/>
        <v>0.7</v>
      </c>
      <c r="R69" s="177">
        <f t="shared" si="5"/>
        <v>5.6847797116618649E-3</v>
      </c>
      <c r="S69" s="919">
        <f t="shared" si="6"/>
        <v>0</v>
      </c>
      <c r="T69" s="176">
        <f t="shared" si="7"/>
        <v>6</v>
      </c>
      <c r="U69" s="251">
        <f t="shared" si="19"/>
        <v>5.6847797116618649E-3</v>
      </c>
      <c r="V69" s="383">
        <f t="shared" si="8"/>
        <v>41.596317879126929</v>
      </c>
      <c r="W69" s="402"/>
      <c r="X69" s="157">
        <f t="shared" si="9"/>
        <v>44616</v>
      </c>
      <c r="Y69" s="385">
        <f t="shared" si="10"/>
        <v>20.313478711618302</v>
      </c>
      <c r="Z69" s="385">
        <f t="shared" si="20"/>
        <v>20.9336349826388</v>
      </c>
      <c r="AA69" s="386">
        <f t="shared" si="11"/>
        <v>23.241239050781967</v>
      </c>
      <c r="AB69" s="197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9.9289201539602356E-2</v>
      </c>
      <c r="AD69" s="231">
        <f>(INDEX(Models!$BJ69:$BT69,,AH69)*(1-AF69)+INDEX(Models!$BJ69:$BT69,,AH69+1)*AF69-ERP_i)*AE69*Ramure*Pc/MaxiM</f>
        <v>8.5192420755716633E-4</v>
      </c>
      <c r="AE69" s="305">
        <f t="shared" si="13"/>
        <v>0.7</v>
      </c>
      <c r="AF69" s="177">
        <f t="shared" si="21"/>
        <v>5.6847797116618649E-3</v>
      </c>
      <c r="AG69" s="919">
        <f t="shared" si="22"/>
        <v>0</v>
      </c>
      <c r="AH69" s="176">
        <f t="shared" si="14"/>
        <v>6</v>
      </c>
      <c r="AI69" s="225">
        <f t="shared" si="23"/>
        <v>5.6847797116618649E-3</v>
      </c>
      <c r="AJ69" s="265" t="b">
        <f t="shared" si="15"/>
        <v>0</v>
      </c>
      <c r="AK69" s="265" t="b">
        <f t="shared" si="16"/>
        <v>0</v>
      </c>
      <c r="AL69" s="265"/>
      <c r="AM69" s="265"/>
      <c r="AN69" s="75"/>
    </row>
    <row r="70" spans="1:40" s="6" customFormat="1" ht="11.25" x14ac:dyDescent="0.2">
      <c r="A70" s="56">
        <f t="shared" si="17"/>
        <v>44617</v>
      </c>
      <c r="B70" s="618">
        <v>31.361000000000001</v>
      </c>
      <c r="C70" s="953"/>
      <c r="D70" s="393">
        <f t="shared" si="0"/>
        <v>32.319137226794304</v>
      </c>
      <c r="E70" s="385">
        <f t="shared" si="1"/>
        <v>33.805632248530927</v>
      </c>
      <c r="F70" s="385">
        <f t="shared" si="2"/>
        <v>33.824057109722681</v>
      </c>
      <c r="G70" s="110">
        <f t="shared" si="18"/>
        <v>0.74858121073155115</v>
      </c>
      <c r="H70" s="412" t="b">
        <f>Wh_hp&gt;='2021'!Maxi_hp</f>
        <v>0</v>
      </c>
      <c r="I70" s="380">
        <f>IF(H70,Wh_hp,'2021'!Maxi_hp)</f>
        <v>44.223095559004854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2.964612638235764E-2</v>
      </c>
      <c r="M70" s="957"/>
      <c r="N70" s="957"/>
      <c r="O70" s="48">
        <f>IF(t&lt;Tnet,'2021'!Resal+('2021'!Salim-'2021'!Resal)*(1-EXP(('2021'!Tnet-t)/('2021'!Tau_j))),Resal+(Salim-Resal)*(1-EXP((Tnet-t)/(Tau_j))))*Salcycl</f>
        <v>4.3971815430288892E-2</v>
      </c>
      <c r="P70" s="339">
        <f>(INDEX(Models!$BJ70:$BT70,,T70)*(1-R70)+INDEX(Models!$BJ70:$BT70,,T70+1)*R70-ERP_i)*Q70*Ramure*Pc/MaxiM</f>
        <v>8.4959980018868336E-4</v>
      </c>
      <c r="Q70" s="305">
        <f t="shared" si="4"/>
        <v>0.7</v>
      </c>
      <c r="R70" s="177">
        <f t="shared" si="5"/>
        <v>5.9473895037979174E-3</v>
      </c>
      <c r="S70" s="919">
        <f t="shared" si="6"/>
        <v>0</v>
      </c>
      <c r="T70" s="176">
        <f t="shared" si="7"/>
        <v>6</v>
      </c>
      <c r="U70" s="251">
        <f t="shared" si="19"/>
        <v>5.9473895037979174E-3</v>
      </c>
      <c r="V70" s="383">
        <f t="shared" si="8"/>
        <v>41.88113889157345</v>
      </c>
      <c r="W70" s="402"/>
      <c r="X70" s="157">
        <f t="shared" si="9"/>
        <v>44617</v>
      </c>
      <c r="Y70" s="385">
        <f t="shared" si="10"/>
        <v>29.542088913105957</v>
      </c>
      <c r="Z70" s="385">
        <f t="shared" si="20"/>
        <v>30.444655002991933</v>
      </c>
      <c r="AA70" s="386">
        <f t="shared" si="11"/>
        <v>33.805632248530927</v>
      </c>
      <c r="AB70" s="197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9.9420629699509599E-2</v>
      </c>
      <c r="AD70" s="231">
        <f>(INDEX(Models!$BJ70:$BT70,,AH70)*(1-AF70)+INDEX(Models!$BJ70:$BT70,,AH70+1)*AF70-ERP_i)*AE70*Ramure*Pc/MaxiM</f>
        <v>8.4959980018868336E-4</v>
      </c>
      <c r="AE70" s="305">
        <f t="shared" si="13"/>
        <v>0.7</v>
      </c>
      <c r="AF70" s="177">
        <f t="shared" si="21"/>
        <v>5.9473895037979174E-3</v>
      </c>
      <c r="AG70" s="919">
        <f t="shared" si="22"/>
        <v>0</v>
      </c>
      <c r="AH70" s="176">
        <f t="shared" si="14"/>
        <v>6</v>
      </c>
      <c r="AI70" s="225">
        <f t="shared" si="23"/>
        <v>5.9473895037979174E-3</v>
      </c>
      <c r="AJ70" s="265" t="b">
        <f t="shared" si="15"/>
        <v>0</v>
      </c>
      <c r="AK70" s="265" t="b">
        <f t="shared" si="16"/>
        <v>0</v>
      </c>
      <c r="AL70" s="265"/>
      <c r="AM70" s="265"/>
      <c r="AN70" s="75"/>
    </row>
    <row r="71" spans="1:40" s="6" customFormat="1" ht="11.25" x14ac:dyDescent="0.2">
      <c r="A71" s="56">
        <f t="shared" si="17"/>
        <v>44618</v>
      </c>
      <c r="B71" s="1226">
        <f>44.55*0.95</f>
        <v>42.322499999999998</v>
      </c>
      <c r="C71" s="953"/>
      <c r="D71" s="393">
        <f t="shared" si="0"/>
        <v>43.616486873889087</v>
      </c>
      <c r="E71" s="385">
        <f t="shared" si="1"/>
        <v>45.633083523864542</v>
      </c>
      <c r="F71" s="385">
        <f t="shared" si="2"/>
        <v>45.671759028125571</v>
      </c>
      <c r="G71" s="110">
        <f t="shared" si="18"/>
        <v>1.0037563100773259</v>
      </c>
      <c r="H71" s="412" t="b">
        <f>Wh_hp&gt;='2021'!Maxi_hp</f>
        <v>1</v>
      </c>
      <c r="I71" s="380">
        <f>IF(H71,Wh_hp,'2021'!Maxi_hp)</f>
        <v>45.671759028125571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2.9667379622537404E-2</v>
      </c>
      <c r="M71" s="957"/>
      <c r="N71" s="957"/>
      <c r="O71" s="48">
        <f>IF(t&lt;Tnet,'2021'!Resal+('2021'!Salim-'2021'!Resal)*(1-EXP(('2021'!Tnet-t)/('2021'!Tau_j))),Resal+(Salim-Resal)*(1-EXP((Tnet-t)/(Tau_j))))*Salcycl</f>
        <v>4.4191549074715591E-2</v>
      </c>
      <c r="P71" s="339">
        <f>(INDEX(Models!$BJ71:$BT71,,T71)*(1-R71)+INDEX(Models!$BJ71:$BT71,,T71+1)*R71-ERP_i)*Q71*Ramure*Pc/MaxiM</f>
        <v>8.4681442283001589E-4</v>
      </c>
      <c r="Q71" s="305">
        <f t="shared" si="4"/>
        <v>0.7</v>
      </c>
      <c r="R71" s="177">
        <f t="shared" si="5"/>
        <v>6.2207197593632177E-3</v>
      </c>
      <c r="S71" s="919">
        <f t="shared" si="6"/>
        <v>0</v>
      </c>
      <c r="T71" s="176">
        <f t="shared" si="7"/>
        <v>6</v>
      </c>
      <c r="U71" s="251">
        <f t="shared" si="19"/>
        <v>6.2207197593632177E-3</v>
      </c>
      <c r="V71" s="383">
        <f t="shared" si="8"/>
        <v>42.164118496788944</v>
      </c>
      <c r="W71" s="402"/>
      <c r="X71" s="157">
        <f t="shared" si="9"/>
        <v>44618</v>
      </c>
      <c r="Y71" s="385">
        <f t="shared" si="10"/>
        <v>39.871187665165714</v>
      </c>
      <c r="Z71" s="385">
        <f t="shared" si="20"/>
        <v>41.090227029217765</v>
      </c>
      <c r="AA71" s="386">
        <f t="shared" si="11"/>
        <v>45.633083523864542</v>
      </c>
      <c r="AB71" s="197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9.955181950987424E-2</v>
      </c>
      <c r="AD71" s="231">
        <f>(INDEX(Models!$BJ71:$BT71,,AH71)*(1-AF71)+INDEX(Models!$BJ71:$BT71,,AH71+1)*AF71-ERP_i)*AE71*Ramure*Pc/MaxiM</f>
        <v>8.4681442283001589E-4</v>
      </c>
      <c r="AE71" s="305">
        <f t="shared" si="13"/>
        <v>0.7</v>
      </c>
      <c r="AF71" s="177">
        <f t="shared" si="21"/>
        <v>6.2207197593632177E-3</v>
      </c>
      <c r="AG71" s="919">
        <f t="shared" si="22"/>
        <v>0</v>
      </c>
      <c r="AH71" s="176">
        <f t="shared" si="14"/>
        <v>6</v>
      </c>
      <c r="AI71" s="225">
        <f t="shared" si="23"/>
        <v>6.2207197593632177E-3</v>
      </c>
      <c r="AJ71" s="265" t="b">
        <f t="shared" si="15"/>
        <v>0</v>
      </c>
      <c r="AK71" s="265" t="b">
        <f t="shared" si="16"/>
        <v>0</v>
      </c>
      <c r="AL71" s="265"/>
      <c r="AM71" s="265"/>
      <c r="AN71" s="75"/>
    </row>
    <row r="72" spans="1:40" s="6" customFormat="1" ht="11.25" x14ac:dyDescent="0.2">
      <c r="A72" s="56">
        <f t="shared" si="17"/>
        <v>44619</v>
      </c>
      <c r="B72" s="618">
        <v>29.204000000000001</v>
      </c>
      <c r="C72" s="953"/>
      <c r="D72" s="393">
        <f t="shared" si="0"/>
        <v>30.097555253990645</v>
      </c>
      <c r="E72" s="385">
        <f t="shared" si="1"/>
        <v>31.496336634338611</v>
      </c>
      <c r="F72" s="385">
        <f t="shared" si="2"/>
        <v>31.511050452765282</v>
      </c>
      <c r="G72" s="110">
        <f t="shared" si="18"/>
        <v>0.68777828637604455</v>
      </c>
      <c r="H72" s="412" t="b">
        <f>Wh_hp&gt;='2021'!Maxi_hp</f>
        <v>0</v>
      </c>
      <c r="I72" s="380">
        <f>IF(H72,Wh_hp,'2021'!Maxi_hp)</f>
        <v>44.962572405256154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2.9688632397216641E-2</v>
      </c>
      <c r="M72" s="957"/>
      <c r="N72" s="957"/>
      <c r="O72" s="48">
        <f>IF(t&lt;Tnet,'2021'!Resal+('2021'!Salim-'2021'!Resal)*(1-EXP(('2021'!Tnet-t)/('2021'!Tau_j))),Resal+(Salim-Resal)*(1-EXP((Tnet-t)/(Tau_j))))*Salcycl</f>
        <v>4.4410922977720473E-2</v>
      </c>
      <c r="P72" s="339">
        <f>(INDEX(Models!$BJ72:$BT72,,T72)*(1-R72)+INDEX(Models!$BJ72:$BT72,,T72+1)*R72-ERP_i)*Q72*Ramure*Pc/MaxiM</f>
        <v>8.4234063919142105E-4</v>
      </c>
      <c r="Q72" s="305">
        <f t="shared" si="4"/>
        <v>0.7</v>
      </c>
      <c r="R72" s="177">
        <f t="shared" si="5"/>
        <v>6.5051953541733487E-3</v>
      </c>
      <c r="S72" s="919">
        <f t="shared" si="6"/>
        <v>0</v>
      </c>
      <c r="T72" s="176">
        <f t="shared" si="7"/>
        <v>6</v>
      </c>
      <c r="U72" s="251">
        <f t="shared" si="19"/>
        <v>6.5051953541733487E-3</v>
      </c>
      <c r="V72" s="383">
        <f t="shared" si="8"/>
        <v>42.445410536271162</v>
      </c>
      <c r="W72" s="402"/>
      <c r="X72" s="157">
        <f t="shared" si="9"/>
        <v>44619</v>
      </c>
      <c r="Y72" s="385">
        <f t="shared" si="10"/>
        <v>27.514822917754085</v>
      </c>
      <c r="Z72" s="385">
        <f t="shared" si="20"/>
        <v>28.35669439360607</v>
      </c>
      <c r="AA72" s="386">
        <f t="shared" si="11"/>
        <v>31.496336634338611</v>
      </c>
      <c r="AB72" s="197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9.9682775085327593E-2</v>
      </c>
      <c r="AD72" s="231">
        <f>(INDEX(Models!$BJ72:$BT72,,AH72)*(1-AF72)+INDEX(Models!$BJ72:$BT72,,AH72+1)*AF72-ERP_i)*AE72*Ramure*Pc/MaxiM</f>
        <v>8.4234063919142105E-4</v>
      </c>
      <c r="AE72" s="305">
        <f t="shared" si="13"/>
        <v>0.7</v>
      </c>
      <c r="AF72" s="177">
        <f t="shared" si="21"/>
        <v>6.5051953541733487E-3</v>
      </c>
      <c r="AG72" s="919">
        <f t="shared" si="22"/>
        <v>0</v>
      </c>
      <c r="AH72" s="176">
        <f t="shared" si="14"/>
        <v>6</v>
      </c>
      <c r="AI72" s="225">
        <f t="shared" si="23"/>
        <v>6.5051953541733487E-3</v>
      </c>
      <c r="AJ72" s="265" t="b">
        <f t="shared" si="15"/>
        <v>0</v>
      </c>
      <c r="AK72" s="265" t="b">
        <f t="shared" si="16"/>
        <v>0</v>
      </c>
      <c r="AL72" s="265"/>
      <c r="AM72" s="265"/>
      <c r="AN72" s="75"/>
    </row>
    <row r="73" spans="1:40" s="6" customFormat="1" ht="11.25" x14ac:dyDescent="0.2">
      <c r="A73" s="56">
        <f t="shared" si="17"/>
        <v>44620</v>
      </c>
      <c r="B73" s="618">
        <v>33.831000000000003</v>
      </c>
      <c r="C73" s="953"/>
      <c r="D73" s="393">
        <f t="shared" si="0"/>
        <v>34.866891321224358</v>
      </c>
      <c r="E73" s="385">
        <f t="shared" si="1"/>
        <v>36.495691862850656</v>
      </c>
      <c r="F73" s="385">
        <f t="shared" si="2"/>
        <v>36.517148615076778</v>
      </c>
      <c r="G73" s="110">
        <f t="shared" si="18"/>
        <v>0.79163233795087729</v>
      </c>
      <c r="H73" s="412" t="b">
        <f>Wh_hp&gt;='2021'!Maxi_hp</f>
        <v>0</v>
      </c>
      <c r="I73" s="380">
        <f>IF(H73,Wh_hp,'2021'!Maxi_hp)</f>
        <v>37.080698817786207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2.9709884706405676E-2</v>
      </c>
      <c r="M73" s="957"/>
      <c r="N73" s="957"/>
      <c r="O73" s="48">
        <f>IF(t&lt;Tnet,'2021'!Resal+('2021'!Salim-'2021'!Resal)*(1-EXP(('2021'!Tnet-t)/('2021'!Tau_j))),Resal+(Salim-Resal)*(1-EXP((Tnet-t)/(Tau_j))))*Salcycl</f>
        <v>4.462994009669051E-2</v>
      </c>
      <c r="P73" s="339">
        <f>(INDEX(Models!$BJ73:$BT73,,T73)*(1-R73)+INDEX(Models!$BJ73:$BT73,,T73+1)*R73-ERP_i)*Q73*Ramure*Pc/MaxiM</f>
        <v>8.3627805198977531E-4</v>
      </c>
      <c r="Q73" s="305">
        <f t="shared" si="4"/>
        <v>0.7</v>
      </c>
      <c r="R73" s="177">
        <f t="shared" si="5"/>
        <v>6.8012569267610077E-3</v>
      </c>
      <c r="S73" s="919">
        <f t="shared" si="6"/>
        <v>0</v>
      </c>
      <c r="T73" s="176">
        <f t="shared" si="7"/>
        <v>6</v>
      </c>
      <c r="U73" s="251">
        <f t="shared" si="19"/>
        <v>6.8012569267610077E-3</v>
      </c>
      <c r="V73" s="383">
        <f t="shared" si="8"/>
        <v>42.725113330667853</v>
      </c>
      <c r="W73" s="402"/>
      <c r="X73" s="157">
        <f t="shared" si="9"/>
        <v>44620</v>
      </c>
      <c r="Y73" s="385">
        <f t="shared" si="10"/>
        <v>31.876872300226985</v>
      </c>
      <c r="Z73" s="385">
        <f t="shared" si="20"/>
        <v>32.852929034097755</v>
      </c>
      <c r="AA73" s="386">
        <f t="shared" si="11"/>
        <v>36.495691862850656</v>
      </c>
      <c r="AB73" s="197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9.9813502438651072E-2</v>
      </c>
      <c r="AD73" s="231">
        <f>(INDEX(Models!$BJ73:$BT73,,AH73)*(1-AF73)+INDEX(Models!$BJ73:$BT73,,AH73+1)*AF73-ERP_i)*AE73*Ramure*Pc/MaxiM</f>
        <v>8.3627805198977531E-4</v>
      </c>
      <c r="AE73" s="305">
        <f t="shared" si="13"/>
        <v>0.7</v>
      </c>
      <c r="AF73" s="177">
        <f t="shared" si="21"/>
        <v>6.8012569267610077E-3</v>
      </c>
      <c r="AG73" s="919">
        <f t="shared" si="22"/>
        <v>0</v>
      </c>
      <c r="AH73" s="176">
        <f t="shared" si="14"/>
        <v>6</v>
      </c>
      <c r="AI73" s="225">
        <f t="shared" si="23"/>
        <v>6.8012569267610077E-3</v>
      </c>
      <c r="AJ73" s="265" t="b">
        <f t="shared" si="15"/>
        <v>0</v>
      </c>
      <c r="AK73" s="265" t="b">
        <f t="shared" si="16"/>
        <v>0</v>
      </c>
      <c r="AL73" s="265"/>
      <c r="AM73" s="265"/>
      <c r="AN73" s="75"/>
    </row>
    <row r="74" spans="1:40" s="6" customFormat="1" ht="11.25" x14ac:dyDescent="0.2">
      <c r="A74" s="56">
        <f t="shared" si="17"/>
        <v>44621</v>
      </c>
      <c r="B74" s="618">
        <v>43.234999999999999</v>
      </c>
      <c r="C74" s="953"/>
      <c r="D74" s="393">
        <f t="shared" si="0"/>
        <v>44.559813912067369</v>
      </c>
      <c r="E74" s="385">
        <f t="shared" si="1"/>
        <v>46.652095272904184</v>
      </c>
      <c r="F74" s="385">
        <f t="shared" si="2"/>
        <v>46.69078585834697</v>
      </c>
      <c r="G74" s="110">
        <f t="shared" si="18"/>
        <v>1.0053873048316821</v>
      </c>
      <c r="H74" s="412" t="b">
        <f>Wh_hp&gt;='2021'!Maxi_hp</f>
        <v>1</v>
      </c>
      <c r="I74" s="380">
        <f>IF(H74,Wh_hp,'2021'!Maxi_hp)</f>
        <v>46.69078585834697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2.9731136550114501E-2</v>
      </c>
      <c r="M74" s="957"/>
      <c r="N74" s="957"/>
      <c r="O74" s="48">
        <f>IF(t&lt;Tnet,'2021'!Resal+('2021'!Salim-'2021'!Resal)*(1-EXP(('2021'!Tnet-t)/('2021'!Tau_j))),Resal+(Salim-Resal)*(1-EXP((Tnet-t)/(Tau_j))))*Salcycl</f>
        <v>4.4848604303781923E-2</v>
      </c>
      <c r="P74" s="339">
        <f>(INDEX(Models!$BJ74:$BT74,,T74)*(1-R74)+INDEX(Models!$BJ74:$BT74,,T74+1)*R74-ERP_i)*Q74*Ramure*Pc/MaxiM</f>
        <v>8.2865569151413445E-4</v>
      </c>
      <c r="Q74" s="305">
        <f t="shared" si="4"/>
        <v>0.7</v>
      </c>
      <c r="R74" s="177">
        <f t="shared" si="5"/>
        <v>7.10936137181979E-3</v>
      </c>
      <c r="S74" s="919">
        <f t="shared" si="6"/>
        <v>0</v>
      </c>
      <c r="T74" s="176">
        <f t="shared" si="7"/>
        <v>6</v>
      </c>
      <c r="U74" s="251">
        <f t="shared" si="19"/>
        <v>7.10936137181979E-3</v>
      </c>
      <c r="V74" s="383">
        <f t="shared" si="8"/>
        <v>43.003327963483912</v>
      </c>
      <c r="W74" s="402"/>
      <c r="X74" s="157">
        <f t="shared" si="9"/>
        <v>44621</v>
      </c>
      <c r="Y74" s="385">
        <f t="shared" si="10"/>
        <v>40.741102324650235</v>
      </c>
      <c r="Z74" s="385">
        <f t="shared" si="20"/>
        <v>41.989497817946329</v>
      </c>
      <c r="AA74" s="386">
        <f t="shared" si="11"/>
        <v>46.652095272904184</v>
      </c>
      <c r="AB74" s="197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9.9944009538750933E-2</v>
      </c>
      <c r="AD74" s="231">
        <f>(INDEX(Models!$BJ74:$BT74,,AH74)*(1-AF74)+INDEX(Models!$BJ74:$BT74,,AH74+1)*AF74-ERP_i)*AE74*Ramure*Pc/MaxiM</f>
        <v>8.2865569151413445E-4</v>
      </c>
      <c r="AE74" s="305">
        <f t="shared" si="13"/>
        <v>0.7</v>
      </c>
      <c r="AF74" s="177">
        <f t="shared" si="21"/>
        <v>7.10936137181979E-3</v>
      </c>
      <c r="AG74" s="919">
        <f t="shared" si="22"/>
        <v>0</v>
      </c>
      <c r="AH74" s="176">
        <f t="shared" si="14"/>
        <v>6</v>
      </c>
      <c r="AI74" s="225">
        <f t="shared" si="23"/>
        <v>7.10936137181979E-3</v>
      </c>
      <c r="AJ74" s="265" t="b">
        <f t="shared" si="15"/>
        <v>0</v>
      </c>
      <c r="AK74" s="265" t="b">
        <f t="shared" si="16"/>
        <v>0</v>
      </c>
      <c r="AL74" s="265"/>
      <c r="AM74" s="265"/>
      <c r="AN74" s="75"/>
    </row>
    <row r="75" spans="1:40" s="6" customFormat="1" ht="11.25" x14ac:dyDescent="0.2">
      <c r="A75" s="56">
        <f t="shared" si="17"/>
        <v>44622</v>
      </c>
      <c r="B75" s="618">
        <v>10.902000000000001</v>
      </c>
      <c r="C75" s="953"/>
      <c r="D75" s="393">
        <f t="shared" si="0"/>
        <v>11.236306963665022</v>
      </c>
      <c r="E75" s="385">
        <f t="shared" si="1"/>
        <v>11.766590983130653</v>
      </c>
      <c r="F75" s="385">
        <f t="shared" si="2"/>
        <v>11.766590983130653</v>
      </c>
      <c r="G75" s="110">
        <f t="shared" si="18"/>
        <v>0.25168730799679828</v>
      </c>
      <c r="H75" s="412" t="b">
        <f>Wh_hp&gt;='2021'!Maxi_hp</f>
        <v>0</v>
      </c>
      <c r="I75" s="380">
        <f>IF(H75,Wh_hp,'2021'!Maxi_hp)</f>
        <v>32.956677810715547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2.9752387928353441E-2</v>
      </c>
      <c r="M75" s="957"/>
      <c r="N75" s="957"/>
      <c r="O75" s="48">
        <f>IF(t&lt;Tnet,'2021'!Resal+('2021'!Salim-'2021'!Resal)*(1-EXP(('2021'!Tnet-t)/('2021'!Tau_j))),Resal+(Salim-Resal)*(1-EXP((Tnet-t)/(Tau_j))))*Salcycl</f>
        <v>4.5066920421206122E-2</v>
      </c>
      <c r="P75" s="339">
        <f>(INDEX(Models!$BJ75:$BT75,,T75)*(1-R75)+INDEX(Models!$BJ75:$BT75,,T75+1)*R75-ERP_i)*Q75*Ramure*Pc/MaxiM</f>
        <v>8.195017470334268E-4</v>
      </c>
      <c r="Q75" s="305">
        <f t="shared" si="4"/>
        <v>0.7</v>
      </c>
      <c r="R75" s="177">
        <f t="shared" si="5"/>
        <v>7.4299823410813428E-3</v>
      </c>
      <c r="S75" s="919">
        <f t="shared" si="6"/>
        <v>0</v>
      </c>
      <c r="T75" s="176">
        <f t="shared" si="7"/>
        <v>6</v>
      </c>
      <c r="U75" s="251">
        <f t="shared" si="19"/>
        <v>7.4299823410813428E-3</v>
      </c>
      <c r="V75" s="383">
        <f t="shared" si="8"/>
        <v>43.280155358856696</v>
      </c>
      <c r="W75" s="402"/>
      <c r="X75" s="157">
        <f t="shared" si="9"/>
        <v>44622</v>
      </c>
      <c r="Y75" s="385">
        <f t="shared" si="10"/>
        <v>10.274007804236142</v>
      </c>
      <c r="Z75" s="385">
        <f t="shared" si="20"/>
        <v>10.589057552328686</v>
      </c>
      <c r="AA75" s="386">
        <f t="shared" si="11"/>
        <v>11.766590983130653</v>
      </c>
      <c r="AB75" s="197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0.10007430635518429</v>
      </c>
      <c r="AD75" s="231">
        <f>(INDEX(Models!$BJ75:$BT75,,AH75)*(1-AF75)+INDEX(Models!$BJ75:$BT75,,AH75+1)*AF75-ERP_i)*AE75*Ramure*Pc/MaxiM</f>
        <v>8.195017470334268E-4</v>
      </c>
      <c r="AE75" s="305">
        <f t="shared" si="13"/>
        <v>0.7</v>
      </c>
      <c r="AF75" s="177">
        <f t="shared" si="21"/>
        <v>7.4299823410813428E-3</v>
      </c>
      <c r="AG75" s="919">
        <f t="shared" si="22"/>
        <v>0</v>
      </c>
      <c r="AH75" s="176">
        <f t="shared" si="14"/>
        <v>6</v>
      </c>
      <c r="AI75" s="225">
        <f t="shared" si="23"/>
        <v>7.4299823410813428E-3</v>
      </c>
      <c r="AJ75" s="265" t="b">
        <f t="shared" si="15"/>
        <v>0</v>
      </c>
      <c r="AK75" s="265" t="b">
        <f t="shared" si="16"/>
        <v>0</v>
      </c>
      <c r="AL75" s="265"/>
      <c r="AM75" s="265"/>
      <c r="AN75" s="75"/>
    </row>
    <row r="76" spans="1:40" s="6" customFormat="1" ht="11.25" x14ac:dyDescent="0.2">
      <c r="A76" s="56">
        <f t="shared" si="17"/>
        <v>44623</v>
      </c>
      <c r="B76" s="618">
        <v>40.869</v>
      </c>
      <c r="C76" s="953"/>
      <c r="D76" s="393">
        <f t="shared" si="0"/>
        <v>42.123159745097887</v>
      </c>
      <c r="E76" s="385">
        <f t="shared" si="1"/>
        <v>44.121182844418385</v>
      </c>
      <c r="F76" s="385">
        <f t="shared" si="2"/>
        <v>44.153749243212872</v>
      </c>
      <c r="G76" s="110">
        <f t="shared" si="18"/>
        <v>0.93824891762084284</v>
      </c>
      <c r="H76" s="412" t="b">
        <f>Wh_hp&gt;='2021'!Maxi_hp</f>
        <v>1</v>
      </c>
      <c r="I76" s="380">
        <f>IF(H76,Wh_hp,'2021'!Maxi_hp)</f>
        <v>44.153749243212872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2.977363884113271E-2</v>
      </c>
      <c r="M76" s="957"/>
      <c r="N76" s="957"/>
      <c r="O76" s="48">
        <f>IF(t&lt;Tnet,'2021'!Resal+('2021'!Salim-'2021'!Resal)*(1-EXP(('2021'!Tnet-t)/('2021'!Tau_j))),Resal+(Salim-Resal)*(1-EXP((Tnet-t)/(Tau_j))))*Salcycl</f>
        <v>4.5284894250591554E-2</v>
      </c>
      <c r="P76" s="339">
        <f>(INDEX(Models!$BJ76:$BT76,,T76)*(1-R76)+INDEX(Models!$BJ76:$BT76,,T76+1)*R76-ERP_i)*Q76*Ramure*Pc/MaxiM</f>
        <v>8.0884361991799428E-4</v>
      </c>
      <c r="Q76" s="305">
        <f t="shared" si="4"/>
        <v>0.7</v>
      </c>
      <c r="R76" s="177">
        <f t="shared" si="5"/>
        <v>7.7636107509392255E-3</v>
      </c>
      <c r="S76" s="919">
        <f t="shared" si="6"/>
        <v>0</v>
      </c>
      <c r="T76" s="176">
        <f t="shared" si="7"/>
        <v>6</v>
      </c>
      <c r="U76" s="251">
        <f t="shared" si="19"/>
        <v>7.7636107509392255E-3</v>
      </c>
      <c r="V76" s="383">
        <f t="shared" si="8"/>
        <v>43.555696281569865</v>
      </c>
      <c r="W76" s="402"/>
      <c r="X76" s="157">
        <f t="shared" si="9"/>
        <v>44623</v>
      </c>
      <c r="Y76" s="385">
        <f t="shared" si="10"/>
        <v>38.518031143671173</v>
      </c>
      <c r="Z76" s="385">
        <f t="shared" si="20"/>
        <v>39.700045974492063</v>
      </c>
      <c r="AA76" s="386">
        <f t="shared" si="11"/>
        <v>44.121182844418385</v>
      </c>
      <c r="AB76" s="197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0.10020440488905939</v>
      </c>
      <c r="AD76" s="231">
        <f>(INDEX(Models!$BJ76:$BT76,,AH76)*(1-AF76)+INDEX(Models!$BJ76:$BT76,,AH76+1)*AF76-ERP_i)*AE76*Ramure*Pc/MaxiM</f>
        <v>8.0884361991799428E-4</v>
      </c>
      <c r="AE76" s="305">
        <f t="shared" si="13"/>
        <v>0.7</v>
      </c>
      <c r="AF76" s="177">
        <f t="shared" si="21"/>
        <v>7.7636107509392255E-3</v>
      </c>
      <c r="AG76" s="919">
        <f t="shared" si="22"/>
        <v>0</v>
      </c>
      <c r="AH76" s="176">
        <f t="shared" si="14"/>
        <v>6</v>
      </c>
      <c r="AI76" s="225">
        <f t="shared" si="23"/>
        <v>7.7636107509392255E-3</v>
      </c>
      <c r="AJ76" s="265" t="b">
        <f t="shared" si="15"/>
        <v>0</v>
      </c>
      <c r="AK76" s="265" t="b">
        <f t="shared" si="16"/>
        <v>0</v>
      </c>
      <c r="AL76" s="265"/>
      <c r="AM76" s="265"/>
      <c r="AN76" s="75"/>
    </row>
    <row r="77" spans="1:40" s="6" customFormat="1" ht="11.25" x14ac:dyDescent="0.2">
      <c r="A77" s="56">
        <f t="shared" si="17"/>
        <v>44624</v>
      </c>
      <c r="B77" s="618">
        <v>4.3689999999999998</v>
      </c>
      <c r="C77" s="953"/>
      <c r="D77" s="393">
        <f t="shared" si="0"/>
        <v>4.5031714961755087</v>
      </c>
      <c r="E77" s="385">
        <f t="shared" si="1"/>
        <v>4.7178454107628172</v>
      </c>
      <c r="F77" s="385">
        <f t="shared" si="2"/>
        <v>4.7178454107628172</v>
      </c>
      <c r="G77" s="110">
        <f t="shared" si="18"/>
        <v>9.9601051106058602E-2</v>
      </c>
      <c r="H77" s="412" t="b">
        <f>Wh_hp&gt;='2021'!Maxi_hp</f>
        <v>0</v>
      </c>
      <c r="I77" s="380">
        <f>IF(H77,Wh_hp,'2021'!Maxi_hp)</f>
        <v>33.323703114447028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2.9794889288462412E-2</v>
      </c>
      <c r="M77" s="957"/>
      <c r="N77" s="957"/>
      <c r="O77" s="48">
        <f>IF(t&lt;Tnet,'2021'!Resal+('2021'!Salim-'2021'!Resal)*(1-EXP(('2021'!Tnet-t)/('2021'!Tau_j))),Resal+(Salim-Resal)*(1-EXP((Tnet-t)/(Tau_j))))*Salcycl</f>
        <v>4.5502532596250998E-2</v>
      </c>
      <c r="P77" s="339">
        <f>(INDEX(Models!$BJ77:$BT77,,T77)*(1-R77)+INDEX(Models!$BJ77:$BT77,,T77+1)*R77-ERP_i)*Q77*Ramure*Pc/MaxiM</f>
        <v>7.9670796497908428E-4</v>
      </c>
      <c r="Q77" s="305">
        <f t="shared" si="4"/>
        <v>0.7</v>
      </c>
      <c r="R77" s="177">
        <f t="shared" si="5"/>
        <v>8.1107552960375112E-3</v>
      </c>
      <c r="S77" s="919">
        <f t="shared" si="6"/>
        <v>0</v>
      </c>
      <c r="T77" s="176">
        <f t="shared" si="7"/>
        <v>6</v>
      </c>
      <c r="U77" s="251">
        <f t="shared" si="19"/>
        <v>8.1107552960375112E-3</v>
      </c>
      <c r="V77" s="383">
        <f t="shared" si="8"/>
        <v>43.830051334021086</v>
      </c>
      <c r="W77" s="402"/>
      <c r="X77" s="157">
        <f t="shared" si="9"/>
        <v>44624</v>
      </c>
      <c r="Y77" s="385">
        <f t="shared" si="10"/>
        <v>4.1180196843781056</v>
      </c>
      <c r="Z77" s="385">
        <f t="shared" si="20"/>
        <v>4.2444836034289652</v>
      </c>
      <c r="AA77" s="386">
        <f t="shared" si="11"/>
        <v>4.7178454107628172</v>
      </c>
      <c r="AB77" s="197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0.10033431919027526</v>
      </c>
      <c r="AD77" s="231">
        <f>(INDEX(Models!$BJ77:$BT77,,AH77)*(1-AF77)+INDEX(Models!$BJ77:$BT77,,AH77+1)*AF77-ERP_i)*AE77*Ramure*Pc/MaxiM</f>
        <v>7.9670796497908428E-4</v>
      </c>
      <c r="AE77" s="305">
        <f t="shared" si="13"/>
        <v>0.7</v>
      </c>
      <c r="AF77" s="177">
        <f t="shared" si="21"/>
        <v>8.1107552960375112E-3</v>
      </c>
      <c r="AG77" s="919">
        <f t="shared" si="22"/>
        <v>0</v>
      </c>
      <c r="AH77" s="176">
        <f t="shared" si="14"/>
        <v>6</v>
      </c>
      <c r="AI77" s="225">
        <f t="shared" si="23"/>
        <v>8.1107552960375112E-3</v>
      </c>
      <c r="AJ77" s="265" t="b">
        <f t="shared" si="15"/>
        <v>0</v>
      </c>
      <c r="AK77" s="265" t="b">
        <f t="shared" si="16"/>
        <v>0</v>
      </c>
      <c r="AL77" s="265"/>
      <c r="AM77" s="265"/>
      <c r="AN77" s="75"/>
    </row>
    <row r="78" spans="1:40" s="6" customFormat="1" ht="11.25" x14ac:dyDescent="0.2">
      <c r="A78" s="56">
        <f t="shared" si="17"/>
        <v>44625</v>
      </c>
      <c r="B78" s="618">
        <v>15.531000000000001</v>
      </c>
      <c r="C78" s="953"/>
      <c r="D78" s="393">
        <f t="shared" si="0"/>
        <v>16.008305877526745</v>
      </c>
      <c r="E78" s="385">
        <f t="shared" si="1"/>
        <v>16.775268525531661</v>
      </c>
      <c r="F78" s="385">
        <f t="shared" si="2"/>
        <v>16.776247300240524</v>
      </c>
      <c r="G78" s="110">
        <f t="shared" si="18"/>
        <v>0.35189510635490517</v>
      </c>
      <c r="H78" s="412" t="b">
        <f>Wh_hp&gt;='2021'!Maxi_hp</f>
        <v>0</v>
      </c>
      <c r="I78" s="380">
        <f>IF(H78,Wh_hp,'2021'!Maxi_hp)</f>
        <v>47.032781812856342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2.9816139270352759E-2</v>
      </c>
      <c r="M78" s="957"/>
      <c r="N78" s="957"/>
      <c r="O78" s="48">
        <f>IF(t&lt;Tnet,'2021'!Resal+('2021'!Salim-'2021'!Resal)*(1-EXP(('2021'!Tnet-t)/('2021'!Tau_j))),Resal+(Salim-Resal)*(1-EXP((Tnet-t)/(Tau_j))))*Salcycl</f>
        <v>4.5719843282246854E-2</v>
      </c>
      <c r="P78" s="339">
        <f>(INDEX(Models!$BJ78:$BT78,,T78)*(1-R78)+INDEX(Models!$BJ78:$BT78,,T78+1)*R78-ERP_i)*Q78*Ramure*Pc/MaxiM</f>
        <v>7.8312072056076535E-4</v>
      </c>
      <c r="Q78" s="305">
        <f t="shared" si="4"/>
        <v>0.7</v>
      </c>
      <c r="R78" s="177">
        <f t="shared" si="5"/>
        <v>8.4719429679331534E-3</v>
      </c>
      <c r="S78" s="919">
        <f t="shared" si="6"/>
        <v>0</v>
      </c>
      <c r="T78" s="176">
        <f t="shared" si="7"/>
        <v>6</v>
      </c>
      <c r="U78" s="251">
        <f t="shared" si="19"/>
        <v>8.4719429679331534E-3</v>
      </c>
      <c r="V78" s="383">
        <f t="shared" si="8"/>
        <v>44.103320956801625</v>
      </c>
      <c r="W78" s="402"/>
      <c r="X78" s="157">
        <f t="shared" si="9"/>
        <v>44625</v>
      </c>
      <c r="Y78" s="385">
        <f t="shared" si="10"/>
        <v>14.640032596850181</v>
      </c>
      <c r="Z78" s="385">
        <f t="shared" si="20"/>
        <v>15.089956851930969</v>
      </c>
      <c r="AA78" s="386">
        <f t="shared" si="11"/>
        <v>16.775268525531661</v>
      </c>
      <c r="AB78" s="197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0.10046406536119987</v>
      </c>
      <c r="AD78" s="231">
        <f>(INDEX(Models!$BJ78:$BT78,,AH78)*(1-AF78)+INDEX(Models!$BJ78:$BT78,,AH78+1)*AF78-ERP_i)*AE78*Ramure*Pc/MaxiM</f>
        <v>7.8312072056076535E-4</v>
      </c>
      <c r="AE78" s="305">
        <f t="shared" si="13"/>
        <v>0.7</v>
      </c>
      <c r="AF78" s="177">
        <f t="shared" si="21"/>
        <v>8.4719429679331534E-3</v>
      </c>
      <c r="AG78" s="919">
        <f t="shared" si="22"/>
        <v>0</v>
      </c>
      <c r="AH78" s="176">
        <f t="shared" si="14"/>
        <v>6</v>
      </c>
      <c r="AI78" s="225">
        <f t="shared" si="23"/>
        <v>8.4719429679331534E-3</v>
      </c>
      <c r="AJ78" s="265" t="b">
        <f t="shared" si="15"/>
        <v>0</v>
      </c>
      <c r="AK78" s="265" t="b">
        <f t="shared" si="16"/>
        <v>0</v>
      </c>
      <c r="AL78" s="265"/>
      <c r="AM78" s="265"/>
      <c r="AN78" s="75"/>
    </row>
    <row r="79" spans="1:40" s="6" customFormat="1" ht="11.25" x14ac:dyDescent="0.2">
      <c r="A79" s="56">
        <f t="shared" si="17"/>
        <v>44626</v>
      </c>
      <c r="B79" s="618">
        <v>21.986000000000001</v>
      </c>
      <c r="C79" s="953"/>
      <c r="D79" s="393">
        <f t="shared" ref="D79:D142" si="24">Wh/(1-Ppv)</f>
        <v>22.662180283887214</v>
      </c>
      <c r="E79" s="385">
        <f t="shared" si="1"/>
        <v>23.753333237390031</v>
      </c>
      <c r="F79" s="385">
        <f t="shared" ref="F79:F142" si="25">Wh_sa/(1-Pvg*MEDIAN((-Sdif+Wh/Env_an)/Csdif,0,1))</f>
        <v>23.75842852464725</v>
      </c>
      <c r="G79" s="110">
        <f t="shared" si="18"/>
        <v>0.49517358607963791</v>
      </c>
      <c r="H79" s="412" t="b">
        <f>Wh_hp&gt;='2021'!Maxi_hp</f>
        <v>0</v>
      </c>
      <c r="I79" s="380">
        <f>IF(H79,Wh_hp,'2021'!Maxi_hp)</f>
        <v>24.181479709212134</v>
      </c>
      <c r="J79" s="85">
        <f>IF(H79,An,'2021'!An_max)</f>
        <v>2019</v>
      </c>
      <c r="K79" s="197">
        <f t="shared" ref="K79:K142" si="26">t</f>
        <v>44626</v>
      </c>
      <c r="L79" s="147">
        <f>IF(t&lt;Tvie,1-EXP((T0-t)*PertePVj)+'2021'!Pspv,1-EXP((T0-t)*PertePVj)+Pspv)</f>
        <v>2.9837388786813968E-2</v>
      </c>
      <c r="M79" s="957"/>
      <c r="N79" s="957"/>
      <c r="O79" s="48">
        <f>IF(t&lt;Tnet,'2021'!Resal+('2021'!Salim-'2021'!Resal)*(1-EXP(('2021'!Tnet-t)/('2021'!Tau_j))),Resal+(Salim-Resal)*(1-EXP((Tnet-t)/(Tau_j))))*Salcycl</f>
        <v>4.593683516321144E-2</v>
      </c>
      <c r="P79" s="339">
        <f>(INDEX(Models!$BJ79:$BT79,,T79)*(1-R79)+INDEX(Models!$BJ79:$BT79,,T79+1)*R79-ERP_i)*Q79*Ramure*Pc/MaxiM</f>
        <v>7.6810023216119063E-4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8.847719577831278E-3</v>
      </c>
      <c r="S79" s="91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8.847719577831278E-3</v>
      </c>
      <c r="V79" s="383">
        <f t="shared" ref="V79:V142" si="32">MaxiM*(1-Ppv)*(1-Pvg)*(1-Psa)</f>
        <v>44.376004139006454</v>
      </c>
      <c r="W79" s="402"/>
      <c r="X79" s="157">
        <f t="shared" ref="X79:X142" si="33">t</f>
        <v>44626</v>
      </c>
      <c r="Y79" s="385">
        <f t="shared" ref="Y79:Y142" si="34">Wh_pvt_s*(1-Ppv)</f>
        <v>20.726455528350741</v>
      </c>
      <c r="Z79" s="385">
        <f t="shared" ref="Z79:Z142" si="35">Wh_sa_s*(1-Psa_s)</f>
        <v>21.363898473094483</v>
      </c>
      <c r="AA79" s="386">
        <f t="shared" ref="AA79:AA142" si="36">Wh_hp*(1-Pvg_s*MEDIAN((-Sdif+Wh/Env_an)/Csdif,0,1))</f>
        <v>23.753333237390031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0.10059366154701797</v>
      </c>
      <c r="AD79" s="231">
        <f>(INDEX(Models!$BJ79:$BT79,,AH79)*(1-AF79)+INDEX(Models!$BJ79:$BT79,,AH79+1)*AF79-ERP_i)*AE79*Ramure*Pc/MaxiM</f>
        <v>7.6810023216119063E-4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8.847719577831278E-3</v>
      </c>
      <c r="AG79" s="919">
        <f t="shared" si="22"/>
        <v>0</v>
      </c>
      <c r="AH79" s="176">
        <f t="shared" ref="AH79:AH142" si="40">MIN(MATCH(Hp_vg_s,Echel_vg),10)</f>
        <v>6</v>
      </c>
      <c r="AI79" s="225">
        <f t="shared" ref="AI79:AI142" si="41">IF(OR(t&lt;Ttai,Notai),Hdd_s+PousH*Croivg,Hdtai_s+PousH*(Croivg-Croi_tai))</f>
        <v>8.847719577831278E-3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44627</v>
      </c>
      <c r="B80" s="618">
        <v>33.355000000000004</v>
      </c>
      <c r="C80" s="953"/>
      <c r="D80" s="393">
        <f t="shared" si="24"/>
        <v>34.381587365435145</v>
      </c>
      <c r="E80" s="385">
        <f t="shared" ref="E80:E143" si="45">Wh_pvt/(1-Psa)</f>
        <v>36.045200164697832</v>
      </c>
      <c r="F80" s="385">
        <f t="shared" si="25"/>
        <v>36.062504527875966</v>
      </c>
      <c r="G80" s="110">
        <f t="shared" ref="G80:G143" si="46">+Wh_hp/MaxiM</f>
        <v>0.74685718888199126</v>
      </c>
      <c r="H80" s="412" t="b">
        <f>Wh_hp&gt;='2021'!Maxi_hp</f>
        <v>0</v>
      </c>
      <c r="I80" s="380">
        <f>IF(H80,Wh_hp,'2021'!Maxi_hp)</f>
        <v>43.018931785268983</v>
      </c>
      <c r="J80" s="85">
        <f>IF(H80,An,'2021'!An_max)</f>
        <v>2019</v>
      </c>
      <c r="K80" s="197">
        <f t="shared" si="26"/>
        <v>44627</v>
      </c>
      <c r="L80" s="147">
        <f>IF(t&lt;Tvie,1-EXP((T0-t)*PertePVj)+'2021'!Pspv,1-EXP((T0-t)*PertePVj)+Pspv)</f>
        <v>2.985863783785625E-2</v>
      </c>
      <c r="M80" s="957"/>
      <c r="N80" s="957"/>
      <c r="O80" s="48">
        <f>IF(t&lt;Tnet,'2021'!Resal+('2021'!Salim-'2021'!Resal)*(1-EXP(('2021'!Tnet-t)/('2021'!Tau_j))),Resal+(Salim-Resal)*(1-EXP((Tnet-t)/(Tau_j))))*Salcycl</f>
        <v>4.6153518128940856E-2</v>
      </c>
      <c r="P80" s="339">
        <f>(INDEX(Models!$BJ80:$BT80,,T80)*(1-R80)+INDEX(Models!$BJ80:$BT80,,T80+1)*R80-ERP_i)*Q80*Ramure*Pc/MaxiM</f>
        <v>7.5133195659561104E-4</v>
      </c>
      <c r="Q80" s="305">
        <f t="shared" si="27"/>
        <v>0.7</v>
      </c>
      <c r="R80" s="177">
        <f t="shared" si="28"/>
        <v>9.2386502822668463E-3</v>
      </c>
      <c r="S80" s="919">
        <f t="shared" si="29"/>
        <v>0</v>
      </c>
      <c r="T80" s="176">
        <f t="shared" si="30"/>
        <v>6</v>
      </c>
      <c r="U80" s="251">
        <f t="shared" si="31"/>
        <v>9.2386502822668463E-3</v>
      </c>
      <c r="V80" s="383">
        <f t="shared" si="32"/>
        <v>44.648348648244429</v>
      </c>
      <c r="W80" s="402"/>
      <c r="X80" s="157">
        <f t="shared" si="33"/>
        <v>44627</v>
      </c>
      <c r="Y80" s="385">
        <f t="shared" si="34"/>
        <v>31.446758612161243</v>
      </c>
      <c r="Z80" s="385">
        <f t="shared" si="35"/>
        <v>32.414614857855547</v>
      </c>
      <c r="AA80" s="386">
        <f t="shared" si="36"/>
        <v>36.045200164697832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0.10072312791310363</v>
      </c>
      <c r="AD80" s="231">
        <f>(INDEX(Models!$BJ80:$BT80,,AH80)*(1-AF80)+INDEX(Models!$BJ80:$BT80,,AH80+1)*AF80-ERP_i)*AE80*Ramure*Pc/MaxiM</f>
        <v>7.5133195659561104E-4</v>
      </c>
      <c r="AE80" s="305">
        <f t="shared" si="38"/>
        <v>0.7</v>
      </c>
      <c r="AF80" s="177">
        <f t="shared" si="39"/>
        <v>9.2386502822668463E-3</v>
      </c>
      <c r="AG80" s="919">
        <f t="shared" ref="AG80:AG143" si="47">INDEX(Echel_vg,AH80)</f>
        <v>0</v>
      </c>
      <c r="AH80" s="176">
        <f t="shared" si="40"/>
        <v>6</v>
      </c>
      <c r="AI80" s="225">
        <f t="shared" si="41"/>
        <v>9.2386502822668463E-3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44628</v>
      </c>
      <c r="B81" s="618">
        <v>31.993000000000002</v>
      </c>
      <c r="C81" s="953"/>
      <c r="D81" s="393">
        <f t="shared" si="24"/>
        <v>32.97839056449665</v>
      </c>
      <c r="E81" s="385">
        <f t="shared" si="45"/>
        <v>34.581952343785041</v>
      </c>
      <c r="F81" s="385">
        <f t="shared" si="25"/>
        <v>34.596892262682907</v>
      </c>
      <c r="G81" s="110">
        <f t="shared" si="46"/>
        <v>0.71200635812151369</v>
      </c>
      <c r="H81" s="412" t="b">
        <f>Wh_hp&gt;='2021'!Maxi_hp</f>
        <v>1</v>
      </c>
      <c r="I81" s="380">
        <f>IF(H81,Wh_hp,'2021'!Maxi_hp)</f>
        <v>34.596892262682907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2.9879886423489821E-2</v>
      </c>
      <c r="M81" s="957"/>
      <c r="N81" s="957"/>
      <c r="O81" s="48">
        <f>IF(t&lt;Tnet,'2021'!Resal+('2021'!Salim-'2021'!Resal)*(1-EXP(('2021'!Tnet-t)/('2021'!Tau_j))),Resal+(Salim-Resal)*(1-EXP((Tnet-t)/(Tau_j))))*Salcycl</f>
        <v>4.6369903102841434E-2</v>
      </c>
      <c r="P81" s="339">
        <f>(INDEX(Models!$BJ81:$BT81,,T81)*(1-R81)+INDEX(Models!$BJ81:$BT81,,T81+1)*R81-ERP_i)*Q81*Ramure*Pc/MaxiM</f>
        <v>7.3329531033883961E-4</v>
      </c>
      <c r="Q81" s="305">
        <f t="shared" si="27"/>
        <v>0.7</v>
      </c>
      <c r="R81" s="177">
        <f t="shared" si="28"/>
        <v>9.6453201104769268E-3</v>
      </c>
      <c r="S81" s="919">
        <f t="shared" si="29"/>
        <v>0</v>
      </c>
      <c r="T81" s="176">
        <f t="shared" si="30"/>
        <v>6</v>
      </c>
      <c r="U81" s="251">
        <f t="shared" si="31"/>
        <v>9.6453201104769268E-3</v>
      </c>
      <c r="V81" s="383">
        <f t="shared" si="32"/>
        <v>44.920035665419242</v>
      </c>
      <c r="W81" s="402"/>
      <c r="X81" s="157">
        <f t="shared" si="33"/>
        <v>44628</v>
      </c>
      <c r="Y81" s="385">
        <f t="shared" si="34"/>
        <v>30.165183009101362</v>
      </c>
      <c r="Z81" s="385">
        <f t="shared" si="35"/>
        <v>31.094276458089674</v>
      </c>
      <c r="AA81" s="386">
        <f t="shared" si="36"/>
        <v>34.581952343785041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0.10085248660988803</v>
      </c>
      <c r="AD81" s="231">
        <f>(INDEX(Models!$BJ81:$BT81,,AH81)*(1-AF81)+INDEX(Models!$BJ81:$BT81,,AH81+1)*AF81-ERP_i)*AE81*Ramure*Pc/MaxiM</f>
        <v>7.3329531033883961E-4</v>
      </c>
      <c r="AE81" s="305">
        <f t="shared" si="38"/>
        <v>0.7</v>
      </c>
      <c r="AF81" s="177">
        <f t="shared" si="39"/>
        <v>9.6453201104769268E-3</v>
      </c>
      <c r="AG81" s="919">
        <f t="shared" si="47"/>
        <v>0</v>
      </c>
      <c r="AH81" s="176">
        <f t="shared" si="40"/>
        <v>6</v>
      </c>
      <c r="AI81" s="225">
        <f t="shared" si="41"/>
        <v>9.6453201104769268E-3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44629</v>
      </c>
      <c r="B82" s="618">
        <v>33.765000000000001</v>
      </c>
      <c r="C82" s="953"/>
      <c r="D82" s="393">
        <f t="shared" si="24"/>
        <v>34.805730840762308</v>
      </c>
      <c r="E82" s="385">
        <f t="shared" si="45"/>
        <v>36.506418948148131</v>
      </c>
      <c r="F82" s="385">
        <f t="shared" si="25"/>
        <v>36.523077878256487</v>
      </c>
      <c r="G82" s="110">
        <f t="shared" si="46"/>
        <v>0.74697312630156487</v>
      </c>
      <c r="H82" s="412" t="b">
        <f>Wh_hp&gt;='2021'!Maxi_hp</f>
        <v>0</v>
      </c>
      <c r="I82" s="380">
        <f>IF(H82,Wh_hp,'2021'!Maxi_hp)</f>
        <v>44.616353864796501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2.9901134543724783E-2</v>
      </c>
      <c r="M82" s="957"/>
      <c r="N82" s="957"/>
      <c r="O82" s="48">
        <f>IF(t&lt;Tnet,'2021'!Resal+('2021'!Salim-'2021'!Resal)*(1-EXP(('2021'!Tnet-t)/('2021'!Tau_j))),Resal+(Salim-Resal)*(1-EXP((Tnet-t)/(Tau_j))))*Salcycl</f>
        <v>4.6586002034365338E-2</v>
      </c>
      <c r="P82" s="339">
        <f>(INDEX(Models!$BJ82:$BT82,,T82)*(1-R82)+INDEX(Models!$BJ82:$BT82,,T82+1)*R82-ERP_i)*Q82*Ramure*Pc/MaxiM</f>
        <v>7.1401788953923302E-4</v>
      </c>
      <c r="Q82" s="305">
        <f t="shared" si="27"/>
        <v>0.7</v>
      </c>
      <c r="R82" s="177">
        <f t="shared" si="28"/>
        <v>1.0068334492063851E-2</v>
      </c>
      <c r="S82" s="919">
        <f t="shared" si="29"/>
        <v>0</v>
      </c>
      <c r="T82" s="176">
        <f t="shared" si="30"/>
        <v>6</v>
      </c>
      <c r="U82" s="251">
        <f t="shared" si="31"/>
        <v>1.0068334492063851E-2</v>
      </c>
      <c r="V82" s="383">
        <f t="shared" si="32"/>
        <v>45.190766491502139</v>
      </c>
      <c r="W82" s="402"/>
      <c r="X82" s="157">
        <f t="shared" si="33"/>
        <v>44629</v>
      </c>
      <c r="Y82" s="385">
        <f t="shared" si="34"/>
        <v>31.838583113001953</v>
      </c>
      <c r="Z82" s="385">
        <f t="shared" si="35"/>
        <v>32.81993644846397</v>
      </c>
      <c r="AA82" s="386">
        <f t="shared" si="36"/>
        <v>36.506418948148131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0.10098176172580094</v>
      </c>
      <c r="AD82" s="231">
        <f>(INDEX(Models!$BJ82:$BT82,,AH82)*(1-AF82)+INDEX(Models!$BJ82:$BT82,,AH82+1)*AF82-ERP_i)*AE82*Ramure*Pc/MaxiM</f>
        <v>7.1401788953923302E-4</v>
      </c>
      <c r="AE82" s="305">
        <f t="shared" si="38"/>
        <v>0.7</v>
      </c>
      <c r="AF82" s="177">
        <f t="shared" si="39"/>
        <v>1.0068334492063851E-2</v>
      </c>
      <c r="AG82" s="919">
        <f t="shared" si="47"/>
        <v>0</v>
      </c>
      <c r="AH82" s="176">
        <f t="shared" si="40"/>
        <v>6</v>
      </c>
      <c r="AI82" s="225">
        <f t="shared" si="41"/>
        <v>1.0068334492063851E-2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44630</v>
      </c>
      <c r="B83" s="618">
        <v>24.434000000000001</v>
      </c>
      <c r="C83" s="953"/>
      <c r="D83" s="393">
        <f t="shared" si="24"/>
        <v>25.187675245385932</v>
      </c>
      <c r="E83" s="385">
        <f t="shared" si="45"/>
        <v>26.424384752558741</v>
      </c>
      <c r="F83" s="385">
        <f t="shared" si="25"/>
        <v>26.430603456020346</v>
      </c>
      <c r="G83" s="110">
        <f t="shared" si="46"/>
        <v>0.53723427891748676</v>
      </c>
      <c r="H83" s="412" t="b">
        <f>Wh_hp&gt;='2021'!Maxi_hp</f>
        <v>0</v>
      </c>
      <c r="I83" s="380">
        <f>IF(H83,Wh_hp,'2021'!Maxi_hp)</f>
        <v>45.293809105395539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2.9922382198571351E-2</v>
      </c>
      <c r="M83" s="957"/>
      <c r="N83" s="957"/>
      <c r="O83" s="48">
        <f>IF(t&lt;Tnet,'2021'!Resal+('2021'!Salim-'2021'!Resal)*(1-EXP(('2021'!Tnet-t)/('2021'!Tau_j))),Resal+(Salim-Resal)*(1-EXP((Tnet-t)/(Tau_j))))*Salcycl</f>
        <v>4.6801827885625785E-2</v>
      </c>
      <c r="P83" s="339">
        <f>(INDEX(Models!$BJ83:$BT83,,T83)*(1-R83)+INDEX(Models!$BJ83:$BT83,,T83+1)*R83-ERP_i)*Q83*Ramure*Pc/MaxiM</f>
        <v>6.93525783239626E-4</v>
      </c>
      <c r="Q83" s="305">
        <f t="shared" si="27"/>
        <v>0.7</v>
      </c>
      <c r="R83" s="177">
        <f t="shared" si="28"/>
        <v>1.050831978340061E-2</v>
      </c>
      <c r="S83" s="919">
        <f t="shared" si="29"/>
        <v>0</v>
      </c>
      <c r="T83" s="176">
        <f t="shared" si="30"/>
        <v>6</v>
      </c>
      <c r="U83" s="251">
        <f t="shared" si="31"/>
        <v>1.050831978340061E-2</v>
      </c>
      <c r="V83" s="383">
        <f t="shared" si="32"/>
        <v>45.460242669943298</v>
      </c>
      <c r="W83" s="402"/>
      <c r="X83" s="157">
        <f t="shared" si="33"/>
        <v>44630</v>
      </c>
      <c r="Y83" s="385">
        <f t="shared" si="34"/>
        <v>23.04185527842597</v>
      </c>
      <c r="Z83" s="385">
        <f t="shared" si="35"/>
        <v>23.752589334704716</v>
      </c>
      <c r="AA83" s="386">
        <f t="shared" si="36"/>
        <v>26.424384752558741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0.10111097922896037</v>
      </c>
      <c r="AD83" s="231">
        <f>(INDEX(Models!$BJ83:$BT83,,AH83)*(1-AF83)+INDEX(Models!$BJ83:$BT83,,AH83+1)*AF83-ERP_i)*AE83*Ramure*Pc/MaxiM</f>
        <v>6.93525783239626E-4</v>
      </c>
      <c r="AE83" s="305">
        <f t="shared" si="38"/>
        <v>0.7</v>
      </c>
      <c r="AF83" s="177">
        <f t="shared" si="39"/>
        <v>1.050831978340061E-2</v>
      </c>
      <c r="AG83" s="919">
        <f t="shared" si="47"/>
        <v>0</v>
      </c>
      <c r="AH83" s="176">
        <f t="shared" si="40"/>
        <v>6</v>
      </c>
      <c r="AI83" s="225">
        <f t="shared" si="41"/>
        <v>1.050831978340061E-2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44631</v>
      </c>
      <c r="B84" s="618">
        <v>16.289000000000001</v>
      </c>
      <c r="C84" s="953"/>
      <c r="D84" s="393">
        <f t="shared" si="24"/>
        <v>16.791807665490701</v>
      </c>
      <c r="E84" s="385">
        <f t="shared" si="45"/>
        <v>17.620266698007207</v>
      </c>
      <c r="F84" s="385">
        <f t="shared" si="25"/>
        <v>17.621217408480902</v>
      </c>
      <c r="G84" s="110">
        <f t="shared" si="46"/>
        <v>0.35599360439483874</v>
      </c>
      <c r="H84" s="412" t="b">
        <f>Wh_hp&gt;='2021'!Maxi_hp</f>
        <v>0</v>
      </c>
      <c r="I84" s="380">
        <f>IF(H84,Wh_hp,'2021'!Maxi_hp)</f>
        <v>36.273412618426136</v>
      </c>
      <c r="J84" s="85">
        <f>IF(H84,An,'2021'!An_max)</f>
        <v>2021</v>
      </c>
      <c r="K84" s="197">
        <f t="shared" si="26"/>
        <v>44631</v>
      </c>
      <c r="L84" s="147">
        <f>IF(t&lt;Tvie,1-EXP((T0-t)*PertePVj)+'2021'!Pspv,1-EXP((T0-t)*PertePVj)+Pspv)</f>
        <v>2.9943629388039739E-2</v>
      </c>
      <c r="M84" s="957"/>
      <c r="N84" s="957"/>
      <c r="O84" s="48">
        <f>IF(t&lt;Tnet,'2021'!Resal+('2021'!Salim-'2021'!Resal)*(1-EXP(('2021'!Tnet-t)/('2021'!Tau_j))),Resal+(Salim-Resal)*(1-EXP((Tnet-t)/(Tau_j))))*Salcycl</f>
        <v>4.7017394612432373E-2</v>
      </c>
      <c r="P84" s="339">
        <f>(INDEX(Models!$BJ84:$BT84,,T84)*(1-R84)+INDEX(Models!$BJ84:$BT84,,T84+1)*R84-ERP_i)*Q84*Ramure*Pc/MaxiM</f>
        <v>6.7184347300297109E-4</v>
      </c>
      <c r="Q84" s="305">
        <f t="shared" si="27"/>
        <v>0.7</v>
      </c>
      <c r="R84" s="177">
        <f t="shared" si="28"/>
        <v>1.0965923791065459E-2</v>
      </c>
      <c r="S84" s="919">
        <f t="shared" si="29"/>
        <v>0</v>
      </c>
      <c r="T84" s="176">
        <f t="shared" si="30"/>
        <v>6</v>
      </c>
      <c r="U84" s="251">
        <f t="shared" si="31"/>
        <v>1.0965923791065459E-2</v>
      </c>
      <c r="V84" s="383">
        <f t="shared" si="32"/>
        <v>45.728165988180436</v>
      </c>
      <c r="W84" s="402"/>
      <c r="X84" s="157">
        <f t="shared" si="33"/>
        <v>44631</v>
      </c>
      <c r="Y84" s="385">
        <f t="shared" si="34"/>
        <v>15.362189024886304</v>
      </c>
      <c r="Z84" s="385">
        <f t="shared" si="35"/>
        <v>15.836387956707158</v>
      </c>
      <c r="AA84" s="386">
        <f t="shared" si="36"/>
        <v>17.620266698007207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0.10124016689837041</v>
      </c>
      <c r="AD84" s="231">
        <f>(INDEX(Models!$BJ84:$BT84,,AH84)*(1-AF84)+INDEX(Models!$BJ84:$BT84,,AH84+1)*AF84-ERP_i)*AE84*Ramure*Pc/MaxiM</f>
        <v>6.7184347300297109E-4</v>
      </c>
      <c r="AE84" s="305">
        <f t="shared" si="38"/>
        <v>0.7</v>
      </c>
      <c r="AF84" s="177">
        <f t="shared" si="39"/>
        <v>1.0965923791065459E-2</v>
      </c>
      <c r="AG84" s="919">
        <f t="shared" si="47"/>
        <v>0</v>
      </c>
      <c r="AH84" s="176">
        <f t="shared" si="40"/>
        <v>6</v>
      </c>
      <c r="AI84" s="225">
        <f t="shared" si="41"/>
        <v>1.0965923791065459E-2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44632</v>
      </c>
      <c r="B85" s="618">
        <v>13.449</v>
      </c>
      <c r="C85" s="953"/>
      <c r="D85" s="393">
        <f t="shared" si="24"/>
        <v>13.864446419318279</v>
      </c>
      <c r="E85" s="385">
        <f t="shared" si="45"/>
        <v>14.551765860075193</v>
      </c>
      <c r="F85" s="385">
        <f t="shared" si="25"/>
        <v>14.551765860075193</v>
      </c>
      <c r="G85" s="110">
        <f t="shared" si="46"/>
        <v>0.29221641943995535</v>
      </c>
      <c r="H85" s="412" t="b">
        <f>Wh_hp&gt;='2021'!Maxi_hp</f>
        <v>0</v>
      </c>
      <c r="I85" s="380">
        <f>IF(H85,Wh_hp,'2021'!Maxi_hp)</f>
        <v>43.935491435363161</v>
      </c>
      <c r="J85" s="85">
        <f>IF(H85,An,'2021'!An_max)</f>
        <v>2019</v>
      </c>
      <c r="K85" s="197">
        <f t="shared" si="26"/>
        <v>44632</v>
      </c>
      <c r="L85" s="147">
        <f>IF(t&lt;Tvie,1-EXP((T0-t)*PertePVj)+'2021'!Pspv,1-EXP((T0-t)*PertePVj)+Pspv)</f>
        <v>2.9964876112140271E-2</v>
      </c>
      <c r="M85" s="957"/>
      <c r="N85" s="957"/>
      <c r="O85" s="48">
        <f>IF(t&lt;Tnet,'2021'!Resal+('2021'!Salim-'2021'!Resal)*(1-EXP(('2021'!Tnet-t)/('2021'!Tau_j))),Resal+(Salim-Resal)*(1-EXP((Tnet-t)/(Tau_j))))*Salcycl</f>
        <v>4.72327171400325E-2</v>
      </c>
      <c r="P85" s="339">
        <f>(INDEX(Models!$BJ85:$BT85,,T85)*(1-R85)+INDEX(Models!$BJ85:$BT85,,T85+1)*R85-ERP_i)*Q85*Ramure*Pc/MaxiM</f>
        <v>6.4899373387760327E-4</v>
      </c>
      <c r="Q85" s="305">
        <f t="shared" si="27"/>
        <v>0.7</v>
      </c>
      <c r="R85" s="177">
        <f t="shared" si="28"/>
        <v>1.1441816290420702E-2</v>
      </c>
      <c r="S85" s="919">
        <f t="shared" si="29"/>
        <v>0</v>
      </c>
      <c r="T85" s="176">
        <f t="shared" si="30"/>
        <v>6</v>
      </c>
      <c r="U85" s="251">
        <f t="shared" si="31"/>
        <v>1.1441816290420702E-2</v>
      </c>
      <c r="V85" s="383">
        <f t="shared" si="32"/>
        <v>45.994238479247358</v>
      </c>
      <c r="W85" s="402"/>
      <c r="X85" s="157">
        <f t="shared" si="33"/>
        <v>44632</v>
      </c>
      <c r="Y85" s="385">
        <f t="shared" si="34"/>
        <v>12.684822172393048</v>
      </c>
      <c r="Z85" s="385">
        <f t="shared" si="35"/>
        <v>13.076662751708223</v>
      </c>
      <c r="AA85" s="386">
        <f t="shared" si="36"/>
        <v>14.551765860075193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0.10136935424546115</v>
      </c>
      <c r="AD85" s="231">
        <f>(INDEX(Models!$BJ85:$BT85,,AH85)*(1-AF85)+INDEX(Models!$BJ85:$BT85,,AH85+1)*AF85-ERP_i)*AE85*Ramure*Pc/MaxiM</f>
        <v>6.4899373387760327E-4</v>
      </c>
      <c r="AE85" s="305">
        <f t="shared" si="38"/>
        <v>0.7</v>
      </c>
      <c r="AF85" s="177">
        <f t="shared" si="39"/>
        <v>1.1441816290420702E-2</v>
      </c>
      <c r="AG85" s="919">
        <f t="shared" si="47"/>
        <v>0</v>
      </c>
      <c r="AH85" s="176">
        <f t="shared" si="40"/>
        <v>6</v>
      </c>
      <c r="AI85" s="225">
        <f t="shared" si="41"/>
        <v>1.1441816290420702E-2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44633</v>
      </c>
      <c r="B86" s="618">
        <v>12.657999999999999</v>
      </c>
      <c r="C86" s="953"/>
      <c r="D86" s="393">
        <f t="shared" si="24"/>
        <v>13.049297841942588</v>
      </c>
      <c r="E86" s="385">
        <f t="shared" si="45"/>
        <v>13.699299626003569</v>
      </c>
      <c r="F86" s="385">
        <f t="shared" si="25"/>
        <v>13.699299626003569</v>
      </c>
      <c r="G86" s="110">
        <f t="shared" si="46"/>
        <v>0.27346717028513723</v>
      </c>
      <c r="H86" s="412" t="b">
        <f>Wh_hp&gt;='2021'!Maxi_hp</f>
        <v>0</v>
      </c>
      <c r="I86" s="380">
        <f>IF(H86,Wh_hp,'2021'!Maxi_hp)</f>
        <v>42.800557177693996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2.9986122370882939E-2</v>
      </c>
      <c r="M86" s="957"/>
      <c r="N86" s="957"/>
      <c r="O86" s="48">
        <f>IF(t&lt;Tnet,'2021'!Resal+('2021'!Salim-'2021'!Resal)*(1-EXP(('2021'!Tnet-t)/('2021'!Tau_j))),Resal+(Salim-Resal)*(1-EXP((Tnet-t)/(Tau_j))))*Salcycl</f>
        <v>4.7447811333885169E-2</v>
      </c>
      <c r="P86" s="339">
        <f>(INDEX(Models!$BJ86:$BT86,,T86)*(1-R86)+INDEX(Models!$BJ86:$BT86,,T86+1)*R86-ERP_i)*Q86*Ramure*Pc/MaxiM</f>
        <v>6.2560007666269109E-4</v>
      </c>
      <c r="Q86" s="305">
        <f t="shared" si="27"/>
        <v>0.7</v>
      </c>
      <c r="R86" s="177">
        <f t="shared" si="28"/>
        <v>1.1936689537266485E-2</v>
      </c>
      <c r="S86" s="919">
        <f t="shared" si="29"/>
        <v>0</v>
      </c>
      <c r="T86" s="176">
        <f t="shared" si="30"/>
        <v>6</v>
      </c>
      <c r="U86" s="251">
        <f t="shared" si="31"/>
        <v>1.1936689537266485E-2</v>
      </c>
      <c r="V86" s="383">
        <f t="shared" si="32"/>
        <v>46.258134536001833</v>
      </c>
      <c r="W86" s="402"/>
      <c r="X86" s="157">
        <f t="shared" si="33"/>
        <v>44633</v>
      </c>
      <c r="Y86" s="385">
        <f t="shared" si="34"/>
        <v>11.939745880114977</v>
      </c>
      <c r="Z86" s="385">
        <f t="shared" si="35"/>
        <v>12.308840270716328</v>
      </c>
      <c r="AA86" s="386">
        <f t="shared" si="36"/>
        <v>13.699299626003569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0.10149857242686455</v>
      </c>
      <c r="AD86" s="231">
        <f>(INDEX(Models!$BJ86:$BT86,,AH86)*(1-AF86)+INDEX(Models!$BJ86:$BT86,,AH86+1)*AF86-ERP_i)*AE86*Ramure*Pc/MaxiM</f>
        <v>6.2560007666269109E-4</v>
      </c>
      <c r="AE86" s="305">
        <f t="shared" si="38"/>
        <v>0.7</v>
      </c>
      <c r="AF86" s="177">
        <f t="shared" si="39"/>
        <v>1.1936689537266485E-2</v>
      </c>
      <c r="AG86" s="919">
        <f t="shared" si="47"/>
        <v>0</v>
      </c>
      <c r="AH86" s="176">
        <f t="shared" si="40"/>
        <v>6</v>
      </c>
      <c r="AI86" s="225">
        <f t="shared" si="41"/>
        <v>1.1936689537266485E-2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44634</v>
      </c>
      <c r="B87" s="618">
        <v>13.371</v>
      </c>
      <c r="C87" s="953"/>
      <c r="D87" s="393">
        <f t="shared" si="24"/>
        <v>13.78464079123491</v>
      </c>
      <c r="E87" s="385">
        <f t="shared" si="45"/>
        <v>14.474536179453509</v>
      </c>
      <c r="F87" s="385">
        <f t="shared" si="25"/>
        <v>14.474536179453509</v>
      </c>
      <c r="G87" s="110">
        <f t="shared" si="46"/>
        <v>0.28725456561068285</v>
      </c>
      <c r="H87" s="412" t="b">
        <f>Wh_hp&gt;='2021'!Maxi_hp</f>
        <v>0</v>
      </c>
      <c r="I87" s="380">
        <f>IF(H87,Wh_hp,'2021'!Maxi_hp)</f>
        <v>36.891466840324576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3.0007368164277959E-2</v>
      </c>
      <c r="M87" s="957"/>
      <c r="N87" s="957"/>
      <c r="O87" s="48">
        <f>IF(t&lt;Tnet,'2021'!Resal+('2021'!Salim-'2021'!Resal)*(1-EXP(('2021'!Tnet-t)/('2021'!Tau_j))),Resal+(Salim-Resal)*(1-EXP((Tnet-t)/(Tau_j))))*Salcycl</f>
        <v>4.7662693965828055E-2</v>
      </c>
      <c r="P87" s="339">
        <f>(INDEX(Models!$BJ87:$BT87,,T87)*(1-R87)+INDEX(Models!$BJ87:$BT87,,T87+1)*R87-ERP_i)*Q87*Ramure*Pc/MaxiM</f>
        <v>6.0280044253823003E-4</v>
      </c>
      <c r="Q87" s="305">
        <f t="shared" si="27"/>
        <v>0.7</v>
      </c>
      <c r="R87" s="177">
        <f t="shared" si="28"/>
        <v>1.2451258770304119E-2</v>
      </c>
      <c r="S87" s="919">
        <f t="shared" si="29"/>
        <v>0</v>
      </c>
      <c r="T87" s="176">
        <f t="shared" si="30"/>
        <v>6</v>
      </c>
      <c r="U87" s="251">
        <f t="shared" si="31"/>
        <v>1.2451258770304119E-2</v>
      </c>
      <c r="V87" s="383">
        <f t="shared" si="32"/>
        <v>46.519504143908584</v>
      </c>
      <c r="W87" s="402"/>
      <c r="X87" s="157">
        <f t="shared" si="33"/>
        <v>44634</v>
      </c>
      <c r="Y87" s="385">
        <f t="shared" si="34"/>
        <v>12.613318711823901</v>
      </c>
      <c r="Z87" s="385">
        <f t="shared" si="35"/>
        <v>13.00352012772824</v>
      </c>
      <c r="AA87" s="386">
        <f t="shared" si="36"/>
        <v>14.474536179453509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0.1016278541493692</v>
      </c>
      <c r="AD87" s="231">
        <f>(INDEX(Models!$BJ87:$BT87,,AH87)*(1-AF87)+INDEX(Models!$BJ87:$BT87,,AH87+1)*AF87-ERP_i)*AE87*Ramure*Pc/MaxiM</f>
        <v>6.0280044253823003E-4</v>
      </c>
      <c r="AE87" s="305">
        <f t="shared" si="38"/>
        <v>0.7</v>
      </c>
      <c r="AF87" s="177">
        <f t="shared" si="39"/>
        <v>1.2451258770304119E-2</v>
      </c>
      <c r="AG87" s="919">
        <f t="shared" si="47"/>
        <v>0</v>
      </c>
      <c r="AH87" s="176">
        <f t="shared" si="40"/>
        <v>6</v>
      </c>
      <c r="AI87" s="225">
        <f t="shared" si="41"/>
        <v>1.2451258770304119E-2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44635</v>
      </c>
      <c r="B88" s="618">
        <v>15.178000000000001</v>
      </c>
      <c r="C88" s="953"/>
      <c r="D88" s="393">
        <f t="shared" si="24"/>
        <v>15.647884268676899</v>
      </c>
      <c r="E88" s="385">
        <f t="shared" si="45"/>
        <v>16.434736434112565</v>
      </c>
      <c r="F88" s="385">
        <f t="shared" si="25"/>
        <v>16.435069972024603</v>
      </c>
      <c r="G88" s="110">
        <f t="shared" si="46"/>
        <v>0.32428662000842051</v>
      </c>
      <c r="H88" s="412" t="b">
        <f>Wh_hp&gt;='2021'!Maxi_hp</f>
        <v>0</v>
      </c>
      <c r="I88" s="380">
        <f>IF(H88,Wh_hp,'2021'!Maxi_hp)</f>
        <v>34.951737117929945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3.0028613492335654E-2</v>
      </c>
      <c r="M88" s="957"/>
      <c r="N88" s="957"/>
      <c r="O88" s="48">
        <f>IF(t&lt;Tnet,'2021'!Resal+('2021'!Salim-'2021'!Resal)*(1-EXP(('2021'!Tnet-t)/('2021'!Tau_j))),Resal+(Salim-Resal)*(1-EXP((Tnet-t)/(Tau_j))))*Salcycl</f>
        <v>4.7877382676027896E-2</v>
      </c>
      <c r="P88" s="339">
        <f>(INDEX(Models!$BJ88:$BT88,,T88)*(1-R88)+INDEX(Models!$BJ88:$BT88,,T88+1)*R88-ERP_i)*Q88*Ramure*Pc/MaxiM</f>
        <v>5.8058492634993619E-4</v>
      </c>
      <c r="Q88" s="305">
        <f t="shared" si="27"/>
        <v>0.7</v>
      </c>
      <c r="R88" s="177">
        <f t="shared" si="28"/>
        <v>1.298626270193572E-2</v>
      </c>
      <c r="S88" s="919">
        <f t="shared" si="29"/>
        <v>0</v>
      </c>
      <c r="T88" s="176">
        <f t="shared" si="30"/>
        <v>6</v>
      </c>
      <c r="U88" s="251">
        <f t="shared" si="31"/>
        <v>1.298626270193572E-2</v>
      </c>
      <c r="V88" s="383">
        <f t="shared" si="32"/>
        <v>46.778050033603243</v>
      </c>
      <c r="W88" s="402"/>
      <c r="X88" s="157">
        <f t="shared" si="33"/>
        <v>44635</v>
      </c>
      <c r="Y88" s="385">
        <f t="shared" si="34"/>
        <v>14.319089223216572</v>
      </c>
      <c r="Z88" s="385">
        <f t="shared" si="35"/>
        <v>14.762383120157564</v>
      </c>
      <c r="AA88" s="386">
        <f t="shared" si="36"/>
        <v>16.434736434112565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0.10175723356802982</v>
      </c>
      <c r="AD88" s="231">
        <f>(INDEX(Models!$BJ88:$BT88,,AH88)*(1-AF88)+INDEX(Models!$BJ88:$BT88,,AH88+1)*AF88-ERP_i)*AE88*Ramure*Pc/MaxiM</f>
        <v>5.8058492634993619E-4</v>
      </c>
      <c r="AE88" s="305">
        <f t="shared" si="38"/>
        <v>0.7</v>
      </c>
      <c r="AF88" s="177">
        <f t="shared" si="39"/>
        <v>1.298626270193572E-2</v>
      </c>
      <c r="AG88" s="919">
        <f t="shared" si="47"/>
        <v>0</v>
      </c>
      <c r="AH88" s="176">
        <f t="shared" si="40"/>
        <v>6</v>
      </c>
      <c r="AI88" s="225">
        <f t="shared" si="41"/>
        <v>1.298626270193572E-2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44636</v>
      </c>
      <c r="B89" s="618">
        <v>10.417</v>
      </c>
      <c r="C89" s="953"/>
      <c r="D89" s="393">
        <f t="shared" si="24"/>
        <v>10.739727283645589</v>
      </c>
      <c r="E89" s="385">
        <f t="shared" si="45"/>
        <v>11.282315212717785</v>
      </c>
      <c r="F89" s="385">
        <f t="shared" si="25"/>
        <v>11.282315212717785</v>
      </c>
      <c r="G89" s="110">
        <f t="shared" si="46"/>
        <v>0.22135675599151225</v>
      </c>
      <c r="H89" s="412" t="b">
        <f>Wh_hp&gt;='2021'!Maxi_hp</f>
        <v>0</v>
      </c>
      <c r="I89" s="380">
        <f>IF(H89,Wh_hp,'2021'!Maxi_hp)</f>
        <v>52.275659986289419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3.0049858355066128E-2</v>
      </c>
      <c r="M89" s="957"/>
      <c r="N89" s="957"/>
      <c r="O89" s="48">
        <f>IF(t&lt;Tnet,'2021'!Resal+('2021'!Salim-'2021'!Resal)*(1-EXP(('2021'!Tnet-t)/('2021'!Tau_j))),Resal+(Salim-Resal)*(1-EXP((Tnet-t)/(Tau_j))))*Salcycl</f>
        <v>4.8091895931127053E-2</v>
      </c>
      <c r="P89" s="339">
        <f>(INDEX(Models!$BJ89:$BT89,,T89)*(1-R89)+INDEX(Models!$BJ89:$BT89,,T89+1)*R89-ERP_i)*Q89*Ramure*Pc/MaxiM</f>
        <v>5.5894326714114081E-4</v>
      </c>
      <c r="Q89" s="305">
        <f t="shared" si="27"/>
        <v>0.7</v>
      </c>
      <c r="R89" s="177">
        <f t="shared" si="28"/>
        <v>1.3542463994707647E-2</v>
      </c>
      <c r="S89" s="919">
        <f t="shared" si="29"/>
        <v>0</v>
      </c>
      <c r="T89" s="176">
        <f t="shared" si="30"/>
        <v>6</v>
      </c>
      <c r="U89" s="251">
        <f t="shared" si="31"/>
        <v>1.3542463994707647E-2</v>
      </c>
      <c r="V89" s="383">
        <f t="shared" si="32"/>
        <v>47.033475176088139</v>
      </c>
      <c r="W89" s="402"/>
      <c r="X89" s="157">
        <f t="shared" si="33"/>
        <v>44636</v>
      </c>
      <c r="Y89" s="385">
        <f t="shared" si="34"/>
        <v>9.8283077169625574</v>
      </c>
      <c r="Z89" s="385">
        <f t="shared" si="35"/>
        <v>10.132796826334575</v>
      </c>
      <c r="AA89" s="386">
        <f t="shared" si="36"/>
        <v>11.282315212717785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0.10188674617842956</v>
      </c>
      <c r="AD89" s="231">
        <f>(INDEX(Models!$BJ89:$BT89,,AH89)*(1-AF89)+INDEX(Models!$BJ89:$BT89,,AH89+1)*AF89-ERP_i)*AE89*Ramure*Pc/MaxiM</f>
        <v>5.5894326714114081E-4</v>
      </c>
      <c r="AE89" s="305">
        <f t="shared" si="38"/>
        <v>0.7</v>
      </c>
      <c r="AF89" s="177">
        <f t="shared" si="39"/>
        <v>1.3542463994707647E-2</v>
      </c>
      <c r="AG89" s="919">
        <f t="shared" si="47"/>
        <v>0</v>
      </c>
      <c r="AH89" s="176">
        <f t="shared" si="40"/>
        <v>6</v>
      </c>
      <c r="AI89" s="225">
        <f t="shared" si="41"/>
        <v>1.3542463994707647E-2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44637</v>
      </c>
      <c r="B90" s="618">
        <v>11.279</v>
      </c>
      <c r="C90" s="953"/>
      <c r="D90" s="393">
        <f t="shared" si="24"/>
        <v>11.628687455346185</v>
      </c>
      <c r="E90" s="385">
        <f t="shared" si="45"/>
        <v>12.218938594213302</v>
      </c>
      <c r="F90" s="385">
        <f t="shared" si="25"/>
        <v>12.218938594213302</v>
      </c>
      <c r="G90" s="110">
        <f t="shared" si="46"/>
        <v>0.23840157184230307</v>
      </c>
      <c r="H90" s="412" t="b">
        <f>Wh_hp&gt;='2021'!Maxi_hp</f>
        <v>0</v>
      </c>
      <c r="I90" s="380">
        <f>IF(H90,Wh_hp,'2021'!Maxi_hp)</f>
        <v>27.107916637934526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3.0071102752479484E-2</v>
      </c>
      <c r="M90" s="957"/>
      <c r="N90" s="957"/>
      <c r="O90" s="48">
        <f>IF(t&lt;Tnet,'2021'!Resal+('2021'!Salim-'2021'!Resal)*(1-EXP(('2021'!Tnet-t)/('2021'!Tau_j))),Resal+(Salim-Resal)*(1-EXP((Tnet-t)/(Tau_j))))*Salcycl</f>
        <v>4.8306252979015085E-2</v>
      </c>
      <c r="P90" s="339">
        <f>(INDEX(Models!$BJ90:$BT90,,T90)*(1-R90)+INDEX(Models!$BJ90:$BT90,,T90+1)*R90-ERP_i)*Q90*Ramure*Pc/MaxiM</f>
        <v>5.3786487289881246E-4</v>
      </c>
      <c r="Q90" s="305">
        <f t="shared" si="27"/>
        <v>0.7</v>
      </c>
      <c r="R90" s="177">
        <f t="shared" si="28"/>
        <v>1.4120649720471896E-2</v>
      </c>
      <c r="S90" s="919">
        <f t="shared" si="29"/>
        <v>0</v>
      </c>
      <c r="T90" s="176">
        <f t="shared" si="30"/>
        <v>6</v>
      </c>
      <c r="U90" s="251">
        <f t="shared" si="31"/>
        <v>1.4120649720471896E-2</v>
      </c>
      <c r="V90" s="383">
        <f t="shared" si="32"/>
        <v>47.285482788491635</v>
      </c>
      <c r="W90" s="402"/>
      <c r="X90" s="157">
        <f t="shared" si="33"/>
        <v>44637</v>
      </c>
      <c r="Y90" s="385">
        <f t="shared" si="34"/>
        <v>10.642453764512474</v>
      </c>
      <c r="Z90" s="385">
        <f t="shared" si="35"/>
        <v>10.972406116276973</v>
      </c>
      <c r="AA90" s="386">
        <f t="shared" si="36"/>
        <v>12.218938594213302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0.10201642870409934</v>
      </c>
      <c r="AD90" s="231">
        <f>(INDEX(Models!$BJ90:$BT90,,AH90)*(1-AF90)+INDEX(Models!$BJ90:$BT90,,AH90+1)*AF90-ERP_i)*AE90*Ramure*Pc/MaxiM</f>
        <v>5.3786487289881246E-4</v>
      </c>
      <c r="AE90" s="305">
        <f t="shared" si="38"/>
        <v>0.7</v>
      </c>
      <c r="AF90" s="177">
        <f t="shared" si="39"/>
        <v>1.4120649720471896E-2</v>
      </c>
      <c r="AG90" s="919">
        <f t="shared" si="47"/>
        <v>0</v>
      </c>
      <c r="AH90" s="176">
        <f t="shared" si="40"/>
        <v>6</v>
      </c>
      <c r="AI90" s="225">
        <f t="shared" si="41"/>
        <v>1.4120649720471896E-2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44638</v>
      </c>
      <c r="B91" s="618">
        <v>13.832000000000001</v>
      </c>
      <c r="C91" s="953"/>
      <c r="D91" s="393">
        <f t="shared" si="24"/>
        <v>14.26115151552664</v>
      </c>
      <c r="E91" s="385">
        <f t="shared" si="45"/>
        <v>14.988395570099666</v>
      </c>
      <c r="F91" s="385">
        <f t="shared" si="25"/>
        <v>14.988395570099666</v>
      </c>
      <c r="G91" s="110">
        <f t="shared" si="46"/>
        <v>0.29084253844122199</v>
      </c>
      <c r="H91" s="412" t="b">
        <f>Wh_hp&gt;='2021'!Maxi_hp</f>
        <v>0</v>
      </c>
      <c r="I91" s="380">
        <f>IF(H91,Wh_hp,'2021'!Maxi_hp)</f>
        <v>38.270489516966428</v>
      </c>
      <c r="J91" s="85">
        <f>IF(H91,An,'2021'!An_max)</f>
        <v>2019</v>
      </c>
      <c r="K91" s="197">
        <f t="shared" si="26"/>
        <v>44638</v>
      </c>
      <c r="L91" s="147">
        <f>IF(t&lt;Tvie,1-EXP((T0-t)*PertePVj)+'2021'!Pspv,1-EXP((T0-t)*PertePVj)+Pspv)</f>
        <v>3.0092346684586158E-2</v>
      </c>
      <c r="M91" s="957"/>
      <c r="N91" s="957"/>
      <c r="O91" s="48">
        <f>IF(t&lt;Tnet,'2021'!Resal+('2021'!Salim-'2021'!Resal)*(1-EXP(('2021'!Tnet-t)/('2021'!Tau_j))),Resal+(Salim-Resal)*(1-EXP((Tnet-t)/(Tau_j))))*Salcycl</f>
        <v>4.8520473800665105E-2</v>
      </c>
      <c r="P91" s="339">
        <f>(INDEX(Models!$BJ91:$BT91,,T91)*(1-R91)+INDEX(Models!$BJ91:$BT91,,T91+1)*R91-ERP_i)*Q91*Ramure*Pc/MaxiM</f>
        <v>5.1733884479878041E-4</v>
      </c>
      <c r="Q91" s="305">
        <f t="shared" si="27"/>
        <v>0.7</v>
      </c>
      <c r="R91" s="177">
        <f t="shared" si="28"/>
        <v>1.4721631799097324E-2</v>
      </c>
      <c r="S91" s="919">
        <f t="shared" si="29"/>
        <v>0</v>
      </c>
      <c r="T91" s="176">
        <f t="shared" si="30"/>
        <v>6</v>
      </c>
      <c r="U91" s="251">
        <f t="shared" si="31"/>
        <v>1.4721631799097324E-2</v>
      </c>
      <c r="V91" s="383">
        <f t="shared" si="32"/>
        <v>47.53377632857061</v>
      </c>
      <c r="W91" s="402"/>
      <c r="X91" s="157">
        <f t="shared" si="33"/>
        <v>44638</v>
      </c>
      <c r="Y91" s="385">
        <f t="shared" si="34"/>
        <v>13.052421806147761</v>
      </c>
      <c r="Z91" s="385">
        <f t="shared" si="35"/>
        <v>13.457386135196435</v>
      </c>
      <c r="AA91" s="386">
        <f t="shared" si="36"/>
        <v>14.988395570099666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0.10214631898009421</v>
      </c>
      <c r="AD91" s="231">
        <f>(INDEX(Models!$BJ91:$BT91,,AH91)*(1-AF91)+INDEX(Models!$BJ91:$BT91,,AH91+1)*AF91-ERP_i)*AE91*Ramure*Pc/MaxiM</f>
        <v>5.1733884479878041E-4</v>
      </c>
      <c r="AE91" s="305">
        <f t="shared" si="38"/>
        <v>0.7</v>
      </c>
      <c r="AF91" s="177">
        <f t="shared" si="39"/>
        <v>1.4721631799097324E-2</v>
      </c>
      <c r="AG91" s="919">
        <f t="shared" si="47"/>
        <v>0</v>
      </c>
      <c r="AH91" s="176">
        <f t="shared" si="40"/>
        <v>6</v>
      </c>
      <c r="AI91" s="225">
        <f t="shared" si="41"/>
        <v>1.4721631799097324E-2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44639</v>
      </c>
      <c r="B92" s="618">
        <v>31.69</v>
      </c>
      <c r="C92" s="953"/>
      <c r="D92" s="393">
        <f t="shared" si="24"/>
        <v>32.673929316059507</v>
      </c>
      <c r="E92" s="385">
        <f t="shared" si="45"/>
        <v>34.347857702800297</v>
      </c>
      <c r="F92" s="385">
        <f t="shared" si="25"/>
        <v>34.356725485485107</v>
      </c>
      <c r="G92" s="110">
        <f t="shared" si="46"/>
        <v>0.66311643251968888</v>
      </c>
      <c r="H92" s="412" t="b">
        <f>Wh_hp&gt;='2021'!Maxi_hp</f>
        <v>0</v>
      </c>
      <c r="I92" s="380">
        <f>IF(H92,Wh_hp,'2021'!Maxi_hp)</f>
        <v>46.831517578729603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3.0113590151396141E-2</v>
      </c>
      <c r="M92" s="957"/>
      <c r="N92" s="957"/>
      <c r="O92" s="48">
        <f>IF(t&lt;Tnet,'2021'!Resal+('2021'!Salim-'2021'!Resal)*(1-EXP(('2021'!Tnet-t)/('2021'!Tau_j))),Resal+(Salim-Resal)*(1-EXP((Tnet-t)/(Tau_j))))*Salcycl</f>
        <v>4.8734579059477041E-2</v>
      </c>
      <c r="P92" s="339">
        <f>(INDEX(Models!$BJ92:$BT92,,T92)*(1-R92)+INDEX(Models!$BJ92:$BT92,,T92+1)*R92-ERP_i)*Q92*Ramure*Pc/MaxiM</f>
        <v>4.9735400063668101E-4</v>
      </c>
      <c r="Q92" s="305">
        <f t="shared" si="27"/>
        <v>0.7</v>
      </c>
      <c r="R92" s="177">
        <f t="shared" si="28"/>
        <v>1.5346247413303911E-2</v>
      </c>
      <c r="S92" s="919">
        <f t="shared" si="29"/>
        <v>0</v>
      </c>
      <c r="T92" s="176">
        <f t="shared" si="30"/>
        <v>6</v>
      </c>
      <c r="U92" s="251">
        <f t="shared" si="31"/>
        <v>1.5346247413303911E-2</v>
      </c>
      <c r="V92" s="383">
        <f t="shared" si="32"/>
        <v>47.778059503914115</v>
      </c>
      <c r="W92" s="402"/>
      <c r="X92" s="157">
        <f t="shared" si="33"/>
        <v>44639</v>
      </c>
      <c r="Y92" s="385">
        <f t="shared" si="34"/>
        <v>29.906331596182973</v>
      </c>
      <c r="Z92" s="385">
        <f t="shared" si="35"/>
        <v>30.834880551477418</v>
      </c>
      <c r="AA92" s="386">
        <f t="shared" si="36"/>
        <v>34.347857702800297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0.10227645583370619</v>
      </c>
      <c r="AD92" s="231">
        <f>(INDEX(Models!$BJ92:$BT92,,AH92)*(1-AF92)+INDEX(Models!$BJ92:$BT92,,AH92+1)*AF92-ERP_i)*AE92*Ramure*Pc/MaxiM</f>
        <v>4.9735400063668101E-4</v>
      </c>
      <c r="AE92" s="305">
        <f t="shared" si="38"/>
        <v>0.7</v>
      </c>
      <c r="AF92" s="177">
        <f t="shared" si="39"/>
        <v>1.5346247413303911E-2</v>
      </c>
      <c r="AG92" s="919">
        <f t="shared" si="47"/>
        <v>0</v>
      </c>
      <c r="AH92" s="176">
        <f t="shared" si="40"/>
        <v>6</v>
      </c>
      <c r="AI92" s="225">
        <f t="shared" si="41"/>
        <v>1.5346247413303911E-2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44640</v>
      </c>
      <c r="B93" s="618">
        <v>32.669000000000004</v>
      </c>
      <c r="C93" s="953"/>
      <c r="D93" s="393">
        <f t="shared" si="24"/>
        <v>33.684063637632384</v>
      </c>
      <c r="E93" s="385">
        <f t="shared" si="45"/>
        <v>35.417710636013439</v>
      </c>
      <c r="F93" s="385">
        <f t="shared" si="25"/>
        <v>35.426908695526912</v>
      </c>
      <c r="G93" s="110">
        <f t="shared" si="46"/>
        <v>0.68016811042656922</v>
      </c>
      <c r="H93" s="412" t="b">
        <f>Wh_hp&gt;='2021'!Maxi_hp</f>
        <v>0</v>
      </c>
      <c r="I93" s="380">
        <f>IF(H93,Wh_hp,'2021'!Maxi_hp)</f>
        <v>53.139538604347429</v>
      </c>
      <c r="J93" s="85">
        <f>IF(H93,An,'2021'!An_max)</f>
        <v>2019</v>
      </c>
      <c r="K93" s="197">
        <f t="shared" si="26"/>
        <v>44640</v>
      </c>
      <c r="L93" s="147">
        <f>IF(t&lt;Tvie,1-EXP((T0-t)*PertePVj)+'2021'!Pspv,1-EXP((T0-t)*PertePVj)+Pspv)</f>
        <v>3.0134833152919649E-2</v>
      </c>
      <c r="M93" s="957"/>
      <c r="N93" s="957"/>
      <c r="O93" s="48">
        <f>IF(t&lt;Tnet,'2021'!Resal+('2021'!Salim-'2021'!Resal)*(1-EXP(('2021'!Tnet-t)/('2021'!Tau_j))),Resal+(Salim-Resal)*(1-EXP((Tnet-t)/(Tau_j))))*Salcycl</f>
        <v>4.8948590048568705E-2</v>
      </c>
      <c r="P93" s="339">
        <f>(INDEX(Models!$BJ93:$BT93,,T93)*(1-R93)+INDEX(Models!$BJ93:$BT93,,T93+1)*R93-ERP_i)*Q93*Ramure*Pc/MaxiM</f>
        <v>4.7787651707856092E-4</v>
      </c>
      <c r="Q93" s="305">
        <f t="shared" si="27"/>
        <v>0.7</v>
      </c>
      <c r="R93" s="177">
        <f t="shared" si="28"/>
        <v>1.5995359395925387E-2</v>
      </c>
      <c r="S93" s="919">
        <f t="shared" si="29"/>
        <v>0</v>
      </c>
      <c r="T93" s="176">
        <f t="shared" si="30"/>
        <v>6</v>
      </c>
      <c r="U93" s="251">
        <f t="shared" si="31"/>
        <v>1.5995359395925387E-2</v>
      </c>
      <c r="V93" s="383">
        <f t="shared" si="32"/>
        <v>48.020287793735633</v>
      </c>
      <c r="W93" s="402"/>
      <c r="X93" s="157">
        <f t="shared" si="33"/>
        <v>44640</v>
      </c>
      <c r="Y93" s="385">
        <f t="shared" si="34"/>
        <v>30.832686187434017</v>
      </c>
      <c r="Z93" s="385">
        <f t="shared" si="35"/>
        <v>31.790693429755311</v>
      </c>
      <c r="AA93" s="386">
        <f t="shared" si="36"/>
        <v>35.417710636013439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0.10240687896326373</v>
      </c>
      <c r="AD93" s="231">
        <f>(INDEX(Models!$BJ93:$BT93,,AH93)*(1-AF93)+INDEX(Models!$BJ93:$BT93,,AH93+1)*AF93-ERP_i)*AE93*Ramure*Pc/MaxiM</f>
        <v>4.7787651707856092E-4</v>
      </c>
      <c r="AE93" s="305">
        <f t="shared" si="38"/>
        <v>0.7</v>
      </c>
      <c r="AF93" s="177">
        <f t="shared" si="39"/>
        <v>1.5995359395925387E-2</v>
      </c>
      <c r="AG93" s="919">
        <f t="shared" si="47"/>
        <v>0</v>
      </c>
      <c r="AH93" s="176">
        <f t="shared" si="40"/>
        <v>6</v>
      </c>
      <c r="AI93" s="225">
        <f t="shared" si="41"/>
        <v>1.5995359395925387E-2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44641</v>
      </c>
      <c r="B94" s="618">
        <v>47.103000000000002</v>
      </c>
      <c r="C94" s="953"/>
      <c r="D94" s="393">
        <f t="shared" si="24"/>
        <v>48.567608477282761</v>
      </c>
      <c r="E94" s="385">
        <f t="shared" si="45"/>
        <v>51.078769968577333</v>
      </c>
      <c r="F94" s="385">
        <f t="shared" si="25"/>
        <v>51.101428665499604</v>
      </c>
      <c r="G94" s="110">
        <f t="shared" si="46"/>
        <v>0.97596710849220869</v>
      </c>
      <c r="H94" s="412" t="b">
        <f>Wh_hp&gt;='2021'!Maxi_hp</f>
        <v>0</v>
      </c>
      <c r="I94" s="380">
        <f>IF(H94,Wh_hp,'2021'!Maxi_hp)</f>
        <v>53.219933275475654</v>
      </c>
      <c r="J94" s="85">
        <f>IF(H94,An,'2021'!An_max)</f>
        <v>2019</v>
      </c>
      <c r="K94" s="197">
        <f t="shared" si="26"/>
        <v>44641</v>
      </c>
      <c r="L94" s="147">
        <f>IF(t&lt;Tvie,1-EXP((T0-t)*PertePVj)+'2021'!Pspv,1-EXP((T0-t)*PertePVj)+Pspv)</f>
        <v>3.0156075689166895E-2</v>
      </c>
      <c r="M94" s="957"/>
      <c r="N94" s="957"/>
      <c r="O94" s="48">
        <f>IF(t&lt;Tnet,'2021'!Resal+('2021'!Salim-'2021'!Resal)*(1-EXP(('2021'!Tnet-t)/('2021'!Tau_j))),Resal+(Salim-Resal)*(1-EXP((Tnet-t)/(Tau_j))))*Salcycl</f>
        <v>4.9162528636445026E-2</v>
      </c>
      <c r="P94" s="339">
        <f>(INDEX(Models!$BJ94:$BT94,,T94)*(1-R94)+INDEX(Models!$BJ94:$BT94,,T94+1)*R94-ERP_i)*Q94*Ramure*Pc/MaxiM</f>
        <v>4.59160458779387E-4</v>
      </c>
      <c r="Q94" s="305">
        <f t="shared" si="27"/>
        <v>0.7</v>
      </c>
      <c r="R94" s="177">
        <f t="shared" si="28"/>
        <v>1.6669856585625593E-2</v>
      </c>
      <c r="S94" s="919">
        <f t="shared" si="29"/>
        <v>0</v>
      </c>
      <c r="T94" s="176">
        <f t="shared" si="30"/>
        <v>6</v>
      </c>
      <c r="U94" s="251">
        <f t="shared" si="31"/>
        <v>1.6669856585625593E-2</v>
      </c>
      <c r="V94" s="383">
        <f t="shared" si="32"/>
        <v>48.262136289449138</v>
      </c>
      <c r="W94" s="402"/>
      <c r="X94" s="157">
        <f t="shared" si="33"/>
        <v>44641</v>
      </c>
      <c r="Y94" s="385">
        <f t="shared" si="34"/>
        <v>44.458881084336497</v>
      </c>
      <c r="Z94" s="385">
        <f t="shared" si="35"/>
        <v>45.841274013165354</v>
      </c>
      <c r="AA94" s="386">
        <f t="shared" si="36"/>
        <v>51.078769968577333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0.10253762881592467</v>
      </c>
      <c r="AD94" s="231">
        <f>(INDEX(Models!$BJ94:$BT94,,AH94)*(1-AF94)+INDEX(Models!$BJ94:$BT94,,AH94+1)*AF94-ERP_i)*AE94*Ramure*Pc/MaxiM</f>
        <v>4.59160458779387E-4</v>
      </c>
      <c r="AE94" s="305">
        <f t="shared" si="38"/>
        <v>0.7</v>
      </c>
      <c r="AF94" s="177">
        <f t="shared" si="39"/>
        <v>1.6669856585625593E-2</v>
      </c>
      <c r="AG94" s="919">
        <f t="shared" si="47"/>
        <v>0</v>
      </c>
      <c r="AH94" s="176">
        <f t="shared" si="40"/>
        <v>6</v>
      </c>
      <c r="AI94" s="225">
        <f t="shared" si="41"/>
        <v>1.6669856585625593E-2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44642</v>
      </c>
      <c r="B95" s="618">
        <v>41.561</v>
      </c>
      <c r="C95" s="953"/>
      <c r="D95" s="393">
        <f t="shared" si="24"/>
        <v>42.854225582776522</v>
      </c>
      <c r="E95" s="385">
        <f t="shared" si="45"/>
        <v>45.080120416399623</v>
      </c>
      <c r="F95" s="385">
        <f t="shared" si="25"/>
        <v>45.095959985927358</v>
      </c>
      <c r="G95" s="110">
        <f t="shared" si="46"/>
        <v>0.85679932748139498</v>
      </c>
      <c r="H95" s="412" t="b">
        <f>Wh_hp&gt;='2021'!Maxi_hp</f>
        <v>0</v>
      </c>
      <c r="I95" s="380">
        <f>IF(H95,Wh_hp,'2021'!Maxi_hp)</f>
        <v>52.117627843898426</v>
      </c>
      <c r="J95" s="85">
        <f>IF(H95,An,'2021'!An_max)</f>
        <v>2019</v>
      </c>
      <c r="K95" s="197">
        <f t="shared" si="26"/>
        <v>44642</v>
      </c>
      <c r="L95" s="147">
        <f>IF(t&lt;Tvie,1-EXP((T0-t)*PertePVj)+'2021'!Pspv,1-EXP((T0-t)*PertePVj)+Pspv)</f>
        <v>3.0177317760148203E-2</v>
      </c>
      <c r="M95" s="957"/>
      <c r="N95" s="957"/>
      <c r="O95" s="48">
        <f>IF(t&lt;Tnet,'2021'!Resal+('2021'!Salim-'2021'!Resal)*(1-EXP(('2021'!Tnet-t)/('2021'!Tau_j))),Resal+(Salim-Resal)*(1-EXP((Tnet-t)/(Tau_j))))*Salcycl</f>
        <v>4.9376417211462208E-2</v>
      </c>
      <c r="P95" s="339">
        <f>(INDEX(Models!$BJ95:$BT95,,T95)*(1-R95)+INDEX(Models!$BJ95:$BT95,,T95+1)*R95-ERP_i)*Q95*Ramure*Pc/MaxiM</f>
        <v>4.415142501302769E-4</v>
      </c>
      <c r="Q95" s="305">
        <f t="shared" si="27"/>
        <v>0.7</v>
      </c>
      <c r="R95" s="177">
        <f t="shared" si="28"/>
        <v>1.7370654146800304E-2</v>
      </c>
      <c r="S95" s="919">
        <f t="shared" si="29"/>
        <v>0</v>
      </c>
      <c r="T95" s="176">
        <f t="shared" si="30"/>
        <v>6</v>
      </c>
      <c r="U95" s="251">
        <f t="shared" si="31"/>
        <v>1.7370654146800304E-2</v>
      </c>
      <c r="V95" s="383">
        <f t="shared" si="32"/>
        <v>48.502893875129729</v>
      </c>
      <c r="W95" s="402"/>
      <c r="X95" s="157">
        <f t="shared" si="33"/>
        <v>44642</v>
      </c>
      <c r="Y95" s="385">
        <f t="shared" si="34"/>
        <v>39.231074111119433</v>
      </c>
      <c r="Z95" s="385">
        <f t="shared" si="35"/>
        <v>40.451800962742382</v>
      </c>
      <c r="AA95" s="386">
        <f t="shared" si="36"/>
        <v>45.080120416399623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0.10266874646531587</v>
      </c>
      <c r="AD95" s="231">
        <f>(INDEX(Models!$BJ95:$BT95,,AH95)*(1-AF95)+INDEX(Models!$BJ95:$BT95,,AH95+1)*AF95-ERP_i)*AE95*Ramure*Pc/MaxiM</f>
        <v>4.415142501302769E-4</v>
      </c>
      <c r="AE95" s="305">
        <f t="shared" si="38"/>
        <v>0.7</v>
      </c>
      <c r="AF95" s="177">
        <f t="shared" si="39"/>
        <v>1.7370654146800304E-2</v>
      </c>
      <c r="AG95" s="919">
        <f t="shared" si="47"/>
        <v>0</v>
      </c>
      <c r="AH95" s="176">
        <f t="shared" si="40"/>
        <v>6</v>
      </c>
      <c r="AI95" s="225">
        <f t="shared" si="41"/>
        <v>1.7370654146800304E-2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44643</v>
      </c>
      <c r="B96" s="618">
        <v>48.933999999999997</v>
      </c>
      <c r="C96" s="953"/>
      <c r="D96" s="393">
        <f t="shared" si="24"/>
        <v>50.457751401156308</v>
      </c>
      <c r="E96" s="385">
        <f t="shared" si="45"/>
        <v>53.090525345408324</v>
      </c>
      <c r="F96" s="385">
        <f t="shared" si="25"/>
        <v>53.113094499750893</v>
      </c>
      <c r="G96" s="110">
        <f t="shared" si="46"/>
        <v>1.0039418816445129</v>
      </c>
      <c r="H96" s="412" t="b">
        <f>Wh_hp&gt;='2021'!Maxi_hp</f>
        <v>1</v>
      </c>
      <c r="I96" s="380">
        <f>IF(H96,Wh_hp,'2021'!Maxi_hp)</f>
        <v>53.113094499750893</v>
      </c>
      <c r="J96" s="85">
        <f>IF(H96,An,'2021'!An_max)</f>
        <v>2022</v>
      </c>
      <c r="K96" s="197">
        <f t="shared" si="26"/>
        <v>44643</v>
      </c>
      <c r="L96" s="147">
        <f>IF(t&lt;Tvie,1-EXP((T0-t)*PertePVj)+'2021'!Pspv,1-EXP((T0-t)*PertePVj)+Pspv)</f>
        <v>3.0198559365873567E-2</v>
      </c>
      <c r="M96" s="957"/>
      <c r="N96" s="957"/>
      <c r="O96" s="48">
        <f>IF(t&lt;Tnet,'2021'!Resal+('2021'!Salim-'2021'!Resal)*(1-EXP(('2021'!Tnet-t)/('2021'!Tau_j))),Resal+(Salim-Resal)*(1-EXP((Tnet-t)/(Tau_j))))*Salcycl</f>
        <v>4.9590278625482057E-2</v>
      </c>
      <c r="P96" s="339">
        <f>(INDEX(Models!$BJ96:$BT96,,T96)*(1-R96)+INDEX(Models!$BJ96:$BT96,,T96+1)*R96-ERP_i)*Q96*Ramure*Pc/MaxiM</f>
        <v>4.2492636806680956E-4</v>
      </c>
      <c r="Q96" s="305">
        <f t="shared" si="27"/>
        <v>0.7</v>
      </c>
      <c r="R96" s="177">
        <f t="shared" si="28"/>
        <v>1.8098693849094946E-2</v>
      </c>
      <c r="S96" s="919">
        <f t="shared" si="29"/>
        <v>0</v>
      </c>
      <c r="T96" s="176">
        <f t="shared" si="30"/>
        <v>6</v>
      </c>
      <c r="U96" s="251">
        <f t="shared" si="31"/>
        <v>1.8098693849094946E-2</v>
      </c>
      <c r="V96" s="383">
        <f t="shared" si="32"/>
        <v>48.741865335713825</v>
      </c>
      <c r="W96" s="402"/>
      <c r="X96" s="157">
        <f t="shared" si="33"/>
        <v>44643</v>
      </c>
      <c r="Y96" s="385">
        <f t="shared" si="34"/>
        <v>46.194362736057286</v>
      </c>
      <c r="Z96" s="385">
        <f t="shared" si="35"/>
        <v>47.632804820182642</v>
      </c>
      <c r="AA96" s="386">
        <f t="shared" si="36"/>
        <v>53.090525345408324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0.10280027348981025</v>
      </c>
      <c r="AD96" s="231">
        <f>(INDEX(Models!$BJ96:$BT96,,AH96)*(1-AF96)+INDEX(Models!$BJ96:$BT96,,AH96+1)*AF96-ERP_i)*AE96*Ramure*Pc/MaxiM</f>
        <v>4.2492636806680956E-4</v>
      </c>
      <c r="AE96" s="305">
        <f t="shared" si="38"/>
        <v>0.7</v>
      </c>
      <c r="AF96" s="177">
        <f t="shared" si="39"/>
        <v>1.8098693849094946E-2</v>
      </c>
      <c r="AG96" s="919">
        <f t="shared" si="47"/>
        <v>0</v>
      </c>
      <c r="AH96" s="176">
        <f t="shared" si="40"/>
        <v>6</v>
      </c>
      <c r="AI96" s="225">
        <f t="shared" si="41"/>
        <v>1.8098693849094946E-2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44644</v>
      </c>
      <c r="B97" s="618">
        <v>46.053000000000004</v>
      </c>
      <c r="C97" s="953"/>
      <c r="D97" s="393">
        <f t="shared" si="24"/>
        <v>47.488080313503765</v>
      </c>
      <c r="E97" s="385">
        <f t="shared" si="45"/>
        <v>49.977149048456575</v>
      </c>
      <c r="F97" s="385">
        <f t="shared" si="25"/>
        <v>49.995870204634308</v>
      </c>
      <c r="G97" s="110">
        <f t="shared" si="46"/>
        <v>0.94023961610489026</v>
      </c>
      <c r="H97" s="412" t="b">
        <f>Wh_hp&gt;='2021'!Maxi_hp</f>
        <v>0</v>
      </c>
      <c r="I97" s="380">
        <f>IF(H97,Wh_hp,'2021'!Maxi_hp)</f>
        <v>52.635831121779191</v>
      </c>
      <c r="J97" s="85">
        <f>IF(H97,An,'2021'!An_max)</f>
        <v>2019</v>
      </c>
      <c r="K97" s="197">
        <f t="shared" si="26"/>
        <v>44644</v>
      </c>
      <c r="L97" s="147">
        <f>IF(t&lt;Tvie,1-EXP((T0-t)*PertePVj)+'2021'!Pspv,1-EXP((T0-t)*PertePVj)+Pspv)</f>
        <v>3.02198005063532E-2</v>
      </c>
      <c r="M97" s="957"/>
      <c r="N97" s="957"/>
      <c r="O97" s="48">
        <f>IF(t&lt;Tnet,'2021'!Resal+('2021'!Salim-'2021'!Resal)*(1-EXP(('2021'!Tnet-t)/('2021'!Tau_j))),Resal+(Salim-Resal)*(1-EXP((Tnet-t)/(Tau_j))))*Salcycl</f>
        <v>4.9804136137086827E-2</v>
      </c>
      <c r="P97" s="339">
        <f>(INDEX(Models!$BJ97:$BT97,,T97)*(1-R97)+INDEX(Models!$BJ97:$BT97,,T97+1)*R97-ERP_i)*Q97*Ramure*Pc/MaxiM</f>
        <v>4.0938482827429225E-4</v>
      </c>
      <c r="Q97" s="305">
        <f t="shared" si="27"/>
        <v>0.7</v>
      </c>
      <c r="R97" s="177">
        <f t="shared" si="28"/>
        <v>1.8854944301654762E-2</v>
      </c>
      <c r="S97" s="919">
        <f t="shared" si="29"/>
        <v>0</v>
      </c>
      <c r="T97" s="176">
        <f t="shared" si="30"/>
        <v>6</v>
      </c>
      <c r="U97" s="251">
        <f t="shared" si="31"/>
        <v>1.8854944301654762E-2</v>
      </c>
      <c r="V97" s="383">
        <f t="shared" si="32"/>
        <v>48.978356093030214</v>
      </c>
      <c r="W97" s="402"/>
      <c r="X97" s="157">
        <f t="shared" si="33"/>
        <v>44644</v>
      </c>
      <c r="Y97" s="385">
        <f t="shared" si="34"/>
        <v>43.478047607469655</v>
      </c>
      <c r="Z97" s="385">
        <f t="shared" si="35"/>
        <v>44.832888555747921</v>
      </c>
      <c r="AA97" s="386">
        <f t="shared" si="36"/>
        <v>49.977149048456575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0.10293225185215972</v>
      </c>
      <c r="AD97" s="231">
        <f>(INDEX(Models!$BJ97:$BT97,,AH97)*(1-AF97)+INDEX(Models!$BJ97:$BT97,,AH97+1)*AF97-ERP_i)*AE97*Ramure*Pc/MaxiM</f>
        <v>4.0938482827429225E-4</v>
      </c>
      <c r="AE97" s="305">
        <f t="shared" si="38"/>
        <v>0.7</v>
      </c>
      <c r="AF97" s="177">
        <f t="shared" si="39"/>
        <v>1.8854944301654762E-2</v>
      </c>
      <c r="AG97" s="919">
        <f t="shared" si="47"/>
        <v>0</v>
      </c>
      <c r="AH97" s="176">
        <f t="shared" si="40"/>
        <v>6</v>
      </c>
      <c r="AI97" s="225">
        <f t="shared" si="41"/>
        <v>1.8854944301654762E-2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44645</v>
      </c>
      <c r="B98" s="618">
        <v>41.92</v>
      </c>
      <c r="C98" s="953"/>
      <c r="D98" s="393">
        <f t="shared" si="24"/>
        <v>43.227236643502827</v>
      </c>
      <c r="E98" s="385">
        <f t="shared" si="45"/>
        <v>45.503217167466687</v>
      </c>
      <c r="F98" s="385">
        <f t="shared" si="25"/>
        <v>45.517386427446546</v>
      </c>
      <c r="G98" s="110">
        <f t="shared" si="46"/>
        <v>0.85175921050347292</v>
      </c>
      <c r="H98" s="412" t="b">
        <f>Wh_hp&gt;='2021'!Maxi_hp</f>
        <v>0</v>
      </c>
      <c r="I98" s="380">
        <f>IF(H98,Wh_hp,'2021'!Maxi_hp)</f>
        <v>47.578792902284313</v>
      </c>
      <c r="J98" s="85">
        <f>IF(H98,An,'2021'!An_max)</f>
        <v>2020</v>
      </c>
      <c r="K98" s="197">
        <f t="shared" si="26"/>
        <v>44645</v>
      </c>
      <c r="L98" s="147">
        <f>IF(t&lt;Tvie,1-EXP((T0-t)*PertePVj)+'2021'!Pspv,1-EXP((T0-t)*PertePVj)+Pspv)</f>
        <v>3.0241041181597428E-2</v>
      </c>
      <c r="M98" s="957"/>
      <c r="N98" s="957"/>
      <c r="O98" s="48">
        <f>IF(t&lt;Tnet,'2021'!Resal+('2021'!Salim-'2021'!Resal)*(1-EXP(('2021'!Tnet-t)/('2021'!Tau_j))),Resal+(Salim-Resal)*(1-EXP((Tnet-t)/(Tau_j))))*Salcycl</f>
        <v>5.00180133546934E-2</v>
      </c>
      <c r="P98" s="339">
        <f>(INDEX(Models!$BJ98:$BT98,,T98)*(1-R98)+INDEX(Models!$BJ98:$BT98,,T98+1)*R98-ERP_i)*Q98*Ramure*Pc/MaxiM</f>
        <v>3.9487736915330587E-4</v>
      </c>
      <c r="Q98" s="305">
        <f t="shared" si="27"/>
        <v>0.7</v>
      </c>
      <c r="R98" s="177">
        <f t="shared" si="28"/>
        <v>1.9640401136902002E-2</v>
      </c>
      <c r="S98" s="919">
        <f t="shared" si="29"/>
        <v>0</v>
      </c>
      <c r="T98" s="176">
        <f t="shared" si="30"/>
        <v>6</v>
      </c>
      <c r="U98" s="251">
        <f t="shared" si="31"/>
        <v>1.9640401136902002E-2</v>
      </c>
      <c r="V98" s="383">
        <f t="shared" si="32"/>
        <v>49.211672207608835</v>
      </c>
      <c r="W98" s="402"/>
      <c r="X98" s="157">
        <f t="shared" si="33"/>
        <v>44645</v>
      </c>
      <c r="Y98" s="385">
        <f t="shared" si="34"/>
        <v>39.579199719219318</v>
      </c>
      <c r="Z98" s="385">
        <f t="shared" si="35"/>
        <v>40.813440658949283</v>
      </c>
      <c r="AA98" s="386">
        <f t="shared" si="36"/>
        <v>45.503217167466687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0.10306472378112284</v>
      </c>
      <c r="AD98" s="231">
        <f>(INDEX(Models!$BJ98:$BT98,,AH98)*(1-AF98)+INDEX(Models!$BJ98:$BT98,,AH98+1)*AF98-ERP_i)*AE98*Ramure*Pc/MaxiM</f>
        <v>3.9487736915330587E-4</v>
      </c>
      <c r="AE98" s="305">
        <f t="shared" si="38"/>
        <v>0.7</v>
      </c>
      <c r="AF98" s="177">
        <f t="shared" si="39"/>
        <v>1.9640401136902002E-2</v>
      </c>
      <c r="AG98" s="919">
        <f t="shared" si="47"/>
        <v>0</v>
      </c>
      <c r="AH98" s="176">
        <f t="shared" si="40"/>
        <v>6</v>
      </c>
      <c r="AI98" s="225">
        <f t="shared" si="41"/>
        <v>1.9640401136902002E-2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44646</v>
      </c>
      <c r="B99" s="618">
        <v>45.527999999999999</v>
      </c>
      <c r="C99" s="953"/>
      <c r="D99" s="393">
        <f t="shared" si="24"/>
        <v>46.948777103704579</v>
      </c>
      <c r="E99" s="385">
        <f t="shared" si="45"/>
        <v>49.431833721598274</v>
      </c>
      <c r="F99" s="385">
        <f t="shared" si="25"/>
        <v>49.44856062299958</v>
      </c>
      <c r="G99" s="110">
        <f t="shared" si="46"/>
        <v>0.92081319523933447</v>
      </c>
      <c r="H99" s="412" t="b">
        <f>Wh_hp&gt;='2021'!Maxi_hp</f>
        <v>0</v>
      </c>
      <c r="I99" s="380">
        <f>IF(H99,Wh_hp,'2021'!Maxi_hp)</f>
        <v>56.081839676566283</v>
      </c>
      <c r="J99" s="85">
        <f>IF(H99,An,'2021'!An_max)</f>
        <v>2019</v>
      </c>
      <c r="K99" s="197">
        <f t="shared" si="26"/>
        <v>44646</v>
      </c>
      <c r="L99" s="147">
        <f>IF(t&lt;Tvie,1-EXP((T0-t)*PertePVj)+'2021'!Pspv,1-EXP((T0-t)*PertePVj)+Pspv)</f>
        <v>3.0262281391616241E-2</v>
      </c>
      <c r="M99" s="957"/>
      <c r="N99" s="957"/>
      <c r="O99" s="48">
        <f>IF(t&lt;Tnet,'2021'!Resal+('2021'!Salim-'2021'!Resal)*(1-EXP(('2021'!Tnet-t)/('2021'!Tau_j))),Resal+(Salim-Resal)*(1-EXP((Tnet-t)/(Tau_j))))*Salcycl</f>
        <v>5.0231934179871762E-2</v>
      </c>
      <c r="P99" s="339">
        <f>(INDEX(Models!$BJ99:$BT99,,T99)*(1-R99)+INDEX(Models!$BJ99:$BT99,,T99+1)*R99-ERP_i)*Q99*Ramure*Pc/MaxiM</f>
        <v>3.8139162796294545E-4</v>
      </c>
      <c r="Q99" s="305">
        <f t="shared" si="27"/>
        <v>0.7</v>
      </c>
      <c r="R99" s="177">
        <f t="shared" si="28"/>
        <v>2.0456087138305618E-2</v>
      </c>
      <c r="S99" s="919">
        <f t="shared" si="29"/>
        <v>0</v>
      </c>
      <c r="T99" s="176">
        <f t="shared" si="30"/>
        <v>6</v>
      </c>
      <c r="U99" s="251">
        <f t="shared" si="31"/>
        <v>2.0456087138305618E-2</v>
      </c>
      <c r="V99" s="383">
        <f t="shared" si="32"/>
        <v>49.44112038289353</v>
      </c>
      <c r="W99" s="402"/>
      <c r="X99" s="157">
        <f t="shared" si="33"/>
        <v>44646</v>
      </c>
      <c r="Y99" s="385">
        <f t="shared" si="34"/>
        <v>42.989036105278466</v>
      </c>
      <c r="Z99" s="385">
        <f t="shared" si="35"/>
        <v>44.330580609950516</v>
      </c>
      <c r="AA99" s="386">
        <f t="shared" si="36"/>
        <v>49.431833721598274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0.10319773165564079</v>
      </c>
      <c r="AD99" s="231">
        <f>(INDEX(Models!$BJ99:$BT99,,AH99)*(1-AF99)+INDEX(Models!$BJ99:$BT99,,AH99+1)*AF99-ERP_i)*AE99*Ramure*Pc/MaxiM</f>
        <v>3.8139162796294545E-4</v>
      </c>
      <c r="AE99" s="305">
        <f t="shared" si="38"/>
        <v>0.7</v>
      </c>
      <c r="AF99" s="177">
        <f t="shared" si="39"/>
        <v>2.0456087138305618E-2</v>
      </c>
      <c r="AG99" s="919">
        <f t="shared" si="47"/>
        <v>0</v>
      </c>
      <c r="AH99" s="176">
        <f t="shared" si="40"/>
        <v>6</v>
      </c>
      <c r="AI99" s="225">
        <f t="shared" si="41"/>
        <v>2.0456087138305618E-2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44647</v>
      </c>
      <c r="B100" s="618">
        <v>46.271000000000001</v>
      </c>
      <c r="C100" s="953"/>
      <c r="D100" s="393">
        <f t="shared" si="24"/>
        <v>47.71600875982373</v>
      </c>
      <c r="E100" s="385">
        <f t="shared" si="45"/>
        <v>50.250965061485338</v>
      </c>
      <c r="F100" s="385">
        <f t="shared" si="25"/>
        <v>50.267713214068543</v>
      </c>
      <c r="G100" s="110">
        <f t="shared" si="46"/>
        <v>0.93160992392743802</v>
      </c>
      <c r="H100" s="412" t="b">
        <f>Wh_hp&gt;='2021'!Maxi_hp</f>
        <v>0</v>
      </c>
      <c r="I100" s="380">
        <f>IF(H100,Wh_hp,'2021'!Maxi_hp)</f>
        <v>55.275486537639232</v>
      </c>
      <c r="J100" s="85">
        <f>IF(H100,An,'2021'!An_max)</f>
        <v>2019</v>
      </c>
      <c r="K100" s="197">
        <f t="shared" si="26"/>
        <v>44647</v>
      </c>
      <c r="L100" s="147">
        <f>IF(t&lt;Tvie,1-EXP((T0-t)*PertePVj)+'2021'!Pspv,1-EXP((T0-t)*PertePVj)+Pspv)</f>
        <v>3.0283521136420077E-2</v>
      </c>
      <c r="M100" s="957"/>
      <c r="N100" s="957"/>
      <c r="O100" s="48">
        <f>IF(t&lt;Tnet,'2021'!Resal+('2021'!Salim-'2021'!Resal)*(1-EXP(('2021'!Tnet-t)/('2021'!Tau_j))),Resal+(Salim-Resal)*(1-EXP((Tnet-t)/(Tau_j))))*Salcycl</f>
        <v>5.0445922751133722E-2</v>
      </c>
      <c r="P100" s="339">
        <f>(INDEX(Models!$BJ100:$BT100,,T100)*(1-R100)+INDEX(Models!$BJ100:$BT100,,T100+1)*R100-ERP_i)*Q100*Ramure*Pc/MaxiM</f>
        <v>3.6923577273825878E-4</v>
      </c>
      <c r="Q100" s="305">
        <f t="shared" si="27"/>
        <v>0.7</v>
      </c>
      <c r="R100" s="177">
        <f t="shared" si="28"/>
        <v>2.1303052306270196E-2</v>
      </c>
      <c r="S100" s="919">
        <f t="shared" si="29"/>
        <v>0</v>
      </c>
      <c r="T100" s="176">
        <f t="shared" si="30"/>
        <v>6</v>
      </c>
      <c r="U100" s="251">
        <f t="shared" si="31"/>
        <v>2.1303052306270196E-2</v>
      </c>
      <c r="V100" s="383">
        <f t="shared" si="32"/>
        <v>49.665992040560376</v>
      </c>
      <c r="W100" s="402"/>
      <c r="X100" s="157">
        <f t="shared" si="33"/>
        <v>44647</v>
      </c>
      <c r="Y100" s="385">
        <f t="shared" si="34"/>
        <v>43.693937590185506</v>
      </c>
      <c r="Z100" s="385">
        <f t="shared" si="35"/>
        <v>45.058466616335998</v>
      </c>
      <c r="AA100" s="386">
        <f t="shared" si="36"/>
        <v>50.250965061485338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0.10333131789202414</v>
      </c>
      <c r="AD100" s="231">
        <f>(INDEX(Models!$BJ100:$BT100,,AH100)*(1-AF100)+INDEX(Models!$BJ100:$BT100,,AH100+1)*AF100-ERP_i)*AE100*Ramure*Pc/MaxiM</f>
        <v>3.6923577273825878E-4</v>
      </c>
      <c r="AE100" s="305">
        <f t="shared" si="38"/>
        <v>0.7</v>
      </c>
      <c r="AF100" s="177">
        <f t="shared" si="39"/>
        <v>2.1303052306270196E-2</v>
      </c>
      <c r="AG100" s="919">
        <f t="shared" si="47"/>
        <v>0</v>
      </c>
      <c r="AH100" s="176">
        <f t="shared" si="40"/>
        <v>6</v>
      </c>
      <c r="AI100" s="225">
        <f t="shared" si="41"/>
        <v>2.1303052306270196E-2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44648</v>
      </c>
      <c r="B101" s="618">
        <v>35.494</v>
      </c>
      <c r="C101" s="953"/>
      <c r="D101" s="393">
        <f t="shared" si="24"/>
        <v>36.603252806755705</v>
      </c>
      <c r="E101" s="385">
        <f t="shared" si="45"/>
        <v>38.556526573620914</v>
      </c>
      <c r="F101" s="385">
        <f t="shared" si="25"/>
        <v>38.5646389604237</v>
      </c>
      <c r="G101" s="110">
        <f t="shared" si="46"/>
        <v>0.71140264852702295</v>
      </c>
      <c r="H101" s="412" t="b">
        <f>Wh_hp&gt;='2021'!Maxi_hp</f>
        <v>0</v>
      </c>
      <c r="I101" s="380">
        <f>IF(H101,Wh_hp,'2021'!Maxi_hp)</f>
        <v>54.062253279945516</v>
      </c>
      <c r="J101" s="85">
        <f>IF(H101,An,'2021'!An_max)</f>
        <v>2019</v>
      </c>
      <c r="K101" s="197">
        <f t="shared" si="26"/>
        <v>44648</v>
      </c>
      <c r="L101" s="147">
        <f>IF(t&lt;Tvie,1-EXP((T0-t)*PertePVj)+'2021'!Pspv,1-EXP((T0-t)*PertePVj)+Pspv)</f>
        <v>3.0304760416018928E-2</v>
      </c>
      <c r="M101" s="957"/>
      <c r="N101" s="957"/>
      <c r="O101" s="48">
        <f>IF(t&lt;Tnet,'2021'!Resal+('2021'!Salim-'2021'!Resal)*(1-EXP(('2021'!Tnet-t)/('2021'!Tau_j))),Resal+(Salim-Resal)*(1-EXP((Tnet-t)/(Tau_j))))*Salcycl</f>
        <v>5.0660003388416565E-2</v>
      </c>
      <c r="P101" s="339">
        <f>(INDEX(Models!$BJ101:$BT101,,T101)*(1-R101)+INDEX(Models!$BJ101:$BT101,,T101+1)*R101-ERP_i)*Q101*Ramure*Pc/MaxiM</f>
        <v>3.5783231652756559E-4</v>
      </c>
      <c r="Q101" s="305">
        <f t="shared" si="27"/>
        <v>0.7</v>
      </c>
      <c r="R101" s="177">
        <f t="shared" si="28"/>
        <v>2.2182373855934436E-2</v>
      </c>
      <c r="S101" s="919">
        <f t="shared" si="29"/>
        <v>0</v>
      </c>
      <c r="T101" s="176">
        <f t="shared" si="30"/>
        <v>6</v>
      </c>
      <c r="U101" s="251">
        <f t="shared" si="31"/>
        <v>2.2182373855934436E-2</v>
      </c>
      <c r="V101" s="383">
        <f t="shared" si="32"/>
        <v>49.885623176570213</v>
      </c>
      <c r="W101" s="402"/>
      <c r="X101" s="157">
        <f t="shared" si="33"/>
        <v>44648</v>
      </c>
      <c r="Y101" s="385">
        <f t="shared" si="34"/>
        <v>33.519702925297885</v>
      </c>
      <c r="Z101" s="385">
        <f t="shared" si="35"/>
        <v>34.567255315885141</v>
      </c>
      <c r="AA101" s="386">
        <f t="shared" si="36"/>
        <v>38.556526573620914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0.10346552483451915</v>
      </c>
      <c r="AD101" s="231">
        <f>(INDEX(Models!$BJ101:$BT101,,AH101)*(1-AF101)+INDEX(Models!$BJ101:$BT101,,AH101+1)*AF101-ERP_i)*AE101*Ramure*Pc/MaxiM</f>
        <v>3.5783231652756559E-4</v>
      </c>
      <c r="AE101" s="305">
        <f t="shared" si="38"/>
        <v>0.7</v>
      </c>
      <c r="AF101" s="177">
        <f t="shared" si="39"/>
        <v>2.2182373855934436E-2</v>
      </c>
      <c r="AG101" s="919">
        <f t="shared" si="47"/>
        <v>0</v>
      </c>
      <c r="AH101" s="176">
        <f t="shared" si="40"/>
        <v>6</v>
      </c>
      <c r="AI101" s="225">
        <f t="shared" si="41"/>
        <v>2.2182373855934436E-2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44649</v>
      </c>
      <c r="B102" s="618">
        <v>27.969000000000001</v>
      </c>
      <c r="C102" s="953"/>
      <c r="D102" s="393">
        <f t="shared" si="24"/>
        <v>28.843714462595205</v>
      </c>
      <c r="E102" s="385">
        <f t="shared" si="45"/>
        <v>30.389769700663873</v>
      </c>
      <c r="F102" s="385">
        <f t="shared" si="25"/>
        <v>30.393662894812842</v>
      </c>
      <c r="G102" s="110">
        <f t="shared" si="46"/>
        <v>0.55814870134789263</v>
      </c>
      <c r="H102" s="412" t="b">
        <f>Wh_hp&gt;='2021'!Maxi_hp</f>
        <v>0</v>
      </c>
      <c r="I102" s="380">
        <f>IF(H102,Wh_hp,'2021'!Maxi_hp)</f>
        <v>54.934926813744624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3.0325999230423006E-2</v>
      </c>
      <c r="M102" s="957"/>
      <c r="N102" s="957"/>
      <c r="O102" s="48">
        <f>IF(t&lt;Tnet,'2021'!Resal+('2021'!Salim-'2021'!Resal)*(1-EXP(('2021'!Tnet-t)/('2021'!Tau_j))),Resal+(Salim-Resal)*(1-EXP((Tnet-t)/(Tau_j))))*Salcycl</f>
        <v>5.0874200538442771E-2</v>
      </c>
      <c r="P102" s="339">
        <f>(INDEX(Models!$BJ102:$BT102,,T102)*(1-R102)+INDEX(Models!$BJ102:$BT102,,T102+1)*R102-ERP_i)*Q102*Ramure*Pc/MaxiM</f>
        <v>3.4717254787208865E-4</v>
      </c>
      <c r="Q102" s="305">
        <f t="shared" si="27"/>
        <v>0.7</v>
      </c>
      <c r="R102" s="177">
        <f t="shared" si="28"/>
        <v>2.309515614032082E-2</v>
      </c>
      <c r="S102" s="919">
        <f t="shared" si="29"/>
        <v>0</v>
      </c>
      <c r="T102" s="176">
        <f t="shared" si="30"/>
        <v>6</v>
      </c>
      <c r="U102" s="251">
        <f t="shared" si="31"/>
        <v>2.309515614032082E-2</v>
      </c>
      <c r="V102" s="383">
        <f t="shared" si="32"/>
        <v>50.099322442217684</v>
      </c>
      <c r="W102" s="402"/>
      <c r="X102" s="157">
        <f t="shared" si="33"/>
        <v>44649</v>
      </c>
      <c r="Y102" s="385">
        <f t="shared" si="34"/>
        <v>26.415255571253599</v>
      </c>
      <c r="Z102" s="385">
        <f t="shared" si="35"/>
        <v>27.241377566366904</v>
      </c>
      <c r="AA102" s="386">
        <f t="shared" si="36"/>
        <v>30.389769700663873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0.10360039464952549</v>
      </c>
      <c r="AD102" s="231">
        <f>(INDEX(Models!$BJ102:$BT102,,AH102)*(1-AF102)+INDEX(Models!$BJ102:$BT102,,AH102+1)*AF102-ERP_i)*AE102*Ramure*Pc/MaxiM</f>
        <v>3.4717254787208865E-4</v>
      </c>
      <c r="AE102" s="305">
        <f t="shared" si="38"/>
        <v>0.7</v>
      </c>
      <c r="AF102" s="177">
        <f t="shared" si="39"/>
        <v>2.309515614032082E-2</v>
      </c>
      <c r="AG102" s="919">
        <f t="shared" si="47"/>
        <v>0</v>
      </c>
      <c r="AH102" s="176">
        <f t="shared" si="40"/>
        <v>6</v>
      </c>
      <c r="AI102" s="225">
        <f t="shared" si="41"/>
        <v>2.309515614032082E-2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44650</v>
      </c>
      <c r="B103" s="618">
        <v>7.3</v>
      </c>
      <c r="C103" s="953"/>
      <c r="D103" s="393">
        <f t="shared" si="24"/>
        <v>7.5284682134854304</v>
      </c>
      <c r="E103" s="385">
        <f t="shared" si="45"/>
        <v>7.9337941638293952</v>
      </c>
      <c r="F103" s="385">
        <f t="shared" si="25"/>
        <v>7.9337941638293952</v>
      </c>
      <c r="G103" s="110">
        <f t="shared" si="46"/>
        <v>0.14506182540772897</v>
      </c>
      <c r="H103" s="412" t="b">
        <f>Wh_hp&gt;='2021'!Maxi_hp</f>
        <v>0</v>
      </c>
      <c r="I103" s="380">
        <f>IF(H103,Wh_hp,'2021'!Maxi_hp)</f>
        <v>56.1503147173473</v>
      </c>
      <c r="J103" s="85">
        <f>IF(H103,An,'2021'!An_max)</f>
        <v>2019</v>
      </c>
      <c r="K103" s="197">
        <f t="shared" si="26"/>
        <v>44650</v>
      </c>
      <c r="L103" s="147">
        <f>IF(t&lt;Tvie,1-EXP((T0-t)*PertePVj)+'2021'!Pspv,1-EXP((T0-t)*PertePVj)+Pspv)</f>
        <v>3.0347237579642639E-2</v>
      </c>
      <c r="M103" s="957"/>
      <c r="N103" s="957"/>
      <c r="O103" s="48">
        <f>IF(t&lt;Tnet,'2021'!Resal+('2021'!Salim-'2021'!Resal)*(1-EXP(('2021'!Tnet-t)/('2021'!Tau_j))),Resal+(Salim-Resal)*(1-EXP((Tnet-t)/(Tau_j))))*Salcycl</f>
        <v>5.1088538721091065E-2</v>
      </c>
      <c r="P103" s="339">
        <f>(INDEX(Models!$BJ103:$BT103,,T103)*(1-R103)+INDEX(Models!$BJ103:$BT103,,T103+1)*R103-ERP_i)*Q103*Ramure*Pc/MaxiM</f>
        <v>3.3724794639783439E-4</v>
      </c>
      <c r="Q103" s="305">
        <f t="shared" si="27"/>
        <v>0.7</v>
      </c>
      <c r="R103" s="177">
        <f t="shared" si="28"/>
        <v>2.4042530491939159E-2</v>
      </c>
      <c r="S103" s="919">
        <f t="shared" si="29"/>
        <v>0</v>
      </c>
      <c r="T103" s="176">
        <f t="shared" si="30"/>
        <v>6</v>
      </c>
      <c r="U103" s="251">
        <f t="shared" si="31"/>
        <v>2.4042530491939159E-2</v>
      </c>
      <c r="V103" s="383">
        <f t="shared" si="32"/>
        <v>50.30639914725959</v>
      </c>
      <c r="W103" s="402"/>
      <c r="X103" s="157">
        <f t="shared" si="33"/>
        <v>44650</v>
      </c>
      <c r="Y103" s="385">
        <f t="shared" si="34"/>
        <v>6.8949819784549398</v>
      </c>
      <c r="Z103" s="385">
        <f t="shared" si="35"/>
        <v>7.1107743366236846</v>
      </c>
      <c r="AA103" s="386">
        <f t="shared" si="36"/>
        <v>7.9337941638293952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0.10373596922364126</v>
      </c>
      <c r="AD103" s="231">
        <f>(INDEX(Models!$BJ103:$BT103,,AH103)*(1-AF103)+INDEX(Models!$BJ103:$BT103,,AH103+1)*AF103-ERP_i)*AE103*Ramure*Pc/MaxiM</f>
        <v>3.3724794639783439E-4</v>
      </c>
      <c r="AE103" s="305">
        <f t="shared" si="38"/>
        <v>0.7</v>
      </c>
      <c r="AF103" s="177">
        <f t="shared" si="39"/>
        <v>2.4042530491939159E-2</v>
      </c>
      <c r="AG103" s="919">
        <f t="shared" si="47"/>
        <v>0</v>
      </c>
      <c r="AH103" s="176">
        <f t="shared" si="40"/>
        <v>6</v>
      </c>
      <c r="AI103" s="225">
        <f t="shared" si="41"/>
        <v>2.4042530491939159E-2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44651</v>
      </c>
      <c r="B104" s="618">
        <v>21.727</v>
      </c>
      <c r="C104" s="953"/>
      <c r="D104" s="393">
        <f t="shared" si="24"/>
        <v>22.407481038108859</v>
      </c>
      <c r="E104" s="385">
        <f t="shared" si="45"/>
        <v>23.619218824745218</v>
      </c>
      <c r="F104" s="385">
        <f t="shared" si="25"/>
        <v>23.620659930229792</v>
      </c>
      <c r="G104" s="110">
        <f t="shared" si="46"/>
        <v>0.43007023832506036</v>
      </c>
      <c r="H104" s="412" t="b">
        <f>Wh_hp&gt;='2021'!Maxi_hp</f>
        <v>0</v>
      </c>
      <c r="I104" s="380">
        <f>IF(H104,Wh_hp,'2021'!Maxi_hp)</f>
        <v>49.506417533337903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3.0368475463687816E-2</v>
      </c>
      <c r="M104" s="957"/>
      <c r="N104" s="957"/>
      <c r="O104" s="48">
        <f>IF(t&lt;Tnet,'2021'!Resal+('2021'!Salim-'2021'!Resal)*(1-EXP(('2021'!Tnet-t)/('2021'!Tau_j))),Resal+(Salim-Resal)*(1-EXP((Tnet-t)/(Tau_j))))*Salcycl</f>
        <v>5.1303042476868684E-2</v>
      </c>
      <c r="P104" s="339">
        <f>(INDEX(Models!$BJ104:$BT104,,T104)*(1-R104)+INDEX(Models!$BJ104:$BT104,,T104+1)*R104-ERP_i)*Q104*Ramure*Pc/MaxiM</f>
        <v>3.2805029285271092E-4</v>
      </c>
      <c r="Q104" s="305">
        <f t="shared" si="27"/>
        <v>0.7</v>
      </c>
      <c r="R104" s="177">
        <f t="shared" si="28"/>
        <v>2.5025654975603415E-2</v>
      </c>
      <c r="S104" s="919">
        <f t="shared" si="29"/>
        <v>0</v>
      </c>
      <c r="T104" s="176">
        <f t="shared" si="30"/>
        <v>6</v>
      </c>
      <c r="U104" s="251">
        <f t="shared" si="31"/>
        <v>2.5025654975603415E-2</v>
      </c>
      <c r="V104" s="383">
        <f t="shared" si="32"/>
        <v>50.506163259398058</v>
      </c>
      <c r="W104" s="402"/>
      <c r="X104" s="157">
        <f t="shared" si="33"/>
        <v>44651</v>
      </c>
      <c r="Y104" s="385">
        <f t="shared" si="34"/>
        <v>20.52306229017254</v>
      </c>
      <c r="Z104" s="385">
        <f t="shared" si="35"/>
        <v>21.165836475858065</v>
      </c>
      <c r="AA104" s="386">
        <f t="shared" si="36"/>
        <v>23.619218824745218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0.10387229006561424</v>
      </c>
      <c r="AD104" s="231">
        <f>(INDEX(Models!$BJ104:$BT104,,AH104)*(1-AF104)+INDEX(Models!$BJ104:$BT104,,AH104+1)*AF104-ERP_i)*AE104*Ramure*Pc/MaxiM</f>
        <v>3.2805029285271092E-4</v>
      </c>
      <c r="AE104" s="305">
        <f t="shared" si="38"/>
        <v>0.7</v>
      </c>
      <c r="AF104" s="177">
        <f t="shared" si="39"/>
        <v>2.5025654975603415E-2</v>
      </c>
      <c r="AG104" s="919">
        <f t="shared" si="47"/>
        <v>0</v>
      </c>
      <c r="AH104" s="176">
        <f t="shared" si="40"/>
        <v>6</v>
      </c>
      <c r="AI104" s="225">
        <f t="shared" si="41"/>
        <v>2.5025654975603415E-2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44652</v>
      </c>
      <c r="B105" s="618">
        <v>32.36</v>
      </c>
      <c r="C105" s="953"/>
      <c r="D105" s="393">
        <f t="shared" si="24"/>
        <v>33.374233369783568</v>
      </c>
      <c r="E105" s="385">
        <f t="shared" si="45"/>
        <v>35.18698730341891</v>
      </c>
      <c r="F105" s="385">
        <f t="shared" si="25"/>
        <v>35.192422424614797</v>
      </c>
      <c r="G105" s="110">
        <f t="shared" si="46"/>
        <v>0.63818499963633379</v>
      </c>
      <c r="H105" s="412" t="b">
        <f>Wh_hp&gt;='2021'!Maxi_hp</f>
        <v>0</v>
      </c>
      <c r="I105" s="380">
        <f>IF(H105,Wh_hp,'2021'!Maxi_hp)</f>
        <v>49.445909039564896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3.0389712882568864E-2</v>
      </c>
      <c r="M105" s="957"/>
      <c r="N105" s="957"/>
      <c r="O105" s="48">
        <f>IF(t&lt;Tnet,'2021'!Resal+('2021'!Salim-'2021'!Resal)*(1-EXP(('2021'!Tnet-t)/('2021'!Tau_j))),Resal+(Salim-Resal)*(1-EXP((Tnet-t)/(Tau_j))))*Salcycl</f>
        <v>5.1517736315527217E-2</v>
      </c>
      <c r="P105" s="339">
        <f>(INDEX(Models!$BJ105:$BT105,,T105)*(1-R105)+INDEX(Models!$BJ105:$BT105,,T105+1)*R105-ERP_i)*Q105*Ramure*Pc/MaxiM</f>
        <v>3.1957177453867679E-4</v>
      </c>
      <c r="Q105" s="305">
        <f t="shared" si="27"/>
        <v>0.7</v>
      </c>
      <c r="R105" s="177">
        <f t="shared" si="28"/>
        <v>2.6045714044888653E-2</v>
      </c>
      <c r="S105" s="919">
        <f t="shared" si="29"/>
        <v>0</v>
      </c>
      <c r="T105" s="176">
        <f t="shared" si="30"/>
        <v>6</v>
      </c>
      <c r="U105" s="251">
        <f t="shared" si="31"/>
        <v>2.6045714044888653E-2</v>
      </c>
      <c r="V105" s="383">
        <f t="shared" si="32"/>
        <v>50.697925416621914</v>
      </c>
      <c r="W105" s="402"/>
      <c r="X105" s="157">
        <f t="shared" si="33"/>
        <v>44652</v>
      </c>
      <c r="Y105" s="385">
        <f t="shared" si="34"/>
        <v>30.569107071356985</v>
      </c>
      <c r="Z105" s="385">
        <f t="shared" si="35"/>
        <v>31.527209929090521</v>
      </c>
      <c r="AA105" s="386">
        <f t="shared" si="36"/>
        <v>35.18698730341891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0.10400939821218476</v>
      </c>
      <c r="AD105" s="231">
        <f>(INDEX(Models!$BJ105:$BT105,,AH105)*(1-AF105)+INDEX(Models!$BJ105:$BT105,,AH105+1)*AF105-ERP_i)*AE105*Ramure*Pc/MaxiM</f>
        <v>3.1957177453867679E-4</v>
      </c>
      <c r="AE105" s="305">
        <f t="shared" si="38"/>
        <v>0.7</v>
      </c>
      <c r="AF105" s="177">
        <f t="shared" si="39"/>
        <v>2.6045714044888653E-2</v>
      </c>
      <c r="AG105" s="919">
        <f t="shared" si="47"/>
        <v>0</v>
      </c>
      <c r="AH105" s="176">
        <f t="shared" si="40"/>
        <v>6</v>
      </c>
      <c r="AI105" s="225">
        <f t="shared" si="41"/>
        <v>2.6045714044888653E-2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44653</v>
      </c>
      <c r="B106" s="618">
        <v>19.847000000000001</v>
      </c>
      <c r="C106" s="953"/>
      <c r="D106" s="393">
        <f t="shared" si="24"/>
        <v>20.469496841624874</v>
      </c>
      <c r="E106" s="385">
        <f t="shared" si="45"/>
        <v>21.586208495399688</v>
      </c>
      <c r="F106" s="385">
        <f t="shared" si="25"/>
        <v>21.587074549157638</v>
      </c>
      <c r="G106" s="110">
        <f t="shared" si="46"/>
        <v>0.38996106271230246</v>
      </c>
      <c r="H106" s="412" t="b">
        <f>Wh_hp&gt;='2021'!Maxi_hp</f>
        <v>0</v>
      </c>
      <c r="I106" s="380">
        <f>IF(H106,Wh_hp,'2021'!Maxi_hp)</f>
        <v>44.480418756560418</v>
      </c>
      <c r="J106" s="85">
        <f>IF(H106,An,'2021'!An_max)</f>
        <v>2020</v>
      </c>
      <c r="K106" s="197">
        <f t="shared" si="26"/>
        <v>44653</v>
      </c>
      <c r="L106" s="147">
        <f>IF(t&lt;Tvie,1-EXP((T0-t)*PertePVj)+'2021'!Pspv,1-EXP((T0-t)*PertePVj)+Pspv)</f>
        <v>3.0410949836295886E-2</v>
      </c>
      <c r="M106" s="957"/>
      <c r="N106" s="957"/>
      <c r="O106" s="48">
        <f>IF(t&lt;Tnet,'2021'!Resal+('2021'!Salim-'2021'!Resal)*(1-EXP(('2021'!Tnet-t)/('2021'!Tau_j))),Resal+(Salim-Resal)*(1-EXP((Tnet-t)/(Tau_j))))*Salcycl</f>
        <v>5.1732644665819928E-2</v>
      </c>
      <c r="P106" s="339">
        <f>(INDEX(Models!$BJ106:$BT106,,T106)*(1-R106)+INDEX(Models!$BJ106:$BT106,,T106+1)*R106-ERP_i)*Q106*Ramure*Pc/MaxiM</f>
        <v>3.1180508675655616E-4</v>
      </c>
      <c r="Q106" s="305">
        <f t="shared" si="27"/>
        <v>0.7</v>
      </c>
      <c r="R106" s="177">
        <f t="shared" si="28"/>
        <v>2.7103918094328015E-2</v>
      </c>
      <c r="S106" s="919">
        <f t="shared" si="29"/>
        <v>0</v>
      </c>
      <c r="T106" s="176">
        <f t="shared" si="30"/>
        <v>6</v>
      </c>
      <c r="U106" s="251">
        <f t="shared" si="31"/>
        <v>2.7103918094328015E-2</v>
      </c>
      <c r="V106" s="383">
        <f t="shared" si="32"/>
        <v>50.88099692224246</v>
      </c>
      <c r="W106" s="402"/>
      <c r="X106" s="157">
        <f t="shared" si="33"/>
        <v>44653</v>
      </c>
      <c r="Y106" s="385">
        <f t="shared" si="34"/>
        <v>18.749973580080574</v>
      </c>
      <c r="Z106" s="385">
        <f t="shared" si="35"/>
        <v>19.338062426462894</v>
      </c>
      <c r="AA106" s="386">
        <f t="shared" si="36"/>
        <v>21.586208495399688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0.10414733413771601</v>
      </c>
      <c r="AD106" s="231">
        <f>(INDEX(Models!$BJ106:$BT106,,AH106)*(1-AF106)+INDEX(Models!$BJ106:$BT106,,AH106+1)*AF106-ERP_i)*AE106*Ramure*Pc/MaxiM</f>
        <v>3.1180508675655616E-4</v>
      </c>
      <c r="AE106" s="305">
        <f t="shared" si="38"/>
        <v>0.7</v>
      </c>
      <c r="AF106" s="177">
        <f t="shared" si="39"/>
        <v>2.7103918094328015E-2</v>
      </c>
      <c r="AG106" s="919">
        <f t="shared" si="47"/>
        <v>0</v>
      </c>
      <c r="AH106" s="176">
        <f t="shared" si="40"/>
        <v>6</v>
      </c>
      <c r="AI106" s="225">
        <f t="shared" si="41"/>
        <v>2.7103918094328015E-2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44654</v>
      </c>
      <c r="B107" s="618">
        <v>25.343</v>
      </c>
      <c r="C107" s="953"/>
      <c r="D107" s="393">
        <f t="shared" si="24"/>
        <v>26.138450186313467</v>
      </c>
      <c r="E107" s="385">
        <f t="shared" si="45"/>
        <v>27.57068646743334</v>
      </c>
      <c r="F107" s="385">
        <f t="shared" si="25"/>
        <v>27.57304379053647</v>
      </c>
      <c r="G107" s="110">
        <f t="shared" si="46"/>
        <v>0.49627401119457265</v>
      </c>
      <c r="H107" s="412" t="b">
        <f>Wh_hp&gt;='2021'!Maxi_hp</f>
        <v>0</v>
      </c>
      <c r="I107" s="380">
        <f>IF(H107,Wh_hp,'2021'!Maxi_hp)</f>
        <v>52.947397962650761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3.0432186324879207E-2</v>
      </c>
      <c r="M107" s="957"/>
      <c r="N107" s="957"/>
      <c r="O107" s="48">
        <f>IF(t&lt;Tnet,'2021'!Resal+('2021'!Salim-'2021'!Resal)*(1-EXP(('2021'!Tnet-t)/('2021'!Tau_j))),Resal+(Salim-Resal)*(1-EXP((Tnet-t)/(Tau_j))))*Salcycl</f>
        <v>5.1947791826352993E-2</v>
      </c>
      <c r="P107" s="339">
        <f>(INDEX(Models!$BJ107:$BT107,,T107)*(1-R107)+INDEX(Models!$BJ107:$BT107,,T107+1)*R107-ERP_i)*Q107*Ramure*Pc/MaxiM</f>
        <v>3.0473959271040175E-4</v>
      </c>
      <c r="Q107" s="305">
        <f t="shared" si="27"/>
        <v>0.7</v>
      </c>
      <c r="R107" s="177">
        <f t="shared" si="28"/>
        <v>2.8201502899141584E-2</v>
      </c>
      <c r="S107" s="919">
        <f t="shared" si="29"/>
        <v>0</v>
      </c>
      <c r="T107" s="176">
        <f t="shared" si="30"/>
        <v>6</v>
      </c>
      <c r="U107" s="251">
        <f t="shared" si="31"/>
        <v>2.8201502899141584E-2</v>
      </c>
      <c r="V107" s="383">
        <f t="shared" si="32"/>
        <v>51.055349678135272</v>
      </c>
      <c r="W107" s="402"/>
      <c r="X107" s="157">
        <f t="shared" si="33"/>
        <v>44654</v>
      </c>
      <c r="Y107" s="385">
        <f t="shared" si="34"/>
        <v>23.943909646942934</v>
      </c>
      <c r="Z107" s="385">
        <f t="shared" si="35"/>
        <v>24.695446062905273</v>
      </c>
      <c r="AA107" s="386">
        <f t="shared" si="36"/>
        <v>27.57068646743334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0.10428613766742145</v>
      </c>
      <c r="AD107" s="231">
        <f>(INDEX(Models!$BJ107:$BT107,,AH107)*(1-AF107)+INDEX(Models!$BJ107:$BT107,,AH107+1)*AF107-ERP_i)*AE107*Ramure*Pc/MaxiM</f>
        <v>3.0473959271040175E-4</v>
      </c>
      <c r="AE107" s="305">
        <f t="shared" si="38"/>
        <v>0.7</v>
      </c>
      <c r="AF107" s="177">
        <f t="shared" si="39"/>
        <v>2.8201502899141584E-2</v>
      </c>
      <c r="AG107" s="919">
        <f t="shared" si="47"/>
        <v>0</v>
      </c>
      <c r="AH107" s="176">
        <f t="shared" si="40"/>
        <v>6</v>
      </c>
      <c r="AI107" s="225">
        <f t="shared" si="41"/>
        <v>2.8201502899141584E-2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44655</v>
      </c>
      <c r="B108" s="618">
        <v>44.438000000000002</v>
      </c>
      <c r="C108" s="953"/>
      <c r="D108" s="393">
        <f t="shared" si="24"/>
        <v>45.833795945763462</v>
      </c>
      <c r="E108" s="385">
        <f t="shared" si="45"/>
        <v>48.356210730036729</v>
      </c>
      <c r="F108" s="385">
        <f t="shared" si="25"/>
        <v>48.367938175520429</v>
      </c>
      <c r="G108" s="110">
        <f t="shared" si="46"/>
        <v>0.86751268220227695</v>
      </c>
      <c r="H108" s="412" t="b">
        <f>Wh_hp&gt;='2021'!Maxi_hp</f>
        <v>0</v>
      </c>
      <c r="I108" s="380">
        <f>IF(H108,Wh_hp,'2021'!Maxi_hp)</f>
        <v>55.741875297523443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3.0453422348328929E-2</v>
      </c>
      <c r="M108" s="957"/>
      <c r="N108" s="957"/>
      <c r="O108" s="48">
        <f>IF(t&lt;Tnet,'2021'!Resal+('2021'!Salim-'2021'!Resal)*(1-EXP(('2021'!Tnet-t)/('2021'!Tau_j))),Resal+(Salim-Resal)*(1-EXP((Tnet-t)/(Tau_j))))*Salcycl</f>
        <v>5.2163201917441691E-2</v>
      </c>
      <c r="P108" s="339">
        <f>(INDEX(Models!$BJ108:$BT108,,T108)*(1-R108)+INDEX(Models!$BJ108:$BT108,,T108+1)*R108-ERP_i)*Q108*Ramure*Pc/MaxiM</f>
        <v>2.9904100725487845E-4</v>
      </c>
      <c r="Q108" s="305">
        <f t="shared" si="27"/>
        <v>0.7</v>
      </c>
      <c r="R108" s="177">
        <f t="shared" si="28"/>
        <v>2.9339728933994256E-2</v>
      </c>
      <c r="S108" s="919">
        <f t="shared" si="29"/>
        <v>0</v>
      </c>
      <c r="T108" s="176">
        <f t="shared" si="30"/>
        <v>6</v>
      </c>
      <c r="U108" s="251">
        <f t="shared" si="31"/>
        <v>2.9339728933994256E-2</v>
      </c>
      <c r="V108" s="383">
        <f t="shared" si="32"/>
        <v>51.221712486357418</v>
      </c>
      <c r="W108" s="402"/>
      <c r="X108" s="157">
        <f t="shared" si="33"/>
        <v>44655</v>
      </c>
      <c r="Y108" s="385">
        <f t="shared" si="34"/>
        <v>41.987739083140667</v>
      </c>
      <c r="Z108" s="385">
        <f t="shared" si="35"/>
        <v>43.306572423615528</v>
      </c>
      <c r="AA108" s="386">
        <f t="shared" si="36"/>
        <v>48.356210730036729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0.10442584789392098</v>
      </c>
      <c r="AD108" s="231">
        <f>(INDEX(Models!$BJ108:$BT108,,AH108)*(1-AF108)+INDEX(Models!$BJ108:$BT108,,AH108+1)*AF108-ERP_i)*AE108*Ramure*Pc/MaxiM</f>
        <v>2.9904100725487845E-4</v>
      </c>
      <c r="AE108" s="305">
        <f t="shared" si="38"/>
        <v>0.7</v>
      </c>
      <c r="AF108" s="177">
        <f t="shared" si="39"/>
        <v>2.9339728933994256E-2</v>
      </c>
      <c r="AG108" s="919">
        <f t="shared" si="47"/>
        <v>0</v>
      </c>
      <c r="AH108" s="176">
        <f t="shared" si="40"/>
        <v>6</v>
      </c>
      <c r="AI108" s="225">
        <f t="shared" si="41"/>
        <v>2.9339728933994256E-2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44656</v>
      </c>
      <c r="B109" s="618">
        <v>51.204000000000001</v>
      </c>
      <c r="C109" s="953"/>
      <c r="D109" s="393">
        <f t="shared" si="24"/>
        <v>52.813472507529497</v>
      </c>
      <c r="E109" s="385">
        <f t="shared" si="45"/>
        <v>55.732689407756332</v>
      </c>
      <c r="F109" s="385">
        <f t="shared" si="25"/>
        <v>55.749023075501469</v>
      </c>
      <c r="G109" s="110">
        <f t="shared" si="46"/>
        <v>0.99656150721755288</v>
      </c>
      <c r="H109" s="412" t="b">
        <f>Wh_hp&gt;='2021'!Maxi_hp</f>
        <v>0</v>
      </c>
      <c r="I109" s="380">
        <f>IF(H109,Wh_hp,'2021'!Maxi_hp)</f>
        <v>58.256884739736201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3.0474657906655156E-2</v>
      </c>
      <c r="M109" s="957"/>
      <c r="N109" s="957"/>
      <c r="O109" s="48">
        <f>IF(t&lt;Tnet,'2021'!Resal+('2021'!Salim-'2021'!Resal)*(1-EXP(('2021'!Tnet-t)/('2021'!Tau_j))),Resal+(Salim-Resal)*(1-EXP((Tnet-t)/(Tau_j))))*Salcycl</f>
        <v>5.2378898833842474E-2</v>
      </c>
      <c r="P109" s="339">
        <f>(INDEX(Models!$BJ109:$BT109,,T109)*(1-R109)+INDEX(Models!$BJ109:$BT109,,T109+1)*R109-ERP_i)*Q109*Ramure*Pc/MaxiM</f>
        <v>2.944314013412352E-4</v>
      </c>
      <c r="Q109" s="305">
        <f t="shared" si="27"/>
        <v>0.7</v>
      </c>
      <c r="R109" s="177">
        <f t="shared" si="28"/>
        <v>3.0519880562012984E-2</v>
      </c>
      <c r="S109" s="919">
        <f t="shared" si="29"/>
        <v>0</v>
      </c>
      <c r="T109" s="176">
        <f t="shared" si="30"/>
        <v>6</v>
      </c>
      <c r="U109" s="251">
        <f t="shared" si="31"/>
        <v>3.0519880562012984E-2</v>
      </c>
      <c r="V109" s="383">
        <f t="shared" si="32"/>
        <v>51.380597768295743</v>
      </c>
      <c r="W109" s="402"/>
      <c r="X109" s="157">
        <f t="shared" si="33"/>
        <v>44656</v>
      </c>
      <c r="Y109" s="385">
        <f t="shared" si="34"/>
        <v>48.38408169574182</v>
      </c>
      <c r="Z109" s="385">
        <f t="shared" si="35"/>
        <v>49.904916968207985</v>
      </c>
      <c r="AA109" s="386">
        <f t="shared" si="36"/>
        <v>55.732689407756332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0.10456650309678577</v>
      </c>
      <c r="AD109" s="231">
        <f>(INDEX(Models!$BJ109:$BT109,,AH109)*(1-AF109)+INDEX(Models!$BJ109:$BT109,,AH109+1)*AF109-ERP_i)*AE109*Ramure*Pc/MaxiM</f>
        <v>2.944314013412352E-4</v>
      </c>
      <c r="AE109" s="305">
        <f t="shared" si="38"/>
        <v>0.7</v>
      </c>
      <c r="AF109" s="177">
        <f t="shared" si="39"/>
        <v>3.0519880562012984E-2</v>
      </c>
      <c r="AG109" s="919">
        <f t="shared" si="47"/>
        <v>0</v>
      </c>
      <c r="AH109" s="176">
        <f t="shared" si="40"/>
        <v>6</v>
      </c>
      <c r="AI109" s="225">
        <f t="shared" si="41"/>
        <v>3.0519880562012984E-2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44657</v>
      </c>
      <c r="B110" s="618">
        <v>12.024000000000001</v>
      </c>
      <c r="C110" s="953"/>
      <c r="D110" s="393">
        <f t="shared" si="24"/>
        <v>12.402216672609068</v>
      </c>
      <c r="E110" s="385">
        <f t="shared" si="45"/>
        <v>13.090721966504017</v>
      </c>
      <c r="F110" s="385">
        <f t="shared" si="25"/>
        <v>13.090721966504017</v>
      </c>
      <c r="G110" s="110">
        <f t="shared" si="46"/>
        <v>0.2332605889875691</v>
      </c>
      <c r="H110" s="412" t="b">
        <f>Wh_hp&gt;='2021'!Maxi_hp</f>
        <v>0</v>
      </c>
      <c r="I110" s="380">
        <f>IF(H110,Wh_hp,'2021'!Maxi_hp)</f>
        <v>57.685469912803519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3.0495892999868213E-2</v>
      </c>
      <c r="M110" s="957"/>
      <c r="N110" s="957"/>
      <c r="O110" s="48">
        <f>IF(t&lt;Tnet,'2021'!Resal+('2021'!Salim-'2021'!Resal)*(1-EXP(('2021'!Tnet-t)/('2021'!Tau_j))),Resal+(Salim-Resal)*(1-EXP((Tnet-t)/(Tau_j))))*Salcycl</f>
        <v>5.2594906198196414E-2</v>
      </c>
      <c r="P110" s="339">
        <f>(INDEX(Models!$BJ110:$BT110,,T110)*(1-R110)+INDEX(Models!$BJ110:$BT110,,T110+1)*R110-ERP_i)*Q110*Ramure*Pc/MaxiM</f>
        <v>2.9090249596129612E-4</v>
      </c>
      <c r="Q110" s="305">
        <f t="shared" si="27"/>
        <v>0.7</v>
      </c>
      <c r="R110" s="177">
        <f t="shared" si="28"/>
        <v>3.1743265085053186E-2</v>
      </c>
      <c r="S110" s="919">
        <f t="shared" si="29"/>
        <v>0</v>
      </c>
      <c r="T110" s="176">
        <f t="shared" si="30"/>
        <v>6</v>
      </c>
      <c r="U110" s="251">
        <f t="shared" si="31"/>
        <v>3.1743265085053186E-2</v>
      </c>
      <c r="V110" s="383">
        <f t="shared" si="32"/>
        <v>51.532503799984646</v>
      </c>
      <c r="W110" s="402"/>
      <c r="X110" s="157">
        <f t="shared" si="33"/>
        <v>44657</v>
      </c>
      <c r="Y110" s="385">
        <f t="shared" si="34"/>
        <v>11.362604430856111</v>
      </c>
      <c r="Z110" s="385">
        <f t="shared" si="35"/>
        <v>11.720016809433243</v>
      </c>
      <c r="AA110" s="386">
        <f t="shared" si="36"/>
        <v>13.090721966504017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0.10470814066466881</v>
      </c>
      <c r="AD110" s="231">
        <f>(INDEX(Models!$BJ110:$BT110,,AH110)*(1-AF110)+INDEX(Models!$BJ110:$BT110,,AH110+1)*AF110-ERP_i)*AE110*Ramure*Pc/MaxiM</f>
        <v>2.9090249596129612E-4</v>
      </c>
      <c r="AE110" s="305">
        <f t="shared" si="38"/>
        <v>0.7</v>
      </c>
      <c r="AF110" s="177">
        <f t="shared" si="39"/>
        <v>3.1743265085053186E-2</v>
      </c>
      <c r="AG110" s="919">
        <f t="shared" si="47"/>
        <v>0</v>
      </c>
      <c r="AH110" s="176">
        <f t="shared" si="40"/>
        <v>6</v>
      </c>
      <c r="AI110" s="225">
        <f t="shared" si="41"/>
        <v>3.1743265085053186E-2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44658</v>
      </c>
      <c r="B111" s="618">
        <v>39.600999999999999</v>
      </c>
      <c r="C111" s="953"/>
      <c r="D111" s="393">
        <f t="shared" si="24"/>
        <v>40.847549893386685</v>
      </c>
      <c r="E111" s="385">
        <f t="shared" si="45"/>
        <v>43.125036881609304</v>
      </c>
      <c r="F111" s="385">
        <f t="shared" si="25"/>
        <v>43.13332491428627</v>
      </c>
      <c r="G111" s="110">
        <f t="shared" si="46"/>
        <v>0.7662301298432489</v>
      </c>
      <c r="H111" s="412" t="b">
        <f>Wh_hp&gt;='2021'!Maxi_hp</f>
        <v>0</v>
      </c>
      <c r="I111" s="380">
        <f>IF(H111,Wh_hp,'2021'!Maxi_hp)</f>
        <v>56.268394657199678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3.0517127627978202E-2</v>
      </c>
      <c r="M111" s="957"/>
      <c r="N111" s="957"/>
      <c r="O111" s="48">
        <f>IF(t&lt;Tnet,'2021'!Resal+('2021'!Salim-'2021'!Resal)*(1-EXP(('2021'!Tnet-t)/('2021'!Tau_j))),Resal+(Salim-Resal)*(1-EXP((Tnet-t)/(Tau_j))))*Salcycl</f>
        <v>5.2811247314987368E-2</v>
      </c>
      <c r="P111" s="339">
        <f>(INDEX(Models!$BJ111:$BT111,,T111)*(1-R111)+INDEX(Models!$BJ111:$BT111,,T111+1)*R111-ERP_i)*Q111*Ramure*Pc/MaxiM</f>
        <v>2.8844796180808809E-4</v>
      </c>
      <c r="Q111" s="305">
        <f t="shared" si="27"/>
        <v>0.7</v>
      </c>
      <c r="R111" s="177">
        <f t="shared" si="28"/>
        <v>3.3011211646002195E-2</v>
      </c>
      <c r="S111" s="919">
        <f t="shared" si="29"/>
        <v>0</v>
      </c>
      <c r="T111" s="176">
        <f t="shared" si="30"/>
        <v>6</v>
      </c>
      <c r="U111" s="251">
        <f t="shared" si="31"/>
        <v>3.3011211646002195E-2</v>
      </c>
      <c r="V111" s="383">
        <f t="shared" si="32"/>
        <v>51.677928335742386</v>
      </c>
      <c r="W111" s="402"/>
      <c r="X111" s="157">
        <f t="shared" si="33"/>
        <v>44658</v>
      </c>
      <c r="Y111" s="385">
        <f t="shared" si="34"/>
        <v>37.425279266398427</v>
      </c>
      <c r="Z111" s="385">
        <f t="shared" si="35"/>
        <v>38.603342393074421</v>
      </c>
      <c r="AA111" s="386">
        <f t="shared" si="36"/>
        <v>43.125036881609304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0.10485079701956533</v>
      </c>
      <c r="AD111" s="231">
        <f>(INDEX(Models!$BJ111:$BT111,,AH111)*(1-AF111)+INDEX(Models!$BJ111:$BT111,,AH111+1)*AF111-ERP_i)*AE111*Ramure*Pc/MaxiM</f>
        <v>2.8844796180808809E-4</v>
      </c>
      <c r="AE111" s="305">
        <f t="shared" si="38"/>
        <v>0.7</v>
      </c>
      <c r="AF111" s="177">
        <f t="shared" si="39"/>
        <v>3.3011211646002195E-2</v>
      </c>
      <c r="AG111" s="919">
        <f t="shared" si="47"/>
        <v>0</v>
      </c>
      <c r="AH111" s="176">
        <f t="shared" si="40"/>
        <v>6</v>
      </c>
      <c r="AI111" s="225">
        <f t="shared" si="41"/>
        <v>3.3011211646002195E-2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44659</v>
      </c>
      <c r="B112" s="618">
        <v>32.127000000000002</v>
      </c>
      <c r="C112" s="953"/>
      <c r="D112" s="393">
        <f t="shared" si="24"/>
        <v>33.139011110694199</v>
      </c>
      <c r="E112" s="385">
        <f t="shared" si="45"/>
        <v>34.99470859788066</v>
      </c>
      <c r="F112" s="385">
        <f t="shared" si="25"/>
        <v>34.999301583499047</v>
      </c>
      <c r="G112" s="110">
        <f t="shared" si="46"/>
        <v>0.61990783731385357</v>
      </c>
      <c r="H112" s="412" t="b">
        <f>Wh_hp&gt;='2021'!Maxi_hp</f>
        <v>0</v>
      </c>
      <c r="I112" s="380">
        <f>IF(H112,Wh_hp,'2021'!Maxi_hp)</f>
        <v>56.211155978326396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3.0538361790995339E-2</v>
      </c>
      <c r="M112" s="957"/>
      <c r="N112" s="957"/>
      <c r="O112" s="48">
        <f>IF(t&lt;Tnet,'2021'!Resal+('2021'!Salim-'2021'!Resal)*(1-EXP(('2021'!Tnet-t)/('2021'!Tau_j))),Resal+(Salim-Resal)*(1-EXP((Tnet-t)/(Tau_j))))*Salcycl</f>
        <v>5.3027945124790817E-2</v>
      </c>
      <c r="P112" s="339">
        <f>(INDEX(Models!$BJ112:$BT112,,T112)*(1-R112)+INDEX(Models!$BJ112:$BT112,,T112+1)*R112-ERP_i)*Q112*Ramure*Pc/MaxiM</f>
        <v>2.8706332240236256E-4</v>
      </c>
      <c r="Q112" s="305">
        <f t="shared" si="27"/>
        <v>0.7</v>
      </c>
      <c r="R112" s="177">
        <f t="shared" si="28"/>
        <v>3.4325069973745778E-2</v>
      </c>
      <c r="S112" s="919">
        <f t="shared" si="29"/>
        <v>0</v>
      </c>
      <c r="T112" s="176">
        <f t="shared" si="30"/>
        <v>6</v>
      </c>
      <c r="U112" s="251">
        <f t="shared" si="31"/>
        <v>3.4325069973745778E-2</v>
      </c>
      <c r="V112" s="383">
        <f t="shared" si="32"/>
        <v>51.817368610775247</v>
      </c>
      <c r="W112" s="402"/>
      <c r="X112" s="157">
        <f t="shared" si="33"/>
        <v>44659</v>
      </c>
      <c r="Y112" s="385">
        <f t="shared" si="34"/>
        <v>30.363980972981004</v>
      </c>
      <c r="Z112" s="385">
        <f t="shared" si="35"/>
        <v>31.320456402045775</v>
      </c>
      <c r="AA112" s="386">
        <f t="shared" si="36"/>
        <v>34.99470859788066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0.10499450754270338</v>
      </c>
      <c r="AD112" s="231">
        <f>(INDEX(Models!$BJ112:$BT112,,AH112)*(1-AF112)+INDEX(Models!$BJ112:$BT112,,AH112+1)*AF112-ERP_i)*AE112*Ramure*Pc/MaxiM</f>
        <v>2.8706332240236256E-4</v>
      </c>
      <c r="AE112" s="305">
        <f t="shared" si="38"/>
        <v>0.7</v>
      </c>
      <c r="AF112" s="177">
        <f t="shared" si="39"/>
        <v>3.4325069973745778E-2</v>
      </c>
      <c r="AG112" s="919">
        <f t="shared" si="47"/>
        <v>0</v>
      </c>
      <c r="AH112" s="176">
        <f t="shared" si="40"/>
        <v>6</v>
      </c>
      <c r="AI112" s="225">
        <f t="shared" si="41"/>
        <v>3.4325069973745778E-2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44660</v>
      </c>
      <c r="B113" s="618">
        <v>35.058999999999997</v>
      </c>
      <c r="C113" s="953"/>
      <c r="D113" s="393">
        <f t="shared" si="24"/>
        <v>36.164162167020194</v>
      </c>
      <c r="E113" s="385">
        <f t="shared" si="45"/>
        <v>38.198016396463217</v>
      </c>
      <c r="F113" s="385">
        <f t="shared" si="25"/>
        <v>38.203882589479598</v>
      </c>
      <c r="G113" s="110">
        <f t="shared" si="46"/>
        <v>0.6747533778963738</v>
      </c>
      <c r="H113" s="412" t="b">
        <f>Wh_hp&gt;='2021'!Maxi_hp</f>
        <v>0</v>
      </c>
      <c r="I113" s="380">
        <f>IF(H113,Wh_hp,'2021'!Maxi_hp)</f>
        <v>45.992596170964376</v>
      </c>
      <c r="J113" s="85">
        <f>IF(H113,An,'2021'!An_max)</f>
        <v>2019</v>
      </c>
      <c r="K113" s="197">
        <f t="shared" si="26"/>
        <v>44660</v>
      </c>
      <c r="L113" s="147">
        <f>IF(t&lt;Tvie,1-EXP((T0-t)*PertePVj)+'2021'!Pspv,1-EXP((T0-t)*PertePVj)+Pspv)</f>
        <v>3.0559595488929836E-2</v>
      </c>
      <c r="M113" s="957"/>
      <c r="N113" s="957"/>
      <c r="O113" s="48">
        <f>IF(t&lt;Tnet,'2021'!Resal+('2021'!Salim-'2021'!Resal)*(1-EXP(('2021'!Tnet-t)/('2021'!Tau_j))),Resal+(Salim-Resal)*(1-EXP((Tnet-t)/(Tau_j))))*Salcycl</f>
        <v>5.3245022158567912E-2</v>
      </c>
      <c r="P113" s="339">
        <f>(INDEX(Models!$BJ113:$BT113,,T113)*(1-R113)+INDEX(Models!$BJ113:$BT113,,T113+1)*R113-ERP_i)*Q113*Ramure*Pc/MaxiM</f>
        <v>2.8674586205045048E-4</v>
      </c>
      <c r="Q113" s="305">
        <f t="shared" si="27"/>
        <v>0.7</v>
      </c>
      <c r="R113" s="177">
        <f t="shared" si="28"/>
        <v>3.5686208961311812E-2</v>
      </c>
      <c r="S113" s="919">
        <f t="shared" si="29"/>
        <v>0</v>
      </c>
      <c r="T113" s="176">
        <f t="shared" si="30"/>
        <v>6</v>
      </c>
      <c r="U113" s="251">
        <f t="shared" si="31"/>
        <v>3.5686208961311812E-2</v>
      </c>
      <c r="V113" s="383">
        <f t="shared" si="32"/>
        <v>51.951321335124405</v>
      </c>
      <c r="W113" s="402"/>
      <c r="X113" s="157">
        <f t="shared" si="33"/>
        <v>44660</v>
      </c>
      <c r="Y113" s="385">
        <f t="shared" si="34"/>
        <v>33.137318300551051</v>
      </c>
      <c r="Z113" s="385">
        <f t="shared" si="35"/>
        <v>34.181903442804824</v>
      </c>
      <c r="AA113" s="386">
        <f t="shared" si="36"/>
        <v>38.198016396463217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0.10513930650153469</v>
      </c>
      <c r="AD113" s="231">
        <f>(INDEX(Models!$BJ113:$BT113,,AH113)*(1-AF113)+INDEX(Models!$BJ113:$BT113,,AH113+1)*AF113-ERP_i)*AE113*Ramure*Pc/MaxiM</f>
        <v>2.8674586205045048E-4</v>
      </c>
      <c r="AE113" s="305">
        <f t="shared" si="38"/>
        <v>0.7</v>
      </c>
      <c r="AF113" s="177">
        <f t="shared" si="39"/>
        <v>3.5686208961311812E-2</v>
      </c>
      <c r="AG113" s="919">
        <f t="shared" si="47"/>
        <v>0</v>
      </c>
      <c r="AH113" s="176">
        <f t="shared" si="40"/>
        <v>6</v>
      </c>
      <c r="AI113" s="225">
        <f t="shared" si="41"/>
        <v>3.5686208961311812E-2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44661</v>
      </c>
      <c r="B114" s="618">
        <v>53.588999999999999</v>
      </c>
      <c r="C114" s="953"/>
      <c r="D114" s="393">
        <f t="shared" si="24"/>
        <v>55.279492698025877</v>
      </c>
      <c r="E114" s="385">
        <f t="shared" si="45"/>
        <v>58.401798900460363</v>
      </c>
      <c r="F114" s="385">
        <f t="shared" si="25"/>
        <v>58.418678511810597</v>
      </c>
      <c r="G114" s="110">
        <f t="shared" si="46"/>
        <v>1.0289705588508633</v>
      </c>
      <c r="H114" s="412" t="b">
        <f>Wh_hp&gt;='2021'!Maxi_hp</f>
        <v>1</v>
      </c>
      <c r="I114" s="380">
        <f>IF(H114,Wh_hp,'2021'!Maxi_hp)</f>
        <v>58.418678511810597</v>
      </c>
      <c r="J114" s="85">
        <f>IF(H114,An,'2021'!An_max)</f>
        <v>2022</v>
      </c>
      <c r="K114" s="197">
        <f t="shared" si="26"/>
        <v>44661</v>
      </c>
      <c r="L114" s="147">
        <f>IF(t&lt;Tvie,1-EXP((T0-t)*PertePVj)+'2021'!Pspv,1-EXP((T0-t)*PertePVj)+Pspv)</f>
        <v>3.0580828721791908E-2</v>
      </c>
      <c r="M114" s="957"/>
      <c r="N114" s="957"/>
      <c r="O114" s="48">
        <f>IF(t&lt;Tnet,'2021'!Resal+('2021'!Salim-'2021'!Resal)*(1-EXP(('2021'!Tnet-t)/('2021'!Tau_j))),Resal+(Salim-Resal)*(1-EXP((Tnet-t)/(Tau_j))))*Salcycl</f>
        <v>5.3462500491742192E-2</v>
      </c>
      <c r="P114" s="339">
        <f>(INDEX(Models!$BJ114:$BT114,,T114)*(1-R114)+INDEX(Models!$BJ114:$BT114,,T114+1)*R114-ERP_i)*Q114*Ramure*Pc/MaxiM</f>
        <v>2.8894202642442031E-4</v>
      </c>
      <c r="Q114" s="305">
        <f t="shared" si="27"/>
        <v>0.7</v>
      </c>
      <c r="R114" s="177">
        <f t="shared" si="28"/>
        <v>3.7096015067654337E-2</v>
      </c>
      <c r="S114" s="919">
        <f t="shared" si="29"/>
        <v>0</v>
      </c>
      <c r="T114" s="176">
        <f t="shared" si="30"/>
        <v>6</v>
      </c>
      <c r="U114" s="251">
        <f t="shared" si="31"/>
        <v>3.7096015067654337E-2</v>
      </c>
      <c r="V114" s="383">
        <f t="shared" si="32"/>
        <v>52.080207289747207</v>
      </c>
      <c r="W114" s="402"/>
      <c r="X114" s="157">
        <f t="shared" si="33"/>
        <v>44661</v>
      </c>
      <c r="Y114" s="385">
        <f t="shared" si="34"/>
        <v>50.655013664460292</v>
      </c>
      <c r="Z114" s="385">
        <f t="shared" si="35"/>
        <v>52.252952247344297</v>
      </c>
      <c r="AA114" s="386">
        <f t="shared" si="36"/>
        <v>58.401798900460363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0.10528522697727367</v>
      </c>
      <c r="AD114" s="231">
        <f>(INDEX(Models!$BJ114:$BT114,,AH114)*(1-AF114)+INDEX(Models!$BJ114:$BT114,,AH114+1)*AF114-ERP_i)*AE114*Ramure*Pc/MaxiM</f>
        <v>2.8894202642442031E-4</v>
      </c>
      <c r="AE114" s="305">
        <f t="shared" si="38"/>
        <v>0.7</v>
      </c>
      <c r="AF114" s="177">
        <f t="shared" si="39"/>
        <v>3.7096015067654337E-2</v>
      </c>
      <c r="AG114" s="919">
        <f t="shared" si="47"/>
        <v>0</v>
      </c>
      <c r="AH114" s="176">
        <f t="shared" si="40"/>
        <v>6</v>
      </c>
      <c r="AI114" s="225">
        <f t="shared" si="41"/>
        <v>3.7096015067654337E-2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44662</v>
      </c>
      <c r="B115" s="618">
        <v>44.215000000000003</v>
      </c>
      <c r="C115" s="953"/>
      <c r="D115" s="393">
        <f t="shared" si="24"/>
        <v>45.610784017079141</v>
      </c>
      <c r="E115" s="385">
        <f t="shared" si="45"/>
        <v>48.198076103368436</v>
      </c>
      <c r="F115" s="385">
        <f t="shared" si="25"/>
        <v>48.209125983533745</v>
      </c>
      <c r="G115" s="110">
        <f t="shared" si="46"/>
        <v>0.8469026925343236</v>
      </c>
      <c r="H115" s="412" t="b">
        <f>Wh_hp&gt;='2021'!Maxi_hp</f>
        <v>0</v>
      </c>
      <c r="I115" s="380">
        <f>IF(H115,Wh_hp,'2021'!Maxi_hp)</f>
        <v>56.926003902955259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3.0602061489591548E-2</v>
      </c>
      <c r="M115" s="957"/>
      <c r="N115" s="957"/>
      <c r="O115" s="48">
        <f>IF(t&lt;Tnet,'2021'!Resal+('2021'!Salim-'2021'!Resal)*(1-EXP(('2021'!Tnet-t)/('2021'!Tau_j))),Resal+(Salim-Resal)*(1-EXP((Tnet-t)/(Tau_j))))*Salcycl</f>
        <v>5.3680401697786324E-2</v>
      </c>
      <c r="P115" s="339">
        <f>(INDEX(Models!$BJ115:$BT115,,T115)*(1-R115)+INDEX(Models!$BJ115:$BT115,,T115+1)*R115-ERP_i)*Q115*Ramure*Pc/MaxiM</f>
        <v>2.933412555847596E-4</v>
      </c>
      <c r="Q115" s="305">
        <f t="shared" si="27"/>
        <v>0.7</v>
      </c>
      <c r="R115" s="177">
        <f t="shared" si="28"/>
        <v>3.8555890533551442E-2</v>
      </c>
      <c r="S115" s="919">
        <f t="shared" si="29"/>
        <v>0</v>
      </c>
      <c r="T115" s="176">
        <f t="shared" si="30"/>
        <v>6</v>
      </c>
      <c r="U115" s="251">
        <f t="shared" si="31"/>
        <v>3.8555890533551442E-2</v>
      </c>
      <c r="V115" s="383">
        <f t="shared" si="32"/>
        <v>52.204537845534411</v>
      </c>
      <c r="W115" s="402"/>
      <c r="X115" s="157">
        <f t="shared" si="33"/>
        <v>44662</v>
      </c>
      <c r="Y115" s="385">
        <f t="shared" si="34"/>
        <v>41.796990035317087</v>
      </c>
      <c r="Z115" s="385">
        <f t="shared" si="35"/>
        <v>43.116442046021859</v>
      </c>
      <c r="AA115" s="386">
        <f t="shared" si="36"/>
        <v>48.198076103368436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0.10543230079242591</v>
      </c>
      <c r="AD115" s="231">
        <f>(INDEX(Models!$BJ115:$BT115,,AH115)*(1-AF115)+INDEX(Models!$BJ115:$BT115,,AH115+1)*AF115-ERP_i)*AE115*Ramure*Pc/MaxiM</f>
        <v>2.933412555847596E-4</v>
      </c>
      <c r="AE115" s="305">
        <f t="shared" si="38"/>
        <v>0.7</v>
      </c>
      <c r="AF115" s="177">
        <f t="shared" si="39"/>
        <v>3.8555890533551442E-2</v>
      </c>
      <c r="AG115" s="919">
        <f t="shared" si="47"/>
        <v>0</v>
      </c>
      <c r="AH115" s="176">
        <f t="shared" si="40"/>
        <v>6</v>
      </c>
      <c r="AI115" s="225">
        <f t="shared" si="41"/>
        <v>3.8555890533551442E-2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44663</v>
      </c>
      <c r="B116" s="618">
        <v>2.4980000000000002</v>
      </c>
      <c r="C116" s="953"/>
      <c r="D116" s="393">
        <f t="shared" si="24"/>
        <v>2.5769135816895483</v>
      </c>
      <c r="E116" s="385">
        <f t="shared" si="45"/>
        <v>2.7237186009177003</v>
      </c>
      <c r="F116" s="385">
        <f t="shared" si="25"/>
        <v>2.7237186009177003</v>
      </c>
      <c r="G116" s="110">
        <f t="shared" si="46"/>
        <v>4.7725941919067282E-2</v>
      </c>
      <c r="H116" s="412" t="b">
        <f>Wh_hp&gt;='2021'!Maxi_hp</f>
        <v>0</v>
      </c>
      <c r="I116" s="380">
        <f>IF(H116,Wh_hp,'2021'!Maxi_hp)</f>
        <v>56.893751444283453</v>
      </c>
      <c r="J116" s="85">
        <f>IF(H116,An,'2021'!An_max)</f>
        <v>2019</v>
      </c>
      <c r="K116" s="197">
        <f t="shared" si="26"/>
        <v>44663</v>
      </c>
      <c r="L116" s="147">
        <f>IF(t&lt;Tvie,1-EXP((T0-t)*PertePVj)+'2021'!Pspv,1-EXP((T0-t)*PertePVj)+Pspv)</f>
        <v>3.062329379233919E-2</v>
      </c>
      <c r="M116" s="957"/>
      <c r="N116" s="957"/>
      <c r="O116" s="48">
        <f>IF(t&lt;Tnet,'2021'!Resal+('2021'!Salim-'2021'!Resal)*(1-EXP(('2021'!Tnet-t)/('2021'!Tau_j))),Resal+(Salim-Resal)*(1-EXP((Tnet-t)/(Tau_j))))*Salcycl</f>
        <v>5.3898746801042209E-2</v>
      </c>
      <c r="P116" s="339">
        <f>(INDEX(Models!$BJ116:$BT116,,T116)*(1-R116)+INDEX(Models!$BJ116:$BT116,,T116+1)*R116-ERP_i)*Q116*Ramure*Pc/MaxiM</f>
        <v>2.9995099922573763E-4</v>
      </c>
      <c r="Q116" s="305">
        <f t="shared" si="27"/>
        <v>0.7</v>
      </c>
      <c r="R116" s="177">
        <f t="shared" si="28"/>
        <v>4.0067251402179767E-2</v>
      </c>
      <c r="S116" s="919">
        <f t="shared" si="29"/>
        <v>0</v>
      </c>
      <c r="T116" s="176">
        <f t="shared" si="30"/>
        <v>6</v>
      </c>
      <c r="U116" s="251">
        <f t="shared" si="31"/>
        <v>4.0067251402179767E-2</v>
      </c>
      <c r="V116" s="383">
        <f t="shared" si="32"/>
        <v>52.324807473443336</v>
      </c>
      <c r="W116" s="402"/>
      <c r="X116" s="157">
        <f t="shared" si="33"/>
        <v>44663</v>
      </c>
      <c r="Y116" s="385">
        <f t="shared" si="34"/>
        <v>2.3615440286840537</v>
      </c>
      <c r="Z116" s="385">
        <f t="shared" si="35"/>
        <v>2.4361468700055204</v>
      </c>
      <c r="AA116" s="386">
        <f t="shared" si="36"/>
        <v>2.7237186009177003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0.1055805584377507</v>
      </c>
      <c r="AD116" s="231">
        <f>(INDEX(Models!$BJ116:$BT116,,AH116)*(1-AF116)+INDEX(Models!$BJ116:$BT116,,AH116+1)*AF116-ERP_i)*AE116*Ramure*Pc/MaxiM</f>
        <v>2.9995099922573763E-4</v>
      </c>
      <c r="AE116" s="305">
        <f t="shared" si="38"/>
        <v>0.7</v>
      </c>
      <c r="AF116" s="177">
        <f t="shared" si="39"/>
        <v>4.0067251402179767E-2</v>
      </c>
      <c r="AG116" s="919">
        <f t="shared" si="47"/>
        <v>0</v>
      </c>
      <c r="AH116" s="176">
        <f t="shared" si="40"/>
        <v>6</v>
      </c>
      <c r="AI116" s="225">
        <f t="shared" si="41"/>
        <v>4.0067251402179767E-2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44664</v>
      </c>
      <c r="B117" s="618">
        <v>0</v>
      </c>
      <c r="C117" s="953"/>
      <c r="D117" s="393">
        <f t="shared" si="24"/>
        <v>0</v>
      </c>
      <c r="E117" s="385">
        <f t="shared" si="45"/>
        <v>0</v>
      </c>
      <c r="F117" s="385">
        <f t="shared" si="25"/>
        <v>0</v>
      </c>
      <c r="G117" s="110">
        <f t="shared" si="46"/>
        <v>0</v>
      </c>
      <c r="H117" s="412" t="b">
        <f>Wh_hp&gt;='2021'!Maxi_hp</f>
        <v>0</v>
      </c>
      <c r="I117" s="380">
        <f>IF(H117,Wh_hp,'2021'!Maxi_hp)</f>
        <v>58.336070770675065</v>
      </c>
      <c r="J117" s="85">
        <f>IF(H117,An,'2021'!An_max)</f>
        <v>2019</v>
      </c>
      <c r="K117" s="197">
        <f t="shared" si="26"/>
        <v>44664</v>
      </c>
      <c r="L117" s="147">
        <f>IF(t&lt;Tvie,1-EXP((T0-t)*PertePVj)+'2021'!Pspv,1-EXP((T0-t)*PertePVj)+Pspv)</f>
        <v>3.0644525630044828E-2</v>
      </c>
      <c r="M117" s="957"/>
      <c r="N117" s="957"/>
      <c r="O117" s="48">
        <f>IF(t&lt;Tnet,'2021'!Resal+('2021'!Salim-'2021'!Resal)*(1-EXP(('2021'!Tnet-t)/('2021'!Tau_j))),Resal+(Salim-Resal)*(1-EXP((Tnet-t)/(Tau_j))))*Salcycl</f>
        <v>5.4117556228499682E-2</v>
      </c>
      <c r="P117" s="339">
        <f>(INDEX(Models!$BJ117:$BT117,,T117)*(1-R117)+INDEX(Models!$BJ117:$BT117,,T117+1)*R117-ERP_i)*Q117*Ramure*Pc/MaxiM</f>
        <v>3.0878171600426927E-4</v>
      </c>
      <c r="Q117" s="305">
        <f t="shared" si="27"/>
        <v>0.7</v>
      </c>
      <c r="R117" s="177">
        <f t="shared" si="28"/>
        <v>4.1631525335101317E-2</v>
      </c>
      <c r="S117" s="919">
        <f t="shared" si="29"/>
        <v>0</v>
      </c>
      <c r="T117" s="176">
        <f t="shared" si="30"/>
        <v>6</v>
      </c>
      <c r="U117" s="251">
        <f t="shared" si="31"/>
        <v>4.1631525335101317E-2</v>
      </c>
      <c r="V117" s="383">
        <f t="shared" si="32"/>
        <v>52.441510053495449</v>
      </c>
      <c r="W117" s="402"/>
      <c r="X117" s="157">
        <f t="shared" si="33"/>
        <v>44664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0.10573002899811879</v>
      </c>
      <c r="AD117" s="231">
        <f>(INDEX(Models!$BJ117:$BT117,,AH117)*(1-AF117)+INDEX(Models!$BJ117:$BT117,,AH117+1)*AF117-ERP_i)*AE117*Ramure*Pc/MaxiM</f>
        <v>3.0878171600426927E-4</v>
      </c>
      <c r="AE117" s="305">
        <f t="shared" si="38"/>
        <v>0.7</v>
      </c>
      <c r="AF117" s="177">
        <f t="shared" si="39"/>
        <v>4.1631525335101317E-2</v>
      </c>
      <c r="AG117" s="919">
        <f t="shared" si="47"/>
        <v>0</v>
      </c>
      <c r="AH117" s="176">
        <f t="shared" si="40"/>
        <v>6</v>
      </c>
      <c r="AI117" s="225">
        <f t="shared" si="41"/>
        <v>4.1631525335101317E-2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44665</v>
      </c>
      <c r="B118" s="618">
        <v>41.947000000000003</v>
      </c>
      <c r="C118" s="953"/>
      <c r="D118" s="393">
        <f t="shared" si="24"/>
        <v>43.274030916617122</v>
      </c>
      <c r="E118" s="385">
        <f t="shared" si="45"/>
        <v>45.760513038545348</v>
      </c>
      <c r="F118" s="385">
        <f t="shared" si="25"/>
        <v>45.770931309511028</v>
      </c>
      <c r="G118" s="110">
        <f t="shared" si="46"/>
        <v>0.79807857578060049</v>
      </c>
      <c r="H118" s="412" t="b">
        <f>Wh_hp&gt;='2021'!Maxi_hp</f>
        <v>0</v>
      </c>
      <c r="I118" s="380">
        <f>IF(H118,Wh_hp,'2021'!Maxi_hp)</f>
        <v>56.615625243922842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3.0665757002718785E-2</v>
      </c>
      <c r="M118" s="957"/>
      <c r="N118" s="957"/>
      <c r="O118" s="48">
        <f>IF(t&lt;Tnet,'2021'!Resal+('2021'!Salim-'2021'!Resal)*(1-EXP(('2021'!Tnet-t)/('2021'!Tau_j))),Resal+(Salim-Resal)*(1-EXP((Tnet-t)/(Tau_j))))*Salcycl</f>
        <v>5.4336849760268119E-2</v>
      </c>
      <c r="P118" s="339">
        <f>(INDEX(Models!$BJ118:$BT118,,T118)*(1-R118)+INDEX(Models!$BJ118:$BT118,,T118+1)*R118-ERP_i)*Q118*Ramure*Pc/MaxiM</f>
        <v>3.198467058224699E-4</v>
      </c>
      <c r="Q118" s="305">
        <f t="shared" si="27"/>
        <v>0.7</v>
      </c>
      <c r="R118" s="177">
        <f t="shared" si="28"/>
        <v>4.3250149214664892E-2</v>
      </c>
      <c r="S118" s="919">
        <f t="shared" si="29"/>
        <v>0</v>
      </c>
      <c r="T118" s="176">
        <f t="shared" si="30"/>
        <v>6</v>
      </c>
      <c r="U118" s="251">
        <f t="shared" si="31"/>
        <v>4.3250149214664892E-2</v>
      </c>
      <c r="V118" s="383">
        <f t="shared" si="32"/>
        <v>52.555138878640918</v>
      </c>
      <c r="W118" s="402"/>
      <c r="X118" s="157">
        <f t="shared" si="33"/>
        <v>44665</v>
      </c>
      <c r="Y118" s="385">
        <f t="shared" si="34"/>
        <v>39.660655685370045</v>
      </c>
      <c r="Z118" s="385">
        <f t="shared" si="35"/>
        <v>40.915356051732182</v>
      </c>
      <c r="AA118" s="386">
        <f t="shared" si="36"/>
        <v>45.760513038545348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0.10588074007675478</v>
      </c>
      <c r="AD118" s="231">
        <f>(INDEX(Models!$BJ118:$BT118,,AH118)*(1-AF118)+INDEX(Models!$BJ118:$BT118,,AH118+1)*AF118-ERP_i)*AE118*Ramure*Pc/MaxiM</f>
        <v>3.198467058224699E-4</v>
      </c>
      <c r="AE118" s="305">
        <f t="shared" si="38"/>
        <v>0.7</v>
      </c>
      <c r="AF118" s="177">
        <f t="shared" si="39"/>
        <v>4.3250149214664892E-2</v>
      </c>
      <c r="AG118" s="919">
        <f t="shared" si="47"/>
        <v>0</v>
      </c>
      <c r="AH118" s="176">
        <f t="shared" si="40"/>
        <v>6</v>
      </c>
      <c r="AI118" s="225">
        <f t="shared" si="41"/>
        <v>4.3250149214664892E-2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44666</v>
      </c>
      <c r="B119" s="618">
        <v>46.68</v>
      </c>
      <c r="C119" s="953"/>
      <c r="D119" s="393">
        <f t="shared" si="24"/>
        <v>48.157818390746691</v>
      </c>
      <c r="E119" s="385">
        <f t="shared" si="45"/>
        <v>50.936757037185195</v>
      </c>
      <c r="F119" s="385">
        <f t="shared" si="25"/>
        <v>50.950975652008921</v>
      </c>
      <c r="G119" s="110">
        <f t="shared" si="46"/>
        <v>0.88628923032918794</v>
      </c>
      <c r="H119" s="412" t="b">
        <f>Wh_hp&gt;='2021'!Maxi_hp</f>
        <v>0</v>
      </c>
      <c r="I119" s="380">
        <f>IF(H119,Wh_hp,'2021'!Maxi_hp)</f>
        <v>56.990205602590848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3.0686987910371166E-2</v>
      </c>
      <c r="M119" s="957"/>
      <c r="N119" s="957"/>
      <c r="O119" s="48">
        <f>IF(t&lt;Tnet,'2021'!Resal+('2021'!Salim-'2021'!Resal)*(1-EXP(('2021'!Tnet-t)/('2021'!Tau_j))),Resal+(Salim-Resal)*(1-EXP((Tnet-t)/(Tau_j))))*Salcycl</f>
        <v>5.4556646478490969E-2</v>
      </c>
      <c r="P119" s="339">
        <f>(INDEX(Models!$BJ119:$BT119,,T119)*(1-R119)+INDEX(Models!$BJ119:$BT119,,T119+1)*R119-ERP_i)*Q119*Ramure*Pc/MaxiM</f>
        <v>3.3316193969947254E-4</v>
      </c>
      <c r="Q119" s="305">
        <f t="shared" si="27"/>
        <v>0.7</v>
      </c>
      <c r="R119" s="177">
        <f t="shared" si="28"/>
        <v>4.4924566524196394E-2</v>
      </c>
      <c r="S119" s="919">
        <f t="shared" si="29"/>
        <v>0</v>
      </c>
      <c r="T119" s="176">
        <f t="shared" si="30"/>
        <v>6</v>
      </c>
      <c r="U119" s="251">
        <f t="shared" si="31"/>
        <v>4.4924566524196394E-2</v>
      </c>
      <c r="V119" s="383">
        <f t="shared" si="32"/>
        <v>52.666186652208445</v>
      </c>
      <c r="W119" s="402"/>
      <c r="X119" s="157">
        <f t="shared" si="33"/>
        <v>44666</v>
      </c>
      <c r="Y119" s="385">
        <f t="shared" si="34"/>
        <v>44.138437888973556</v>
      </c>
      <c r="Z119" s="385">
        <f t="shared" si="35"/>
        <v>45.535794256821795</v>
      </c>
      <c r="AA119" s="386">
        <f t="shared" si="36"/>
        <v>50.936757037185195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0.10603271771739518</v>
      </c>
      <c r="AD119" s="231">
        <f>(INDEX(Models!$BJ119:$BT119,,AH119)*(1-AF119)+INDEX(Models!$BJ119:$BT119,,AH119+1)*AF119-ERP_i)*AE119*Ramure*Pc/MaxiM</f>
        <v>3.3316193969947254E-4</v>
      </c>
      <c r="AE119" s="305">
        <f t="shared" si="38"/>
        <v>0.7</v>
      </c>
      <c r="AF119" s="177">
        <f t="shared" si="39"/>
        <v>4.4924566524196394E-2</v>
      </c>
      <c r="AG119" s="919">
        <f t="shared" si="47"/>
        <v>0</v>
      </c>
      <c r="AH119" s="176">
        <f t="shared" si="40"/>
        <v>6</v>
      </c>
      <c r="AI119" s="225">
        <f t="shared" si="41"/>
        <v>4.4924566524196394E-2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44667</v>
      </c>
      <c r="B120" s="618">
        <v>41.994</v>
      </c>
      <c r="C120" s="953"/>
      <c r="D120" s="393">
        <f t="shared" si="24"/>
        <v>43.324415614713267</v>
      </c>
      <c r="E120" s="385">
        <f t="shared" si="45"/>
        <v>45.835124618631603</v>
      </c>
      <c r="F120" s="385">
        <f t="shared" si="25"/>
        <v>45.846447298212112</v>
      </c>
      <c r="G120" s="110">
        <f t="shared" si="46"/>
        <v>0.79563447087671579</v>
      </c>
      <c r="H120" s="412" t="b">
        <f>Wh_hp&gt;='2021'!Maxi_hp</f>
        <v>0</v>
      </c>
      <c r="I120" s="380">
        <f>IF(H120,Wh_hp,'2021'!Maxi_hp)</f>
        <v>53.394011325702145</v>
      </c>
      <c r="J120" s="85">
        <f>IF(H120,An,'2021'!An_max)</f>
        <v>2020</v>
      </c>
      <c r="K120" s="197">
        <f t="shared" si="26"/>
        <v>44667</v>
      </c>
      <c r="L120" s="147">
        <f>IF(t&lt;Tvie,1-EXP((T0-t)*PertePVj)+'2021'!Pspv,1-EXP((T0-t)*PertePVj)+Pspv)</f>
        <v>3.0708218353012184E-2</v>
      </c>
      <c r="M120" s="957"/>
      <c r="N120" s="957"/>
      <c r="O120" s="48">
        <f>IF(t&lt;Tnet,'2021'!Resal+('2021'!Salim-'2021'!Resal)*(1-EXP(('2021'!Tnet-t)/('2021'!Tau_j))),Resal+(Salim-Resal)*(1-EXP((Tnet-t)/(Tau_j))))*Salcycl</f>
        <v>5.4776964714474706E-2</v>
      </c>
      <c r="P120" s="339">
        <f>(INDEX(Models!$BJ120:$BT120,,T120)*(1-R120)+INDEX(Models!$BJ120:$BT120,,T120+1)*R120-ERP_i)*Q120*Ramure*Pc/MaxiM</f>
        <v>3.4874588569114317E-4</v>
      </c>
      <c r="Q120" s="305">
        <f t="shared" si="27"/>
        <v>0.7</v>
      </c>
      <c r="R120" s="177">
        <f t="shared" si="28"/>
        <v>4.6656224497838787E-2</v>
      </c>
      <c r="S120" s="919">
        <f t="shared" si="29"/>
        <v>0</v>
      </c>
      <c r="T120" s="176">
        <f t="shared" si="30"/>
        <v>6</v>
      </c>
      <c r="U120" s="251">
        <f t="shared" si="31"/>
        <v>4.6656224497838787E-2</v>
      </c>
      <c r="V120" s="383">
        <f t="shared" si="32"/>
        <v>52.775145482752826</v>
      </c>
      <c r="W120" s="402"/>
      <c r="X120" s="157">
        <f t="shared" si="33"/>
        <v>44667</v>
      </c>
      <c r="Y120" s="385">
        <f t="shared" si="34"/>
        <v>39.710020057831237</v>
      </c>
      <c r="Z120" s="385">
        <f t="shared" si="35"/>
        <v>40.968076702721355</v>
      </c>
      <c r="AA120" s="386">
        <f t="shared" si="36"/>
        <v>45.835124618631603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0.10618598632394324</v>
      </c>
      <c r="AD120" s="231">
        <f>(INDEX(Models!$BJ120:$BT120,,AH120)*(1-AF120)+INDEX(Models!$BJ120:$BT120,,AH120+1)*AF120-ERP_i)*AE120*Ramure*Pc/MaxiM</f>
        <v>3.4874588569114317E-4</v>
      </c>
      <c r="AE120" s="305">
        <f t="shared" si="38"/>
        <v>0.7</v>
      </c>
      <c r="AF120" s="177">
        <f t="shared" si="39"/>
        <v>4.6656224497838787E-2</v>
      </c>
      <c r="AG120" s="919">
        <f t="shared" si="47"/>
        <v>0</v>
      </c>
      <c r="AH120" s="176">
        <f t="shared" si="40"/>
        <v>6</v>
      </c>
      <c r="AI120" s="225">
        <f t="shared" si="41"/>
        <v>4.6656224497838787E-2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44668</v>
      </c>
      <c r="B121" s="618">
        <v>53.021999999999998</v>
      </c>
      <c r="C121" s="953"/>
      <c r="D121" s="393">
        <f t="shared" si="24"/>
        <v>54.702992790487308</v>
      </c>
      <c r="E121" s="385">
        <f t="shared" si="45"/>
        <v>57.886631442377791</v>
      </c>
      <c r="F121" s="385">
        <f t="shared" si="25"/>
        <v>57.9078619929616</v>
      </c>
      <c r="G121" s="110">
        <f t="shared" si="46"/>
        <v>1.002657118657535</v>
      </c>
      <c r="H121" s="412" t="b">
        <f>Wh_hp&gt;='2021'!Maxi_hp</f>
        <v>1</v>
      </c>
      <c r="I121" s="380">
        <f>IF(H121,Wh_hp,'2021'!Maxi_hp)</f>
        <v>57.9078619929616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3.0729448330652054E-2</v>
      </c>
      <c r="M121" s="957"/>
      <c r="N121" s="957"/>
      <c r="O121" s="48">
        <f>IF(t&lt;Tnet,'2021'!Resal+('2021'!Salim-'2021'!Resal)*(1-EXP(('2021'!Tnet-t)/('2021'!Tau_j))),Resal+(Salim-Resal)*(1-EXP((Tnet-t)/(Tau_j))))*Salcycl</f>
        <v>5.4997821993832546E-2</v>
      </c>
      <c r="P121" s="339">
        <f>(INDEX(Models!$BJ121:$BT121,,T121)*(1-R121)+INDEX(Models!$BJ121:$BT121,,T121+1)*R121-ERP_i)*Q121*Ramure*Pc/MaxiM</f>
        <v>3.6662639325884698E-4</v>
      </c>
      <c r="Q121" s="305">
        <f t="shared" si="27"/>
        <v>0.7</v>
      </c>
      <c r="R121" s="177">
        <f t="shared" si="28"/>
        <v>4.8446571032515574E-2</v>
      </c>
      <c r="S121" s="919">
        <f t="shared" si="29"/>
        <v>0</v>
      </c>
      <c r="T121" s="176">
        <f t="shared" si="30"/>
        <v>6</v>
      </c>
      <c r="U121" s="251">
        <f t="shared" si="31"/>
        <v>4.8446571032515574E-2</v>
      </c>
      <c r="V121" s="383">
        <f t="shared" si="32"/>
        <v>52.88148761262628</v>
      </c>
      <c r="W121" s="402"/>
      <c r="X121" s="157">
        <f t="shared" si="33"/>
        <v>44668</v>
      </c>
      <c r="Y121" s="385">
        <f t="shared" si="34"/>
        <v>50.141271073966657</v>
      </c>
      <c r="Z121" s="385">
        <f t="shared" si="35"/>
        <v>51.730934141772622</v>
      </c>
      <c r="AA121" s="386">
        <f t="shared" si="36"/>
        <v>57.886631442377791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0.10634056857726722</v>
      </c>
      <c r="AD121" s="231">
        <f>(INDEX(Models!$BJ121:$BT121,,AH121)*(1-AF121)+INDEX(Models!$BJ121:$BT121,,AH121+1)*AF121-ERP_i)*AE121*Ramure*Pc/MaxiM</f>
        <v>3.6662639325884698E-4</v>
      </c>
      <c r="AE121" s="305">
        <f t="shared" si="38"/>
        <v>0.7</v>
      </c>
      <c r="AF121" s="177">
        <f t="shared" si="39"/>
        <v>4.8446571032515574E-2</v>
      </c>
      <c r="AG121" s="919">
        <f t="shared" si="47"/>
        <v>0</v>
      </c>
      <c r="AH121" s="176">
        <f t="shared" si="40"/>
        <v>6</v>
      </c>
      <c r="AI121" s="225">
        <f t="shared" si="41"/>
        <v>4.8446571032515574E-2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44669</v>
      </c>
      <c r="B122" s="618">
        <v>37.804000000000002</v>
      </c>
      <c r="C122" s="953"/>
      <c r="D122" s="393">
        <f t="shared" si="24"/>
        <v>39.003380385019462</v>
      </c>
      <c r="E122" s="385">
        <f t="shared" si="45"/>
        <v>41.282995832554036</v>
      </c>
      <c r="F122" s="385">
        <f t="shared" si="25"/>
        <v>41.292467000129157</v>
      </c>
      <c r="G122" s="110">
        <f t="shared" si="46"/>
        <v>0.71338211256550055</v>
      </c>
      <c r="H122" s="412" t="b">
        <f>Wh_hp&gt;='2021'!Maxi_hp</f>
        <v>0</v>
      </c>
      <c r="I122" s="380">
        <f>IF(H122,Wh_hp,'2021'!Maxi_hp)</f>
        <v>42.269665111428111</v>
      </c>
      <c r="J122" s="85">
        <f>IF(H122,An,'2021'!An_max)</f>
        <v>2021</v>
      </c>
      <c r="K122" s="197">
        <f t="shared" si="26"/>
        <v>44669</v>
      </c>
      <c r="L122" s="147">
        <f>IF(t&lt;Tvie,1-EXP((T0-t)*PertePVj)+'2021'!Pspv,1-EXP((T0-t)*PertePVj)+Pspv)</f>
        <v>3.0750677843300989E-2</v>
      </c>
      <c r="M122" s="957"/>
      <c r="N122" s="957"/>
      <c r="O122" s="48">
        <f>IF(t&lt;Tnet,'2021'!Resal+('2021'!Salim-'2021'!Resal)*(1-EXP(('2021'!Tnet-t)/('2021'!Tau_j))),Resal+(Salim-Resal)*(1-EXP((Tnet-t)/(Tau_j))))*Salcycl</f>
        <v>5.521923497947713E-2</v>
      </c>
      <c r="P122" s="339">
        <f>(INDEX(Models!$BJ122:$BT122,,T122)*(1-R122)+INDEX(Models!$BJ122:$BT122,,T122+1)*R122-ERP_i)*Q122*Ramure*Pc/MaxiM</f>
        <v>3.8829331184233023E-4</v>
      </c>
      <c r="Q122" s="305">
        <f t="shared" si="27"/>
        <v>0.7</v>
      </c>
      <c r="R122" s="177">
        <f t="shared" si="28"/>
        <v>5.0297051355238487E-2</v>
      </c>
      <c r="S122" s="919">
        <f t="shared" si="29"/>
        <v>0</v>
      </c>
      <c r="T122" s="176">
        <f t="shared" si="30"/>
        <v>6</v>
      </c>
      <c r="U122" s="251">
        <f t="shared" si="31"/>
        <v>5.0297051355238487E-2</v>
      </c>
      <c r="V122" s="383">
        <f t="shared" si="32"/>
        <v>52.984214126809619</v>
      </c>
      <c r="W122" s="402"/>
      <c r="X122" s="157">
        <f t="shared" si="33"/>
        <v>44669</v>
      </c>
      <c r="Y122" s="385">
        <f t="shared" si="34"/>
        <v>35.752216935891987</v>
      </c>
      <c r="Z122" s="385">
        <f t="shared" si="35"/>
        <v>36.886501871715424</v>
      </c>
      <c r="AA122" s="386">
        <f t="shared" si="36"/>
        <v>41.282995832554036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0.10649648534885933</v>
      </c>
      <c r="AD122" s="231">
        <f>(INDEX(Models!$BJ122:$BT122,,AH122)*(1-AF122)+INDEX(Models!$BJ122:$BT122,,AH122+1)*AF122-ERP_i)*AE122*Ramure*Pc/MaxiM</f>
        <v>3.8829331184233023E-4</v>
      </c>
      <c r="AE122" s="305">
        <f t="shared" si="38"/>
        <v>0.7</v>
      </c>
      <c r="AF122" s="177">
        <f t="shared" si="39"/>
        <v>5.0297051355238487E-2</v>
      </c>
      <c r="AG122" s="919">
        <f t="shared" si="47"/>
        <v>0</v>
      </c>
      <c r="AH122" s="176">
        <f t="shared" si="40"/>
        <v>6</v>
      </c>
      <c r="AI122" s="225">
        <f t="shared" si="41"/>
        <v>5.0297051355238487E-2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44670</v>
      </c>
      <c r="B123" s="618">
        <v>9.048</v>
      </c>
      <c r="C123" s="953"/>
      <c r="D123" s="393">
        <f t="shared" si="24"/>
        <v>9.3352638706296425</v>
      </c>
      <c r="E123" s="385">
        <f t="shared" si="45"/>
        <v>9.8832005614533109</v>
      </c>
      <c r="F123" s="385">
        <f t="shared" si="25"/>
        <v>9.8832005614533109</v>
      </c>
      <c r="G123" s="110">
        <f t="shared" si="46"/>
        <v>0.17037879824053326</v>
      </c>
      <c r="H123" s="412" t="b">
        <f>Wh_hp&gt;='2021'!Maxi_hp</f>
        <v>0</v>
      </c>
      <c r="I123" s="380">
        <f>IF(H123,Wh_hp,'2021'!Maxi_hp)</f>
        <v>56.035337326864806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3.0771906890968981E-2</v>
      </c>
      <c r="M123" s="957"/>
      <c r="N123" s="957"/>
      <c r="O123" s="48">
        <f>IF(t&lt;Tnet,'2021'!Resal+('2021'!Salim-'2021'!Resal)*(1-EXP(('2021'!Tnet-t)/('2021'!Tau_j))),Resal+(Salim-Resal)*(1-EXP((Tnet-t)/(Tau_j))))*Salcycl</f>
        <v>5.5441219412337345E-2</v>
      </c>
      <c r="P123" s="339">
        <f>(INDEX(Models!$BJ123:$BT123,,T123)*(1-R123)+INDEX(Models!$BJ123:$BT123,,T123+1)*R123-ERP_i)*Q123*Ramure*Pc/MaxiM</f>
        <v>4.1309461253162712E-4</v>
      </c>
      <c r="Q123" s="305">
        <f t="shared" si="27"/>
        <v>0.7</v>
      </c>
      <c r="R123" s="177">
        <f t="shared" si="28"/>
        <v>5.2209104439875344E-2</v>
      </c>
      <c r="S123" s="919">
        <f t="shared" si="29"/>
        <v>0</v>
      </c>
      <c r="T123" s="176">
        <f t="shared" si="30"/>
        <v>6</v>
      </c>
      <c r="U123" s="251">
        <f t="shared" si="31"/>
        <v>5.2209104439875344E-2</v>
      </c>
      <c r="V123" s="383">
        <f t="shared" si="32"/>
        <v>53.083261610857967</v>
      </c>
      <c r="W123" s="402"/>
      <c r="X123" s="157">
        <f t="shared" si="33"/>
        <v>44670</v>
      </c>
      <c r="Y123" s="385">
        <f t="shared" si="34"/>
        <v>8.5574312423429806</v>
      </c>
      <c r="Z123" s="385">
        <f t="shared" si="35"/>
        <v>8.8291201041160203</v>
      </c>
      <c r="AA123" s="386">
        <f t="shared" si="36"/>
        <v>9.8832005614533109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0.10665375561115688</v>
      </c>
      <c r="AD123" s="231">
        <f>(INDEX(Models!$BJ123:$BT123,,AH123)*(1-AF123)+INDEX(Models!$BJ123:$BT123,,AH123+1)*AF123-ERP_i)*AE123*Ramure*Pc/MaxiM</f>
        <v>4.1309461253162712E-4</v>
      </c>
      <c r="AE123" s="305">
        <f t="shared" si="38"/>
        <v>0.7</v>
      </c>
      <c r="AF123" s="177">
        <f t="shared" si="39"/>
        <v>5.2209104439875344E-2</v>
      </c>
      <c r="AG123" s="919">
        <f t="shared" si="47"/>
        <v>0</v>
      </c>
      <c r="AH123" s="176">
        <f t="shared" si="40"/>
        <v>6</v>
      </c>
      <c r="AI123" s="225">
        <f t="shared" si="41"/>
        <v>5.2209104439875344E-2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44671</v>
      </c>
      <c r="B124" s="618">
        <v>10.207000000000001</v>
      </c>
      <c r="C124" s="953"/>
      <c r="D124" s="393">
        <f t="shared" si="24"/>
        <v>10.53129148542331</v>
      </c>
      <c r="E124" s="385">
        <f t="shared" si="45"/>
        <v>11.152057259329048</v>
      </c>
      <c r="F124" s="385">
        <f t="shared" si="25"/>
        <v>11.152057259329048</v>
      </c>
      <c r="G124" s="110">
        <f t="shared" si="46"/>
        <v>0.19185370358130177</v>
      </c>
      <c r="H124" s="412" t="b">
        <f>Wh_hp&gt;='2021'!Maxi_hp</f>
        <v>0</v>
      </c>
      <c r="I124" s="380">
        <f>IF(H124,Wh_hp,'2021'!Maxi_hp)</f>
        <v>54.638540839726012</v>
      </c>
      <c r="J124" s="85">
        <f>IF(H124,An,'2021'!An_max)</f>
        <v>2019</v>
      </c>
      <c r="K124" s="197">
        <f t="shared" si="26"/>
        <v>44671</v>
      </c>
      <c r="L124" s="147">
        <f>IF(t&lt;Tvie,1-EXP((T0-t)*PertePVj)+'2021'!Pspv,1-EXP((T0-t)*PertePVj)+Pspv)</f>
        <v>3.0793135473666355E-2</v>
      </c>
      <c r="M124" s="957"/>
      <c r="N124" s="957"/>
      <c r="O124" s="48">
        <f>IF(t&lt;Tnet,'2021'!Resal+('2021'!Salim-'2021'!Resal)*(1-EXP(('2021'!Tnet-t)/('2021'!Tau_j))),Resal+(Salim-Resal)*(1-EXP((Tnet-t)/(Tau_j))))*Salcycl</f>
        <v>5.5663790049719095E-2</v>
      </c>
      <c r="P124" s="339">
        <f>(INDEX(Models!$BJ124:$BT124,,T124)*(1-R124)+INDEX(Models!$BJ124:$BT124,,T124+1)*R124-ERP_i)*Q124*Ramure*Pc/MaxiM</f>
        <v>4.4107257882696654E-4</v>
      </c>
      <c r="Q124" s="305">
        <f t="shared" si="27"/>
        <v>0.7</v>
      </c>
      <c r="R124" s="177">
        <f t="shared" si="28"/>
        <v>5.4184159168544556E-2</v>
      </c>
      <c r="S124" s="919">
        <f t="shared" si="29"/>
        <v>0</v>
      </c>
      <c r="T124" s="176">
        <f t="shared" si="30"/>
        <v>6</v>
      </c>
      <c r="U124" s="251">
        <f t="shared" si="31"/>
        <v>5.4184159168544556E-2</v>
      </c>
      <c r="V124" s="383">
        <f t="shared" si="32"/>
        <v>53.17853021202901</v>
      </c>
      <c r="W124" s="402"/>
      <c r="X124" s="157">
        <f t="shared" si="33"/>
        <v>44671</v>
      </c>
      <c r="Y124" s="385">
        <f t="shared" si="34"/>
        <v>9.6541525935900854</v>
      </c>
      <c r="Z124" s="385">
        <f t="shared" si="35"/>
        <v>9.9608792992899602</v>
      </c>
      <c r="AA124" s="386">
        <f t="shared" si="36"/>
        <v>11.152057259329048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0.10681239634441708</v>
      </c>
      <c r="AD124" s="231">
        <f>(INDEX(Models!$BJ124:$BT124,,AH124)*(1-AF124)+INDEX(Models!$BJ124:$BT124,,AH124+1)*AF124-ERP_i)*AE124*Ramure*Pc/MaxiM</f>
        <v>4.4107257882696654E-4</v>
      </c>
      <c r="AE124" s="305">
        <f t="shared" si="38"/>
        <v>0.7</v>
      </c>
      <c r="AF124" s="177">
        <f t="shared" si="39"/>
        <v>5.4184159168544556E-2</v>
      </c>
      <c r="AG124" s="919">
        <f t="shared" si="47"/>
        <v>0</v>
      </c>
      <c r="AH124" s="176">
        <f t="shared" si="40"/>
        <v>6</v>
      </c>
      <c r="AI124" s="225">
        <f t="shared" si="41"/>
        <v>5.4184159168544556E-2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44672</v>
      </c>
      <c r="B125" s="618">
        <v>9.2170000000000005</v>
      </c>
      <c r="C125" s="953"/>
      <c r="D125" s="393">
        <f t="shared" si="24"/>
        <v>9.5100460156987179</v>
      </c>
      <c r="E125" s="385">
        <f t="shared" si="45"/>
        <v>10.072995095751898</v>
      </c>
      <c r="F125" s="385">
        <f t="shared" si="25"/>
        <v>10.072995095751898</v>
      </c>
      <c r="G125" s="110">
        <f t="shared" si="46"/>
        <v>0.17294276092258862</v>
      </c>
      <c r="H125" s="412" t="b">
        <f>Wh_hp&gt;='2021'!Maxi_hp</f>
        <v>0</v>
      </c>
      <c r="I125" s="380">
        <f>IF(H125,Wh_hp,'2021'!Maxi_hp)</f>
        <v>49.293646269634195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3.0814363591403326E-2</v>
      </c>
      <c r="M125" s="957"/>
      <c r="N125" s="957"/>
      <c r="O125" s="48">
        <f>IF(t&lt;Tnet,'2021'!Resal+('2021'!Salim-'2021'!Resal)*(1-EXP(('2021'!Tnet-t)/('2021'!Tau_j))),Resal+(Salim-Resal)*(1-EXP((Tnet-t)/(Tau_j))))*Salcycl</f>
        <v>5.5886960601280775E-2</v>
      </c>
      <c r="P125" s="339">
        <f>(INDEX(Models!$BJ125:$BT125,,T125)*(1-R125)+INDEX(Models!$BJ125:$BT125,,T125+1)*R125-ERP_i)*Q125*Ramure*Pc/MaxiM</f>
        <v>4.7227536118602431E-4</v>
      </c>
      <c r="Q125" s="305">
        <f t="shared" si="27"/>
        <v>0.7</v>
      </c>
      <c r="R125" s="177">
        <f t="shared" si="28"/>
        <v>5.6223630234017621E-2</v>
      </c>
      <c r="S125" s="919">
        <f t="shared" si="29"/>
        <v>0</v>
      </c>
      <c r="T125" s="176">
        <f t="shared" si="30"/>
        <v>6</v>
      </c>
      <c r="U125" s="251">
        <f t="shared" si="31"/>
        <v>5.6223630234017621E-2</v>
      </c>
      <c r="V125" s="383">
        <f t="shared" si="32"/>
        <v>53.269919994625546</v>
      </c>
      <c r="W125" s="402"/>
      <c r="X125" s="157">
        <f t="shared" si="33"/>
        <v>44672</v>
      </c>
      <c r="Y125" s="385">
        <f t="shared" si="34"/>
        <v>8.7182729597839401</v>
      </c>
      <c r="Z125" s="385">
        <f t="shared" si="35"/>
        <v>8.9954624091317257</v>
      </c>
      <c r="AA125" s="386">
        <f t="shared" si="36"/>
        <v>10.072995095751898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0.1069724224401342</v>
      </c>
      <c r="AD125" s="231">
        <f>(INDEX(Models!$BJ125:$BT125,,AH125)*(1-AF125)+INDEX(Models!$BJ125:$BT125,,AH125+1)*AF125-ERP_i)*AE125*Ramure*Pc/MaxiM</f>
        <v>4.7227536118602431E-4</v>
      </c>
      <c r="AE125" s="305">
        <f t="shared" si="38"/>
        <v>0.7</v>
      </c>
      <c r="AF125" s="177">
        <f t="shared" si="39"/>
        <v>5.6223630234017621E-2</v>
      </c>
      <c r="AG125" s="919">
        <f t="shared" si="47"/>
        <v>0</v>
      </c>
      <c r="AH125" s="176">
        <f t="shared" si="40"/>
        <v>6</v>
      </c>
      <c r="AI125" s="225">
        <f t="shared" si="41"/>
        <v>5.6223630234017621E-2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44673</v>
      </c>
      <c r="B126" s="618">
        <v>27.864000000000001</v>
      </c>
      <c r="C126" s="953"/>
      <c r="D126" s="393">
        <f t="shared" si="24"/>
        <v>28.750539896291837</v>
      </c>
      <c r="E126" s="385">
        <f t="shared" si="45"/>
        <v>30.459653718122436</v>
      </c>
      <c r="F126" s="385">
        <f t="shared" si="25"/>
        <v>30.464554543362727</v>
      </c>
      <c r="G126" s="110">
        <f t="shared" si="46"/>
        <v>0.5220343700204686</v>
      </c>
      <c r="H126" s="412" t="b">
        <f>Wh_hp&gt;='2021'!Maxi_hp</f>
        <v>0</v>
      </c>
      <c r="I126" s="380">
        <f>IF(H126,Wh_hp,'2021'!Maxi_hp)</f>
        <v>60.094501166563738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3.0835591244190108E-2</v>
      </c>
      <c r="M126" s="957"/>
      <c r="N126" s="957"/>
      <c r="O126" s="48">
        <f>IF(t&lt;Tnet,'2021'!Resal+('2021'!Salim-'2021'!Resal)*(1-EXP(('2021'!Tnet-t)/('2021'!Tau_j))),Resal+(Salim-Resal)*(1-EXP((Tnet-t)/(Tau_j))))*Salcycl</f>
        <v>5.6110743662648253E-2</v>
      </c>
      <c r="P126" s="339">
        <f>(INDEX(Models!$BJ126:$BT126,,T126)*(1-R126)+INDEX(Models!$BJ126:$BT126,,T126+1)*R126-ERP_i)*Q126*Ramure*Pc/MaxiM</f>
        <v>5.0675611905042167E-4</v>
      </c>
      <c r="Q126" s="305">
        <f t="shared" si="27"/>
        <v>0.7</v>
      </c>
      <c r="R126" s="177">
        <f t="shared" si="28"/>
        <v>5.8328913780900077E-2</v>
      </c>
      <c r="S126" s="919">
        <f t="shared" si="29"/>
        <v>0</v>
      </c>
      <c r="T126" s="176">
        <f t="shared" si="30"/>
        <v>6</v>
      </c>
      <c r="U126" s="251">
        <f t="shared" si="31"/>
        <v>5.8328913780900077E-2</v>
      </c>
      <c r="V126" s="383">
        <f t="shared" si="32"/>
        <v>53.357330994152989</v>
      </c>
      <c r="W126" s="402"/>
      <c r="X126" s="157">
        <f t="shared" si="33"/>
        <v>44673</v>
      </c>
      <c r="Y126" s="385">
        <f t="shared" si="34"/>
        <v>26.357776965113921</v>
      </c>
      <c r="Z126" s="385">
        <f t="shared" si="35"/>
        <v>27.196393849162707</v>
      </c>
      <c r="AA126" s="386">
        <f t="shared" si="36"/>
        <v>30.459653718122436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0.10713384660109261</v>
      </c>
      <c r="AD126" s="231">
        <f>(INDEX(Models!$BJ126:$BT126,,AH126)*(1-AF126)+INDEX(Models!$BJ126:$BT126,,AH126+1)*AF126-ERP_i)*AE126*Ramure*Pc/MaxiM</f>
        <v>5.0675611905042167E-4</v>
      </c>
      <c r="AE126" s="305">
        <f t="shared" si="38"/>
        <v>0.7</v>
      </c>
      <c r="AF126" s="177">
        <f t="shared" si="39"/>
        <v>5.8328913780900077E-2</v>
      </c>
      <c r="AG126" s="919">
        <f t="shared" si="47"/>
        <v>0</v>
      </c>
      <c r="AH126" s="176">
        <f t="shared" si="40"/>
        <v>6</v>
      </c>
      <c r="AI126" s="225">
        <f t="shared" si="41"/>
        <v>5.8328913780900077E-2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44674</v>
      </c>
      <c r="B127" s="618">
        <v>9.5730000000000004</v>
      </c>
      <c r="C127" s="953"/>
      <c r="D127" s="393">
        <f t="shared" si="24"/>
        <v>9.8777974009082712</v>
      </c>
      <c r="E127" s="385">
        <f t="shared" si="45"/>
        <v>10.467484730069309</v>
      </c>
      <c r="F127" s="385">
        <f t="shared" si="25"/>
        <v>10.467484730069309</v>
      </c>
      <c r="G127" s="110">
        <f t="shared" si="46"/>
        <v>0.17903570476142133</v>
      </c>
      <c r="H127" s="412" t="b">
        <f>Wh_hp&gt;='2021'!Maxi_hp</f>
        <v>0</v>
      </c>
      <c r="I127" s="380">
        <f>IF(H127,Wh_hp,'2021'!Maxi_hp)</f>
        <v>60.511949341362161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3.0856818432036692E-2</v>
      </c>
      <c r="M127" s="957"/>
      <c r="N127" s="957"/>
      <c r="O127" s="48">
        <f>IF(t&lt;Tnet,'2021'!Resal+('2021'!Salim-'2021'!Resal)*(1-EXP(('2021'!Tnet-t)/('2021'!Tau_j))),Resal+(Salim-Resal)*(1-EXP((Tnet-t)/(Tau_j))))*Salcycl</f>
        <v>5.6335150646752631E-2</v>
      </c>
      <c r="P127" s="339">
        <f>(INDEX(Models!$BJ127:$BT127,,T127)*(1-R127)+INDEX(Models!$BJ127:$BT127,,T127+1)*R127-ERP_i)*Q127*Ramure*Pc/MaxiM</f>
        <v>5.4457161014568277E-4</v>
      </c>
      <c r="Q127" s="305">
        <f t="shared" si="27"/>
        <v>0.7</v>
      </c>
      <c r="R127" s="177">
        <f t="shared" si="28"/>
        <v>6.0501382784933465E-2</v>
      </c>
      <c r="S127" s="919">
        <f t="shared" si="29"/>
        <v>0</v>
      </c>
      <c r="T127" s="176">
        <f t="shared" si="30"/>
        <v>6</v>
      </c>
      <c r="U127" s="251">
        <f t="shared" si="31"/>
        <v>6.0501382784933465E-2</v>
      </c>
      <c r="V127" s="383">
        <f t="shared" si="32"/>
        <v>53.440663295211863</v>
      </c>
      <c r="W127" s="402"/>
      <c r="X127" s="157">
        <f t="shared" si="33"/>
        <v>44674</v>
      </c>
      <c r="Y127" s="385">
        <f t="shared" si="34"/>
        <v>9.0560212087047454</v>
      </c>
      <c r="Z127" s="385">
        <f t="shared" si="35"/>
        <v>9.3443583785557198</v>
      </c>
      <c r="AA127" s="386">
        <f t="shared" si="36"/>
        <v>10.467484730069309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0.10729667923825592</v>
      </c>
      <c r="AD127" s="231">
        <f>(INDEX(Models!$BJ127:$BT127,,AH127)*(1-AF127)+INDEX(Models!$BJ127:$BT127,,AH127+1)*AF127-ERP_i)*AE127*Ramure*Pc/MaxiM</f>
        <v>5.4457161014568277E-4</v>
      </c>
      <c r="AE127" s="305">
        <f t="shared" si="38"/>
        <v>0.7</v>
      </c>
      <c r="AF127" s="177">
        <f t="shared" si="39"/>
        <v>6.0501382784933465E-2</v>
      </c>
      <c r="AG127" s="919">
        <f t="shared" si="47"/>
        <v>0</v>
      </c>
      <c r="AH127" s="176">
        <f t="shared" si="40"/>
        <v>6</v>
      </c>
      <c r="AI127" s="225">
        <f t="shared" si="41"/>
        <v>6.0501382784933465E-2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44675</v>
      </c>
      <c r="B128" s="618">
        <v>24.603999999999999</v>
      </c>
      <c r="C128" s="953"/>
      <c r="D128" s="393">
        <f t="shared" si="24"/>
        <v>25.387929637745074</v>
      </c>
      <c r="E128" s="385">
        <f t="shared" si="45"/>
        <v>26.909962262290765</v>
      </c>
      <c r="F128" s="385">
        <f t="shared" si="25"/>
        <v>26.913564475915901</v>
      </c>
      <c r="G128" s="110">
        <f t="shared" si="46"/>
        <v>0.45950977367854801</v>
      </c>
      <c r="H128" s="412" t="b">
        <f>Wh_hp&gt;='2021'!Maxi_hp</f>
        <v>0</v>
      </c>
      <c r="I128" s="380">
        <f>IF(H128,Wh_hp,'2021'!Maxi_hp)</f>
        <v>59.112989516648078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3.0878045154953515E-2</v>
      </c>
      <c r="M128" s="957"/>
      <c r="N128" s="957"/>
      <c r="O128" s="48">
        <f>IF(t&lt;Tnet,'2021'!Resal+('2021'!Salim-'2021'!Resal)*(1-EXP(('2021'!Tnet-t)/('2021'!Tau_j))),Resal+(Salim-Resal)*(1-EXP((Tnet-t)/(Tau_j))))*Salcycl</f>
        <v>5.6560191713034461E-2</v>
      </c>
      <c r="P128" s="339">
        <f>(INDEX(Models!$BJ128:$BT128,,T128)*(1-R128)+INDEX(Models!$BJ128:$BT128,,T128+1)*R128-ERP_i)*Q128*Ramure*Pc/MaxiM</f>
        <v>5.8660070249468975E-4</v>
      </c>
      <c r="Q128" s="305">
        <f t="shared" si="27"/>
        <v>0.7</v>
      </c>
      <c r="R128" s="177">
        <f t="shared" si="28"/>
        <v>6.2742382171514968E-2</v>
      </c>
      <c r="S128" s="919">
        <f t="shared" si="29"/>
        <v>0</v>
      </c>
      <c r="T128" s="176">
        <f t="shared" si="30"/>
        <v>6</v>
      </c>
      <c r="U128" s="251">
        <f t="shared" si="31"/>
        <v>6.2742382171514968E-2</v>
      </c>
      <c r="V128" s="383">
        <f t="shared" si="32"/>
        <v>53.519773216182053</v>
      </c>
      <c r="W128" s="402"/>
      <c r="X128" s="157">
        <f t="shared" si="33"/>
        <v>44675</v>
      </c>
      <c r="Y128" s="385">
        <f t="shared" si="34"/>
        <v>23.276557895501469</v>
      </c>
      <c r="Z128" s="385">
        <f t="shared" si="35"/>
        <v>24.018192735323154</v>
      </c>
      <c r="AA128" s="386">
        <f t="shared" si="36"/>
        <v>26.909962262290765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0.10746092836480418</v>
      </c>
      <c r="AD128" s="231">
        <f>(INDEX(Models!$BJ128:$BT128,,AH128)*(1-AF128)+INDEX(Models!$BJ128:$BT128,,AH128+1)*AF128-ERP_i)*AE128*Ramure*Pc/MaxiM</f>
        <v>5.8660070249468975E-4</v>
      </c>
      <c r="AE128" s="305">
        <f t="shared" si="38"/>
        <v>0.7</v>
      </c>
      <c r="AF128" s="177">
        <f t="shared" si="39"/>
        <v>6.2742382171514968E-2</v>
      </c>
      <c r="AG128" s="919">
        <f t="shared" si="47"/>
        <v>0</v>
      </c>
      <c r="AH128" s="176">
        <f t="shared" si="40"/>
        <v>6</v>
      </c>
      <c r="AI128" s="225">
        <f t="shared" si="41"/>
        <v>6.2742382171514968E-2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44676</v>
      </c>
      <c r="B129" s="618">
        <v>46.657000000000004</v>
      </c>
      <c r="C129" s="953"/>
      <c r="D129" s="393">
        <f t="shared" si="24"/>
        <v>48.144634116647488</v>
      </c>
      <c r="E129" s="385">
        <f t="shared" si="45"/>
        <v>51.043164935754383</v>
      </c>
      <c r="F129" s="385">
        <f t="shared" si="25"/>
        <v>51.069447879528887</v>
      </c>
      <c r="G129" s="110">
        <f t="shared" si="46"/>
        <v>0.87045175828182597</v>
      </c>
      <c r="H129" s="412" t="b">
        <f>Wh_hp&gt;='2021'!Maxi_hp</f>
        <v>0</v>
      </c>
      <c r="I129" s="380">
        <f>IF(H129,Wh_hp,'2021'!Maxi_hp)</f>
        <v>55.415664195239167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3.0899271412950458E-2</v>
      </c>
      <c r="M129" s="957"/>
      <c r="N129" s="957"/>
      <c r="O129" s="48">
        <f>IF(t&lt;Tnet,'2021'!Resal+('2021'!Salim-'2021'!Resal)*(1-EXP(('2021'!Tnet-t)/('2021'!Tau_j))),Resal+(Salim-Resal)*(1-EXP((Tnet-t)/(Tau_j))))*Salcycl</f>
        <v>5.6785875694721204E-2</v>
      </c>
      <c r="P129" s="339">
        <f>(INDEX(Models!$BJ129:$BT129,,T129)*(1-R129)+INDEX(Models!$BJ129:$BT129,,T129+1)*R129-ERP_i)*Q129*Ramure*Pc/MaxiM</f>
        <v>6.3141448463276118E-4</v>
      </c>
      <c r="Q129" s="305">
        <f t="shared" si="27"/>
        <v>0.7</v>
      </c>
      <c r="R129" s="177">
        <f t="shared" si="28"/>
        <v>6.5053223676480809E-2</v>
      </c>
      <c r="S129" s="919">
        <f t="shared" si="29"/>
        <v>0</v>
      </c>
      <c r="T129" s="176">
        <f t="shared" si="30"/>
        <v>6</v>
      </c>
      <c r="U129" s="251">
        <f t="shared" si="31"/>
        <v>6.5053223676480809E-2</v>
      </c>
      <c r="V129" s="383">
        <f t="shared" si="32"/>
        <v>53.594640849761667</v>
      </c>
      <c r="W129" s="402"/>
      <c r="X129" s="157">
        <f t="shared" si="33"/>
        <v>44676</v>
      </c>
      <c r="Y129" s="385">
        <f t="shared" si="34"/>
        <v>44.142114367049807</v>
      </c>
      <c r="Z129" s="385">
        <f t="shared" si="35"/>
        <v>45.549562666627111</v>
      </c>
      <c r="AA129" s="386">
        <f t="shared" si="36"/>
        <v>51.043164935754383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0.10762659948774357</v>
      </c>
      <c r="AD129" s="231">
        <f>(INDEX(Models!$BJ129:$BT129,,AH129)*(1-AF129)+INDEX(Models!$BJ129:$BT129,,AH129+1)*AF129-ERP_i)*AE129*Ramure*Pc/MaxiM</f>
        <v>6.3141448463276118E-4</v>
      </c>
      <c r="AE129" s="305">
        <f t="shared" si="38"/>
        <v>0.7</v>
      </c>
      <c r="AF129" s="177">
        <f t="shared" si="39"/>
        <v>6.5053223676480809E-2</v>
      </c>
      <c r="AG129" s="919">
        <f t="shared" si="47"/>
        <v>0</v>
      </c>
      <c r="AH129" s="176">
        <f t="shared" si="40"/>
        <v>6</v>
      </c>
      <c r="AI129" s="225">
        <f t="shared" si="41"/>
        <v>6.5053223676480809E-2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44677</v>
      </c>
      <c r="B130" s="618">
        <v>52.173999999999999</v>
      </c>
      <c r="C130" s="953"/>
      <c r="D130" s="393">
        <f t="shared" si="24"/>
        <v>53.838719991060245</v>
      </c>
      <c r="E130" s="385">
        <f t="shared" si="45"/>
        <v>57.093761513556963</v>
      </c>
      <c r="F130" s="385">
        <f t="shared" si="25"/>
        <v>57.131017764078706</v>
      </c>
      <c r="G130" s="110">
        <f t="shared" si="46"/>
        <v>0.97218728024090462</v>
      </c>
      <c r="H130" s="412" t="b">
        <f>Wh_hp&gt;='2021'!Maxi_hp</f>
        <v>1</v>
      </c>
      <c r="I130" s="380">
        <f>IF(H130,Wh_hp,'2021'!Maxi_hp)</f>
        <v>57.131017764078706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3.0920497206038067E-2</v>
      </c>
      <c r="M130" s="957"/>
      <c r="N130" s="957"/>
      <c r="O130" s="48">
        <f>IF(t&lt;Tnet,'2021'!Resal+('2021'!Salim-'2021'!Resal)*(1-EXP(('2021'!Tnet-t)/('2021'!Tau_j))),Resal+(Salim-Resal)*(1-EXP((Tnet-t)/(Tau_j))))*Salcycl</f>
        <v>5.7012210024449082E-2</v>
      </c>
      <c r="P130" s="339">
        <f>(INDEX(Models!$BJ130:$BT130,,T130)*(1-R130)+INDEX(Models!$BJ130:$BT130,,T130+1)*R130-ERP_i)*Q130*Ramure*Pc/MaxiM</f>
        <v>6.790753896952405E-4</v>
      </c>
      <c r="Q130" s="305">
        <f t="shared" si="27"/>
        <v>0.7</v>
      </c>
      <c r="R130" s="177">
        <f t="shared" si="28"/>
        <v>6.7435180454339771E-2</v>
      </c>
      <c r="S130" s="919">
        <f t="shared" si="29"/>
        <v>0</v>
      </c>
      <c r="T130" s="176">
        <f t="shared" si="30"/>
        <v>6</v>
      </c>
      <c r="U130" s="251">
        <f t="shared" si="31"/>
        <v>6.7435180454339771E-2</v>
      </c>
      <c r="V130" s="383">
        <f t="shared" si="32"/>
        <v>53.665166934242734</v>
      </c>
      <c r="W130" s="402"/>
      <c r="X130" s="157">
        <f t="shared" si="33"/>
        <v>44677</v>
      </c>
      <c r="Y130" s="385">
        <f t="shared" si="34"/>
        <v>49.364341962809327</v>
      </c>
      <c r="Z130" s="385">
        <f t="shared" si="35"/>
        <v>50.939413970150582</v>
      </c>
      <c r="AA130" s="386">
        <f t="shared" si="36"/>
        <v>57.093761513556963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0.10779369549762494</v>
      </c>
      <c r="AD130" s="231">
        <f>(INDEX(Models!$BJ130:$BT130,,AH130)*(1-AF130)+INDEX(Models!$BJ130:$BT130,,AH130+1)*AF130-ERP_i)*AE130*Ramure*Pc/MaxiM</f>
        <v>6.790753896952405E-4</v>
      </c>
      <c r="AE130" s="305">
        <f t="shared" si="38"/>
        <v>0.7</v>
      </c>
      <c r="AF130" s="177">
        <f t="shared" si="39"/>
        <v>6.7435180454339771E-2</v>
      </c>
      <c r="AG130" s="919">
        <f t="shared" si="47"/>
        <v>0</v>
      </c>
      <c r="AH130" s="176">
        <f t="shared" si="40"/>
        <v>6</v>
      </c>
      <c r="AI130" s="225">
        <f t="shared" si="41"/>
        <v>6.7435180454339771E-2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44678</v>
      </c>
      <c r="B131" s="618">
        <v>38.451999999999998</v>
      </c>
      <c r="C131" s="953"/>
      <c r="D131" s="393">
        <f t="shared" si="24"/>
        <v>39.67976012810859</v>
      </c>
      <c r="E131" s="385">
        <f t="shared" si="45"/>
        <v>42.088894824463239</v>
      </c>
      <c r="F131" s="385">
        <f t="shared" si="25"/>
        <v>42.107137345692962</v>
      </c>
      <c r="G131" s="110">
        <f t="shared" si="46"/>
        <v>0.71542344373674949</v>
      </c>
      <c r="H131" s="412" t="b">
        <f>Wh_hp&gt;='2021'!Maxi_hp</f>
        <v>1</v>
      </c>
      <c r="I131" s="380">
        <f>IF(H131,Wh_hp,'2021'!Maxi_hp)</f>
        <v>42.107137345692962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3.0941722534226224E-2</v>
      </c>
      <c r="M131" s="957"/>
      <c r="N131" s="957"/>
      <c r="O131" s="48">
        <f>IF(t&lt;Tnet,'2021'!Resal+('2021'!Salim-'2021'!Resal)*(1-EXP(('2021'!Tnet-t)/('2021'!Tau_j))),Resal+(Salim-Resal)*(1-EXP((Tnet-t)/(Tau_j))))*Salcycl</f>
        <v>5.7239200658564041E-2</v>
      </c>
      <c r="P131" s="339">
        <f>(INDEX(Models!$BJ131:$BT131,,T131)*(1-R131)+INDEX(Models!$BJ131:$BT131,,T131+1)*R131-ERP_i)*Q131*Ramure*Pc/MaxiM</f>
        <v>7.2964966209274973E-4</v>
      </c>
      <c r="Q131" s="305">
        <f t="shared" si="27"/>
        <v>0.7</v>
      </c>
      <c r="R131" s="177">
        <f t="shared" si="28"/>
        <v>6.9889481441474721E-2</v>
      </c>
      <c r="S131" s="919">
        <f t="shared" si="29"/>
        <v>0</v>
      </c>
      <c r="T131" s="176">
        <f t="shared" si="30"/>
        <v>6</v>
      </c>
      <c r="U131" s="251">
        <f t="shared" si="31"/>
        <v>6.9889481441474721E-2</v>
      </c>
      <c r="V131" s="383">
        <f t="shared" si="32"/>
        <v>53.731252274535102</v>
      </c>
      <c r="W131" s="402"/>
      <c r="X131" s="157">
        <f t="shared" si="33"/>
        <v>44678</v>
      </c>
      <c r="Y131" s="385">
        <f t="shared" si="34"/>
        <v>36.383181049647121</v>
      </c>
      <c r="Z131" s="385">
        <f t="shared" si="35"/>
        <v>37.544884446778937</v>
      </c>
      <c r="AA131" s="386">
        <f t="shared" si="36"/>
        <v>42.088894824463239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0.10796221655701919</v>
      </c>
      <c r="AD131" s="231">
        <f>(INDEX(Models!$BJ131:$BT131,,AH131)*(1-AF131)+INDEX(Models!$BJ131:$BT131,,AH131+1)*AF131-ERP_i)*AE131*Ramure*Pc/MaxiM</f>
        <v>7.2964966209274973E-4</v>
      </c>
      <c r="AE131" s="305">
        <f t="shared" si="38"/>
        <v>0.7</v>
      </c>
      <c r="AF131" s="177">
        <f t="shared" si="39"/>
        <v>6.9889481441474721E-2</v>
      </c>
      <c r="AG131" s="919">
        <f t="shared" si="47"/>
        <v>0</v>
      </c>
      <c r="AH131" s="176">
        <f t="shared" si="40"/>
        <v>6</v>
      </c>
      <c r="AI131" s="225">
        <f t="shared" si="41"/>
        <v>6.9889481441474721E-2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44679</v>
      </c>
      <c r="B132" s="618">
        <v>20.677</v>
      </c>
      <c r="C132" s="953"/>
      <c r="D132" s="393">
        <f t="shared" si="24"/>
        <v>21.337677382375869</v>
      </c>
      <c r="E132" s="385">
        <f t="shared" si="45"/>
        <v>22.638649290653092</v>
      </c>
      <c r="F132" s="385">
        <f t="shared" si="25"/>
        <v>22.640786867120038</v>
      </c>
      <c r="G132" s="110">
        <f t="shared" si="46"/>
        <v>0.3841175270837347</v>
      </c>
      <c r="H132" s="412" t="b">
        <f>Wh_hp&gt;='2021'!Maxi_hp</f>
        <v>0</v>
      </c>
      <c r="I132" s="380">
        <f>IF(H132,Wh_hp,'2021'!Maxi_hp)</f>
        <v>44.927139058198264</v>
      </c>
      <c r="J132" s="85">
        <f>IF(H132,An,'2021'!An_max)</f>
        <v>2019</v>
      </c>
      <c r="K132" s="197">
        <f t="shared" si="26"/>
        <v>44679</v>
      </c>
      <c r="L132" s="147">
        <f>IF(t&lt;Tvie,1-EXP((T0-t)*PertePVj)+'2021'!Pspv,1-EXP((T0-t)*PertePVj)+Pspv)</f>
        <v>3.0962947397525253E-2</v>
      </c>
      <c r="M132" s="957"/>
      <c r="N132" s="957"/>
      <c r="O132" s="48">
        <f>IF(t&lt;Tnet,'2021'!Resal+('2021'!Salim-'2021'!Resal)*(1-EXP(('2021'!Tnet-t)/('2021'!Tau_j))),Resal+(Salim-Resal)*(1-EXP((Tnet-t)/(Tau_j))))*Salcycl</f>
        <v>5.7466852000501632E-2</v>
      </c>
      <c r="P132" s="339">
        <f>(INDEX(Models!$BJ132:$BT132,,T132)*(1-R132)+INDEX(Models!$BJ132:$BT132,,T132+1)*R132-ERP_i)*Q132*Ramure*Pc/MaxiM</f>
        <v>7.8320735936917533E-4</v>
      </c>
      <c r="Q132" s="305">
        <f t="shared" si="27"/>
        <v>0.7</v>
      </c>
      <c r="R132" s="177">
        <f t="shared" si="28"/>
        <v>7.2417305484352032E-2</v>
      </c>
      <c r="S132" s="919">
        <f t="shared" si="29"/>
        <v>0</v>
      </c>
      <c r="T132" s="176">
        <f t="shared" si="30"/>
        <v>6</v>
      </c>
      <c r="U132" s="251">
        <f t="shared" si="31"/>
        <v>7.2417305484352032E-2</v>
      </c>
      <c r="V132" s="383">
        <f t="shared" si="32"/>
        <v>53.792797750461254</v>
      </c>
      <c r="W132" s="402"/>
      <c r="X132" s="157">
        <f t="shared" si="33"/>
        <v>44679</v>
      </c>
      <c r="Y132" s="385">
        <f t="shared" si="34"/>
        <v>19.565520180439862</v>
      </c>
      <c r="Z132" s="385">
        <f t="shared" si="35"/>
        <v>20.190683243632552</v>
      </c>
      <c r="AA132" s="386">
        <f t="shared" si="36"/>
        <v>22.638649290653092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0.10813215998850427</v>
      </c>
      <c r="AD132" s="231">
        <f>(INDEX(Models!$BJ132:$BT132,,AH132)*(1-AF132)+INDEX(Models!$BJ132:$BT132,,AH132+1)*AF132-ERP_i)*AE132*Ramure*Pc/MaxiM</f>
        <v>7.8320735936917533E-4</v>
      </c>
      <c r="AE132" s="305">
        <f t="shared" si="38"/>
        <v>0.7</v>
      </c>
      <c r="AF132" s="177">
        <f t="shared" si="39"/>
        <v>7.2417305484352032E-2</v>
      </c>
      <c r="AG132" s="919">
        <f t="shared" si="47"/>
        <v>0</v>
      </c>
      <c r="AH132" s="176">
        <f t="shared" si="40"/>
        <v>6</v>
      </c>
      <c r="AI132" s="225">
        <f t="shared" si="41"/>
        <v>7.2417305484352032E-2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44680</v>
      </c>
      <c r="B133" s="618">
        <v>41.853999999999999</v>
      </c>
      <c r="C133" s="953"/>
      <c r="D133" s="393">
        <f t="shared" si="24"/>
        <v>43.192276928614227</v>
      </c>
      <c r="E133" s="385">
        <f t="shared" si="45"/>
        <v>45.836841123931194</v>
      </c>
      <c r="F133" s="385">
        <f t="shared" si="25"/>
        <v>45.863100669079884</v>
      </c>
      <c r="G133" s="110">
        <f t="shared" si="46"/>
        <v>0.77702947986967563</v>
      </c>
      <c r="H133" s="412" t="b">
        <f>Wh_hp&gt;='2021'!Maxi_hp</f>
        <v>0</v>
      </c>
      <c r="I133" s="380">
        <f>IF(H133,Wh_hp,'2021'!Maxi_hp)</f>
        <v>53.012856919854819</v>
      </c>
      <c r="J133" s="85">
        <f>IF(H133,An,'2021'!An_max)</f>
        <v>2019</v>
      </c>
      <c r="K133" s="197">
        <f t="shared" si="26"/>
        <v>44680</v>
      </c>
      <c r="L133" s="147">
        <f>IF(t&lt;Tvie,1-EXP((T0-t)*PertePVj)+'2021'!Pspv,1-EXP((T0-t)*PertePVj)+Pspv)</f>
        <v>3.0984171795945259E-2</v>
      </c>
      <c r="M133" s="957"/>
      <c r="N133" s="957"/>
      <c r="O133" s="48">
        <f>IF(t&lt;Tnet,'2021'!Resal+('2021'!Salim-'2021'!Resal)*(1-EXP(('2021'!Tnet-t)/('2021'!Tau_j))),Resal+(Salim-Resal)*(1-EXP((Tnet-t)/(Tau_j))))*Salcycl</f>
        <v>5.7695166823706998E-2</v>
      </c>
      <c r="P133" s="339">
        <f>(INDEX(Models!$BJ133:$BT133,,T133)*(1-R133)+INDEX(Models!$BJ133:$BT133,,T133+1)*R133-ERP_i)*Q133*Ramure*Pc/MaxiM</f>
        <v>8.3982234610725293E-4</v>
      </c>
      <c r="Q133" s="305">
        <f t="shared" si="27"/>
        <v>0.7</v>
      </c>
      <c r="R133" s="177">
        <f t="shared" si="28"/>
        <v>7.5019775245484116E-2</v>
      </c>
      <c r="S133" s="919">
        <f t="shared" si="29"/>
        <v>0</v>
      </c>
      <c r="T133" s="176">
        <f t="shared" si="30"/>
        <v>6</v>
      </c>
      <c r="U133" s="251">
        <f t="shared" si="31"/>
        <v>7.5019775245484116E-2</v>
      </c>
      <c r="V133" s="383">
        <f t="shared" si="32"/>
        <v>53.849704330433411</v>
      </c>
      <c r="W133" s="402"/>
      <c r="X133" s="157">
        <f t="shared" si="33"/>
        <v>44680</v>
      </c>
      <c r="Y133" s="385">
        <f t="shared" si="34"/>
        <v>39.606147769927247</v>
      </c>
      <c r="Z133" s="385">
        <f t="shared" si="35"/>
        <v>40.872549877056301</v>
      </c>
      <c r="AA133" s="386">
        <f t="shared" si="36"/>
        <v>45.836841123931194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0.10830352016302147</v>
      </c>
      <c r="AD133" s="231">
        <f>(INDEX(Models!$BJ133:$BT133,,AH133)*(1-AF133)+INDEX(Models!$BJ133:$BT133,,AH133+1)*AF133-ERP_i)*AE133*Ramure*Pc/MaxiM</f>
        <v>8.3982234610725293E-4</v>
      </c>
      <c r="AE133" s="305">
        <f t="shared" si="38"/>
        <v>0.7</v>
      </c>
      <c r="AF133" s="177">
        <f t="shared" si="39"/>
        <v>7.5019775245484116E-2</v>
      </c>
      <c r="AG133" s="919">
        <f t="shared" si="47"/>
        <v>0</v>
      </c>
      <c r="AH133" s="176">
        <f t="shared" si="40"/>
        <v>6</v>
      </c>
      <c r="AI133" s="225">
        <f t="shared" si="41"/>
        <v>7.5019775245484116E-2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44681</v>
      </c>
      <c r="B134" s="618">
        <v>40.805999999999997</v>
      </c>
      <c r="C134" s="953"/>
      <c r="D134" s="393">
        <f t="shared" si="24"/>
        <v>42.111689600914062</v>
      </c>
      <c r="E134" s="385">
        <f t="shared" si="45"/>
        <v>44.700954207466204</v>
      </c>
      <c r="F134" s="385">
        <f t="shared" si="25"/>
        <v>44.727224590598759</v>
      </c>
      <c r="G134" s="110">
        <f t="shared" si="46"/>
        <v>0.75680583063618878</v>
      </c>
      <c r="H134" s="412" t="b">
        <f>Wh_hp&gt;='2021'!Maxi_hp</f>
        <v>0</v>
      </c>
      <c r="I134" s="380">
        <f>IF(H134,Wh_hp,'2021'!Maxi_hp)</f>
        <v>59.629748537925202</v>
      </c>
      <c r="J134" s="85">
        <f>IF(H134,An,'2021'!An_max)</f>
        <v>2019</v>
      </c>
      <c r="K134" s="197">
        <f t="shared" si="26"/>
        <v>44681</v>
      </c>
      <c r="L134" s="147">
        <f>IF(t&lt;Tvie,1-EXP((T0-t)*PertePVj)+'2021'!Pspv,1-EXP((T0-t)*PertePVj)+Pspv)</f>
        <v>3.1005395729496454E-2</v>
      </c>
      <c r="M134" s="957"/>
      <c r="N134" s="957"/>
      <c r="O134" s="48">
        <f>IF(t&lt;Tnet,'2021'!Resal+('2021'!Salim-'2021'!Resal)*(1-EXP(('2021'!Tnet-t)/('2021'!Tau_j))),Resal+(Salim-Resal)*(1-EXP((Tnet-t)/(Tau_j))))*Salcycl</f>
        <v>5.7924146194616777E-2</v>
      </c>
      <c r="P134" s="339">
        <f>(INDEX(Models!$BJ134:$BT134,,T134)*(1-R134)+INDEX(Models!$BJ134:$BT134,,T134+1)*R134-ERP_i)*Q134*Ramure*Pc/MaxiM</f>
        <v>8.9957227961789954E-4</v>
      </c>
      <c r="Q134" s="305">
        <f t="shared" si="27"/>
        <v>0.7</v>
      </c>
      <c r="R134" s="177">
        <f t="shared" si="28"/>
        <v>7.7697950902763241E-2</v>
      </c>
      <c r="S134" s="919">
        <f t="shared" si="29"/>
        <v>0</v>
      </c>
      <c r="T134" s="176">
        <f t="shared" si="30"/>
        <v>6</v>
      </c>
      <c r="U134" s="251">
        <f t="shared" si="31"/>
        <v>7.7697950902763241E-2</v>
      </c>
      <c r="V134" s="383">
        <f t="shared" si="32"/>
        <v>53.901873082674157</v>
      </c>
      <c r="W134" s="402"/>
      <c r="X134" s="157">
        <f t="shared" si="33"/>
        <v>44681</v>
      </c>
      <c r="Y134" s="385">
        <f t="shared" si="34"/>
        <v>38.616334798334798</v>
      </c>
      <c r="Z134" s="385">
        <f t="shared" si="35"/>
        <v>39.85196060756877</v>
      </c>
      <c r="AA134" s="386">
        <f t="shared" si="36"/>
        <v>44.700954207466204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0.10847628838955579</v>
      </c>
      <c r="AD134" s="231">
        <f>(INDEX(Models!$BJ134:$BT134,,AH134)*(1-AF134)+INDEX(Models!$BJ134:$BT134,,AH134+1)*AF134-ERP_i)*AE134*Ramure*Pc/MaxiM</f>
        <v>8.9957227961789954E-4</v>
      </c>
      <c r="AE134" s="305">
        <f t="shared" si="38"/>
        <v>0.7</v>
      </c>
      <c r="AF134" s="177">
        <f t="shared" si="39"/>
        <v>7.7697950902763241E-2</v>
      </c>
      <c r="AG134" s="919">
        <f t="shared" si="47"/>
        <v>0</v>
      </c>
      <c r="AH134" s="176">
        <f t="shared" si="40"/>
        <v>6</v>
      </c>
      <c r="AI134" s="225">
        <f t="shared" si="41"/>
        <v>7.7697950902763241E-2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44682</v>
      </c>
      <c r="B135" s="618">
        <v>45.669000000000004</v>
      </c>
      <c r="C135" s="953"/>
      <c r="D135" s="393">
        <f t="shared" si="24"/>
        <v>47.131325694633212</v>
      </c>
      <c r="E135" s="385">
        <f t="shared" si="45"/>
        <v>50.041424134861977</v>
      </c>
      <c r="F135" s="385">
        <f t="shared" si="25"/>
        <v>50.079058898702776</v>
      </c>
      <c r="G135" s="110">
        <f t="shared" si="46"/>
        <v>0.84634588013949286</v>
      </c>
      <c r="H135" s="412" t="b">
        <f>Wh_hp&gt;='2021'!Maxi_hp</f>
        <v>0</v>
      </c>
      <c r="I135" s="380">
        <f>IF(H135,Wh_hp,'2021'!Maxi_hp)</f>
        <v>57.486763345827086</v>
      </c>
      <c r="J135" s="85">
        <f>IF(H135,An,'2021'!An_max)</f>
        <v>2019</v>
      </c>
      <c r="K135" s="197">
        <f t="shared" si="26"/>
        <v>44682</v>
      </c>
      <c r="L135" s="147">
        <f>IF(t&lt;Tvie,1-EXP((T0-t)*PertePVj)+'2021'!Pspv,1-EXP((T0-t)*PertePVj)+Pspv)</f>
        <v>3.1026619198189054E-2</v>
      </c>
      <c r="M135" s="957"/>
      <c r="N135" s="957"/>
      <c r="O135" s="48">
        <f>IF(t&lt;Tnet,'2021'!Resal+('2021'!Salim-'2021'!Resal)*(1-EXP(('2021'!Tnet-t)/('2021'!Tau_j))),Resal+(Salim-Resal)*(1-EXP((Tnet-t)/(Tau_j))))*Salcycl</f>
        <v>5.8153789396281595E-2</v>
      </c>
      <c r="P135" s="339">
        <f>(INDEX(Models!$BJ135:$BT135,,T135)*(1-R135)+INDEX(Models!$BJ135:$BT135,,T135+1)*R135-ERP_i)*Q135*Ramure*Pc/MaxiM</f>
        <v>9.6254559422873369E-4</v>
      </c>
      <c r="Q135" s="305">
        <f t="shared" si="27"/>
        <v>0.7</v>
      </c>
      <c r="R135" s="177">
        <f t="shared" si="28"/>
        <v>8.0452823660823236E-2</v>
      </c>
      <c r="S135" s="919">
        <f t="shared" si="29"/>
        <v>0</v>
      </c>
      <c r="T135" s="176">
        <f t="shared" si="30"/>
        <v>6</v>
      </c>
      <c r="U135" s="251">
        <f t="shared" si="31"/>
        <v>8.0452823660823236E-2</v>
      </c>
      <c r="V135" s="383">
        <f t="shared" si="32"/>
        <v>53.948812066032609</v>
      </c>
      <c r="W135" s="402"/>
      <c r="X135" s="157">
        <f t="shared" si="33"/>
        <v>44682</v>
      </c>
      <c r="Y135" s="385">
        <f t="shared" si="34"/>
        <v>43.220476987061147</v>
      </c>
      <c r="Z135" s="385">
        <f t="shared" si="35"/>
        <v>44.604400743492924</v>
      </c>
      <c r="AA135" s="386">
        <f t="shared" si="36"/>
        <v>50.041424134861977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0.10865045280718297</v>
      </c>
      <c r="AD135" s="231">
        <f>(INDEX(Models!$BJ135:$BT135,,AH135)*(1-AF135)+INDEX(Models!$BJ135:$BT135,,AH135+1)*AF135-ERP_i)*AE135*Ramure*Pc/MaxiM</f>
        <v>9.6254559422873369E-4</v>
      </c>
      <c r="AE135" s="305">
        <f t="shared" si="38"/>
        <v>0.7</v>
      </c>
      <c r="AF135" s="177">
        <f t="shared" si="39"/>
        <v>8.0452823660823236E-2</v>
      </c>
      <c r="AG135" s="919">
        <f t="shared" si="47"/>
        <v>0</v>
      </c>
      <c r="AH135" s="176">
        <f t="shared" si="40"/>
        <v>6</v>
      </c>
      <c r="AI135" s="225">
        <f t="shared" si="41"/>
        <v>8.0452823660823236E-2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44683</v>
      </c>
      <c r="B136" s="618">
        <v>26.748000000000001</v>
      </c>
      <c r="C136" s="953"/>
      <c r="D136" s="393">
        <f t="shared" si="24"/>
        <v>27.605078109106337</v>
      </c>
      <c r="E136" s="385">
        <f t="shared" si="45"/>
        <v>29.31670751195276</v>
      </c>
      <c r="F136" s="385">
        <f t="shared" si="25"/>
        <v>29.325136919435284</v>
      </c>
      <c r="G136" s="110">
        <f t="shared" si="46"/>
        <v>0.49505499600606218</v>
      </c>
      <c r="H136" s="412" t="b">
        <f>Wh_hp&gt;='2021'!Maxi_hp</f>
        <v>0</v>
      </c>
      <c r="I136" s="380">
        <f>IF(H136,Wh_hp,'2021'!Maxi_hp)</f>
        <v>52.039309618554178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3.1047842202033271E-2</v>
      </c>
      <c r="M136" s="957"/>
      <c r="N136" s="957"/>
      <c r="O136" s="48">
        <f>IF(t&lt;Tnet,'2021'!Resal+('2021'!Salim-'2021'!Resal)*(1-EXP(('2021'!Tnet-t)/('2021'!Tau_j))),Resal+(Salim-Resal)*(1-EXP((Tnet-t)/(Tau_j))))*Salcycl</f>
        <v>5.8384093853260002E-2</v>
      </c>
      <c r="P136" s="339">
        <f>(INDEX(Models!$BJ136:$BT136,,T136)*(1-R136)+INDEX(Models!$BJ136:$BT136,,T136+1)*R136-ERP_i)*Q136*Ramure*Pc/MaxiM</f>
        <v>1.0296267568425308E-3</v>
      </c>
      <c r="Q136" s="305">
        <f t="shared" si="27"/>
        <v>0.7</v>
      </c>
      <c r="R136" s="177">
        <f t="shared" si="28"/>
        <v>8.3285309096258323E-2</v>
      </c>
      <c r="S136" s="919">
        <f t="shared" si="29"/>
        <v>0</v>
      </c>
      <c r="T136" s="176">
        <f t="shared" si="30"/>
        <v>6</v>
      </c>
      <c r="U136" s="251">
        <f t="shared" si="31"/>
        <v>8.3285309096258323E-2</v>
      </c>
      <c r="V136" s="383">
        <f t="shared" si="32"/>
        <v>53.990248901026625</v>
      </c>
      <c r="W136" s="402"/>
      <c r="X136" s="157">
        <f t="shared" si="33"/>
        <v>44683</v>
      </c>
      <c r="Y136" s="385">
        <f t="shared" si="34"/>
        <v>25.315122697466034</v>
      </c>
      <c r="Z136" s="385">
        <f t="shared" si="35"/>
        <v>26.126287550663996</v>
      </c>
      <c r="AA136" s="386">
        <f t="shared" si="36"/>
        <v>29.31670751195276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0.10882599828060482</v>
      </c>
      <c r="AD136" s="231">
        <f>(INDEX(Models!$BJ136:$BT136,,AH136)*(1-AF136)+INDEX(Models!$BJ136:$BT136,,AH136+1)*AF136-ERP_i)*AE136*Ramure*Pc/MaxiM</f>
        <v>1.0296267568425308E-3</v>
      </c>
      <c r="AE136" s="305">
        <f t="shared" si="38"/>
        <v>0.7</v>
      </c>
      <c r="AF136" s="177">
        <f t="shared" si="39"/>
        <v>8.3285309096258323E-2</v>
      </c>
      <c r="AG136" s="919">
        <f t="shared" si="47"/>
        <v>0</v>
      </c>
      <c r="AH136" s="176">
        <f t="shared" si="40"/>
        <v>6</v>
      </c>
      <c r="AI136" s="225">
        <f t="shared" si="41"/>
        <v>8.3285309096258323E-2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44684</v>
      </c>
      <c r="B137" s="618">
        <v>30.545999999999999</v>
      </c>
      <c r="C137" s="953"/>
      <c r="D137" s="393">
        <f t="shared" si="24"/>
        <v>31.52546676800668</v>
      </c>
      <c r="E137" s="385">
        <f t="shared" si="45"/>
        <v>33.488390628516491</v>
      </c>
      <c r="F137" s="385">
        <f t="shared" si="25"/>
        <v>33.502354289076841</v>
      </c>
      <c r="G137" s="110">
        <f t="shared" si="46"/>
        <v>0.56500248910248574</v>
      </c>
      <c r="H137" s="412" t="b">
        <f>Wh_hp&gt;='2021'!Maxi_hp</f>
        <v>0</v>
      </c>
      <c r="I137" s="380">
        <f>IF(H137,Wh_hp,'2021'!Maxi_hp)</f>
        <v>59.632265422182535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3.106906474103921E-2</v>
      </c>
      <c r="M137" s="957"/>
      <c r="N137" s="957"/>
      <c r="O137" s="48">
        <f>IF(t&lt;Tnet,'2021'!Resal+('2021'!Salim-'2021'!Resal)*(1-EXP(('2021'!Tnet-t)/('2021'!Tau_j))),Resal+(Salim-Resal)*(1-EXP((Tnet-t)/(Tau_j))))*Salcycl</f>
        <v>5.8615055058463109E-2</v>
      </c>
      <c r="P137" s="339">
        <f>(INDEX(Models!$BJ137:$BT137,,T137)*(1-R137)+INDEX(Models!$BJ137:$BT137,,T137+1)*R137-ERP_i)*Q137*Ramure*Pc/MaxiM</f>
        <v>1.09935964879586E-3</v>
      </c>
      <c r="Q137" s="305">
        <f t="shared" si="27"/>
        <v>0.7</v>
      </c>
      <c r="R137" s="177">
        <f t="shared" si="28"/>
        <v>8.6196240361822093E-2</v>
      </c>
      <c r="S137" s="919">
        <f t="shared" si="29"/>
        <v>0</v>
      </c>
      <c r="T137" s="176">
        <f t="shared" si="30"/>
        <v>6</v>
      </c>
      <c r="U137" s="251">
        <f t="shared" si="31"/>
        <v>8.6196240361822093E-2</v>
      </c>
      <c r="V137" s="383">
        <f t="shared" si="32"/>
        <v>54.026561507277009</v>
      </c>
      <c r="W137" s="402"/>
      <c r="X137" s="157">
        <f t="shared" si="33"/>
        <v>44684</v>
      </c>
      <c r="Y137" s="385">
        <f t="shared" si="34"/>
        <v>28.911018144484242</v>
      </c>
      <c r="Z137" s="385">
        <f t="shared" si="35"/>
        <v>29.838058722686313</v>
      </c>
      <c r="AA137" s="386">
        <f t="shared" si="36"/>
        <v>33.488390628516491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0.10900290630036426</v>
      </c>
      <c r="AD137" s="231">
        <f>(INDEX(Models!$BJ137:$BT137,,AH137)*(1-AF137)+INDEX(Models!$BJ137:$BT137,,AH137+1)*AF137-ERP_i)*AE137*Ramure*Pc/MaxiM</f>
        <v>1.09935964879586E-3</v>
      </c>
      <c r="AE137" s="305">
        <f t="shared" si="38"/>
        <v>0.7</v>
      </c>
      <c r="AF137" s="177">
        <f t="shared" si="39"/>
        <v>8.6196240361822093E-2</v>
      </c>
      <c r="AG137" s="919">
        <f t="shared" si="47"/>
        <v>0</v>
      </c>
      <c r="AH137" s="176">
        <f t="shared" si="40"/>
        <v>6</v>
      </c>
      <c r="AI137" s="225">
        <f t="shared" si="41"/>
        <v>8.6196240361822093E-2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44685</v>
      </c>
      <c r="B138" s="618">
        <v>18.013999999999999</v>
      </c>
      <c r="C138" s="953"/>
      <c r="D138" s="393">
        <f t="shared" si="24"/>
        <v>18.592031594758623</v>
      </c>
      <c r="E138" s="385">
        <f t="shared" si="45"/>
        <v>19.754519197919173</v>
      </c>
      <c r="F138" s="385">
        <f t="shared" si="25"/>
        <v>19.755618304290127</v>
      </c>
      <c r="G138" s="110">
        <f t="shared" si="46"/>
        <v>0.33286242480735562</v>
      </c>
      <c r="H138" s="412" t="b">
        <f>Wh_hp&gt;='2021'!Maxi_hp</f>
        <v>0</v>
      </c>
      <c r="I138" s="380">
        <f>IF(H138,Wh_hp,'2021'!Maxi_hp)</f>
        <v>56.02715044671482</v>
      </c>
      <c r="J138" s="85">
        <f>IF(H138,An,'2021'!An_max)</f>
        <v>2020</v>
      </c>
      <c r="K138" s="197">
        <f t="shared" si="26"/>
        <v>44685</v>
      </c>
      <c r="L138" s="147">
        <f>IF(t&lt;Tvie,1-EXP((T0-t)*PertePVj)+'2021'!Pspv,1-EXP((T0-t)*PertePVj)+Pspv)</f>
        <v>3.1090286815217083E-2</v>
      </c>
      <c r="M138" s="957"/>
      <c r="N138" s="957"/>
      <c r="O138" s="48">
        <f>IF(t&lt;Tnet,'2021'!Resal+('2021'!Salim-'2021'!Resal)*(1-EXP(('2021'!Tnet-t)/('2021'!Tau_j))),Resal+(Salim-Resal)*(1-EXP((Tnet-t)/(Tau_j))))*Salcycl</f>
        <v>5.884666650267046E-2</v>
      </c>
      <c r="P138" s="339">
        <f>(INDEX(Models!$BJ138:$BT138,,T138)*(1-R138)+INDEX(Models!$BJ138:$BT138,,T138+1)*R138-ERP_i)*Q138*Ramure*Pc/MaxiM</f>
        <v>1.1718158215836534E-3</v>
      </c>
      <c r="Q138" s="305">
        <f t="shared" si="27"/>
        <v>0.7</v>
      </c>
      <c r="R138" s="177">
        <f t="shared" si="28"/>
        <v>8.9186361278112497E-2</v>
      </c>
      <c r="S138" s="919">
        <f t="shared" si="29"/>
        <v>0</v>
      </c>
      <c r="T138" s="176">
        <f t="shared" si="30"/>
        <v>6</v>
      </c>
      <c r="U138" s="251">
        <f t="shared" si="31"/>
        <v>8.9186361278112497E-2</v>
      </c>
      <c r="V138" s="383">
        <f t="shared" si="32"/>
        <v>54.058045190006105</v>
      </c>
      <c r="W138" s="402"/>
      <c r="X138" s="157">
        <f t="shared" si="33"/>
        <v>44685</v>
      </c>
      <c r="Y138" s="385">
        <f t="shared" si="34"/>
        <v>17.050580500202113</v>
      </c>
      <c r="Z138" s="385">
        <f t="shared" si="35"/>
        <v>17.597697977613688</v>
      </c>
      <c r="AA138" s="386">
        <f t="shared" si="36"/>
        <v>19.754519197919173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0.10918115488898726</v>
      </c>
      <c r="AD138" s="231">
        <f>(INDEX(Models!$BJ138:$BT138,,AH138)*(1-AF138)+INDEX(Models!$BJ138:$BT138,,AH138+1)*AF138-ERP_i)*AE138*Ramure*Pc/MaxiM</f>
        <v>1.1718158215836534E-3</v>
      </c>
      <c r="AE138" s="305">
        <f t="shared" si="38"/>
        <v>0.7</v>
      </c>
      <c r="AF138" s="177">
        <f t="shared" si="39"/>
        <v>8.9186361278112497E-2</v>
      </c>
      <c r="AG138" s="919">
        <f t="shared" si="47"/>
        <v>0</v>
      </c>
      <c r="AH138" s="176">
        <f t="shared" si="40"/>
        <v>6</v>
      </c>
      <c r="AI138" s="225">
        <f t="shared" si="41"/>
        <v>8.9186361278112497E-2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44686</v>
      </c>
      <c r="B139" s="618">
        <v>37.826000000000001</v>
      </c>
      <c r="C139" s="953"/>
      <c r="D139" s="393">
        <f t="shared" si="24"/>
        <v>39.040612339707451</v>
      </c>
      <c r="E139" s="385">
        <f t="shared" si="45"/>
        <v>41.491909527014492</v>
      </c>
      <c r="F139" s="385">
        <f t="shared" si="25"/>
        <v>41.521452308426952</v>
      </c>
      <c r="G139" s="110">
        <f t="shared" si="46"/>
        <v>0.69900584121697773</v>
      </c>
      <c r="H139" s="412" t="b">
        <f>Wh_hp&gt;='2021'!Maxi_hp</f>
        <v>0</v>
      </c>
      <c r="I139" s="380">
        <f>IF(H139,Wh_hp,'2021'!Maxi_hp)</f>
        <v>58.496922298592779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3.1111508424576995E-2</v>
      </c>
      <c r="M139" s="957"/>
      <c r="N139" s="957"/>
      <c r="O139" s="48">
        <f>IF(t&lt;Tnet,'2021'!Resal+('2021'!Salim-'2021'!Resal)*(1-EXP(('2021'!Tnet-t)/('2021'!Tau_j))),Resal+(Salim-Resal)*(1-EXP((Tnet-t)/(Tau_j))))*Salcycl</f>
        <v>5.9078919607473239E-2</v>
      </c>
      <c r="P139" s="339">
        <f>(INDEX(Models!$BJ139:$BT139,,T139)*(1-R139)+INDEX(Models!$BJ139:$BT139,,T139+1)*R139-ERP_i)*Q139*Ramure*Pc/MaxiM</f>
        <v>1.2470671686411567E-3</v>
      </c>
      <c r="Q139" s="305">
        <f t="shared" si="27"/>
        <v>0.7</v>
      </c>
      <c r="R139" s="177">
        <f t="shared" si="28"/>
        <v>9.2256319344688892E-2</v>
      </c>
      <c r="S139" s="919">
        <f t="shared" si="29"/>
        <v>0</v>
      </c>
      <c r="T139" s="176">
        <f t="shared" si="30"/>
        <v>6</v>
      </c>
      <c r="U139" s="251">
        <f t="shared" si="31"/>
        <v>9.2256319344688892E-2</v>
      </c>
      <c r="V139" s="383">
        <f t="shared" si="32"/>
        <v>54.084995041883197</v>
      </c>
      <c r="W139" s="402"/>
      <c r="X139" s="157">
        <f t="shared" si="33"/>
        <v>44686</v>
      </c>
      <c r="Y139" s="385">
        <f t="shared" si="34"/>
        <v>35.804619710956189</v>
      </c>
      <c r="Z139" s="385">
        <f t="shared" si="35"/>
        <v>36.954324488608073</v>
      </c>
      <c r="AA139" s="386">
        <f t="shared" si="36"/>
        <v>41.491909527014492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0.10936071851434305</v>
      </c>
      <c r="AD139" s="231">
        <f>(INDEX(Models!$BJ139:$BT139,,AH139)*(1-AF139)+INDEX(Models!$BJ139:$BT139,,AH139+1)*AF139-ERP_i)*AE139*Ramure*Pc/MaxiM</f>
        <v>1.2470671686411567E-3</v>
      </c>
      <c r="AE139" s="305">
        <f t="shared" si="38"/>
        <v>0.7</v>
      </c>
      <c r="AF139" s="177">
        <f t="shared" si="39"/>
        <v>9.2256319344688892E-2</v>
      </c>
      <c r="AG139" s="919">
        <f t="shared" si="47"/>
        <v>0</v>
      </c>
      <c r="AH139" s="176">
        <f t="shared" si="40"/>
        <v>6</v>
      </c>
      <c r="AI139" s="225">
        <f t="shared" si="41"/>
        <v>9.2256319344688892E-2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44687</v>
      </c>
      <c r="B140" s="618">
        <v>35.32</v>
      </c>
      <c r="C140" s="953"/>
      <c r="D140" s="393">
        <f t="shared" si="24"/>
        <v>36.454941845948241</v>
      </c>
      <c r="E140" s="385">
        <f t="shared" si="45"/>
        <v>38.753480683482699</v>
      </c>
      <c r="F140" s="385">
        <f t="shared" si="25"/>
        <v>38.779379131971552</v>
      </c>
      <c r="G140" s="110">
        <f t="shared" si="46"/>
        <v>0.65234270127419225</v>
      </c>
      <c r="H140" s="412" t="b">
        <f>Wh_hp&gt;='2021'!Maxi_hp</f>
        <v>0</v>
      </c>
      <c r="I140" s="380">
        <f>IF(H140,Wh_hp,'2021'!Maxi_hp)</f>
        <v>61.787025291973102</v>
      </c>
      <c r="J140" s="85">
        <f>IF(H140,An,'2021'!An_max)</f>
        <v>2019</v>
      </c>
      <c r="K140" s="197">
        <f t="shared" si="26"/>
        <v>44687</v>
      </c>
      <c r="L140" s="147">
        <f>IF(t&lt;Tvie,1-EXP((T0-t)*PertePVj)+'2021'!Pspv,1-EXP((T0-t)*PertePVj)+Pspv)</f>
        <v>3.1132729569129269E-2</v>
      </c>
      <c r="M140" s="957"/>
      <c r="N140" s="957"/>
      <c r="O140" s="48">
        <f>IF(t&lt;Tnet,'2021'!Resal+('2021'!Salim-'2021'!Resal)*(1-EXP(('2021'!Tnet-t)/('2021'!Tau_j))),Resal+(Salim-Resal)*(1-EXP((Tnet-t)/(Tau_j))))*Salcycl</f>
        <v>5.931180366242899E-2</v>
      </c>
      <c r="P140" s="339">
        <f>(INDEX(Models!$BJ140:$BT140,,T140)*(1-R140)+INDEX(Models!$BJ140:$BT140,,T140+1)*R140-ERP_i)*Q140*Ramure*Pc/MaxiM</f>
        <v>1.3251856503092734E-3</v>
      </c>
      <c r="Q140" s="305">
        <f t="shared" si="27"/>
        <v>0.7</v>
      </c>
      <c r="R140" s="177">
        <f t="shared" si="28"/>
        <v>9.5406658706030267E-2</v>
      </c>
      <c r="S140" s="919">
        <f t="shared" si="29"/>
        <v>0</v>
      </c>
      <c r="T140" s="176">
        <f t="shared" si="30"/>
        <v>6</v>
      </c>
      <c r="U140" s="251">
        <f t="shared" si="31"/>
        <v>9.5406658706030267E-2</v>
      </c>
      <c r="V140" s="383">
        <f t="shared" si="32"/>
        <v>54.107705953056161</v>
      </c>
      <c r="W140" s="402"/>
      <c r="X140" s="157">
        <f t="shared" si="33"/>
        <v>44687</v>
      </c>
      <c r="Y140" s="385">
        <f t="shared" si="34"/>
        <v>33.434024090322403</v>
      </c>
      <c r="Z140" s="385">
        <f t="shared" si="35"/>
        <v>34.508363643508936</v>
      </c>
      <c r="AA140" s="386">
        <f t="shared" si="36"/>
        <v>38.753480683482699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0.10954156801154354</v>
      </c>
      <c r="AD140" s="231">
        <f>(INDEX(Models!$BJ140:$BT140,,AH140)*(1-AF140)+INDEX(Models!$BJ140:$BT140,,AH140+1)*AF140-ERP_i)*AE140*Ramure*Pc/MaxiM</f>
        <v>1.3251856503092734E-3</v>
      </c>
      <c r="AE140" s="305">
        <f t="shared" si="38"/>
        <v>0.7</v>
      </c>
      <c r="AF140" s="177">
        <f t="shared" si="39"/>
        <v>9.5406658706030267E-2</v>
      </c>
      <c r="AG140" s="919">
        <f t="shared" si="47"/>
        <v>0</v>
      </c>
      <c r="AH140" s="176">
        <f t="shared" si="40"/>
        <v>6</v>
      </c>
      <c r="AI140" s="225">
        <f t="shared" si="41"/>
        <v>9.5406658706030267E-2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44688</v>
      </c>
      <c r="B141" s="618">
        <v>45.695999999999998</v>
      </c>
      <c r="C141" s="953"/>
      <c r="D141" s="393">
        <f t="shared" si="24"/>
        <v>47.165388156083942</v>
      </c>
      <c r="E141" s="385">
        <f t="shared" si="45"/>
        <v>50.151685610503471</v>
      </c>
      <c r="F141" s="385">
        <f t="shared" si="25"/>
        <v>50.206578659133278</v>
      </c>
      <c r="G141" s="110">
        <f t="shared" si="46"/>
        <v>0.84398047556773215</v>
      </c>
      <c r="H141" s="412" t="b">
        <f>Wh_hp&gt;='2021'!Maxi_hp</f>
        <v>0</v>
      </c>
      <c r="I141" s="380">
        <f>IF(H141,Wh_hp,'2021'!Maxi_hp)</f>
        <v>57.268675300754929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3.115395024888401E-2</v>
      </c>
      <c r="M141" s="957"/>
      <c r="N141" s="957"/>
      <c r="O141" s="48">
        <f>IF(t&lt;Tnet,'2021'!Resal+('2021'!Salim-'2021'!Resal)*(1-EXP(('2021'!Tnet-t)/('2021'!Tau_j))),Resal+(Salim-Resal)*(1-EXP((Tnet-t)/(Tau_j))))*Salcycl</f>
        <v>5.9545305767232166E-2</v>
      </c>
      <c r="P141" s="339">
        <f>(INDEX(Models!$BJ141:$BT141,,T141)*(1-R141)+INDEX(Models!$BJ141:$BT141,,T141+1)*R141-ERP_i)*Q141*Ramure*Pc/MaxiM</f>
        <v>1.4062429987267621E-3</v>
      </c>
      <c r="Q141" s="305">
        <f t="shared" si="27"/>
        <v>0.7</v>
      </c>
      <c r="R141" s="177">
        <f t="shared" si="28"/>
        <v>9.8637813111182596E-2</v>
      </c>
      <c r="S141" s="919">
        <f t="shared" si="29"/>
        <v>0</v>
      </c>
      <c r="T141" s="176">
        <f t="shared" si="30"/>
        <v>6</v>
      </c>
      <c r="U141" s="251">
        <f t="shared" si="31"/>
        <v>9.8637813111182596E-2</v>
      </c>
      <c r="V141" s="383">
        <f t="shared" si="32"/>
        <v>54.126472623516463</v>
      </c>
      <c r="W141" s="402"/>
      <c r="X141" s="157">
        <f t="shared" si="33"/>
        <v>44688</v>
      </c>
      <c r="Y141" s="385">
        <f t="shared" si="34"/>
        <v>43.257870263860219</v>
      </c>
      <c r="Z141" s="385">
        <f t="shared" si="35"/>
        <v>44.648858582818818</v>
      </c>
      <c r="AA141" s="386">
        <f t="shared" si="36"/>
        <v>50.151685610503471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0.10972367051471897</v>
      </c>
      <c r="AD141" s="231">
        <f>(INDEX(Models!$BJ141:$BT141,,AH141)*(1-AF141)+INDEX(Models!$BJ141:$BT141,,AH141+1)*AF141-ERP_i)*AE141*Ramure*Pc/MaxiM</f>
        <v>1.4062429987267621E-3</v>
      </c>
      <c r="AE141" s="305">
        <f t="shared" si="38"/>
        <v>0.7</v>
      </c>
      <c r="AF141" s="177">
        <f t="shared" si="39"/>
        <v>9.8637813111182596E-2</v>
      </c>
      <c r="AG141" s="919">
        <f t="shared" si="47"/>
        <v>0</v>
      </c>
      <c r="AH141" s="176">
        <f t="shared" si="40"/>
        <v>6</v>
      </c>
      <c r="AI141" s="225">
        <f t="shared" si="41"/>
        <v>9.8637813111182596E-2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44689</v>
      </c>
      <c r="B142" s="618">
        <v>47.664000000000001</v>
      </c>
      <c r="C142" s="953"/>
      <c r="D142" s="393">
        <f t="shared" si="24"/>
        <v>49.197748186140572</v>
      </c>
      <c r="E142" s="385">
        <f t="shared" si="45"/>
        <v>52.325750733601573</v>
      </c>
      <c r="F142" s="385">
        <f t="shared" si="25"/>
        <v>52.390486017406488</v>
      </c>
      <c r="G142" s="110">
        <f t="shared" si="46"/>
        <v>0.88013385447302372</v>
      </c>
      <c r="H142" s="412" t="b">
        <f>Wh_hp&gt;='2021'!Maxi_hp</f>
        <v>0</v>
      </c>
      <c r="I142" s="380">
        <f>IF(H142,Wh_hp,'2021'!Maxi_hp)</f>
        <v>59.229596839292704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3.1175170463851432E-2</v>
      </c>
      <c r="M142" s="957"/>
      <c r="N142" s="957"/>
      <c r="O142" s="48">
        <f>IF(t&lt;Tnet,'2021'!Resal+('2021'!Salim-'2021'!Resal)*(1-EXP(('2021'!Tnet-t)/('2021'!Tau_j))),Resal+(Salim-Resal)*(1-EXP((Tnet-t)/(Tau_j))))*Salcycl</f>
        <v>5.9779410779716186E-2</v>
      </c>
      <c r="P142" s="339">
        <f>(INDEX(Models!$BJ142:$BT142,,T142)*(1-R142)+INDEX(Models!$BJ142:$BT142,,T142+1)*R142-ERP_i)*Q142*Ramure*Pc/MaxiM</f>
        <v>1.490357327459089E-3</v>
      </c>
      <c r="Q142" s="305">
        <f t="shared" si="27"/>
        <v>0.7</v>
      </c>
      <c r="R142" s="177">
        <f t="shared" si="28"/>
        <v>0.10195009890931554</v>
      </c>
      <c r="S142" s="919">
        <f t="shared" si="29"/>
        <v>0</v>
      </c>
      <c r="T142" s="176">
        <f t="shared" si="30"/>
        <v>6</v>
      </c>
      <c r="U142" s="251">
        <f t="shared" si="31"/>
        <v>0.10195009890931554</v>
      </c>
      <c r="V142" s="383">
        <f t="shared" si="32"/>
        <v>54.141587031164384</v>
      </c>
      <c r="W142" s="402"/>
      <c r="X142" s="157">
        <f t="shared" si="33"/>
        <v>44689</v>
      </c>
      <c r="Y142" s="385">
        <f t="shared" si="34"/>
        <v>45.122808140610019</v>
      </c>
      <c r="Z142" s="385">
        <f t="shared" si="35"/>
        <v>46.574785002376331</v>
      </c>
      <c r="AA142" s="386">
        <f t="shared" si="36"/>
        <v>52.325750733601573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0.10990698940000475</v>
      </c>
      <c r="AD142" s="231">
        <f>(INDEX(Models!$BJ142:$BT142,,AH142)*(1-AF142)+INDEX(Models!$BJ142:$BT142,,AH142+1)*AF142-ERP_i)*AE142*Ramure*Pc/MaxiM</f>
        <v>1.490357327459089E-3</v>
      </c>
      <c r="AE142" s="305">
        <f t="shared" si="38"/>
        <v>0.7</v>
      </c>
      <c r="AF142" s="177">
        <f t="shared" si="39"/>
        <v>0.10195009890931554</v>
      </c>
      <c r="AG142" s="919">
        <f t="shared" si="47"/>
        <v>0</v>
      </c>
      <c r="AH142" s="176">
        <f t="shared" si="40"/>
        <v>6</v>
      </c>
      <c r="AI142" s="225">
        <f t="shared" si="41"/>
        <v>0.10195009890931554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44690</v>
      </c>
      <c r="B143" s="618">
        <v>51.841999999999999</v>
      </c>
      <c r="C143" s="953"/>
      <c r="D143" s="393">
        <f t="shared" ref="D143:D206" si="48">Wh/(1-Ppv)</f>
        <v>53.511361308256951</v>
      </c>
      <c r="E143" s="385">
        <f t="shared" si="45"/>
        <v>56.927834109622403</v>
      </c>
      <c r="F143" s="385">
        <f t="shared" ref="F143:F206" si="49">Wh_sa/(1-Pvg*MEDIAN((-Sdif+Wh/Env_an)/Csdif,0,1))</f>
        <v>57.01224461808134</v>
      </c>
      <c r="G143" s="110">
        <f t="shared" si="46"/>
        <v>0.95722551712849469</v>
      </c>
      <c r="H143" s="412" t="b">
        <f>Wh_hp&gt;='2021'!Maxi_hp</f>
        <v>1</v>
      </c>
      <c r="I143" s="380">
        <f>IF(H143,Wh_hp,'2021'!Maxi_hp)</f>
        <v>57.01224461808134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3.1196390214041636E-2</v>
      </c>
      <c r="M143" s="957"/>
      <c r="N143" s="957"/>
      <c r="O143" s="48">
        <f>IF(t&lt;Tnet,'2021'!Resal+('2021'!Salim-'2021'!Resal)*(1-EXP(('2021'!Tnet-t)/('2021'!Tau_j))),Resal+(Salim-Resal)*(1-EXP((Tnet-t)/(Tau_j))))*Salcycl</f>
        <v>6.0014101270506139E-2</v>
      </c>
      <c r="P143" s="339">
        <f>(INDEX(Models!$BJ143:$BT143,,T143)*(1-R143)+INDEX(Models!$BJ143:$BT143,,T143+1)*R143-ERP_i)*Q143*Ramure*Pc/MaxiM</f>
        <v>1.5767073657452758E-3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0.10534370812666094</v>
      </c>
      <c r="S143" s="91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0.10534370812666094</v>
      </c>
      <c r="V143" s="383">
        <f t="shared" ref="V143:V206" si="56">MaxiM*(1-Ppv)*(1-Pvg)*(1-Psa)</f>
        <v>54.153391889807551</v>
      </c>
      <c r="W143" s="402"/>
      <c r="X143" s="157">
        <f t="shared" ref="X143:X206" si="57">t</f>
        <v>44690</v>
      </c>
      <c r="Y143" s="385">
        <f t="shared" ref="Y143:Y206" si="58">Wh_pvt_s*(1-Ppv)</f>
        <v>49.080137623693723</v>
      </c>
      <c r="Z143" s="385">
        <f t="shared" ref="Z143:Z206" si="59">Wh_sa_s*(1-Psa_s)</f>
        <v>50.660564357865255</v>
      </c>
      <c r="AA143" s="386">
        <f t="shared" ref="AA143:AA206" si="60">Wh_hp*(1-Pvg_s*MEDIAN((-Sdif+Wh/Env_an)/Csdif,0,1))</f>
        <v>56.927834109622403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0.1100914842410595</v>
      </c>
      <c r="AD143" s="231">
        <f>(INDEX(Models!$BJ143:$BT143,,AH143)*(1-AF143)+INDEX(Models!$BJ143:$BT143,,AH143+1)*AF143-ERP_i)*AE143*Ramure*Pc/MaxiM</f>
        <v>1.5767073657452758E-3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0.10534370812666094</v>
      </c>
      <c r="AG143" s="919">
        <f t="shared" si="47"/>
        <v>0</v>
      </c>
      <c r="AH143" s="176">
        <f t="shared" ref="AH143:AH206" si="64">MIN(MATCH(Hp_vg_s,Echel_vg),10)</f>
        <v>6</v>
      </c>
      <c r="AI143" s="225">
        <f t="shared" ref="AI143:AI206" si="65">IF(OR(t&lt;Ttai,Notai),Hdd_s+PousH*Croivg,Hdtai_s+PousH*(Croivg-Croi_tai))</f>
        <v>0.10534370812666094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44691</v>
      </c>
      <c r="B144" s="618">
        <v>49.402000000000001</v>
      </c>
      <c r="C144" s="953"/>
      <c r="D144" s="393">
        <f t="shared" si="48"/>
        <v>50.99390790379227</v>
      </c>
      <c r="E144" s="385">
        <f t="shared" ref="E144:E169" si="69">Wh_pvt/(1-Psa)</f>
        <v>54.263232816023965</v>
      </c>
      <c r="F144" s="385">
        <f t="shared" si="49"/>
        <v>54.342369074324978</v>
      </c>
      <c r="G144" s="110">
        <f t="shared" ref="G144:G169" si="70">+Wh_hp/MaxiM</f>
        <v>0.91192144087383276</v>
      </c>
      <c r="H144" s="412" t="b">
        <f>Wh_hp&gt;='2021'!Maxi_hp</f>
        <v>1</v>
      </c>
      <c r="I144" s="380">
        <f>IF(H144,Wh_hp,'2021'!Maxi_hp)</f>
        <v>54.342369074324978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3.1217609499464949E-2</v>
      </c>
      <c r="M144" s="957"/>
      <c r="N144" s="957"/>
      <c r="O144" s="48">
        <f>IF(t&lt;Tnet,'2021'!Resal+('2021'!Salim-'2021'!Resal)*(1-EXP(('2021'!Tnet-t)/('2021'!Tau_j))),Resal+(Salim-Resal)*(1-EXP((Tnet-t)/(Tau_j))))*Salcycl</f>
        <v>6.0249357485134235E-2</v>
      </c>
      <c r="P144" s="339">
        <f>(INDEX(Models!$BJ144:$BT144,,T144)*(1-R144)+INDEX(Models!$BJ144:$BT144,,T144+1)*R144-ERP_i)*Q144*Ramure*Pc/MaxiM</f>
        <v>1.6653433378980727E-3</v>
      </c>
      <c r="Q144" s="305">
        <f t="shared" si="51"/>
        <v>0.7</v>
      </c>
      <c r="R144" s="177">
        <f t="shared" si="52"/>
        <v>0.10881870167337918</v>
      </c>
      <c r="S144" s="919">
        <f t="shared" si="53"/>
        <v>0</v>
      </c>
      <c r="T144" s="176">
        <f t="shared" si="54"/>
        <v>6</v>
      </c>
      <c r="U144" s="251">
        <f t="shared" si="55"/>
        <v>0.10881870167337918</v>
      </c>
      <c r="V144" s="383">
        <f t="shared" si="56"/>
        <v>54.162182463886005</v>
      </c>
      <c r="W144" s="402"/>
      <c r="X144" s="157">
        <f t="shared" si="57"/>
        <v>44691</v>
      </c>
      <c r="Y144" s="385">
        <f t="shared" si="58"/>
        <v>46.772077809598436</v>
      </c>
      <c r="Z144" s="385">
        <f t="shared" si="59"/>
        <v>48.27924027957711</v>
      </c>
      <c r="AA144" s="386">
        <f t="shared" si="60"/>
        <v>54.263232816023965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0.11027711077840129</v>
      </c>
      <c r="AD144" s="231">
        <f>(INDEX(Models!$BJ144:$BT144,,AH144)*(1-AF144)+INDEX(Models!$BJ144:$BT144,,AH144+1)*AF144-ERP_i)*AE144*Ramure*Pc/MaxiM</f>
        <v>1.6653433378980727E-3</v>
      </c>
      <c r="AE144" s="305">
        <f t="shared" si="62"/>
        <v>0.7</v>
      </c>
      <c r="AF144" s="177">
        <f t="shared" si="63"/>
        <v>0.10881870167337918</v>
      </c>
      <c r="AG144" s="919">
        <f t="shared" ref="AG144:AG207" si="71">INDEX(Echel_vg,AH144)</f>
        <v>0</v>
      </c>
      <c r="AH144" s="176">
        <f t="shared" si="64"/>
        <v>6</v>
      </c>
      <c r="AI144" s="225">
        <f t="shared" si="65"/>
        <v>0.10881870167337918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44692</v>
      </c>
      <c r="B145" s="618">
        <v>52.987000000000002</v>
      </c>
      <c r="C145" s="953"/>
      <c r="D145" s="393">
        <f t="shared" si="48"/>
        <v>54.695627311444092</v>
      </c>
      <c r="E145" s="385">
        <f t="shared" si="69"/>
        <v>58.216884743510427</v>
      </c>
      <c r="F145" s="385">
        <f t="shared" si="49"/>
        <v>58.316115352484751</v>
      </c>
      <c r="G145" s="110">
        <f t="shared" si="70"/>
        <v>0.97813926187284261</v>
      </c>
      <c r="H145" s="412" t="b">
        <f>Wh_hp&gt;='2021'!Maxi_hp</f>
        <v>1</v>
      </c>
      <c r="I145" s="380">
        <f>IF(H145,Wh_hp,'2021'!Maxi_hp)</f>
        <v>58.316115352484751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3.1238828320131362E-2</v>
      </c>
      <c r="M145" s="957"/>
      <c r="N145" s="957"/>
      <c r="O145" s="48">
        <f>IF(t&lt;Tnet,'2021'!Resal+('2021'!Salim-'2021'!Resal)*(1-EXP(('2021'!Tnet-t)/('2021'!Tau_j))),Resal+(Salim-Resal)*(1-EXP((Tnet-t)/(Tau_j))))*Salcycl</f>
        <v>6.0485157314413972E-2</v>
      </c>
      <c r="P145" s="339">
        <f>(INDEX(Models!$BJ145:$BT145,,T145)*(1-R145)+INDEX(Models!$BJ145:$BT145,,T145+1)*R145-ERP_i)*Q145*Ramure*Pc/MaxiM</f>
        <v>1.7563128863402647E-3</v>
      </c>
      <c r="Q145" s="305">
        <f t="shared" si="51"/>
        <v>0.7</v>
      </c>
      <c r="R145" s="177">
        <f t="shared" si="52"/>
        <v>0.11237500273174343</v>
      </c>
      <c r="S145" s="919">
        <f t="shared" si="53"/>
        <v>0</v>
      </c>
      <c r="T145" s="176">
        <f t="shared" si="54"/>
        <v>6</v>
      </c>
      <c r="U145" s="251">
        <f t="shared" si="55"/>
        <v>0.11237500273174343</v>
      </c>
      <c r="V145" s="383">
        <f t="shared" si="56"/>
        <v>54.168253915925732</v>
      </c>
      <c r="W145" s="402"/>
      <c r="X145" s="157">
        <f t="shared" si="57"/>
        <v>44692</v>
      </c>
      <c r="Y145" s="385">
        <f t="shared" si="58"/>
        <v>50.168290462595699</v>
      </c>
      <c r="Z145" s="385">
        <f t="shared" si="59"/>
        <v>51.786025213626161</v>
      </c>
      <c r="AA145" s="386">
        <f t="shared" si="60"/>
        <v>58.216884743510427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0.11046382090379932</v>
      </c>
      <c r="AD145" s="231">
        <f>(INDEX(Models!$BJ145:$BT145,,AH145)*(1-AF145)+INDEX(Models!$BJ145:$BT145,,AH145+1)*AF145-ERP_i)*AE145*Ramure*Pc/MaxiM</f>
        <v>1.7563128863402647E-3</v>
      </c>
      <c r="AE145" s="305">
        <f t="shared" si="62"/>
        <v>0.7</v>
      </c>
      <c r="AF145" s="177">
        <f t="shared" si="63"/>
        <v>0.11237500273174343</v>
      </c>
      <c r="AG145" s="919">
        <f t="shared" si="71"/>
        <v>0</v>
      </c>
      <c r="AH145" s="176">
        <f t="shared" si="64"/>
        <v>6</v>
      </c>
      <c r="AI145" s="225">
        <f t="shared" si="65"/>
        <v>0.11237500273174343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44693</v>
      </c>
      <c r="B146" s="618">
        <v>40.783999999999999</v>
      </c>
      <c r="C146" s="953"/>
      <c r="D146" s="393">
        <f t="shared" si="48"/>
        <v>42.100049512835291</v>
      </c>
      <c r="E146" s="385">
        <f t="shared" si="69"/>
        <v>44.821688614600376</v>
      </c>
      <c r="F146" s="385">
        <f t="shared" si="49"/>
        <v>44.875387929119093</v>
      </c>
      <c r="G146" s="110">
        <f t="shared" si="70"/>
        <v>0.75237039795752281</v>
      </c>
      <c r="H146" s="412" t="b">
        <f>Wh_hp&gt;='2021'!Maxi_hp</f>
        <v>0</v>
      </c>
      <c r="I146" s="380">
        <f>IF(H146,Wh_hp,'2021'!Maxi_hp)</f>
        <v>54.342875304504368</v>
      </c>
      <c r="J146" s="85">
        <f>IF(H146,An,'2021'!An_max)</f>
        <v>2019</v>
      </c>
      <c r="K146" s="197">
        <f t="shared" si="50"/>
        <v>44693</v>
      </c>
      <c r="L146" s="147">
        <f>IF(t&lt;Tvie,1-EXP((T0-t)*PertePVj)+'2021'!Pspv,1-EXP((T0-t)*PertePVj)+Pspv)</f>
        <v>3.126004667605109E-2</v>
      </c>
      <c r="M146" s="957"/>
      <c r="N146" s="957"/>
      <c r="O146" s="48">
        <f>IF(t&lt;Tnet,'2021'!Resal+('2021'!Salim-'2021'!Resal)*(1-EXP(('2021'!Tnet-t)/('2021'!Tau_j))),Resal+(Salim-Resal)*(1-EXP((Tnet-t)/(Tau_j))))*Salcycl</f>
        <v>6.0721476273844159E-2</v>
      </c>
      <c r="P146" s="339">
        <f>(INDEX(Models!$BJ146:$BT146,,T146)*(1-R146)+INDEX(Models!$BJ146:$BT146,,T146+1)*R146-ERP_i)*Q146*Ramure*Pc/MaxiM</f>
        <v>1.8496607608380936E-3</v>
      </c>
      <c r="Q146" s="305">
        <f t="shared" si="51"/>
        <v>0.7</v>
      </c>
      <c r="R146" s="177">
        <f t="shared" si="52"/>
        <v>0.11601239037957217</v>
      </c>
      <c r="S146" s="919">
        <f t="shared" si="53"/>
        <v>0</v>
      </c>
      <c r="T146" s="176">
        <f t="shared" si="54"/>
        <v>6</v>
      </c>
      <c r="U146" s="251">
        <f t="shared" si="55"/>
        <v>0.11601239037957217</v>
      </c>
      <c r="V146" s="383">
        <f t="shared" si="56"/>
        <v>54.171901323750191</v>
      </c>
      <c r="W146" s="402"/>
      <c r="X146" s="157">
        <f t="shared" si="57"/>
        <v>44693</v>
      </c>
      <c r="Y146" s="385">
        <f t="shared" si="58"/>
        <v>38.616007661442978</v>
      </c>
      <c r="Z146" s="385">
        <f t="shared" si="59"/>
        <v>39.862098728294832</v>
      </c>
      <c r="AA146" s="386">
        <f t="shared" si="60"/>
        <v>44.821688614600376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0.11065156266089426</v>
      </c>
      <c r="AD146" s="231">
        <f>(INDEX(Models!$BJ146:$BT146,,AH146)*(1-AF146)+INDEX(Models!$BJ146:$BT146,,AH146+1)*AF146-ERP_i)*AE146*Ramure*Pc/MaxiM</f>
        <v>1.8496607608380936E-3</v>
      </c>
      <c r="AE146" s="305">
        <f t="shared" si="62"/>
        <v>0.7</v>
      </c>
      <c r="AF146" s="177">
        <f t="shared" si="63"/>
        <v>0.11601239037957217</v>
      </c>
      <c r="AG146" s="919">
        <f t="shared" si="71"/>
        <v>0</v>
      </c>
      <c r="AH146" s="176">
        <f t="shared" si="64"/>
        <v>6</v>
      </c>
      <c r="AI146" s="225">
        <f t="shared" si="65"/>
        <v>0.11601239037957217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44694</v>
      </c>
      <c r="B147" s="618">
        <v>37.338999999999999</v>
      </c>
      <c r="C147" s="953"/>
      <c r="D147" s="393">
        <f t="shared" si="48"/>
        <v>38.544727828887474</v>
      </c>
      <c r="E147" s="385">
        <f t="shared" si="69"/>
        <v>41.046875038142673</v>
      </c>
      <c r="F147" s="385">
        <f t="shared" si="49"/>
        <v>41.091327459049133</v>
      </c>
      <c r="G147" s="110">
        <f t="shared" si="70"/>
        <v>0.6886535520181335</v>
      </c>
      <c r="H147" s="412" t="b">
        <f>Wh_hp&gt;='2021'!Maxi_hp</f>
        <v>0</v>
      </c>
      <c r="I147" s="380">
        <f>IF(H147,Wh_hp,'2021'!Maxi_hp)</f>
        <v>61.987907498178245</v>
      </c>
      <c r="J147" s="85">
        <f>IF(H147,An,'2021'!An_max)</f>
        <v>2019</v>
      </c>
      <c r="K147" s="197">
        <f t="shared" si="50"/>
        <v>44694</v>
      </c>
      <c r="L147" s="147">
        <f>IF(t&lt;Tvie,1-EXP((T0-t)*PertePVj)+'2021'!Pspv,1-EXP((T0-t)*PertePVj)+Pspv)</f>
        <v>3.1281264567234457E-2</v>
      </c>
      <c r="M147" s="957"/>
      <c r="N147" s="957"/>
      <c r="O147" s="48">
        <f>IF(t&lt;Tnet,'2021'!Resal+('2021'!Salim-'2021'!Resal)*(1-EXP(('2021'!Tnet-t)/('2021'!Tau_j))),Resal+(Salim-Resal)*(1-EXP((Tnet-t)/(Tau_j))))*Salcycl</f>
        <v>6.0958287492777215E-2</v>
      </c>
      <c r="P147" s="339">
        <f>(INDEX(Models!$BJ147:$BT147,,T147)*(1-R147)+INDEX(Models!$BJ147:$BT147,,T147+1)*R147-ERP_i)*Q147*Ramure*Pc/MaxiM</f>
        <v>1.9454284969930497E-3</v>
      </c>
      <c r="Q147" s="305">
        <f t="shared" si="51"/>
        <v>0.7</v>
      </c>
      <c r="R147" s="177">
        <f t="shared" si="52"/>
        <v>0.11973049350502428</v>
      </c>
      <c r="S147" s="919">
        <f t="shared" si="53"/>
        <v>0</v>
      </c>
      <c r="T147" s="176">
        <f t="shared" si="54"/>
        <v>6</v>
      </c>
      <c r="U147" s="251">
        <f t="shared" si="55"/>
        <v>0.11973049350502428</v>
      </c>
      <c r="V147" s="383">
        <f t="shared" si="56"/>
        <v>54.173419686304157</v>
      </c>
      <c r="W147" s="402"/>
      <c r="X147" s="157">
        <f t="shared" si="57"/>
        <v>44694</v>
      </c>
      <c r="Y147" s="385">
        <f t="shared" si="58"/>
        <v>35.355548462922364</v>
      </c>
      <c r="Z147" s="385">
        <f t="shared" si="59"/>
        <v>36.497227904988975</v>
      </c>
      <c r="AA147" s="386">
        <f t="shared" si="60"/>
        <v>41.046875038142673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0.11084028026313708</v>
      </c>
      <c r="AD147" s="231">
        <f>(INDEX(Models!$BJ147:$BT147,,AH147)*(1-AF147)+INDEX(Models!$BJ147:$BT147,,AH147+1)*AF147-ERP_i)*AE147*Ramure*Pc/MaxiM</f>
        <v>1.9454284969930497E-3</v>
      </c>
      <c r="AE147" s="305">
        <f t="shared" si="62"/>
        <v>0.7</v>
      </c>
      <c r="AF147" s="177">
        <f t="shared" si="63"/>
        <v>0.11973049350502428</v>
      </c>
      <c r="AG147" s="919">
        <f t="shared" si="71"/>
        <v>0</v>
      </c>
      <c r="AH147" s="176">
        <f t="shared" si="64"/>
        <v>6</v>
      </c>
      <c r="AI147" s="225">
        <f t="shared" si="65"/>
        <v>0.11973049350502428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44695</v>
      </c>
      <c r="B148" s="618">
        <v>48.727000000000004</v>
      </c>
      <c r="C148" s="953"/>
      <c r="D148" s="393">
        <f t="shared" si="48"/>
        <v>50.301563794945821</v>
      </c>
      <c r="E148" s="385">
        <f t="shared" si="69"/>
        <v>53.580449498923301</v>
      </c>
      <c r="F148" s="385">
        <f t="shared" si="49"/>
        <v>53.674387822969464</v>
      </c>
      <c r="G148" s="110">
        <f t="shared" si="70"/>
        <v>0.89920403113737557</v>
      </c>
      <c r="H148" s="412" t="b">
        <f>Wh_hp&gt;='2021'!Maxi_hp</f>
        <v>0</v>
      </c>
      <c r="I148" s="380">
        <f>IF(H148,Wh_hp,'2021'!Maxi_hp)</f>
        <v>60.924968033525275</v>
      </c>
      <c r="J148" s="85">
        <f>IF(H148,An,'2021'!An_max)</f>
        <v>2019</v>
      </c>
      <c r="K148" s="197">
        <f t="shared" si="50"/>
        <v>44695</v>
      </c>
      <c r="L148" s="147">
        <f>IF(t&lt;Tvie,1-EXP((T0-t)*PertePVj)+'2021'!Pspv,1-EXP((T0-t)*PertePVj)+Pspv)</f>
        <v>3.1302481993691567E-2</v>
      </c>
      <c r="M148" s="957"/>
      <c r="N148" s="957"/>
      <c r="O148" s="48">
        <f>IF(t&lt;Tnet,'2021'!Resal+('2021'!Salim-'2021'!Resal)*(1-EXP(('2021'!Tnet-t)/('2021'!Tau_j))),Resal+(Salim-Resal)*(1-EXP((Tnet-t)/(Tau_j))))*Salcycl</f>
        <v>6.1195561714042154E-2</v>
      </c>
      <c r="P148" s="339">
        <f>(INDEX(Models!$BJ148:$BT148,,T148)*(1-R148)+INDEX(Models!$BJ148:$BT148,,T148+1)*R148-ERP_i)*Q148*Ramure*Pc/MaxiM</f>
        <v>2.0436540848551431E-3</v>
      </c>
      <c r="Q148" s="305">
        <f t="shared" si="51"/>
        <v>0.7</v>
      </c>
      <c r="R148" s="177">
        <f t="shared" si="52"/>
        <v>0.12352878507062665</v>
      </c>
      <c r="S148" s="919">
        <f t="shared" si="53"/>
        <v>0</v>
      </c>
      <c r="T148" s="176">
        <f t="shared" si="54"/>
        <v>6</v>
      </c>
      <c r="U148" s="251">
        <f t="shared" si="55"/>
        <v>0.12352878507062665</v>
      </c>
      <c r="V148" s="383">
        <f t="shared" si="56"/>
        <v>54.17310393582224</v>
      </c>
      <c r="W148" s="402"/>
      <c r="X148" s="157">
        <f t="shared" si="57"/>
        <v>44695</v>
      </c>
      <c r="Y148" s="385">
        <f t="shared" si="58"/>
        <v>46.140435225542973</v>
      </c>
      <c r="Z148" s="385">
        <f t="shared" si="59"/>
        <v>47.631416792008849</v>
      </c>
      <c r="AA148" s="386">
        <f t="shared" si="60"/>
        <v>53.580449498923301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0.11102991413004096</v>
      </c>
      <c r="AD148" s="231">
        <f>(INDEX(Models!$BJ148:$BT148,,AH148)*(1-AF148)+INDEX(Models!$BJ148:$BT148,,AH148+1)*AF148-ERP_i)*AE148*Ramure*Pc/MaxiM</f>
        <v>2.0436540848551431E-3</v>
      </c>
      <c r="AE148" s="305">
        <f t="shared" si="62"/>
        <v>0.7</v>
      </c>
      <c r="AF148" s="177">
        <f t="shared" si="63"/>
        <v>0.12352878507062665</v>
      </c>
      <c r="AG148" s="919">
        <f t="shared" si="71"/>
        <v>0</v>
      </c>
      <c r="AH148" s="176">
        <f t="shared" si="64"/>
        <v>6</v>
      </c>
      <c r="AI148" s="225">
        <f t="shared" si="65"/>
        <v>0.12352878507062665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44696</v>
      </c>
      <c r="B149" s="618">
        <v>49.704999999999998</v>
      </c>
      <c r="C149" s="953"/>
      <c r="D149" s="393">
        <f t="shared" si="48"/>
        <v>51.312290748107337</v>
      </c>
      <c r="E149" s="385">
        <f t="shared" si="69"/>
        <v>54.670902942351802</v>
      </c>
      <c r="F149" s="385">
        <f t="shared" si="49"/>
        <v>54.774530165071951</v>
      </c>
      <c r="G149" s="110">
        <f t="shared" si="70"/>
        <v>0.91733703350941975</v>
      </c>
      <c r="H149" s="412" t="b">
        <f>Wh_hp&gt;='2021'!Maxi_hp</f>
        <v>0</v>
      </c>
      <c r="I149" s="380">
        <f>IF(H149,Wh_hp,'2021'!Maxi_hp)</f>
        <v>61.115724809852011</v>
      </c>
      <c r="J149" s="85">
        <f>IF(H149,An,'2021'!An_max)</f>
        <v>2019</v>
      </c>
      <c r="K149" s="197">
        <f t="shared" si="50"/>
        <v>44696</v>
      </c>
      <c r="L149" s="147">
        <f>IF(t&lt;Tvie,1-EXP((T0-t)*PertePVj)+'2021'!Pspv,1-EXP((T0-t)*PertePVj)+Pspv)</f>
        <v>3.1323698955432522E-2</v>
      </c>
      <c r="M149" s="957"/>
      <c r="N149" s="957"/>
      <c r="O149" s="48">
        <f>IF(t&lt;Tnet,'2021'!Resal+('2021'!Salim-'2021'!Resal)*(1-EXP(('2021'!Tnet-t)/('2021'!Tau_j))),Resal+(Salim-Resal)*(1-EXP((Tnet-t)/(Tau_j))))*Salcycl</f>
        <v>6.143326730465716E-2</v>
      </c>
      <c r="P149" s="339">
        <f>(INDEX(Models!$BJ149:$BT149,,T149)*(1-R149)+INDEX(Models!$BJ149:$BT149,,T149+1)*R149-ERP_i)*Q149*Ramure*Pc/MaxiM</f>
        <v>2.144409014836013E-3</v>
      </c>
      <c r="Q149" s="305">
        <f t="shared" si="51"/>
        <v>0.7</v>
      </c>
      <c r="R149" s="177">
        <f t="shared" si="52"/>
        <v>0.12740657678566628</v>
      </c>
      <c r="S149" s="919">
        <f t="shared" si="53"/>
        <v>0</v>
      </c>
      <c r="T149" s="176">
        <f t="shared" si="54"/>
        <v>6</v>
      </c>
      <c r="U149" s="251">
        <f t="shared" si="55"/>
        <v>0.12740657678566628</v>
      </c>
      <c r="V149" s="383">
        <f t="shared" si="56"/>
        <v>54.170302503734653</v>
      </c>
      <c r="W149" s="402"/>
      <c r="X149" s="157">
        <f t="shared" si="57"/>
        <v>44696</v>
      </c>
      <c r="Y149" s="385">
        <f t="shared" si="58"/>
        <v>47.068352661809548</v>
      </c>
      <c r="Z149" s="385">
        <f t="shared" si="59"/>
        <v>48.590383197207998</v>
      </c>
      <c r="AA149" s="386">
        <f t="shared" si="60"/>
        <v>54.670902942351802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0.11122040094262677</v>
      </c>
      <c r="AD149" s="231">
        <f>(INDEX(Models!$BJ149:$BT149,,AH149)*(1-AF149)+INDEX(Models!$BJ149:$BT149,,AH149+1)*AF149-ERP_i)*AE149*Ramure*Pc/MaxiM</f>
        <v>2.144409014836013E-3</v>
      </c>
      <c r="AE149" s="305">
        <f t="shared" si="62"/>
        <v>0.7</v>
      </c>
      <c r="AF149" s="177">
        <f t="shared" si="63"/>
        <v>0.12740657678566628</v>
      </c>
      <c r="AG149" s="919">
        <f t="shared" si="71"/>
        <v>0</v>
      </c>
      <c r="AH149" s="176">
        <f t="shared" si="64"/>
        <v>6</v>
      </c>
      <c r="AI149" s="225">
        <f t="shared" si="65"/>
        <v>0.12740657678566628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44697</v>
      </c>
      <c r="B150" s="618">
        <v>47.853999999999999</v>
      </c>
      <c r="C150" s="953"/>
      <c r="D150" s="393">
        <f t="shared" si="48"/>
        <v>49.402517741754316</v>
      </c>
      <c r="E150" s="385">
        <f t="shared" si="69"/>
        <v>52.649483535849889</v>
      </c>
      <c r="F150" s="385">
        <f t="shared" si="49"/>
        <v>52.748305132463607</v>
      </c>
      <c r="G150" s="110">
        <f t="shared" si="70"/>
        <v>0.88316680530008163</v>
      </c>
      <c r="H150" s="412" t="b">
        <f>Wh_hp&gt;='2021'!Maxi_hp</f>
        <v>0</v>
      </c>
      <c r="I150" s="380">
        <f>IF(H150,Wh_hp,'2021'!Maxi_hp)</f>
        <v>53.059049152756259</v>
      </c>
      <c r="J150" s="85">
        <f>IF(H150,An,'2021'!An_max)</f>
        <v>2019</v>
      </c>
      <c r="K150" s="197">
        <f t="shared" si="50"/>
        <v>44697</v>
      </c>
      <c r="L150" s="147">
        <f>IF(t&lt;Tvie,1-EXP((T0-t)*PertePVj)+'2021'!Pspv,1-EXP((T0-t)*PertePVj)+Pspv)</f>
        <v>3.1344915452467537E-2</v>
      </c>
      <c r="M150" s="957"/>
      <c r="N150" s="957"/>
      <c r="O150" s="48">
        <f>IF(t&lt;Tnet,'2021'!Resal+('2021'!Salim-'2021'!Resal)*(1-EXP(('2021'!Tnet-t)/('2021'!Tau_j))),Resal+(Salim-Resal)*(1-EXP((Tnet-t)/(Tau_j))))*Salcycl</f>
        <v>6.1671370278203332E-2</v>
      </c>
      <c r="P150" s="339">
        <f>(INDEX(Models!$BJ150:$BT150,,T150)*(1-R150)+INDEX(Models!$BJ150:$BT150,,T150+1)*R150-ERP_i)*Q150*Ramure*Pc/MaxiM</f>
        <v>2.2475123976742426E-3</v>
      </c>
      <c r="Q150" s="305">
        <f t="shared" si="51"/>
        <v>0.7</v>
      </c>
      <c r="R150" s="177">
        <f t="shared" si="52"/>
        <v>0.13136301424679239</v>
      </c>
      <c r="S150" s="919">
        <f t="shared" si="53"/>
        <v>0</v>
      </c>
      <c r="T150" s="176">
        <f t="shared" si="54"/>
        <v>6</v>
      </c>
      <c r="U150" s="251">
        <f t="shared" si="55"/>
        <v>0.13136301424679239</v>
      </c>
      <c r="V150" s="383">
        <f t="shared" si="56"/>
        <v>54.164248464612697</v>
      </c>
      <c r="W150" s="402"/>
      <c r="X150" s="157">
        <f t="shared" si="57"/>
        <v>44697</v>
      </c>
      <c r="Y150" s="385">
        <f t="shared" si="58"/>
        <v>45.317284817865065</v>
      </c>
      <c r="Z150" s="385">
        <f t="shared" si="59"/>
        <v>46.783716454689525</v>
      </c>
      <c r="AA150" s="386">
        <f t="shared" si="60"/>
        <v>52.649483535849889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0.11141167371881751</v>
      </c>
      <c r="AD150" s="231">
        <f>(INDEX(Models!$BJ150:$BT150,,AH150)*(1-AF150)+INDEX(Models!$BJ150:$BT150,,AH150+1)*AF150-ERP_i)*AE150*Ramure*Pc/MaxiM</f>
        <v>2.2475123976742426E-3</v>
      </c>
      <c r="AE150" s="305">
        <f t="shared" si="62"/>
        <v>0.7</v>
      </c>
      <c r="AF150" s="177">
        <f t="shared" si="63"/>
        <v>0.13136301424679239</v>
      </c>
      <c r="AG150" s="919">
        <f t="shared" si="71"/>
        <v>0</v>
      </c>
      <c r="AH150" s="176">
        <f t="shared" si="64"/>
        <v>6</v>
      </c>
      <c r="AI150" s="225">
        <f t="shared" si="65"/>
        <v>0.13136301424679239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44698</v>
      </c>
      <c r="B151" s="618">
        <v>51.231000000000002</v>
      </c>
      <c r="C151" s="953"/>
      <c r="D151" s="393">
        <f t="shared" si="48"/>
        <v>52.889953227148013</v>
      </c>
      <c r="E151" s="385">
        <f t="shared" si="69"/>
        <v>56.380458044069705</v>
      </c>
      <c r="F151" s="385">
        <f t="shared" si="49"/>
        <v>56.50310848003005</v>
      </c>
      <c r="G151" s="110">
        <f t="shared" si="70"/>
        <v>0.94583323269762598</v>
      </c>
      <c r="H151" s="412" t="b">
        <f>Wh_hp&gt;='2021'!Maxi_hp</f>
        <v>1</v>
      </c>
      <c r="I151" s="380">
        <f>IF(H151,Wh_hp,'2021'!Maxi_hp)</f>
        <v>56.50310848003005</v>
      </c>
      <c r="J151" s="85">
        <f>IF(H151,An,'2021'!An_max)</f>
        <v>2022</v>
      </c>
      <c r="K151" s="197">
        <f t="shared" si="50"/>
        <v>44698</v>
      </c>
      <c r="L151" s="147">
        <f>IF(t&lt;Tvie,1-EXP((T0-t)*PertePVj)+'2021'!Pspv,1-EXP((T0-t)*PertePVj)+Pspv)</f>
        <v>3.1366131484806936E-2</v>
      </c>
      <c r="M151" s="957"/>
      <c r="N151" s="957"/>
      <c r="O151" s="48">
        <f>IF(t&lt;Tnet,'2021'!Resal+('2021'!Salim-'2021'!Resal)*(1-EXP(('2021'!Tnet-t)/('2021'!Tau_j))),Resal+(Salim-Resal)*(1-EXP((Tnet-t)/(Tau_j))))*Salcycl</f>
        <v>6.1909834329358295E-2</v>
      </c>
      <c r="P151" s="339">
        <f>(INDEX(Models!$BJ151:$BT151,,T151)*(1-R151)+INDEX(Models!$BJ151:$BT151,,T151+1)*R151-ERP_i)*Q151*Ramure*Pc/MaxiM</f>
        <v>2.3521160960708167E-3</v>
      </c>
      <c r="Q151" s="305">
        <f t="shared" si="51"/>
        <v>0.7</v>
      </c>
      <c r="R151" s="177">
        <f t="shared" si="52"/>
        <v>0.1353970726067662</v>
      </c>
      <c r="S151" s="919">
        <f t="shared" si="53"/>
        <v>0</v>
      </c>
      <c r="T151" s="176">
        <f t="shared" si="54"/>
        <v>6</v>
      </c>
      <c r="U151" s="251">
        <f t="shared" si="55"/>
        <v>0.1353970726067662</v>
      </c>
      <c r="V151" s="383">
        <f t="shared" si="56"/>
        <v>54.155091087738398</v>
      </c>
      <c r="W151" s="402"/>
      <c r="X151" s="157">
        <f t="shared" si="57"/>
        <v>44698</v>
      </c>
      <c r="Y151" s="385">
        <f t="shared" si="58"/>
        <v>48.517119635490602</v>
      </c>
      <c r="Z151" s="385">
        <f t="shared" si="59"/>
        <v>50.088192466222452</v>
      </c>
      <c r="AA151" s="386">
        <f t="shared" si="60"/>
        <v>56.380458044069705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0.1116036619093962</v>
      </c>
      <c r="AD151" s="231">
        <f>(INDEX(Models!$BJ151:$BT151,,AH151)*(1-AF151)+INDEX(Models!$BJ151:$BT151,,AH151+1)*AF151-ERP_i)*AE151*Ramure*Pc/MaxiM</f>
        <v>2.3521160960708167E-3</v>
      </c>
      <c r="AE151" s="305">
        <f t="shared" si="62"/>
        <v>0.7</v>
      </c>
      <c r="AF151" s="177">
        <f t="shared" si="63"/>
        <v>0.1353970726067662</v>
      </c>
      <c r="AG151" s="919">
        <f t="shared" si="71"/>
        <v>0</v>
      </c>
      <c r="AH151" s="176">
        <f t="shared" si="64"/>
        <v>6</v>
      </c>
      <c r="AI151" s="225">
        <f t="shared" si="65"/>
        <v>0.1353970726067662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44699</v>
      </c>
      <c r="B152" s="618">
        <v>49.624000000000002</v>
      </c>
      <c r="C152" s="953"/>
      <c r="D152" s="393">
        <f t="shared" si="48"/>
        <v>51.232037749033694</v>
      </c>
      <c r="E152" s="385">
        <f t="shared" si="69"/>
        <v>54.627032480520015</v>
      </c>
      <c r="F152" s="385">
        <f t="shared" si="49"/>
        <v>54.745563862297679</v>
      </c>
      <c r="G152" s="110">
        <f t="shared" si="70"/>
        <v>0.91626775512682768</v>
      </c>
      <c r="H152" s="412" t="b">
        <f>Wh_hp&gt;='2021'!Maxi_hp</f>
        <v>0</v>
      </c>
      <c r="I152" s="380">
        <f>IF(H152,Wh_hp,'2021'!Maxi_hp)</f>
        <v>59.62470514235855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3.1387347052460712E-2</v>
      </c>
      <c r="M152" s="957"/>
      <c r="N152" s="957"/>
      <c r="O152" s="48">
        <f>IF(t&lt;Tnet,'2021'!Resal+('2021'!Salim-'2021'!Resal)*(1-EXP(('2021'!Tnet-t)/('2021'!Tau_j))),Resal+(Salim-Resal)*(1-EXP((Tnet-t)/(Tau_j))))*Salcycl</f>
        <v>6.2148620881007449E-2</v>
      </c>
      <c r="P152" s="339">
        <f>(INDEX(Models!$BJ152:$BT152,,T152)*(1-R152)+INDEX(Models!$BJ152:$BT152,,T152+1)*R152-ERP_i)*Q152*Ramure*Pc/MaxiM</f>
        <v>2.4582345889136645E-3</v>
      </c>
      <c r="Q152" s="305">
        <f t="shared" si="51"/>
        <v>0.7</v>
      </c>
      <c r="R152" s="177">
        <f t="shared" si="52"/>
        <v>0.1395075528307233</v>
      </c>
      <c r="S152" s="919">
        <f t="shared" si="53"/>
        <v>0</v>
      </c>
      <c r="T152" s="176">
        <f t="shared" si="54"/>
        <v>6</v>
      </c>
      <c r="U152" s="251">
        <f t="shared" si="55"/>
        <v>0.1395075528307233</v>
      </c>
      <c r="V152" s="383">
        <f t="shared" si="56"/>
        <v>54.142932836232845</v>
      </c>
      <c r="W152" s="402"/>
      <c r="X152" s="157">
        <f t="shared" si="57"/>
        <v>44699</v>
      </c>
      <c r="Y152" s="385">
        <f t="shared" si="58"/>
        <v>46.997020861945977</v>
      </c>
      <c r="Z152" s="385">
        <f t="shared" si="59"/>
        <v>48.519932832728919</v>
      </c>
      <c r="AA152" s="386">
        <f t="shared" si="60"/>
        <v>54.627032480520015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0.1117962915149909</v>
      </c>
      <c r="AD152" s="231">
        <f>(INDEX(Models!$BJ152:$BT152,,AH152)*(1-AF152)+INDEX(Models!$BJ152:$BT152,,AH152+1)*AF152-ERP_i)*AE152*Ramure*Pc/MaxiM</f>
        <v>2.4582345889136645E-3</v>
      </c>
      <c r="AE152" s="305">
        <f t="shared" si="62"/>
        <v>0.7</v>
      </c>
      <c r="AF152" s="177">
        <f t="shared" si="63"/>
        <v>0.1395075528307233</v>
      </c>
      <c r="AG152" s="919">
        <f t="shared" si="71"/>
        <v>0</v>
      </c>
      <c r="AH152" s="176">
        <f t="shared" si="64"/>
        <v>6</v>
      </c>
      <c r="AI152" s="225">
        <f t="shared" si="65"/>
        <v>0.1395075528307233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44700</v>
      </c>
      <c r="B153" s="618">
        <v>51.832000000000001</v>
      </c>
      <c r="C153" s="953"/>
      <c r="D153" s="393">
        <f t="shared" si="48"/>
        <v>53.512758811231585</v>
      </c>
      <c r="E153" s="385">
        <f t="shared" si="69"/>
        <v>57.073438767449275</v>
      </c>
      <c r="F153" s="385">
        <f t="shared" si="49"/>
        <v>57.211341075321513</v>
      </c>
      <c r="G153" s="110">
        <f t="shared" si="70"/>
        <v>0.9574349725891278</v>
      </c>
      <c r="H153" s="412" t="b">
        <f>Wh_hp&gt;='2021'!Maxi_hp</f>
        <v>0</v>
      </c>
      <c r="I153" s="380">
        <f>IF(H153,Wh_hp,'2021'!Maxi_hp)</f>
        <v>59.775748831066402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3.1408562155439079E-2</v>
      </c>
      <c r="M153" s="957"/>
      <c r="N153" s="957"/>
      <c r="O153" s="48">
        <f>IF(t&lt;Tnet,'2021'!Resal+('2021'!Salim-'2021'!Resal)*(1-EXP(('2021'!Tnet-t)/('2021'!Tau_j))),Resal+(Salim-Resal)*(1-EXP((Tnet-t)/(Tau_j))))*Salcycl</f>
        <v>6.238768914426189E-2</v>
      </c>
      <c r="P153" s="339">
        <f>(INDEX(Models!$BJ153:$BT153,,T153)*(1-R153)+INDEX(Models!$BJ153:$BT153,,T153+1)*R153-ERP_i)*Q153*Ramure*Pc/MaxiM</f>
        <v>2.5658783781500874E-3</v>
      </c>
      <c r="Q153" s="305">
        <f t="shared" si="51"/>
        <v>0.7</v>
      </c>
      <c r="R153" s="177">
        <f t="shared" si="52"/>
        <v>0.14369307859801977</v>
      </c>
      <c r="S153" s="919">
        <f t="shared" si="53"/>
        <v>0</v>
      </c>
      <c r="T153" s="176">
        <f t="shared" si="54"/>
        <v>6</v>
      </c>
      <c r="U153" s="251">
        <f t="shared" si="55"/>
        <v>0.14369307859801977</v>
      </c>
      <c r="V153" s="383">
        <f t="shared" si="56"/>
        <v>54.127876398481497</v>
      </c>
      <c r="W153" s="402"/>
      <c r="X153" s="157">
        <f t="shared" si="57"/>
        <v>44700</v>
      </c>
      <c r="Y153" s="385">
        <f t="shared" si="58"/>
        <v>49.089970842897145</v>
      </c>
      <c r="Z153" s="385">
        <f t="shared" si="59"/>
        <v>50.681813739897088</v>
      </c>
      <c r="AA153" s="386">
        <f t="shared" si="60"/>
        <v>57.073438767449275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0.11198948522438645</v>
      </c>
      <c r="AD153" s="231">
        <f>(INDEX(Models!$BJ153:$BT153,,AH153)*(1-AF153)+INDEX(Models!$BJ153:$BT153,,AH153+1)*AF153-ERP_i)*AE153*Ramure*Pc/MaxiM</f>
        <v>2.5658783781500874E-3</v>
      </c>
      <c r="AE153" s="305">
        <f t="shared" si="62"/>
        <v>0.7</v>
      </c>
      <c r="AF153" s="177">
        <f t="shared" si="63"/>
        <v>0.14369307859801977</v>
      </c>
      <c r="AG153" s="919">
        <f t="shared" si="71"/>
        <v>0</v>
      </c>
      <c r="AH153" s="176">
        <f t="shared" si="64"/>
        <v>6</v>
      </c>
      <c r="AI153" s="225">
        <f t="shared" si="65"/>
        <v>0.14369307859801977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44701</v>
      </c>
      <c r="B154" s="618">
        <v>47.006</v>
      </c>
      <c r="C154" s="953"/>
      <c r="D154" s="393">
        <f t="shared" si="48"/>
        <v>48.531328832716468</v>
      </c>
      <c r="E154" s="385">
        <f t="shared" si="69"/>
        <v>51.773764163830336</v>
      </c>
      <c r="F154" s="385">
        <f t="shared" si="49"/>
        <v>51.886530929326867</v>
      </c>
      <c r="G154" s="110">
        <f t="shared" si="70"/>
        <v>0.86827468779093298</v>
      </c>
      <c r="H154" s="412" t="b">
        <f>Wh_hp&gt;='2021'!Maxi_hp</f>
        <v>0</v>
      </c>
      <c r="I154" s="380">
        <f>IF(H154,Wh_hp,'2021'!Maxi_hp)</f>
        <v>61.745336141235896</v>
      </c>
      <c r="J154" s="85">
        <f>IF(H154,An,'2021'!An_max)</f>
        <v>2021</v>
      </c>
      <c r="K154" s="197">
        <f t="shared" si="50"/>
        <v>44701</v>
      </c>
      <c r="L154" s="147">
        <f>IF(t&lt;Tvie,1-EXP((T0-t)*PertePVj)+'2021'!Pspv,1-EXP((T0-t)*PertePVj)+Pspv)</f>
        <v>3.1429776793752251E-2</v>
      </c>
      <c r="M154" s="957"/>
      <c r="N154" s="957"/>
      <c r="O154" s="48">
        <f>IF(t&lt;Tnet,'2021'!Resal+('2021'!Salim-'2021'!Resal)*(1-EXP(('2021'!Tnet-t)/('2021'!Tau_j))),Resal+(Salim-Resal)*(1-EXP((Tnet-t)/(Tau_j))))*Salcycl</f>
        <v>6.2626996191616741E-2</v>
      </c>
      <c r="P154" s="339">
        <f>(INDEX(Models!$BJ154:$BT154,,T154)*(1-R154)+INDEX(Models!$BJ154:$BT154,,T154+1)*R154-ERP_i)*Q154*Ramure*Pc/MaxiM</f>
        <v>2.6750538453137085E-3</v>
      </c>
      <c r="Q154" s="305">
        <f t="shared" si="51"/>
        <v>0.7</v>
      </c>
      <c r="R154" s="177">
        <f t="shared" si="52"/>
        <v>0.14795209390568045</v>
      </c>
      <c r="S154" s="919">
        <f t="shared" si="53"/>
        <v>0</v>
      </c>
      <c r="T154" s="176">
        <f t="shared" si="54"/>
        <v>6</v>
      </c>
      <c r="U154" s="251">
        <f t="shared" si="55"/>
        <v>0.14795209390568045</v>
      </c>
      <c r="V154" s="383">
        <f t="shared" si="56"/>
        <v>54.110024688871768</v>
      </c>
      <c r="W154" s="402"/>
      <c r="X154" s="157">
        <f t="shared" si="57"/>
        <v>44701</v>
      </c>
      <c r="Y154" s="385">
        <f t="shared" si="58"/>
        <v>44.520930398550036</v>
      </c>
      <c r="Z154" s="385">
        <f t="shared" si="59"/>
        <v>45.965619561556281</v>
      </c>
      <c r="AA154" s="386">
        <f t="shared" si="60"/>
        <v>51.773764163830336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0.11218316257429253</v>
      </c>
      <c r="AD154" s="231">
        <f>(INDEX(Models!$BJ154:$BT154,,AH154)*(1-AF154)+INDEX(Models!$BJ154:$BT154,,AH154+1)*AF154-ERP_i)*AE154*Ramure*Pc/MaxiM</f>
        <v>2.6750538453137085E-3</v>
      </c>
      <c r="AE154" s="305">
        <f t="shared" si="62"/>
        <v>0.7</v>
      </c>
      <c r="AF154" s="177">
        <f t="shared" si="63"/>
        <v>0.14795209390568045</v>
      </c>
      <c r="AG154" s="919">
        <f t="shared" si="71"/>
        <v>0</v>
      </c>
      <c r="AH154" s="176">
        <f t="shared" si="64"/>
        <v>6</v>
      </c>
      <c r="AI154" s="225">
        <f t="shared" si="65"/>
        <v>0.14795209390568045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44702</v>
      </c>
      <c r="B155" s="618">
        <v>47.573999999999998</v>
      </c>
      <c r="C155" s="953"/>
      <c r="D155" s="393">
        <f t="shared" si="48"/>
        <v>49.118836069553232</v>
      </c>
      <c r="E155" s="385">
        <f t="shared" si="69"/>
        <v>52.413915322187584</v>
      </c>
      <c r="F155" s="385">
        <f t="shared" si="49"/>
        <v>52.535081353113085</v>
      </c>
      <c r="G155" s="110">
        <f t="shared" si="70"/>
        <v>0.87911994185328213</v>
      </c>
      <c r="H155" s="412" t="b">
        <f>Wh_hp&gt;='2021'!Maxi_hp</f>
        <v>0</v>
      </c>
      <c r="I155" s="380">
        <f>IF(H155,Wh_hp,'2021'!Maxi_hp)</f>
        <v>58.246676654523853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3.1450990967410442E-2</v>
      </c>
      <c r="M155" s="957"/>
      <c r="N155" s="957"/>
      <c r="O155" s="48">
        <f>IF(t&lt;Tnet,'2021'!Resal+('2021'!Salim-'2021'!Resal)*(1-EXP(('2021'!Tnet-t)/('2021'!Tau_j))),Resal+(Salim-Resal)*(1-EXP((Tnet-t)/(Tau_j))))*Salcycl</f>
        <v>6.2866497043381486E-2</v>
      </c>
      <c r="P155" s="339">
        <f>(INDEX(Models!$BJ155:$BT155,,T155)*(1-R155)+INDEX(Models!$BJ155:$BT155,,T155+1)*R155-ERP_i)*Q155*Ramure*Pc/MaxiM</f>
        <v>2.7857631173735273E-3</v>
      </c>
      <c r="Q155" s="305">
        <f t="shared" si="51"/>
        <v>0.7</v>
      </c>
      <c r="R155" s="177">
        <f t="shared" si="52"/>
        <v>0.15228286142662331</v>
      </c>
      <c r="S155" s="919">
        <f t="shared" si="53"/>
        <v>0</v>
      </c>
      <c r="T155" s="176">
        <f t="shared" si="54"/>
        <v>6</v>
      </c>
      <c r="U155" s="251">
        <f t="shared" si="55"/>
        <v>0.15228286142662331</v>
      </c>
      <c r="V155" s="383">
        <f t="shared" si="56"/>
        <v>54.089480850882019</v>
      </c>
      <c r="W155" s="402"/>
      <c r="X155" s="157">
        <f t="shared" si="57"/>
        <v>44702</v>
      </c>
      <c r="Y155" s="385">
        <f t="shared" si="58"/>
        <v>45.060565058024224</v>
      </c>
      <c r="Z155" s="385">
        <f t="shared" si="59"/>
        <v>46.523784173845591</v>
      </c>
      <c r="AA155" s="386">
        <f t="shared" si="60"/>
        <v>52.413915322187584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0.11237724013051573</v>
      </c>
      <c r="AD155" s="231">
        <f>(INDEX(Models!$BJ155:$BT155,,AH155)*(1-AF155)+INDEX(Models!$BJ155:$BT155,,AH155+1)*AF155-ERP_i)*AE155*Ramure*Pc/MaxiM</f>
        <v>2.7857631173735273E-3</v>
      </c>
      <c r="AE155" s="305">
        <f t="shared" si="62"/>
        <v>0.7</v>
      </c>
      <c r="AF155" s="177">
        <f t="shared" si="63"/>
        <v>0.15228286142662331</v>
      </c>
      <c r="AG155" s="919">
        <f t="shared" si="71"/>
        <v>0</v>
      </c>
      <c r="AH155" s="176">
        <f t="shared" si="64"/>
        <v>6</v>
      </c>
      <c r="AI155" s="225">
        <f t="shared" si="65"/>
        <v>0.15228286142662331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44703</v>
      </c>
      <c r="B156" s="618">
        <v>36.386000000000003</v>
      </c>
      <c r="C156" s="953"/>
      <c r="D156" s="393">
        <f t="shared" si="48"/>
        <v>37.568359086528616</v>
      </c>
      <c r="E156" s="385">
        <f t="shared" si="69"/>
        <v>40.098842442724674</v>
      </c>
      <c r="F156" s="385">
        <f t="shared" si="49"/>
        <v>40.160866911316702</v>
      </c>
      <c r="G156" s="110">
        <f t="shared" si="70"/>
        <v>0.67207556610706198</v>
      </c>
      <c r="H156" s="412" t="b">
        <f>Wh_hp&gt;='2021'!Maxi_hp</f>
        <v>0</v>
      </c>
      <c r="I156" s="380">
        <f>IF(H156,Wh_hp,'2021'!Maxi_hp)</f>
        <v>58.677512490213942</v>
      </c>
      <c r="J156" s="85">
        <f>IF(H156,An,'2021'!An_max)</f>
        <v>2019</v>
      </c>
      <c r="K156" s="197">
        <f t="shared" si="50"/>
        <v>44703</v>
      </c>
      <c r="L156" s="147">
        <f>IF(t&lt;Tvie,1-EXP((T0-t)*PertePVj)+'2021'!Pspv,1-EXP((T0-t)*PertePVj)+Pspv)</f>
        <v>3.1472204676423754E-2</v>
      </c>
      <c r="M156" s="957"/>
      <c r="N156" s="957"/>
      <c r="O156" s="48">
        <f>IF(t&lt;Tnet,'2021'!Resal+('2021'!Salim-'2021'!Resal)*(1-EXP(('2021'!Tnet-t)/('2021'!Tau_j))),Resal+(Salim-Resal)*(1-EXP((Tnet-t)/(Tau_j))))*Salcycl</f>
        <v>6.310614476740771E-2</v>
      </c>
      <c r="P156" s="339">
        <f>(INDEX(Models!$BJ156:$BT156,,T156)*(1-R156)+INDEX(Models!$BJ156:$BT156,,T156+1)*R156-ERP_i)*Q156*Ramure*Pc/MaxiM</f>
        <v>2.8984305278812721E-3</v>
      </c>
      <c r="Q156" s="305">
        <f t="shared" si="51"/>
        <v>0.7</v>
      </c>
      <c r="R156" s="177">
        <f t="shared" si="52"/>
        <v>0.15668346167217889</v>
      </c>
      <c r="S156" s="919">
        <f t="shared" si="53"/>
        <v>0</v>
      </c>
      <c r="T156" s="176">
        <f t="shared" si="54"/>
        <v>6</v>
      </c>
      <c r="U156" s="251">
        <f t="shared" si="55"/>
        <v>0.15668346167217889</v>
      </c>
      <c r="V156" s="383">
        <f t="shared" si="56"/>
        <v>54.06632511905589</v>
      </c>
      <c r="W156" s="402"/>
      <c r="X156" s="157">
        <f t="shared" si="57"/>
        <v>44703</v>
      </c>
      <c r="Y156" s="385">
        <f t="shared" si="58"/>
        <v>34.464916627402239</v>
      </c>
      <c r="Z156" s="385">
        <f t="shared" si="59"/>
        <v>35.584850320054912</v>
      </c>
      <c r="AA156" s="386">
        <f t="shared" si="60"/>
        <v>40.098842442724674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0.11257163169029986</v>
      </c>
      <c r="AD156" s="231">
        <f>(INDEX(Models!$BJ156:$BT156,,AH156)*(1-AF156)+INDEX(Models!$BJ156:$BT156,,AH156+1)*AF156-ERP_i)*AE156*Ramure*Pc/MaxiM</f>
        <v>2.8984305278812721E-3</v>
      </c>
      <c r="AE156" s="305">
        <f t="shared" si="62"/>
        <v>0.7</v>
      </c>
      <c r="AF156" s="177">
        <f t="shared" si="63"/>
        <v>0.15668346167217889</v>
      </c>
      <c r="AG156" s="919">
        <f t="shared" si="71"/>
        <v>0</v>
      </c>
      <c r="AH156" s="176">
        <f t="shared" si="64"/>
        <v>6</v>
      </c>
      <c r="AI156" s="225">
        <f t="shared" si="65"/>
        <v>0.15668346167217889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44704</v>
      </c>
      <c r="B157" s="618">
        <v>16.992000000000001</v>
      </c>
      <c r="C157" s="953"/>
      <c r="D157" s="393">
        <f t="shared" si="48"/>
        <v>17.544537450144574</v>
      </c>
      <c r="E157" s="385">
        <f t="shared" si="69"/>
        <v>18.731074015394952</v>
      </c>
      <c r="F157" s="385">
        <f t="shared" si="49"/>
        <v>18.732237475080556</v>
      </c>
      <c r="G157" s="110">
        <f t="shared" si="70"/>
        <v>0.31350198495075982</v>
      </c>
      <c r="H157" s="412" t="b">
        <f>Wh_hp&gt;='2021'!Maxi_hp</f>
        <v>0</v>
      </c>
      <c r="I157" s="380">
        <f>IF(H157,Wh_hp,'2021'!Maxi_hp)</f>
        <v>53.955691624579302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3.1493417920802402E-2</v>
      </c>
      <c r="M157" s="957"/>
      <c r="N157" s="957"/>
      <c r="O157" s="48">
        <f>IF(t&lt;Tnet,'2021'!Resal+('2021'!Salim-'2021'!Resal)*(1-EXP(('2021'!Tnet-t)/('2021'!Tau_j))),Resal+(Salim-Resal)*(1-EXP((Tnet-t)/(Tau_j))))*Salcycl</f>
        <v>6.3345890592027457E-2</v>
      </c>
      <c r="P157" s="339">
        <f>(INDEX(Models!$BJ157:$BT157,,T157)*(1-R157)+INDEX(Models!$BJ157:$BT157,,T157+1)*R157-ERP_i)*Q157*Ramure*Pc/MaxiM</f>
        <v>3.0129840821188116E-3</v>
      </c>
      <c r="Q157" s="305">
        <f t="shared" si="51"/>
        <v>0.7</v>
      </c>
      <c r="R157" s="177">
        <f t="shared" si="52"/>
        <v>0.16115179300395124</v>
      </c>
      <c r="S157" s="919">
        <f t="shared" si="53"/>
        <v>0</v>
      </c>
      <c r="T157" s="176">
        <f t="shared" si="54"/>
        <v>6</v>
      </c>
      <c r="U157" s="251">
        <f t="shared" si="55"/>
        <v>0.16115179300395124</v>
      </c>
      <c r="V157" s="383">
        <f t="shared" si="56"/>
        <v>54.040664642577212</v>
      </c>
      <c r="W157" s="402"/>
      <c r="X157" s="157">
        <f t="shared" si="57"/>
        <v>44704</v>
      </c>
      <c r="Y157" s="385">
        <f t="shared" si="58"/>
        <v>16.095456961081481</v>
      </c>
      <c r="Z157" s="385">
        <f t="shared" si="59"/>
        <v>16.618841068201753</v>
      </c>
      <c r="AA157" s="386">
        <f t="shared" si="60"/>
        <v>18.731074015394952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0.11276624850540702</v>
      </c>
      <c r="AD157" s="231">
        <f>(INDEX(Models!$BJ157:$BT157,,AH157)*(1-AF157)+INDEX(Models!$BJ157:$BT157,,AH157+1)*AF157-ERP_i)*AE157*Ramure*Pc/MaxiM</f>
        <v>3.0129840821188116E-3</v>
      </c>
      <c r="AE157" s="305">
        <f t="shared" si="62"/>
        <v>0.7</v>
      </c>
      <c r="AF157" s="177">
        <f t="shared" si="63"/>
        <v>0.16115179300395124</v>
      </c>
      <c r="AG157" s="919">
        <f t="shared" si="71"/>
        <v>0</v>
      </c>
      <c r="AH157" s="176">
        <f t="shared" si="64"/>
        <v>6</v>
      </c>
      <c r="AI157" s="225">
        <f t="shared" si="65"/>
        <v>0.16115179300395124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44705</v>
      </c>
      <c r="B158" s="618">
        <v>16.149999999999999</v>
      </c>
      <c r="C158" s="953"/>
      <c r="D158" s="393">
        <f t="shared" si="48"/>
        <v>16.675522947426813</v>
      </c>
      <c r="E158" s="385">
        <f t="shared" si="69"/>
        <v>17.807847085495325</v>
      </c>
      <c r="F158" s="385">
        <f t="shared" si="49"/>
        <v>17.807847085495325</v>
      </c>
      <c r="G158" s="110">
        <f t="shared" si="70"/>
        <v>0.298068580673576</v>
      </c>
      <c r="H158" s="412" t="b">
        <f>Wh_hp&gt;='2021'!Maxi_hp</f>
        <v>0</v>
      </c>
      <c r="I158" s="380">
        <f>IF(H158,Wh_hp,'2021'!Maxi_hp)</f>
        <v>25.770368698840517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3.1514630700556601E-2</v>
      </c>
      <c r="M158" s="957"/>
      <c r="N158" s="957"/>
      <c r="O158" s="48">
        <f>IF(t&lt;Tnet,'2021'!Resal+('2021'!Salim-'2021'!Resal)*(1-EXP(('2021'!Tnet-t)/('2021'!Tau_j))),Resal+(Salim-Resal)*(1-EXP((Tnet-t)/(Tau_j))))*Salcycl</f>
        <v>6.358568403200196E-2</v>
      </c>
      <c r="P158" s="339">
        <f>(INDEX(Models!$BJ158:$BT158,,T158)*(1-R158)+INDEX(Models!$BJ158:$BT158,,T158+1)*R158-ERP_i)*Q158*Ramure*Pc/MaxiM</f>
        <v>3.1293999317662546E-3</v>
      </c>
      <c r="Q158" s="305">
        <f t="shared" si="51"/>
        <v>0.7</v>
      </c>
      <c r="R158" s="177">
        <f t="shared" si="52"/>
        <v>0.16568557253478075</v>
      </c>
      <c r="S158" s="919">
        <f t="shared" si="53"/>
        <v>0</v>
      </c>
      <c r="T158" s="176">
        <f t="shared" si="54"/>
        <v>6</v>
      </c>
      <c r="U158" s="251">
        <f t="shared" si="55"/>
        <v>0.16568557253478075</v>
      </c>
      <c r="V158" s="383">
        <f t="shared" si="56"/>
        <v>54.012603927325657</v>
      </c>
      <c r="W158" s="402"/>
      <c r="X158" s="157">
        <f t="shared" si="57"/>
        <v>44705</v>
      </c>
      <c r="Y158" s="385">
        <f t="shared" si="58"/>
        <v>15.298441740349947</v>
      </c>
      <c r="Z158" s="385">
        <f t="shared" si="59"/>
        <v>15.796254879323699</v>
      </c>
      <c r="AA158" s="386">
        <f t="shared" si="60"/>
        <v>17.807847085495325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0.11296099952532104</v>
      </c>
      <c r="AD158" s="231">
        <f>(INDEX(Models!$BJ158:$BT158,,AH158)*(1-AF158)+INDEX(Models!$BJ158:$BT158,,AH158+1)*AF158-ERP_i)*AE158*Ramure*Pc/MaxiM</f>
        <v>3.1293999317662546E-3</v>
      </c>
      <c r="AE158" s="305">
        <f t="shared" si="62"/>
        <v>0.7</v>
      </c>
      <c r="AF158" s="177">
        <f t="shared" si="63"/>
        <v>0.16568557253478075</v>
      </c>
      <c r="AG158" s="919">
        <f t="shared" si="71"/>
        <v>0</v>
      </c>
      <c r="AH158" s="176">
        <f t="shared" si="64"/>
        <v>6</v>
      </c>
      <c r="AI158" s="225">
        <f t="shared" si="65"/>
        <v>0.16568557253478075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44706</v>
      </c>
      <c r="B159" s="618">
        <v>37.615000000000002</v>
      </c>
      <c r="C159" s="953"/>
      <c r="D159" s="393">
        <f t="shared" si="48"/>
        <v>38.83984732809234</v>
      </c>
      <c r="E159" s="385">
        <f t="shared" si="69"/>
        <v>41.487827546090998</v>
      </c>
      <c r="F159" s="385">
        <f t="shared" si="49"/>
        <v>41.564346583645083</v>
      </c>
      <c r="G159" s="110">
        <f t="shared" si="70"/>
        <v>0.6958211644933866</v>
      </c>
      <c r="H159" s="412" t="b">
        <f>Wh_hp&gt;='2021'!Maxi_hp</f>
        <v>0</v>
      </c>
      <c r="I159" s="380">
        <f>IF(H159,Wh_hp,'2021'!Maxi_hp)</f>
        <v>55.122596698708996</v>
      </c>
      <c r="J159" s="85">
        <f>IF(H159,An,'2021'!An_max)</f>
        <v>2021</v>
      </c>
      <c r="K159" s="197">
        <f t="shared" si="50"/>
        <v>44706</v>
      </c>
      <c r="L159" s="147">
        <f>IF(t&lt;Tvie,1-EXP((T0-t)*PertePVj)+'2021'!Pspv,1-EXP((T0-t)*PertePVj)+Pspv)</f>
        <v>3.1535843015696452E-2</v>
      </c>
      <c r="M159" s="957"/>
      <c r="N159" s="957"/>
      <c r="O159" s="48">
        <f>IF(t&lt;Tnet,'2021'!Resal+('2021'!Salim-'2021'!Resal)*(1-EXP(('2021'!Tnet-t)/('2021'!Tau_j))),Resal+(Salim-Resal)*(1-EXP((Tnet-t)/(Tau_j))))*Salcycl</f>
        <v>6.3825473027163959E-2</v>
      </c>
      <c r="P159" s="339">
        <f>(INDEX(Models!$BJ159:$BT159,,T159)*(1-R159)+INDEX(Models!$BJ159:$BT159,,T159+1)*R159-ERP_i)*Q159*Ramure*Pc/MaxiM</f>
        <v>3.2476667716828528E-3</v>
      </c>
      <c r="Q159" s="305">
        <f t="shared" si="51"/>
        <v>0.7</v>
      </c>
      <c r="R159" s="177">
        <f t="shared" si="52"/>
        <v>0.17028233795249784</v>
      </c>
      <c r="S159" s="919">
        <f t="shared" si="53"/>
        <v>0</v>
      </c>
      <c r="T159" s="176">
        <f t="shared" si="54"/>
        <v>6</v>
      </c>
      <c r="U159" s="251">
        <f t="shared" si="55"/>
        <v>0.17028233795249784</v>
      </c>
      <c r="V159" s="383">
        <f t="shared" si="56"/>
        <v>53.982246759444443</v>
      </c>
      <c r="W159" s="402"/>
      <c r="X159" s="157">
        <f t="shared" si="57"/>
        <v>44706</v>
      </c>
      <c r="Y159" s="385">
        <f t="shared" si="58"/>
        <v>35.632933748565854</v>
      </c>
      <c r="Z159" s="385">
        <f t="shared" si="59"/>
        <v>36.793239575869379</v>
      </c>
      <c r="AA159" s="386">
        <f t="shared" si="60"/>
        <v>41.487827546090998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0.11315579165976215</v>
      </c>
      <c r="AD159" s="231">
        <f>(INDEX(Models!$BJ159:$BT159,,AH159)*(1-AF159)+INDEX(Models!$BJ159:$BT159,,AH159+1)*AF159-ERP_i)*AE159*Ramure*Pc/MaxiM</f>
        <v>3.2476667716828528E-3</v>
      </c>
      <c r="AE159" s="305">
        <f t="shared" si="62"/>
        <v>0.7</v>
      </c>
      <c r="AF159" s="177">
        <f t="shared" si="63"/>
        <v>0.17028233795249784</v>
      </c>
      <c r="AG159" s="919">
        <f t="shared" si="71"/>
        <v>0</v>
      </c>
      <c r="AH159" s="176">
        <f t="shared" si="64"/>
        <v>6</v>
      </c>
      <c r="AI159" s="225">
        <f t="shared" si="65"/>
        <v>0.17028233795249784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44707</v>
      </c>
      <c r="B160" s="618">
        <v>25.593</v>
      </c>
      <c r="C160" s="953"/>
      <c r="D160" s="393">
        <f t="shared" si="48"/>
        <v>26.426956929780641</v>
      </c>
      <c r="E160" s="385">
        <f t="shared" si="69"/>
        <v>28.23589532663938</v>
      </c>
      <c r="F160" s="385">
        <f t="shared" si="49"/>
        <v>28.259604850523992</v>
      </c>
      <c r="G160" s="110">
        <f t="shared" si="70"/>
        <v>0.47318572641022427</v>
      </c>
      <c r="H160" s="412" t="b">
        <f>Wh_hp&gt;='2021'!Maxi_hp</f>
        <v>0</v>
      </c>
      <c r="I160" s="380">
        <f>IF(H160,Wh_hp,'2021'!Maxi_hp)</f>
        <v>58.823190702914935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3.1557054866232059E-2</v>
      </c>
      <c r="M160" s="957"/>
      <c r="N160" s="957"/>
      <c r="O160" s="48">
        <f>IF(t&lt;Tnet,'2021'!Resal+('2021'!Salim-'2021'!Resal)*(1-EXP(('2021'!Tnet-t)/('2021'!Tau_j))),Resal+(Salim-Resal)*(1-EXP((Tnet-t)/(Tau_j))))*Salcycl</f>
        <v>6.4065204093318825E-2</v>
      </c>
      <c r="P160" s="339">
        <f>(INDEX(Models!$BJ160:$BT160,,T160)*(1-R160)+INDEX(Models!$BJ160:$BT160,,T160+1)*R160-ERP_i)*Q160*Ramure*Pc/MaxiM</f>
        <v>3.3677690025044845E-3</v>
      </c>
      <c r="Q160" s="305">
        <f t="shared" si="51"/>
        <v>0.7</v>
      </c>
      <c r="R160" s="177">
        <f t="shared" si="52"/>
        <v>0.17493945029333016</v>
      </c>
      <c r="S160" s="919">
        <f t="shared" si="53"/>
        <v>0</v>
      </c>
      <c r="T160" s="176">
        <f t="shared" si="54"/>
        <v>6</v>
      </c>
      <c r="U160" s="251">
        <f t="shared" si="55"/>
        <v>0.17493945029333016</v>
      </c>
      <c r="V160" s="383">
        <f t="shared" si="56"/>
        <v>53.949697102310211</v>
      </c>
      <c r="W160" s="402"/>
      <c r="X160" s="157">
        <f t="shared" si="57"/>
        <v>44707</v>
      </c>
      <c r="Y160" s="385">
        <f t="shared" si="58"/>
        <v>24.245299975415683</v>
      </c>
      <c r="Z160" s="385">
        <f t="shared" si="59"/>
        <v>25.035341624659942</v>
      </c>
      <c r="AA160" s="386">
        <f t="shared" si="60"/>
        <v>28.23589532663938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0.11335053005951079</v>
      </c>
      <c r="AD160" s="231">
        <f>(INDEX(Models!$BJ160:$BT160,,AH160)*(1-AF160)+INDEX(Models!$BJ160:$BT160,,AH160+1)*AF160-ERP_i)*AE160*Ramure*Pc/MaxiM</f>
        <v>3.3677690025044845E-3</v>
      </c>
      <c r="AE160" s="305">
        <f t="shared" si="62"/>
        <v>0.7</v>
      </c>
      <c r="AF160" s="177">
        <f t="shared" si="63"/>
        <v>0.17493945029333016</v>
      </c>
      <c r="AG160" s="919">
        <f t="shared" si="71"/>
        <v>0</v>
      </c>
      <c r="AH160" s="176">
        <f t="shared" si="64"/>
        <v>6</v>
      </c>
      <c r="AI160" s="225">
        <f t="shared" si="65"/>
        <v>0.17493945029333016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44708</v>
      </c>
      <c r="B161" s="618">
        <v>40.780999999999999</v>
      </c>
      <c r="C161" s="953"/>
      <c r="D161" s="393">
        <f t="shared" si="48"/>
        <v>42.110785599757342</v>
      </c>
      <c r="E161" s="385">
        <f t="shared" si="69"/>
        <v>45.004812049569068</v>
      </c>
      <c r="F161" s="385">
        <f t="shared" si="49"/>
        <v>45.107442455456855</v>
      </c>
      <c r="G161" s="110">
        <f t="shared" si="70"/>
        <v>0.75547280352136914</v>
      </c>
      <c r="H161" s="412" t="b">
        <f>Wh_hp&gt;='2021'!Maxi_hp</f>
        <v>0</v>
      </c>
      <c r="I161" s="380">
        <f>IF(H161,Wh_hp,'2021'!Maxi_hp)</f>
        <v>60.55384086599669</v>
      </c>
      <c r="J161" s="85">
        <f>IF(H161,An,'2021'!An_max)</f>
        <v>2021</v>
      </c>
      <c r="K161" s="197">
        <f t="shared" si="50"/>
        <v>44708</v>
      </c>
      <c r="L161" s="147">
        <f>IF(t&lt;Tvie,1-EXP((T0-t)*PertePVj)+'2021'!Pspv,1-EXP((T0-t)*PertePVj)+Pspv)</f>
        <v>3.1578266252173859E-2</v>
      </c>
      <c r="M161" s="957"/>
      <c r="N161" s="957"/>
      <c r="O161" s="48">
        <f>IF(t&lt;Tnet,'2021'!Resal+('2021'!Salim-'2021'!Resal)*(1-EXP(('2021'!Tnet-t)/('2021'!Tau_j))),Resal+(Salim-Resal)*(1-EXP((Tnet-t)/(Tau_j))))*Salcycl</f>
        <v>6.4304822484853405E-2</v>
      </c>
      <c r="P161" s="339">
        <f>(INDEX(Models!$BJ161:$BT161,,T161)*(1-R161)+INDEX(Models!$BJ161:$BT161,,T161+1)*R161-ERP_i)*Q161*Ramure*Pc/MaxiM</f>
        <v>3.4896866865515869E-3</v>
      </c>
      <c r="Q161" s="305">
        <f t="shared" si="51"/>
        <v>0.7</v>
      </c>
      <c r="R161" s="177">
        <f t="shared" si="52"/>
        <v>0.17965409768430601</v>
      </c>
      <c r="S161" s="919">
        <f t="shared" si="53"/>
        <v>0</v>
      </c>
      <c r="T161" s="176">
        <f t="shared" si="54"/>
        <v>6</v>
      </c>
      <c r="U161" s="251">
        <f t="shared" si="55"/>
        <v>0.17965409768430601</v>
      </c>
      <c r="V161" s="383">
        <f t="shared" si="56"/>
        <v>53.915059090058726</v>
      </c>
      <c r="W161" s="402"/>
      <c r="X161" s="157">
        <f t="shared" si="57"/>
        <v>44708</v>
      </c>
      <c r="Y161" s="385">
        <f t="shared" si="58"/>
        <v>38.634928761679056</v>
      </c>
      <c r="Z161" s="385">
        <f t="shared" si="59"/>
        <v>39.894735336185121</v>
      </c>
      <c r="AA161" s="386">
        <f t="shared" si="60"/>
        <v>45.004812049569068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0.1135451184143513</v>
      </c>
      <c r="AD161" s="231">
        <f>(INDEX(Models!$BJ161:$BT161,,AH161)*(1-AF161)+INDEX(Models!$BJ161:$BT161,,AH161+1)*AF161-ERP_i)*AE161*Ramure*Pc/MaxiM</f>
        <v>3.4896866865515869E-3</v>
      </c>
      <c r="AE161" s="305">
        <f t="shared" si="62"/>
        <v>0.7</v>
      </c>
      <c r="AF161" s="177">
        <f t="shared" si="63"/>
        <v>0.17965409768430601</v>
      </c>
      <c r="AG161" s="919">
        <f t="shared" si="71"/>
        <v>0</v>
      </c>
      <c r="AH161" s="176">
        <f t="shared" si="64"/>
        <v>6</v>
      </c>
      <c r="AI161" s="225">
        <f t="shared" si="65"/>
        <v>0.17965409768430601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44709</v>
      </c>
      <c r="B162" s="618">
        <v>50.222999999999999</v>
      </c>
      <c r="C162" s="953"/>
      <c r="D162" s="393">
        <f t="shared" si="48"/>
        <v>51.86180595340268</v>
      </c>
      <c r="E162" s="385">
        <f t="shared" si="69"/>
        <v>55.440150101711744</v>
      </c>
      <c r="F162" s="385">
        <f t="shared" si="49"/>
        <v>55.621653281949634</v>
      </c>
      <c r="G162" s="110">
        <f t="shared" si="70"/>
        <v>0.93182646096712429</v>
      </c>
      <c r="H162" s="412" t="b">
        <f>Wh_hp&gt;='2021'!Maxi_hp</f>
        <v>0</v>
      </c>
      <c r="I162" s="380">
        <f>IF(H162,Wh_hp,'2021'!Maxi_hp)</f>
        <v>57.676626455771242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3.1599477173531731E-2</v>
      </c>
      <c r="M162" s="957"/>
      <c r="N162" s="957"/>
      <c r="O162" s="48">
        <f>IF(t&lt;Tnet,'2021'!Resal+('2021'!Salim-'2021'!Resal)*(1-EXP(('2021'!Tnet-t)/('2021'!Tau_j))),Resal+(Salim-Resal)*(1-EXP((Tnet-t)/(Tau_j))))*Salcycl</f>
        <v>6.4544272368385711E-2</v>
      </c>
      <c r="P162" s="339">
        <f>(INDEX(Models!$BJ162:$BT162,,T162)*(1-R162)+INDEX(Models!$BJ162:$BT162,,T162+1)*R162-ERP_i)*Q162*Ramure*Pc/MaxiM</f>
        <v>3.6133955257167372E-3</v>
      </c>
      <c r="Q162" s="305">
        <f t="shared" si="51"/>
        <v>0.7</v>
      </c>
      <c r="R162" s="177">
        <f t="shared" si="52"/>
        <v>0.18442330006584839</v>
      </c>
      <c r="S162" s="919">
        <f t="shared" si="53"/>
        <v>0</v>
      </c>
      <c r="T162" s="176">
        <f t="shared" si="54"/>
        <v>6</v>
      </c>
      <c r="U162" s="251">
        <f t="shared" si="55"/>
        <v>0.18442330006584839</v>
      </c>
      <c r="V162" s="383">
        <f t="shared" si="56"/>
        <v>53.878437011428566</v>
      </c>
      <c r="W162" s="402"/>
      <c r="X162" s="157">
        <f t="shared" si="57"/>
        <v>44709</v>
      </c>
      <c r="Y162" s="385">
        <f t="shared" si="58"/>
        <v>47.581795506172462</v>
      </c>
      <c r="Z162" s="385">
        <f t="shared" si="59"/>
        <v>49.134417407474743</v>
      </c>
      <c r="AA162" s="386">
        <f t="shared" si="60"/>
        <v>55.440150101711744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0.11373945926676542</v>
      </c>
      <c r="AD162" s="231">
        <f>(INDEX(Models!$BJ162:$BT162,,AH162)*(1-AF162)+INDEX(Models!$BJ162:$BT162,,AH162+1)*AF162-ERP_i)*AE162*Ramure*Pc/MaxiM</f>
        <v>3.6133955257167372E-3</v>
      </c>
      <c r="AE162" s="305">
        <f t="shared" si="62"/>
        <v>0.7</v>
      </c>
      <c r="AF162" s="177">
        <f t="shared" si="63"/>
        <v>0.18442330006584839</v>
      </c>
      <c r="AG162" s="919">
        <f t="shared" si="71"/>
        <v>0</v>
      </c>
      <c r="AH162" s="176">
        <f t="shared" si="64"/>
        <v>6</v>
      </c>
      <c r="AI162" s="225">
        <f t="shared" si="65"/>
        <v>0.18442330006584839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44710</v>
      </c>
      <c r="B163" s="618">
        <v>54.369</v>
      </c>
      <c r="C163" s="953"/>
      <c r="D163" s="393">
        <f t="shared" si="48"/>
        <v>56.144322070404108</v>
      </c>
      <c r="E163" s="385">
        <f t="shared" si="69"/>
        <v>60.033502286052865</v>
      </c>
      <c r="F163" s="385">
        <f t="shared" si="49"/>
        <v>60.258802059722221</v>
      </c>
      <c r="G163" s="110">
        <f t="shared" si="70"/>
        <v>1.0098272319624233</v>
      </c>
      <c r="H163" s="412" t="b">
        <f>Wh_hp&gt;='2021'!Maxi_hp</f>
        <v>1</v>
      </c>
      <c r="I163" s="380">
        <f>IF(H163,Wh_hp,'2021'!Maxi_hp)</f>
        <v>60.258802059722221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3.1620687630316113E-2</v>
      </c>
      <c r="M163" s="957"/>
      <c r="N163" s="957"/>
      <c r="O163" s="48">
        <f>IF(t&lt;Tnet,'2021'!Resal+('2021'!Salim-'2021'!Resal)*(1-EXP(('2021'!Tnet-t)/('2021'!Tau_j))),Resal+(Salim-Resal)*(1-EXP((Tnet-t)/(Tau_j))))*Salcycl</f>
        <v>6.4783497006675572E-2</v>
      </c>
      <c r="P163" s="339">
        <f>(INDEX(Models!$BJ163:$BT163,,T163)*(1-R163)+INDEX(Models!$BJ163:$BT163,,T163+1)*R163-ERP_i)*Q163*Ramure*Pc/MaxiM</f>
        <v>3.7388691107078111E-3</v>
      </c>
      <c r="Q163" s="305">
        <f t="shared" si="51"/>
        <v>0.7</v>
      </c>
      <c r="R163" s="177">
        <f t="shared" si="52"/>
        <v>0.18924391489707038</v>
      </c>
      <c r="S163" s="919">
        <f t="shared" si="53"/>
        <v>0</v>
      </c>
      <c r="T163" s="176">
        <f t="shared" si="54"/>
        <v>6</v>
      </c>
      <c r="U163" s="251">
        <f t="shared" si="55"/>
        <v>0.18924391489707038</v>
      </c>
      <c r="V163" s="383">
        <f t="shared" si="56"/>
        <v>53.839902786482909</v>
      </c>
      <c r="W163" s="402"/>
      <c r="X163" s="157">
        <f t="shared" si="57"/>
        <v>44710</v>
      </c>
      <c r="Y163" s="385">
        <f t="shared" si="58"/>
        <v>51.511657318713496</v>
      </c>
      <c r="Z163" s="385">
        <f t="shared" si="59"/>
        <v>53.193677994484716</v>
      </c>
      <c r="AA163" s="386">
        <f t="shared" si="60"/>
        <v>60.033502286052865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0.11393345433983107</v>
      </c>
      <c r="AD163" s="231">
        <f>(INDEX(Models!$BJ163:$BT163,,AH163)*(1-AF163)+INDEX(Models!$BJ163:$BT163,,AH163+1)*AF163-ERP_i)*AE163*Ramure*Pc/MaxiM</f>
        <v>3.7388691107078111E-3</v>
      </c>
      <c r="AE163" s="305">
        <f t="shared" si="62"/>
        <v>0.7</v>
      </c>
      <c r="AF163" s="177">
        <f t="shared" si="63"/>
        <v>0.18924391489707038</v>
      </c>
      <c r="AG163" s="919">
        <f t="shared" si="71"/>
        <v>0</v>
      </c>
      <c r="AH163" s="176">
        <f t="shared" si="64"/>
        <v>6</v>
      </c>
      <c r="AI163" s="225">
        <f t="shared" si="65"/>
        <v>0.18924391489707038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44711</v>
      </c>
      <c r="B164" s="618">
        <v>45.548999999999999</v>
      </c>
      <c r="C164" s="953"/>
      <c r="D164" s="393">
        <f t="shared" si="48"/>
        <v>47.037351046240474</v>
      </c>
      <c r="E164" s="385">
        <f t="shared" si="69"/>
        <v>50.308534670620837</v>
      </c>
      <c r="F164" s="385">
        <f t="shared" si="49"/>
        <v>50.460823750152436</v>
      </c>
      <c r="G164" s="110">
        <f t="shared" si="70"/>
        <v>0.8459249234709999</v>
      </c>
      <c r="H164" s="412" t="b">
        <f>Wh_hp&gt;='2021'!Maxi_hp</f>
        <v>0</v>
      </c>
      <c r="I164" s="380">
        <f>IF(H164,Wh_hp,'2021'!Maxi_hp)</f>
        <v>58.524365554999449</v>
      </c>
      <c r="J164" s="85">
        <f>IF(H164,An,'2021'!An_max)</f>
        <v>2019</v>
      </c>
      <c r="K164" s="197">
        <f t="shared" si="50"/>
        <v>44711</v>
      </c>
      <c r="L164" s="147">
        <f>IF(t&lt;Tvie,1-EXP((T0-t)*PertePVj)+'2021'!Pspv,1-EXP((T0-t)*PertePVj)+Pspv)</f>
        <v>3.1641897622536996E-2</v>
      </c>
      <c r="M164" s="957"/>
      <c r="N164" s="957"/>
      <c r="O164" s="48">
        <f>IF(t&lt;Tnet,'2021'!Resal+('2021'!Salim-'2021'!Resal)*(1-EXP(('2021'!Tnet-t)/('2021'!Tau_j))),Resal+(Salim-Resal)*(1-EXP((Tnet-t)/(Tau_j))))*Salcycl</f>
        <v>6.5022438951907374E-2</v>
      </c>
      <c r="P164" s="339">
        <f>(INDEX(Models!$BJ164:$BT164,,T164)*(1-R164)+INDEX(Models!$BJ164:$BT164,,T164+1)*R164-ERP_i)*Q164*Ramure*Pc/MaxiM</f>
        <v>3.8646302321313523E-3</v>
      </c>
      <c r="Q164" s="305">
        <f t="shared" si="51"/>
        <v>0.7</v>
      </c>
      <c r="R164" s="177">
        <f t="shared" si="52"/>
        <v>0.19411264383715793</v>
      </c>
      <c r="S164" s="919">
        <f t="shared" si="53"/>
        <v>0</v>
      </c>
      <c r="T164" s="176">
        <f t="shared" si="54"/>
        <v>6</v>
      </c>
      <c r="U164" s="251">
        <f t="shared" si="55"/>
        <v>0.19411264383715793</v>
      </c>
      <c r="V164" s="383">
        <f t="shared" si="56"/>
        <v>53.799477134685546</v>
      </c>
      <c r="W164" s="402"/>
      <c r="X164" s="157">
        <f t="shared" si="57"/>
        <v>44711</v>
      </c>
      <c r="Y164" s="385">
        <f t="shared" si="58"/>
        <v>43.156788714369867</v>
      </c>
      <c r="Z164" s="385">
        <f t="shared" si="59"/>
        <v>44.566972288881082</v>
      </c>
      <c r="AA164" s="386">
        <f t="shared" si="60"/>
        <v>50.308534670620837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0.11412700487761798</v>
      </c>
      <c r="AD164" s="231">
        <f>(INDEX(Models!$BJ164:$BT164,,AH164)*(1-AF164)+INDEX(Models!$BJ164:$BT164,,AH164+1)*AF164-ERP_i)*AE164*Ramure*Pc/MaxiM</f>
        <v>3.8646302321313523E-3</v>
      </c>
      <c r="AE164" s="305">
        <f t="shared" si="62"/>
        <v>0.7</v>
      </c>
      <c r="AF164" s="177">
        <f t="shared" si="63"/>
        <v>0.19411264383715793</v>
      </c>
      <c r="AG164" s="919">
        <f t="shared" si="71"/>
        <v>0</v>
      </c>
      <c r="AH164" s="176">
        <f t="shared" si="64"/>
        <v>6</v>
      </c>
      <c r="AI164" s="225">
        <f t="shared" si="65"/>
        <v>0.19411264383715793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44712</v>
      </c>
      <c r="B165" s="618">
        <v>50.602000000000004</v>
      </c>
      <c r="C165" s="953"/>
      <c r="D165" s="393">
        <f t="shared" si="48"/>
        <v>52.256606531926472</v>
      </c>
      <c r="E165" s="385">
        <f t="shared" si="69"/>
        <v>55.905026731478856</v>
      </c>
      <c r="F165" s="385">
        <f t="shared" si="49"/>
        <v>56.110182394191533</v>
      </c>
      <c r="G165" s="110">
        <f t="shared" si="70"/>
        <v>0.94099285860734205</v>
      </c>
      <c r="H165" s="412" t="b">
        <f>Wh_hp&gt;='2021'!Maxi_hp</f>
        <v>0</v>
      </c>
      <c r="I165" s="380">
        <f>IF(H165,Wh_hp,'2021'!Maxi_hp)</f>
        <v>59.313017833892296</v>
      </c>
      <c r="J165" s="85">
        <f>IF(H165,An,'2021'!An_max)</f>
        <v>2019</v>
      </c>
      <c r="K165" s="197">
        <f t="shared" si="50"/>
        <v>44712</v>
      </c>
      <c r="L165" s="147">
        <f>IF(t&lt;Tvie,1-EXP((T0-t)*PertePVj)+'2021'!Pspv,1-EXP((T0-t)*PertePVj)+Pspv)</f>
        <v>3.1663107150204595E-2</v>
      </c>
      <c r="M165" s="957"/>
      <c r="N165" s="957"/>
      <c r="O165" s="48">
        <f>IF(t&lt;Tnet,'2021'!Resal+('2021'!Salim-'2021'!Resal)*(1-EXP(('2021'!Tnet-t)/('2021'!Tau_j))),Resal+(Salim-Resal)*(1-EXP((Tnet-t)/(Tau_j))))*Salcycl</f>
        <v>6.5261040247352908E-2</v>
      </c>
      <c r="P165" s="339">
        <f>(INDEX(Models!$BJ165:$BT165,,T165)*(1-R165)+INDEX(Models!$BJ165:$BT165,,T165+1)*R165-ERP_i)*Q165*Ramure*Pc/MaxiM</f>
        <v>3.990915566216769E-3</v>
      </c>
      <c r="Q165" s="305">
        <f t="shared" si="51"/>
        <v>0.7</v>
      </c>
      <c r="R165" s="177">
        <f t="shared" si="52"/>
        <v>0.19902604038678459</v>
      </c>
      <c r="S165" s="919">
        <f t="shared" si="53"/>
        <v>0</v>
      </c>
      <c r="T165" s="176">
        <f t="shared" si="54"/>
        <v>6</v>
      </c>
      <c r="U165" s="251">
        <f t="shared" si="55"/>
        <v>0.19902604038678459</v>
      </c>
      <c r="V165" s="383">
        <f t="shared" si="56"/>
        <v>53.757055844276401</v>
      </c>
      <c r="W165" s="402"/>
      <c r="X165" s="157">
        <f t="shared" si="57"/>
        <v>44712</v>
      </c>
      <c r="Y165" s="385">
        <f t="shared" si="58"/>
        <v>47.946197476166965</v>
      </c>
      <c r="Z165" s="385">
        <f t="shared" si="59"/>
        <v>49.513963404887221</v>
      </c>
      <c r="AA165" s="386">
        <f t="shared" si="60"/>
        <v>55.905026731478856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0.11432001199621961</v>
      </c>
      <c r="AD165" s="231">
        <f>(INDEX(Models!$BJ165:$BT165,,AH165)*(1-AF165)+INDEX(Models!$BJ165:$BT165,,AH165+1)*AF165-ERP_i)*AE165*Ramure*Pc/MaxiM</f>
        <v>3.990915566216769E-3</v>
      </c>
      <c r="AE165" s="305">
        <f t="shared" si="62"/>
        <v>0.7</v>
      </c>
      <c r="AF165" s="177">
        <f t="shared" si="63"/>
        <v>0.19902604038678459</v>
      </c>
      <c r="AG165" s="919">
        <f t="shared" si="71"/>
        <v>0</v>
      </c>
      <c r="AH165" s="176">
        <f t="shared" si="64"/>
        <v>6</v>
      </c>
      <c r="AI165" s="225">
        <f t="shared" si="65"/>
        <v>0.19902604038678459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44713</v>
      </c>
      <c r="B166" s="618">
        <v>51.426000000000002</v>
      </c>
      <c r="C166" s="953"/>
      <c r="D166" s="393">
        <f t="shared" si="48"/>
        <v>53.108713264763807</v>
      </c>
      <c r="E166" s="385">
        <f t="shared" si="69"/>
        <v>56.831107782714916</v>
      </c>
      <c r="F166" s="385">
        <f t="shared" si="49"/>
        <v>57.051741610081294</v>
      </c>
      <c r="G166" s="110">
        <f t="shared" si="70"/>
        <v>0.95718918065408787</v>
      </c>
      <c r="H166" s="412" t="b">
        <f>Wh_hp&gt;='2021'!Maxi_hp</f>
        <v>0</v>
      </c>
      <c r="I166" s="380">
        <f>IF(H166,Wh_hp,'2021'!Maxi_hp)</f>
        <v>60.331915443766647</v>
      </c>
      <c r="J166" s="85">
        <f>IF(H166,An,'2021'!An_max)</f>
        <v>2019</v>
      </c>
      <c r="K166" s="197">
        <f t="shared" si="50"/>
        <v>44713</v>
      </c>
      <c r="L166" s="147">
        <f>IF(t&lt;Tvie,1-EXP((T0-t)*PertePVj)+'2021'!Pspv,1-EXP((T0-t)*PertePVj)+Pspv)</f>
        <v>3.1684316213329122E-2</v>
      </c>
      <c r="M166" s="957"/>
      <c r="N166" s="957"/>
      <c r="O166" s="48">
        <f>IF(t&lt;Tnet,'2021'!Resal+('2021'!Salim-'2021'!Resal)*(1-EXP(('2021'!Tnet-t)/('2021'!Tau_j))),Resal+(Salim-Resal)*(1-EXP((Tnet-t)/(Tau_j))))*Salcycl</f>
        <v>6.5499242636323618E-2</v>
      </c>
      <c r="P166" s="339">
        <f>(INDEX(Models!$BJ166:$BT166,,T166)*(1-R166)+INDEX(Models!$BJ166:$BT166,,T166+1)*R166-ERP_i)*Q166*Ramure*Pc/MaxiM</f>
        <v>4.117672511266165E-3</v>
      </c>
      <c r="Q166" s="305">
        <f t="shared" si="51"/>
        <v>0.7</v>
      </c>
      <c r="R166" s="177">
        <f t="shared" si="52"/>
        <v>0.20398051846386694</v>
      </c>
      <c r="S166" s="919">
        <f t="shared" si="53"/>
        <v>0</v>
      </c>
      <c r="T166" s="176">
        <f t="shared" si="54"/>
        <v>6</v>
      </c>
      <c r="U166" s="251">
        <f t="shared" si="55"/>
        <v>0.20398051846386694</v>
      </c>
      <c r="V166" s="383">
        <f t="shared" si="56"/>
        <v>53.712550505455127</v>
      </c>
      <c r="W166" s="402"/>
      <c r="X166" s="157">
        <f t="shared" si="57"/>
        <v>44713</v>
      </c>
      <c r="Y166" s="385">
        <f t="shared" si="58"/>
        <v>48.728785010971976</v>
      </c>
      <c r="Z166" s="385">
        <f t="shared" si="59"/>
        <v>50.323242540505404</v>
      </c>
      <c r="AA166" s="386">
        <f t="shared" si="60"/>
        <v>56.831107782714916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0.11451237704342032</v>
      </c>
      <c r="AD166" s="231">
        <f>(INDEX(Models!$BJ166:$BT166,,AH166)*(1-AF166)+INDEX(Models!$BJ166:$BT166,,AH166+1)*AF166-ERP_i)*AE166*Ramure*Pc/MaxiM</f>
        <v>4.117672511266165E-3</v>
      </c>
      <c r="AE166" s="305">
        <f t="shared" si="62"/>
        <v>0.7</v>
      </c>
      <c r="AF166" s="177">
        <f t="shared" si="63"/>
        <v>0.20398051846386694</v>
      </c>
      <c r="AG166" s="919">
        <f t="shared" si="71"/>
        <v>0</v>
      </c>
      <c r="AH166" s="176">
        <f t="shared" si="64"/>
        <v>6</v>
      </c>
      <c r="AI166" s="225">
        <f t="shared" si="65"/>
        <v>0.20398051846386694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44714</v>
      </c>
      <c r="B167" s="618">
        <v>40.703000000000003</v>
      </c>
      <c r="C167" s="953"/>
      <c r="D167" s="393">
        <f t="shared" si="48"/>
        <v>42.035766022618219</v>
      </c>
      <c r="E167" s="385">
        <f t="shared" si="69"/>
        <v>44.993503406078496</v>
      </c>
      <c r="F167" s="385">
        <f t="shared" si="49"/>
        <v>45.118937868940172</v>
      </c>
      <c r="G167" s="110">
        <f t="shared" si="70"/>
        <v>0.75733816187396552</v>
      </c>
      <c r="H167" s="412" t="b">
        <f>Wh_hp&gt;='2021'!Maxi_hp</f>
        <v>0</v>
      </c>
      <c r="I167" s="380">
        <f>IF(H167,Wh_hp,'2021'!Maxi_hp)</f>
        <v>59.300139796564821</v>
      </c>
      <c r="J167" s="85">
        <f>IF(H167,An,'2021'!An_max)</f>
        <v>2019</v>
      </c>
      <c r="K167" s="197">
        <f t="shared" si="50"/>
        <v>44714</v>
      </c>
      <c r="L167" s="147">
        <f>IF(t&lt;Tvie,1-EXP((T0-t)*PertePVj)+'2021'!Pspv,1-EXP((T0-t)*PertePVj)+Pspv)</f>
        <v>3.1705524811920793E-2</v>
      </c>
      <c r="M167" s="957"/>
      <c r="N167" s="957"/>
      <c r="O167" s="48">
        <f>IF(t&lt;Tnet,'2021'!Resal+('2021'!Salim-'2021'!Resal)*(1-EXP(('2021'!Tnet-t)/('2021'!Tau_j))),Resal+(Salim-Resal)*(1-EXP((Tnet-t)/(Tau_j))))*Salcycl</f>
        <v>6.5736987777233177E-2</v>
      </c>
      <c r="P167" s="339">
        <f>(INDEX(Models!$BJ167:$BT167,,T167)*(1-R167)+INDEX(Models!$BJ167:$BT167,,T167+1)*R167-ERP_i)*Q167*Ramure*Pc/MaxiM</f>
        <v>4.2448463571020814E-3</v>
      </c>
      <c r="Q167" s="305">
        <f t="shared" si="51"/>
        <v>0.7</v>
      </c>
      <c r="R167" s="177">
        <f t="shared" si="52"/>
        <v>0.2089723618782795</v>
      </c>
      <c r="S167" s="919">
        <f t="shared" si="53"/>
        <v>0</v>
      </c>
      <c r="T167" s="176">
        <f t="shared" si="54"/>
        <v>6</v>
      </c>
      <c r="U167" s="251">
        <f t="shared" si="55"/>
        <v>0.2089723618782795</v>
      </c>
      <c r="V167" s="383">
        <f t="shared" si="56"/>
        <v>53.665872968852007</v>
      </c>
      <c r="W167" s="402"/>
      <c r="X167" s="157">
        <f t="shared" si="57"/>
        <v>44714</v>
      </c>
      <c r="Y167" s="385">
        <f t="shared" si="58"/>
        <v>38.569656013987327</v>
      </c>
      <c r="Z167" s="385">
        <f t="shared" si="59"/>
        <v>39.832568502981132</v>
      </c>
      <c r="AA167" s="386">
        <f t="shared" si="60"/>
        <v>44.993503406078496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0.11470400196487329</v>
      </c>
      <c r="AD167" s="231">
        <f>(INDEX(Models!$BJ167:$BT167,,AH167)*(1-AF167)+INDEX(Models!$BJ167:$BT167,,AH167+1)*AF167-ERP_i)*AE167*Ramure*Pc/MaxiM</f>
        <v>4.2448463571020814E-3</v>
      </c>
      <c r="AE167" s="305">
        <f t="shared" si="62"/>
        <v>0.7</v>
      </c>
      <c r="AF167" s="177">
        <f t="shared" si="63"/>
        <v>0.2089723618782795</v>
      </c>
      <c r="AG167" s="919">
        <f t="shared" si="71"/>
        <v>0</v>
      </c>
      <c r="AH167" s="176">
        <f t="shared" si="64"/>
        <v>6</v>
      </c>
      <c r="AI167" s="225">
        <f t="shared" si="65"/>
        <v>0.2089723618782795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44715</v>
      </c>
      <c r="B168" s="618">
        <v>51.121000000000002</v>
      </c>
      <c r="C168" s="953"/>
      <c r="D168" s="393">
        <f t="shared" si="48"/>
        <v>52.796046053751546</v>
      </c>
      <c r="E168" s="385">
        <f t="shared" si="69"/>
        <v>56.525255555982277</v>
      </c>
      <c r="F168" s="385">
        <f t="shared" si="49"/>
        <v>56.75691511591517</v>
      </c>
      <c r="G168" s="110">
        <f t="shared" si="70"/>
        <v>0.95317037928698944</v>
      </c>
      <c r="H168" s="412" t="b">
        <f>Wh_hp&gt;='2021'!Maxi_hp</f>
        <v>1</v>
      </c>
      <c r="I168" s="380">
        <f>IF(H168,Wh_hp,'2021'!Maxi_hp)</f>
        <v>56.75691511591517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3.17267329459896E-2</v>
      </c>
      <c r="M168" s="957"/>
      <c r="N168" s="957"/>
      <c r="O168" s="48">
        <f>IF(t&lt;Tnet,'2021'!Resal+('2021'!Salim-'2021'!Resal)*(1-EXP(('2021'!Tnet-t)/('2021'!Tau_j))),Resal+(Salim-Resal)*(1-EXP((Tnet-t)/(Tau_j))))*Salcycl</f>
        <v>6.5974217463507831E-2</v>
      </c>
      <c r="P168" s="339">
        <f>(INDEX(Models!$BJ168:$BT168,,T168)*(1-R168)+INDEX(Models!$BJ168:$BT168,,T168+1)*R168-ERP_i)*Q168*Ramure*Pc/MaxiM</f>
        <v>4.3723805379571601E-3</v>
      </c>
      <c r="Q168" s="305">
        <f t="shared" si="51"/>
        <v>0.7</v>
      </c>
      <c r="R168" s="177">
        <f t="shared" si="52"/>
        <v>0.21399773466055141</v>
      </c>
      <c r="S168" s="919">
        <f t="shared" si="53"/>
        <v>0</v>
      </c>
      <c r="T168" s="176">
        <f t="shared" si="54"/>
        <v>6</v>
      </c>
      <c r="U168" s="251">
        <f t="shared" si="55"/>
        <v>0.21399773466055141</v>
      </c>
      <c r="V168" s="383">
        <f t="shared" si="56"/>
        <v>53.616935314991217</v>
      </c>
      <c r="W168" s="402"/>
      <c r="X168" s="157">
        <f t="shared" si="57"/>
        <v>44715</v>
      </c>
      <c r="Y168" s="385">
        <f t="shared" si="58"/>
        <v>48.443484433770678</v>
      </c>
      <c r="Z168" s="385">
        <f t="shared" si="59"/>
        <v>50.030798207577178</v>
      </c>
      <c r="AA168" s="386">
        <f t="shared" si="60"/>
        <v>56.525255555982277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0.1148947896745558</v>
      </c>
      <c r="AD168" s="231">
        <f>(INDEX(Models!$BJ168:$BT168,,AH168)*(1-AF168)+INDEX(Models!$BJ168:$BT168,,AH168+1)*AF168-ERP_i)*AE168*Ramure*Pc/MaxiM</f>
        <v>4.3723805379571601E-3</v>
      </c>
      <c r="AE168" s="305">
        <f t="shared" si="62"/>
        <v>0.7</v>
      </c>
      <c r="AF168" s="177">
        <f t="shared" si="63"/>
        <v>0.21399773466055141</v>
      </c>
      <c r="AG168" s="919">
        <f t="shared" si="71"/>
        <v>0</v>
      </c>
      <c r="AH168" s="176">
        <f t="shared" si="64"/>
        <v>6</v>
      </c>
      <c r="AI168" s="225">
        <f t="shared" si="65"/>
        <v>0.21399773466055141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44716</v>
      </c>
      <c r="B169" s="618">
        <v>21.169</v>
      </c>
      <c r="C169" s="953"/>
      <c r="D169" s="393">
        <f t="shared" si="48"/>
        <v>21.863108675914152</v>
      </c>
      <c r="E169" s="385">
        <f t="shared" si="69"/>
        <v>23.413325411043804</v>
      </c>
      <c r="F169" s="385">
        <f t="shared" si="49"/>
        <v>23.427663424985845</v>
      </c>
      <c r="G169" s="110">
        <f t="shared" si="70"/>
        <v>0.39365974756173744</v>
      </c>
      <c r="H169" s="412" t="b">
        <f>Wh_hp&gt;='2021'!Maxi_hp</f>
        <v>0</v>
      </c>
      <c r="I169" s="380">
        <f>IF(H169,Wh_hp,'2021'!Maxi_hp)</f>
        <v>57.111684044434135</v>
      </c>
      <c r="J169" s="85">
        <f>IF(H169,An,'2021'!An_max)</f>
        <v>2019</v>
      </c>
      <c r="K169" s="197">
        <f t="shared" si="50"/>
        <v>44716</v>
      </c>
      <c r="L169" s="147">
        <f>IF(t&lt;Tvie,1-EXP((T0-t)*PertePVj)+'2021'!Pspv,1-EXP((T0-t)*PertePVj)+Pspv)</f>
        <v>3.1747940615545978E-2</v>
      </c>
      <c r="M169" s="957"/>
      <c r="N169" s="957"/>
      <c r="O169" s="48">
        <f>IF(t&lt;Tnet,'2021'!Resal+('2021'!Salim-'2021'!Resal)*(1-EXP(('2021'!Tnet-t)/('2021'!Tau_j))),Resal+(Salim-Resal)*(1-EXP((Tnet-t)/(Tau_j))))*Salcycl</f>
        <v>6.6210873847011645E-2</v>
      </c>
      <c r="P169" s="339">
        <f>(INDEX(Models!$BJ169:$BT169,,T169)*(1-R169)+INDEX(Models!$BJ169:$BT169,,T169+1)*R169-ERP_i)*Q169*Ramure*Pc/MaxiM</f>
        <v>4.5002169060455793E-3</v>
      </c>
      <c r="Q169" s="305">
        <f t="shared" si="51"/>
        <v>0.7</v>
      </c>
      <c r="R169" s="177">
        <f t="shared" si="52"/>
        <v>0.2190526921902112</v>
      </c>
      <c r="S169" s="919">
        <f t="shared" si="53"/>
        <v>0</v>
      </c>
      <c r="T169" s="176">
        <f t="shared" si="54"/>
        <v>6</v>
      </c>
      <c r="U169" s="251">
        <f t="shared" si="55"/>
        <v>0.2190526921902112</v>
      </c>
      <c r="V169" s="383">
        <f t="shared" si="56"/>
        <v>53.56564982392122</v>
      </c>
      <c r="W169" s="402"/>
      <c r="X169" s="157">
        <f t="shared" si="57"/>
        <v>44716</v>
      </c>
      <c r="Y169" s="385">
        <f t="shared" si="58"/>
        <v>20.061031594248767</v>
      </c>
      <c r="Z169" s="385">
        <f t="shared" si="59"/>
        <v>20.718811181255994</v>
      </c>
      <c r="AA169" s="386">
        <f t="shared" si="60"/>
        <v>23.413325411043804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0.11508464442717899</v>
      </c>
      <c r="AD169" s="231">
        <f>(INDEX(Models!$BJ169:$BT169,,AH169)*(1-AF169)+INDEX(Models!$BJ169:$BT169,,AH169+1)*AF169-ERP_i)*AE169*Ramure*Pc/MaxiM</f>
        <v>4.5002169060455793E-3</v>
      </c>
      <c r="AE169" s="305">
        <f t="shared" si="62"/>
        <v>0.7</v>
      </c>
      <c r="AF169" s="177">
        <f t="shared" si="63"/>
        <v>0.2190526921902112</v>
      </c>
      <c r="AG169" s="919">
        <f t="shared" si="71"/>
        <v>0</v>
      </c>
      <c r="AH169" s="176">
        <f t="shared" si="64"/>
        <v>6</v>
      </c>
      <c r="AI169" s="225">
        <f t="shared" si="65"/>
        <v>0.2190526921902112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44717</v>
      </c>
      <c r="B170" s="618">
        <v>29.862000000000002</v>
      </c>
      <c r="C170" s="953"/>
      <c r="D170" s="393">
        <f t="shared" si="48"/>
        <v>30.841818284124432</v>
      </c>
      <c r="E170" s="385">
        <f t="shared" ref="E170:E232" si="72">Wh_pvt/(1-Psa)</f>
        <v>33.037026252722512</v>
      </c>
      <c r="F170" s="385">
        <f t="shared" si="49"/>
        <v>33.093439108548779</v>
      </c>
      <c r="G170" s="110">
        <f t="shared" ref="G170:G232" si="73">+Wh_hp/MaxiM</f>
        <v>0.55640949040840681</v>
      </c>
      <c r="H170" s="412" t="b">
        <f>Wh_hp&gt;='2021'!Maxi_hp</f>
        <v>0</v>
      </c>
      <c r="I170" s="380">
        <f>IF(H170,Wh_hp,'2021'!Maxi_hp)</f>
        <v>42.716075181662134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3.1769147820599919E-2</v>
      </c>
      <c r="M170" s="957"/>
      <c r="N170" s="957"/>
      <c r="O170" s="48">
        <f>IF(t&lt;Tnet,'2021'!Resal+('2021'!Salim-'2021'!Resal)*(1-EXP(('2021'!Tnet-t)/('2021'!Tau_j))),Resal+(Salim-Resal)*(1-EXP((Tnet-t)/(Tau_j))))*Salcycl</f>
        <v>6.644689966359113E-2</v>
      </c>
      <c r="P170" s="339">
        <f>(INDEX(Models!$BJ170:$BT170,,T170)*(1-R170)+INDEX(Models!$BJ170:$BT170,,T170+1)*R170-ERP_i)*Q170*Ramure*Pc/MaxiM</f>
        <v>4.6242849267746104E-3</v>
      </c>
      <c r="Q170" s="305">
        <f t="shared" si="51"/>
        <v>0.7</v>
      </c>
      <c r="R170" s="177">
        <f t="shared" si="52"/>
        <v>0.22413319306048315</v>
      </c>
      <c r="S170" s="919">
        <f t="shared" si="53"/>
        <v>0</v>
      </c>
      <c r="T170" s="176">
        <f t="shared" si="54"/>
        <v>6</v>
      </c>
      <c r="U170" s="251">
        <f t="shared" si="55"/>
        <v>0.22413319306048315</v>
      </c>
      <c r="V170" s="383">
        <f t="shared" si="56"/>
        <v>53.512144584111532</v>
      </c>
      <c r="W170" s="402"/>
      <c r="X170" s="157">
        <f t="shared" si="57"/>
        <v>44717</v>
      </c>
      <c r="Y170" s="385">
        <f t="shared" si="58"/>
        <v>28.30016156974585</v>
      </c>
      <c r="Z170" s="385">
        <f t="shared" si="59"/>
        <v>29.228733525733812</v>
      </c>
      <c r="AA170" s="386">
        <f t="shared" si="60"/>
        <v>33.037026252722512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0.11527347219015718</v>
      </c>
      <c r="AD170" s="231">
        <f>(INDEX(Models!$BJ170:$BT170,,AH170)*(1-AF170)+INDEX(Models!$BJ170:$BT170,,AH170+1)*AF170-ERP_i)*AE170*Ramure*Pc/MaxiM</f>
        <v>4.6242849267746104E-3</v>
      </c>
      <c r="AE170" s="305">
        <f t="shared" si="62"/>
        <v>0.7</v>
      </c>
      <c r="AF170" s="177">
        <f t="shared" si="63"/>
        <v>0.22413319306048315</v>
      </c>
      <c r="AG170" s="919">
        <f t="shared" si="71"/>
        <v>0</v>
      </c>
      <c r="AH170" s="176">
        <f t="shared" si="64"/>
        <v>6</v>
      </c>
      <c r="AI170" s="225">
        <f t="shared" si="65"/>
        <v>0.22413319306048315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44718</v>
      </c>
      <c r="B171" s="618">
        <v>44.733000000000004</v>
      </c>
      <c r="C171" s="953"/>
      <c r="D171" s="393">
        <f t="shared" si="48"/>
        <v>46.201770670984068</v>
      </c>
      <c r="E171" s="385">
        <f t="shared" si="72"/>
        <v>49.502723054059203</v>
      </c>
      <c r="F171" s="385">
        <f t="shared" si="49"/>
        <v>49.683474403449047</v>
      </c>
      <c r="G171" s="110">
        <f t="shared" si="73"/>
        <v>0.83588458823768552</v>
      </c>
      <c r="H171" s="412" t="b">
        <f>Wh_hp&gt;='2021'!Maxi_hp</f>
        <v>0</v>
      </c>
      <c r="I171" s="380">
        <f>IF(H171,Wh_hp,'2021'!Maxi_hp)</f>
        <v>56.000265625104696</v>
      </c>
      <c r="J171" s="85">
        <f>IF(H171,An,'2021'!An_max)</f>
        <v>2019</v>
      </c>
      <c r="K171" s="197">
        <f t="shared" si="50"/>
        <v>44718</v>
      </c>
      <c r="L171" s="147">
        <f>IF(t&lt;Tvie,1-EXP((T0-t)*PertePVj)+'2021'!Pspv,1-EXP((T0-t)*PertePVj)+Pspv)</f>
        <v>3.1790354561161638E-2</v>
      </c>
      <c r="M171" s="957"/>
      <c r="N171" s="957"/>
      <c r="O171" s="48">
        <f>IF(t&lt;Tnet,'2021'!Resal+('2021'!Salim-'2021'!Resal)*(1-EXP(('2021'!Tnet-t)/('2021'!Tau_j))),Resal+(Salim-Resal)*(1-EXP((Tnet-t)/(Tau_j))))*Salcycl</f>
        <v>6.6682238459293386E-2</v>
      </c>
      <c r="P171" s="339">
        <f>(INDEX(Models!$BJ171:$BT171,,T171)*(1-R171)+INDEX(Models!$BJ171:$BT171,,T171+1)*R171-ERP_i)*Q171*Ramure*Pc/MaxiM</f>
        <v>4.7439953671832291E-3</v>
      </c>
      <c r="Q171" s="305">
        <f t="shared" si="51"/>
        <v>0.7</v>
      </c>
      <c r="R171" s="177">
        <f t="shared" si="52"/>
        <v>0.22923511160762311</v>
      </c>
      <c r="S171" s="919">
        <f t="shared" si="53"/>
        <v>0</v>
      </c>
      <c r="T171" s="176">
        <f t="shared" si="54"/>
        <v>6</v>
      </c>
      <c r="U171" s="251">
        <f t="shared" si="55"/>
        <v>0.22923511160762311</v>
      </c>
      <c r="V171" s="383">
        <f t="shared" si="56"/>
        <v>53.456359984107387</v>
      </c>
      <c r="W171" s="402"/>
      <c r="X171" s="157">
        <f t="shared" si="57"/>
        <v>44718</v>
      </c>
      <c r="Y171" s="385">
        <f t="shared" si="58"/>
        <v>42.395073382553974</v>
      </c>
      <c r="Z171" s="385">
        <f t="shared" si="59"/>
        <v>43.787080186893327</v>
      </c>
      <c r="AA171" s="386">
        <f t="shared" si="60"/>
        <v>49.502723054059203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0.11546118101269168</v>
      </c>
      <c r="AD171" s="231">
        <f>(INDEX(Models!$BJ171:$BT171,,AH171)*(1-AF171)+INDEX(Models!$BJ171:$BT171,,AH171+1)*AF171-ERP_i)*AE171*Ramure*Pc/MaxiM</f>
        <v>4.7439953671832291E-3</v>
      </c>
      <c r="AE171" s="305">
        <f t="shared" si="62"/>
        <v>0.7</v>
      </c>
      <c r="AF171" s="177">
        <f t="shared" si="63"/>
        <v>0.22923511160762311</v>
      </c>
      <c r="AG171" s="919">
        <f t="shared" si="71"/>
        <v>0</v>
      </c>
      <c r="AH171" s="176">
        <f t="shared" si="64"/>
        <v>6</v>
      </c>
      <c r="AI171" s="225">
        <f t="shared" si="65"/>
        <v>0.22923511160762311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44719</v>
      </c>
      <c r="B172" s="618">
        <v>26.186</v>
      </c>
      <c r="C172" s="953"/>
      <c r="D172" s="393">
        <f t="shared" si="48"/>
        <v>27.046387811286355</v>
      </c>
      <c r="E172" s="385">
        <f t="shared" si="72"/>
        <v>28.986041995459612</v>
      </c>
      <c r="F172" s="385">
        <f t="shared" si="49"/>
        <v>29.02440182626454</v>
      </c>
      <c r="G172" s="110">
        <f t="shared" si="73"/>
        <v>0.48865386292250851</v>
      </c>
      <c r="H172" s="412" t="b">
        <f>Wh_hp&gt;='2021'!Maxi_hp</f>
        <v>0</v>
      </c>
      <c r="I172" s="380">
        <f>IF(H172,Wh_hp,'2021'!Maxi_hp)</f>
        <v>55.156942491889488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3.1811560837241237E-2</v>
      </c>
      <c r="M172" s="957"/>
      <c r="N172" s="957"/>
      <c r="O172" s="48">
        <f>IF(t&lt;Tnet,'2021'!Resal+('2021'!Salim-'2021'!Resal)*(1-EXP(('2021'!Tnet-t)/('2021'!Tau_j))),Resal+(Salim-Resal)*(1-EXP((Tnet-t)/(Tau_j))))*Salcycl</f>
        <v>6.6916834815773957E-2</v>
      </c>
      <c r="P172" s="339">
        <f>(INDEX(Models!$BJ172:$BT172,,T172)*(1-R172)+INDEX(Models!$BJ172:$BT172,,T172+1)*R172-ERP_i)*Q172*Ramure*Pc/MaxiM</f>
        <v>4.8592041896773908E-3</v>
      </c>
      <c r="Q172" s="305">
        <f t="shared" si="51"/>
        <v>0.7</v>
      </c>
      <c r="R172" s="177">
        <f t="shared" si="52"/>
        <v>0.2343542510254491</v>
      </c>
      <c r="S172" s="919">
        <f t="shared" si="53"/>
        <v>0</v>
      </c>
      <c r="T172" s="176">
        <f t="shared" si="54"/>
        <v>6</v>
      </c>
      <c r="U172" s="251">
        <f t="shared" si="55"/>
        <v>0.2343542510254491</v>
      </c>
      <c r="V172" s="383">
        <f t="shared" si="56"/>
        <v>53.398212417119822</v>
      </c>
      <c r="W172" s="402"/>
      <c r="X172" s="157">
        <f t="shared" si="57"/>
        <v>44719</v>
      </c>
      <c r="Y172" s="385">
        <f t="shared" si="58"/>
        <v>24.818419921403837</v>
      </c>
      <c r="Z172" s="385">
        <f t="shared" si="59"/>
        <v>25.633873446026243</v>
      </c>
      <c r="AA172" s="386">
        <f t="shared" si="60"/>
        <v>28.986041995459612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0.11564768138949273</v>
      </c>
      <c r="AD172" s="231">
        <f>(INDEX(Models!$BJ172:$BT172,,AH172)*(1-AF172)+INDEX(Models!$BJ172:$BT172,,AH172+1)*AF172-ERP_i)*AE172*Ramure*Pc/MaxiM</f>
        <v>4.8592041896773908E-3</v>
      </c>
      <c r="AE172" s="305">
        <f t="shared" si="62"/>
        <v>0.7</v>
      </c>
      <c r="AF172" s="177">
        <f t="shared" si="63"/>
        <v>0.2343542510254491</v>
      </c>
      <c r="AG172" s="919">
        <f t="shared" si="71"/>
        <v>0</v>
      </c>
      <c r="AH172" s="176">
        <f t="shared" si="64"/>
        <v>6</v>
      </c>
      <c r="AI172" s="225">
        <f t="shared" si="65"/>
        <v>0.2343542510254491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44720</v>
      </c>
      <c r="B173" s="618">
        <v>19.466999999999999</v>
      </c>
      <c r="C173" s="953"/>
      <c r="D173" s="393">
        <f t="shared" si="48"/>
        <v>20.107063459086707</v>
      </c>
      <c r="E173" s="385">
        <f t="shared" si="72"/>
        <v>21.554459063057017</v>
      </c>
      <c r="F173" s="385">
        <f t="shared" si="49"/>
        <v>21.564407040574888</v>
      </c>
      <c r="G173" s="110">
        <f t="shared" si="73"/>
        <v>0.36333068645877242</v>
      </c>
      <c r="H173" s="412" t="b">
        <f>Wh_hp&gt;='2021'!Maxi_hp</f>
        <v>0</v>
      </c>
      <c r="I173" s="380">
        <f>IF(H173,Wh_hp,'2021'!Maxi_hp)</f>
        <v>61.487890344452325</v>
      </c>
      <c r="J173" s="85">
        <f>IF(H173,An,'2021'!An_max)</f>
        <v>2019</v>
      </c>
      <c r="K173" s="197">
        <f t="shared" si="50"/>
        <v>44720</v>
      </c>
      <c r="L173" s="147">
        <f>IF(t&lt;Tvie,1-EXP((T0-t)*PertePVj)+'2021'!Pspv,1-EXP((T0-t)*PertePVj)+Pspv)</f>
        <v>3.1832766648849042E-2</v>
      </c>
      <c r="M173" s="957"/>
      <c r="N173" s="957"/>
      <c r="O173" s="48">
        <f>IF(t&lt;Tnet,'2021'!Resal+('2021'!Salim-'2021'!Resal)*(1-EXP(('2021'!Tnet-t)/('2021'!Tau_j))),Resal+(Salim-Resal)*(1-EXP((Tnet-t)/(Tau_j))))*Salcycl</f>
        <v>6.7150634573384063E-2</v>
      </c>
      <c r="P173" s="339">
        <f>(INDEX(Models!$BJ173:$BT173,,T173)*(1-R173)+INDEX(Models!$BJ173:$BT173,,T173+1)*R173-ERP_i)*Q173*Ramure*Pc/MaxiM</f>
        <v>4.969768318812416E-3</v>
      </c>
      <c r="Q173" s="305">
        <f t="shared" si="51"/>
        <v>0.7</v>
      </c>
      <c r="R173" s="177">
        <f t="shared" si="52"/>
        <v>0.23948635697871559</v>
      </c>
      <c r="S173" s="919">
        <f t="shared" si="53"/>
        <v>0</v>
      </c>
      <c r="T173" s="176">
        <f t="shared" si="54"/>
        <v>6</v>
      </c>
      <c r="U173" s="251">
        <f t="shared" si="55"/>
        <v>0.23948635697871559</v>
      </c>
      <c r="V173" s="383">
        <f t="shared" si="56"/>
        <v>53.337618177585462</v>
      </c>
      <c r="W173" s="402"/>
      <c r="X173" s="157">
        <f t="shared" si="57"/>
        <v>44720</v>
      </c>
      <c r="Y173" s="385">
        <f t="shared" si="58"/>
        <v>18.451083137481721</v>
      </c>
      <c r="Z173" s="385">
        <f t="shared" si="59"/>
        <v>19.057743850322577</v>
      </c>
      <c r="AA173" s="386">
        <f t="shared" si="60"/>
        <v>21.554459063057017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0.11583288661665617</v>
      </c>
      <c r="AD173" s="231">
        <f>(INDEX(Models!$BJ173:$BT173,,AH173)*(1-AF173)+INDEX(Models!$BJ173:$BT173,,AH173+1)*AF173-ERP_i)*AE173*Ramure*Pc/MaxiM</f>
        <v>4.969768318812416E-3</v>
      </c>
      <c r="AE173" s="305">
        <f t="shared" si="62"/>
        <v>0.7</v>
      </c>
      <c r="AF173" s="177">
        <f t="shared" si="63"/>
        <v>0.23948635697871559</v>
      </c>
      <c r="AG173" s="919">
        <f t="shared" si="71"/>
        <v>0</v>
      </c>
      <c r="AH173" s="176">
        <f t="shared" si="64"/>
        <v>6</v>
      </c>
      <c r="AI173" s="225">
        <f t="shared" si="65"/>
        <v>0.23948635697871559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44721</v>
      </c>
      <c r="B174" s="618">
        <v>43.246000000000002</v>
      </c>
      <c r="C174" s="953"/>
      <c r="D174" s="393">
        <f t="shared" si="48"/>
        <v>44.668881293825969</v>
      </c>
      <c r="E174" s="385">
        <f t="shared" si="72"/>
        <v>47.896306110203547</v>
      </c>
      <c r="F174" s="385">
        <f t="shared" si="49"/>
        <v>48.074694246406423</v>
      </c>
      <c r="G174" s="110">
        <f t="shared" si="73"/>
        <v>0.81064597492842827</v>
      </c>
      <c r="H174" s="412" t="b">
        <f>Wh_hp&gt;='2021'!Maxi_hp</f>
        <v>0</v>
      </c>
      <c r="I174" s="380">
        <f>IF(H174,Wh_hp,'2021'!Maxi_hp)</f>
        <v>58.767455716335284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3.1853971995995156E-2</v>
      </c>
      <c r="M174" s="957"/>
      <c r="N174" s="957"/>
      <c r="O174" s="48">
        <f>IF(t&lt;Tnet,'2021'!Resal+('2021'!Salim-'2021'!Resal)*(1-EXP(('2021'!Tnet-t)/('2021'!Tau_j))),Resal+(Salim-Resal)*(1-EXP((Tnet-t)/(Tau_j))))*Salcycl</f>
        <v>6.738358505041428E-2</v>
      </c>
      <c r="P174" s="339">
        <f>(INDEX(Models!$BJ174:$BT174,,T174)*(1-R174)+INDEX(Models!$BJ174:$BT174,,T174+1)*R174-ERP_i)*Q174*Ramure*Pc/MaxiM</f>
        <v>5.0755460995229127E-3</v>
      </c>
      <c r="Q174" s="305">
        <f t="shared" si="51"/>
        <v>0.7</v>
      </c>
      <c r="R174" s="177">
        <f t="shared" si="52"/>
        <v>0.24462713162302147</v>
      </c>
      <c r="S174" s="919">
        <f t="shared" si="53"/>
        <v>0</v>
      </c>
      <c r="T174" s="176">
        <f t="shared" si="54"/>
        <v>6</v>
      </c>
      <c r="U174" s="251">
        <f t="shared" si="55"/>
        <v>0.24462713162302147</v>
      </c>
      <c r="V174" s="383">
        <f t="shared" si="56"/>
        <v>53.2744934184445</v>
      </c>
      <c r="W174" s="402"/>
      <c r="X174" s="157">
        <f t="shared" si="57"/>
        <v>44721</v>
      </c>
      <c r="Y174" s="385">
        <f t="shared" si="58"/>
        <v>40.99085177021486</v>
      </c>
      <c r="Z174" s="385">
        <f t="shared" si="59"/>
        <v>42.339534103883445</v>
      </c>
      <c r="AA174" s="386">
        <f t="shared" si="60"/>
        <v>47.896306110203547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0.11601671313722291</v>
      </c>
      <c r="AD174" s="231">
        <f>(INDEX(Models!$BJ174:$BT174,,AH174)*(1-AF174)+INDEX(Models!$BJ174:$BT174,,AH174+1)*AF174-ERP_i)*AE174*Ramure*Pc/MaxiM</f>
        <v>5.0755460995229127E-3</v>
      </c>
      <c r="AE174" s="305">
        <f t="shared" si="62"/>
        <v>0.7</v>
      </c>
      <c r="AF174" s="177">
        <f t="shared" si="63"/>
        <v>0.24462713162302147</v>
      </c>
      <c r="AG174" s="919">
        <f t="shared" si="71"/>
        <v>0</v>
      </c>
      <c r="AH174" s="176">
        <f t="shared" si="64"/>
        <v>6</v>
      </c>
      <c r="AI174" s="225">
        <f t="shared" si="65"/>
        <v>0.24462713162302147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44722</v>
      </c>
      <c r="B175" s="618">
        <v>52.945</v>
      </c>
      <c r="C175" s="953"/>
      <c r="D175" s="393">
        <f t="shared" si="48"/>
        <v>54.68819591806475</v>
      </c>
      <c r="E175" s="385">
        <f t="shared" si="72"/>
        <v>58.654132336439645</v>
      </c>
      <c r="F175" s="385">
        <f t="shared" si="49"/>
        <v>58.957156893344319</v>
      </c>
      <c r="G175" s="110">
        <f t="shared" si="73"/>
        <v>0.99500636900957207</v>
      </c>
      <c r="H175" s="412" t="b">
        <f>Wh_hp&gt;='2021'!Maxi_hp</f>
        <v>1</v>
      </c>
      <c r="I175" s="380">
        <f>IF(H175,Wh_hp,'2021'!Maxi_hp)</f>
        <v>58.957156893344319</v>
      </c>
      <c r="J175" s="85">
        <f>IF(H175,An,'2021'!An_max)</f>
        <v>2022</v>
      </c>
      <c r="K175" s="197">
        <f t="shared" si="50"/>
        <v>44722</v>
      </c>
      <c r="L175" s="147">
        <f>IF(t&lt;Tvie,1-EXP((T0-t)*PertePVj)+'2021'!Pspv,1-EXP((T0-t)*PertePVj)+Pspv)</f>
        <v>3.1875176878689682E-2</v>
      </c>
      <c r="M175" s="957"/>
      <c r="N175" s="957"/>
      <c r="O175" s="48">
        <f>IF(t&lt;Tnet,'2021'!Resal+('2021'!Salim-'2021'!Resal)*(1-EXP(('2021'!Tnet-t)/('2021'!Tau_j))),Resal+(Salim-Resal)*(1-EXP((Tnet-t)/(Tau_j))))*Salcycl</f>
        <v>6.7615635256972478E-2</v>
      </c>
      <c r="P175" s="339">
        <f>(INDEX(Models!$BJ175:$BT175,,T175)*(1-R175)+INDEX(Models!$BJ175:$BT175,,T175+1)*R175-ERP_i)*Q175*Ramure*Pc/MaxiM</f>
        <v>5.1763977405484343E-3</v>
      </c>
      <c r="Q175" s="305">
        <f t="shared" si="51"/>
        <v>0.7</v>
      </c>
      <c r="R175" s="177">
        <f t="shared" si="52"/>
        <v>0.24977224793403299</v>
      </c>
      <c r="S175" s="919">
        <f t="shared" si="53"/>
        <v>0</v>
      </c>
      <c r="T175" s="176">
        <f t="shared" si="54"/>
        <v>6</v>
      </c>
      <c r="U175" s="251">
        <f t="shared" si="55"/>
        <v>0.24977224793403299</v>
      </c>
      <c r="V175" s="383">
        <f t="shared" si="56"/>
        <v>53.208754102064532</v>
      </c>
      <c r="W175" s="402"/>
      <c r="X175" s="157">
        <f t="shared" si="57"/>
        <v>44722</v>
      </c>
      <c r="Y175" s="385">
        <f t="shared" si="58"/>
        <v>50.186212288129937</v>
      </c>
      <c r="Z175" s="385">
        <f t="shared" si="59"/>
        <v>51.838576069484155</v>
      </c>
      <c r="AA175" s="386">
        <f t="shared" si="60"/>
        <v>58.654132336439645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0.11619908087398696</v>
      </c>
      <c r="AD175" s="231">
        <f>(INDEX(Models!$BJ175:$BT175,,AH175)*(1-AF175)+INDEX(Models!$BJ175:$BT175,,AH175+1)*AF175-ERP_i)*AE175*Ramure*Pc/MaxiM</f>
        <v>5.1763977405484343E-3</v>
      </c>
      <c r="AE175" s="305">
        <f t="shared" si="62"/>
        <v>0.7</v>
      </c>
      <c r="AF175" s="177">
        <f t="shared" si="63"/>
        <v>0.24977224793403299</v>
      </c>
      <c r="AG175" s="919">
        <f t="shared" si="71"/>
        <v>0</v>
      </c>
      <c r="AH175" s="176">
        <f t="shared" si="64"/>
        <v>6</v>
      </c>
      <c r="AI175" s="225">
        <f t="shared" si="65"/>
        <v>0.24977224793403299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44723</v>
      </c>
      <c r="B176" s="618">
        <v>51.497</v>
      </c>
      <c r="C176" s="953"/>
      <c r="D176" s="393">
        <f t="shared" si="48"/>
        <v>53.193686094252158</v>
      </c>
      <c r="E176" s="385">
        <f t="shared" si="72"/>
        <v>57.065386299041187</v>
      </c>
      <c r="F176" s="385">
        <f t="shared" si="49"/>
        <v>57.354410945411338</v>
      </c>
      <c r="G176" s="110">
        <f t="shared" si="73"/>
        <v>0.96884905774212582</v>
      </c>
      <c r="H176" s="412" t="b">
        <f>Wh_hp&gt;='2021'!Maxi_hp</f>
        <v>1</v>
      </c>
      <c r="I176" s="380">
        <f>IF(H176,Wh_hp,'2021'!Maxi_hp)</f>
        <v>57.354410945411338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3.1896381296942944E-2</v>
      </c>
      <c r="M176" s="957"/>
      <c r="N176" s="957"/>
      <c r="O176" s="48">
        <f>IF(t&lt;Tnet,'2021'!Resal+('2021'!Salim-'2021'!Resal)*(1-EXP(('2021'!Tnet-t)/('2021'!Tau_j))),Resal+(Salim-Resal)*(1-EXP((Tnet-t)/(Tau_j))))*Salcycl</f>
        <v>6.7846736101987715E-2</v>
      </c>
      <c r="P176" s="339">
        <f>(INDEX(Models!$BJ176:$BT176,,T176)*(1-R176)+INDEX(Models!$BJ176:$BT176,,T176+1)*R176-ERP_i)*Q176*Ramure*Pc/MaxiM</f>
        <v>5.2721857371661896E-3</v>
      </c>
      <c r="Q176" s="305">
        <f t="shared" si="51"/>
        <v>0.7</v>
      </c>
      <c r="R176" s="177">
        <f t="shared" si="52"/>
        <v>0.25491736424504452</v>
      </c>
      <c r="S176" s="919">
        <f t="shared" si="53"/>
        <v>0</v>
      </c>
      <c r="T176" s="176">
        <f t="shared" si="54"/>
        <v>6</v>
      </c>
      <c r="U176" s="251">
        <f t="shared" si="55"/>
        <v>0.25491736424504452</v>
      </c>
      <c r="V176" s="383">
        <f t="shared" si="56"/>
        <v>53.140315958982697</v>
      </c>
      <c r="W176" s="402"/>
      <c r="X176" s="157">
        <f t="shared" si="57"/>
        <v>44723</v>
      </c>
      <c r="Y176" s="385">
        <f t="shared" si="58"/>
        <v>48.815774566702338</v>
      </c>
      <c r="Z176" s="385">
        <f t="shared" si="59"/>
        <v>50.424121575022667</v>
      </c>
      <c r="AA176" s="386">
        <f t="shared" si="60"/>
        <v>57.065386299041187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0.1163799135471744</v>
      </c>
      <c r="AD176" s="231">
        <f>(INDEX(Models!$BJ176:$BT176,,AH176)*(1-AF176)+INDEX(Models!$BJ176:$BT176,,AH176+1)*AF176-ERP_i)*AE176*Ramure*Pc/MaxiM</f>
        <v>5.2721857371661896E-3</v>
      </c>
      <c r="AE176" s="305">
        <f t="shared" si="62"/>
        <v>0.7</v>
      </c>
      <c r="AF176" s="177">
        <f t="shared" si="63"/>
        <v>0.25491736424504452</v>
      </c>
      <c r="AG176" s="919">
        <f t="shared" si="71"/>
        <v>0</v>
      </c>
      <c r="AH176" s="176">
        <f t="shared" si="64"/>
        <v>6</v>
      </c>
      <c r="AI176" s="225">
        <f t="shared" si="65"/>
        <v>0.25491736424504452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44724</v>
      </c>
      <c r="B177" s="618">
        <v>39.468000000000004</v>
      </c>
      <c r="C177" s="953"/>
      <c r="D177" s="393">
        <f t="shared" si="48"/>
        <v>40.769256210715803</v>
      </c>
      <c r="E177" s="385">
        <f t="shared" si="72"/>
        <v>43.747443980905189</v>
      </c>
      <c r="F177" s="385">
        <f t="shared" si="49"/>
        <v>43.896666756542324</v>
      </c>
      <c r="G177" s="110">
        <f t="shared" si="73"/>
        <v>0.74225287466157197</v>
      </c>
      <c r="H177" s="412" t="b">
        <f>Wh_hp&gt;='2021'!Maxi_hp</f>
        <v>0</v>
      </c>
      <c r="I177" s="380">
        <f>IF(H177,Wh_hp,'2021'!Maxi_hp)</f>
        <v>53.061432092137871</v>
      </c>
      <c r="J177" s="85">
        <f>IF(H177,An,'2021'!An_max)</f>
        <v>2019</v>
      </c>
      <c r="K177" s="197">
        <f t="shared" si="50"/>
        <v>44724</v>
      </c>
      <c r="L177" s="147">
        <f>IF(t&lt;Tvie,1-EXP((T0-t)*PertePVj)+'2021'!Pspv,1-EXP((T0-t)*PertePVj)+Pspv)</f>
        <v>3.1917585250764935E-2</v>
      </c>
      <c r="M177" s="957"/>
      <c r="N177" s="957"/>
      <c r="O177" s="48">
        <f>IF(t&lt;Tnet,'2021'!Resal+('2021'!Salim-'2021'!Resal)*(1-EXP(('2021'!Tnet-t)/('2021'!Tau_j))),Resal+(Salim-Resal)*(1-EXP((Tnet-t)/(Tau_j))))*Salcycl</f>
        <v>6.8076840591859436E-2</v>
      </c>
      <c r="P177" s="339">
        <f>(INDEX(Models!$BJ177:$BT177,,T177)*(1-R177)+INDEX(Models!$BJ177:$BT177,,T177+1)*R177-ERP_i)*Q177*Ramure*Pc/MaxiM</f>
        <v>5.3628354893391263E-3</v>
      </c>
      <c r="Q177" s="305">
        <f t="shared" si="51"/>
        <v>0.7</v>
      </c>
      <c r="R177" s="177">
        <f t="shared" si="52"/>
        <v>0.26005813888935042</v>
      </c>
      <c r="S177" s="919">
        <f t="shared" si="53"/>
        <v>0</v>
      </c>
      <c r="T177" s="176">
        <f t="shared" si="54"/>
        <v>6</v>
      </c>
      <c r="U177" s="251">
        <f t="shared" si="55"/>
        <v>0.26005813888935042</v>
      </c>
      <c r="V177" s="383">
        <f t="shared" si="56"/>
        <v>53.068495316261973</v>
      </c>
      <c r="W177" s="402"/>
      <c r="X177" s="157">
        <f t="shared" si="57"/>
        <v>44724</v>
      </c>
      <c r="Y177" s="385">
        <f t="shared" si="58"/>
        <v>37.41471981991625</v>
      </c>
      <c r="Z177" s="385">
        <f t="shared" si="59"/>
        <v>38.648279578147161</v>
      </c>
      <c r="AA177" s="386">
        <f t="shared" si="60"/>
        <v>43.747443980905189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0.11655913897469544</v>
      </c>
      <c r="AD177" s="231">
        <f>(INDEX(Models!$BJ177:$BT177,,AH177)*(1-AF177)+INDEX(Models!$BJ177:$BT177,,AH177+1)*AF177-ERP_i)*AE177*Ramure*Pc/MaxiM</f>
        <v>5.3628354893391263E-3</v>
      </c>
      <c r="AE177" s="305">
        <f t="shared" si="62"/>
        <v>0.7</v>
      </c>
      <c r="AF177" s="177">
        <f t="shared" si="63"/>
        <v>0.26005813888935042</v>
      </c>
      <c r="AG177" s="919">
        <f t="shared" si="71"/>
        <v>0</v>
      </c>
      <c r="AH177" s="176">
        <f t="shared" si="64"/>
        <v>6</v>
      </c>
      <c r="AI177" s="225">
        <f t="shared" si="65"/>
        <v>0.26005813888935042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44725</v>
      </c>
      <c r="B178" s="618">
        <v>48.478999999999999</v>
      </c>
      <c r="C178" s="953"/>
      <c r="D178" s="393">
        <f t="shared" si="48"/>
        <v>50.078444871176558</v>
      </c>
      <c r="E178" s="385">
        <f t="shared" si="72"/>
        <v>53.749878943329328</v>
      </c>
      <c r="F178" s="385">
        <f t="shared" si="49"/>
        <v>54.0082563294404</v>
      </c>
      <c r="G178" s="110">
        <f t="shared" si="73"/>
        <v>0.91420954706542812</v>
      </c>
      <c r="H178" s="412" t="b">
        <f>Wh_hp&gt;='2021'!Maxi_hp</f>
        <v>0</v>
      </c>
      <c r="I178" s="380">
        <f>IF(H178,Wh_hp,'2021'!Maxi_hp)</f>
        <v>61.924411785677407</v>
      </c>
      <c r="J178" s="85">
        <f>IF(H178,An,'2021'!An_max)</f>
        <v>2019</v>
      </c>
      <c r="K178" s="197">
        <f t="shared" si="50"/>
        <v>44725</v>
      </c>
      <c r="L178" s="147">
        <f>IF(t&lt;Tvie,1-EXP((T0-t)*PertePVj)+'2021'!Pspv,1-EXP((T0-t)*PertePVj)+Pspv)</f>
        <v>3.193878874016598E-2</v>
      </c>
      <c r="M178" s="957"/>
      <c r="N178" s="957"/>
      <c r="O178" s="48">
        <f>IF(t&lt;Tnet,'2021'!Resal+('2021'!Salim-'2021'!Resal)*(1-EXP(('2021'!Tnet-t)/('2021'!Tau_j))),Resal+(Salim-Resal)*(1-EXP((Tnet-t)/(Tau_j))))*Salcycl</f>
        <v>6.8305904019313454E-2</v>
      </c>
      <c r="P178" s="339">
        <f>(INDEX(Models!$BJ178:$BT178,,T178)*(1-R178)+INDEX(Models!$BJ178:$BT178,,T178+1)*R178-ERP_i)*Q178*Ramure*Pc/MaxiM</f>
        <v>5.4468477283630499E-3</v>
      </c>
      <c r="Q178" s="305">
        <f t="shared" si="51"/>
        <v>0.7</v>
      </c>
      <c r="R178" s="177">
        <f t="shared" si="52"/>
        <v>0.26519024484261694</v>
      </c>
      <c r="S178" s="919">
        <f t="shared" si="53"/>
        <v>0</v>
      </c>
      <c r="T178" s="176">
        <f t="shared" si="54"/>
        <v>6</v>
      </c>
      <c r="U178" s="251">
        <f t="shared" si="55"/>
        <v>0.26519024484261694</v>
      </c>
      <c r="V178" s="383">
        <f t="shared" si="56"/>
        <v>52.993007120840488</v>
      </c>
      <c r="W178" s="402"/>
      <c r="X178" s="157">
        <f t="shared" si="57"/>
        <v>44725</v>
      </c>
      <c r="Y178" s="385">
        <f t="shared" si="58"/>
        <v>45.958992572337259</v>
      </c>
      <c r="Z178" s="385">
        <f t="shared" si="59"/>
        <v>47.47529602237266</v>
      </c>
      <c r="AA178" s="386">
        <f t="shared" si="60"/>
        <v>53.749878943329328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0.11673668935277449</v>
      </c>
      <c r="AD178" s="231">
        <f>(INDEX(Models!$BJ178:$BT178,,AH178)*(1-AF178)+INDEX(Models!$BJ178:$BT178,,AH178+1)*AF178-ERP_i)*AE178*Ramure*Pc/MaxiM</f>
        <v>5.4468477283630499E-3</v>
      </c>
      <c r="AE178" s="305">
        <f t="shared" si="62"/>
        <v>0.7</v>
      </c>
      <c r="AF178" s="177">
        <f t="shared" si="63"/>
        <v>0.26519024484261694</v>
      </c>
      <c r="AG178" s="919">
        <f t="shared" si="71"/>
        <v>0</v>
      </c>
      <c r="AH178" s="176">
        <f t="shared" si="64"/>
        <v>6</v>
      </c>
      <c r="AI178" s="225">
        <f t="shared" si="65"/>
        <v>0.26519024484261694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44726</v>
      </c>
      <c r="B179" s="618">
        <v>46.151000000000003</v>
      </c>
      <c r="C179" s="953"/>
      <c r="D179" s="393">
        <f t="shared" si="48"/>
        <v>47.674682458789349</v>
      </c>
      <c r="E179" s="385">
        <f t="shared" si="72"/>
        <v>51.182411949389902</v>
      </c>
      <c r="F179" s="385">
        <f t="shared" si="49"/>
        <v>51.414637073623524</v>
      </c>
      <c r="G179" s="110">
        <f t="shared" si="73"/>
        <v>0.87130211131296809</v>
      </c>
      <c r="H179" s="412" t="b">
        <f>Wh_hp&gt;='2021'!Maxi_hp</f>
        <v>0</v>
      </c>
      <c r="I179" s="380">
        <f>IF(H179,Wh_hp,'2021'!Maxi_hp)</f>
        <v>57.572810186062441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3.1959991765156182E-2</v>
      </c>
      <c r="M179" s="957"/>
      <c r="N179" s="957"/>
      <c r="O179" s="48">
        <f>IF(t&lt;Tnet,'2021'!Resal+('2021'!Salim-'2021'!Resal)*(1-EXP(('2021'!Tnet-t)/('2021'!Tau_j))),Resal+(Salim-Resal)*(1-EXP((Tnet-t)/(Tau_j))))*Salcycl</f>
        <v>6.8533884141080803E-2</v>
      </c>
      <c r="P179" s="339">
        <f>(INDEX(Models!$BJ179:$BT179,,T179)*(1-R179)+INDEX(Models!$BJ179:$BT179,,T179+1)*R179-ERP_i)*Q179*Ramure*Pc/MaxiM</f>
        <v>5.525647530416968E-3</v>
      </c>
      <c r="Q179" s="305">
        <f t="shared" si="51"/>
        <v>0.7</v>
      </c>
      <c r="R179" s="177">
        <f t="shared" si="52"/>
        <v>0.27030938426044288</v>
      </c>
      <c r="S179" s="919">
        <f t="shared" si="53"/>
        <v>0</v>
      </c>
      <c r="T179" s="176">
        <f t="shared" si="54"/>
        <v>6</v>
      </c>
      <c r="U179" s="251">
        <f t="shared" si="55"/>
        <v>0.27030938426044288</v>
      </c>
      <c r="V179" s="383">
        <f t="shared" si="56"/>
        <v>52.914166928430404</v>
      </c>
      <c r="W179" s="402"/>
      <c r="X179" s="157">
        <f t="shared" si="57"/>
        <v>44726</v>
      </c>
      <c r="Y179" s="385">
        <f t="shared" si="58"/>
        <v>43.754002908635556</v>
      </c>
      <c r="Z179" s="385">
        <f t="shared" si="59"/>
        <v>45.198548134821465</v>
      </c>
      <c r="AA179" s="386">
        <f t="shared" si="60"/>
        <v>51.182411949389902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0.11691250151488346</v>
      </c>
      <c r="AD179" s="231">
        <f>(INDEX(Models!$BJ179:$BT179,,AH179)*(1-AF179)+INDEX(Models!$BJ179:$BT179,,AH179+1)*AF179-ERP_i)*AE179*Ramure*Pc/MaxiM</f>
        <v>5.525647530416968E-3</v>
      </c>
      <c r="AE179" s="305">
        <f t="shared" si="62"/>
        <v>0.7</v>
      </c>
      <c r="AF179" s="177">
        <f t="shared" si="63"/>
        <v>0.27030938426044288</v>
      </c>
      <c r="AG179" s="919">
        <f t="shared" si="71"/>
        <v>0</v>
      </c>
      <c r="AH179" s="176">
        <f t="shared" si="64"/>
        <v>6</v>
      </c>
      <c r="AI179" s="225">
        <f t="shared" si="65"/>
        <v>0.27030938426044288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44727</v>
      </c>
      <c r="B180" s="618">
        <v>49.54</v>
      </c>
      <c r="C180" s="953"/>
      <c r="D180" s="393">
        <f t="shared" si="48"/>
        <v>51.176691722940134</v>
      </c>
      <c r="E180" s="385">
        <f t="shared" si="72"/>
        <v>54.955470623897369</v>
      </c>
      <c r="F180" s="385">
        <f t="shared" si="49"/>
        <v>55.237213915781524</v>
      </c>
      <c r="G180" s="110">
        <f t="shared" si="73"/>
        <v>0.9372128383685</v>
      </c>
      <c r="H180" s="412" t="b">
        <f>Wh_hp&gt;='2021'!Maxi_hp</f>
        <v>1</v>
      </c>
      <c r="I180" s="380">
        <f>IF(H180,Wh_hp,'2021'!Maxi_hp)</f>
        <v>55.237213915781524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3.1981194325745754E-2</v>
      </c>
      <c r="M180" s="957"/>
      <c r="N180" s="957"/>
      <c r="O180" s="48">
        <f>IF(t&lt;Tnet,'2021'!Resal+('2021'!Salim-'2021'!Resal)*(1-EXP(('2021'!Tnet-t)/('2021'!Tau_j))),Resal+(Salim-Resal)*(1-EXP((Tnet-t)/(Tau_j))))*Salcycl</f>
        <v>6.8760741343083492E-2</v>
      </c>
      <c r="P180" s="339">
        <f>(INDEX(Models!$BJ180:$BT180,,T180)*(1-R180)+INDEX(Models!$BJ180:$BT180,,T180+1)*R180-ERP_i)*Q180*Ramure*Pc/MaxiM</f>
        <v>5.5990619621774443E-3</v>
      </c>
      <c r="Q180" s="305">
        <f t="shared" si="51"/>
        <v>0.7</v>
      </c>
      <c r="R180" s="177">
        <f t="shared" si="52"/>
        <v>0.27541130280758291</v>
      </c>
      <c r="S180" s="919">
        <f t="shared" si="53"/>
        <v>0</v>
      </c>
      <c r="T180" s="176">
        <f t="shared" si="54"/>
        <v>6</v>
      </c>
      <c r="U180" s="251">
        <f t="shared" si="55"/>
        <v>0.27541130280758291</v>
      </c>
      <c r="V180" s="383">
        <f t="shared" si="56"/>
        <v>52.832374772758747</v>
      </c>
      <c r="W180" s="402"/>
      <c r="X180" s="157">
        <f t="shared" si="57"/>
        <v>44727</v>
      </c>
      <c r="Y180" s="385">
        <f t="shared" si="58"/>
        <v>46.969168806980932</v>
      </c>
      <c r="Z180" s="385">
        <f t="shared" si="59"/>
        <v>48.520925969269257</v>
      </c>
      <c r="AA180" s="386">
        <f t="shared" si="60"/>
        <v>54.955470623897369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0.11708651716704707</v>
      </c>
      <c r="AD180" s="231">
        <f>(INDEX(Models!$BJ180:$BT180,,AH180)*(1-AF180)+INDEX(Models!$BJ180:$BT180,,AH180+1)*AF180-ERP_i)*AE180*Ramure*Pc/MaxiM</f>
        <v>5.5990619621774443E-3</v>
      </c>
      <c r="AE180" s="305">
        <f t="shared" si="62"/>
        <v>0.7</v>
      </c>
      <c r="AF180" s="177">
        <f t="shared" si="63"/>
        <v>0.27541130280758291</v>
      </c>
      <c r="AG180" s="919">
        <f t="shared" si="71"/>
        <v>0</v>
      </c>
      <c r="AH180" s="176">
        <f t="shared" si="64"/>
        <v>6</v>
      </c>
      <c r="AI180" s="225">
        <f t="shared" si="65"/>
        <v>0.27541130280758291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44728</v>
      </c>
      <c r="B181" s="618">
        <v>48.07</v>
      </c>
      <c r="C181" s="953"/>
      <c r="D181" s="393">
        <f t="shared" si="48"/>
        <v>49.65921384755147</v>
      </c>
      <c r="E181" s="385">
        <f t="shared" si="72"/>
        <v>53.338872726099055</v>
      </c>
      <c r="F181" s="385">
        <f t="shared" si="49"/>
        <v>53.604157017225454</v>
      </c>
      <c r="G181" s="110">
        <f t="shared" si="73"/>
        <v>0.91065610983132628</v>
      </c>
      <c r="H181" s="412" t="b">
        <f>Wh_hp&gt;='2021'!Maxi_hp</f>
        <v>0</v>
      </c>
      <c r="I181" s="380">
        <f>IF(H181,Wh_hp,'2021'!Maxi_hp)</f>
        <v>59.636866753529013</v>
      </c>
      <c r="J181" s="85">
        <f>IF(H181,An,'2021'!An_max)</f>
        <v>2019</v>
      </c>
      <c r="K181" s="197">
        <f t="shared" si="50"/>
        <v>44728</v>
      </c>
      <c r="L181" s="147">
        <f>IF(t&lt;Tvie,1-EXP((T0-t)*PertePVj)+'2021'!Pspv,1-EXP((T0-t)*PertePVj)+Pspv)</f>
        <v>3.2002396421944801E-2</v>
      </c>
      <c r="M181" s="957"/>
      <c r="N181" s="957"/>
      <c r="O181" s="48">
        <f>IF(t&lt;Tnet,'2021'!Resal+('2021'!Salim-'2021'!Resal)*(1-EXP(('2021'!Tnet-t)/('2021'!Tau_j))),Resal+(Salim-Resal)*(1-EXP((Tnet-t)/(Tau_j))))*Salcycl</f>
        <v>6.8986438791892687E-2</v>
      </c>
      <c r="P181" s="339">
        <f>(INDEX(Models!$BJ181:$BT181,,T181)*(1-R181)+INDEX(Models!$BJ181:$BT181,,T181+1)*R181-ERP_i)*Q181*Ramure*Pc/MaxiM</f>
        <v>5.6669189807066834E-3</v>
      </c>
      <c r="Q181" s="305">
        <f t="shared" si="51"/>
        <v>0.7</v>
      </c>
      <c r="R181" s="177">
        <f t="shared" si="52"/>
        <v>0.28049180367785481</v>
      </c>
      <c r="S181" s="919">
        <f t="shared" si="53"/>
        <v>0</v>
      </c>
      <c r="T181" s="176">
        <f t="shared" si="54"/>
        <v>6</v>
      </c>
      <c r="U181" s="251">
        <f t="shared" si="55"/>
        <v>0.28049180367785481</v>
      </c>
      <c r="V181" s="383">
        <f t="shared" si="56"/>
        <v>52.748029755120051</v>
      </c>
      <c r="W181" s="402"/>
      <c r="X181" s="157">
        <f t="shared" si="57"/>
        <v>44728</v>
      </c>
      <c r="Y181" s="385">
        <f t="shared" si="58"/>
        <v>45.577612262090511</v>
      </c>
      <c r="Z181" s="385">
        <f t="shared" si="59"/>
        <v>47.084426752318222</v>
      </c>
      <c r="AA181" s="386">
        <f t="shared" si="60"/>
        <v>53.338872726099055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0.11725868309774931</v>
      </c>
      <c r="AD181" s="231">
        <f>(INDEX(Models!$BJ181:$BT181,,AH181)*(1-AF181)+INDEX(Models!$BJ181:$BT181,,AH181+1)*AF181-ERP_i)*AE181*Ramure*Pc/MaxiM</f>
        <v>5.6669189807066834E-3</v>
      </c>
      <c r="AE181" s="305">
        <f t="shared" si="62"/>
        <v>0.7</v>
      </c>
      <c r="AF181" s="177">
        <f t="shared" si="63"/>
        <v>0.28049180367785481</v>
      </c>
      <c r="AG181" s="919">
        <f t="shared" si="71"/>
        <v>0</v>
      </c>
      <c r="AH181" s="176">
        <f t="shared" si="64"/>
        <v>6</v>
      </c>
      <c r="AI181" s="225">
        <f t="shared" si="65"/>
        <v>0.28049180367785481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44729</v>
      </c>
      <c r="B182" s="618">
        <v>48.692</v>
      </c>
      <c r="C182" s="953"/>
      <c r="D182" s="393">
        <f t="shared" si="48"/>
        <v>50.302879183933307</v>
      </c>
      <c r="E182" s="385">
        <f t="shared" si="72"/>
        <v>54.043264456605918</v>
      </c>
      <c r="F182" s="385">
        <f t="shared" si="49"/>
        <v>54.320960071271735</v>
      </c>
      <c r="G182" s="110">
        <f t="shared" si="73"/>
        <v>0.92404847463988127</v>
      </c>
      <c r="H182" s="412" t="b">
        <f>Wh_hp&gt;='2021'!Maxi_hp</f>
        <v>0</v>
      </c>
      <c r="I182" s="380">
        <f>IF(H182,Wh_hp,'2021'!Maxi_hp)</f>
        <v>58.647204437041879</v>
      </c>
      <c r="J182" s="85">
        <f>IF(H182,An,'2021'!An_max)</f>
        <v>2019</v>
      </c>
      <c r="K182" s="197">
        <f t="shared" si="50"/>
        <v>44729</v>
      </c>
      <c r="L182" s="147">
        <f>IF(t&lt;Tvie,1-EXP((T0-t)*PertePVj)+'2021'!Pspv,1-EXP((T0-t)*PertePVj)+Pspv)</f>
        <v>3.2023598053763536E-2</v>
      </c>
      <c r="M182" s="957"/>
      <c r="N182" s="957"/>
      <c r="O182" s="48">
        <f>IF(t&lt;Tnet,'2021'!Resal+('2021'!Salim-'2021'!Resal)*(1-EXP(('2021'!Tnet-t)/('2021'!Tau_j))),Resal+(Salim-Resal)*(1-EXP((Tnet-t)/(Tau_j))))*Salcycl</f>
        <v>6.9210942571316367E-2</v>
      </c>
      <c r="P182" s="339">
        <f>(INDEX(Models!$BJ182:$BT182,,T182)*(1-R182)+INDEX(Models!$BJ182:$BT182,,T182+1)*R182-ERP_i)*Q182*Ramure*Pc/MaxiM</f>
        <v>5.7290481135177955E-3</v>
      </c>
      <c r="Q182" s="305">
        <f t="shared" si="51"/>
        <v>0.7</v>
      </c>
      <c r="R182" s="177">
        <f t="shared" si="52"/>
        <v>0.2855467612075146</v>
      </c>
      <c r="S182" s="919">
        <f t="shared" si="53"/>
        <v>0</v>
      </c>
      <c r="T182" s="176">
        <f t="shared" si="54"/>
        <v>6</v>
      </c>
      <c r="U182" s="251">
        <f t="shared" si="55"/>
        <v>0.2855467612075146</v>
      </c>
      <c r="V182" s="383">
        <f t="shared" si="56"/>
        <v>52.661530028959234</v>
      </c>
      <c r="W182" s="402"/>
      <c r="X182" s="157">
        <f t="shared" si="57"/>
        <v>44729</v>
      </c>
      <c r="Y182" s="385">
        <f t="shared" si="58"/>
        <v>46.169590367826416</v>
      </c>
      <c r="Z182" s="385">
        <f t="shared" si="59"/>
        <v>47.697020583349691</v>
      </c>
      <c r="AA182" s="386">
        <f t="shared" si="60"/>
        <v>54.043264456605918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0.11742895136084804</v>
      </c>
      <c r="AD182" s="231">
        <f>(INDEX(Models!$BJ182:$BT182,,AH182)*(1-AF182)+INDEX(Models!$BJ182:$BT182,,AH182+1)*AF182-ERP_i)*AE182*Ramure*Pc/MaxiM</f>
        <v>5.7290481135177955E-3</v>
      </c>
      <c r="AE182" s="305">
        <f t="shared" si="62"/>
        <v>0.7</v>
      </c>
      <c r="AF182" s="177">
        <f t="shared" si="63"/>
        <v>0.2855467612075146</v>
      </c>
      <c r="AG182" s="919">
        <f t="shared" si="71"/>
        <v>0</v>
      </c>
      <c r="AH182" s="176">
        <f t="shared" si="64"/>
        <v>6</v>
      </c>
      <c r="AI182" s="225">
        <f t="shared" si="65"/>
        <v>0.2855467612075146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44730</v>
      </c>
      <c r="B183" s="618">
        <v>50.326999999999998</v>
      </c>
      <c r="C183" s="953"/>
      <c r="D183" s="393">
        <f t="shared" si="48"/>
        <v>51.993108730144115</v>
      </c>
      <c r="E183" s="385">
        <f t="shared" si="72"/>
        <v>55.872577681597974</v>
      </c>
      <c r="F183" s="385">
        <f t="shared" si="49"/>
        <v>56.177744166818925</v>
      </c>
      <c r="G183" s="110">
        <f t="shared" si="73"/>
        <v>0.95693360417925355</v>
      </c>
      <c r="H183" s="412" t="b">
        <f>Wh_hp&gt;='2021'!Maxi_hp</f>
        <v>0</v>
      </c>
      <c r="I183" s="380">
        <f>IF(H183,Wh_hp,'2021'!Maxi_hp)</f>
        <v>56.677985927992459</v>
      </c>
      <c r="J183" s="85">
        <f>IF(H183,An,'2021'!An_max)</f>
        <v>2019</v>
      </c>
      <c r="K183" s="197">
        <f t="shared" si="50"/>
        <v>44730</v>
      </c>
      <c r="L183" s="147">
        <f>IF(t&lt;Tvie,1-EXP((T0-t)*PertePVj)+'2021'!Pspv,1-EXP((T0-t)*PertePVj)+Pspv)</f>
        <v>3.2044799221212061E-2</v>
      </c>
      <c r="M183" s="957"/>
      <c r="N183" s="957"/>
      <c r="O183" s="48">
        <f>IF(t&lt;Tnet,'2021'!Resal+('2021'!Salim-'2021'!Resal)*(1-EXP(('2021'!Tnet-t)/('2021'!Tau_j))),Resal+(Salim-Resal)*(1-EXP((Tnet-t)/(Tau_j))))*Salcycl</f>
        <v>6.9434221803079482E-2</v>
      </c>
      <c r="P183" s="339">
        <f>(INDEX(Models!$BJ183:$BT183,,T183)*(1-R183)+INDEX(Models!$BJ183:$BT183,,T183+1)*R183-ERP_i)*Q183*Ramure*Pc/MaxiM</f>
        <v>5.785281124425154E-3</v>
      </c>
      <c r="Q183" s="305">
        <f t="shared" si="51"/>
        <v>0.7</v>
      </c>
      <c r="R183" s="177">
        <f t="shared" si="52"/>
        <v>0.29057213398978654</v>
      </c>
      <c r="S183" s="919">
        <f t="shared" si="53"/>
        <v>0</v>
      </c>
      <c r="T183" s="176">
        <f t="shared" si="54"/>
        <v>6</v>
      </c>
      <c r="U183" s="251">
        <f t="shared" si="55"/>
        <v>0.29057213398978654</v>
      </c>
      <c r="V183" s="383">
        <f t="shared" si="56"/>
        <v>52.573272774433711</v>
      </c>
      <c r="W183" s="402"/>
      <c r="X183" s="157">
        <f t="shared" si="57"/>
        <v>44730</v>
      </c>
      <c r="Y183" s="385">
        <f t="shared" si="58"/>
        <v>47.722238189511259</v>
      </c>
      <c r="Z183" s="385">
        <f t="shared" si="59"/>
        <v>49.302114551495116</v>
      </c>
      <c r="AA183" s="386">
        <f t="shared" si="60"/>
        <v>55.872577681597974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0.11759727943010019</v>
      </c>
      <c r="AD183" s="231">
        <f>(INDEX(Models!$BJ183:$BT183,,AH183)*(1-AF183)+INDEX(Models!$BJ183:$BT183,,AH183+1)*AF183-ERP_i)*AE183*Ramure*Pc/MaxiM</f>
        <v>5.785281124425154E-3</v>
      </c>
      <c r="AE183" s="305">
        <f t="shared" si="62"/>
        <v>0.7</v>
      </c>
      <c r="AF183" s="177">
        <f t="shared" si="63"/>
        <v>0.29057213398978654</v>
      </c>
      <c r="AG183" s="919">
        <f t="shared" si="71"/>
        <v>0</v>
      </c>
      <c r="AH183" s="176">
        <f t="shared" si="64"/>
        <v>6</v>
      </c>
      <c r="AI183" s="225">
        <f t="shared" si="65"/>
        <v>0.29057213398978654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44731</v>
      </c>
      <c r="B184" s="618">
        <v>51.38</v>
      </c>
      <c r="C184" s="953"/>
      <c r="D184" s="393">
        <f t="shared" si="48"/>
        <v>53.08213162879052</v>
      </c>
      <c r="E184" s="385">
        <f t="shared" si="72"/>
        <v>57.056471392975233</v>
      </c>
      <c r="F184" s="385">
        <f t="shared" si="49"/>
        <v>57.381175359136755</v>
      </c>
      <c r="G184" s="110">
        <f t="shared" si="73"/>
        <v>0.97879746673234824</v>
      </c>
      <c r="H184" s="412" t="b">
        <f>Wh_hp&gt;='2021'!Maxi_hp</f>
        <v>1</v>
      </c>
      <c r="I184" s="380">
        <f>IF(H184,Wh_hp,'2021'!Maxi_hp)</f>
        <v>57.381175359136755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3.2065999924300703E-2</v>
      </c>
      <c r="M184" s="957"/>
      <c r="N184" s="957"/>
      <c r="O184" s="48">
        <f>IF(t&lt;Tnet,'2021'!Resal+('2021'!Salim-'2021'!Resal)*(1-EXP(('2021'!Tnet-t)/('2021'!Tau_j))),Resal+(Salim-Resal)*(1-EXP((Tnet-t)/(Tau_j))))*Salcycl</f>
        <v>6.9656248750672556E-2</v>
      </c>
      <c r="P184" s="339">
        <f>(INDEX(Models!$BJ184:$BT184,,T184)*(1-R184)+INDEX(Models!$BJ184:$BT184,,T184+1)*R184-ERP_i)*Q184*Ramure*Pc/MaxiM</f>
        <v>5.8339887986720417E-3</v>
      </c>
      <c r="Q184" s="305">
        <f t="shared" si="51"/>
        <v>0.7</v>
      </c>
      <c r="R184" s="177">
        <f t="shared" si="52"/>
        <v>0.29556397740419904</v>
      </c>
      <c r="S184" s="919">
        <f t="shared" si="53"/>
        <v>0</v>
      </c>
      <c r="T184" s="176">
        <f t="shared" si="54"/>
        <v>6</v>
      </c>
      <c r="U184" s="251">
        <f t="shared" si="55"/>
        <v>0.29556397740419904</v>
      </c>
      <c r="V184" s="383">
        <f t="shared" si="56"/>
        <v>52.483731468426562</v>
      </c>
      <c r="W184" s="402"/>
      <c r="X184" s="157">
        <f t="shared" si="57"/>
        <v>44731</v>
      </c>
      <c r="Y184" s="385">
        <f t="shared" si="58"/>
        <v>48.723178516624799</v>
      </c>
      <c r="Z184" s="385">
        <f t="shared" si="59"/>
        <v>50.33729418825488</v>
      </c>
      <c r="AA184" s="386">
        <f t="shared" si="60"/>
        <v>57.056471392975233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0.11776363032410753</v>
      </c>
      <c r="AD184" s="231">
        <f>(INDEX(Models!$BJ184:$BT184,,AH184)*(1-AF184)+INDEX(Models!$BJ184:$BT184,,AH184+1)*AF184-ERP_i)*AE184*Ramure*Pc/MaxiM</f>
        <v>5.8339887986720417E-3</v>
      </c>
      <c r="AE184" s="305">
        <f t="shared" si="62"/>
        <v>0.7</v>
      </c>
      <c r="AF184" s="177">
        <f t="shared" si="63"/>
        <v>0.29556397740419904</v>
      </c>
      <c r="AG184" s="919">
        <f t="shared" si="71"/>
        <v>0</v>
      </c>
      <c r="AH184" s="176">
        <f t="shared" si="64"/>
        <v>6</v>
      </c>
      <c r="AI184" s="225">
        <f t="shared" si="65"/>
        <v>0.29556397740419904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44732</v>
      </c>
      <c r="B185" s="618">
        <v>32.404000000000003</v>
      </c>
      <c r="C185" s="953"/>
      <c r="D185" s="393">
        <f t="shared" si="48"/>
        <v>33.478222424022363</v>
      </c>
      <c r="E185" s="385">
        <f t="shared" si="72"/>
        <v>35.993328177703539</v>
      </c>
      <c r="F185" s="385">
        <f t="shared" si="49"/>
        <v>36.089866241883058</v>
      </c>
      <c r="G185" s="110">
        <f t="shared" si="73"/>
        <v>0.61649153838922854</v>
      </c>
      <c r="H185" s="412" t="b">
        <f>Wh_hp&gt;='2021'!Maxi_hp</f>
        <v>0</v>
      </c>
      <c r="I185" s="380">
        <f>IF(H185,Wh_hp,'2021'!Maxi_hp)</f>
        <v>50.746590499850917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3.2087200163039453E-2</v>
      </c>
      <c r="M185" s="957"/>
      <c r="N185" s="957"/>
      <c r="O185" s="48">
        <f>IF(t&lt;Tnet,'2021'!Resal+('2021'!Salim-'2021'!Resal)*(1-EXP(('2021'!Tnet-t)/('2021'!Tau_j))),Resal+(Salim-Resal)*(1-EXP((Tnet-t)/(Tau_j))))*Salcycl</f>
        <v>6.9876998905569129E-2</v>
      </c>
      <c r="P185" s="339">
        <f>(INDEX(Models!$BJ185:$BT185,,T185)*(1-R185)+INDEX(Models!$BJ185:$BT185,,T185+1)*R185-ERP_i)*Q185*Ramure*Pc/MaxiM</f>
        <v>5.8793717486220667E-3</v>
      </c>
      <c r="Q185" s="305">
        <f t="shared" si="51"/>
        <v>0.7</v>
      </c>
      <c r="R185" s="177">
        <f t="shared" si="52"/>
        <v>0.30051845548128137</v>
      </c>
      <c r="S185" s="919">
        <f t="shared" si="53"/>
        <v>0</v>
      </c>
      <c r="T185" s="176">
        <f t="shared" si="54"/>
        <v>6</v>
      </c>
      <c r="U185" s="251">
        <f t="shared" si="55"/>
        <v>0.30051845548128137</v>
      </c>
      <c r="V185" s="383">
        <f t="shared" si="56"/>
        <v>52.393071007823451</v>
      </c>
      <c r="W185" s="402"/>
      <c r="X185" s="157">
        <f t="shared" si="57"/>
        <v>44732</v>
      </c>
      <c r="Y185" s="385">
        <f t="shared" si="58"/>
        <v>30.729980807886943</v>
      </c>
      <c r="Z185" s="385">
        <f t="shared" si="59"/>
        <v>31.748707954955481</v>
      </c>
      <c r="AA185" s="386">
        <f t="shared" si="60"/>
        <v>35.993328177703539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0.11792797270071381</v>
      </c>
      <c r="AD185" s="231">
        <f>(INDEX(Models!$BJ185:$BT185,,AH185)*(1-AF185)+INDEX(Models!$BJ185:$BT185,,AH185+1)*AF185-ERP_i)*AE185*Ramure*Pc/MaxiM</f>
        <v>5.8793717486220667E-3</v>
      </c>
      <c r="AE185" s="305">
        <f t="shared" si="62"/>
        <v>0.7</v>
      </c>
      <c r="AF185" s="177">
        <f t="shared" si="63"/>
        <v>0.30051845548128137</v>
      </c>
      <c r="AG185" s="919">
        <f t="shared" si="71"/>
        <v>0</v>
      </c>
      <c r="AH185" s="176">
        <f t="shared" si="64"/>
        <v>6</v>
      </c>
      <c r="AI185" s="225">
        <f t="shared" si="65"/>
        <v>0.30051845548128137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44733</v>
      </c>
      <c r="B186" s="618">
        <v>22.907</v>
      </c>
      <c r="C186" s="953"/>
      <c r="D186" s="393">
        <f t="shared" si="48"/>
        <v>23.666906499156891</v>
      </c>
      <c r="E186" s="385">
        <f t="shared" si="72"/>
        <v>25.450926094444238</v>
      </c>
      <c r="F186" s="385">
        <f t="shared" si="49"/>
        <v>25.480666114180032</v>
      </c>
      <c r="G186" s="110">
        <f t="shared" si="73"/>
        <v>0.43589359892289431</v>
      </c>
      <c r="H186" s="412" t="b">
        <f>Wh_hp&gt;='2021'!Maxi_hp</f>
        <v>0</v>
      </c>
      <c r="I186" s="380">
        <f>IF(H186,Wh_hp,'2021'!Maxi_hp)</f>
        <v>50.271199376554243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3.2108399937438525E-2</v>
      </c>
      <c r="M186" s="957"/>
      <c r="N186" s="957"/>
      <c r="O186" s="48">
        <f>IF(t&lt;Tnet,'2021'!Resal+('2021'!Salim-'2021'!Resal)*(1-EXP(('2021'!Tnet-t)/('2021'!Tau_j))),Resal+(Salim-Resal)*(1-EXP((Tnet-t)/(Tau_j))))*Salcycl</f>
        <v>7.0096451055145947E-2</v>
      </c>
      <c r="P186" s="339">
        <f>(INDEX(Models!$BJ186:$BT186,,T186)*(1-R186)+INDEX(Models!$BJ186:$BT186,,T186+1)*R186-ERP_i)*Q186*Ramure*Pc/MaxiM</f>
        <v>5.9213112890391332E-3</v>
      </c>
      <c r="Q186" s="305">
        <f t="shared" si="51"/>
        <v>0.7</v>
      </c>
      <c r="R186" s="177">
        <f t="shared" si="52"/>
        <v>0.30543185203090806</v>
      </c>
      <c r="S186" s="919">
        <f t="shared" si="53"/>
        <v>0</v>
      </c>
      <c r="T186" s="176">
        <f t="shared" si="54"/>
        <v>6</v>
      </c>
      <c r="U186" s="251">
        <f t="shared" si="55"/>
        <v>0.30543185203090806</v>
      </c>
      <c r="V186" s="383">
        <f t="shared" si="56"/>
        <v>52.301684313568735</v>
      </c>
      <c r="W186" s="402"/>
      <c r="X186" s="157">
        <f t="shared" si="57"/>
        <v>44733</v>
      </c>
      <c r="Y186" s="385">
        <f t="shared" si="58"/>
        <v>21.724732589617108</v>
      </c>
      <c r="Z186" s="385">
        <f t="shared" si="59"/>
        <v>22.445419082274181</v>
      </c>
      <c r="AA186" s="386">
        <f t="shared" si="60"/>
        <v>25.450926094444238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0.11809028092011702</v>
      </c>
      <c r="AD186" s="231">
        <f>(INDEX(Models!$BJ186:$BT186,,AH186)*(1-AF186)+INDEX(Models!$BJ186:$BT186,,AH186+1)*AF186-ERP_i)*AE186*Ramure*Pc/MaxiM</f>
        <v>5.9213112890391332E-3</v>
      </c>
      <c r="AE186" s="305">
        <f t="shared" si="62"/>
        <v>0.7</v>
      </c>
      <c r="AF186" s="177">
        <f t="shared" si="63"/>
        <v>0.30543185203090806</v>
      </c>
      <c r="AG186" s="919">
        <f t="shared" si="71"/>
        <v>0</v>
      </c>
      <c r="AH186" s="176">
        <f t="shared" si="64"/>
        <v>6</v>
      </c>
      <c r="AI186" s="225">
        <f t="shared" si="65"/>
        <v>0.30543185203090806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44734</v>
      </c>
      <c r="B187" s="618">
        <v>40.445</v>
      </c>
      <c r="C187" s="953"/>
      <c r="D187" s="393">
        <f t="shared" si="48"/>
        <v>41.787619466981489</v>
      </c>
      <c r="E187" s="385">
        <f t="shared" si="72"/>
        <v>44.948128579375982</v>
      </c>
      <c r="F187" s="385">
        <f t="shared" si="49"/>
        <v>45.130509388473875</v>
      </c>
      <c r="G187" s="110">
        <f t="shared" si="73"/>
        <v>0.77316834896613384</v>
      </c>
      <c r="H187" s="412" t="b">
        <f>Wh_hp&gt;='2021'!Maxi_hp</f>
        <v>0</v>
      </c>
      <c r="I187" s="380">
        <f>IF(H187,Wh_hp,'2021'!Maxi_hp)</f>
        <v>58.651325061036623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3.2129599247508245E-2</v>
      </c>
      <c r="M187" s="957"/>
      <c r="N187" s="957"/>
      <c r="O187" s="48">
        <f>IF(t&lt;Tnet,'2021'!Resal+('2021'!Salim-'2021'!Resal)*(1-EXP(('2021'!Tnet-t)/('2021'!Tau_j))),Resal+(Salim-Resal)*(1-EXP((Tnet-t)/(Tau_j))))*Salcycl</f>
        <v>7.0314587331777451E-2</v>
      </c>
      <c r="P187" s="339">
        <f>(INDEX(Models!$BJ187:$BT187,,T187)*(1-R187)+INDEX(Models!$BJ187:$BT187,,T187+1)*R187-ERP_i)*Q187*Ramure*Pc/MaxiM</f>
        <v>5.9596916007558327E-3</v>
      </c>
      <c r="Q187" s="305">
        <f t="shared" si="51"/>
        <v>0.7</v>
      </c>
      <c r="R187" s="177">
        <f t="shared" si="52"/>
        <v>0.31030058097099567</v>
      </c>
      <c r="S187" s="919">
        <f t="shared" si="53"/>
        <v>0</v>
      </c>
      <c r="T187" s="176">
        <f t="shared" si="54"/>
        <v>6</v>
      </c>
      <c r="U187" s="251">
        <f t="shared" si="55"/>
        <v>0.31030058097099567</v>
      </c>
      <c r="V187" s="383">
        <f t="shared" si="56"/>
        <v>52.209963424766308</v>
      </c>
      <c r="W187" s="402"/>
      <c r="X187" s="157">
        <f t="shared" si="57"/>
        <v>44734</v>
      </c>
      <c r="Y187" s="385">
        <f t="shared" si="58"/>
        <v>38.359596292353608</v>
      </c>
      <c r="Z187" s="385">
        <f t="shared" si="59"/>
        <v>39.632988324191039</v>
      </c>
      <c r="AA187" s="386">
        <f t="shared" si="60"/>
        <v>44.948128579375982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0.11825053507619769</v>
      </c>
      <c r="AD187" s="231">
        <f>(INDEX(Models!$BJ187:$BT187,,AH187)*(1-AF187)+INDEX(Models!$BJ187:$BT187,,AH187+1)*AF187-ERP_i)*AE187*Ramure*Pc/MaxiM</f>
        <v>5.9596916007558327E-3</v>
      </c>
      <c r="AE187" s="305">
        <f t="shared" si="62"/>
        <v>0.7</v>
      </c>
      <c r="AF187" s="177">
        <f t="shared" si="63"/>
        <v>0.31030058097099567</v>
      </c>
      <c r="AG187" s="919">
        <f t="shared" si="71"/>
        <v>0</v>
      </c>
      <c r="AH187" s="176">
        <f t="shared" si="64"/>
        <v>6</v>
      </c>
      <c r="AI187" s="225">
        <f t="shared" si="65"/>
        <v>0.31030058097099567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44735</v>
      </c>
      <c r="B188" s="618">
        <v>40.088000000000001</v>
      </c>
      <c r="C188" s="953"/>
      <c r="D188" s="393">
        <f t="shared" si="48"/>
        <v>41.419675628210875</v>
      </c>
      <c r="E188" s="385">
        <f t="shared" si="72"/>
        <v>44.562748356521197</v>
      </c>
      <c r="F188" s="385">
        <f t="shared" si="49"/>
        <v>44.742509885938702</v>
      </c>
      <c r="G188" s="110">
        <f t="shared" si="73"/>
        <v>0.76764664945010019</v>
      </c>
      <c r="H188" s="412" t="b">
        <f>Wh_hp&gt;='2021'!Maxi_hp</f>
        <v>0</v>
      </c>
      <c r="I188" s="380">
        <f>IF(H188,Wh_hp,'2021'!Maxi_hp)</f>
        <v>52.717054573900171</v>
      </c>
      <c r="J188" s="85">
        <f>IF(H188,An,'2021'!An_max)</f>
        <v>2019</v>
      </c>
      <c r="K188" s="197">
        <f t="shared" si="50"/>
        <v>44735</v>
      </c>
      <c r="L188" s="147">
        <f>IF(t&lt;Tvie,1-EXP((T0-t)*PertePVj)+'2021'!Pspv,1-EXP((T0-t)*PertePVj)+Pspv)</f>
        <v>3.2150798093258603E-2</v>
      </c>
      <c r="M188" s="957"/>
      <c r="N188" s="957"/>
      <c r="O188" s="48">
        <f>IF(t&lt;Tnet,'2021'!Resal+('2021'!Salim-'2021'!Resal)*(1-EXP(('2021'!Tnet-t)/('2021'!Tau_j))),Resal+(Salim-Resal)*(1-EXP((Tnet-t)/(Tau_j))))*Salcycl</f>
        <v>7.0531393242723395E-2</v>
      </c>
      <c r="P188" s="339">
        <f>(INDEX(Models!$BJ188:$BT188,,T188)*(1-R188)+INDEX(Models!$BJ188:$BT188,,T188+1)*R188-ERP_i)*Q188*Ramure*Pc/MaxiM</f>
        <v>5.9943387914094632E-3</v>
      </c>
      <c r="Q188" s="305">
        <f t="shared" si="51"/>
        <v>0.7</v>
      </c>
      <c r="R188" s="177">
        <f t="shared" si="52"/>
        <v>0.31512119580221759</v>
      </c>
      <c r="S188" s="919">
        <f t="shared" si="53"/>
        <v>0</v>
      </c>
      <c r="T188" s="176">
        <f t="shared" si="54"/>
        <v>6</v>
      </c>
      <c r="U188" s="251">
        <f t="shared" si="55"/>
        <v>0.31512119580221759</v>
      </c>
      <c r="V188" s="383">
        <f t="shared" si="56"/>
        <v>52.118302713533595</v>
      </c>
      <c r="W188" s="402"/>
      <c r="X188" s="157">
        <f t="shared" si="57"/>
        <v>44735</v>
      </c>
      <c r="Y188" s="385">
        <f t="shared" si="58"/>
        <v>38.023049875797433</v>
      </c>
      <c r="Z188" s="385">
        <f t="shared" si="59"/>
        <v>39.286130319567285</v>
      </c>
      <c r="AA188" s="386">
        <f t="shared" si="60"/>
        <v>44.562748356521197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0.11840872099581236</v>
      </c>
      <c r="AD188" s="231">
        <f>(INDEX(Models!$BJ188:$BT188,,AH188)*(1-AF188)+INDEX(Models!$BJ188:$BT188,,AH188+1)*AF188-ERP_i)*AE188*Ramure*Pc/MaxiM</f>
        <v>5.9943387914094632E-3</v>
      </c>
      <c r="AE188" s="305">
        <f t="shared" si="62"/>
        <v>0.7</v>
      </c>
      <c r="AF188" s="177">
        <f t="shared" si="63"/>
        <v>0.31512119580221759</v>
      </c>
      <c r="AG188" s="919">
        <f t="shared" si="71"/>
        <v>0</v>
      </c>
      <c r="AH188" s="176">
        <f t="shared" si="64"/>
        <v>6</v>
      </c>
      <c r="AI188" s="225">
        <f t="shared" si="65"/>
        <v>0.31512119580221759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44736</v>
      </c>
      <c r="B189" s="618">
        <v>38.18</v>
      </c>
      <c r="C189" s="953"/>
      <c r="D189" s="393">
        <f t="shared" si="48"/>
        <v>39.449158177826931</v>
      </c>
      <c r="E189" s="385">
        <f t="shared" si="72"/>
        <v>42.452542134387137</v>
      </c>
      <c r="F189" s="385">
        <f t="shared" si="49"/>
        <v>42.611664458113964</v>
      </c>
      <c r="G189" s="110">
        <f t="shared" si="73"/>
        <v>0.73216095277848614</v>
      </c>
      <c r="H189" s="412" t="b">
        <f>Wh_hp&gt;='2021'!Maxi_hp</f>
        <v>0</v>
      </c>
      <c r="I189" s="380">
        <f>IF(H189,Wh_hp,'2021'!Maxi_hp)</f>
        <v>57.879746381610467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3.2171996474699927E-2</v>
      </c>
      <c r="M189" s="957"/>
      <c r="N189" s="957"/>
      <c r="O189" s="48">
        <f>IF(t&lt;Tnet,'2021'!Resal+('2021'!Salim-'2021'!Resal)*(1-EXP(('2021'!Tnet-t)/('2021'!Tau_j))),Resal+(Salim-Resal)*(1-EXP((Tnet-t)/(Tau_j))))*Salcycl</f>
        <v>7.0746857680577535E-2</v>
      </c>
      <c r="P189" s="339">
        <f>(INDEX(Models!$BJ189:$BT189,,T189)*(1-R189)+INDEX(Models!$BJ189:$BT189,,T189+1)*R189-ERP_i)*Q189*Ramure*Pc/MaxiM</f>
        <v>6.0250780098482339E-3</v>
      </c>
      <c r="Q189" s="305">
        <f t="shared" si="51"/>
        <v>0.7</v>
      </c>
      <c r="R189" s="177">
        <f t="shared" si="52"/>
        <v>0.31989039818375997</v>
      </c>
      <c r="S189" s="919">
        <f t="shared" si="53"/>
        <v>0</v>
      </c>
      <c r="T189" s="176">
        <f t="shared" si="54"/>
        <v>6</v>
      </c>
      <c r="U189" s="251">
        <f t="shared" si="55"/>
        <v>0.31989039818375997</v>
      </c>
      <c r="V189" s="383">
        <f t="shared" si="56"/>
        <v>52.027095887841377</v>
      </c>
      <c r="W189" s="402"/>
      <c r="X189" s="157">
        <f t="shared" si="57"/>
        <v>44736</v>
      </c>
      <c r="Y189" s="385">
        <f t="shared" si="58"/>
        <v>36.215314482267367</v>
      </c>
      <c r="Z189" s="385">
        <f t="shared" si="59"/>
        <v>37.419163684408375</v>
      </c>
      <c r="AA189" s="386">
        <f t="shared" si="60"/>
        <v>42.452542134387137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0.1185648302060492</v>
      </c>
      <c r="AD189" s="231">
        <f>(INDEX(Models!$BJ189:$BT189,,AH189)*(1-AF189)+INDEX(Models!$BJ189:$BT189,,AH189+1)*AF189-ERP_i)*AE189*Ramure*Pc/MaxiM</f>
        <v>6.0250780098482339E-3</v>
      </c>
      <c r="AE189" s="305">
        <f t="shared" si="62"/>
        <v>0.7</v>
      </c>
      <c r="AF189" s="177">
        <f t="shared" si="63"/>
        <v>0.31989039818375997</v>
      </c>
      <c r="AG189" s="919">
        <f t="shared" si="71"/>
        <v>0</v>
      </c>
      <c r="AH189" s="176">
        <f t="shared" si="64"/>
        <v>6</v>
      </c>
      <c r="AI189" s="225">
        <f t="shared" si="65"/>
        <v>0.31989039818375997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44737</v>
      </c>
      <c r="B190" s="618">
        <v>32.755000000000003</v>
      </c>
      <c r="C190" s="953"/>
      <c r="D190" s="393">
        <f t="shared" si="48"/>
        <v>33.844564648847623</v>
      </c>
      <c r="E190" s="385">
        <f t="shared" si="72"/>
        <v>36.429647907269135</v>
      </c>
      <c r="F190" s="385">
        <f t="shared" si="49"/>
        <v>36.534091306907904</v>
      </c>
      <c r="G190" s="110">
        <f t="shared" si="73"/>
        <v>0.62865166148157237</v>
      </c>
      <c r="H190" s="412" t="b">
        <f>Wh_hp&gt;='2021'!Maxi_hp</f>
        <v>0</v>
      </c>
      <c r="I190" s="380">
        <f>IF(H190,Wh_hp,'2021'!Maxi_hp)</f>
        <v>56.287194704165557</v>
      </c>
      <c r="J190" s="85">
        <f>IF(H190,An,'2021'!An_max)</f>
        <v>2020</v>
      </c>
      <c r="K190" s="197">
        <f t="shared" si="50"/>
        <v>44737</v>
      </c>
      <c r="L190" s="147">
        <f>IF(t&lt;Tvie,1-EXP((T0-t)*PertePVj)+'2021'!Pspv,1-EXP((T0-t)*PertePVj)+Pspv)</f>
        <v>3.2193194391842206E-2</v>
      </c>
      <c r="M190" s="957"/>
      <c r="N190" s="957"/>
      <c r="O190" s="48">
        <f>IF(t&lt;Tnet,'2021'!Resal+('2021'!Salim-'2021'!Resal)*(1-EXP(('2021'!Tnet-t)/('2021'!Tau_j))),Resal+(Salim-Resal)*(1-EXP((Tnet-t)/(Tau_j))))*Salcycl</f>
        <v>7.096097291419845E-2</v>
      </c>
      <c r="P190" s="339">
        <f>(INDEX(Models!$BJ190:$BT190,,T190)*(1-R190)+INDEX(Models!$BJ190:$BT190,,T190+1)*R190-ERP_i)*Q190*Ramure*Pc/MaxiM</f>
        <v>6.0517976262274833E-3</v>
      </c>
      <c r="Q190" s="305">
        <f t="shared" si="51"/>
        <v>0.7</v>
      </c>
      <c r="R190" s="177">
        <f t="shared" si="52"/>
        <v>0.32460504557473585</v>
      </c>
      <c r="S190" s="919">
        <f t="shared" si="53"/>
        <v>0</v>
      </c>
      <c r="T190" s="176">
        <f t="shared" si="54"/>
        <v>6</v>
      </c>
      <c r="U190" s="251">
        <f t="shared" si="55"/>
        <v>0.32460504557473585</v>
      </c>
      <c r="V190" s="383">
        <f t="shared" si="56"/>
        <v>51.936732661714508</v>
      </c>
      <c r="W190" s="402"/>
      <c r="X190" s="157">
        <f t="shared" si="57"/>
        <v>44737</v>
      </c>
      <c r="Y190" s="385">
        <f t="shared" si="58"/>
        <v>31.07120680981059</v>
      </c>
      <c r="Z190" s="385">
        <f t="shared" si="59"/>
        <v>32.104761642263746</v>
      </c>
      <c r="AA190" s="386">
        <f t="shared" si="60"/>
        <v>36.429647907269135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0.11871885986969428</v>
      </c>
      <c r="AD190" s="231">
        <f>(INDEX(Models!$BJ190:$BT190,,AH190)*(1-AF190)+INDEX(Models!$BJ190:$BT190,,AH190+1)*AF190-ERP_i)*AE190*Ramure*Pc/MaxiM</f>
        <v>6.0517976262274833E-3</v>
      </c>
      <c r="AE190" s="305">
        <f t="shared" si="62"/>
        <v>0.7</v>
      </c>
      <c r="AF190" s="177">
        <f t="shared" si="63"/>
        <v>0.32460504557473585</v>
      </c>
      <c r="AG190" s="919">
        <f t="shared" si="71"/>
        <v>0</v>
      </c>
      <c r="AH190" s="176">
        <f t="shared" si="64"/>
        <v>6</v>
      </c>
      <c r="AI190" s="225">
        <f t="shared" si="65"/>
        <v>0.32460504557473585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44738</v>
      </c>
      <c r="B191" s="618">
        <v>10.612</v>
      </c>
      <c r="C191" s="953"/>
      <c r="D191" s="393">
        <f t="shared" si="48"/>
        <v>10.965238489367007</v>
      </c>
      <c r="E191" s="385">
        <f t="shared" si="72"/>
        <v>11.805478481139795</v>
      </c>
      <c r="F191" s="385">
        <f t="shared" si="49"/>
        <v>11.805478481139795</v>
      </c>
      <c r="G191" s="110">
        <f t="shared" si="73"/>
        <v>0.20343726467201217</v>
      </c>
      <c r="H191" s="412" t="b">
        <f>Wh_hp&gt;='2021'!Maxi_hp</f>
        <v>0</v>
      </c>
      <c r="I191" s="380">
        <f>IF(H191,Wh_hp,'2021'!Maxi_hp)</f>
        <v>59.196700093726733</v>
      </c>
      <c r="J191" s="85">
        <f>IF(H191,An,'2021'!An_max)</f>
        <v>2021</v>
      </c>
      <c r="K191" s="197">
        <f t="shared" si="50"/>
        <v>44738</v>
      </c>
      <c r="L191" s="147">
        <f>IF(t&lt;Tvie,1-EXP((T0-t)*PertePVj)+'2021'!Pspv,1-EXP((T0-t)*PertePVj)+Pspv)</f>
        <v>3.2214391844695656E-2</v>
      </c>
      <c r="M191" s="957"/>
      <c r="N191" s="957"/>
      <c r="O191" s="48">
        <f>IF(t&lt;Tnet,'2021'!Resal+('2021'!Salim-'2021'!Resal)*(1-EXP(('2021'!Tnet-t)/('2021'!Tau_j))),Resal+(Salim-Resal)*(1-EXP((Tnet-t)/(Tau_j))))*Salcycl</f>
        <v>7.1173734560199403E-2</v>
      </c>
      <c r="P191" s="339">
        <f>(INDEX(Models!$BJ191:$BT191,,T191)*(1-R191)+INDEX(Models!$BJ191:$BT191,,T191+1)*R191-ERP_i)*Q191*Ramure*Pc/MaxiM</f>
        <v>6.0745033662563822E-3</v>
      </c>
      <c r="Q191" s="305">
        <f t="shared" si="51"/>
        <v>0.7</v>
      </c>
      <c r="R191" s="177">
        <f t="shared" si="52"/>
        <v>0.32926215791556812</v>
      </c>
      <c r="S191" s="919">
        <f t="shared" si="53"/>
        <v>0</v>
      </c>
      <c r="T191" s="176">
        <f t="shared" si="54"/>
        <v>6</v>
      </c>
      <c r="U191" s="251">
        <f t="shared" si="55"/>
        <v>0.32926215791556812</v>
      </c>
      <c r="V191" s="383">
        <f t="shared" si="56"/>
        <v>51.846633837130824</v>
      </c>
      <c r="W191" s="402"/>
      <c r="X191" s="157">
        <f t="shared" si="57"/>
        <v>44738</v>
      </c>
      <c r="Y191" s="385">
        <f t="shared" si="58"/>
        <v>10.067052670299445</v>
      </c>
      <c r="Z191" s="385">
        <f t="shared" si="59"/>
        <v>10.402151659899395</v>
      </c>
      <c r="AA191" s="386">
        <f t="shared" si="60"/>
        <v>11.805478481139795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0.11887081268940745</v>
      </c>
      <c r="AD191" s="231">
        <f>(INDEX(Models!$BJ191:$BT191,,AH191)*(1-AF191)+INDEX(Models!$BJ191:$BT191,,AH191+1)*AF191-ERP_i)*AE191*Ramure*Pc/MaxiM</f>
        <v>6.0745033662563822E-3</v>
      </c>
      <c r="AE191" s="305">
        <f t="shared" si="62"/>
        <v>0.7</v>
      </c>
      <c r="AF191" s="177">
        <f t="shared" si="63"/>
        <v>0.32926215791556812</v>
      </c>
      <c r="AG191" s="919">
        <f t="shared" si="71"/>
        <v>0</v>
      </c>
      <c r="AH191" s="176">
        <f t="shared" si="64"/>
        <v>6</v>
      </c>
      <c r="AI191" s="225">
        <f t="shared" si="65"/>
        <v>0.32926215791556812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44739</v>
      </c>
      <c r="B192" s="618">
        <v>9.9489999999999998</v>
      </c>
      <c r="C192" s="953"/>
      <c r="D192" s="393">
        <f t="shared" si="48"/>
        <v>10.280394572482328</v>
      </c>
      <c r="E192" s="385">
        <f t="shared" si="72"/>
        <v>11.070676372202724</v>
      </c>
      <c r="F192" s="385">
        <f t="shared" si="49"/>
        <v>11.070676372202724</v>
      </c>
      <c r="G192" s="110">
        <f t="shared" si="73"/>
        <v>0.19105776314822534</v>
      </c>
      <c r="H192" s="412" t="b">
        <f>Wh_hp&gt;='2021'!Maxi_hp</f>
        <v>0</v>
      </c>
      <c r="I192" s="380">
        <f>IF(H192,Wh_hp,'2021'!Maxi_hp)</f>
        <v>57.199547222334189</v>
      </c>
      <c r="J192" s="85">
        <f>IF(H192,An,'2021'!An_max)</f>
        <v>2019</v>
      </c>
      <c r="K192" s="197">
        <f t="shared" si="50"/>
        <v>44739</v>
      </c>
      <c r="L192" s="147">
        <f>IF(t&lt;Tvie,1-EXP((T0-t)*PertePVj)+'2021'!Pspv,1-EXP((T0-t)*PertePVj)+Pspv)</f>
        <v>3.2235588833270601E-2</v>
      </c>
      <c r="M192" s="957"/>
      <c r="N192" s="957"/>
      <c r="O192" s="48">
        <f>IF(t&lt;Tnet,'2021'!Resal+('2021'!Salim-'2021'!Resal)*(1-EXP(('2021'!Tnet-t)/('2021'!Tau_j))),Resal+(Salim-Resal)*(1-EXP((Tnet-t)/(Tau_j))))*Salcycl</f>
        <v>7.1385141535228042E-2</v>
      </c>
      <c r="P192" s="339">
        <f>(INDEX(Models!$BJ192:$BT192,,T192)*(1-R192)+INDEX(Models!$BJ192:$BT192,,T192+1)*R192-ERP_i)*Q192*Ramure*Pc/MaxiM</f>
        <v>6.0886934935738728E-3</v>
      </c>
      <c r="Q192" s="305">
        <f t="shared" si="51"/>
        <v>0.7</v>
      </c>
      <c r="R192" s="177">
        <f t="shared" si="52"/>
        <v>0.33385892333328526</v>
      </c>
      <c r="S192" s="919">
        <f t="shared" si="53"/>
        <v>0</v>
      </c>
      <c r="T192" s="176">
        <f t="shared" si="54"/>
        <v>6</v>
      </c>
      <c r="U192" s="251">
        <f t="shared" si="55"/>
        <v>0.33385892333328526</v>
      </c>
      <c r="V192" s="383">
        <f t="shared" si="56"/>
        <v>51.756198887144173</v>
      </c>
      <c r="W192" s="402"/>
      <c r="X192" s="157">
        <f t="shared" si="57"/>
        <v>44739</v>
      </c>
      <c r="Y192" s="385">
        <f t="shared" si="58"/>
        <v>9.4386418737826236</v>
      </c>
      <c r="Z192" s="385">
        <f t="shared" si="59"/>
        <v>9.7530367565422971</v>
      </c>
      <c r="AA192" s="386">
        <f t="shared" si="60"/>
        <v>11.070676372202724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0.11902069678135273</v>
      </c>
      <c r="AD192" s="231">
        <f>(INDEX(Models!$BJ192:$BT192,,AH192)*(1-AF192)+INDEX(Models!$BJ192:$BT192,,AH192+1)*AF192-ERP_i)*AE192*Ramure*Pc/MaxiM</f>
        <v>6.0886934935738728E-3</v>
      </c>
      <c r="AE192" s="305">
        <f t="shared" si="62"/>
        <v>0.7</v>
      </c>
      <c r="AF192" s="177">
        <f t="shared" si="63"/>
        <v>0.33385892333328526</v>
      </c>
      <c r="AG192" s="919">
        <f t="shared" si="71"/>
        <v>0</v>
      </c>
      <c r="AH192" s="176">
        <f t="shared" si="64"/>
        <v>6</v>
      </c>
      <c r="AI192" s="225">
        <f t="shared" si="65"/>
        <v>0.33385892333328526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44740</v>
      </c>
      <c r="B193" s="618">
        <v>51.228000000000002</v>
      </c>
      <c r="C193" s="953"/>
      <c r="D193" s="393">
        <f t="shared" si="48"/>
        <v>52.935530029966195</v>
      </c>
      <c r="E193" s="385">
        <f t="shared" si="72"/>
        <v>57.017725243656798</v>
      </c>
      <c r="F193" s="385">
        <f t="shared" si="49"/>
        <v>57.363171830027696</v>
      </c>
      <c r="G193" s="110">
        <f t="shared" si="73"/>
        <v>0.99146139856947824</v>
      </c>
      <c r="H193" s="412" t="b">
        <f>Wh_hp&gt;='2021'!Maxi_hp</f>
        <v>1</v>
      </c>
      <c r="I193" s="380">
        <f>IF(H193,Wh_hp,'2021'!Maxi_hp)</f>
        <v>57.363171830027696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3.2256785357577034E-2</v>
      </c>
      <c r="M193" s="957"/>
      <c r="N193" s="957"/>
      <c r="O193" s="48">
        <f>IF(t&lt;Tnet,'2021'!Resal+('2021'!Salim-'2021'!Resal)*(1-EXP(('2021'!Tnet-t)/('2021'!Tau_j))),Resal+(Salim-Resal)*(1-EXP((Tnet-t)/(Tau_j))))*Salcycl</f>
        <v>7.1595195989421614E-2</v>
      </c>
      <c r="P193" s="339">
        <f>(INDEX(Models!$BJ193:$BT193,,T193)*(1-R193)+INDEX(Models!$BJ193:$BT193,,T193+1)*R193-ERP_i)*Q193*Ramure*Pc/MaxiM</f>
        <v>6.0958134014999438E-3</v>
      </c>
      <c r="Q193" s="305">
        <f t="shared" si="51"/>
        <v>0.7</v>
      </c>
      <c r="R193" s="177">
        <f t="shared" si="52"/>
        <v>0.33839270286411477</v>
      </c>
      <c r="S193" s="919">
        <f t="shared" si="53"/>
        <v>0</v>
      </c>
      <c r="T193" s="176">
        <f t="shared" si="54"/>
        <v>6</v>
      </c>
      <c r="U193" s="251">
        <f t="shared" si="55"/>
        <v>0.33839270286411477</v>
      </c>
      <c r="V193" s="383">
        <f t="shared" si="56"/>
        <v>51.665350614804169</v>
      </c>
      <c r="W193" s="402"/>
      <c r="X193" s="157">
        <f t="shared" si="57"/>
        <v>44740</v>
      </c>
      <c r="Y193" s="385">
        <f t="shared" si="58"/>
        <v>48.6029742411638</v>
      </c>
      <c r="Z193" s="385">
        <f t="shared" si="59"/>
        <v>50.22300699790739</v>
      </c>
      <c r="AA193" s="386">
        <f t="shared" si="60"/>
        <v>57.017725243656798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0.11916852551926951</v>
      </c>
      <c r="AD193" s="231">
        <f>(INDEX(Models!$BJ193:$BT193,,AH193)*(1-AF193)+INDEX(Models!$BJ193:$BT193,,AH193+1)*AF193-ERP_i)*AE193*Ramure*Pc/MaxiM</f>
        <v>6.0958134014999438E-3</v>
      </c>
      <c r="AE193" s="305">
        <f t="shared" si="62"/>
        <v>0.7</v>
      </c>
      <c r="AF193" s="177">
        <f t="shared" si="63"/>
        <v>0.33839270286411477</v>
      </c>
      <c r="AG193" s="919">
        <f t="shared" si="71"/>
        <v>0</v>
      </c>
      <c r="AH193" s="176">
        <f t="shared" si="64"/>
        <v>6</v>
      </c>
      <c r="AI193" s="225">
        <f t="shared" si="65"/>
        <v>0.33839270286411477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44741</v>
      </c>
      <c r="B194" s="618">
        <v>52.024000000000001</v>
      </c>
      <c r="C194" s="953"/>
      <c r="D194" s="393">
        <f t="shared" si="48"/>
        <v>53.759239741398517</v>
      </c>
      <c r="E194" s="385">
        <f t="shared" si="72"/>
        <v>57.917976522402519</v>
      </c>
      <c r="F194" s="385">
        <f t="shared" si="49"/>
        <v>58.273197772555612</v>
      </c>
      <c r="G194" s="110">
        <f t="shared" si="73"/>
        <v>1.0087235496234723</v>
      </c>
      <c r="H194" s="412" t="b">
        <f>Wh_hp&gt;='2021'!Maxi_hp</f>
        <v>1</v>
      </c>
      <c r="I194" s="380">
        <f>IF(H194,Wh_hp,'2021'!Maxi_hp)</f>
        <v>58.273197772555612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3.2277981417625168E-2</v>
      </c>
      <c r="M194" s="957"/>
      <c r="N194" s="957"/>
      <c r="O194" s="48">
        <f>IF(t&lt;Tnet,'2021'!Resal+('2021'!Salim-'2021'!Resal)*(1-EXP(('2021'!Tnet-t)/('2021'!Tau_j))),Resal+(Salim-Resal)*(1-EXP((Tnet-t)/(Tau_j))))*Salcycl</f>
        <v>7.1803903221574233E-2</v>
      </c>
      <c r="P194" s="339">
        <f>(INDEX(Models!$BJ194:$BT194,,T194)*(1-R194)+INDEX(Models!$BJ194:$BT194,,T194+1)*R194-ERP_i)*Q194*Ramure*Pc/MaxiM</f>
        <v>6.095791268218128E-3</v>
      </c>
      <c r="Q194" s="305">
        <f t="shared" si="51"/>
        <v>0.7</v>
      </c>
      <c r="R194" s="177">
        <f t="shared" si="52"/>
        <v>0.34286103419588709</v>
      </c>
      <c r="S194" s="919">
        <f t="shared" si="53"/>
        <v>0</v>
      </c>
      <c r="T194" s="176">
        <f t="shared" si="54"/>
        <v>6</v>
      </c>
      <c r="U194" s="251">
        <f t="shared" si="55"/>
        <v>0.34286103419588709</v>
      </c>
      <c r="V194" s="383">
        <f t="shared" si="56"/>
        <v>51.574090859105127</v>
      </c>
      <c r="W194" s="402"/>
      <c r="X194" s="157">
        <f t="shared" si="57"/>
        <v>44741</v>
      </c>
      <c r="Y194" s="385">
        <f t="shared" si="58"/>
        <v>49.361112498957354</v>
      </c>
      <c r="Z194" s="385">
        <f t="shared" si="59"/>
        <v>51.007532691326915</v>
      </c>
      <c r="AA194" s="386">
        <f t="shared" si="60"/>
        <v>57.917976522402519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0.11931431735020417</v>
      </c>
      <c r="AD194" s="231">
        <f>(INDEX(Models!$BJ194:$BT194,,AH194)*(1-AF194)+INDEX(Models!$BJ194:$BT194,,AH194+1)*AF194-ERP_i)*AE194*Ramure*Pc/MaxiM</f>
        <v>6.095791268218128E-3</v>
      </c>
      <c r="AE194" s="305">
        <f t="shared" si="62"/>
        <v>0.7</v>
      </c>
      <c r="AF194" s="177">
        <f t="shared" si="63"/>
        <v>0.34286103419588709</v>
      </c>
      <c r="AG194" s="919">
        <f t="shared" si="71"/>
        <v>0</v>
      </c>
      <c r="AH194" s="176">
        <f t="shared" si="64"/>
        <v>6</v>
      </c>
      <c r="AI194" s="225">
        <f t="shared" si="65"/>
        <v>0.34286103419588709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44742</v>
      </c>
      <c r="B195" s="618">
        <v>11.846</v>
      </c>
      <c r="C195" s="953"/>
      <c r="D195" s="393">
        <f t="shared" si="48"/>
        <v>12.241386716444223</v>
      </c>
      <c r="E195" s="385">
        <f t="shared" si="72"/>
        <v>13.191309701835438</v>
      </c>
      <c r="F195" s="385">
        <f t="shared" si="49"/>
        <v>13.191309701835438</v>
      </c>
      <c r="G195" s="110">
        <f t="shared" si="73"/>
        <v>0.22869699392533521</v>
      </c>
      <c r="H195" s="412" t="b">
        <f>Wh_hp&gt;='2021'!Maxi_hp</f>
        <v>0</v>
      </c>
      <c r="I195" s="380">
        <f>IF(H195,Wh_hp,'2021'!Maxi_hp)</f>
        <v>51.899795502885659</v>
      </c>
      <c r="J195" s="85">
        <f>IF(H195,An,'2021'!An_max)</f>
        <v>2021</v>
      </c>
      <c r="K195" s="197">
        <f t="shared" si="50"/>
        <v>44742</v>
      </c>
      <c r="L195" s="147">
        <f>IF(t&lt;Tvie,1-EXP((T0-t)*PertePVj)+'2021'!Pspv,1-EXP((T0-t)*PertePVj)+Pspv)</f>
        <v>3.2299177013425218E-2</v>
      </c>
      <c r="M195" s="957"/>
      <c r="N195" s="957"/>
      <c r="O195" s="48">
        <f>IF(t&lt;Tnet,'2021'!Resal+('2021'!Salim-'2021'!Resal)*(1-EXP(('2021'!Tnet-t)/('2021'!Tau_j))),Resal+(Salim-Resal)*(1-EXP((Tnet-t)/(Tau_j))))*Salcycl</f>
        <v>7.2011271576698926E-2</v>
      </c>
      <c r="P195" s="339">
        <f>(INDEX(Models!$BJ195:$BT195,,T195)*(1-R195)+INDEX(Models!$BJ195:$BT195,,T195+1)*R195-ERP_i)*Q195*Ramure*Pc/MaxiM</f>
        <v>6.0885621067062329E-3</v>
      </c>
      <c r="Q195" s="305">
        <f t="shared" si="51"/>
        <v>0.7</v>
      </c>
      <c r="R195" s="177">
        <f t="shared" si="52"/>
        <v>0.3472616344414427</v>
      </c>
      <c r="S195" s="919">
        <f t="shared" si="53"/>
        <v>0</v>
      </c>
      <c r="T195" s="176">
        <f t="shared" si="54"/>
        <v>6</v>
      </c>
      <c r="U195" s="251">
        <f t="shared" si="55"/>
        <v>0.3472616344414427</v>
      </c>
      <c r="V195" s="383">
        <f t="shared" si="56"/>
        <v>51.482420871381805</v>
      </c>
      <c r="W195" s="402"/>
      <c r="X195" s="157">
        <f t="shared" si="57"/>
        <v>44742</v>
      </c>
      <c r="Y195" s="385">
        <f t="shared" si="58"/>
        <v>11.240329844784137</v>
      </c>
      <c r="Z195" s="385">
        <f t="shared" si="59"/>
        <v>11.615500966604094</v>
      </c>
      <c r="AA195" s="386">
        <f t="shared" si="60"/>
        <v>13.191309701835438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0.1194580955833435</v>
      </c>
      <c r="AD195" s="231">
        <f>(INDEX(Models!$BJ195:$BT195,,AH195)*(1-AF195)+INDEX(Models!$BJ195:$BT195,,AH195+1)*AF195-ERP_i)*AE195*Ramure*Pc/MaxiM</f>
        <v>6.0885621067062329E-3</v>
      </c>
      <c r="AE195" s="305">
        <f t="shared" si="62"/>
        <v>0.7</v>
      </c>
      <c r="AF195" s="177">
        <f t="shared" si="63"/>
        <v>0.3472616344414427</v>
      </c>
      <c r="AG195" s="919">
        <f t="shared" si="71"/>
        <v>0</v>
      </c>
      <c r="AH195" s="176">
        <f t="shared" si="64"/>
        <v>6</v>
      </c>
      <c r="AI195" s="225">
        <f t="shared" si="65"/>
        <v>0.3472616344414427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44743</v>
      </c>
      <c r="B196" s="618">
        <v>44.331000000000003</v>
      </c>
      <c r="C196" s="953"/>
      <c r="D196" s="393">
        <f t="shared" si="48"/>
        <v>45.811649562433601</v>
      </c>
      <c r="E196" s="385">
        <f t="shared" si="72"/>
        <v>49.377564564527283</v>
      </c>
      <c r="F196" s="385">
        <f t="shared" si="49"/>
        <v>49.619813478940237</v>
      </c>
      <c r="G196" s="110">
        <f t="shared" si="73"/>
        <v>0.86159964140504386</v>
      </c>
      <c r="H196" s="412" t="b">
        <f>Wh_hp&gt;='2021'!Maxi_hp</f>
        <v>0</v>
      </c>
      <c r="I196" s="380">
        <f>IF(H196,Wh_hp,'2021'!Maxi_hp)</f>
        <v>55.368807466601659</v>
      </c>
      <c r="J196" s="85">
        <f>IF(H196,An,'2021'!An_max)</f>
        <v>2021</v>
      </c>
      <c r="K196" s="197">
        <f t="shared" si="50"/>
        <v>44743</v>
      </c>
      <c r="L196" s="147">
        <f>IF(t&lt;Tvie,1-EXP((T0-t)*PertePVj)+'2021'!Pspv,1-EXP((T0-t)*PertePVj)+Pspv)</f>
        <v>3.2320372144987286E-2</v>
      </c>
      <c r="M196" s="957"/>
      <c r="N196" s="957"/>
      <c r="O196" s="48">
        <f>IF(t&lt;Tnet,'2021'!Resal+('2021'!Salim-'2021'!Resal)*(1-EXP(('2021'!Tnet-t)/('2021'!Tau_j))),Resal+(Salim-Resal)*(1-EXP((Tnet-t)/(Tau_j))))*Salcycl</f>
        <v>7.2217312326809682E-2</v>
      </c>
      <c r="P196" s="339">
        <f>(INDEX(Models!$BJ196:$BT196,,T196)*(1-R196)+INDEX(Models!$BJ196:$BT196,,T196+1)*R196-ERP_i)*Q196*Ramure*Pc/MaxiM</f>
        <v>6.0740675275058756E-3</v>
      </c>
      <c r="Q196" s="305">
        <f t="shared" si="51"/>
        <v>0.7</v>
      </c>
      <c r="R196" s="177">
        <f t="shared" si="52"/>
        <v>0.35159240196238556</v>
      </c>
      <c r="S196" s="919">
        <f t="shared" si="53"/>
        <v>0</v>
      </c>
      <c r="T196" s="176">
        <f t="shared" si="54"/>
        <v>6</v>
      </c>
      <c r="U196" s="251">
        <f t="shared" si="55"/>
        <v>0.35159240196238556</v>
      </c>
      <c r="V196" s="383">
        <f t="shared" si="56"/>
        <v>51.390341336197444</v>
      </c>
      <c r="W196" s="402"/>
      <c r="X196" s="157">
        <f t="shared" si="57"/>
        <v>44743</v>
      </c>
      <c r="Y196" s="385">
        <f t="shared" si="58"/>
        <v>42.066981715453764</v>
      </c>
      <c r="Z196" s="385">
        <f t="shared" si="59"/>
        <v>43.472013365312527</v>
      </c>
      <c r="AA196" s="386">
        <f t="shared" si="60"/>
        <v>49.377564564527283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0.11959988815360255</v>
      </c>
      <c r="AD196" s="231">
        <f>(INDEX(Models!$BJ196:$BT196,,AH196)*(1-AF196)+INDEX(Models!$BJ196:$BT196,,AH196+1)*AF196-ERP_i)*AE196*Ramure*Pc/MaxiM</f>
        <v>6.0740675275058756E-3</v>
      </c>
      <c r="AE196" s="305">
        <f t="shared" si="62"/>
        <v>0.7</v>
      </c>
      <c r="AF196" s="177">
        <f t="shared" si="63"/>
        <v>0.35159240196238556</v>
      </c>
      <c r="AG196" s="919">
        <f t="shared" si="71"/>
        <v>0</v>
      </c>
      <c r="AH196" s="176">
        <f t="shared" si="64"/>
        <v>6</v>
      </c>
      <c r="AI196" s="225">
        <f t="shared" si="65"/>
        <v>0.35159240196238556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44744</v>
      </c>
      <c r="B197" s="618">
        <v>51.015999999999998</v>
      </c>
      <c r="C197" s="953"/>
      <c r="D197" s="393">
        <f t="shared" si="48"/>
        <v>52.721082409153553</v>
      </c>
      <c r="E197" s="385">
        <f t="shared" si="72"/>
        <v>56.837359937674961</v>
      </c>
      <c r="F197" s="385">
        <f t="shared" si="49"/>
        <v>57.180715851959583</v>
      </c>
      <c r="G197" s="110">
        <f t="shared" si="73"/>
        <v>0.99445804153549755</v>
      </c>
      <c r="H197" s="412" t="b">
        <f>Wh_hp&gt;='2021'!Maxi_hp</f>
        <v>1</v>
      </c>
      <c r="I197" s="380">
        <f>IF(H197,Wh_hp,'2021'!Maxi_hp)</f>
        <v>57.180715851959583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3.2341566812321698E-2</v>
      </c>
      <c r="M197" s="957"/>
      <c r="N197" s="957"/>
      <c r="O197" s="48">
        <f>IF(t&lt;Tnet,'2021'!Resal+('2021'!Salim-'2021'!Resal)*(1-EXP(('2021'!Tnet-t)/('2021'!Tau_j))),Resal+(Salim-Resal)*(1-EXP((Tnet-t)/(Tau_j))))*Salcycl</f>
        <v>7.2422039535881264E-2</v>
      </c>
      <c r="P197" s="339">
        <f>(INDEX(Models!$BJ197:$BT197,,T197)*(1-R197)+INDEX(Models!$BJ197:$BT197,,T197+1)*R197-ERP_i)*Q197*Ramure*Pc/MaxiM</f>
        <v>6.0522554551497333E-3</v>
      </c>
      <c r="Q197" s="305">
        <f t="shared" si="51"/>
        <v>0.7</v>
      </c>
      <c r="R197" s="177">
        <f t="shared" si="52"/>
        <v>0.35585141727004621</v>
      </c>
      <c r="S197" s="919">
        <f t="shared" si="53"/>
        <v>0</v>
      </c>
      <c r="T197" s="176">
        <f t="shared" si="54"/>
        <v>6</v>
      </c>
      <c r="U197" s="251">
        <f t="shared" si="55"/>
        <v>0.35585141727004621</v>
      </c>
      <c r="V197" s="383">
        <f t="shared" si="56"/>
        <v>51.297852398021774</v>
      </c>
      <c r="W197" s="402"/>
      <c r="X197" s="157">
        <f t="shared" si="57"/>
        <v>44744</v>
      </c>
      <c r="Y197" s="385">
        <f t="shared" si="58"/>
        <v>48.413567358198144</v>
      </c>
      <c r="Z197" s="385">
        <f t="shared" si="59"/>
        <v>50.031669954772447</v>
      </c>
      <c r="AA197" s="386">
        <f t="shared" si="60"/>
        <v>56.837359937674961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0.11973972736181442</v>
      </c>
      <c r="AD197" s="231">
        <f>(INDEX(Models!$BJ197:$BT197,,AH197)*(1-AF197)+INDEX(Models!$BJ197:$BT197,,AH197+1)*AF197-ERP_i)*AE197*Ramure*Pc/MaxiM</f>
        <v>6.0522554551497333E-3</v>
      </c>
      <c r="AE197" s="305">
        <f t="shared" si="62"/>
        <v>0.7</v>
      </c>
      <c r="AF197" s="177">
        <f t="shared" si="63"/>
        <v>0.35585141727004621</v>
      </c>
      <c r="AG197" s="919">
        <f t="shared" si="71"/>
        <v>0</v>
      </c>
      <c r="AH197" s="176">
        <f t="shared" si="64"/>
        <v>6</v>
      </c>
      <c r="AI197" s="225">
        <f t="shared" si="65"/>
        <v>0.35585141727004621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44745</v>
      </c>
      <c r="B198" s="618">
        <v>44.119</v>
      </c>
      <c r="C198" s="953"/>
      <c r="D198" s="393">
        <f t="shared" si="48"/>
        <v>45.594566044500802</v>
      </c>
      <c r="E198" s="385">
        <f t="shared" si="72"/>
        <v>49.165212721638405</v>
      </c>
      <c r="F198" s="385">
        <f t="shared" si="49"/>
        <v>49.403877526347223</v>
      </c>
      <c r="G198" s="110">
        <f t="shared" si="73"/>
        <v>0.86058366170859102</v>
      </c>
      <c r="H198" s="412" t="b">
        <f>Wh_hp&gt;='2021'!Maxi_hp</f>
        <v>0</v>
      </c>
      <c r="I198" s="380">
        <f>IF(H198,Wh_hp,'2021'!Maxi_hp)</f>
        <v>49.441031489628365</v>
      </c>
      <c r="J198" s="85">
        <f>IF(H198,An,'2021'!An_max)</f>
        <v>2019</v>
      </c>
      <c r="K198" s="197">
        <f t="shared" si="50"/>
        <v>44745</v>
      </c>
      <c r="L198" s="147">
        <f>IF(t&lt;Tvie,1-EXP((T0-t)*PertePVj)+'2021'!Pspv,1-EXP((T0-t)*PertePVj)+Pspv)</f>
        <v>3.2362761015438335E-2</v>
      </c>
      <c r="M198" s="957"/>
      <c r="N198" s="957"/>
      <c r="O198" s="48">
        <f>IF(t&lt;Tnet,'2021'!Resal+('2021'!Salim-'2021'!Resal)*(1-EXP(('2021'!Tnet-t)/('2021'!Tau_j))),Resal+(Salim-Resal)*(1-EXP((Tnet-t)/(Tau_j))))*Salcycl</f>
        <v>7.2625469910071294E-2</v>
      </c>
      <c r="P198" s="339">
        <f>(INDEX(Models!$BJ198:$BT198,,T198)*(1-R198)+INDEX(Models!$BJ198:$BT198,,T198+1)*R198-ERP_i)*Q198*Ramure*Pc/MaxiM</f>
        <v>6.0212581002618195E-3</v>
      </c>
      <c r="Q198" s="305">
        <f t="shared" si="51"/>
        <v>0.7</v>
      </c>
      <c r="R198" s="177">
        <f t="shared" si="52"/>
        <v>0.36003694303734268</v>
      </c>
      <c r="S198" s="919">
        <f t="shared" si="53"/>
        <v>0</v>
      </c>
      <c r="T198" s="176">
        <f t="shared" si="54"/>
        <v>6</v>
      </c>
      <c r="U198" s="251">
        <f t="shared" si="55"/>
        <v>0.36003694303734268</v>
      </c>
      <c r="V198" s="383">
        <f t="shared" si="56"/>
        <v>51.205047535392879</v>
      </c>
      <c r="W198" s="402"/>
      <c r="X198" s="157">
        <f t="shared" si="57"/>
        <v>44745</v>
      </c>
      <c r="Y198" s="385">
        <f t="shared" si="58"/>
        <v>41.871020518340941</v>
      </c>
      <c r="Z198" s="385">
        <f t="shared" si="59"/>
        <v>43.271402578801521</v>
      </c>
      <c r="AA198" s="386">
        <f t="shared" si="60"/>
        <v>49.165212721638405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0.11987764959354932</v>
      </c>
      <c r="AD198" s="231">
        <f>(INDEX(Models!$BJ198:$BT198,,AH198)*(1-AF198)+INDEX(Models!$BJ198:$BT198,,AH198+1)*AF198-ERP_i)*AE198*Ramure*Pc/MaxiM</f>
        <v>6.0212581002618195E-3</v>
      </c>
      <c r="AE198" s="305">
        <f t="shared" si="62"/>
        <v>0.7</v>
      </c>
      <c r="AF198" s="177">
        <f t="shared" si="63"/>
        <v>0.36003694303734268</v>
      </c>
      <c r="AG198" s="919">
        <f t="shared" si="71"/>
        <v>0</v>
      </c>
      <c r="AH198" s="176">
        <f t="shared" si="64"/>
        <v>6</v>
      </c>
      <c r="AI198" s="225">
        <f t="shared" si="65"/>
        <v>0.36003694303734268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44746</v>
      </c>
      <c r="B199" s="618">
        <v>42.070999999999998</v>
      </c>
      <c r="C199" s="953"/>
      <c r="D199" s="393">
        <f t="shared" si="48"/>
        <v>43.479022704009907</v>
      </c>
      <c r="E199" s="385">
        <f t="shared" si="72"/>
        <v>46.894217046832487</v>
      </c>
      <c r="F199" s="385">
        <f t="shared" si="49"/>
        <v>47.104816161714062</v>
      </c>
      <c r="G199" s="110">
        <f t="shared" si="73"/>
        <v>0.821866518534215</v>
      </c>
      <c r="H199" s="412" t="b">
        <f>Wh_hp&gt;='2021'!Maxi_hp</f>
        <v>0</v>
      </c>
      <c r="I199" s="380">
        <f>IF(H199,Wh_hp,'2021'!Maxi_hp)</f>
        <v>55.745011407918014</v>
      </c>
      <c r="J199" s="85">
        <f>IF(H199,An,'2021'!An_max)</f>
        <v>2019</v>
      </c>
      <c r="K199" s="197">
        <f t="shared" si="50"/>
        <v>44746</v>
      </c>
      <c r="L199" s="147">
        <f>IF(t&lt;Tvie,1-EXP((T0-t)*PertePVj)+'2021'!Pspv,1-EXP((T0-t)*PertePVj)+Pspv)</f>
        <v>3.2383954754347632E-2</v>
      </c>
      <c r="M199" s="957"/>
      <c r="N199" s="957"/>
      <c r="O199" s="48">
        <f>IF(t&lt;Tnet,'2021'!Resal+('2021'!Salim-'2021'!Resal)*(1-EXP(('2021'!Tnet-t)/('2021'!Tau_j))),Resal+(Salim-Resal)*(1-EXP((Tnet-t)/(Tau_j))))*Salcycl</f>
        <v>7.2827622634404593E-2</v>
      </c>
      <c r="P199" s="339">
        <f>(INDEX(Models!$BJ199:$BT199,,T199)*(1-R199)+INDEX(Models!$BJ199:$BT199,,T199+1)*R199-ERP_i)*Q199*Ramure*Pc/MaxiM</f>
        <v>5.9826126913895749E-3</v>
      </c>
      <c r="Q199" s="305">
        <f t="shared" si="51"/>
        <v>0.7</v>
      </c>
      <c r="R199" s="177">
        <f t="shared" si="52"/>
        <v>0.36414742326129979</v>
      </c>
      <c r="S199" s="919">
        <f t="shared" si="53"/>
        <v>0</v>
      </c>
      <c r="T199" s="176">
        <f t="shared" si="54"/>
        <v>6</v>
      </c>
      <c r="U199" s="251">
        <f t="shared" si="55"/>
        <v>0.36414742326129979</v>
      </c>
      <c r="V199" s="383">
        <f t="shared" si="56"/>
        <v>51.111844254258742</v>
      </c>
      <c r="W199" s="402"/>
      <c r="X199" s="157">
        <f t="shared" si="57"/>
        <v>44746</v>
      </c>
      <c r="Y199" s="385">
        <f t="shared" si="58"/>
        <v>39.929903802848017</v>
      </c>
      <c r="Z199" s="385">
        <f t="shared" si="59"/>
        <v>41.266268784030821</v>
      </c>
      <c r="AA199" s="386">
        <f t="shared" si="60"/>
        <v>46.894217046832487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0.12001369501875092</v>
      </c>
      <c r="AD199" s="231">
        <f>(INDEX(Models!$BJ199:$BT199,,AH199)*(1-AF199)+INDEX(Models!$BJ199:$BT199,,AH199+1)*AF199-ERP_i)*AE199*Ramure*Pc/MaxiM</f>
        <v>5.9826126913895749E-3</v>
      </c>
      <c r="AE199" s="305">
        <f t="shared" si="62"/>
        <v>0.7</v>
      </c>
      <c r="AF199" s="177">
        <f t="shared" si="63"/>
        <v>0.36414742326129979</v>
      </c>
      <c r="AG199" s="919">
        <f t="shared" si="71"/>
        <v>0</v>
      </c>
      <c r="AH199" s="176">
        <f t="shared" si="64"/>
        <v>6</v>
      </c>
      <c r="AI199" s="225">
        <f t="shared" si="65"/>
        <v>0.36414742326129979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44747</v>
      </c>
      <c r="B200" s="618">
        <v>51.225000000000001</v>
      </c>
      <c r="C200" s="953"/>
      <c r="D200" s="393">
        <f t="shared" si="48"/>
        <v>52.940546237567659</v>
      </c>
      <c r="E200" s="385">
        <f t="shared" si="72"/>
        <v>57.111299898590325</v>
      </c>
      <c r="F200" s="385">
        <f t="shared" si="49"/>
        <v>57.452353409792387</v>
      </c>
      <c r="G200" s="110">
        <f t="shared" si="73"/>
        <v>1.0040526453175844</v>
      </c>
      <c r="H200" s="412" t="b">
        <f>Wh_hp&gt;='2021'!Maxi_hp</f>
        <v>0</v>
      </c>
      <c r="I200" s="380">
        <f>IF(H200,Wh_hp,'2021'!Maxi_hp)</f>
        <v>58.767865102105034</v>
      </c>
      <c r="J200" s="85">
        <f>IF(H200,An,'2021'!An_max)</f>
        <v>2021</v>
      </c>
      <c r="K200" s="197">
        <f t="shared" si="50"/>
        <v>44747</v>
      </c>
      <c r="L200" s="147">
        <f>IF(t&lt;Tvie,1-EXP((T0-t)*PertePVj)+'2021'!Pspv,1-EXP((T0-t)*PertePVj)+Pspv)</f>
        <v>3.2405148029059694E-2</v>
      </c>
      <c r="M200" s="957"/>
      <c r="N200" s="957"/>
      <c r="O200" s="48">
        <f>IF(t&lt;Tnet,'2021'!Resal+('2021'!Salim-'2021'!Resal)*(1-EXP(('2021'!Tnet-t)/('2021'!Tau_j))),Resal+(Salim-Resal)*(1-EXP((Tnet-t)/(Tau_j))))*Salcycl</f>
        <v>7.3028519197224709E-2</v>
      </c>
      <c r="P200" s="339">
        <f>(INDEX(Models!$BJ200:$BT200,,T200)*(1-R200)+INDEX(Models!$BJ200:$BT200,,T200+1)*R200-ERP_i)*Q200*Ramure*Pc/MaxiM</f>
        <v>5.9362844332836121E-3</v>
      </c>
      <c r="Q200" s="305">
        <f t="shared" si="51"/>
        <v>0.7</v>
      </c>
      <c r="R200" s="177">
        <f t="shared" si="52"/>
        <v>0.36818148162127362</v>
      </c>
      <c r="S200" s="919">
        <f t="shared" si="53"/>
        <v>0</v>
      </c>
      <c r="T200" s="176">
        <f t="shared" si="54"/>
        <v>6</v>
      </c>
      <c r="U200" s="251">
        <f t="shared" si="55"/>
        <v>0.36818148162127362</v>
      </c>
      <c r="V200" s="383">
        <f t="shared" si="56"/>
        <v>51.018241163835988</v>
      </c>
      <c r="W200" s="402"/>
      <c r="X200" s="157">
        <f t="shared" si="57"/>
        <v>44747</v>
      </c>
      <c r="Y200" s="385">
        <f t="shared" si="58"/>
        <v>48.621154353994683</v>
      </c>
      <c r="Z200" s="385">
        <f t="shared" si="59"/>
        <v>50.249496734047234</v>
      </c>
      <c r="AA200" s="386">
        <f t="shared" si="60"/>
        <v>57.111299898590325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0.12014790727451918</v>
      </c>
      <c r="AD200" s="231">
        <f>(INDEX(Models!$BJ200:$BT200,,AH200)*(1-AF200)+INDEX(Models!$BJ200:$BT200,,AH200+1)*AF200-ERP_i)*AE200*Ramure*Pc/MaxiM</f>
        <v>5.9362844332836121E-3</v>
      </c>
      <c r="AE200" s="305">
        <f t="shared" si="62"/>
        <v>0.7</v>
      </c>
      <c r="AF200" s="177">
        <f t="shared" si="63"/>
        <v>0.36818148162127362</v>
      </c>
      <c r="AG200" s="919">
        <f t="shared" si="71"/>
        <v>0</v>
      </c>
      <c r="AH200" s="176">
        <f t="shared" si="64"/>
        <v>6</v>
      </c>
      <c r="AI200" s="225">
        <f t="shared" si="65"/>
        <v>0.36818148162127362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44748</v>
      </c>
      <c r="B201" s="618">
        <v>41.960999999999999</v>
      </c>
      <c r="C201" s="953"/>
      <c r="D201" s="393">
        <f t="shared" si="48"/>
        <v>43.367240935858533</v>
      </c>
      <c r="E201" s="385">
        <f t="shared" si="72"/>
        <v>46.79387110171006</v>
      </c>
      <c r="F201" s="385">
        <f t="shared" si="49"/>
        <v>47.000824432667763</v>
      </c>
      <c r="G201" s="110">
        <f t="shared" si="73"/>
        <v>0.82276467291451594</v>
      </c>
      <c r="H201" s="412" t="b">
        <f>Wh_hp&gt;='2021'!Maxi_hp</f>
        <v>0</v>
      </c>
      <c r="I201" s="380">
        <f>IF(H201,Wh_hp,'2021'!Maxi_hp)</f>
        <v>56.315415913154332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3.2426340839584511E-2</v>
      </c>
      <c r="M201" s="957"/>
      <c r="N201" s="957"/>
      <c r="O201" s="48">
        <f>IF(t&lt;Tnet,'2021'!Resal+('2021'!Salim-'2021'!Resal)*(1-EXP(('2021'!Tnet-t)/('2021'!Tau_j))),Resal+(Salim-Resal)*(1-EXP((Tnet-t)/(Tau_j))))*Salcycl</f>
        <v>7.3228183203810762E-2</v>
      </c>
      <c r="P201" s="339">
        <f>(INDEX(Models!$BJ201:$BT201,,T201)*(1-R201)+INDEX(Models!$BJ201:$BT201,,T201+1)*R201-ERP_i)*Q201*Ramure*Pc/MaxiM</f>
        <v>5.8822433678040239E-3</v>
      </c>
      <c r="Q201" s="305">
        <f t="shared" si="51"/>
        <v>0.7</v>
      </c>
      <c r="R201" s="177">
        <f t="shared" si="52"/>
        <v>0.37213791908239974</v>
      </c>
      <c r="S201" s="919">
        <f t="shared" si="53"/>
        <v>0</v>
      </c>
      <c r="T201" s="176">
        <f t="shared" si="54"/>
        <v>6</v>
      </c>
      <c r="U201" s="251">
        <f t="shared" si="55"/>
        <v>0.37213791908239974</v>
      </c>
      <c r="V201" s="383">
        <f t="shared" si="56"/>
        <v>50.924236460202728</v>
      </c>
      <c r="W201" s="402"/>
      <c r="X201" s="157">
        <f t="shared" si="57"/>
        <v>44748</v>
      </c>
      <c r="Y201" s="385">
        <f t="shared" si="58"/>
        <v>39.830642529674115</v>
      </c>
      <c r="Z201" s="385">
        <f t="shared" si="59"/>
        <v>41.165488696990806</v>
      </c>
      <c r="AA201" s="386">
        <f t="shared" si="60"/>
        <v>46.79387110171006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0.12028033313348947</v>
      </c>
      <c r="AD201" s="231">
        <f>(INDEX(Models!$BJ201:$BT201,,AH201)*(1-AF201)+INDEX(Models!$BJ201:$BT201,,AH201+1)*AF201-ERP_i)*AE201*Ramure*Pc/MaxiM</f>
        <v>5.8822433678040239E-3</v>
      </c>
      <c r="AE201" s="305">
        <f t="shared" si="62"/>
        <v>0.7</v>
      </c>
      <c r="AF201" s="177">
        <f t="shared" si="63"/>
        <v>0.37213791908239974</v>
      </c>
      <c r="AG201" s="919">
        <f t="shared" si="71"/>
        <v>0</v>
      </c>
      <c r="AH201" s="176">
        <f t="shared" si="64"/>
        <v>6</v>
      </c>
      <c r="AI201" s="225">
        <f t="shared" si="65"/>
        <v>0.37213791908239974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44749</v>
      </c>
      <c r="B202" s="618">
        <v>49.564</v>
      </c>
      <c r="C202" s="953"/>
      <c r="D202" s="393">
        <f t="shared" si="48"/>
        <v>51.226162611318742</v>
      </c>
      <c r="E202" s="385">
        <f t="shared" si="72"/>
        <v>55.285598348419427</v>
      </c>
      <c r="F202" s="385">
        <f t="shared" si="49"/>
        <v>55.597690124992759</v>
      </c>
      <c r="G202" s="110">
        <f t="shared" si="73"/>
        <v>0.97489369664446179</v>
      </c>
      <c r="H202" s="412" t="b">
        <f>Wh_hp&gt;='2021'!Maxi_hp</f>
        <v>0</v>
      </c>
      <c r="I202" s="380">
        <f>IF(H202,Wh_hp,'2021'!Maxi_hp)</f>
        <v>56.989181729783134</v>
      </c>
      <c r="J202" s="85">
        <f>IF(H202,An,'2021'!An_max)</f>
        <v>2018</v>
      </c>
      <c r="K202" s="197">
        <f t="shared" si="50"/>
        <v>44749</v>
      </c>
      <c r="L202" s="147">
        <f>IF(t&lt;Tvie,1-EXP((T0-t)*PertePVj)+'2021'!Pspv,1-EXP((T0-t)*PertePVj)+Pspv)</f>
        <v>3.244753318593252E-2</v>
      </c>
      <c r="M202" s="957"/>
      <c r="N202" s="957"/>
      <c r="O202" s="48">
        <f>IF(t&lt;Tnet,'2021'!Resal+('2021'!Salim-'2021'!Resal)*(1-EXP(('2021'!Tnet-t)/('2021'!Tau_j))),Resal+(Salim-Resal)*(1-EXP((Tnet-t)/(Tau_j))))*Salcycl</f>
        <v>7.3426640180638256E-2</v>
      </c>
      <c r="P202" s="339">
        <f>(INDEX(Models!$BJ202:$BT202,,T202)*(1-R202)+INDEX(Models!$BJ202:$BT202,,T202+1)*R202-ERP_i)*Q202*Ramure*Pc/MaxiM</f>
        <v>5.8204639027164013E-3</v>
      </c>
      <c r="Q202" s="305">
        <f t="shared" si="51"/>
        <v>0.7</v>
      </c>
      <c r="R202" s="177">
        <f t="shared" si="52"/>
        <v>0.37601571079743934</v>
      </c>
      <c r="S202" s="919">
        <f t="shared" si="53"/>
        <v>0</v>
      </c>
      <c r="T202" s="176">
        <f t="shared" si="54"/>
        <v>6</v>
      </c>
      <c r="U202" s="251">
        <f t="shared" si="55"/>
        <v>0.37601571079743934</v>
      </c>
      <c r="V202" s="383">
        <f t="shared" si="56"/>
        <v>50.829827963666361</v>
      </c>
      <c r="W202" s="402"/>
      <c r="X202" s="157">
        <f t="shared" si="57"/>
        <v>44749</v>
      </c>
      <c r="Y202" s="385">
        <f t="shared" si="58"/>
        <v>47.050724732840735</v>
      </c>
      <c r="Z202" s="385">
        <f t="shared" si="59"/>
        <v>48.628602940539423</v>
      </c>
      <c r="AA202" s="386">
        <f t="shared" si="60"/>
        <v>55.285598348419427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0.12041102216035474</v>
      </c>
      <c r="AD202" s="231">
        <f>(INDEX(Models!$BJ202:$BT202,,AH202)*(1-AF202)+INDEX(Models!$BJ202:$BT202,,AH202+1)*AF202-ERP_i)*AE202*Ramure*Pc/MaxiM</f>
        <v>5.8204639027164013E-3</v>
      </c>
      <c r="AE202" s="305">
        <f t="shared" si="62"/>
        <v>0.7</v>
      </c>
      <c r="AF202" s="177">
        <f t="shared" si="63"/>
        <v>0.37601571079743934</v>
      </c>
      <c r="AG202" s="919">
        <f t="shared" si="71"/>
        <v>0</v>
      </c>
      <c r="AH202" s="176">
        <f t="shared" si="64"/>
        <v>6</v>
      </c>
      <c r="AI202" s="225">
        <f t="shared" si="65"/>
        <v>0.37601571079743934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44750</v>
      </c>
      <c r="B203" s="618">
        <v>51.942999999999998</v>
      </c>
      <c r="C203" s="953"/>
      <c r="D203" s="393">
        <f t="shared" si="48"/>
        <v>53.686119865899691</v>
      </c>
      <c r="E203" s="385">
        <f t="shared" si="72"/>
        <v>57.952834569724303</v>
      </c>
      <c r="F203" s="385">
        <f t="shared" si="49"/>
        <v>58.288044703587232</v>
      </c>
      <c r="G203" s="110">
        <f t="shared" si="73"/>
        <v>1.0238097275774947</v>
      </c>
      <c r="H203" s="412" t="b">
        <f>Wh_hp&gt;='2021'!Maxi_hp</f>
        <v>0</v>
      </c>
      <c r="I203" s="380">
        <f>IF(H203,Wh_hp,'2021'!Maxi_hp)</f>
        <v>59.606340921073496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3.2468725068113713E-2</v>
      </c>
      <c r="M203" s="957"/>
      <c r="N203" s="957"/>
      <c r="O203" s="48">
        <f>IF(t&lt;Tnet,'2021'!Resal+('2021'!Salim-'2021'!Resal)*(1-EXP(('2021'!Tnet-t)/('2021'!Tau_j))),Resal+(Salim-Resal)*(1-EXP((Tnet-t)/(Tau_j))))*Salcycl</f>
        <v>7.3623917371828163E-2</v>
      </c>
      <c r="P203" s="339">
        <f>(INDEX(Models!$BJ203:$BT203,,T203)*(1-R203)+INDEX(Models!$BJ203:$BT203,,T203+1)*R203-ERP_i)*Q203*Ramure*Pc/MaxiM</f>
        <v>5.7509243202028566E-3</v>
      </c>
      <c r="Q203" s="305">
        <f t="shared" si="51"/>
        <v>0.7</v>
      </c>
      <c r="R203" s="177">
        <f t="shared" si="52"/>
        <v>0.37981400236304175</v>
      </c>
      <c r="S203" s="919">
        <f t="shared" si="53"/>
        <v>0</v>
      </c>
      <c r="T203" s="176">
        <f t="shared" si="54"/>
        <v>6</v>
      </c>
      <c r="U203" s="251">
        <f t="shared" si="55"/>
        <v>0.37981400236304175</v>
      </c>
      <c r="V203" s="383">
        <f t="shared" si="56"/>
        <v>50.735013158065847</v>
      </c>
      <c r="W203" s="402"/>
      <c r="X203" s="157">
        <f t="shared" si="57"/>
        <v>44750</v>
      </c>
      <c r="Y203" s="385">
        <f t="shared" si="58"/>
        <v>49.312358411958577</v>
      </c>
      <c r="Z203" s="385">
        <f t="shared" si="59"/>
        <v>50.967198363102156</v>
      </c>
      <c r="AA203" s="386">
        <f t="shared" si="60"/>
        <v>57.952834569724303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0.12054002635915202</v>
      </c>
      <c r="AD203" s="231">
        <f>(INDEX(Models!$BJ203:$BT203,,AH203)*(1-AF203)+INDEX(Models!$BJ203:$BT203,,AH203+1)*AF203-ERP_i)*AE203*Ramure*Pc/MaxiM</f>
        <v>5.7509243202028566E-3</v>
      </c>
      <c r="AE203" s="305">
        <f t="shared" si="62"/>
        <v>0.7</v>
      </c>
      <c r="AF203" s="177">
        <f t="shared" si="63"/>
        <v>0.37981400236304175</v>
      </c>
      <c r="AG203" s="919">
        <f t="shared" si="71"/>
        <v>0</v>
      </c>
      <c r="AH203" s="176">
        <f t="shared" si="64"/>
        <v>6</v>
      </c>
      <c r="AI203" s="225">
        <f t="shared" si="65"/>
        <v>0.37981400236304175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44751</v>
      </c>
      <c r="B204" s="618">
        <v>51.350999999999999</v>
      </c>
      <c r="C204" s="953"/>
      <c r="D204" s="393">
        <f t="shared" si="48"/>
        <v>53.075415827709335</v>
      </c>
      <c r="E204" s="385">
        <f t="shared" si="72"/>
        <v>57.305727096452308</v>
      </c>
      <c r="F204" s="385">
        <f t="shared" si="49"/>
        <v>57.632712414968985</v>
      </c>
      <c r="G204" s="110">
        <f t="shared" si="73"/>
        <v>1.0140445049204443</v>
      </c>
      <c r="H204" s="412" t="b">
        <f>Wh_hp&gt;='2021'!Maxi_hp</f>
        <v>1</v>
      </c>
      <c r="I204" s="380">
        <f>IF(H204,Wh_hp,'2021'!Maxi_hp)</f>
        <v>57.632712414968985</v>
      </c>
      <c r="J204" s="85">
        <f>IF(H204,An,'2021'!An_max)</f>
        <v>2022</v>
      </c>
      <c r="K204" s="197">
        <f t="shared" si="50"/>
        <v>44751</v>
      </c>
      <c r="L204" s="147">
        <f>IF(t&lt;Tvie,1-EXP((T0-t)*PertePVj)+'2021'!Pspv,1-EXP((T0-t)*PertePVj)+Pspv)</f>
        <v>3.2489916486138193E-2</v>
      </c>
      <c r="M204" s="957"/>
      <c r="N204" s="957"/>
      <c r="O204" s="48">
        <f>IF(t&lt;Tnet,'2021'!Resal+('2021'!Salim-'2021'!Resal)*(1-EXP(('2021'!Tnet-t)/('2021'!Tau_j))),Resal+(Salim-Resal)*(1-EXP((Tnet-t)/(Tau_j))))*Salcycl</f>
        <v>7.3820043529381638E-2</v>
      </c>
      <c r="P204" s="339">
        <f>(INDEX(Models!$BJ204:$BT204,,T204)*(1-R204)+INDEX(Models!$BJ204:$BT204,,T204+1)*R204-ERP_i)*Q204*Ramure*Pc/MaxiM</f>
        <v>5.6736062700348195E-3</v>
      </c>
      <c r="Q204" s="305">
        <f t="shared" si="51"/>
        <v>0.7</v>
      </c>
      <c r="R204" s="177">
        <f t="shared" si="52"/>
        <v>0.38353210548849381</v>
      </c>
      <c r="S204" s="919">
        <f t="shared" si="53"/>
        <v>0</v>
      </c>
      <c r="T204" s="176">
        <f t="shared" si="54"/>
        <v>6</v>
      </c>
      <c r="U204" s="251">
        <f t="shared" si="55"/>
        <v>0.38353210548849381</v>
      </c>
      <c r="V204" s="383">
        <f t="shared" si="56"/>
        <v>50.639789230975303</v>
      </c>
      <c r="W204" s="402"/>
      <c r="X204" s="157">
        <f t="shared" si="57"/>
        <v>44751</v>
      </c>
      <c r="Y204" s="385">
        <f t="shared" si="58"/>
        <v>48.753601324112118</v>
      </c>
      <c r="Z204" s="385">
        <f t="shared" si="59"/>
        <v>50.39079401327357</v>
      </c>
      <c r="AA204" s="386">
        <f t="shared" si="60"/>
        <v>57.305727096452308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0.12066739981398518</v>
      </c>
      <c r="AD204" s="231">
        <f>(INDEX(Models!$BJ204:$BT204,,AH204)*(1-AF204)+INDEX(Models!$BJ204:$BT204,,AH204+1)*AF204-ERP_i)*AE204*Ramure*Pc/MaxiM</f>
        <v>5.6736062700348195E-3</v>
      </c>
      <c r="AE204" s="305">
        <f t="shared" si="62"/>
        <v>0.7</v>
      </c>
      <c r="AF204" s="177">
        <f t="shared" si="63"/>
        <v>0.38353210548849381</v>
      </c>
      <c r="AG204" s="919">
        <f t="shared" si="71"/>
        <v>0</v>
      </c>
      <c r="AH204" s="176">
        <f t="shared" si="64"/>
        <v>6</v>
      </c>
      <c r="AI204" s="225">
        <f t="shared" si="65"/>
        <v>0.38353210548849381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44752</v>
      </c>
      <c r="B205" s="618">
        <v>51.011000000000003</v>
      </c>
      <c r="C205" s="953"/>
      <c r="D205" s="393">
        <f t="shared" si="48"/>
        <v>52.725153117804254</v>
      </c>
      <c r="E205" s="385">
        <f t="shared" si="72"/>
        <v>56.939535619576183</v>
      </c>
      <c r="F205" s="385">
        <f t="shared" si="49"/>
        <v>57.259532821685085</v>
      </c>
      <c r="G205" s="110">
        <f t="shared" si="73"/>
        <v>1.0092447649986889</v>
      </c>
      <c r="H205" s="412" t="b">
        <f>Wh_hp&gt;='2021'!Maxi_hp</f>
        <v>1</v>
      </c>
      <c r="I205" s="380">
        <f>IF(H205,Wh_hp,'2021'!Maxi_hp)</f>
        <v>57.259532821685085</v>
      </c>
      <c r="J205" s="85">
        <f>IF(H205,An,'2021'!An_max)</f>
        <v>2022</v>
      </c>
      <c r="K205" s="197">
        <f t="shared" si="50"/>
        <v>44752</v>
      </c>
      <c r="L205" s="147">
        <f>IF(t&lt;Tvie,1-EXP((T0-t)*PertePVj)+'2021'!Pspv,1-EXP((T0-t)*PertePVj)+Pspv)</f>
        <v>3.2511107440016396E-2</v>
      </c>
      <c r="M205" s="957"/>
      <c r="N205" s="957"/>
      <c r="O205" s="48">
        <f>IF(t&lt;Tnet,'2021'!Resal+('2021'!Salim-'2021'!Resal)*(1-EXP(('2021'!Tnet-t)/('2021'!Tau_j))),Resal+(Salim-Resal)*(1-EXP((Tnet-t)/(Tau_j))))*Salcycl</f>
        <v>7.4015048698834102E-2</v>
      </c>
      <c r="P205" s="339">
        <f>(INDEX(Models!$BJ205:$BT205,,T205)*(1-R205)+INDEX(Models!$BJ205:$BT205,,T205+1)*R205-ERP_i)*Q205*Ramure*Pc/MaxiM</f>
        <v>5.5885402192404057E-3</v>
      </c>
      <c r="Q205" s="305">
        <f t="shared" si="51"/>
        <v>0.7</v>
      </c>
      <c r="R205" s="177">
        <f t="shared" si="52"/>
        <v>0.38716949313632254</v>
      </c>
      <c r="S205" s="919">
        <f t="shared" si="53"/>
        <v>0</v>
      </c>
      <c r="T205" s="176">
        <f t="shared" si="54"/>
        <v>6</v>
      </c>
      <c r="U205" s="251">
        <f t="shared" si="55"/>
        <v>0.38716949313632254</v>
      </c>
      <c r="V205" s="383">
        <f t="shared" si="56"/>
        <v>50.543735047331431</v>
      </c>
      <c r="W205" s="402"/>
      <c r="X205" s="157">
        <f t="shared" si="57"/>
        <v>44752</v>
      </c>
      <c r="Y205" s="385">
        <f t="shared" si="58"/>
        <v>48.43406806684898</v>
      </c>
      <c r="Z205" s="385">
        <f t="shared" si="59"/>
        <v>50.061627000897175</v>
      </c>
      <c r="AA205" s="386">
        <f t="shared" si="60"/>
        <v>56.939535619576183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0.12079319832588062</v>
      </c>
      <c r="AD205" s="231">
        <f>(INDEX(Models!$BJ205:$BT205,,AH205)*(1-AF205)+INDEX(Models!$BJ205:$BT205,,AH205+1)*AF205-ERP_i)*AE205*Ramure*Pc/MaxiM</f>
        <v>5.5885402192404057E-3</v>
      </c>
      <c r="AE205" s="305">
        <f t="shared" si="62"/>
        <v>0.7</v>
      </c>
      <c r="AF205" s="177">
        <f t="shared" si="63"/>
        <v>0.38716949313632254</v>
      </c>
      <c r="AG205" s="919">
        <f t="shared" si="71"/>
        <v>0</v>
      </c>
      <c r="AH205" s="176">
        <f t="shared" si="64"/>
        <v>6</v>
      </c>
      <c r="AI205" s="225">
        <f t="shared" si="65"/>
        <v>0.38716949313632254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44753</v>
      </c>
      <c r="B206" s="618">
        <v>49.794000000000004</v>
      </c>
      <c r="C206" s="953"/>
      <c r="D206" s="393">
        <f t="shared" si="48"/>
        <v>51.468384829227894</v>
      </c>
      <c r="E206" s="385">
        <f t="shared" si="72"/>
        <v>55.593954605257416</v>
      </c>
      <c r="F206" s="385">
        <f t="shared" si="49"/>
        <v>55.895490759112093</v>
      </c>
      <c r="G206" s="110">
        <f t="shared" si="73"/>
        <v>0.98696403140324829</v>
      </c>
      <c r="H206" s="412" t="b">
        <f>Wh_hp&gt;='2021'!Maxi_hp</f>
        <v>0</v>
      </c>
      <c r="I206" s="380">
        <f>IF(H206,Wh_hp,'2021'!Maxi_hp)</f>
        <v>56.244702289420005</v>
      </c>
      <c r="J206" s="85">
        <f>IF(H206,An,'2021'!An_max)</f>
        <v>2019</v>
      </c>
      <c r="K206" s="197">
        <f t="shared" si="50"/>
        <v>44753</v>
      </c>
      <c r="L206" s="147">
        <f>IF(t&lt;Tvie,1-EXP((T0-t)*PertePVj)+'2021'!Pspv,1-EXP((T0-t)*PertePVj)+Pspv)</f>
        <v>3.2532297929758203E-2</v>
      </c>
      <c r="M206" s="957"/>
      <c r="N206" s="957"/>
      <c r="O206" s="48">
        <f>IF(t&lt;Tnet,'2021'!Resal+('2021'!Salim-'2021'!Resal)*(1-EXP(('2021'!Tnet-t)/('2021'!Tau_j))),Resal+(Salim-Resal)*(1-EXP((Tnet-t)/(Tau_j))))*Salcycl</f>
        <v>7.4208964001984706E-2</v>
      </c>
      <c r="P206" s="339">
        <f>(INDEX(Models!$BJ206:$BT206,,T206)*(1-R206)+INDEX(Models!$BJ206:$BT206,,T206+1)*R206-ERP_i)*Q206*Ramure*Pc/MaxiM</f>
        <v>5.4962052500968648E-3</v>
      </c>
      <c r="Q206" s="305">
        <f t="shared" si="51"/>
        <v>0.7</v>
      </c>
      <c r="R206" s="177">
        <f t="shared" si="52"/>
        <v>0.39072579419468684</v>
      </c>
      <c r="S206" s="919">
        <f t="shared" si="53"/>
        <v>0</v>
      </c>
      <c r="T206" s="176">
        <f t="shared" si="54"/>
        <v>6</v>
      </c>
      <c r="U206" s="251">
        <f t="shared" si="55"/>
        <v>0.39072579419468684</v>
      </c>
      <c r="V206" s="383">
        <f t="shared" si="56"/>
        <v>50.446534765213897</v>
      </c>
      <c r="W206" s="402"/>
      <c r="X206" s="157">
        <f t="shared" si="57"/>
        <v>44753</v>
      </c>
      <c r="Y206" s="385">
        <f t="shared" si="58"/>
        <v>47.281765912836214</v>
      </c>
      <c r="Z206" s="385">
        <f t="shared" si="59"/>
        <v>48.871673764054378</v>
      </c>
      <c r="AA206" s="386">
        <f t="shared" si="60"/>
        <v>55.593954605257416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0.12091747904847422</v>
      </c>
      <c r="AD206" s="231">
        <f>(INDEX(Models!$BJ206:$BT206,,AH206)*(1-AF206)+INDEX(Models!$BJ206:$BT206,,AH206+1)*AF206-ERP_i)*AE206*Ramure*Pc/MaxiM</f>
        <v>5.4962052500968648E-3</v>
      </c>
      <c r="AE206" s="305">
        <f t="shared" si="62"/>
        <v>0.7</v>
      </c>
      <c r="AF206" s="177">
        <f t="shared" si="63"/>
        <v>0.39072579419468684</v>
      </c>
      <c r="AG206" s="919">
        <f t="shared" si="71"/>
        <v>0</v>
      </c>
      <c r="AH206" s="176">
        <f t="shared" si="64"/>
        <v>6</v>
      </c>
      <c r="AI206" s="225">
        <f t="shared" si="65"/>
        <v>0.39072579419468684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44754</v>
      </c>
      <c r="B207" s="618">
        <v>49.364000000000004</v>
      </c>
      <c r="C207" s="953"/>
      <c r="D207" s="393">
        <f t="shared" ref="D207:D270" si="74">Wh/(1-Ppv)</f>
        <v>51.025043126852431</v>
      </c>
      <c r="E207" s="385">
        <f t="shared" si="72"/>
        <v>55.12655956717839</v>
      </c>
      <c r="F207" s="385">
        <f t="shared" ref="F207:F270" si="75">Wh_sa/(1-Pvg*MEDIAN((-Sdif+Wh/Env_an)/Csdif,0,1))</f>
        <v>55.417530605897753</v>
      </c>
      <c r="G207" s="110">
        <f t="shared" si="73"/>
        <v>0.98030471436245559</v>
      </c>
      <c r="H207" s="412" t="b">
        <f>Wh_hp&gt;='2021'!Maxi_hp</f>
        <v>0</v>
      </c>
      <c r="I207" s="380">
        <f>IF(H207,Wh_hp,'2021'!Maxi_hp)</f>
        <v>57.631675116560842</v>
      </c>
      <c r="J207" s="85">
        <f>IF(H207,An,'2021'!An_max)</f>
        <v>2019</v>
      </c>
      <c r="K207" s="197">
        <f t="shared" ref="K207:K270" si="76">t</f>
        <v>44754</v>
      </c>
      <c r="L207" s="147">
        <f>IF(t&lt;Tvie,1-EXP((T0-t)*PertePVj)+'2021'!Pspv,1-EXP((T0-t)*PertePVj)+Pspv)</f>
        <v>3.2553487955373939E-2</v>
      </c>
      <c r="M207" s="957"/>
      <c r="N207" s="957"/>
      <c r="O207" s="48">
        <f>IF(t&lt;Tnet,'2021'!Resal+('2021'!Salim-'2021'!Resal)*(1-EXP(('2021'!Tnet-t)/('2021'!Tau_j))),Resal+(Salim-Resal)*(1-EXP((Tnet-t)/(Tau_j))))*Salcycl</f>
        <v>7.4401821418363018E-2</v>
      </c>
      <c r="P207" s="339">
        <f>(INDEX(Models!$BJ207:$BT207,,T207)*(1-R207)+INDEX(Models!$BJ207:$BT207,,T207+1)*R207-ERP_i)*Q207*Ramure*Pc/MaxiM</f>
        <v>5.4013493001831021E-3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0.39420078774140505</v>
      </c>
      <c r="S207" s="91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0.39420078774140505</v>
      </c>
      <c r="V207" s="383">
        <f t="shared" ref="V207:V270" si="82">MaxiM*(1-Ppv)*(1-Pvg)*(1-Psa)</f>
        <v>50.348136254451724</v>
      </c>
      <c r="W207" s="402"/>
      <c r="X207" s="157">
        <f t="shared" ref="X207:X270" si="83">t</f>
        <v>44754</v>
      </c>
      <c r="Y207" s="385">
        <f t="shared" ref="Y207:Y270" si="84">Wh_pvt_s*(1-Ppv)</f>
        <v>46.876676757410664</v>
      </c>
      <c r="Z207" s="385">
        <f t="shared" ref="Z207:Z270" si="85">Wh_sa_s*(1-Psa_s)</f>
        <v>48.454024252297216</v>
      </c>
      <c r="AA207" s="386">
        <f t="shared" ref="AA207:AA270" si="86">Wh_hp*(1-Pvg_s*MEDIAN((-Sdif+Wh/Env_an)/Csdif,0,1))</f>
        <v>55.12655956717839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0.12104030012520339</v>
      </c>
      <c r="AD207" s="231">
        <f>(INDEX(Models!$BJ207:$BT207,,AH207)*(1-AF207)+INDEX(Models!$BJ207:$BT207,,AH207+1)*AF207-ERP_i)*AE207*Ramure*Pc/MaxiM</f>
        <v>5.4013493001831021E-3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0.39420078774140505</v>
      </c>
      <c r="AG207" s="919">
        <f t="shared" si="71"/>
        <v>0</v>
      </c>
      <c r="AH207" s="176">
        <f t="shared" ref="AH207:AH270" si="90">MIN(MATCH(Hp_vg_s,Echel_vg),10)</f>
        <v>6</v>
      </c>
      <c r="AI207" s="225">
        <f t="shared" ref="AI207:AI270" si="91">IF(OR(t&lt;Ttai,Notai),Hdd_s+PousH*Croivg,Hdtai_s+PousH*(Croivg-Croi_tai))</f>
        <v>0.39420078774140505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44755</v>
      </c>
      <c r="B208" s="618">
        <v>49.612000000000002</v>
      </c>
      <c r="C208" s="953"/>
      <c r="D208" s="393">
        <f t="shared" si="74"/>
        <v>51.282511266770491</v>
      </c>
      <c r="E208" s="385">
        <f t="shared" si="72"/>
        <v>55.416208743807353</v>
      </c>
      <c r="F208" s="385">
        <f t="shared" si="75"/>
        <v>55.706325273109343</v>
      </c>
      <c r="G208" s="110">
        <f t="shared" si="73"/>
        <v>0.98723316675591488</v>
      </c>
      <c r="H208" s="412" t="b">
        <f>Wh_hp&gt;='2021'!Maxi_hp</f>
        <v>1</v>
      </c>
      <c r="I208" s="380">
        <f>IF(H208,Wh_hp,'2021'!Maxi_hp)</f>
        <v>55.706325273109343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3.2574677516873707E-2</v>
      </c>
      <c r="M208" s="957"/>
      <c r="N208" s="957"/>
      <c r="O208" s="48">
        <f>IF(t&lt;Tnet,'2021'!Resal+('2021'!Salim-'2021'!Resal)*(1-EXP(('2021'!Tnet-t)/('2021'!Tau_j))),Resal+(Salim-Resal)*(1-EXP((Tnet-t)/(Tau_j))))*Salcycl</f>
        <v>7.4593653567085499E-2</v>
      </c>
      <c r="P208" s="339">
        <f>(INDEX(Models!$BJ208:$BT208,,T208)*(1-R208)+INDEX(Models!$BJ208:$BT208,,T208+1)*R208-ERP_i)*Q208*Ramure*Pc/MaxiM</f>
        <v>5.3039775306838932E-3</v>
      </c>
      <c r="Q208" s="305">
        <f t="shared" si="77"/>
        <v>0.7</v>
      </c>
      <c r="R208" s="177">
        <f t="shared" si="78"/>
        <v>0.39759439695875048</v>
      </c>
      <c r="S208" s="919">
        <f t="shared" si="79"/>
        <v>0</v>
      </c>
      <c r="T208" s="176">
        <f t="shared" si="80"/>
        <v>6</v>
      </c>
      <c r="U208" s="251">
        <f t="shared" si="81"/>
        <v>0.39759439695875048</v>
      </c>
      <c r="V208" s="383">
        <f t="shared" si="82"/>
        <v>50.248728773555591</v>
      </c>
      <c r="W208" s="402"/>
      <c r="X208" s="157">
        <f t="shared" si="83"/>
        <v>44755</v>
      </c>
      <c r="Y208" s="385">
        <f t="shared" si="84"/>
        <v>47.115437341684121</v>
      </c>
      <c r="Z208" s="385">
        <f t="shared" si="85"/>
        <v>48.701885558206385</v>
      </c>
      <c r="AA208" s="386">
        <f t="shared" si="86"/>
        <v>55.416208743807353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0.12116172033062941</v>
      </c>
      <c r="AD208" s="231">
        <f>(INDEX(Models!$BJ208:$BT208,,AH208)*(1-AF208)+INDEX(Models!$BJ208:$BT208,,AH208+1)*AF208-ERP_i)*AE208*Ramure*Pc/MaxiM</f>
        <v>5.3039775306838932E-3</v>
      </c>
      <c r="AE208" s="305">
        <f t="shared" si="88"/>
        <v>0.7</v>
      </c>
      <c r="AF208" s="177">
        <f t="shared" si="89"/>
        <v>0.39759439695875048</v>
      </c>
      <c r="AG208" s="919">
        <f t="shared" ref="AG208:AG271" si="95">INDEX(Echel_vg,AH208)</f>
        <v>0</v>
      </c>
      <c r="AH208" s="176">
        <f t="shared" si="90"/>
        <v>6</v>
      </c>
      <c r="AI208" s="225">
        <f t="shared" si="91"/>
        <v>0.39759439695875048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44756</v>
      </c>
      <c r="B209" s="618">
        <v>48.838999999999999</v>
      </c>
      <c r="C209" s="953"/>
      <c r="D209" s="393">
        <f t="shared" si="74"/>
        <v>50.484588926731888</v>
      </c>
      <c r="E209" s="385">
        <f t="shared" si="72"/>
        <v>54.565221369023874</v>
      </c>
      <c r="F209" s="385">
        <f t="shared" si="75"/>
        <v>54.83996765445707</v>
      </c>
      <c r="G209" s="110">
        <f t="shared" si="73"/>
        <v>0.9736975124503322</v>
      </c>
      <c r="H209" s="412" t="b">
        <f>Wh_hp&gt;='2021'!Maxi_hp</f>
        <v>0</v>
      </c>
      <c r="I209" s="380">
        <f>IF(H209,Wh_hp,'2021'!Maxi_hp)</f>
        <v>56.367501147703905</v>
      </c>
      <c r="J209" s="85">
        <f>IF(H209,An,'2021'!An_max)</f>
        <v>2019</v>
      </c>
      <c r="K209" s="197">
        <f t="shared" si="76"/>
        <v>44756</v>
      </c>
      <c r="L209" s="147">
        <f>IF(t&lt;Tvie,1-EXP((T0-t)*PertePVj)+'2021'!Pspv,1-EXP((T0-t)*PertePVj)+Pspv)</f>
        <v>3.2595866614267721E-2</v>
      </c>
      <c r="M209" s="957"/>
      <c r="N209" s="957"/>
      <c r="O209" s="48">
        <f>IF(t&lt;Tnet,'2021'!Resal+('2021'!Salim-'2021'!Resal)*(1-EXP(('2021'!Tnet-t)/('2021'!Tau_j))),Resal+(Salim-Resal)*(1-EXP((Tnet-t)/(Tau_j))))*Salcycl</f>
        <v>7.4784493490729576E-2</v>
      </c>
      <c r="P209" s="339">
        <f>(INDEX(Models!$BJ209:$BT209,,T209)*(1-R209)+INDEX(Models!$BJ209:$BT209,,T209+1)*R209-ERP_i)*Q209*Ramure*Pc/MaxiM</f>
        <v>5.2040955505148236E-3</v>
      </c>
      <c r="Q209" s="305">
        <f t="shared" si="77"/>
        <v>0.7</v>
      </c>
      <c r="R209" s="177">
        <f t="shared" si="78"/>
        <v>0.4009066827568834</v>
      </c>
      <c r="S209" s="919">
        <f t="shared" si="79"/>
        <v>0</v>
      </c>
      <c r="T209" s="176">
        <f t="shared" si="80"/>
        <v>6</v>
      </c>
      <c r="U209" s="251">
        <f t="shared" si="81"/>
        <v>0.4009066827568834</v>
      </c>
      <c r="V209" s="383">
        <f t="shared" si="82"/>
        <v>50.148501423368536</v>
      </c>
      <c r="W209" s="402"/>
      <c r="X209" s="157">
        <f t="shared" si="83"/>
        <v>44756</v>
      </c>
      <c r="Y209" s="385">
        <f t="shared" si="84"/>
        <v>46.384564385767732</v>
      </c>
      <c r="Z209" s="385">
        <f t="shared" si="85"/>
        <v>47.947453173918632</v>
      </c>
      <c r="AA209" s="386">
        <f t="shared" si="86"/>
        <v>54.565221369023874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0.12128179871844319</v>
      </c>
      <c r="AD209" s="231">
        <f>(INDEX(Models!$BJ209:$BT209,,AH209)*(1-AF209)+INDEX(Models!$BJ209:$BT209,,AH209+1)*AF209-ERP_i)*AE209*Ramure*Pc/MaxiM</f>
        <v>5.2040955505148236E-3</v>
      </c>
      <c r="AE209" s="305">
        <f t="shared" si="88"/>
        <v>0.7</v>
      </c>
      <c r="AF209" s="177">
        <f t="shared" si="89"/>
        <v>0.4009066827568834</v>
      </c>
      <c r="AG209" s="919">
        <f t="shared" si="95"/>
        <v>0</v>
      </c>
      <c r="AH209" s="176">
        <f t="shared" si="90"/>
        <v>6</v>
      </c>
      <c r="AI209" s="225">
        <f t="shared" si="91"/>
        <v>0.4009066827568834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44757</v>
      </c>
      <c r="B210" s="618">
        <v>46.841000000000001</v>
      </c>
      <c r="C210" s="953"/>
      <c r="D210" s="393">
        <f t="shared" si="74"/>
        <v>48.420328530794222</v>
      </c>
      <c r="E210" s="385">
        <f t="shared" si="72"/>
        <v>52.344850988996448</v>
      </c>
      <c r="F210" s="385">
        <f t="shared" si="75"/>
        <v>52.588585616184069</v>
      </c>
      <c r="G210" s="110">
        <f t="shared" si="73"/>
        <v>0.93548910716365452</v>
      </c>
      <c r="H210" s="412" t="b">
        <f>Wh_hp&gt;='2021'!Maxi_hp</f>
        <v>0</v>
      </c>
      <c r="I210" s="380">
        <f>IF(H210,Wh_hp,'2021'!Maxi_hp)</f>
        <v>57.830639820469678</v>
      </c>
      <c r="J210" s="85">
        <f>IF(H210,An,'2021'!An_max)</f>
        <v>2019</v>
      </c>
      <c r="K210" s="197">
        <f t="shared" si="76"/>
        <v>44757</v>
      </c>
      <c r="L210" s="147">
        <f>IF(t&lt;Tvie,1-EXP((T0-t)*PertePVj)+'2021'!Pspv,1-EXP((T0-t)*PertePVj)+Pspv)</f>
        <v>3.2617055247566196E-2</v>
      </c>
      <c r="M210" s="957"/>
      <c r="N210" s="957"/>
      <c r="O210" s="48">
        <f>IF(t&lt;Tnet,'2021'!Resal+('2021'!Salim-'2021'!Resal)*(1-EXP(('2021'!Tnet-t)/('2021'!Tau_j))),Resal+(Salim-Resal)*(1-EXP((Tnet-t)/(Tau_j))))*Salcycl</f>
        <v>7.4974374442812131E-2</v>
      </c>
      <c r="P210" s="339">
        <f>(INDEX(Models!$BJ210:$BT210,,T210)*(1-R210)+INDEX(Models!$BJ210:$BT210,,T210+1)*R210-ERP_i)*Q210*Ramure*Pc/MaxiM</f>
        <v>5.1017092818779032E-3</v>
      </c>
      <c r="Q210" s="305">
        <f t="shared" si="77"/>
        <v>0.7</v>
      </c>
      <c r="R210" s="177">
        <f t="shared" si="78"/>
        <v>0.40413783716203577</v>
      </c>
      <c r="S210" s="919">
        <f t="shared" si="79"/>
        <v>0</v>
      </c>
      <c r="T210" s="176">
        <f t="shared" si="80"/>
        <v>6</v>
      </c>
      <c r="U210" s="251">
        <f t="shared" si="81"/>
        <v>0.40413783716203577</v>
      </c>
      <c r="V210" s="383">
        <f t="shared" si="82"/>
        <v>50.047643172279777</v>
      </c>
      <c r="W210" s="402"/>
      <c r="X210" s="157">
        <f t="shared" si="83"/>
        <v>44757</v>
      </c>
      <c r="Y210" s="385">
        <f t="shared" si="84"/>
        <v>44.490091545957185</v>
      </c>
      <c r="Z210" s="385">
        <f t="shared" si="85"/>
        <v>45.990154971506961</v>
      </c>
      <c r="AA210" s="386">
        <f t="shared" si="86"/>
        <v>52.344850988996448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0.12140059427861062</v>
      </c>
      <c r="AD210" s="231">
        <f>(INDEX(Models!$BJ210:$BT210,,AH210)*(1-AF210)+INDEX(Models!$BJ210:$BT210,,AH210+1)*AF210-ERP_i)*AE210*Ramure*Pc/MaxiM</f>
        <v>5.1017092818779032E-3</v>
      </c>
      <c r="AE210" s="305">
        <f t="shared" si="88"/>
        <v>0.7</v>
      </c>
      <c r="AF210" s="177">
        <f t="shared" si="89"/>
        <v>0.40413783716203577</v>
      </c>
      <c r="AG210" s="919">
        <f t="shared" si="95"/>
        <v>0</v>
      </c>
      <c r="AH210" s="176">
        <f t="shared" si="90"/>
        <v>6</v>
      </c>
      <c r="AI210" s="225">
        <f t="shared" si="91"/>
        <v>0.40413783716203577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44758</v>
      </c>
      <c r="B211" s="618">
        <v>48.614000000000004</v>
      </c>
      <c r="C211" s="953"/>
      <c r="D211" s="393">
        <f t="shared" si="74"/>
        <v>50.25420910963809</v>
      </c>
      <c r="E211" s="385">
        <f t="shared" si="72"/>
        <v>54.338469399436526</v>
      </c>
      <c r="F211" s="385">
        <f t="shared" si="75"/>
        <v>54.600903546349734</v>
      </c>
      <c r="G211" s="110">
        <f t="shared" si="73"/>
        <v>0.97313828197663943</v>
      </c>
      <c r="H211" s="412" t="b">
        <f>Wh_hp&gt;='2021'!Maxi_hp</f>
        <v>0</v>
      </c>
      <c r="I211" s="380">
        <f>IF(H211,Wh_hp,'2021'!Maxi_hp)</f>
        <v>57.203978991704709</v>
      </c>
      <c r="J211" s="85">
        <f>IF(H211,An,'2021'!An_max)</f>
        <v>2019</v>
      </c>
      <c r="K211" s="197">
        <f t="shared" si="76"/>
        <v>44758</v>
      </c>
      <c r="L211" s="147">
        <f>IF(t&lt;Tvie,1-EXP((T0-t)*PertePVj)+'2021'!Pspv,1-EXP((T0-t)*PertePVj)+Pspv)</f>
        <v>3.2638243416779122E-2</v>
      </c>
      <c r="M211" s="957"/>
      <c r="N211" s="957"/>
      <c r="O211" s="48">
        <f>IF(t&lt;Tnet,'2021'!Resal+('2021'!Salim-'2021'!Resal)*(1-EXP(('2021'!Tnet-t)/('2021'!Tau_j))),Resal+(Salim-Resal)*(1-EXP((Tnet-t)/(Tau_j))))*Salcycl</f>
        <v>7.5163329680404872E-2</v>
      </c>
      <c r="P211" s="339">
        <f>(INDEX(Models!$BJ211:$BT211,,T211)*(1-R211)+INDEX(Models!$BJ211:$BT211,,T211+1)*R211-ERP_i)*Q211*Ramure*Pc/MaxiM</f>
        <v>4.9968248432606032E-3</v>
      </c>
      <c r="Q211" s="305">
        <f t="shared" si="77"/>
        <v>0.7</v>
      </c>
      <c r="R211" s="177">
        <f t="shared" si="78"/>
        <v>0.40728817652337718</v>
      </c>
      <c r="S211" s="919">
        <f t="shared" si="79"/>
        <v>0</v>
      </c>
      <c r="T211" s="176">
        <f t="shared" si="80"/>
        <v>6</v>
      </c>
      <c r="U211" s="251">
        <f t="shared" si="81"/>
        <v>0.40728817652337718</v>
      </c>
      <c r="V211" s="383">
        <f t="shared" si="82"/>
        <v>49.946342881907846</v>
      </c>
      <c r="W211" s="402"/>
      <c r="X211" s="157">
        <f t="shared" si="83"/>
        <v>44758</v>
      </c>
      <c r="Y211" s="385">
        <f t="shared" si="84"/>
        <v>46.177360033174303</v>
      </c>
      <c r="Z211" s="385">
        <f t="shared" si="85"/>
        <v>47.735358276179412</v>
      </c>
      <c r="AA211" s="386">
        <f t="shared" si="86"/>
        <v>54.338469399436526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0.12151816560599675</v>
      </c>
      <c r="AD211" s="231">
        <f>(INDEX(Models!$BJ211:$BT211,,AH211)*(1-AF211)+INDEX(Models!$BJ211:$BT211,,AH211+1)*AF211-ERP_i)*AE211*Ramure*Pc/MaxiM</f>
        <v>4.9968248432606032E-3</v>
      </c>
      <c r="AE211" s="305">
        <f t="shared" si="88"/>
        <v>0.7</v>
      </c>
      <c r="AF211" s="177">
        <f t="shared" si="89"/>
        <v>0.40728817652337718</v>
      </c>
      <c r="AG211" s="919">
        <f t="shared" si="95"/>
        <v>0</v>
      </c>
      <c r="AH211" s="176">
        <f t="shared" si="90"/>
        <v>6</v>
      </c>
      <c r="AI211" s="225">
        <f t="shared" si="91"/>
        <v>0.40728817652337718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44759</v>
      </c>
      <c r="B212" s="618">
        <v>48.585999999999999</v>
      </c>
      <c r="C212" s="953"/>
      <c r="D212" s="393">
        <f t="shared" si="74"/>
        <v>50.226364491618298</v>
      </c>
      <c r="E212" s="385">
        <f t="shared" si="72"/>
        <v>54.319407471517266</v>
      </c>
      <c r="F212" s="385">
        <f t="shared" si="75"/>
        <v>54.576609666387114</v>
      </c>
      <c r="G212" s="110">
        <f t="shared" si="73"/>
        <v>0.97457270064827461</v>
      </c>
      <c r="H212" s="412" t="b">
        <f>Wh_hp&gt;='2021'!Maxi_hp</f>
        <v>0</v>
      </c>
      <c r="I212" s="380">
        <f>IF(H212,Wh_hp,'2021'!Maxi_hp)</f>
        <v>57.205914857920881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3.2659431121916827E-2</v>
      </c>
      <c r="M212" s="957"/>
      <c r="N212" s="957"/>
      <c r="O212" s="48">
        <f>IF(t&lt;Tnet,'2021'!Resal+('2021'!Salim-'2021'!Resal)*(1-EXP(('2021'!Tnet-t)/('2021'!Tau_j))),Resal+(Salim-Resal)*(1-EXP((Tnet-t)/(Tau_j))))*Salcycl</f>
        <v>7.5351392263348638E-2</v>
      </c>
      <c r="P212" s="339">
        <f>(INDEX(Models!$BJ212:$BT212,,T212)*(1-R212)+INDEX(Models!$BJ212:$BT212,,T212+1)*R212-ERP_i)*Q212*Ramure*Pc/MaxiM</f>
        <v>4.8890693055887204E-3</v>
      </c>
      <c r="Q212" s="305">
        <f t="shared" si="77"/>
        <v>0.7</v>
      </c>
      <c r="R212" s="177">
        <f t="shared" si="78"/>
        <v>0.41035813458995352</v>
      </c>
      <c r="S212" s="919">
        <f t="shared" si="79"/>
        <v>0</v>
      </c>
      <c r="T212" s="176">
        <f t="shared" si="80"/>
        <v>6</v>
      </c>
      <c r="U212" s="251">
        <f t="shared" si="81"/>
        <v>0.41035813458995352</v>
      </c>
      <c r="V212" s="383">
        <f t="shared" si="82"/>
        <v>49.844808320002159</v>
      </c>
      <c r="W212" s="402"/>
      <c r="X212" s="157">
        <f t="shared" si="83"/>
        <v>44759</v>
      </c>
      <c r="Y212" s="385">
        <f t="shared" si="84"/>
        <v>46.154033431287139</v>
      </c>
      <c r="Z212" s="385">
        <f t="shared" si="85"/>
        <v>47.712289669414318</v>
      </c>
      <c r="AA212" s="386">
        <f t="shared" si="86"/>
        <v>54.319407471517266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0.12163457058266762</v>
      </c>
      <c r="AD212" s="231">
        <f>(INDEX(Models!$BJ212:$BT212,,AH212)*(1-AF212)+INDEX(Models!$BJ212:$BT212,,AH212+1)*AF212-ERP_i)*AE212*Ramure*Pc/MaxiM</f>
        <v>4.8890693055887204E-3</v>
      </c>
      <c r="AE212" s="305">
        <f t="shared" si="88"/>
        <v>0.7</v>
      </c>
      <c r="AF212" s="177">
        <f t="shared" si="89"/>
        <v>0.41035813458995352</v>
      </c>
      <c r="AG212" s="919">
        <f t="shared" si="95"/>
        <v>0</v>
      </c>
      <c r="AH212" s="176">
        <f t="shared" si="90"/>
        <v>6</v>
      </c>
      <c r="AI212" s="225">
        <f t="shared" si="91"/>
        <v>0.41035813458995352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44760</v>
      </c>
      <c r="B213" s="618">
        <v>49.344000000000001</v>
      </c>
      <c r="C213" s="953"/>
      <c r="D213" s="393">
        <f t="shared" si="74"/>
        <v>51.011073422817532</v>
      </c>
      <c r="E213" s="385">
        <f t="shared" si="72"/>
        <v>55.179235324780528</v>
      </c>
      <c r="F213" s="385">
        <f t="shared" si="75"/>
        <v>55.44122686400182</v>
      </c>
      <c r="G213" s="110">
        <f t="shared" si="73"/>
        <v>0.99192152152746105</v>
      </c>
      <c r="H213" s="412" t="b">
        <f>Wh_hp&gt;='2021'!Maxi_hp</f>
        <v>1</v>
      </c>
      <c r="I213" s="380">
        <f>IF(H213,Wh_hp,'2021'!Maxi_hp)</f>
        <v>55.44122686400182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3.2680618362989411E-2</v>
      </c>
      <c r="M213" s="957"/>
      <c r="N213" s="957"/>
      <c r="O213" s="48">
        <f>IF(t&lt;Tnet,'2021'!Resal+('2021'!Salim-'2021'!Resal)*(1-EXP(('2021'!Tnet-t)/('2021'!Tau_j))),Resal+(Salim-Resal)*(1-EXP((Tnet-t)/(Tau_j))))*Salcycl</f>
        <v>7.5538594861446151E-2</v>
      </c>
      <c r="P213" s="339">
        <f>(INDEX(Models!$BJ213:$BT213,,T213)*(1-R213)+INDEX(Models!$BJ213:$BT213,,T213+1)*R213-ERP_i)*Q213*Ramure*Pc/MaxiM</f>
        <v>4.7803682916210061E-3</v>
      </c>
      <c r="Q213" s="305">
        <f t="shared" si="77"/>
        <v>0.7</v>
      </c>
      <c r="R213" s="177">
        <f t="shared" si="78"/>
        <v>0.41334825550624393</v>
      </c>
      <c r="S213" s="919">
        <f t="shared" si="79"/>
        <v>0</v>
      </c>
      <c r="T213" s="176">
        <f t="shared" si="80"/>
        <v>6</v>
      </c>
      <c r="U213" s="251">
        <f t="shared" si="81"/>
        <v>0.41334825550624393</v>
      </c>
      <c r="V213" s="383">
        <f t="shared" si="82"/>
        <v>49.743132142709968</v>
      </c>
      <c r="W213" s="402"/>
      <c r="X213" s="157">
        <f t="shared" si="83"/>
        <v>44760</v>
      </c>
      <c r="Y213" s="385">
        <f t="shared" si="84"/>
        <v>46.877429785027346</v>
      </c>
      <c r="Z213" s="385">
        <f t="shared" si="85"/>
        <v>48.461170813817354</v>
      </c>
      <c r="AA213" s="386">
        <f t="shared" si="86"/>
        <v>55.179235324780528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0.12174986607591043</v>
      </c>
      <c r="AD213" s="231">
        <f>(INDEX(Models!$BJ213:$BT213,,AH213)*(1-AF213)+INDEX(Models!$BJ213:$BT213,,AH213+1)*AF213-ERP_i)*AE213*Ramure*Pc/MaxiM</f>
        <v>4.7803682916210061E-3</v>
      </c>
      <c r="AE213" s="305">
        <f t="shared" si="88"/>
        <v>0.7</v>
      </c>
      <c r="AF213" s="177">
        <f t="shared" si="89"/>
        <v>0.41334825550624393</v>
      </c>
      <c r="AG213" s="919">
        <f t="shared" si="95"/>
        <v>0</v>
      </c>
      <c r="AH213" s="176">
        <f t="shared" si="90"/>
        <v>6</v>
      </c>
      <c r="AI213" s="225">
        <f t="shared" si="91"/>
        <v>0.41334825550624393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44761</v>
      </c>
      <c r="B214" s="618">
        <v>33.704999999999998</v>
      </c>
      <c r="C214" s="953"/>
      <c r="D214" s="393">
        <f t="shared" si="74"/>
        <v>34.844477307102252</v>
      </c>
      <c r="E214" s="385">
        <f t="shared" si="72"/>
        <v>37.699252019094494</v>
      </c>
      <c r="F214" s="385">
        <f t="shared" si="75"/>
        <v>37.794822301862148</v>
      </c>
      <c r="G214" s="110">
        <f t="shared" si="73"/>
        <v>0.67751007146170583</v>
      </c>
      <c r="H214" s="412" t="b">
        <f>Wh_hp&gt;='2021'!Maxi_hp</f>
        <v>0</v>
      </c>
      <c r="I214" s="380">
        <f>IF(H214,Wh_hp,'2021'!Maxi_hp)</f>
        <v>57.76277955645417</v>
      </c>
      <c r="J214" s="85">
        <f>IF(H214,An,'2021'!An_max)</f>
        <v>2021</v>
      </c>
      <c r="K214" s="197">
        <f t="shared" si="76"/>
        <v>44761</v>
      </c>
      <c r="L214" s="147">
        <f>IF(t&lt;Tvie,1-EXP((T0-t)*PertePVj)+'2021'!Pspv,1-EXP((T0-t)*PertePVj)+Pspv)</f>
        <v>3.2701805140006979E-2</v>
      </c>
      <c r="M214" s="957"/>
      <c r="N214" s="957"/>
      <c r="O214" s="48">
        <f>IF(t&lt;Tnet,'2021'!Resal+('2021'!Salim-'2021'!Resal)*(1-EXP(('2021'!Tnet-t)/('2021'!Tau_j))),Resal+(Salim-Resal)*(1-EXP((Tnet-t)/(Tau_j))))*Salcycl</f>
        <v>7.5724969570916414E-2</v>
      </c>
      <c r="P214" s="339">
        <f>(INDEX(Models!$BJ214:$BT214,,T214)*(1-R214)+INDEX(Models!$BJ214:$BT214,,T214+1)*R214-ERP_i)*Q214*Ramure*Pc/MaxiM</f>
        <v>4.6707419733049323E-3</v>
      </c>
      <c r="Q214" s="305">
        <f t="shared" si="77"/>
        <v>0.7</v>
      </c>
      <c r="R214" s="177">
        <f t="shared" si="78"/>
        <v>0.41625918677180768</v>
      </c>
      <c r="S214" s="919">
        <f t="shared" si="79"/>
        <v>0</v>
      </c>
      <c r="T214" s="176">
        <f t="shared" si="80"/>
        <v>6</v>
      </c>
      <c r="U214" s="251">
        <f t="shared" si="81"/>
        <v>0.41625918677180768</v>
      </c>
      <c r="V214" s="383">
        <f t="shared" si="82"/>
        <v>49.641502818928423</v>
      </c>
      <c r="W214" s="402"/>
      <c r="X214" s="157">
        <f t="shared" si="83"/>
        <v>44761</v>
      </c>
      <c r="Y214" s="385">
        <f t="shared" si="84"/>
        <v>32.022470884869804</v>
      </c>
      <c r="Z214" s="385">
        <f t="shared" si="85"/>
        <v>33.105066312570493</v>
      </c>
      <c r="AA214" s="386">
        <f t="shared" si="86"/>
        <v>37.699252019094494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0.12186410765383537</v>
      </c>
      <c r="AD214" s="231">
        <f>(INDEX(Models!$BJ214:$BT214,,AH214)*(1-AF214)+INDEX(Models!$BJ214:$BT214,,AH214+1)*AF214-ERP_i)*AE214*Ramure*Pc/MaxiM</f>
        <v>4.6707419733049323E-3</v>
      </c>
      <c r="AE214" s="305">
        <f t="shared" si="88"/>
        <v>0.7</v>
      </c>
      <c r="AF214" s="177">
        <f t="shared" si="89"/>
        <v>0.41625918677180768</v>
      </c>
      <c r="AG214" s="919">
        <f t="shared" si="95"/>
        <v>0</v>
      </c>
      <c r="AH214" s="176">
        <f t="shared" si="90"/>
        <v>6</v>
      </c>
      <c r="AI214" s="225">
        <f t="shared" si="91"/>
        <v>0.41625918677180768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44762</v>
      </c>
      <c r="B215" s="618">
        <v>38.366999999999997</v>
      </c>
      <c r="C215" s="953"/>
      <c r="D215" s="393">
        <f t="shared" si="74"/>
        <v>39.664956016717873</v>
      </c>
      <c r="E215" s="385">
        <f t="shared" si="72"/>
        <v>42.923286181620682</v>
      </c>
      <c r="F215" s="385">
        <f t="shared" si="75"/>
        <v>43.056370506633705</v>
      </c>
      <c r="G215" s="110">
        <f t="shared" si="73"/>
        <v>0.77332194769502083</v>
      </c>
      <c r="H215" s="412" t="b">
        <f>Wh_hp&gt;='2021'!Maxi_hp</f>
        <v>0</v>
      </c>
      <c r="I215" s="380">
        <f>IF(H215,Wh_hp,'2021'!Maxi_hp)</f>
        <v>55.682250887635263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3.2722991452979744E-2</v>
      </c>
      <c r="M215" s="957"/>
      <c r="N215" s="957"/>
      <c r="O215" s="48">
        <f>IF(t&lt;Tnet,'2021'!Resal+('2021'!Salim-'2021'!Resal)*(1-EXP(('2021'!Tnet-t)/('2021'!Tau_j))),Resal+(Salim-Resal)*(1-EXP((Tnet-t)/(Tau_j))))*Salcycl</f>
        <v>7.5910547741286291E-2</v>
      </c>
      <c r="P215" s="339">
        <f>(INDEX(Models!$BJ215:$BT215,,T215)*(1-R215)+INDEX(Models!$BJ215:$BT215,,T215+1)*R215-ERP_i)*Q215*Ramure*Pc/MaxiM</f>
        <v>4.5602098948194199E-3</v>
      </c>
      <c r="Q215" s="305">
        <f t="shared" si="77"/>
        <v>0.7</v>
      </c>
      <c r="R215" s="177">
        <f t="shared" si="78"/>
        <v>0.4190916722072428</v>
      </c>
      <c r="S215" s="919">
        <f t="shared" si="79"/>
        <v>0</v>
      </c>
      <c r="T215" s="176">
        <f t="shared" si="80"/>
        <v>6</v>
      </c>
      <c r="U215" s="251">
        <f t="shared" si="81"/>
        <v>0.4190916722072428</v>
      </c>
      <c r="V215" s="383">
        <f t="shared" si="82"/>
        <v>49.540108822682122</v>
      </c>
      <c r="W215" s="402"/>
      <c r="X215" s="157">
        <f t="shared" si="83"/>
        <v>44762</v>
      </c>
      <c r="Y215" s="385">
        <f t="shared" si="84"/>
        <v>36.454365923440378</v>
      </c>
      <c r="Z215" s="385">
        <f t="shared" si="85"/>
        <v>37.687617509072943</v>
      </c>
      <c r="AA215" s="386">
        <f t="shared" si="86"/>
        <v>42.923286181620682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0.1219773493202298</v>
      </c>
      <c r="AD215" s="231">
        <f>(INDEX(Models!$BJ215:$BT215,,AH215)*(1-AF215)+INDEX(Models!$BJ215:$BT215,,AH215+1)*AF215-ERP_i)*AE215*Ramure*Pc/MaxiM</f>
        <v>4.5602098948194199E-3</v>
      </c>
      <c r="AE215" s="305">
        <f t="shared" si="88"/>
        <v>0.7</v>
      </c>
      <c r="AF215" s="177">
        <f t="shared" si="89"/>
        <v>0.4190916722072428</v>
      </c>
      <c r="AG215" s="919">
        <f t="shared" si="95"/>
        <v>0</v>
      </c>
      <c r="AH215" s="176">
        <f t="shared" si="90"/>
        <v>6</v>
      </c>
      <c r="AI215" s="225">
        <f t="shared" si="91"/>
        <v>0.4190916722072428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44763</v>
      </c>
      <c r="B216" s="618">
        <v>47.883000000000003</v>
      </c>
      <c r="C216" s="953"/>
      <c r="D216" s="393">
        <f t="shared" si="74"/>
        <v>49.503966661512813</v>
      </c>
      <c r="E216" s="385">
        <f t="shared" si="72"/>
        <v>53.581251255037238</v>
      </c>
      <c r="F216" s="385">
        <f t="shared" si="75"/>
        <v>53.809875905535357</v>
      </c>
      <c r="G216" s="110">
        <f t="shared" si="73"/>
        <v>0.96832958314483997</v>
      </c>
      <c r="H216" s="412" t="b">
        <f>Wh_hp&gt;='2021'!Maxi_hp</f>
        <v>1</v>
      </c>
      <c r="I216" s="380">
        <f>IF(H216,Wh_hp,'2021'!Maxi_hp)</f>
        <v>53.809875905535357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3.2744177301917921E-2</v>
      </c>
      <c r="M216" s="957"/>
      <c r="N216" s="957"/>
      <c r="O216" s="48">
        <f>IF(t&lt;Tnet,'2021'!Resal+('2021'!Salim-'2021'!Resal)*(1-EXP(('2021'!Tnet-t)/('2021'!Tau_j))),Resal+(Salim-Resal)*(1-EXP((Tnet-t)/(Tau_j))))*Salcycl</f>
        <v>7.6095359813776589E-2</v>
      </c>
      <c r="P216" s="339">
        <f>(INDEX(Models!$BJ216:$BT216,,T216)*(1-R216)+INDEX(Models!$BJ216:$BT216,,T216+1)*R216-ERP_i)*Q216*Ramure*Pc/MaxiM</f>
        <v>4.4487909652326891E-3</v>
      </c>
      <c r="Q216" s="305">
        <f t="shared" si="77"/>
        <v>0.7</v>
      </c>
      <c r="R216" s="177">
        <f t="shared" si="78"/>
        <v>0.42184654496530277</v>
      </c>
      <c r="S216" s="919">
        <f t="shared" si="79"/>
        <v>0</v>
      </c>
      <c r="T216" s="176">
        <f t="shared" si="80"/>
        <v>6</v>
      </c>
      <c r="U216" s="251">
        <f t="shared" si="81"/>
        <v>0.42184654496530277</v>
      </c>
      <c r="V216" s="383">
        <f t="shared" si="82"/>
        <v>49.439138644335877</v>
      </c>
      <c r="W216" s="402"/>
      <c r="X216" s="157">
        <f t="shared" si="83"/>
        <v>44763</v>
      </c>
      <c r="Y216" s="385">
        <f t="shared" si="84"/>
        <v>45.499264515895753</v>
      </c>
      <c r="Z216" s="385">
        <f t="shared" si="85"/>
        <v>47.039535403342647</v>
      </c>
      <c r="AA216" s="386">
        <f t="shared" si="86"/>
        <v>53.581251255037238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0.1220896432701279</v>
      </c>
      <c r="AD216" s="231">
        <f>(INDEX(Models!$BJ216:$BT216,,AH216)*(1-AF216)+INDEX(Models!$BJ216:$BT216,,AH216+1)*AF216-ERP_i)*AE216*Ramure*Pc/MaxiM</f>
        <v>4.4487909652326891E-3</v>
      </c>
      <c r="AE216" s="305">
        <f t="shared" si="88"/>
        <v>0.7</v>
      </c>
      <c r="AF216" s="177">
        <f t="shared" si="89"/>
        <v>0.42184654496530277</v>
      </c>
      <c r="AG216" s="919">
        <f t="shared" si="95"/>
        <v>0</v>
      </c>
      <c r="AH216" s="176">
        <f t="shared" si="90"/>
        <v>6</v>
      </c>
      <c r="AI216" s="225">
        <f t="shared" si="91"/>
        <v>0.42184654496530277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44764</v>
      </c>
      <c r="B217" s="618">
        <v>36.545000000000002</v>
      </c>
      <c r="C217" s="953"/>
      <c r="D217" s="393">
        <f t="shared" si="74"/>
        <v>37.782972807421878</v>
      </c>
      <c r="E217" s="385">
        <f t="shared" si="72"/>
        <v>40.90303306656574</v>
      </c>
      <c r="F217" s="385">
        <f t="shared" si="75"/>
        <v>41.015008518065237</v>
      </c>
      <c r="G217" s="110">
        <f t="shared" si="73"/>
        <v>0.73950213234637674</v>
      </c>
      <c r="H217" s="412" t="b">
        <f>Wh_hp&gt;='2021'!Maxi_hp</f>
        <v>0</v>
      </c>
      <c r="I217" s="380">
        <f>IF(H217,Wh_hp,'2021'!Maxi_hp)</f>
        <v>54.507643131176636</v>
      </c>
      <c r="J217" s="85">
        <f>IF(H217,An,'2021'!An_max)</f>
        <v>2021</v>
      </c>
      <c r="K217" s="197">
        <f t="shared" si="76"/>
        <v>44764</v>
      </c>
      <c r="L217" s="147">
        <f>IF(t&lt;Tvie,1-EXP((T0-t)*PertePVj)+'2021'!Pspv,1-EXP((T0-t)*PertePVj)+Pspv)</f>
        <v>3.2765362686831723E-2</v>
      </c>
      <c r="M217" s="957"/>
      <c r="N217" s="957"/>
      <c r="O217" s="48">
        <f>IF(t&lt;Tnet,'2021'!Resal+('2021'!Salim-'2021'!Resal)*(1-EXP(('2021'!Tnet-t)/('2021'!Tau_j))),Resal+(Salim-Resal)*(1-EXP((Tnet-t)/(Tau_j))))*Salcycl</f>
        <v>7.6279435172112234E-2</v>
      </c>
      <c r="P217" s="339">
        <f>(INDEX(Models!$BJ217:$BT217,,T217)*(1-R217)+INDEX(Models!$BJ217:$BT217,,T217+1)*R217-ERP_i)*Q217*Ramure*Pc/MaxiM</f>
        <v>4.3365034699318255E-3</v>
      </c>
      <c r="Q217" s="305">
        <f t="shared" si="77"/>
        <v>0.7</v>
      </c>
      <c r="R217" s="177">
        <f t="shared" si="78"/>
        <v>0.4245247206225819</v>
      </c>
      <c r="S217" s="919">
        <f t="shared" si="79"/>
        <v>0</v>
      </c>
      <c r="T217" s="176">
        <f t="shared" si="80"/>
        <v>6</v>
      </c>
      <c r="U217" s="251">
        <f t="shared" si="81"/>
        <v>0.4245247206225819</v>
      </c>
      <c r="V217" s="383">
        <f t="shared" si="82"/>
        <v>49.338780800313174</v>
      </c>
      <c r="W217" s="402"/>
      <c r="X217" s="157">
        <f t="shared" si="83"/>
        <v>44764</v>
      </c>
      <c r="Y217" s="385">
        <f t="shared" si="84"/>
        <v>34.728211351810906</v>
      </c>
      <c r="Z217" s="385">
        <f t="shared" si="85"/>
        <v>35.904639900283797</v>
      </c>
      <c r="AA217" s="386">
        <f t="shared" si="86"/>
        <v>40.90303306656574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0.1222010396673405</v>
      </c>
      <c r="AD217" s="231">
        <f>(INDEX(Models!$BJ217:$BT217,,AH217)*(1-AF217)+INDEX(Models!$BJ217:$BT217,,AH217+1)*AF217-ERP_i)*AE217*Ramure*Pc/MaxiM</f>
        <v>4.3365034699318255E-3</v>
      </c>
      <c r="AE217" s="305">
        <f t="shared" si="88"/>
        <v>0.7</v>
      </c>
      <c r="AF217" s="177">
        <f t="shared" si="89"/>
        <v>0.4245247206225819</v>
      </c>
      <c r="AG217" s="919">
        <f t="shared" si="95"/>
        <v>0</v>
      </c>
      <c r="AH217" s="176">
        <f t="shared" si="90"/>
        <v>6</v>
      </c>
      <c r="AI217" s="225">
        <f t="shared" si="91"/>
        <v>0.4245247206225819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44765</v>
      </c>
      <c r="B218" s="618">
        <v>40.771000000000001</v>
      </c>
      <c r="C218" s="953"/>
      <c r="D218" s="393">
        <f t="shared" si="74"/>
        <v>42.153053081673505</v>
      </c>
      <c r="E218" s="385">
        <f t="shared" si="72"/>
        <v>45.643048458966874</v>
      </c>
      <c r="F218" s="385">
        <f t="shared" si="75"/>
        <v>45.788919916095956</v>
      </c>
      <c r="G218" s="110">
        <f t="shared" si="73"/>
        <v>0.8271568169535195</v>
      </c>
      <c r="H218" s="412" t="b">
        <f>Wh_hp&gt;='2021'!Maxi_hp</f>
        <v>0</v>
      </c>
      <c r="I218" s="380">
        <f>IF(H218,Wh_hp,'2021'!Maxi_hp)</f>
        <v>56.297408043792899</v>
      </c>
      <c r="J218" s="85">
        <f>IF(H218,An,'2021'!An_max)</f>
        <v>2018</v>
      </c>
      <c r="K218" s="197">
        <f t="shared" si="76"/>
        <v>44765</v>
      </c>
      <c r="L218" s="147">
        <f>IF(t&lt;Tvie,1-EXP((T0-t)*PertePVj)+'2021'!Pspv,1-EXP((T0-t)*PertePVj)+Pspv)</f>
        <v>3.2786547607731142E-2</v>
      </c>
      <c r="M218" s="957"/>
      <c r="N218" s="957"/>
      <c r="O218" s="48">
        <f>IF(t&lt;Tnet,'2021'!Resal+('2021'!Salim-'2021'!Resal)*(1-EXP(('2021'!Tnet-t)/('2021'!Tau_j))),Resal+(Salim-Resal)*(1-EXP((Tnet-t)/(Tau_j))))*Salcycl</f>
        <v>7.6462802006550271E-2</v>
      </c>
      <c r="P218" s="339">
        <f>(INDEX(Models!$BJ218:$BT218,,T218)*(1-R218)+INDEX(Models!$BJ218:$BT218,,T218+1)*R218-ERP_i)*Q218*Ramure*Pc/MaxiM</f>
        <v>4.2233651002865575E-3</v>
      </c>
      <c r="Q218" s="305">
        <f t="shared" si="77"/>
        <v>0.7</v>
      </c>
      <c r="R218" s="177">
        <f t="shared" si="78"/>
        <v>0.42712719038371399</v>
      </c>
      <c r="S218" s="919">
        <f t="shared" si="79"/>
        <v>0</v>
      </c>
      <c r="T218" s="176">
        <f t="shared" si="80"/>
        <v>6</v>
      </c>
      <c r="U218" s="251">
        <f t="shared" si="81"/>
        <v>0.42712719038371399</v>
      </c>
      <c r="V218" s="383">
        <f t="shared" si="82"/>
        <v>49.239223841074597</v>
      </c>
      <c r="W218" s="402"/>
      <c r="X218" s="157">
        <f t="shared" si="83"/>
        <v>44765</v>
      </c>
      <c r="Y218" s="385">
        <f t="shared" si="84"/>
        <v>38.746933406472643</v>
      </c>
      <c r="Z218" s="385">
        <f t="shared" si="85"/>
        <v>40.060374791766442</v>
      </c>
      <c r="AA218" s="386">
        <f t="shared" si="86"/>
        <v>45.643048458966874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0.12231158644496008</v>
      </c>
      <c r="AD218" s="231">
        <f>(INDEX(Models!$BJ218:$BT218,,AH218)*(1-AF218)+INDEX(Models!$BJ218:$BT218,,AH218+1)*AF218-ERP_i)*AE218*Ramure*Pc/MaxiM</f>
        <v>4.2233651002865575E-3</v>
      </c>
      <c r="AE218" s="305">
        <f t="shared" si="88"/>
        <v>0.7</v>
      </c>
      <c r="AF218" s="177">
        <f t="shared" si="89"/>
        <v>0.42712719038371399</v>
      </c>
      <c r="AG218" s="919">
        <f t="shared" si="95"/>
        <v>0</v>
      </c>
      <c r="AH218" s="176">
        <f t="shared" si="90"/>
        <v>6</v>
      </c>
      <c r="AI218" s="225">
        <f t="shared" si="91"/>
        <v>0.42712719038371399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44766</v>
      </c>
      <c r="B219" s="618">
        <v>48.27</v>
      </c>
      <c r="C219" s="953"/>
      <c r="D219" s="393">
        <f t="shared" si="74"/>
        <v>49.907346863969487</v>
      </c>
      <c r="E219" s="385">
        <f t="shared" si="72"/>
        <v>54.050038389031002</v>
      </c>
      <c r="F219" s="385">
        <f t="shared" si="75"/>
        <v>54.267402568622785</v>
      </c>
      <c r="G219" s="110">
        <f t="shared" si="73"/>
        <v>0.98218525245618193</v>
      </c>
      <c r="H219" s="412" t="b">
        <f>Wh_hp&gt;='2021'!Maxi_hp</f>
        <v>1</v>
      </c>
      <c r="I219" s="380">
        <f>IF(H219,Wh_hp,'2021'!Maxi_hp)</f>
        <v>54.267402568622785</v>
      </c>
      <c r="J219" s="85">
        <f>IF(H219,An,'2021'!An_max)</f>
        <v>2022</v>
      </c>
      <c r="K219" s="197">
        <f t="shared" si="76"/>
        <v>44766</v>
      </c>
      <c r="L219" s="147">
        <f>IF(t&lt;Tvie,1-EXP((T0-t)*PertePVj)+'2021'!Pspv,1-EXP((T0-t)*PertePVj)+Pspv)</f>
        <v>3.2807732064626394E-2</v>
      </c>
      <c r="M219" s="957"/>
      <c r="N219" s="957"/>
      <c r="O219" s="48">
        <f>IF(t&lt;Tnet,'2021'!Resal+('2021'!Salim-'2021'!Resal)*(1-EXP(('2021'!Tnet-t)/('2021'!Tau_j))),Resal+(Salim-Resal)*(1-EXP((Tnet-t)/(Tau_j))))*Salcycl</f>
        <v>7.664548719177669E-2</v>
      </c>
      <c r="P219" s="339">
        <f>(INDEX(Models!$BJ219:$BT219,,T219)*(1-R219)+INDEX(Models!$BJ219:$BT219,,T219+1)*R219-ERP_i)*Q219*Ramure*Pc/MaxiM</f>
        <v>4.1094090580922078E-3</v>
      </c>
      <c r="Q219" s="305">
        <f t="shared" si="77"/>
        <v>0.7</v>
      </c>
      <c r="R219" s="177">
        <f t="shared" si="78"/>
        <v>0.42965501442659126</v>
      </c>
      <c r="S219" s="919">
        <f t="shared" si="79"/>
        <v>0</v>
      </c>
      <c r="T219" s="176">
        <f t="shared" si="80"/>
        <v>6</v>
      </c>
      <c r="U219" s="251">
        <f t="shared" si="81"/>
        <v>0.42965501442659126</v>
      </c>
      <c r="V219" s="383">
        <f t="shared" si="82"/>
        <v>49.140384193411791</v>
      </c>
      <c r="W219" s="402"/>
      <c r="X219" s="157">
        <f t="shared" si="83"/>
        <v>44766</v>
      </c>
      <c r="Y219" s="385">
        <f t="shared" si="84"/>
        <v>45.876986417795699</v>
      </c>
      <c r="Z219" s="385">
        <f t="shared" si="85"/>
        <v>47.433160849938815</v>
      </c>
      <c r="AA219" s="386">
        <f t="shared" si="86"/>
        <v>54.050038389031002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0.12242132912962041</v>
      </c>
      <c r="AD219" s="231">
        <f>(INDEX(Models!$BJ219:$BT219,,AH219)*(1-AF219)+INDEX(Models!$BJ219:$BT219,,AH219+1)*AF219-ERP_i)*AE219*Ramure*Pc/MaxiM</f>
        <v>4.1094090580922078E-3</v>
      </c>
      <c r="AE219" s="305">
        <f t="shared" si="88"/>
        <v>0.7</v>
      </c>
      <c r="AF219" s="177">
        <f t="shared" si="89"/>
        <v>0.42965501442659126</v>
      </c>
      <c r="AG219" s="919">
        <f t="shared" si="95"/>
        <v>0</v>
      </c>
      <c r="AH219" s="176">
        <f t="shared" si="90"/>
        <v>6</v>
      </c>
      <c r="AI219" s="225">
        <f t="shared" si="91"/>
        <v>0.42965501442659126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44767</v>
      </c>
      <c r="B220" s="618">
        <v>24.811</v>
      </c>
      <c r="C220" s="953"/>
      <c r="D220" s="393">
        <f t="shared" si="74"/>
        <v>25.653165620774253</v>
      </c>
      <c r="E220" s="385">
        <f t="shared" si="72"/>
        <v>27.788052688270142</v>
      </c>
      <c r="F220" s="385">
        <f t="shared" si="75"/>
        <v>27.820745055292797</v>
      </c>
      <c r="G220" s="110">
        <f t="shared" si="73"/>
        <v>0.5044853020669412</v>
      </c>
      <c r="H220" s="412" t="b">
        <f>Wh_hp&gt;='2021'!Maxi_hp</f>
        <v>0</v>
      </c>
      <c r="I220" s="380">
        <f>IF(H220,Wh_hp,'2021'!Maxi_hp)</f>
        <v>54.530894378058939</v>
      </c>
      <c r="J220" s="85">
        <f>IF(H220,An,'2021'!An_max)</f>
        <v>2018</v>
      </c>
      <c r="K220" s="197">
        <f t="shared" si="76"/>
        <v>44767</v>
      </c>
      <c r="L220" s="147">
        <f>IF(t&lt;Tvie,1-EXP((T0-t)*PertePVj)+'2021'!Pspv,1-EXP((T0-t)*PertePVj)+Pspv)</f>
        <v>3.2828916057527691E-2</v>
      </c>
      <c r="M220" s="957"/>
      <c r="N220" s="957"/>
      <c r="O220" s="48">
        <f>IF(t&lt;Tnet,'2021'!Resal+('2021'!Salim-'2021'!Resal)*(1-EXP(('2021'!Tnet-t)/('2021'!Tau_j))),Resal+(Salim-Resal)*(1-EXP((Tnet-t)/(Tau_j))))*Salcycl</f>
        <v>7.6827516179176672E-2</v>
      </c>
      <c r="P220" s="339">
        <f>(INDEX(Models!$BJ220:$BT220,,T220)*(1-R220)+INDEX(Models!$BJ220:$BT220,,T220+1)*R220-ERP_i)*Q220*Ramure*Pc/MaxiM</f>
        <v>3.9947616157858332E-3</v>
      </c>
      <c r="Q220" s="305">
        <f t="shared" si="77"/>
        <v>0.7</v>
      </c>
      <c r="R220" s="177">
        <f t="shared" si="78"/>
        <v>0.43210931541372627</v>
      </c>
      <c r="S220" s="919">
        <f t="shared" si="79"/>
        <v>0</v>
      </c>
      <c r="T220" s="176">
        <f t="shared" si="80"/>
        <v>6</v>
      </c>
      <c r="U220" s="251">
        <f t="shared" si="81"/>
        <v>0.43210931541372627</v>
      </c>
      <c r="V220" s="383">
        <f t="shared" si="82"/>
        <v>49.041982304979463</v>
      </c>
      <c r="W220" s="402"/>
      <c r="X220" s="157">
        <f t="shared" si="83"/>
        <v>44767</v>
      </c>
      <c r="Y220" s="385">
        <f t="shared" si="84"/>
        <v>23.582700787791953</v>
      </c>
      <c r="Z220" s="385">
        <f t="shared" si="85"/>
        <v>24.383173958904941</v>
      </c>
      <c r="AA220" s="386">
        <f t="shared" si="86"/>
        <v>27.788052688270142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0.1225303106900494</v>
      </c>
      <c r="AD220" s="231">
        <f>(INDEX(Models!$BJ220:$BT220,,AH220)*(1-AF220)+INDEX(Models!$BJ220:$BT220,,AH220+1)*AF220-ERP_i)*AE220*Ramure*Pc/MaxiM</f>
        <v>3.9947616157858332E-3</v>
      </c>
      <c r="AE220" s="305">
        <f t="shared" si="88"/>
        <v>0.7</v>
      </c>
      <c r="AF220" s="177">
        <f t="shared" si="89"/>
        <v>0.43210931541372627</v>
      </c>
      <c r="AG220" s="919">
        <f t="shared" si="95"/>
        <v>0</v>
      </c>
      <c r="AH220" s="176">
        <f t="shared" si="90"/>
        <v>6</v>
      </c>
      <c r="AI220" s="225">
        <f t="shared" si="91"/>
        <v>0.43210931541372627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44768</v>
      </c>
      <c r="B221" s="618">
        <v>47.166000000000004</v>
      </c>
      <c r="C221" s="953"/>
      <c r="D221" s="393">
        <f t="shared" si="74"/>
        <v>48.768034799808952</v>
      </c>
      <c r="E221" s="385">
        <f t="shared" si="72"/>
        <v>52.836950953923612</v>
      </c>
      <c r="F221" s="385">
        <f t="shared" si="75"/>
        <v>53.031986460965605</v>
      </c>
      <c r="G221" s="110">
        <f t="shared" si="73"/>
        <v>0.96347921452385865</v>
      </c>
      <c r="H221" s="412" t="b">
        <f>Wh_hp&gt;='2021'!Maxi_hp</f>
        <v>0</v>
      </c>
      <c r="I221" s="380">
        <f>IF(H221,Wh_hp,'2021'!Maxi_hp)</f>
        <v>54.739727703954557</v>
      </c>
      <c r="J221" s="85">
        <f>IF(H221,An,'2021'!An_max)</f>
        <v>2020</v>
      </c>
      <c r="K221" s="197">
        <f t="shared" si="76"/>
        <v>44768</v>
      </c>
      <c r="L221" s="147">
        <f>IF(t&lt;Tvie,1-EXP((T0-t)*PertePVj)+'2021'!Pspv,1-EXP((T0-t)*PertePVj)+Pspv)</f>
        <v>3.2850099586445136E-2</v>
      </c>
      <c r="M221" s="957"/>
      <c r="N221" s="957"/>
      <c r="O221" s="48">
        <f>IF(t&lt;Tnet,'2021'!Resal+('2021'!Salim-'2021'!Resal)*(1-EXP(('2021'!Tnet-t)/('2021'!Tau_j))),Resal+(Salim-Resal)*(1-EXP((Tnet-t)/(Tau_j))))*Salcycl</f>
        <v>7.700891290383037E-2</v>
      </c>
      <c r="P221" s="339">
        <f>(INDEX(Models!$BJ221:$BT221,,T221)*(1-R221)+INDEX(Models!$BJ221:$BT221,,T221+1)*R221-ERP_i)*Q221*Ramure*Pc/MaxiM</f>
        <v>3.8789937447883463E-3</v>
      </c>
      <c r="Q221" s="305">
        <f t="shared" si="77"/>
        <v>0.7</v>
      </c>
      <c r="R221" s="177">
        <f t="shared" si="78"/>
        <v>0.43449127219158518</v>
      </c>
      <c r="S221" s="919">
        <f t="shared" si="79"/>
        <v>0</v>
      </c>
      <c r="T221" s="176">
        <f t="shared" si="80"/>
        <v>6</v>
      </c>
      <c r="U221" s="251">
        <f t="shared" si="81"/>
        <v>0.43449127219158518</v>
      </c>
      <c r="V221" s="383">
        <f t="shared" si="82"/>
        <v>48.943941724647331</v>
      </c>
      <c r="W221" s="402"/>
      <c r="X221" s="157">
        <f t="shared" si="83"/>
        <v>44768</v>
      </c>
      <c r="Y221" s="385">
        <f t="shared" si="84"/>
        <v>44.834267328688028</v>
      </c>
      <c r="Z221" s="385">
        <f t="shared" si="85"/>
        <v>46.357102771263094</v>
      </c>
      <c r="AA221" s="386">
        <f t="shared" si="86"/>
        <v>52.836950953923612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0.12263857141020985</v>
      </c>
      <c r="AD221" s="231">
        <f>(INDEX(Models!$BJ221:$BT221,,AH221)*(1-AF221)+INDEX(Models!$BJ221:$BT221,,AH221+1)*AF221-ERP_i)*AE221*Ramure*Pc/MaxiM</f>
        <v>3.8789937447883463E-3</v>
      </c>
      <c r="AE221" s="305">
        <f t="shared" si="88"/>
        <v>0.7</v>
      </c>
      <c r="AF221" s="177">
        <f t="shared" si="89"/>
        <v>0.43449127219158518</v>
      </c>
      <c r="AG221" s="919">
        <f t="shared" si="95"/>
        <v>0</v>
      </c>
      <c r="AH221" s="176">
        <f t="shared" si="90"/>
        <v>6</v>
      </c>
      <c r="AI221" s="225">
        <f t="shared" si="91"/>
        <v>0.43449127219158518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44769</v>
      </c>
      <c r="B222" s="618">
        <v>51.067</v>
      </c>
      <c r="C222" s="953"/>
      <c r="D222" s="393">
        <f t="shared" si="74"/>
        <v>52.802692220742323</v>
      </c>
      <c r="E222" s="385">
        <f t="shared" si="72"/>
        <v>57.219443913819205</v>
      </c>
      <c r="F222" s="385">
        <f t="shared" si="75"/>
        <v>57.435524145441825</v>
      </c>
      <c r="G222" s="110">
        <f t="shared" si="73"/>
        <v>1.0454659363283154</v>
      </c>
      <c r="H222" s="412" t="b">
        <f>Wh_hp&gt;='2021'!Maxi_hp</f>
        <v>1</v>
      </c>
      <c r="I222" s="380">
        <f>IF(H222,Wh_hp,'2021'!Maxi_hp)</f>
        <v>57.435524145441825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3.2871282651389055E-2</v>
      </c>
      <c r="M222" s="957"/>
      <c r="N222" s="957"/>
      <c r="O222" s="48">
        <f>IF(t&lt;Tnet,'2021'!Resal+('2021'!Salim-'2021'!Resal)*(1-EXP(('2021'!Tnet-t)/('2021'!Tau_j))),Resal+(Salim-Resal)*(1-EXP((Tnet-t)/(Tau_j))))*Salcycl</f>
        <v>7.7189699706434634E-2</v>
      </c>
      <c r="P222" s="339">
        <f>(INDEX(Models!$BJ222:$BT222,,T222)*(1-R222)+INDEX(Models!$BJ222:$BT222,,T222+1)*R222-ERP_i)*Q222*Ramure*Pc/MaxiM</f>
        <v>3.7621356266454528E-3</v>
      </c>
      <c r="Q222" s="305">
        <f t="shared" si="77"/>
        <v>0.7</v>
      </c>
      <c r="R222" s="177">
        <f t="shared" si="78"/>
        <v>0.43680211369655103</v>
      </c>
      <c r="S222" s="919">
        <f t="shared" si="79"/>
        <v>0</v>
      </c>
      <c r="T222" s="176">
        <f t="shared" si="80"/>
        <v>6</v>
      </c>
      <c r="U222" s="251">
        <f t="shared" si="81"/>
        <v>0.43680211369655103</v>
      </c>
      <c r="V222" s="383">
        <f t="shared" si="82"/>
        <v>48.846163443017289</v>
      </c>
      <c r="W222" s="402"/>
      <c r="X222" s="157">
        <f t="shared" si="83"/>
        <v>44769</v>
      </c>
      <c r="Y222" s="385">
        <f t="shared" si="84"/>
        <v>48.545971372056378</v>
      </c>
      <c r="Z222" s="385">
        <f t="shared" si="85"/>
        <v>50.195977537659559</v>
      </c>
      <c r="AA222" s="386">
        <f t="shared" si="86"/>
        <v>57.219443913819205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0.12274614878708023</v>
      </c>
      <c r="AD222" s="231">
        <f>(INDEX(Models!$BJ222:$BT222,,AH222)*(1-AF222)+INDEX(Models!$BJ222:$BT222,,AH222+1)*AF222-ERP_i)*AE222*Ramure*Pc/MaxiM</f>
        <v>3.7621356266454528E-3</v>
      </c>
      <c r="AE222" s="305">
        <f t="shared" si="88"/>
        <v>0.7</v>
      </c>
      <c r="AF222" s="177">
        <f t="shared" si="89"/>
        <v>0.43680211369655103</v>
      </c>
      <c r="AG222" s="919">
        <f t="shared" si="95"/>
        <v>0</v>
      </c>
      <c r="AH222" s="176">
        <f t="shared" si="90"/>
        <v>6</v>
      </c>
      <c r="AI222" s="225">
        <f t="shared" si="91"/>
        <v>0.43680211369655103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44770</v>
      </c>
      <c r="B223" s="618">
        <v>40.57</v>
      </c>
      <c r="C223" s="953"/>
      <c r="D223" s="393">
        <f t="shared" si="74"/>
        <v>41.949833438725975</v>
      </c>
      <c r="E223" s="385">
        <f t="shared" si="72"/>
        <v>45.4676617580634</v>
      </c>
      <c r="F223" s="385">
        <f t="shared" si="75"/>
        <v>45.593993602207576</v>
      </c>
      <c r="G223" s="110">
        <f t="shared" si="73"/>
        <v>0.83150100196343191</v>
      </c>
      <c r="H223" s="412" t="b">
        <f>Wh_hp&gt;='2021'!Maxi_hp</f>
        <v>0</v>
      </c>
      <c r="I223" s="380">
        <f>IF(H223,Wh_hp,'2021'!Maxi_hp)</f>
        <v>52.534108463708804</v>
      </c>
      <c r="J223" s="85">
        <f>IF(H223,An,'2021'!An_max)</f>
        <v>2020</v>
      </c>
      <c r="K223" s="197">
        <f t="shared" si="76"/>
        <v>44770</v>
      </c>
      <c r="L223" s="147">
        <f>IF(t&lt;Tvie,1-EXP((T0-t)*PertePVj)+'2021'!Pspv,1-EXP((T0-t)*PertePVj)+Pspv)</f>
        <v>3.2892465252369329E-2</v>
      </c>
      <c r="M223" s="957"/>
      <c r="N223" s="957"/>
      <c r="O223" s="48">
        <f>IF(t&lt;Tnet,'2021'!Resal+('2021'!Salim-'2021'!Resal)*(1-EXP(('2021'!Tnet-t)/('2021'!Tau_j))),Resal+(Salim-Resal)*(1-EXP((Tnet-t)/(Tau_j))))*Salcycl</f>
        <v>7.73698972701969E-2</v>
      </c>
      <c r="P223" s="339">
        <f>(INDEX(Models!$BJ223:$BT223,,T223)*(1-R223)+INDEX(Models!$BJ223:$BT223,,T223+1)*R223-ERP_i)*Q223*Ramure*Pc/MaxiM</f>
        <v>3.6442148214131495E-3</v>
      </c>
      <c r="Q223" s="305">
        <f t="shared" si="77"/>
        <v>0.7</v>
      </c>
      <c r="R223" s="177">
        <f t="shared" si="78"/>
        <v>0.43904311308313254</v>
      </c>
      <c r="S223" s="919">
        <f t="shared" si="79"/>
        <v>0</v>
      </c>
      <c r="T223" s="176">
        <f t="shared" si="80"/>
        <v>6</v>
      </c>
      <c r="U223" s="251">
        <f t="shared" si="81"/>
        <v>0.43904311308313254</v>
      </c>
      <c r="V223" s="383">
        <f t="shared" si="82"/>
        <v>48.748548728607545</v>
      </c>
      <c r="W223" s="402"/>
      <c r="X223" s="157">
        <f t="shared" si="83"/>
        <v>44770</v>
      </c>
      <c r="Y223" s="385">
        <f t="shared" si="84"/>
        <v>38.570008221548228</v>
      </c>
      <c r="Z223" s="385">
        <f t="shared" si="85"/>
        <v>39.881819586498388</v>
      </c>
      <c r="AA223" s="386">
        <f t="shared" si="86"/>
        <v>45.4676617580634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0.12285307745288665</v>
      </c>
      <c r="AD223" s="231">
        <f>(INDEX(Models!$BJ223:$BT223,,AH223)*(1-AF223)+INDEX(Models!$BJ223:$BT223,,AH223+1)*AF223-ERP_i)*AE223*Ramure*Pc/MaxiM</f>
        <v>3.6442148214131495E-3</v>
      </c>
      <c r="AE223" s="305">
        <f t="shared" si="88"/>
        <v>0.7</v>
      </c>
      <c r="AF223" s="177">
        <f t="shared" si="89"/>
        <v>0.43904311308313254</v>
      </c>
      <c r="AG223" s="919">
        <f t="shared" si="95"/>
        <v>0</v>
      </c>
      <c r="AH223" s="176">
        <f t="shared" si="90"/>
        <v>6</v>
      </c>
      <c r="AI223" s="225">
        <f t="shared" si="91"/>
        <v>0.43904311308313254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44771</v>
      </c>
      <c r="B224" s="618">
        <v>27.023</v>
      </c>
      <c r="C224" s="953"/>
      <c r="D224" s="393">
        <f t="shared" si="74"/>
        <v>27.942696044725164</v>
      </c>
      <c r="E224" s="385">
        <f t="shared" si="72"/>
        <v>30.291811635500899</v>
      </c>
      <c r="F224" s="385">
        <f t="shared" si="75"/>
        <v>30.330830620624173</v>
      </c>
      <c r="G224" s="110">
        <f t="shared" si="73"/>
        <v>0.55420080148895801</v>
      </c>
      <c r="H224" s="412" t="b">
        <f>Wh_hp&gt;='2021'!Maxi_hp</f>
        <v>0</v>
      </c>
      <c r="I224" s="380">
        <f>IF(H224,Wh_hp,'2021'!Maxi_hp)</f>
        <v>55.721551124095164</v>
      </c>
      <c r="J224" s="85">
        <f>IF(H224,An,'2021'!An_max)</f>
        <v>2019</v>
      </c>
      <c r="K224" s="197">
        <f t="shared" si="76"/>
        <v>44771</v>
      </c>
      <c r="L224" s="147">
        <f>IF(t&lt;Tvie,1-EXP((T0-t)*PertePVj)+'2021'!Pspv,1-EXP((T0-t)*PertePVj)+Pspv)</f>
        <v>3.2913647389396394E-2</v>
      </c>
      <c r="M224" s="957"/>
      <c r="N224" s="957"/>
      <c r="O224" s="48">
        <f>IF(t&lt;Tnet,'2021'!Resal+('2021'!Salim-'2021'!Resal)*(1-EXP(('2021'!Tnet-t)/('2021'!Tau_j))),Resal+(Salim-Resal)*(1-EXP((Tnet-t)/(Tau_j))))*Salcycl</f>
        <v>7.7549524572596285E-2</v>
      </c>
      <c r="P224" s="339">
        <f>(INDEX(Models!$BJ224:$BT224,,T224)*(1-R224)+INDEX(Models!$BJ224:$BT224,,T224+1)*R224-ERP_i)*Q224*Ramure*Pc/MaxiM</f>
        <v>3.5252563125684178E-3</v>
      </c>
      <c r="Q224" s="305">
        <f t="shared" si="77"/>
        <v>0.7</v>
      </c>
      <c r="R224" s="177">
        <f t="shared" si="78"/>
        <v>0.44121558208716594</v>
      </c>
      <c r="S224" s="919">
        <f t="shared" si="79"/>
        <v>0</v>
      </c>
      <c r="T224" s="176">
        <f t="shared" si="80"/>
        <v>6</v>
      </c>
      <c r="U224" s="251">
        <f t="shared" si="81"/>
        <v>0.44121558208716594</v>
      </c>
      <c r="V224" s="383">
        <f t="shared" si="82"/>
        <v>48.650999124180927</v>
      </c>
      <c r="W224" s="402"/>
      <c r="X224" s="157">
        <f t="shared" si="83"/>
        <v>44771</v>
      </c>
      <c r="Y224" s="385">
        <f t="shared" si="84"/>
        <v>25.692727207704298</v>
      </c>
      <c r="Z224" s="385">
        <f t="shared" si="85"/>
        <v>26.567148981420328</v>
      </c>
      <c r="AA224" s="386">
        <f t="shared" si="86"/>
        <v>30.291811635500899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0.12295938912136253</v>
      </c>
      <c r="AD224" s="231">
        <f>(INDEX(Models!$BJ224:$BT224,,AH224)*(1-AF224)+INDEX(Models!$BJ224:$BT224,,AH224+1)*AF224-ERP_i)*AE224*Ramure*Pc/MaxiM</f>
        <v>3.5252563125684178E-3</v>
      </c>
      <c r="AE224" s="305">
        <f t="shared" si="88"/>
        <v>0.7</v>
      </c>
      <c r="AF224" s="177">
        <f t="shared" si="89"/>
        <v>0.44121558208716594</v>
      </c>
      <c r="AG224" s="919">
        <f t="shared" si="95"/>
        <v>0</v>
      </c>
      <c r="AH224" s="176">
        <f t="shared" si="90"/>
        <v>6</v>
      </c>
      <c r="AI224" s="225">
        <f t="shared" si="91"/>
        <v>0.44121558208716594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44772</v>
      </c>
      <c r="B225" s="618">
        <v>40.722000000000001</v>
      </c>
      <c r="C225" s="953"/>
      <c r="D225" s="393">
        <f t="shared" si="74"/>
        <v>42.10884770105217</v>
      </c>
      <c r="E225" s="385">
        <f t="shared" si="72"/>
        <v>45.657761531612053</v>
      </c>
      <c r="F225" s="385">
        <f t="shared" si="75"/>
        <v>45.777728164891641</v>
      </c>
      <c r="G225" s="110">
        <f t="shared" si="73"/>
        <v>0.83804532273461596</v>
      </c>
      <c r="H225" s="412" t="b">
        <f>Wh_hp&gt;='2021'!Maxi_hp</f>
        <v>0</v>
      </c>
      <c r="I225" s="380">
        <f>IF(H225,Wh_hp,'2021'!Maxi_hp)</f>
        <v>53.533900381500366</v>
      </c>
      <c r="J225" s="85">
        <f>IF(H225,An,'2021'!An_max)</f>
        <v>2018</v>
      </c>
      <c r="K225" s="197">
        <f t="shared" si="76"/>
        <v>44772</v>
      </c>
      <c r="L225" s="147">
        <f>IF(t&lt;Tvie,1-EXP((T0-t)*PertePVj)+'2021'!Pspv,1-EXP((T0-t)*PertePVj)+Pspv)</f>
        <v>3.2934829062480242E-2</v>
      </c>
      <c r="M225" s="957"/>
      <c r="N225" s="957"/>
      <c r="O225" s="48">
        <f>IF(t&lt;Tnet,'2021'!Resal+('2021'!Salim-'2021'!Resal)*(1-EXP(('2021'!Tnet-t)/('2021'!Tau_j))),Resal+(Salim-Resal)*(1-EXP((Tnet-t)/(Tau_j))))*Salcycl</f>
        <v>7.7728598851757522E-2</v>
      </c>
      <c r="P225" s="339">
        <f>(INDEX(Models!$BJ225:$BT225,,T225)*(1-R225)+INDEX(Models!$BJ225:$BT225,,T225+1)*R225-ERP_i)*Q225*Ramure*Pc/MaxiM</f>
        <v>3.4052825643513997E-3</v>
      </c>
      <c r="Q225" s="305">
        <f t="shared" si="77"/>
        <v>0.7</v>
      </c>
      <c r="R225" s="177">
        <f t="shared" si="78"/>
        <v>0.44332086563404838</v>
      </c>
      <c r="S225" s="919">
        <f t="shared" si="79"/>
        <v>0</v>
      </c>
      <c r="T225" s="176">
        <f t="shared" si="80"/>
        <v>6</v>
      </c>
      <c r="U225" s="251">
        <f t="shared" si="81"/>
        <v>0.44332086563404838</v>
      </c>
      <c r="V225" s="383">
        <f t="shared" si="82"/>
        <v>48.553416441927567</v>
      </c>
      <c r="W225" s="402"/>
      <c r="X225" s="157">
        <f t="shared" si="83"/>
        <v>44772</v>
      </c>
      <c r="Y225" s="385">
        <f t="shared" si="84"/>
        <v>38.720210170214528</v>
      </c>
      <c r="Z225" s="385">
        <f t="shared" si="85"/>
        <v>40.038883969605983</v>
      </c>
      <c r="AA225" s="386">
        <f t="shared" si="86"/>
        <v>45.657761531612053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0.12306511255738481</v>
      </c>
      <c r="AD225" s="231">
        <f>(INDEX(Models!$BJ225:$BT225,,AH225)*(1-AF225)+INDEX(Models!$BJ225:$BT225,,AH225+1)*AF225-ERP_i)*AE225*Ramure*Pc/MaxiM</f>
        <v>3.4052825643513997E-3</v>
      </c>
      <c r="AE225" s="305">
        <f t="shared" si="88"/>
        <v>0.7</v>
      </c>
      <c r="AF225" s="177">
        <f t="shared" si="89"/>
        <v>0.44332086563404838</v>
      </c>
      <c r="AG225" s="919">
        <f t="shared" si="95"/>
        <v>0</v>
      </c>
      <c r="AH225" s="176">
        <f t="shared" si="90"/>
        <v>6</v>
      </c>
      <c r="AI225" s="225">
        <f t="shared" si="91"/>
        <v>0.44332086563404838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44773</v>
      </c>
      <c r="B226" s="618">
        <v>48.95</v>
      </c>
      <c r="C226" s="953"/>
      <c r="D226" s="393">
        <f t="shared" si="74"/>
        <v>50.618173030318381</v>
      </c>
      <c r="E226" s="385">
        <f t="shared" si="72"/>
        <v>54.894875542219715</v>
      </c>
      <c r="F226" s="385">
        <f t="shared" si="75"/>
        <v>55.075837023601295</v>
      </c>
      <c r="G226" s="110">
        <f t="shared" si="73"/>
        <v>1.010202395913244</v>
      </c>
      <c r="H226" s="412" t="b">
        <f>Wh_hp&gt;='2021'!Maxi_hp</f>
        <v>1</v>
      </c>
      <c r="I226" s="380">
        <f>IF(H226,Wh_hp,'2021'!Maxi_hp)</f>
        <v>55.075837023601295</v>
      </c>
      <c r="J226" s="85">
        <f>IF(H226,An,'2021'!An_max)</f>
        <v>2022</v>
      </c>
      <c r="K226" s="197">
        <f t="shared" si="76"/>
        <v>44773</v>
      </c>
      <c r="L226" s="147">
        <f>IF(t&lt;Tvie,1-EXP((T0-t)*PertePVj)+'2021'!Pspv,1-EXP((T0-t)*PertePVj)+Pspv)</f>
        <v>3.2956010271631198E-2</v>
      </c>
      <c r="M226" s="957"/>
      <c r="N226" s="957"/>
      <c r="O226" s="48">
        <f>IF(t&lt;Tnet,'2021'!Resal+('2021'!Salim-'2021'!Resal)*(1-EXP(('2021'!Tnet-t)/('2021'!Tau_j))),Resal+(Salim-Resal)*(1-EXP((Tnet-t)/(Tau_j))))*Salcycl</f>
        <v>7.7907135587038934E-2</v>
      </c>
      <c r="P226" s="339">
        <f>(INDEX(Models!$BJ226:$BT226,,T226)*(1-R226)+INDEX(Models!$BJ226:$BT226,,T226+1)*R226-ERP_i)*Q226*Ramure*Pc/MaxiM</f>
        <v>3.2856782785532284E-3</v>
      </c>
      <c r="Q226" s="305">
        <f t="shared" si="77"/>
        <v>0.7</v>
      </c>
      <c r="R226" s="177">
        <f t="shared" si="78"/>
        <v>0.44536033669952146</v>
      </c>
      <c r="S226" s="919">
        <f t="shared" si="79"/>
        <v>0</v>
      </c>
      <c r="T226" s="176">
        <f t="shared" si="80"/>
        <v>6</v>
      </c>
      <c r="U226" s="251">
        <f t="shared" si="81"/>
        <v>0.44536033669952146</v>
      </c>
      <c r="V226" s="383">
        <f t="shared" si="82"/>
        <v>48.455636413085493</v>
      </c>
      <c r="W226" s="402"/>
      <c r="X226" s="157">
        <f t="shared" si="83"/>
        <v>44773</v>
      </c>
      <c r="Y226" s="385">
        <f t="shared" si="84"/>
        <v>46.547171944679022</v>
      </c>
      <c r="Z226" s="385">
        <f t="shared" si="85"/>
        <v>48.133458704141859</v>
      </c>
      <c r="AA226" s="386">
        <f t="shared" si="86"/>
        <v>54.894875542219715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0.12317027356911746</v>
      </c>
      <c r="AD226" s="231">
        <f>(INDEX(Models!$BJ226:$BT226,,AH226)*(1-AF226)+INDEX(Models!$BJ226:$BT226,,AH226+1)*AF226-ERP_i)*AE226*Ramure*Pc/MaxiM</f>
        <v>3.2856782785532284E-3</v>
      </c>
      <c r="AE226" s="305">
        <f t="shared" si="88"/>
        <v>0.7</v>
      </c>
      <c r="AF226" s="177">
        <f t="shared" si="89"/>
        <v>0.44536033669952146</v>
      </c>
      <c r="AG226" s="919">
        <f t="shared" si="95"/>
        <v>0</v>
      </c>
      <c r="AH226" s="176">
        <f t="shared" si="90"/>
        <v>6</v>
      </c>
      <c r="AI226" s="225">
        <f t="shared" si="91"/>
        <v>0.44536033669952146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44774</v>
      </c>
      <c r="B227" s="618">
        <v>48.877000000000002</v>
      </c>
      <c r="C227" s="953"/>
      <c r="D227" s="393">
        <f t="shared" si="74"/>
        <v>50.543792293168266</v>
      </c>
      <c r="E227" s="385">
        <f t="shared" si="72"/>
        <v>54.824794513900756</v>
      </c>
      <c r="F227" s="385">
        <f t="shared" si="75"/>
        <v>54.998968794704105</v>
      </c>
      <c r="G227" s="110">
        <f t="shared" si="73"/>
        <v>1.0107420217858489</v>
      </c>
      <c r="H227" s="412" t="b">
        <f>Wh_hp&gt;='2021'!Maxi_hp</f>
        <v>1</v>
      </c>
      <c r="I227" s="380">
        <f>IF(H227,Wh_hp,'2021'!Maxi_hp)</f>
        <v>54.998968794704105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3.2977191016859142E-2</v>
      </c>
      <c r="M227" s="957"/>
      <c r="N227" s="957"/>
      <c r="O227" s="48">
        <f>IF(t&lt;Tnet,'2021'!Resal+('2021'!Salim-'2021'!Resal)*(1-EXP(('2021'!Tnet-t)/('2021'!Tau_j))),Resal+(Salim-Resal)*(1-EXP((Tnet-t)/(Tau_j))))*Salcycl</f>
        <v>7.808514849329791E-2</v>
      </c>
      <c r="P227" s="339">
        <f>(INDEX(Models!$BJ227:$BT227,,T227)*(1-R227)+INDEX(Models!$BJ227:$BT227,,T227+1)*R227-ERP_i)*Q227*Ramure*Pc/MaxiM</f>
        <v>3.1668644816504731E-3</v>
      </c>
      <c r="Q227" s="305">
        <f t="shared" si="77"/>
        <v>0.7</v>
      </c>
      <c r="R227" s="177">
        <f t="shared" si="78"/>
        <v>0.44733539142819068</v>
      </c>
      <c r="S227" s="919">
        <f t="shared" si="79"/>
        <v>0</v>
      </c>
      <c r="T227" s="176">
        <f t="shared" si="80"/>
        <v>6</v>
      </c>
      <c r="U227" s="251">
        <f t="shared" si="81"/>
        <v>0.44733539142819068</v>
      </c>
      <c r="V227" s="383">
        <f t="shared" si="82"/>
        <v>48.357542227878035</v>
      </c>
      <c r="W227" s="402"/>
      <c r="X227" s="157">
        <f t="shared" si="83"/>
        <v>44774</v>
      </c>
      <c r="Y227" s="385">
        <f t="shared" si="84"/>
        <v>46.481183035501047</v>
      </c>
      <c r="Z227" s="385">
        <f t="shared" si="85"/>
        <v>48.066273725619439</v>
      </c>
      <c r="AA227" s="386">
        <f t="shared" si="86"/>
        <v>54.824794513900756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0.12327489502158914</v>
      </c>
      <c r="AD227" s="231">
        <f>(INDEX(Models!$BJ227:$BT227,,AH227)*(1-AF227)+INDEX(Models!$BJ227:$BT227,,AH227+1)*AF227-ERP_i)*AE227*Ramure*Pc/MaxiM</f>
        <v>3.1668644816504731E-3</v>
      </c>
      <c r="AE227" s="305">
        <f t="shared" si="88"/>
        <v>0.7</v>
      </c>
      <c r="AF227" s="177">
        <f t="shared" si="89"/>
        <v>0.44733539142819068</v>
      </c>
      <c r="AG227" s="919">
        <f t="shared" si="95"/>
        <v>0</v>
      </c>
      <c r="AH227" s="176">
        <f t="shared" si="90"/>
        <v>6</v>
      </c>
      <c r="AI227" s="225">
        <f t="shared" si="91"/>
        <v>0.44733539142819068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44775</v>
      </c>
      <c r="B228" s="618">
        <v>48.920999999999999</v>
      </c>
      <c r="C228" s="953"/>
      <c r="D228" s="393">
        <f t="shared" si="74"/>
        <v>50.590400830736108</v>
      </c>
      <c r="E228" s="385">
        <f t="shared" si="72"/>
        <v>54.885918211775923</v>
      </c>
      <c r="F228" s="385">
        <f t="shared" si="75"/>
        <v>55.053769932764389</v>
      </c>
      <c r="G228" s="110">
        <f t="shared" si="73"/>
        <v>1.0137168832934345</v>
      </c>
      <c r="H228" s="412" t="b">
        <f>Wh_hp&gt;='2021'!Maxi_hp</f>
        <v>1</v>
      </c>
      <c r="I228" s="380">
        <f>IF(H228,Wh_hp,'2021'!Maxi_hp)</f>
        <v>55.053769932764389</v>
      </c>
      <c r="J228" s="85">
        <f>IF(H228,An,'2021'!An_max)</f>
        <v>2022</v>
      </c>
      <c r="K228" s="197">
        <f t="shared" si="76"/>
        <v>44775</v>
      </c>
      <c r="L228" s="147">
        <f>IF(t&lt;Tvie,1-EXP((T0-t)*PertePVj)+'2021'!Pspv,1-EXP((T0-t)*PertePVj)+Pspv)</f>
        <v>3.2998371298174511E-2</v>
      </c>
      <c r="M228" s="957"/>
      <c r="N228" s="957"/>
      <c r="O228" s="48">
        <f>IF(t&lt;Tnet,'2021'!Resal+('2021'!Salim-'2021'!Resal)*(1-EXP(('2021'!Tnet-t)/('2021'!Tau_j))),Resal+(Salim-Resal)*(1-EXP((Tnet-t)/(Tau_j))))*Salcycl</f>
        <v>7.8262649528166139E-2</v>
      </c>
      <c r="P228" s="339">
        <f>(INDEX(Models!$BJ228:$BT228,,T228)*(1-R228)+INDEX(Models!$BJ228:$BT228,,T228+1)*R228-ERP_i)*Q228*Ramure*Pc/MaxiM</f>
        <v>3.0488687912464101E-3</v>
      </c>
      <c r="Q228" s="305">
        <f t="shared" si="77"/>
        <v>0.7</v>
      </c>
      <c r="R228" s="177">
        <f t="shared" si="78"/>
        <v>0.4492474445128275</v>
      </c>
      <c r="S228" s="919">
        <f t="shared" si="79"/>
        <v>0</v>
      </c>
      <c r="T228" s="176">
        <f t="shared" si="80"/>
        <v>6</v>
      </c>
      <c r="U228" s="251">
        <f t="shared" si="81"/>
        <v>0.4492474445128275</v>
      </c>
      <c r="V228" s="383">
        <f t="shared" si="82"/>
        <v>48.259036429443718</v>
      </c>
      <c r="W228" s="402"/>
      <c r="X228" s="157">
        <f t="shared" si="83"/>
        <v>44775</v>
      </c>
      <c r="Y228" s="385">
        <f t="shared" si="84"/>
        <v>46.526460137639475</v>
      </c>
      <c r="Z228" s="385">
        <f t="shared" si="85"/>
        <v>48.11414868049399</v>
      </c>
      <c r="AA228" s="386">
        <f t="shared" si="86"/>
        <v>54.885918211775923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0.12337899687044004</v>
      </c>
      <c r="AD228" s="231">
        <f>(INDEX(Models!$BJ228:$BT228,,AH228)*(1-AF228)+INDEX(Models!$BJ228:$BT228,,AH228+1)*AF228-ERP_i)*AE228*Ramure*Pc/MaxiM</f>
        <v>3.0488687912464101E-3</v>
      </c>
      <c r="AE228" s="305">
        <f t="shared" si="88"/>
        <v>0.7</v>
      </c>
      <c r="AF228" s="177">
        <f t="shared" si="89"/>
        <v>0.4492474445128275</v>
      </c>
      <c r="AG228" s="919">
        <f t="shared" si="95"/>
        <v>0</v>
      </c>
      <c r="AH228" s="176">
        <f t="shared" si="90"/>
        <v>6</v>
      </c>
      <c r="AI228" s="225">
        <f t="shared" si="91"/>
        <v>0.4492474445128275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44776</v>
      </c>
      <c r="B229" s="618">
        <v>47.371000000000002</v>
      </c>
      <c r="C229" s="953"/>
      <c r="D229" s="393">
        <f t="shared" si="74"/>
        <v>48.988580952852814</v>
      </c>
      <c r="E229" s="385">
        <f t="shared" si="72"/>
        <v>53.158299285545901</v>
      </c>
      <c r="F229" s="385">
        <f t="shared" si="75"/>
        <v>53.310933840344738</v>
      </c>
      <c r="G229" s="110">
        <f t="shared" si="73"/>
        <v>0.98354897828546106</v>
      </c>
      <c r="H229" s="412" t="b">
        <f>Wh_hp&gt;='2021'!Maxi_hp</f>
        <v>0</v>
      </c>
      <c r="I229" s="380">
        <f>IF(H229,Wh_hp,'2021'!Maxi_hp)</f>
        <v>53.74274506897126</v>
      </c>
      <c r="J229" s="85">
        <f>IF(H229,An,'2021'!An_max)</f>
        <v>2019</v>
      </c>
      <c r="K229" s="197">
        <f t="shared" si="76"/>
        <v>44776</v>
      </c>
      <c r="L229" s="147">
        <f>IF(t&lt;Tvie,1-EXP((T0-t)*PertePVj)+'2021'!Pspv,1-EXP((T0-t)*PertePVj)+Pspv)</f>
        <v>3.3019551115587298E-2</v>
      </c>
      <c r="M229" s="957"/>
      <c r="N229" s="957"/>
      <c r="O229" s="48">
        <f>IF(t&lt;Tnet,'2021'!Resal+('2021'!Salim-'2021'!Resal)*(1-EXP(('2021'!Tnet-t)/('2021'!Tau_j))),Resal+(Salim-Resal)*(1-EXP((Tnet-t)/(Tau_j))))*Salcycl</f>
        <v>7.8439648911545604E-2</v>
      </c>
      <c r="P229" s="339">
        <f>(INDEX(Models!$BJ229:$BT229,,T229)*(1-R229)+INDEX(Models!$BJ229:$BT229,,T229+1)*R229-ERP_i)*Q229*Ramure*Pc/MaxiM</f>
        <v>2.9317165153785216E-3</v>
      </c>
      <c r="Q229" s="305">
        <f t="shared" si="77"/>
        <v>0.7</v>
      </c>
      <c r="R229" s="177">
        <f t="shared" si="78"/>
        <v>0.45109792483555045</v>
      </c>
      <c r="S229" s="919">
        <f t="shared" si="79"/>
        <v>0</v>
      </c>
      <c r="T229" s="176">
        <f t="shared" si="80"/>
        <v>6</v>
      </c>
      <c r="U229" s="251">
        <f t="shared" si="81"/>
        <v>0.45109792483555045</v>
      </c>
      <c r="V229" s="383">
        <f t="shared" si="82"/>
        <v>48.160021816620713</v>
      </c>
      <c r="W229" s="402"/>
      <c r="X229" s="157">
        <f t="shared" si="83"/>
        <v>44776</v>
      </c>
      <c r="Y229" s="385">
        <f t="shared" si="84"/>
        <v>45.055655753512688</v>
      </c>
      <c r="Z229" s="385">
        <f t="shared" si="85"/>
        <v>46.594174479424645</v>
      </c>
      <c r="AA229" s="386">
        <f t="shared" si="86"/>
        <v>53.158299285545901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0.12348259621439925</v>
      </c>
      <c r="AD229" s="231">
        <f>(INDEX(Models!$BJ229:$BT229,,AH229)*(1-AF229)+INDEX(Models!$BJ229:$BT229,,AH229+1)*AF229-ERP_i)*AE229*Ramure*Pc/MaxiM</f>
        <v>2.9317165153785216E-3</v>
      </c>
      <c r="AE229" s="305">
        <f t="shared" si="88"/>
        <v>0.7</v>
      </c>
      <c r="AF229" s="177">
        <f t="shared" si="89"/>
        <v>0.45109792483555045</v>
      </c>
      <c r="AG229" s="919">
        <f t="shared" si="95"/>
        <v>0</v>
      </c>
      <c r="AH229" s="176">
        <f t="shared" si="90"/>
        <v>6</v>
      </c>
      <c r="AI229" s="225">
        <f t="shared" si="91"/>
        <v>0.45109792483555045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44777</v>
      </c>
      <c r="B230" s="618">
        <v>46.856999999999999</v>
      </c>
      <c r="C230" s="953"/>
      <c r="D230" s="393">
        <f t="shared" si="74"/>
        <v>48.458090714340088</v>
      </c>
      <c r="E230" s="385">
        <f t="shared" si="72"/>
        <v>52.592728845345555</v>
      </c>
      <c r="F230" s="385">
        <f t="shared" si="75"/>
        <v>52.735892100965984</v>
      </c>
      <c r="G230" s="110">
        <f t="shared" si="73"/>
        <v>0.9748621904309458</v>
      </c>
      <c r="H230" s="412" t="b">
        <f>Wh_hp&gt;='2021'!Maxi_hp</f>
        <v>1</v>
      </c>
      <c r="I230" s="380">
        <f>IF(H230,Wh_hp,'2021'!Maxi_hp)</f>
        <v>52.735892100965984</v>
      </c>
      <c r="J230" s="85">
        <f>IF(H230,An,'2021'!An_max)</f>
        <v>2022</v>
      </c>
      <c r="K230" s="197">
        <f t="shared" si="76"/>
        <v>44777</v>
      </c>
      <c r="L230" s="147">
        <f>IF(t&lt;Tvie,1-EXP((T0-t)*PertePVj)+'2021'!Pspv,1-EXP((T0-t)*PertePVj)+Pspv)</f>
        <v>3.3040730469107826E-2</v>
      </c>
      <c r="M230" s="957"/>
      <c r="N230" s="957"/>
      <c r="O230" s="48">
        <f>IF(t&lt;Tnet,'2021'!Resal+('2021'!Salim-'2021'!Resal)*(1-EXP(('2021'!Tnet-t)/('2021'!Tau_j))),Resal+(Salim-Resal)*(1-EXP((Tnet-t)/(Tau_j))))*Salcycl</f>
        <v>7.861615515642488E-2</v>
      </c>
      <c r="P230" s="339">
        <f>(INDEX(Models!$BJ230:$BT230,,T230)*(1-R230)+INDEX(Models!$BJ230:$BT230,,T230+1)*R230-ERP_i)*Q230*Ramure*Pc/MaxiM</f>
        <v>2.815430800879086E-3</v>
      </c>
      <c r="Q230" s="305">
        <f t="shared" si="77"/>
        <v>0.7</v>
      </c>
      <c r="R230" s="177">
        <f t="shared" si="78"/>
        <v>0.45288827137022725</v>
      </c>
      <c r="S230" s="919">
        <f t="shared" si="79"/>
        <v>0</v>
      </c>
      <c r="T230" s="176">
        <f t="shared" si="80"/>
        <v>6</v>
      </c>
      <c r="U230" s="251">
        <f t="shared" si="81"/>
        <v>0.45288827137022725</v>
      </c>
      <c r="V230" s="383">
        <f t="shared" si="82"/>
        <v>48.060401433879868</v>
      </c>
      <c r="W230" s="402"/>
      <c r="X230" s="157">
        <f t="shared" si="83"/>
        <v>44777</v>
      </c>
      <c r="Y230" s="385">
        <f t="shared" si="84"/>
        <v>44.570072223238142</v>
      </c>
      <c r="Z230" s="385">
        <f t="shared" si="85"/>
        <v>46.093019248743268</v>
      </c>
      <c r="AA230" s="386">
        <f t="shared" si="86"/>
        <v>52.592728845345555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0.12358570736489756</v>
      </c>
      <c r="AD230" s="231">
        <f>(INDEX(Models!$BJ230:$BT230,,AH230)*(1-AF230)+INDEX(Models!$BJ230:$BT230,,AH230+1)*AF230-ERP_i)*AE230*Ramure*Pc/MaxiM</f>
        <v>2.815430800879086E-3</v>
      </c>
      <c r="AE230" s="305">
        <f t="shared" si="88"/>
        <v>0.7</v>
      </c>
      <c r="AF230" s="177">
        <f t="shared" si="89"/>
        <v>0.45288827137022725</v>
      </c>
      <c r="AG230" s="919">
        <f t="shared" si="95"/>
        <v>0</v>
      </c>
      <c r="AH230" s="176">
        <f t="shared" si="90"/>
        <v>6</v>
      </c>
      <c r="AI230" s="225">
        <f t="shared" si="91"/>
        <v>0.45288827137022725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44778</v>
      </c>
      <c r="B231" s="618">
        <v>42.246000000000002</v>
      </c>
      <c r="C231" s="953"/>
      <c r="D231" s="393">
        <f t="shared" si="74"/>
        <v>43.690491055102925</v>
      </c>
      <c r="E231" s="385">
        <f t="shared" si="72"/>
        <v>47.427398980594511</v>
      </c>
      <c r="F231" s="385">
        <f t="shared" si="75"/>
        <v>47.533897630981755</v>
      </c>
      <c r="G231" s="110">
        <f t="shared" si="73"/>
        <v>0.88045189500226373</v>
      </c>
      <c r="H231" s="412" t="b">
        <f>Wh_hp&gt;='2021'!Maxi_hp</f>
        <v>0</v>
      </c>
      <c r="I231" s="380">
        <f>IF(H231,Wh_hp,'2021'!Maxi_hp)</f>
        <v>53.36011340472448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3.3061909358746089E-2</v>
      </c>
      <c r="M231" s="957"/>
      <c r="N231" s="957"/>
      <c r="O231" s="48">
        <f>IF(t&lt;Tnet,'2021'!Resal+('2021'!Salim-'2021'!Resal)*(1-EXP(('2021'!Tnet-t)/('2021'!Tau_j))),Resal+(Salim-Resal)*(1-EXP((Tnet-t)/(Tau_j))))*Salcycl</f>
        <v>7.8792175110015752E-2</v>
      </c>
      <c r="P231" s="339">
        <f>(INDEX(Models!$BJ231:$BT231,,T231)*(1-R231)+INDEX(Models!$BJ231:$BT231,,T231+1)*R231-ERP_i)*Q231*Ramure*Pc/MaxiM</f>
        <v>2.7000327802426866E-3</v>
      </c>
      <c r="Q231" s="305">
        <f t="shared" si="77"/>
        <v>0.7</v>
      </c>
      <c r="R231" s="177">
        <f t="shared" si="78"/>
        <v>0.45461992934386958</v>
      </c>
      <c r="S231" s="919">
        <f t="shared" si="79"/>
        <v>0</v>
      </c>
      <c r="T231" s="176">
        <f t="shared" si="80"/>
        <v>6</v>
      </c>
      <c r="U231" s="251">
        <f t="shared" si="81"/>
        <v>0.45461992934386958</v>
      </c>
      <c r="V231" s="383">
        <f t="shared" si="82"/>
        <v>47.960078559659266</v>
      </c>
      <c r="W231" s="402"/>
      <c r="X231" s="157">
        <f t="shared" si="83"/>
        <v>44778</v>
      </c>
      <c r="Y231" s="385">
        <f t="shared" si="84"/>
        <v>40.187090585341686</v>
      </c>
      <c r="Z231" s="385">
        <f t="shared" si="85"/>
        <v>41.561182638580732</v>
      </c>
      <c r="AA231" s="386">
        <f t="shared" si="86"/>
        <v>47.427398980594511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0.12368834193108522</v>
      </c>
      <c r="AD231" s="231">
        <f>(INDEX(Models!$BJ231:$BT231,,AH231)*(1-AF231)+INDEX(Models!$BJ231:$BT231,,AH231+1)*AF231-ERP_i)*AE231*Ramure*Pc/MaxiM</f>
        <v>2.7000327802426866E-3</v>
      </c>
      <c r="AE231" s="305">
        <f t="shared" si="88"/>
        <v>0.7</v>
      </c>
      <c r="AF231" s="177">
        <f t="shared" si="89"/>
        <v>0.45461992934386958</v>
      </c>
      <c r="AG231" s="919">
        <f t="shared" si="95"/>
        <v>0</v>
      </c>
      <c r="AH231" s="176">
        <f t="shared" si="90"/>
        <v>6</v>
      </c>
      <c r="AI231" s="225">
        <f t="shared" si="91"/>
        <v>0.45461992934386958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44779</v>
      </c>
      <c r="B232" s="618">
        <v>44.658999999999999</v>
      </c>
      <c r="C232" s="953"/>
      <c r="D232" s="393">
        <f t="shared" si="74"/>
        <v>46.18700886891434</v>
      </c>
      <c r="E232" s="385">
        <f t="shared" si="72"/>
        <v>50.147003065125013</v>
      </c>
      <c r="F232" s="385">
        <f t="shared" si="75"/>
        <v>50.264550602098893</v>
      </c>
      <c r="G232" s="110">
        <f t="shared" si="73"/>
        <v>0.93290677534484778</v>
      </c>
      <c r="H232" s="412" t="b">
        <f>Wh_hp&gt;='2021'!Maxi_hp</f>
        <v>0</v>
      </c>
      <c r="I232" s="380">
        <f>IF(H232,Wh_hp,'2021'!Maxi_hp)</f>
        <v>54.203152791652954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3.3083087784512299E-2</v>
      </c>
      <c r="M232" s="957"/>
      <c r="N232" s="957"/>
      <c r="O232" s="48">
        <f>IF(t&lt;Tnet,'2021'!Resal+('2021'!Salim-'2021'!Resal)*(1-EXP(('2021'!Tnet-t)/('2021'!Tau_j))),Resal+(Salim-Resal)*(1-EXP((Tnet-t)/(Tau_j))))*Salcycl</f>
        <v>7.8967714004123085E-2</v>
      </c>
      <c r="P232" s="339">
        <f>(INDEX(Models!$BJ232:$BT232,,T232)*(1-R232)+INDEX(Models!$BJ232:$BT232,,T232+1)*R232-ERP_i)*Q232*Ramure*Pc/MaxiM</f>
        <v>2.5855417155111623E-3</v>
      </c>
      <c r="Q232" s="305">
        <f t="shared" si="77"/>
        <v>0.7</v>
      </c>
      <c r="R232" s="177">
        <f t="shared" si="78"/>
        <v>0.45629434665340113</v>
      </c>
      <c r="S232" s="919">
        <f t="shared" si="79"/>
        <v>0</v>
      </c>
      <c r="T232" s="176">
        <f t="shared" si="80"/>
        <v>6</v>
      </c>
      <c r="U232" s="251">
        <f t="shared" si="81"/>
        <v>0.45629434665340113</v>
      </c>
      <c r="V232" s="383">
        <f t="shared" si="82"/>
        <v>47.858956696453269</v>
      </c>
      <c r="W232" s="402"/>
      <c r="X232" s="157">
        <f t="shared" si="83"/>
        <v>44779</v>
      </c>
      <c r="Y232" s="385">
        <f t="shared" si="84"/>
        <v>42.485632976375349</v>
      </c>
      <c r="Z232" s="385">
        <f t="shared" si="85"/>
        <v>43.939280034960206</v>
      </c>
      <c r="AA232" s="386">
        <f t="shared" si="86"/>
        <v>50.147003065125013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0.12379050891840822</v>
      </c>
      <c r="AD232" s="231">
        <f>(INDEX(Models!$BJ232:$BT232,,AH232)*(1-AF232)+INDEX(Models!$BJ232:$BT232,,AH232+1)*AF232-ERP_i)*AE232*Ramure*Pc/MaxiM</f>
        <v>2.5855417155111623E-3</v>
      </c>
      <c r="AE232" s="305">
        <f t="shared" si="88"/>
        <v>0.7</v>
      </c>
      <c r="AF232" s="177">
        <f t="shared" si="89"/>
        <v>0.45629434665340113</v>
      </c>
      <c r="AG232" s="919">
        <f t="shared" si="95"/>
        <v>0</v>
      </c>
      <c r="AH232" s="176">
        <f t="shared" si="90"/>
        <v>6</v>
      </c>
      <c r="AI232" s="225">
        <f t="shared" si="91"/>
        <v>0.45629434665340113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44780</v>
      </c>
      <c r="B233" s="618">
        <v>47.639000000000003</v>
      </c>
      <c r="C233" s="953"/>
      <c r="D233" s="393">
        <f t="shared" si="74"/>
        <v>49.27004878843114</v>
      </c>
      <c r="E233" s="385">
        <f t="shared" ref="E233:E296" si="96">Wh_pvt/(1-Psa)</f>
        <v>53.504547152692858</v>
      </c>
      <c r="F233" s="385">
        <f t="shared" si="75"/>
        <v>53.636667435087631</v>
      </c>
      <c r="G233" s="110">
        <f t="shared" ref="G233:G296" si="97">+Wh_hp/MaxiM</f>
        <v>0.99752027123007669</v>
      </c>
      <c r="H233" s="412" t="b">
        <f>Wh_hp&gt;='2021'!Maxi_hp</f>
        <v>1</v>
      </c>
      <c r="I233" s="380">
        <f>IF(H233,Wh_hp,'2021'!Maxi_hp)</f>
        <v>53.636667435087631</v>
      </c>
      <c r="J233" s="85">
        <f>IF(H233,An,'2021'!An_max)</f>
        <v>2022</v>
      </c>
      <c r="K233" s="197">
        <f t="shared" si="76"/>
        <v>44780</v>
      </c>
      <c r="L233" s="147">
        <f>IF(t&lt;Tvie,1-EXP((T0-t)*PertePVj)+'2021'!Pspv,1-EXP((T0-t)*PertePVj)+Pspv)</f>
        <v>3.3104265746416672E-2</v>
      </c>
      <c r="M233" s="957"/>
      <c r="N233" s="957"/>
      <c r="O233" s="48">
        <f>IF(t&lt;Tnet,'2021'!Resal+('2021'!Salim-'2021'!Resal)*(1-EXP(('2021'!Tnet-t)/('2021'!Tau_j))),Resal+(Salim-Resal)*(1-EXP((Tnet-t)/(Tau_j))))*Salcycl</f>
        <v>7.9142775513587255E-2</v>
      </c>
      <c r="P233" s="339">
        <f>(INDEX(Models!$BJ233:$BT233,,T233)*(1-R233)+INDEX(Models!$BJ233:$BT233,,T233+1)*R233-ERP_i)*Q233*Ramure*Pc/MaxiM</f>
        <v>2.4719716199381975E-3</v>
      </c>
      <c r="Q233" s="305">
        <f t="shared" si="77"/>
        <v>0.7</v>
      </c>
      <c r="R233" s="177">
        <f t="shared" si="78"/>
        <v>0.4579129705329647</v>
      </c>
      <c r="S233" s="919">
        <f t="shared" si="79"/>
        <v>0</v>
      </c>
      <c r="T233" s="176">
        <f t="shared" si="80"/>
        <v>6</v>
      </c>
      <c r="U233" s="251">
        <f t="shared" si="81"/>
        <v>0.4579129705329647</v>
      </c>
      <c r="V233" s="383">
        <f t="shared" si="82"/>
        <v>47.757007698222615</v>
      </c>
      <c r="W233" s="402"/>
      <c r="X233" s="157">
        <f t="shared" si="83"/>
        <v>44780</v>
      </c>
      <c r="Y233" s="385">
        <f t="shared" si="84"/>
        <v>45.323963006938449</v>
      </c>
      <c r="Z233" s="385">
        <f t="shared" si="85"/>
        <v>46.87575030199848</v>
      </c>
      <c r="AA233" s="386">
        <f t="shared" si="86"/>
        <v>53.504547152692858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0.12389221483880464</v>
      </c>
      <c r="AD233" s="231">
        <f>(INDEX(Models!$BJ233:$BT233,,AH233)*(1-AF233)+INDEX(Models!$BJ233:$BT233,,AH233+1)*AF233-ERP_i)*AE233*Ramure*Pc/MaxiM</f>
        <v>2.4719716199381975E-3</v>
      </c>
      <c r="AE233" s="305">
        <f t="shared" si="88"/>
        <v>0.7</v>
      </c>
      <c r="AF233" s="177">
        <f t="shared" si="89"/>
        <v>0.4579129705329647</v>
      </c>
      <c r="AG233" s="919">
        <f t="shared" si="95"/>
        <v>0</v>
      </c>
      <c r="AH233" s="176">
        <f t="shared" si="90"/>
        <v>6</v>
      </c>
      <c r="AI233" s="225">
        <f t="shared" si="91"/>
        <v>0.4579129705329647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44781</v>
      </c>
      <c r="B234" s="618">
        <v>48.218000000000004</v>
      </c>
      <c r="C234" s="953"/>
      <c r="D234" s="393">
        <f t="shared" si="74"/>
        <v>49.869964684769009</v>
      </c>
      <c r="E234" s="385">
        <f t="shared" si="96"/>
        <v>54.166292071540774</v>
      </c>
      <c r="F234" s="385">
        <f t="shared" si="75"/>
        <v>54.294471719651789</v>
      </c>
      <c r="G234" s="110">
        <f t="shared" si="97"/>
        <v>1.0118300277067904</v>
      </c>
      <c r="H234" s="412" t="b">
        <f>Wh_hp&gt;='2021'!Maxi_hp</f>
        <v>1</v>
      </c>
      <c r="I234" s="380">
        <f>IF(H234,Wh_hp,'2021'!Maxi_hp)</f>
        <v>54.294471719651789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3.312544324446931E-2</v>
      </c>
      <c r="M234" s="957"/>
      <c r="N234" s="957"/>
      <c r="O234" s="48">
        <f>IF(t&lt;Tnet,'2021'!Resal+('2021'!Salim-'2021'!Resal)*(1-EXP(('2021'!Tnet-t)/('2021'!Tau_j))),Resal+(Salim-Resal)*(1-EXP((Tnet-t)/(Tau_j))))*Salcycl</f>
        <v>7.9317361821579654E-2</v>
      </c>
      <c r="P234" s="339">
        <f>(INDEX(Models!$BJ234:$BT234,,T234)*(1-R234)+INDEX(Models!$BJ234:$BT234,,T234+1)*R234-ERP_i)*Q234*Ramure*Pc/MaxiM</f>
        <v>2.360823193434254E-3</v>
      </c>
      <c r="Q234" s="305">
        <f t="shared" si="77"/>
        <v>0.7</v>
      </c>
      <c r="R234" s="177">
        <f t="shared" si="78"/>
        <v>0.45947724446588623</v>
      </c>
      <c r="S234" s="919">
        <f t="shared" si="79"/>
        <v>0</v>
      </c>
      <c r="T234" s="176">
        <f t="shared" si="80"/>
        <v>6</v>
      </c>
      <c r="U234" s="251">
        <f t="shared" si="81"/>
        <v>0.45947724446588623</v>
      </c>
      <c r="V234" s="383">
        <f t="shared" si="82"/>
        <v>47.654248914989395</v>
      </c>
      <c r="W234" s="402"/>
      <c r="X234" s="157">
        <f t="shared" si="83"/>
        <v>44781</v>
      </c>
      <c r="Y234" s="385">
        <f t="shared" si="84"/>
        <v>45.878222755010505</v>
      </c>
      <c r="Z234" s="385">
        <f t="shared" si="85"/>
        <v>47.450025894735155</v>
      </c>
      <c r="AA234" s="386">
        <f t="shared" si="86"/>
        <v>54.166292071540774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0.12399346383051346</v>
      </c>
      <c r="AD234" s="231">
        <f>(INDEX(Models!$BJ234:$BT234,,AH234)*(1-AF234)+INDEX(Models!$BJ234:$BT234,,AH234+1)*AF234-ERP_i)*AE234*Ramure*Pc/MaxiM</f>
        <v>2.360823193434254E-3</v>
      </c>
      <c r="AE234" s="305">
        <f t="shared" si="88"/>
        <v>0.7</v>
      </c>
      <c r="AF234" s="177">
        <f t="shared" si="89"/>
        <v>0.45947724446588623</v>
      </c>
      <c r="AG234" s="919">
        <f t="shared" si="95"/>
        <v>0</v>
      </c>
      <c r="AH234" s="176">
        <f t="shared" si="90"/>
        <v>6</v>
      </c>
      <c r="AI234" s="225">
        <f t="shared" si="91"/>
        <v>0.45947724446588623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44782</v>
      </c>
      <c r="B235" s="618">
        <v>46.454999999999998</v>
      </c>
      <c r="C235" s="953"/>
      <c r="D235" s="393">
        <f t="shared" si="74"/>
        <v>48.047616085688119</v>
      </c>
      <c r="E235" s="385">
        <f t="shared" si="96"/>
        <v>52.196818076547117</v>
      </c>
      <c r="F235" s="385">
        <f t="shared" si="75"/>
        <v>52.310745238290878</v>
      </c>
      <c r="G235" s="110">
        <f t="shared" si="97"/>
        <v>0.97688333821306872</v>
      </c>
      <c r="H235" s="412" t="b">
        <f>Wh_hp&gt;='2021'!Maxi_hp</f>
        <v>0</v>
      </c>
      <c r="I235" s="380">
        <f>IF(H235,Wh_hp,'2021'!Maxi_hp)</f>
        <v>54.505372378920782</v>
      </c>
      <c r="J235" s="85">
        <f>IF(H235,An,'2021'!An_max)</f>
        <v>2021</v>
      </c>
      <c r="K235" s="197">
        <f t="shared" si="76"/>
        <v>44782</v>
      </c>
      <c r="L235" s="147">
        <f>IF(t&lt;Tvie,1-EXP((T0-t)*PertePVj)+'2021'!Pspv,1-EXP((T0-t)*PertePVj)+Pspv)</f>
        <v>3.3146620278680428E-2</v>
      </c>
      <c r="M235" s="957"/>
      <c r="N235" s="957"/>
      <c r="O235" s="48">
        <f>IF(t&lt;Tnet,'2021'!Resal+('2021'!Salim-'2021'!Resal)*(1-EXP(('2021'!Tnet-t)/('2021'!Tau_j))),Resal+(Salim-Resal)*(1-EXP((Tnet-t)/(Tau_j))))*Salcycl</f>
        <v>7.9491473690487341E-2</v>
      </c>
      <c r="P235" s="339">
        <f>(INDEX(Models!$BJ235:$BT235,,T235)*(1-R235)+INDEX(Models!$BJ235:$BT235,,T235+1)*R235-ERP_i)*Q235*Ramure*Pc/MaxiM</f>
        <v>2.2520291990541165E-3</v>
      </c>
      <c r="Q235" s="305">
        <f t="shared" si="77"/>
        <v>0.7</v>
      </c>
      <c r="R235" s="177">
        <f t="shared" si="78"/>
        <v>0.46098860533451452</v>
      </c>
      <c r="S235" s="919">
        <f t="shared" si="79"/>
        <v>0</v>
      </c>
      <c r="T235" s="176">
        <f t="shared" si="80"/>
        <v>6</v>
      </c>
      <c r="U235" s="251">
        <f t="shared" si="81"/>
        <v>0.46098860533451452</v>
      </c>
      <c r="V235" s="383">
        <f t="shared" si="82"/>
        <v>47.550763360891011</v>
      </c>
      <c r="W235" s="402"/>
      <c r="X235" s="157">
        <f t="shared" si="83"/>
        <v>44782</v>
      </c>
      <c r="Y235" s="385">
        <f t="shared" si="84"/>
        <v>44.204046015425554</v>
      </c>
      <c r="Z235" s="385">
        <f t="shared" si="85"/>
        <v>45.719492678576231</v>
      </c>
      <c r="AA235" s="386">
        <f t="shared" si="86"/>
        <v>52.196818076547117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0.12409425778544263</v>
      </c>
      <c r="AD235" s="231">
        <f>(INDEX(Models!$BJ235:$BT235,,AH235)*(1-AF235)+INDEX(Models!$BJ235:$BT235,,AH235+1)*AF235-ERP_i)*AE235*Ramure*Pc/MaxiM</f>
        <v>2.2520291990541165E-3</v>
      </c>
      <c r="AE235" s="305">
        <f t="shared" si="88"/>
        <v>0.7</v>
      </c>
      <c r="AF235" s="177">
        <f t="shared" si="89"/>
        <v>0.46098860533451452</v>
      </c>
      <c r="AG235" s="919">
        <f t="shared" si="95"/>
        <v>0</v>
      </c>
      <c r="AH235" s="176">
        <f t="shared" si="90"/>
        <v>6</v>
      </c>
      <c r="AI235" s="225">
        <f t="shared" si="91"/>
        <v>0.46098860533451452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44783</v>
      </c>
      <c r="B236" s="618">
        <v>45.12</v>
      </c>
      <c r="C236" s="953"/>
      <c r="D236" s="393">
        <f t="shared" si="74"/>
        <v>46.66787044634254</v>
      </c>
      <c r="E236" s="385">
        <f t="shared" si="96"/>
        <v>50.707488090098693</v>
      </c>
      <c r="F236" s="385">
        <f t="shared" si="75"/>
        <v>50.808867128674677</v>
      </c>
      <c r="G236" s="110">
        <f t="shared" si="97"/>
        <v>0.95081999802174144</v>
      </c>
      <c r="H236" s="412" t="b">
        <f>Wh_hp&gt;='2021'!Maxi_hp</f>
        <v>0</v>
      </c>
      <c r="I236" s="380">
        <f>IF(H236,Wh_hp,'2021'!Maxi_hp)</f>
        <v>52.854099421104479</v>
      </c>
      <c r="J236" s="85">
        <f>IF(H236,An,'2021'!An_max)</f>
        <v>2021</v>
      </c>
      <c r="K236" s="197">
        <f t="shared" si="76"/>
        <v>44783</v>
      </c>
      <c r="L236" s="147">
        <f>IF(t&lt;Tvie,1-EXP((T0-t)*PertePVj)+'2021'!Pspv,1-EXP((T0-t)*PertePVj)+Pspv)</f>
        <v>3.3167796849060127E-2</v>
      </c>
      <c r="M236" s="957"/>
      <c r="N236" s="957"/>
      <c r="O236" s="48">
        <f>IF(t&lt;Tnet,'2021'!Resal+('2021'!Salim-'2021'!Resal)*(1-EXP(('2021'!Tnet-t)/('2021'!Tau_j))),Resal+(Salim-Resal)*(1-EXP((Tnet-t)/(Tau_j))))*Salcycl</f>
        <v>7.9665110537095241E-2</v>
      </c>
      <c r="P236" s="339">
        <f>(INDEX(Models!$BJ236:$BT236,,T236)*(1-R236)+INDEX(Models!$BJ236:$BT236,,T236+1)*R236-ERP_i)*Q236*Ramure*Pc/MaxiM</f>
        <v>2.1456073407447175E-3</v>
      </c>
      <c r="Q236" s="305">
        <f t="shared" si="77"/>
        <v>0.7</v>
      </c>
      <c r="R236" s="177">
        <f t="shared" si="78"/>
        <v>0.46244848080041168</v>
      </c>
      <c r="S236" s="919">
        <f t="shared" si="79"/>
        <v>0</v>
      </c>
      <c r="T236" s="176">
        <f t="shared" si="80"/>
        <v>6</v>
      </c>
      <c r="U236" s="251">
        <f t="shared" si="81"/>
        <v>0.46244848080041168</v>
      </c>
      <c r="V236" s="383">
        <f t="shared" si="82"/>
        <v>47.446630026749453</v>
      </c>
      <c r="W236" s="402"/>
      <c r="X236" s="157">
        <f t="shared" si="83"/>
        <v>44783</v>
      </c>
      <c r="Y236" s="385">
        <f t="shared" si="84"/>
        <v>42.936913789927424</v>
      </c>
      <c r="Z236" s="385">
        <f t="shared" si="85"/>
        <v>44.40989206813191</v>
      </c>
      <c r="AA236" s="386">
        <f t="shared" si="86"/>
        <v>50.707488090098693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0.12419459648202283</v>
      </c>
      <c r="AD236" s="231">
        <f>(INDEX(Models!$BJ236:$BT236,,AH236)*(1-AF236)+INDEX(Models!$BJ236:$BT236,,AH236+1)*AF236-ERP_i)*AE236*Ramure*Pc/MaxiM</f>
        <v>2.1456073407447175E-3</v>
      </c>
      <c r="AE236" s="305">
        <f t="shared" si="88"/>
        <v>0.7</v>
      </c>
      <c r="AF236" s="177">
        <f t="shared" si="89"/>
        <v>0.46244848080041168</v>
      </c>
      <c r="AG236" s="919">
        <f t="shared" si="95"/>
        <v>0</v>
      </c>
      <c r="AH236" s="176">
        <f t="shared" si="90"/>
        <v>6</v>
      </c>
      <c r="AI236" s="225">
        <f t="shared" si="91"/>
        <v>0.46244848080041168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44784</v>
      </c>
      <c r="B237" s="618">
        <v>42.69</v>
      </c>
      <c r="C237" s="953"/>
      <c r="D237" s="393">
        <f t="shared" si="74"/>
        <v>44.155474861004365</v>
      </c>
      <c r="E237" s="385">
        <f t="shared" si="96"/>
        <v>47.986645657947577</v>
      </c>
      <c r="F237" s="385">
        <f t="shared" si="75"/>
        <v>48.071009793780867</v>
      </c>
      <c r="G237" s="110">
        <f t="shared" si="97"/>
        <v>0.90147879496939187</v>
      </c>
      <c r="H237" s="412" t="b">
        <f>Wh_hp&gt;='2021'!Maxi_hp</f>
        <v>0</v>
      </c>
      <c r="I237" s="380">
        <f>IF(H237,Wh_hp,'2021'!Maxi_hp)</f>
        <v>52.879735063277003</v>
      </c>
      <c r="J237" s="85">
        <f>IF(H237,An,'2021'!An_max)</f>
        <v>2018</v>
      </c>
      <c r="K237" s="197">
        <f t="shared" si="76"/>
        <v>44784</v>
      </c>
      <c r="L237" s="147">
        <f>IF(t&lt;Tvie,1-EXP((T0-t)*PertePVj)+'2021'!Pspv,1-EXP((T0-t)*PertePVj)+Pspv)</f>
        <v>3.3188972955618512E-2</v>
      </c>
      <c r="M237" s="957"/>
      <c r="N237" s="957"/>
      <c r="O237" s="48">
        <f>IF(t&lt;Tnet,'2021'!Resal+('2021'!Salim-'2021'!Resal)*(1-EXP(('2021'!Tnet-t)/('2021'!Tau_j))),Resal+(Salim-Resal)*(1-EXP((Tnet-t)/(Tau_j))))*Salcycl</f>
        <v>7.9838270510760229E-2</v>
      </c>
      <c r="P237" s="339">
        <f>(INDEX(Models!$BJ237:$BT237,,T237)*(1-R237)+INDEX(Models!$BJ237:$BT237,,T237+1)*R237-ERP_i)*Q237*Ramure*Pc/MaxiM</f>
        <v>2.0415755404696004E-3</v>
      </c>
      <c r="Q237" s="305">
        <f t="shared" si="77"/>
        <v>0.7</v>
      </c>
      <c r="R237" s="177">
        <f t="shared" si="78"/>
        <v>0.46385828690675418</v>
      </c>
      <c r="S237" s="919">
        <f t="shared" si="79"/>
        <v>0</v>
      </c>
      <c r="T237" s="176">
        <f t="shared" si="80"/>
        <v>6</v>
      </c>
      <c r="U237" s="251">
        <f t="shared" si="81"/>
        <v>0.46385828690675418</v>
      </c>
      <c r="V237" s="383">
        <f t="shared" si="82"/>
        <v>47.341927938326833</v>
      </c>
      <c r="W237" s="402"/>
      <c r="X237" s="157">
        <f t="shared" si="83"/>
        <v>44784</v>
      </c>
      <c r="Y237" s="385">
        <f t="shared" si="84"/>
        <v>40.627497914764469</v>
      </c>
      <c r="Z237" s="385">
        <f t="shared" si="85"/>
        <v>42.022170598287417</v>
      </c>
      <c r="AA237" s="386">
        <f t="shared" si="86"/>
        <v>47.986645657947577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0.12429447772147663</v>
      </c>
      <c r="AD237" s="231">
        <f>(INDEX(Models!$BJ237:$BT237,,AH237)*(1-AF237)+INDEX(Models!$BJ237:$BT237,,AH237+1)*AF237-ERP_i)*AE237*Ramure*Pc/MaxiM</f>
        <v>2.0415755404696004E-3</v>
      </c>
      <c r="AE237" s="305">
        <f t="shared" si="88"/>
        <v>0.7</v>
      </c>
      <c r="AF237" s="177">
        <f t="shared" si="89"/>
        <v>0.46385828690675418</v>
      </c>
      <c r="AG237" s="919">
        <f t="shared" si="95"/>
        <v>0</v>
      </c>
      <c r="AH237" s="176">
        <f t="shared" si="90"/>
        <v>6</v>
      </c>
      <c r="AI237" s="225">
        <f t="shared" si="91"/>
        <v>0.46385828690675418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44785</v>
      </c>
      <c r="B238" s="618">
        <v>44.023000000000003</v>
      </c>
      <c r="C238" s="953"/>
      <c r="D238" s="393">
        <f t="shared" si="74"/>
        <v>45.535231815038472</v>
      </c>
      <c r="E238" s="385">
        <f t="shared" si="96"/>
        <v>49.495406324035081</v>
      </c>
      <c r="F238" s="385">
        <f t="shared" si="75"/>
        <v>49.582244836855871</v>
      </c>
      <c r="G238" s="110">
        <f t="shared" si="97"/>
        <v>0.93178929265783117</v>
      </c>
      <c r="H238" s="412" t="b">
        <f>Wh_hp&gt;='2021'!Maxi_hp</f>
        <v>0</v>
      </c>
      <c r="I238" s="380">
        <f>IF(H238,Wh_hp,'2021'!Maxi_hp)</f>
        <v>51.227825043986797</v>
      </c>
      <c r="J238" s="85">
        <f>IF(H238,An,'2021'!An_max)</f>
        <v>2018</v>
      </c>
      <c r="K238" s="197">
        <f t="shared" si="76"/>
        <v>44785</v>
      </c>
      <c r="L238" s="147">
        <f>IF(t&lt;Tvie,1-EXP((T0-t)*PertePVj)+'2021'!Pspv,1-EXP((T0-t)*PertePVj)+Pspv)</f>
        <v>3.3210148598365907E-2</v>
      </c>
      <c r="M238" s="957"/>
      <c r="N238" s="957"/>
      <c r="O238" s="48">
        <f>IF(t&lt;Tnet,'2021'!Resal+('2021'!Salim-'2021'!Resal)*(1-EXP(('2021'!Tnet-t)/('2021'!Tau_j))),Resal+(Salim-Resal)*(1-EXP((Tnet-t)/(Tau_j))))*Salcycl</f>
        <v>8.0010950573276465E-2</v>
      </c>
      <c r="P238" s="339">
        <f>(INDEX(Models!$BJ238:$BT238,,T238)*(1-R238)+INDEX(Models!$BJ238:$BT238,,T238+1)*R238-ERP_i)*Q238*Ramure*Pc/MaxiM</f>
        <v>1.9399519987153072E-3</v>
      </c>
      <c r="Q238" s="305">
        <f t="shared" si="77"/>
        <v>0.7</v>
      </c>
      <c r="R238" s="177">
        <f t="shared" si="78"/>
        <v>0.46521942589432025</v>
      </c>
      <c r="S238" s="919">
        <f t="shared" si="79"/>
        <v>0</v>
      </c>
      <c r="T238" s="176">
        <f t="shared" si="80"/>
        <v>6</v>
      </c>
      <c r="U238" s="251">
        <f t="shared" si="81"/>
        <v>0.46521942589432025</v>
      </c>
      <c r="V238" s="383">
        <f t="shared" si="82"/>
        <v>47.236736147793088</v>
      </c>
      <c r="W238" s="402"/>
      <c r="X238" s="157">
        <f t="shared" si="83"/>
        <v>44785</v>
      </c>
      <c r="Y238" s="385">
        <f t="shared" si="84"/>
        <v>41.899202469744431</v>
      </c>
      <c r="Z238" s="385">
        <f t="shared" si="85"/>
        <v>43.338479824751715</v>
      </c>
      <c r="AA238" s="386">
        <f t="shared" si="86"/>
        <v>49.495406324035081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0.12439389746546123</v>
      </c>
      <c r="AD238" s="231">
        <f>(INDEX(Models!$BJ238:$BT238,,AH238)*(1-AF238)+INDEX(Models!$BJ238:$BT238,,AH238+1)*AF238-ERP_i)*AE238*Ramure*Pc/MaxiM</f>
        <v>1.9399519987153072E-3</v>
      </c>
      <c r="AE238" s="305">
        <f t="shared" si="88"/>
        <v>0.7</v>
      </c>
      <c r="AF238" s="177">
        <f t="shared" si="89"/>
        <v>0.46521942589432025</v>
      </c>
      <c r="AG238" s="919">
        <f t="shared" si="95"/>
        <v>0</v>
      </c>
      <c r="AH238" s="176">
        <f t="shared" si="90"/>
        <v>6</v>
      </c>
      <c r="AI238" s="225">
        <f t="shared" si="91"/>
        <v>0.46521942589432025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44786</v>
      </c>
      <c r="B239" s="618">
        <v>34.554000000000002</v>
      </c>
      <c r="C239" s="953"/>
      <c r="D239" s="393">
        <f t="shared" si="74"/>
        <v>35.741745517663787</v>
      </c>
      <c r="E239" s="385">
        <f t="shared" si="96"/>
        <v>38.857458835134636</v>
      </c>
      <c r="F239" s="385">
        <f t="shared" si="75"/>
        <v>38.901768821560161</v>
      </c>
      <c r="G239" s="110">
        <f t="shared" si="97"/>
        <v>0.73263089477605503</v>
      </c>
      <c r="H239" s="412" t="b">
        <f>Wh_hp&gt;='2021'!Maxi_hp</f>
        <v>0</v>
      </c>
      <c r="I239" s="380">
        <f>IF(H239,Wh_hp,'2021'!Maxi_hp)</f>
        <v>48.536022746732414</v>
      </c>
      <c r="J239" s="85">
        <f>IF(H239,An,'2021'!An_max)</f>
        <v>2019</v>
      </c>
      <c r="K239" s="197">
        <f t="shared" si="76"/>
        <v>44786</v>
      </c>
      <c r="L239" s="147">
        <f>IF(t&lt;Tvie,1-EXP((T0-t)*PertePVj)+'2021'!Pspv,1-EXP((T0-t)*PertePVj)+Pspv)</f>
        <v>3.3231323777312305E-2</v>
      </c>
      <c r="M239" s="957"/>
      <c r="N239" s="957"/>
      <c r="O239" s="48">
        <f>IF(t&lt;Tnet,'2021'!Resal+('2021'!Salim-'2021'!Resal)*(1-EXP(('2021'!Tnet-t)/('2021'!Tau_j))),Resal+(Salim-Resal)*(1-EXP((Tnet-t)/(Tau_j))))*Salcycl</f>
        <v>8.0183146579148934E-2</v>
      </c>
      <c r="P239" s="339">
        <f>(INDEX(Models!$BJ239:$BT239,,T239)*(1-R239)+INDEX(Models!$BJ239:$BT239,,T239+1)*R239-ERP_i)*Q239*Ramure*Pc/MaxiM</f>
        <v>1.8407552435123007E-3</v>
      </c>
      <c r="Q239" s="305">
        <f t="shared" si="77"/>
        <v>0.7</v>
      </c>
      <c r="R239" s="177">
        <f t="shared" si="78"/>
        <v>0.46653328422206386</v>
      </c>
      <c r="S239" s="919">
        <f t="shared" si="79"/>
        <v>0</v>
      </c>
      <c r="T239" s="176">
        <f t="shared" si="80"/>
        <v>6</v>
      </c>
      <c r="U239" s="251">
        <f t="shared" si="81"/>
        <v>0.46653328422206386</v>
      </c>
      <c r="V239" s="383">
        <f t="shared" si="82"/>
        <v>47.13113372599382</v>
      </c>
      <c r="W239" s="402"/>
      <c r="X239" s="157">
        <f t="shared" si="83"/>
        <v>44786</v>
      </c>
      <c r="Y239" s="385">
        <f t="shared" si="84"/>
        <v>32.889453970667901</v>
      </c>
      <c r="Z239" s="385">
        <f t="shared" si="85"/>
        <v>34.019983042036493</v>
      </c>
      <c r="AA239" s="386">
        <f t="shared" si="86"/>
        <v>38.857458835134636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0.12449284997309523</v>
      </c>
      <c r="AD239" s="231">
        <f>(INDEX(Models!$BJ239:$BT239,,AH239)*(1-AF239)+INDEX(Models!$BJ239:$BT239,,AH239+1)*AF239-ERP_i)*AE239*Ramure*Pc/MaxiM</f>
        <v>1.8407552435123007E-3</v>
      </c>
      <c r="AE239" s="305">
        <f t="shared" si="88"/>
        <v>0.7</v>
      </c>
      <c r="AF239" s="177">
        <f t="shared" si="89"/>
        <v>0.46653328422206386</v>
      </c>
      <c r="AG239" s="919">
        <f t="shared" si="95"/>
        <v>0</v>
      </c>
      <c r="AH239" s="176">
        <f t="shared" si="90"/>
        <v>6</v>
      </c>
      <c r="AI239" s="225">
        <f t="shared" si="91"/>
        <v>0.46653328422206386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44787</v>
      </c>
      <c r="B240" s="618">
        <v>31.648</v>
      </c>
      <c r="C240" s="953"/>
      <c r="D240" s="393">
        <f t="shared" si="74"/>
        <v>32.736572838976642</v>
      </c>
      <c r="E240" s="385">
        <f t="shared" si="96"/>
        <v>35.596961456715619</v>
      </c>
      <c r="F240" s="385">
        <f t="shared" si="75"/>
        <v>35.630124088738</v>
      </c>
      <c r="G240" s="110">
        <f t="shared" si="97"/>
        <v>0.67245302998792289</v>
      </c>
      <c r="H240" s="412" t="b">
        <f>Wh_hp&gt;='2021'!Maxi_hp</f>
        <v>0</v>
      </c>
      <c r="I240" s="380">
        <f>IF(H240,Wh_hp,'2021'!Maxi_hp)</f>
        <v>53.538915966622881</v>
      </c>
      <c r="J240" s="85">
        <f>IF(H240,An,'2021'!An_max)</f>
        <v>2019</v>
      </c>
      <c r="K240" s="197">
        <f t="shared" si="76"/>
        <v>44787</v>
      </c>
      <c r="L240" s="147">
        <f>IF(t&lt;Tvie,1-EXP((T0-t)*PertePVj)+'2021'!Pspv,1-EXP((T0-t)*PertePVj)+Pspv)</f>
        <v>3.325249849246803E-2</v>
      </c>
      <c r="M240" s="957"/>
      <c r="N240" s="957"/>
      <c r="O240" s="48">
        <f>IF(t&lt;Tnet,'2021'!Resal+('2021'!Salim-'2021'!Resal)*(1-EXP(('2021'!Tnet-t)/('2021'!Tau_j))),Resal+(Salim-Resal)*(1-EXP((Tnet-t)/(Tau_j))))*Salcycl</f>
        <v>8.0354853355028302E-2</v>
      </c>
      <c r="P240" s="339">
        <f>(INDEX(Models!$BJ240:$BT240,,T240)*(1-R240)+INDEX(Models!$BJ240:$BT240,,T240+1)*R240-ERP_i)*Q240*Ramure*Pc/MaxiM</f>
        <v>1.7466976927371363E-3</v>
      </c>
      <c r="Q240" s="305">
        <f t="shared" si="77"/>
        <v>0.7</v>
      </c>
      <c r="R240" s="177">
        <f t="shared" si="78"/>
        <v>0.46780123078301278</v>
      </c>
      <c r="S240" s="919">
        <f t="shared" si="79"/>
        <v>0</v>
      </c>
      <c r="T240" s="176">
        <f t="shared" si="80"/>
        <v>6</v>
      </c>
      <c r="U240" s="251">
        <f t="shared" si="81"/>
        <v>0.46780123078301278</v>
      </c>
      <c r="V240" s="383">
        <f t="shared" si="82"/>
        <v>47.025072868799128</v>
      </c>
      <c r="W240" s="402"/>
      <c r="X240" s="157">
        <f t="shared" si="83"/>
        <v>44787</v>
      </c>
      <c r="Y240" s="385">
        <f t="shared" si="84"/>
        <v>30.125678099396509</v>
      </c>
      <c r="Z240" s="385">
        <f t="shared" si="85"/>
        <v>31.161888758356206</v>
      </c>
      <c r="AA240" s="386">
        <f t="shared" si="86"/>
        <v>35.596961456715619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0.1245913279354551</v>
      </c>
      <c r="AD240" s="231">
        <f>(INDEX(Models!$BJ240:$BT240,,AH240)*(1-AF240)+INDEX(Models!$BJ240:$BT240,,AH240+1)*AF240-ERP_i)*AE240*Ramure*Pc/MaxiM</f>
        <v>1.7466976927371363E-3</v>
      </c>
      <c r="AE240" s="305">
        <f t="shared" si="88"/>
        <v>0.7</v>
      </c>
      <c r="AF240" s="177">
        <f t="shared" si="89"/>
        <v>0.46780123078301278</v>
      </c>
      <c r="AG240" s="919">
        <f t="shared" si="95"/>
        <v>0</v>
      </c>
      <c r="AH240" s="176">
        <f t="shared" si="90"/>
        <v>6</v>
      </c>
      <c r="AI240" s="225">
        <f t="shared" si="91"/>
        <v>0.46780123078301278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44788</v>
      </c>
      <c r="B241" s="618">
        <v>35.889000000000003</v>
      </c>
      <c r="C241" s="953"/>
      <c r="D241" s="393">
        <f t="shared" si="74"/>
        <v>37.124260494552942</v>
      </c>
      <c r="E241" s="385">
        <f t="shared" si="96"/>
        <v>40.37554418065546</v>
      </c>
      <c r="F241" s="385">
        <f t="shared" si="75"/>
        <v>40.420011583535285</v>
      </c>
      <c r="G241" s="110">
        <f t="shared" si="97"/>
        <v>0.76449293574983301</v>
      </c>
      <c r="H241" s="412" t="b">
        <f>Wh_hp&gt;='2021'!Maxi_hp</f>
        <v>0</v>
      </c>
      <c r="I241" s="380">
        <f>IF(H241,Wh_hp,'2021'!Maxi_hp)</f>
        <v>53.803189402990363</v>
      </c>
      <c r="J241" s="85">
        <f>IF(H241,An,'2021'!An_max)</f>
        <v>2018</v>
      </c>
      <c r="K241" s="197">
        <f t="shared" si="76"/>
        <v>44788</v>
      </c>
      <c r="L241" s="147">
        <f>IF(t&lt;Tvie,1-EXP((T0-t)*PertePVj)+'2021'!Pspv,1-EXP((T0-t)*PertePVj)+Pspv)</f>
        <v>3.3273672743843075E-2</v>
      </c>
      <c r="M241" s="957"/>
      <c r="N241" s="957"/>
      <c r="O241" s="48">
        <f>IF(t&lt;Tnet,'2021'!Resal+('2021'!Salim-'2021'!Resal)*(1-EXP(('2021'!Tnet-t)/('2021'!Tau_j))),Resal+(Salim-Resal)*(1-EXP((Tnet-t)/(Tau_j))))*Salcycl</f>
        <v>8.052606477710976E-2</v>
      </c>
      <c r="P241" s="339">
        <f>(INDEX(Models!$BJ241:$BT241,,T241)*(1-R241)+INDEX(Models!$BJ241:$BT241,,T241+1)*R241-ERP_i)*Q241*Ramure*Pc/MaxiM</f>
        <v>1.6564035949165278E-3</v>
      </c>
      <c r="Q241" s="305">
        <f t="shared" si="77"/>
        <v>0.7</v>
      </c>
      <c r="R241" s="177">
        <f t="shared" si="78"/>
        <v>0.46902461530605299</v>
      </c>
      <c r="S241" s="919">
        <f t="shared" si="79"/>
        <v>0</v>
      </c>
      <c r="T241" s="176">
        <f t="shared" si="80"/>
        <v>6</v>
      </c>
      <c r="U241" s="251">
        <f t="shared" si="81"/>
        <v>0.46902461530605299</v>
      </c>
      <c r="V241" s="383">
        <f t="shared" si="82"/>
        <v>46.918699117712279</v>
      </c>
      <c r="W241" s="402"/>
      <c r="X241" s="157">
        <f t="shared" si="83"/>
        <v>44788</v>
      </c>
      <c r="Y241" s="385">
        <f t="shared" si="84"/>
        <v>34.165215236240527</v>
      </c>
      <c r="Z241" s="385">
        <f t="shared" si="85"/>
        <v>35.341144926931989</v>
      </c>
      <c r="AA241" s="386">
        <f t="shared" si="86"/>
        <v>40.37554418065546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0.12468932260572557</v>
      </c>
      <c r="AD241" s="231">
        <f>(INDEX(Models!$BJ241:$BT241,,AH241)*(1-AF241)+INDEX(Models!$BJ241:$BT241,,AH241+1)*AF241-ERP_i)*AE241*Ramure*Pc/MaxiM</f>
        <v>1.6564035949165278E-3</v>
      </c>
      <c r="AE241" s="305">
        <f t="shared" si="88"/>
        <v>0.7</v>
      </c>
      <c r="AF241" s="177">
        <f t="shared" si="89"/>
        <v>0.46902461530605299</v>
      </c>
      <c r="AG241" s="919">
        <f t="shared" si="95"/>
        <v>0</v>
      </c>
      <c r="AH241" s="176">
        <f t="shared" si="90"/>
        <v>6</v>
      </c>
      <c r="AI241" s="225">
        <f t="shared" si="91"/>
        <v>0.46902461530605299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44789</v>
      </c>
      <c r="B242" s="618">
        <v>33.234999999999999</v>
      </c>
      <c r="C242" s="953"/>
      <c r="D242" s="393">
        <f t="shared" si="74"/>
        <v>34.379665693052665</v>
      </c>
      <c r="E242" s="385">
        <f t="shared" si="96"/>
        <v>37.397525337596988</v>
      </c>
      <c r="F242" s="385">
        <f t="shared" si="75"/>
        <v>37.431941658768388</v>
      </c>
      <c r="G242" s="110">
        <f t="shared" si="97"/>
        <v>0.7095039083079081</v>
      </c>
      <c r="H242" s="412" t="b">
        <f>Wh_hp&gt;='2021'!Maxi_hp</f>
        <v>0</v>
      </c>
      <c r="I242" s="380">
        <f>IF(H242,Wh_hp,'2021'!Maxi_hp)</f>
        <v>53.769916943030935</v>
      </c>
      <c r="J242" s="85">
        <f>IF(H242,An,'2021'!An_max)</f>
        <v>2019</v>
      </c>
      <c r="K242" s="197">
        <f t="shared" si="76"/>
        <v>44789</v>
      </c>
      <c r="L242" s="147">
        <f>IF(t&lt;Tvie,1-EXP((T0-t)*PertePVj)+'2021'!Pspv,1-EXP((T0-t)*PertePVj)+Pspv)</f>
        <v>3.3294846531447764E-2</v>
      </c>
      <c r="M242" s="957"/>
      <c r="N242" s="957"/>
      <c r="O242" s="48">
        <f>IF(t&lt;Tnet,'2021'!Resal+('2021'!Salim-'2021'!Resal)*(1-EXP(('2021'!Tnet-t)/('2021'!Tau_j))),Resal+(Salim-Resal)*(1-EXP((Tnet-t)/(Tau_j))))*Salcycl</f>
        <v>8.0696773845363653E-2</v>
      </c>
      <c r="P242" s="339">
        <f>(INDEX(Models!$BJ242:$BT242,,T242)*(1-R242)+INDEX(Models!$BJ242:$BT242,,T242+1)*R242-ERP_i)*Q242*Ramure*Pc/MaxiM</f>
        <v>1.5699005495528691E-3</v>
      </c>
      <c r="Q242" s="305">
        <f t="shared" si="77"/>
        <v>0.7</v>
      </c>
      <c r="R242" s="177">
        <f t="shared" si="78"/>
        <v>0.47020476693407176</v>
      </c>
      <c r="S242" s="919">
        <f t="shared" si="79"/>
        <v>0</v>
      </c>
      <c r="T242" s="176">
        <f t="shared" si="80"/>
        <v>6</v>
      </c>
      <c r="U242" s="251">
        <f t="shared" si="81"/>
        <v>0.47020476693407176</v>
      </c>
      <c r="V242" s="383">
        <f t="shared" si="82"/>
        <v>46.812091615301632</v>
      </c>
      <c r="W242" s="402"/>
      <c r="X242" s="157">
        <f t="shared" si="83"/>
        <v>44789</v>
      </c>
      <c r="Y242" s="385">
        <f t="shared" si="84"/>
        <v>31.641039734604416</v>
      </c>
      <c r="Z242" s="385">
        <f t="shared" si="85"/>
        <v>32.730806928126846</v>
      </c>
      <c r="AA242" s="386">
        <f t="shared" si="86"/>
        <v>37.397525337596988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0.12478682392330744</v>
      </c>
      <c r="AD242" s="231">
        <f>(INDEX(Models!$BJ242:$BT242,,AH242)*(1-AF242)+INDEX(Models!$BJ242:$BT242,,AH242+1)*AF242-ERP_i)*AE242*Ramure*Pc/MaxiM</f>
        <v>1.5699005495528691E-3</v>
      </c>
      <c r="AE242" s="305">
        <f t="shared" si="88"/>
        <v>0.7</v>
      </c>
      <c r="AF242" s="177">
        <f t="shared" si="89"/>
        <v>0.47020476693407176</v>
      </c>
      <c r="AG242" s="919">
        <f t="shared" si="95"/>
        <v>0</v>
      </c>
      <c r="AH242" s="176">
        <f t="shared" si="90"/>
        <v>6</v>
      </c>
      <c r="AI242" s="225">
        <f t="shared" si="91"/>
        <v>0.47020476693407176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44790</v>
      </c>
      <c r="B243" s="618">
        <v>24.259</v>
      </c>
      <c r="C243" s="953"/>
      <c r="D243" s="393">
        <f t="shared" si="74"/>
        <v>25.095067776305289</v>
      </c>
      <c r="E243" s="385">
        <f t="shared" si="96"/>
        <v>27.302976862321287</v>
      </c>
      <c r="F243" s="385">
        <f t="shared" si="75"/>
        <v>27.315710014214972</v>
      </c>
      <c r="G243" s="110">
        <f t="shared" si="97"/>
        <v>0.51887479642653345</v>
      </c>
      <c r="H243" s="412" t="b">
        <f>Wh_hp&gt;='2021'!Maxi_hp</f>
        <v>0</v>
      </c>
      <c r="I243" s="380">
        <f>IF(H243,Wh_hp,'2021'!Maxi_hp)</f>
        <v>51.890414604753857</v>
      </c>
      <c r="J243" s="85">
        <f>IF(H243,An,'2021'!An_max)</f>
        <v>2019</v>
      </c>
      <c r="K243" s="197">
        <f t="shared" si="76"/>
        <v>44790</v>
      </c>
      <c r="L243" s="147">
        <f>IF(t&lt;Tvie,1-EXP((T0-t)*PertePVj)+'2021'!Pspv,1-EXP((T0-t)*PertePVj)+Pspv)</f>
        <v>3.3316019855292089E-2</v>
      </c>
      <c r="M243" s="957"/>
      <c r="N243" s="957"/>
      <c r="O243" s="48">
        <f>IF(t&lt;Tnet,'2021'!Resal+('2021'!Salim-'2021'!Resal)*(1-EXP(('2021'!Tnet-t)/('2021'!Tau_j))),Resal+(Salim-Resal)*(1-EXP((Tnet-t)/(Tau_j))))*Salcycl</f>
        <v>8.0866972753544833E-2</v>
      </c>
      <c r="P243" s="339">
        <f>(INDEX(Models!$BJ243:$BT243,,T243)*(1-R243)+INDEX(Models!$BJ243:$BT243,,T243+1)*R243-ERP_i)*Q243*Ramure*Pc/MaxiM</f>
        <v>1.4872164107672995E-3</v>
      </c>
      <c r="Q243" s="305">
        <f t="shared" si="77"/>
        <v>0.7</v>
      </c>
      <c r="R243" s="177">
        <f t="shared" si="78"/>
        <v>0.4713429929689244</v>
      </c>
      <c r="S243" s="919">
        <f t="shared" si="79"/>
        <v>0</v>
      </c>
      <c r="T243" s="176">
        <f t="shared" si="80"/>
        <v>6</v>
      </c>
      <c r="U243" s="251">
        <f t="shared" si="81"/>
        <v>0.4713429929689244</v>
      </c>
      <c r="V243" s="383">
        <f t="shared" si="82"/>
        <v>46.705329505351017</v>
      </c>
      <c r="W243" s="402"/>
      <c r="X243" s="157">
        <f t="shared" si="83"/>
        <v>44790</v>
      </c>
      <c r="Y243" s="385">
        <f t="shared" si="84"/>
        <v>23.097247912990632</v>
      </c>
      <c r="Z243" s="385">
        <f t="shared" si="85"/>
        <v>23.893276797173247</v>
      </c>
      <c r="AA243" s="386">
        <f t="shared" si="86"/>
        <v>27.302976862321287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0.12488382063032492</v>
      </c>
      <c r="AD243" s="231">
        <f>(INDEX(Models!$BJ243:$BT243,,AH243)*(1-AF243)+INDEX(Models!$BJ243:$BT243,,AH243+1)*AF243-ERP_i)*AE243*Ramure*Pc/MaxiM</f>
        <v>1.4872164107672995E-3</v>
      </c>
      <c r="AE243" s="305">
        <f t="shared" si="88"/>
        <v>0.7</v>
      </c>
      <c r="AF243" s="177">
        <f t="shared" si="89"/>
        <v>0.4713429929689244</v>
      </c>
      <c r="AG243" s="919">
        <f t="shared" si="95"/>
        <v>0</v>
      </c>
      <c r="AH243" s="176">
        <f t="shared" si="90"/>
        <v>6</v>
      </c>
      <c r="AI243" s="225">
        <f t="shared" si="91"/>
        <v>0.4713429929689244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44791</v>
      </c>
      <c r="B244" s="618">
        <v>32.274000000000001</v>
      </c>
      <c r="C244" s="953"/>
      <c r="D244" s="393">
        <f t="shared" si="74"/>
        <v>33.387029848245305</v>
      </c>
      <c r="E244" s="385">
        <f t="shared" si="96"/>
        <v>36.331187697059242</v>
      </c>
      <c r="F244" s="385">
        <f t="shared" si="75"/>
        <v>36.359908191250639</v>
      </c>
      <c r="G244" s="110">
        <f t="shared" si="97"/>
        <v>0.69216882159639159</v>
      </c>
      <c r="H244" s="412" t="b">
        <f>Wh_hp&gt;='2021'!Maxi_hp</f>
        <v>0</v>
      </c>
      <c r="I244" s="380">
        <f>IF(H244,Wh_hp,'2021'!Maxi_hp)</f>
        <v>49.183966953911138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3.3337192715386266E-2</v>
      </c>
      <c r="M244" s="957"/>
      <c r="N244" s="957"/>
      <c r="O244" s="48">
        <f>IF(t&lt;Tnet,'2021'!Resal+('2021'!Salim-'2021'!Resal)*(1-EXP(('2021'!Tnet-t)/('2021'!Tau_j))),Resal+(Salim-Resal)*(1-EXP((Tnet-t)/(Tau_j))))*Salcycl</f>
        <v>8.1036652954019656E-2</v>
      </c>
      <c r="P244" s="339">
        <f>(INDEX(Models!$BJ244:$BT244,,T244)*(1-R244)+INDEX(Models!$BJ244:$BT244,,T244+1)*R244-ERP_i)*Q244*Ramure*Pc/MaxiM</f>
        <v>1.4083792484047197E-3</v>
      </c>
      <c r="Q244" s="305">
        <f t="shared" si="77"/>
        <v>0.7</v>
      </c>
      <c r="R244" s="177">
        <f t="shared" si="78"/>
        <v>0.47244057777373799</v>
      </c>
      <c r="S244" s="919">
        <f t="shared" si="79"/>
        <v>0</v>
      </c>
      <c r="T244" s="176">
        <f t="shared" si="80"/>
        <v>6</v>
      </c>
      <c r="U244" s="251">
        <f t="shared" si="81"/>
        <v>0.47244057777373799</v>
      </c>
      <c r="V244" s="383">
        <f t="shared" si="82"/>
        <v>46.598491928167597</v>
      </c>
      <c r="W244" s="402"/>
      <c r="X244" s="157">
        <f t="shared" si="83"/>
        <v>44791</v>
      </c>
      <c r="Y244" s="385">
        <f t="shared" si="84"/>
        <v>30.730698755660828</v>
      </c>
      <c r="Z244" s="385">
        <f t="shared" si="85"/>
        <v>31.790504945550072</v>
      </c>
      <c r="AA244" s="386">
        <f t="shared" si="86"/>
        <v>36.331187697059242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0.1249803003791342</v>
      </c>
      <c r="AD244" s="231">
        <f>(INDEX(Models!$BJ244:$BT244,,AH244)*(1-AF244)+INDEX(Models!$BJ244:$BT244,,AH244+1)*AF244-ERP_i)*AE244*Ramure*Pc/MaxiM</f>
        <v>1.4083792484047197E-3</v>
      </c>
      <c r="AE244" s="305">
        <f t="shared" si="88"/>
        <v>0.7</v>
      </c>
      <c r="AF244" s="177">
        <f t="shared" si="89"/>
        <v>0.47244057777373799</v>
      </c>
      <c r="AG244" s="919">
        <f t="shared" si="95"/>
        <v>0</v>
      </c>
      <c r="AH244" s="176">
        <f t="shared" si="90"/>
        <v>6</v>
      </c>
      <c r="AI244" s="225">
        <f t="shared" si="91"/>
        <v>0.47244057777373799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44792</v>
      </c>
      <c r="B245" s="618">
        <v>32.930999999999997</v>
      </c>
      <c r="C245" s="953"/>
      <c r="D245" s="393">
        <f t="shared" si="74"/>
        <v>34.06743389840301</v>
      </c>
      <c r="E245" s="385">
        <f t="shared" si="96"/>
        <v>37.078416572312442</v>
      </c>
      <c r="F245" s="385">
        <f t="shared" si="75"/>
        <v>37.107278707884944</v>
      </c>
      <c r="G245" s="110">
        <f t="shared" si="97"/>
        <v>0.70792675958226792</v>
      </c>
      <c r="H245" s="412" t="b">
        <f>Wh_hp&gt;='2021'!Maxi_hp</f>
        <v>0</v>
      </c>
      <c r="I245" s="380">
        <f>IF(H245,Wh_hp,'2021'!Maxi_hp)</f>
        <v>49.967163493960541</v>
      </c>
      <c r="J245" s="85">
        <f>IF(H245,An,'2021'!An_max)</f>
        <v>2018</v>
      </c>
      <c r="K245" s="197">
        <f t="shared" si="76"/>
        <v>44792</v>
      </c>
      <c r="L245" s="147">
        <f>IF(t&lt;Tvie,1-EXP((T0-t)*PertePVj)+'2021'!Pspv,1-EXP((T0-t)*PertePVj)+Pspv)</f>
        <v>3.3358365111740507E-2</v>
      </c>
      <c r="M245" s="957"/>
      <c r="N245" s="957"/>
      <c r="O245" s="48">
        <f>IF(t&lt;Tnet,'2021'!Resal+('2021'!Salim-'2021'!Resal)*(1-EXP(('2021'!Tnet-t)/('2021'!Tau_j))),Resal+(Salim-Resal)*(1-EXP((Tnet-t)/(Tau_j))))*Salcycl</f>
        <v>8.1205805216553489E-2</v>
      </c>
      <c r="P245" s="339">
        <f>(INDEX(Models!$BJ245:$BT245,,T245)*(1-R245)+INDEX(Models!$BJ245:$BT245,,T245+1)*R245-ERP_i)*Q245*Ramure*Pc/MaxiM</f>
        <v>1.3334172978992061E-3</v>
      </c>
      <c r="Q245" s="305">
        <f t="shared" si="77"/>
        <v>0.7</v>
      </c>
      <c r="R245" s="177">
        <f t="shared" si="78"/>
        <v>0.47349878182317734</v>
      </c>
      <c r="S245" s="919">
        <f t="shared" si="79"/>
        <v>0</v>
      </c>
      <c r="T245" s="176">
        <f t="shared" si="80"/>
        <v>6</v>
      </c>
      <c r="U245" s="251">
        <f t="shared" si="81"/>
        <v>0.47349878182317734</v>
      </c>
      <c r="V245" s="383">
        <f t="shared" si="82"/>
        <v>46.491658017398024</v>
      </c>
      <c r="W245" s="402"/>
      <c r="X245" s="157">
        <f t="shared" si="83"/>
        <v>44792</v>
      </c>
      <c r="Y245" s="385">
        <f t="shared" si="84"/>
        <v>31.358615651301619</v>
      </c>
      <c r="Z245" s="385">
        <f t="shared" si="85"/>
        <v>32.440787277827702</v>
      </c>
      <c r="AA245" s="386">
        <f t="shared" si="86"/>
        <v>37.078416572312442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0.12507624982960569</v>
      </c>
      <c r="AD245" s="231">
        <f>(INDEX(Models!$BJ245:$BT245,,AH245)*(1-AF245)+INDEX(Models!$BJ245:$BT245,,AH245+1)*AF245-ERP_i)*AE245*Ramure*Pc/MaxiM</f>
        <v>1.3334172978992061E-3</v>
      </c>
      <c r="AE245" s="305">
        <f t="shared" si="88"/>
        <v>0.7</v>
      </c>
      <c r="AF245" s="177">
        <f t="shared" si="89"/>
        <v>0.47349878182317734</v>
      </c>
      <c r="AG245" s="919">
        <f t="shared" si="95"/>
        <v>0</v>
      </c>
      <c r="AH245" s="176">
        <f t="shared" si="90"/>
        <v>6</v>
      </c>
      <c r="AI245" s="225">
        <f t="shared" si="91"/>
        <v>0.47349878182317734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44793</v>
      </c>
      <c r="B246" s="618">
        <v>46.445</v>
      </c>
      <c r="C246" s="953"/>
      <c r="D246" s="393">
        <f t="shared" si="74"/>
        <v>48.04884831217533</v>
      </c>
      <c r="E246" s="385">
        <f t="shared" si="96"/>
        <v>52.305149498944132</v>
      </c>
      <c r="F246" s="385">
        <f t="shared" si="75"/>
        <v>52.371260826132868</v>
      </c>
      <c r="G246" s="110">
        <f t="shared" si="97"/>
        <v>1.0012955313911678</v>
      </c>
      <c r="H246" s="412" t="b">
        <f>Wh_hp&gt;='2021'!Maxi_hp</f>
        <v>0</v>
      </c>
      <c r="I246" s="380">
        <f>IF(H246,Wh_hp,'2021'!Maxi_hp)</f>
        <v>52.544338316202321</v>
      </c>
      <c r="J246" s="85">
        <f>IF(H246,An,'2021'!An_max)</f>
        <v>2021</v>
      </c>
      <c r="K246" s="197">
        <f t="shared" si="76"/>
        <v>44793</v>
      </c>
      <c r="L246" s="147">
        <f>IF(t&lt;Tvie,1-EXP((T0-t)*PertePVj)+'2021'!Pspv,1-EXP((T0-t)*PertePVj)+Pspv)</f>
        <v>3.3379537044364915E-2</v>
      </c>
      <c r="M246" s="957"/>
      <c r="N246" s="957"/>
      <c r="O246" s="48">
        <f>IF(t&lt;Tnet,'2021'!Resal+('2021'!Salim-'2021'!Resal)*(1-EXP(('2021'!Tnet-t)/('2021'!Tau_j))),Resal+(Salim-Resal)*(1-EXP((Tnet-t)/(Tau_j))))*Salcycl</f>
        <v>8.1374419680316959E-2</v>
      </c>
      <c r="P246" s="339">
        <f>(INDEX(Models!$BJ246:$BT246,,T246)*(1-R246)+INDEX(Models!$BJ246:$BT246,,T246+1)*R246-ERP_i)*Q246*Ramure*Pc/MaxiM</f>
        <v>1.2623588996304007E-3</v>
      </c>
      <c r="Q246" s="305">
        <f t="shared" si="77"/>
        <v>0.7</v>
      </c>
      <c r="R246" s="177">
        <f t="shared" si="78"/>
        <v>0.4745188408924626</v>
      </c>
      <c r="S246" s="919">
        <f t="shared" si="79"/>
        <v>0</v>
      </c>
      <c r="T246" s="176">
        <f t="shared" si="80"/>
        <v>6</v>
      </c>
      <c r="U246" s="251">
        <f t="shared" si="81"/>
        <v>0.4745188408924626</v>
      </c>
      <c r="V246" s="383">
        <f t="shared" si="82"/>
        <v>46.384906897038491</v>
      </c>
      <c r="W246" s="402"/>
      <c r="X246" s="157">
        <f t="shared" si="83"/>
        <v>44793</v>
      </c>
      <c r="Y246" s="385">
        <f t="shared" si="84"/>
        <v>44.230645614817753</v>
      </c>
      <c r="Z246" s="385">
        <f t="shared" si="85"/>
        <v>45.758027384992161</v>
      </c>
      <c r="AA246" s="386">
        <f t="shared" si="86"/>
        <v>52.305149498944132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0.12517165473514491</v>
      </c>
      <c r="AD246" s="231">
        <f>(INDEX(Models!$BJ246:$BT246,,AH246)*(1-AF246)+INDEX(Models!$BJ246:$BT246,,AH246+1)*AF246-ERP_i)*AE246*Ramure*Pc/MaxiM</f>
        <v>1.2623588996304007E-3</v>
      </c>
      <c r="AE246" s="305">
        <f t="shared" si="88"/>
        <v>0.7</v>
      </c>
      <c r="AF246" s="177">
        <f t="shared" si="89"/>
        <v>0.4745188408924626</v>
      </c>
      <c r="AG246" s="919">
        <f t="shared" si="95"/>
        <v>0</v>
      </c>
      <c r="AH246" s="176">
        <f t="shared" si="90"/>
        <v>6</v>
      </c>
      <c r="AI246" s="225">
        <f t="shared" si="91"/>
        <v>0.4745188408924626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44794</v>
      </c>
      <c r="B247" s="618">
        <v>30.863</v>
      </c>
      <c r="C247" s="953"/>
      <c r="D247" s="393">
        <f t="shared" si="74"/>
        <v>31.929466814039863</v>
      </c>
      <c r="E247" s="385">
        <f t="shared" si="96"/>
        <v>34.764228419727495</v>
      </c>
      <c r="F247" s="385">
        <f t="shared" si="75"/>
        <v>34.786019878556985</v>
      </c>
      <c r="G247" s="110">
        <f t="shared" si="97"/>
        <v>0.66650921570935873</v>
      </c>
      <c r="H247" s="412" t="b">
        <f>Wh_hp&gt;='2021'!Maxi_hp</f>
        <v>0</v>
      </c>
      <c r="I247" s="380">
        <f>IF(H247,Wh_hp,'2021'!Maxi_hp)</f>
        <v>51.773522913939907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3.3400708513269706E-2</v>
      </c>
      <c r="M247" s="957"/>
      <c r="N247" s="957"/>
      <c r="O247" s="48">
        <f>IF(t&lt;Tnet,'2021'!Resal+('2021'!Salim-'2021'!Resal)*(1-EXP(('2021'!Tnet-t)/('2021'!Tau_j))),Resal+(Salim-Resal)*(1-EXP((Tnet-t)/(Tau_j))))*Salcycl</f>
        <v>8.1542485898493292E-2</v>
      </c>
      <c r="P247" s="339">
        <f>(INDEX(Models!$BJ247:$BT247,,T247)*(1-R247)+INDEX(Models!$BJ247:$BT247,,T247+1)*R247-ERP_i)*Q247*Ramure*Pc/MaxiM</f>
        <v>1.195212696325486E-3</v>
      </c>
      <c r="Q247" s="305">
        <f t="shared" si="77"/>
        <v>0.7</v>
      </c>
      <c r="R247" s="177">
        <f t="shared" si="78"/>
        <v>0.47550196537612682</v>
      </c>
      <c r="S247" s="919">
        <f t="shared" si="79"/>
        <v>0</v>
      </c>
      <c r="T247" s="176">
        <f t="shared" si="80"/>
        <v>6</v>
      </c>
      <c r="U247" s="251">
        <f t="shared" si="81"/>
        <v>0.47550196537612682</v>
      </c>
      <c r="V247" s="383">
        <f t="shared" si="82"/>
        <v>46.279082615169962</v>
      </c>
      <c r="W247" s="402"/>
      <c r="X247" s="157">
        <f t="shared" si="83"/>
        <v>44794</v>
      </c>
      <c r="Y247" s="385">
        <f t="shared" si="84"/>
        <v>29.3937385186481</v>
      </c>
      <c r="Z247" s="385">
        <f t="shared" si="85"/>
        <v>30.409435199810122</v>
      </c>
      <c r="AA247" s="386">
        <f t="shared" si="86"/>
        <v>34.764228419727495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0.12526650001661407</v>
      </c>
      <c r="AD247" s="231">
        <f>(INDEX(Models!$BJ247:$BT247,,AH247)*(1-AF247)+INDEX(Models!$BJ247:$BT247,,AH247+1)*AF247-ERP_i)*AE247*Ramure*Pc/MaxiM</f>
        <v>1.195212696325486E-3</v>
      </c>
      <c r="AE247" s="305">
        <f t="shared" si="88"/>
        <v>0.7</v>
      </c>
      <c r="AF247" s="177">
        <f t="shared" si="89"/>
        <v>0.47550196537612682</v>
      </c>
      <c r="AG247" s="919">
        <f t="shared" si="95"/>
        <v>0</v>
      </c>
      <c r="AH247" s="176">
        <f t="shared" si="90"/>
        <v>6</v>
      </c>
      <c r="AI247" s="225">
        <f t="shared" si="91"/>
        <v>0.47550196537612682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44795</v>
      </c>
      <c r="B248" s="618">
        <v>22.093</v>
      </c>
      <c r="C248" s="953"/>
      <c r="D248" s="393">
        <f t="shared" si="74"/>
        <v>22.856921268809177</v>
      </c>
      <c r="E248" s="385">
        <f t="shared" si="96"/>
        <v>24.890743764456413</v>
      </c>
      <c r="F248" s="385">
        <f t="shared" si="75"/>
        <v>24.897947549951979</v>
      </c>
      <c r="G248" s="110">
        <f t="shared" si="97"/>
        <v>0.47806238403275697</v>
      </c>
      <c r="H248" s="412" t="b">
        <f>Wh_hp&gt;='2021'!Maxi_hp</f>
        <v>0</v>
      </c>
      <c r="I248" s="380">
        <f>IF(H248,Wh_hp,'2021'!Maxi_hp)</f>
        <v>53.717329476513434</v>
      </c>
      <c r="J248" s="85">
        <f>IF(H248,An,'2021'!An_max)</f>
        <v>2019</v>
      </c>
      <c r="K248" s="197">
        <f t="shared" si="76"/>
        <v>44795</v>
      </c>
      <c r="L248" s="147">
        <f>IF(t&lt;Tvie,1-EXP((T0-t)*PertePVj)+'2021'!Pspv,1-EXP((T0-t)*PertePVj)+Pspv)</f>
        <v>3.342187951846487E-2</v>
      </c>
      <c r="M248" s="957"/>
      <c r="N248" s="957"/>
      <c r="O248" s="48">
        <f>IF(t&lt;Tnet,'2021'!Resal+('2021'!Salim-'2021'!Resal)*(1-EXP(('2021'!Tnet-t)/('2021'!Tau_j))),Resal+(Salim-Resal)*(1-EXP((Tnet-t)/(Tau_j))))*Salcycl</f>
        <v>8.1709992875002052E-2</v>
      </c>
      <c r="P248" s="339">
        <f>(INDEX(Models!$BJ248:$BT248,,T248)*(1-R248)+INDEX(Models!$BJ248:$BT248,,T248+1)*R248-ERP_i)*Q248*Ramure*Pc/MaxiM</f>
        <v>1.1348467425926034E-3</v>
      </c>
      <c r="Q248" s="305">
        <f t="shared" si="77"/>
        <v>0.7</v>
      </c>
      <c r="R248" s="177">
        <f t="shared" si="78"/>
        <v>0.47644933972774522</v>
      </c>
      <c r="S248" s="919">
        <f t="shared" si="79"/>
        <v>0</v>
      </c>
      <c r="T248" s="176">
        <f t="shared" si="80"/>
        <v>6</v>
      </c>
      <c r="U248" s="251">
        <f t="shared" si="81"/>
        <v>0.47644933972774522</v>
      </c>
      <c r="V248" s="383">
        <f t="shared" si="82"/>
        <v>46.174548311925882</v>
      </c>
      <c r="W248" s="402"/>
      <c r="X248" s="157">
        <f t="shared" si="83"/>
        <v>44795</v>
      </c>
      <c r="Y248" s="385">
        <f t="shared" si="84"/>
        <v>21.042812578116671</v>
      </c>
      <c r="Z248" s="385">
        <f t="shared" si="85"/>
        <v>21.770420964663931</v>
      </c>
      <c r="AA248" s="386">
        <f t="shared" si="86"/>
        <v>24.890743764456413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0.12536076982352989</v>
      </c>
      <c r="AD248" s="231">
        <f>(INDEX(Models!$BJ248:$BT248,,AH248)*(1-AF248)+INDEX(Models!$BJ248:$BT248,,AH248+1)*AF248-ERP_i)*AE248*Ramure*Pc/MaxiM</f>
        <v>1.1348467425926034E-3</v>
      </c>
      <c r="AE248" s="305">
        <f t="shared" si="88"/>
        <v>0.7</v>
      </c>
      <c r="AF248" s="177">
        <f t="shared" si="89"/>
        <v>0.47644933972774522</v>
      </c>
      <c r="AG248" s="919">
        <f t="shared" si="95"/>
        <v>0</v>
      </c>
      <c r="AH248" s="176">
        <f t="shared" si="90"/>
        <v>6</v>
      </c>
      <c r="AI248" s="225">
        <f t="shared" si="91"/>
        <v>0.47644933972774522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44796</v>
      </c>
      <c r="B249" s="618">
        <v>42.864000000000004</v>
      </c>
      <c r="C249" s="953"/>
      <c r="D249" s="393">
        <f t="shared" si="74"/>
        <v>44.347102364386387</v>
      </c>
      <c r="E249" s="385">
        <f t="shared" si="96"/>
        <v>48.301914819084367</v>
      </c>
      <c r="F249" s="385">
        <f t="shared" si="75"/>
        <v>48.348929579154834</v>
      </c>
      <c r="G249" s="110">
        <f t="shared" si="97"/>
        <v>0.93029145140018488</v>
      </c>
      <c r="H249" s="412" t="b">
        <f>Wh_hp&gt;='2021'!Maxi_hp</f>
        <v>0</v>
      </c>
      <c r="I249" s="380">
        <f>IF(H249,Wh_hp,'2021'!Maxi_hp)</f>
        <v>51.339633290441888</v>
      </c>
      <c r="J249" s="85">
        <f>IF(H249,An,'2021'!An_max)</f>
        <v>2019</v>
      </c>
      <c r="K249" s="197">
        <f t="shared" si="76"/>
        <v>44796</v>
      </c>
      <c r="L249" s="147">
        <f>IF(t&lt;Tvie,1-EXP((T0-t)*PertePVj)+'2021'!Pspv,1-EXP((T0-t)*PertePVj)+Pspv)</f>
        <v>3.3443050059960844E-2</v>
      </c>
      <c r="M249" s="957"/>
      <c r="N249" s="957"/>
      <c r="O249" s="48">
        <f>IF(t&lt;Tnet,'2021'!Resal+('2021'!Salim-'2021'!Resal)*(1-EXP(('2021'!Tnet-t)/('2021'!Tau_j))),Resal+(Salim-Resal)*(1-EXP((Tnet-t)/(Tau_j))))*Salcycl</f>
        <v>8.1876929092993461E-2</v>
      </c>
      <c r="P249" s="339">
        <f>(INDEX(Models!$BJ249:$BT249,,T249)*(1-R249)+INDEX(Models!$BJ249:$BT249,,T249+1)*R249-ERP_i)*Q249*Ramure*Pc/MaxiM</f>
        <v>1.0797795235444852E-3</v>
      </c>
      <c r="Q249" s="305">
        <f t="shared" si="77"/>
        <v>0.7</v>
      </c>
      <c r="R249" s="177">
        <f t="shared" si="78"/>
        <v>0.47736212201213152</v>
      </c>
      <c r="S249" s="919">
        <f t="shared" si="79"/>
        <v>0</v>
      </c>
      <c r="T249" s="176">
        <f t="shared" si="80"/>
        <v>6</v>
      </c>
      <c r="U249" s="251">
        <f t="shared" si="81"/>
        <v>0.47736212201213152</v>
      </c>
      <c r="V249" s="383">
        <f t="shared" si="82"/>
        <v>46.070930750898015</v>
      </c>
      <c r="W249" s="402"/>
      <c r="X249" s="157">
        <f t="shared" si="83"/>
        <v>44796</v>
      </c>
      <c r="Y249" s="385">
        <f t="shared" si="84"/>
        <v>40.829515940392355</v>
      </c>
      <c r="Z249" s="385">
        <f t="shared" si="85"/>
        <v>42.242224778297064</v>
      </c>
      <c r="AA249" s="386">
        <f t="shared" si="86"/>
        <v>48.301914819084367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0.12545444758212942</v>
      </c>
      <c r="AD249" s="231">
        <f>(INDEX(Models!$BJ249:$BT249,,AH249)*(1-AF249)+INDEX(Models!$BJ249:$BT249,,AH249+1)*AF249-ERP_i)*AE249*Ramure*Pc/MaxiM</f>
        <v>1.0797795235444852E-3</v>
      </c>
      <c r="AE249" s="305">
        <f t="shared" si="88"/>
        <v>0.7</v>
      </c>
      <c r="AF249" s="177">
        <f t="shared" si="89"/>
        <v>0.47736212201213152</v>
      </c>
      <c r="AG249" s="919">
        <f t="shared" si="95"/>
        <v>0</v>
      </c>
      <c r="AH249" s="176">
        <f t="shared" si="90"/>
        <v>6</v>
      </c>
      <c r="AI249" s="225">
        <f t="shared" si="91"/>
        <v>0.47736212201213152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44797</v>
      </c>
      <c r="B250" s="618">
        <v>44.246000000000002</v>
      </c>
      <c r="C250" s="953"/>
      <c r="D250" s="393">
        <f t="shared" si="74"/>
        <v>45.777922475158356</v>
      </c>
      <c r="E250" s="385">
        <f t="shared" si="96"/>
        <v>49.869369224262343</v>
      </c>
      <c r="F250" s="385">
        <f t="shared" si="75"/>
        <v>49.918036446295552</v>
      </c>
      <c r="G250" s="110">
        <f t="shared" si="97"/>
        <v>0.96249053653028716</v>
      </c>
      <c r="H250" s="412" t="b">
        <f>Wh_hp&gt;='2021'!Maxi_hp</f>
        <v>0</v>
      </c>
      <c r="I250" s="380">
        <f>IF(H250,Wh_hp,'2021'!Maxi_hp)</f>
        <v>51.228164501997107</v>
      </c>
      <c r="J250" s="85">
        <f>IF(H250,An,'2021'!An_max)</f>
        <v>2019</v>
      </c>
      <c r="K250" s="197">
        <f t="shared" si="76"/>
        <v>44797</v>
      </c>
      <c r="L250" s="147">
        <f>IF(t&lt;Tvie,1-EXP((T0-t)*PertePVj)+'2021'!Pspv,1-EXP((T0-t)*PertePVj)+Pspv)</f>
        <v>3.3464220137767509E-2</v>
      </c>
      <c r="M250" s="957"/>
      <c r="N250" s="957"/>
      <c r="O250" s="48">
        <f>IF(t&lt;Tnet,'2021'!Resal+('2021'!Salim-'2021'!Resal)*(1-EXP(('2021'!Tnet-t)/('2021'!Tau_j))),Resal+(Salim-Resal)*(1-EXP((Tnet-t)/(Tau_j))))*Salcycl</f>
        <v>8.2043282534911666E-2</v>
      </c>
      <c r="P250" s="339">
        <f>(INDEX(Models!$BJ250:$BT250,,T250)*(1-R250)+INDEX(Models!$BJ250:$BT250,,T250+1)*R250-ERP_i)*Q250*Ramure*Pc/MaxiM</f>
        <v>1.0300602141889068E-3</v>
      </c>
      <c r="Q250" s="305">
        <f t="shared" si="77"/>
        <v>0.7</v>
      </c>
      <c r="R250" s="177">
        <f t="shared" si="78"/>
        <v>0.47824144356179576</v>
      </c>
      <c r="S250" s="919">
        <f t="shared" si="79"/>
        <v>0</v>
      </c>
      <c r="T250" s="176">
        <f t="shared" si="80"/>
        <v>6</v>
      </c>
      <c r="U250" s="251">
        <f t="shared" si="81"/>
        <v>0.47824144356179576</v>
      </c>
      <c r="V250" s="383">
        <f t="shared" si="82"/>
        <v>45.967785872661914</v>
      </c>
      <c r="W250" s="402"/>
      <c r="X250" s="157">
        <f t="shared" si="83"/>
        <v>44797</v>
      </c>
      <c r="Y250" s="385">
        <f t="shared" si="84"/>
        <v>42.149072902451756</v>
      </c>
      <c r="Z250" s="385">
        <f t="shared" si="85"/>
        <v>43.608393792167298</v>
      </c>
      <c r="AA250" s="386">
        <f t="shared" si="86"/>
        <v>49.869369224262343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0.12554751603011996</v>
      </c>
      <c r="AD250" s="231">
        <f>(INDEX(Models!$BJ250:$BT250,,AH250)*(1-AF250)+INDEX(Models!$BJ250:$BT250,,AH250+1)*AF250-ERP_i)*AE250*Ramure*Pc/MaxiM</f>
        <v>1.0300602141889068E-3</v>
      </c>
      <c r="AE250" s="305">
        <f t="shared" si="88"/>
        <v>0.7</v>
      </c>
      <c r="AF250" s="177">
        <f t="shared" si="89"/>
        <v>0.47824144356179576</v>
      </c>
      <c r="AG250" s="919">
        <f t="shared" si="95"/>
        <v>0</v>
      </c>
      <c r="AH250" s="176">
        <f t="shared" si="90"/>
        <v>6</v>
      </c>
      <c r="AI250" s="225">
        <f t="shared" si="91"/>
        <v>0.47824144356179576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44798</v>
      </c>
      <c r="B251" s="618">
        <v>28.571000000000002</v>
      </c>
      <c r="C251" s="953"/>
      <c r="D251" s="393">
        <f t="shared" si="74"/>
        <v>29.560856811741118</v>
      </c>
      <c r="E251" s="385">
        <f t="shared" si="96"/>
        <v>32.208703422069341</v>
      </c>
      <c r="F251" s="385">
        <f t="shared" si="75"/>
        <v>32.223357437086264</v>
      </c>
      <c r="G251" s="110">
        <f t="shared" si="97"/>
        <v>0.6226104470458812</v>
      </c>
      <c r="H251" s="412" t="b">
        <f>Wh_hp&gt;='2021'!Maxi_hp</f>
        <v>0</v>
      </c>
      <c r="I251" s="380">
        <f>IF(H251,Wh_hp,'2021'!Maxi_hp)</f>
        <v>50.680972332086561</v>
      </c>
      <c r="J251" s="85">
        <f>IF(H251,An,'2021'!An_max)</f>
        <v>2021</v>
      </c>
      <c r="K251" s="197">
        <f t="shared" si="76"/>
        <v>44798</v>
      </c>
      <c r="L251" s="147">
        <f>IF(t&lt;Tvie,1-EXP((T0-t)*PertePVj)+'2021'!Pspv,1-EXP((T0-t)*PertePVj)+Pspv)</f>
        <v>3.3485389751895189E-2</v>
      </c>
      <c r="M251" s="957"/>
      <c r="N251" s="957"/>
      <c r="O251" s="48">
        <f>IF(t&lt;Tnet,'2021'!Resal+('2021'!Salim-'2021'!Resal)*(1-EXP(('2021'!Tnet-t)/('2021'!Tau_j))),Resal+(Salim-Resal)*(1-EXP((Tnet-t)/(Tau_j))))*Salcycl</f>
        <v>8.2209040694072893E-2</v>
      </c>
      <c r="P251" s="339">
        <f>(INDEX(Models!$BJ251:$BT251,,T251)*(1-R251)+INDEX(Models!$BJ251:$BT251,,T251+1)*R251-ERP_i)*Q251*Ramure*Pc/MaxiM</f>
        <v>9.8573507826425007E-4</v>
      </c>
      <c r="Q251" s="305">
        <f t="shared" si="77"/>
        <v>0.7</v>
      </c>
      <c r="R251" s="177">
        <f t="shared" si="78"/>
        <v>0.47908840872976038</v>
      </c>
      <c r="S251" s="919">
        <f t="shared" si="79"/>
        <v>0</v>
      </c>
      <c r="T251" s="176">
        <f t="shared" si="80"/>
        <v>6</v>
      </c>
      <c r="U251" s="251">
        <f t="shared" si="81"/>
        <v>0.47908840872976038</v>
      </c>
      <c r="V251" s="383">
        <f t="shared" si="82"/>
        <v>45.864670038425146</v>
      </c>
      <c r="W251" s="402"/>
      <c r="X251" s="157">
        <f t="shared" si="83"/>
        <v>44798</v>
      </c>
      <c r="Y251" s="385">
        <f t="shared" si="84"/>
        <v>27.218987644681818</v>
      </c>
      <c r="Z251" s="385">
        <f t="shared" si="85"/>
        <v>28.162003301424164</v>
      </c>
      <c r="AA251" s="386">
        <f t="shared" si="86"/>
        <v>32.208703422069341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0.12563995723815399</v>
      </c>
      <c r="AD251" s="231">
        <f>(INDEX(Models!$BJ251:$BT251,,AH251)*(1-AF251)+INDEX(Models!$BJ251:$BT251,,AH251+1)*AF251-ERP_i)*AE251*Ramure*Pc/MaxiM</f>
        <v>9.8573507826425007E-4</v>
      </c>
      <c r="AE251" s="305">
        <f t="shared" si="88"/>
        <v>0.7</v>
      </c>
      <c r="AF251" s="177">
        <f t="shared" si="89"/>
        <v>0.47908840872976038</v>
      </c>
      <c r="AG251" s="919">
        <f t="shared" si="95"/>
        <v>0</v>
      </c>
      <c r="AH251" s="176">
        <f t="shared" si="90"/>
        <v>6</v>
      </c>
      <c r="AI251" s="225">
        <f t="shared" si="91"/>
        <v>0.47908840872976038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44799</v>
      </c>
      <c r="B252" s="618">
        <v>39.231999999999999</v>
      </c>
      <c r="C252" s="953"/>
      <c r="D252" s="393">
        <f t="shared" si="74"/>
        <v>40.592101644729468</v>
      </c>
      <c r="E252" s="385">
        <f t="shared" si="96"/>
        <v>44.236006908187726</v>
      </c>
      <c r="F252" s="385">
        <f t="shared" si="75"/>
        <v>44.269379568408723</v>
      </c>
      <c r="G252" s="110">
        <f t="shared" si="97"/>
        <v>0.85715571632382059</v>
      </c>
      <c r="H252" s="412" t="b">
        <f>Wh_hp&gt;='2021'!Maxi_hp</f>
        <v>0</v>
      </c>
      <c r="I252" s="380">
        <f>IF(H252,Wh_hp,'2021'!Maxi_hp)</f>
        <v>53.637175533284911</v>
      </c>
      <c r="J252" s="85">
        <f>IF(H252,An,'2021'!An_max)</f>
        <v>2018</v>
      </c>
      <c r="K252" s="197">
        <f t="shared" si="76"/>
        <v>44799</v>
      </c>
      <c r="L252" s="147">
        <f>IF(t&lt;Tvie,1-EXP((T0-t)*PertePVj)+'2021'!Pspv,1-EXP((T0-t)*PertePVj)+Pspv)</f>
        <v>3.3506558902353989E-2</v>
      </c>
      <c r="M252" s="957"/>
      <c r="N252" s="957"/>
      <c r="O252" s="48">
        <f>IF(t&lt;Tnet,'2021'!Resal+('2021'!Salim-'2021'!Resal)*(1-EXP(('2021'!Tnet-t)/('2021'!Tau_j))),Resal+(Salim-Resal)*(1-EXP((Tnet-t)/(Tau_j))))*Salcycl</f>
        <v>8.2374190577852585E-2</v>
      </c>
      <c r="P252" s="339">
        <f>(INDEX(Models!$BJ252:$BT252,,T252)*(1-R252)+INDEX(Models!$BJ252:$BT252,,T252+1)*R252-ERP_i)*Q252*Ramure*Pc/MaxiM</f>
        <v>9.4684696519353967E-4</v>
      </c>
      <c r="Q252" s="305">
        <f t="shared" si="77"/>
        <v>0.7</v>
      </c>
      <c r="R252" s="177">
        <f t="shared" si="78"/>
        <v>0.47990409473116402</v>
      </c>
      <c r="S252" s="919">
        <f t="shared" si="79"/>
        <v>0</v>
      </c>
      <c r="T252" s="176">
        <f t="shared" si="80"/>
        <v>6</v>
      </c>
      <c r="U252" s="251">
        <f t="shared" si="81"/>
        <v>0.47990409473116402</v>
      </c>
      <c r="V252" s="383">
        <f t="shared" si="82"/>
        <v>45.761140071693546</v>
      </c>
      <c r="W252" s="402"/>
      <c r="X252" s="157">
        <f t="shared" si="83"/>
        <v>44799</v>
      </c>
      <c r="Y252" s="385">
        <f t="shared" si="84"/>
        <v>37.378299007171741</v>
      </c>
      <c r="Z252" s="385">
        <f t="shared" si="85"/>
        <v>38.674136230786246</v>
      </c>
      <c r="AA252" s="386">
        <f t="shared" si="86"/>
        <v>44.236006908187726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0.12573175261829569</v>
      </c>
      <c r="AD252" s="231">
        <f>(INDEX(Models!$BJ252:$BT252,,AH252)*(1-AF252)+INDEX(Models!$BJ252:$BT252,,AH252+1)*AF252-ERP_i)*AE252*Ramure*Pc/MaxiM</f>
        <v>9.4684696519353967E-4</v>
      </c>
      <c r="AE252" s="305">
        <f t="shared" si="88"/>
        <v>0.7</v>
      </c>
      <c r="AF252" s="177">
        <f t="shared" si="89"/>
        <v>0.47990409473116402</v>
      </c>
      <c r="AG252" s="919">
        <f t="shared" si="95"/>
        <v>0</v>
      </c>
      <c r="AH252" s="176">
        <f t="shared" si="90"/>
        <v>6</v>
      </c>
      <c r="AI252" s="225">
        <f t="shared" si="91"/>
        <v>0.47990409473116402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44800</v>
      </c>
      <c r="B253" s="618">
        <v>44.069000000000003</v>
      </c>
      <c r="C253" s="953"/>
      <c r="D253" s="393">
        <f t="shared" si="74"/>
        <v>45.597790291562895</v>
      </c>
      <c r="E253" s="385">
        <f t="shared" si="96"/>
        <v>49.699961427351333</v>
      </c>
      <c r="F253" s="385">
        <f t="shared" si="75"/>
        <v>49.743141317244103</v>
      </c>
      <c r="G253" s="110">
        <f t="shared" si="97"/>
        <v>0.96518029268213623</v>
      </c>
      <c r="H253" s="412" t="b">
        <f>Wh_hp&gt;='2021'!Maxi_hp</f>
        <v>0</v>
      </c>
      <c r="I253" s="380">
        <f>IF(H253,Wh_hp,'2021'!Maxi_hp)</f>
        <v>51.403994258295555</v>
      </c>
      <c r="J253" s="85">
        <f>IF(H253,An,'2021'!An_max)</f>
        <v>2018</v>
      </c>
      <c r="K253" s="197">
        <f t="shared" si="76"/>
        <v>44800</v>
      </c>
      <c r="L253" s="147">
        <f>IF(t&lt;Tvie,1-EXP((T0-t)*PertePVj)+'2021'!Pspv,1-EXP((T0-t)*PertePVj)+Pspv)</f>
        <v>3.3527727589154011E-2</v>
      </c>
      <c r="M253" s="957"/>
      <c r="N253" s="957"/>
      <c r="O253" s="48">
        <f>IF(t&lt;Tnet,'2021'!Resal+('2021'!Salim-'2021'!Resal)*(1-EXP(('2021'!Tnet-t)/('2021'!Tau_j))),Resal+(Salim-Resal)*(1-EXP((Tnet-t)/(Tau_j))))*Salcycl</f>
        <v>8.2538718702725083E-2</v>
      </c>
      <c r="P253" s="339">
        <f>(INDEX(Models!$BJ253:$BT253,,T253)*(1-R253)+INDEX(Models!$BJ253:$BT253,,T253+1)*R253-ERP_i)*Q253*Ramure*Pc/MaxiM</f>
        <v>9.1343651190331596E-4</v>
      </c>
      <c r="Q253" s="305">
        <f t="shared" si="77"/>
        <v>0.7</v>
      </c>
      <c r="R253" s="177">
        <f t="shared" si="78"/>
        <v>0.48068955156641124</v>
      </c>
      <c r="S253" s="919">
        <f t="shared" si="79"/>
        <v>0</v>
      </c>
      <c r="T253" s="176">
        <f t="shared" si="80"/>
        <v>6</v>
      </c>
      <c r="U253" s="251">
        <f t="shared" si="81"/>
        <v>0.48068955156641124</v>
      </c>
      <c r="V253" s="383">
        <f t="shared" si="82"/>
        <v>45.656753224142427</v>
      </c>
      <c r="W253" s="402"/>
      <c r="X253" s="157">
        <f t="shared" si="83"/>
        <v>44800</v>
      </c>
      <c r="Y253" s="385">
        <f t="shared" si="84"/>
        <v>41.989904269450513</v>
      </c>
      <c r="Z253" s="385">
        <f t="shared" si="85"/>
        <v>43.446568999550834</v>
      </c>
      <c r="AA253" s="386">
        <f t="shared" si="86"/>
        <v>49.699961427351333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0.12582288291996691</v>
      </c>
      <c r="AD253" s="231">
        <f>(INDEX(Models!$BJ253:$BT253,,AH253)*(1-AF253)+INDEX(Models!$BJ253:$BT253,,AH253+1)*AF253-ERP_i)*AE253*Ramure*Pc/MaxiM</f>
        <v>9.1343651190331596E-4</v>
      </c>
      <c r="AE253" s="305">
        <f t="shared" si="88"/>
        <v>0.7</v>
      </c>
      <c r="AF253" s="177">
        <f t="shared" si="89"/>
        <v>0.48068955156641124</v>
      </c>
      <c r="AG253" s="919">
        <f t="shared" si="95"/>
        <v>0</v>
      </c>
      <c r="AH253" s="176">
        <f t="shared" si="90"/>
        <v>6</v>
      </c>
      <c r="AI253" s="225">
        <f t="shared" si="91"/>
        <v>0.48068955156641124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44801</v>
      </c>
      <c r="B254" s="618">
        <v>44.170999999999999</v>
      </c>
      <c r="C254" s="953"/>
      <c r="D254" s="393">
        <f t="shared" si="74"/>
        <v>45.704329798583949</v>
      </c>
      <c r="E254" s="385">
        <f t="shared" si="96"/>
        <v>49.824986259332874</v>
      </c>
      <c r="F254" s="385">
        <f t="shared" si="75"/>
        <v>49.867305784985831</v>
      </c>
      <c r="G254" s="110">
        <f t="shared" si="97"/>
        <v>0.96966704518199132</v>
      </c>
      <c r="H254" s="412" t="b">
        <f>Wh_hp&gt;='2021'!Maxi_hp</f>
        <v>0</v>
      </c>
      <c r="I254" s="380">
        <f>IF(H254,Wh_hp,'2021'!Maxi_hp)</f>
        <v>53.343274555388398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3.3548895812305579E-2</v>
      </c>
      <c r="M254" s="957"/>
      <c r="N254" s="957"/>
      <c r="O254" s="48">
        <f>IF(t&lt;Tnet,'2021'!Resal+('2021'!Salim-'2021'!Resal)*(1-EXP(('2021'!Tnet-t)/('2021'!Tau_j))),Resal+(Salim-Resal)*(1-EXP((Tnet-t)/(Tau_j))))*Salcycl</f>
        <v>8.2702611081544836E-2</v>
      </c>
      <c r="P254" s="339">
        <f>(INDEX(Models!$BJ254:$BT254,,T254)*(1-R254)+INDEX(Models!$BJ254:$BT254,,T254+1)*R254-ERP_i)*Q254*Ramure*Pc/MaxiM</f>
        <v>8.8703312068375386E-4</v>
      </c>
      <c r="Q254" s="305">
        <f t="shared" si="77"/>
        <v>0.7</v>
      </c>
      <c r="R254" s="177">
        <f t="shared" si="78"/>
        <v>0.48144580201897108</v>
      </c>
      <c r="S254" s="919">
        <f t="shared" si="79"/>
        <v>0</v>
      </c>
      <c r="T254" s="176">
        <f t="shared" si="80"/>
        <v>6</v>
      </c>
      <c r="U254" s="251">
        <f t="shared" si="81"/>
        <v>0.48144580201897108</v>
      </c>
      <c r="V254" s="383">
        <f t="shared" si="82"/>
        <v>45.550999218184231</v>
      </c>
      <c r="W254" s="402"/>
      <c r="X254" s="157">
        <f t="shared" si="83"/>
        <v>44801</v>
      </c>
      <c r="Y254" s="385">
        <f t="shared" si="84"/>
        <v>42.090256492475653</v>
      </c>
      <c r="Z254" s="385">
        <f t="shared" si="85"/>
        <v>43.551356411199578</v>
      </c>
      <c r="AA254" s="386">
        <f t="shared" si="86"/>
        <v>49.824986259332874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0.12591332821407777</v>
      </c>
      <c r="AD254" s="231">
        <f>(INDEX(Models!$BJ254:$BT254,,AH254)*(1-AF254)+INDEX(Models!$BJ254:$BT254,,AH254+1)*AF254-ERP_i)*AE254*Ramure*Pc/MaxiM</f>
        <v>8.8703312068375386E-4</v>
      </c>
      <c r="AE254" s="305">
        <f t="shared" si="88"/>
        <v>0.7</v>
      </c>
      <c r="AF254" s="177">
        <f t="shared" si="89"/>
        <v>0.48144580201897108</v>
      </c>
      <c r="AG254" s="919">
        <f t="shared" si="95"/>
        <v>0</v>
      </c>
      <c r="AH254" s="176">
        <f t="shared" si="90"/>
        <v>6</v>
      </c>
      <c r="AI254" s="225">
        <f t="shared" si="91"/>
        <v>0.48144580201897108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44802</v>
      </c>
      <c r="B255" s="618">
        <v>31.036999999999999</v>
      </c>
      <c r="C255" s="953"/>
      <c r="D255" s="393">
        <f t="shared" si="74"/>
        <v>32.115106155247361</v>
      </c>
      <c r="E255" s="385">
        <f t="shared" si="96"/>
        <v>35.016803449557798</v>
      </c>
      <c r="F255" s="385">
        <f t="shared" si="75"/>
        <v>35.033381379890734</v>
      </c>
      <c r="G255" s="110">
        <f t="shared" si="97"/>
        <v>0.68271137291575945</v>
      </c>
      <c r="H255" s="412" t="b">
        <f>Wh_hp&gt;='2021'!Maxi_hp</f>
        <v>0</v>
      </c>
      <c r="I255" s="380">
        <f>IF(H255,Wh_hp,'2021'!Maxi_hp)</f>
        <v>52.809812213553279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3.3570063571818687E-2</v>
      </c>
      <c r="M255" s="957"/>
      <c r="N255" s="957"/>
      <c r="O255" s="48">
        <f>IF(t&lt;Tnet,'2021'!Resal+('2021'!Salim-'2021'!Resal)*(1-EXP(('2021'!Tnet-t)/('2021'!Tau_j))),Resal+(Salim-Resal)*(1-EXP((Tnet-t)/(Tau_j))))*Salcycl</f>
        <v>8.286585320360193E-2</v>
      </c>
      <c r="P255" s="339">
        <f>(INDEX(Models!$BJ255:$BT255,,T255)*(1-R255)+INDEX(Models!$BJ255:$BT255,,T255+1)*R255-ERP_i)*Q255*Ramure*Pc/MaxiM</f>
        <v>8.649107632649779E-4</v>
      </c>
      <c r="Q255" s="305">
        <f t="shared" si="77"/>
        <v>0.7</v>
      </c>
      <c r="R255" s="177">
        <f t="shared" si="78"/>
        <v>0.48217384172126571</v>
      </c>
      <c r="S255" s="919">
        <f t="shared" si="79"/>
        <v>0</v>
      </c>
      <c r="T255" s="176">
        <f t="shared" si="80"/>
        <v>6</v>
      </c>
      <c r="U255" s="251">
        <f t="shared" si="81"/>
        <v>0.48217384172126571</v>
      </c>
      <c r="V255" s="383">
        <f t="shared" si="82"/>
        <v>45.443562341477325</v>
      </c>
      <c r="W255" s="402"/>
      <c r="X255" s="157">
        <f t="shared" si="83"/>
        <v>44802</v>
      </c>
      <c r="Y255" s="385">
        <f t="shared" si="84"/>
        <v>29.577181132540467</v>
      </c>
      <c r="Z255" s="385">
        <f t="shared" si="85"/>
        <v>30.604578788043831</v>
      </c>
      <c r="AA255" s="386">
        <f t="shared" si="86"/>
        <v>35.016803449557798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0.1260030678662557</v>
      </c>
      <c r="AD255" s="231">
        <f>(INDEX(Models!$BJ255:$BT255,,AH255)*(1-AF255)+INDEX(Models!$BJ255:$BT255,,AH255+1)*AF255-ERP_i)*AE255*Ramure*Pc/MaxiM</f>
        <v>8.649107632649779E-4</v>
      </c>
      <c r="AE255" s="305">
        <f t="shared" si="88"/>
        <v>0.7</v>
      </c>
      <c r="AF255" s="177">
        <f t="shared" si="89"/>
        <v>0.48217384172126571</v>
      </c>
      <c r="AG255" s="919">
        <f t="shared" si="95"/>
        <v>0</v>
      </c>
      <c r="AH255" s="176">
        <f t="shared" si="90"/>
        <v>6</v>
      </c>
      <c r="AI255" s="225">
        <f t="shared" si="91"/>
        <v>0.48217384172126571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44803</v>
      </c>
      <c r="B256" s="618">
        <v>43.868000000000002</v>
      </c>
      <c r="C256" s="953"/>
      <c r="D256" s="393">
        <f t="shared" si="74"/>
        <v>45.392800025384176</v>
      </c>
      <c r="E256" s="385">
        <f t="shared" si="96"/>
        <v>49.502952447899943</v>
      </c>
      <c r="F256" s="385">
        <f t="shared" si="75"/>
        <v>49.542981545972353</v>
      </c>
      <c r="G256" s="110">
        <f t="shared" si="97"/>
        <v>0.96762432095548789</v>
      </c>
      <c r="H256" s="412" t="b">
        <f>Wh_hp&gt;='2021'!Maxi_hp</f>
        <v>0</v>
      </c>
      <c r="I256" s="380">
        <f>IF(H256,Wh_hp,'2021'!Maxi_hp)</f>
        <v>51.020688029577649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3.3591230867703437E-2</v>
      </c>
      <c r="M256" s="957"/>
      <c r="N256" s="957"/>
      <c r="O256" s="48">
        <f>IF(t&lt;Tnet,'2021'!Resal+('2021'!Salim-'2021'!Resal)*(1-EXP(('2021'!Tnet-t)/('2021'!Tau_j))),Resal+(Salim-Resal)*(1-EXP((Tnet-t)/(Tau_j))))*Salcycl</f>
        <v>8.3028430008120338E-2</v>
      </c>
      <c r="P256" s="339">
        <f>(INDEX(Models!$BJ256:$BT256,,T256)*(1-R256)+INDEX(Models!$BJ256:$BT256,,T256+1)*R256-ERP_i)*Q256*Ramure*Pc/MaxiM</f>
        <v>8.4710043290688476E-4</v>
      </c>
      <c r="Q256" s="305">
        <f t="shared" si="77"/>
        <v>0.7</v>
      </c>
      <c r="R256" s="177">
        <f t="shared" si="78"/>
        <v>0.4828746392824404</v>
      </c>
      <c r="S256" s="919">
        <f t="shared" si="79"/>
        <v>0</v>
      </c>
      <c r="T256" s="176">
        <f t="shared" si="80"/>
        <v>6</v>
      </c>
      <c r="U256" s="251">
        <f t="shared" si="81"/>
        <v>0.4828746392824404</v>
      </c>
      <c r="V256" s="383">
        <f t="shared" si="82"/>
        <v>45.334000975237593</v>
      </c>
      <c r="W256" s="402"/>
      <c r="X256" s="157">
        <f t="shared" si="83"/>
        <v>44803</v>
      </c>
      <c r="Y256" s="385">
        <f t="shared" si="84"/>
        <v>41.807831199121139</v>
      </c>
      <c r="Z256" s="385">
        <f t="shared" si="85"/>
        <v>43.261022182837678</v>
      </c>
      <c r="AA256" s="386">
        <f t="shared" si="86"/>
        <v>49.502952447899943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0.12609208050028262</v>
      </c>
      <c r="AD256" s="231">
        <f>(INDEX(Models!$BJ256:$BT256,,AH256)*(1-AF256)+INDEX(Models!$BJ256:$BT256,,AH256+1)*AF256-ERP_i)*AE256*Ramure*Pc/MaxiM</f>
        <v>8.4710043290688476E-4</v>
      </c>
      <c r="AE256" s="305">
        <f t="shared" si="88"/>
        <v>0.7</v>
      </c>
      <c r="AF256" s="177">
        <f t="shared" si="89"/>
        <v>0.4828746392824404</v>
      </c>
      <c r="AG256" s="919">
        <f t="shared" si="95"/>
        <v>0</v>
      </c>
      <c r="AH256" s="176">
        <f t="shared" si="90"/>
        <v>6</v>
      </c>
      <c r="AI256" s="225">
        <f t="shared" si="91"/>
        <v>0.4828746392824404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44804</v>
      </c>
      <c r="B257" s="618">
        <v>19.943999999999999</v>
      </c>
      <c r="C257" s="953"/>
      <c r="D257" s="393">
        <f t="shared" si="74"/>
        <v>20.637681974119612</v>
      </c>
      <c r="E257" s="385">
        <f t="shared" si="96"/>
        <v>22.51032308673922</v>
      </c>
      <c r="F257" s="385">
        <f t="shared" si="75"/>
        <v>22.514104281602922</v>
      </c>
      <c r="G257" s="110">
        <f t="shared" si="97"/>
        <v>0.44073187653641527</v>
      </c>
      <c r="H257" s="412" t="b">
        <f>Wh_hp&gt;='2021'!Maxi_hp</f>
        <v>0</v>
      </c>
      <c r="I257" s="380">
        <f>IF(H257,Wh_hp,'2021'!Maxi_hp)</f>
        <v>51.639133296774915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3.3612397699970153E-2</v>
      </c>
      <c r="M257" s="957"/>
      <c r="N257" s="957"/>
      <c r="O257" s="48">
        <f>IF(t&lt;Tnet,'2021'!Resal+('2021'!Salim-'2021'!Resal)*(1-EXP(('2021'!Tnet-t)/('2021'!Tau_j))),Resal+(Salim-Resal)*(1-EXP((Tnet-t)/(Tau_j))))*Salcycl</f>
        <v>8.3190325851998786E-2</v>
      </c>
      <c r="P257" s="339">
        <f>(INDEX(Models!$BJ257:$BT257,,T257)*(1-R257)+INDEX(Models!$BJ257:$BT257,,T257+1)*R257-ERP_i)*Q257*Ramure*Pc/MaxiM</f>
        <v>8.3363271058978455E-4</v>
      </c>
      <c r="Q257" s="305">
        <f t="shared" si="77"/>
        <v>0.7</v>
      </c>
      <c r="R257" s="177">
        <f t="shared" si="78"/>
        <v>0.48354913647214059</v>
      </c>
      <c r="S257" s="919">
        <f t="shared" si="79"/>
        <v>0</v>
      </c>
      <c r="T257" s="176">
        <f t="shared" si="80"/>
        <v>6</v>
      </c>
      <c r="U257" s="251">
        <f t="shared" si="81"/>
        <v>0.48354913647214059</v>
      </c>
      <c r="V257" s="383">
        <f t="shared" si="82"/>
        <v>45.221873913834038</v>
      </c>
      <c r="W257" s="402"/>
      <c r="X257" s="157">
        <f t="shared" si="83"/>
        <v>44804</v>
      </c>
      <c r="Y257" s="385">
        <f t="shared" si="84"/>
        <v>19.008808165550946</v>
      </c>
      <c r="Z257" s="385">
        <f t="shared" si="85"/>
        <v>19.669962777160475</v>
      </c>
      <c r="AA257" s="386">
        <f t="shared" si="86"/>
        <v>22.51032308673922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0.12618034395303712</v>
      </c>
      <c r="AD257" s="231">
        <f>(INDEX(Models!$BJ257:$BT257,,AH257)*(1-AF257)+INDEX(Models!$BJ257:$BT257,,AH257+1)*AF257-ERP_i)*AE257*Ramure*Pc/MaxiM</f>
        <v>8.3363271058978455E-4</v>
      </c>
      <c r="AE257" s="305">
        <f t="shared" si="88"/>
        <v>0.7</v>
      </c>
      <c r="AF257" s="177">
        <f t="shared" si="89"/>
        <v>0.48354913647214059</v>
      </c>
      <c r="AG257" s="919">
        <f t="shared" si="95"/>
        <v>0</v>
      </c>
      <c r="AH257" s="176">
        <f t="shared" si="90"/>
        <v>6</v>
      </c>
      <c r="AI257" s="225">
        <f t="shared" si="91"/>
        <v>0.48354913647214059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44805</v>
      </c>
      <c r="B258" s="618">
        <v>40.532000000000004</v>
      </c>
      <c r="C258" s="953"/>
      <c r="D258" s="393">
        <f t="shared" si="74"/>
        <v>41.942681878159192</v>
      </c>
      <c r="E258" s="385">
        <f t="shared" si="96"/>
        <v>45.75656099142298</v>
      </c>
      <c r="F258" s="385">
        <f t="shared" si="75"/>
        <v>45.788845514855822</v>
      </c>
      <c r="G258" s="110">
        <f t="shared" si="97"/>
        <v>0.89847224898830091</v>
      </c>
      <c r="H258" s="412" t="b">
        <f>Wh_hp&gt;='2021'!Maxi_hp</f>
        <v>0</v>
      </c>
      <c r="I258" s="380">
        <f>IF(H258,Wh_hp,'2021'!Maxi_hp)</f>
        <v>52.083506608695828</v>
      </c>
      <c r="J258" s="85">
        <f>IF(H258,An,'2021'!An_max)</f>
        <v>2018</v>
      </c>
      <c r="K258" s="197">
        <f t="shared" si="76"/>
        <v>44805</v>
      </c>
      <c r="L258" s="147">
        <f>IF(t&lt;Tvie,1-EXP((T0-t)*PertePVj)+'2021'!Pspv,1-EXP((T0-t)*PertePVj)+Pspv)</f>
        <v>3.3633564068628941E-2</v>
      </c>
      <c r="M258" s="957"/>
      <c r="N258" s="957"/>
      <c r="O258" s="48">
        <f>IF(t&lt;Tnet,'2021'!Resal+('2021'!Salim-'2021'!Resal)*(1-EXP(('2021'!Tnet-t)/('2021'!Tau_j))),Resal+(Salim-Resal)*(1-EXP((Tnet-t)/(Tau_j))))*Salcycl</f>
        <v>8.3351524472713212E-2</v>
      </c>
      <c r="P258" s="339">
        <f>(INDEX(Models!$BJ258:$BT258,,T258)*(1-R258)+INDEX(Models!$BJ258:$BT258,,T258+1)*R258-ERP_i)*Q258*Ramure*Pc/MaxiM</f>
        <v>8.2453816370638177E-4</v>
      </c>
      <c r="Q258" s="305">
        <f t="shared" si="77"/>
        <v>0.7</v>
      </c>
      <c r="R258" s="177">
        <f t="shared" si="78"/>
        <v>0.48419824845476206</v>
      </c>
      <c r="S258" s="919">
        <f t="shared" si="79"/>
        <v>0</v>
      </c>
      <c r="T258" s="176">
        <f t="shared" si="80"/>
        <v>6</v>
      </c>
      <c r="U258" s="251">
        <f t="shared" si="81"/>
        <v>0.48419824845476206</v>
      </c>
      <c r="V258" s="383">
        <f t="shared" si="82"/>
        <v>45.106740365967077</v>
      </c>
      <c r="W258" s="402"/>
      <c r="X258" s="157">
        <f t="shared" si="83"/>
        <v>44805</v>
      </c>
      <c r="Y258" s="385">
        <f t="shared" si="84"/>
        <v>38.634343533265671</v>
      </c>
      <c r="Z258" s="385">
        <f t="shared" si="85"/>
        <v>39.978979087814039</v>
      </c>
      <c r="AA258" s="386">
        <f t="shared" si="86"/>
        <v>45.75656099142298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0.12626783522240534</v>
      </c>
      <c r="AD258" s="231">
        <f>(INDEX(Models!$BJ258:$BT258,,AH258)*(1-AF258)+INDEX(Models!$BJ258:$BT258,,AH258+1)*AF258-ERP_i)*AE258*Ramure*Pc/MaxiM</f>
        <v>8.2453816370638177E-4</v>
      </c>
      <c r="AE258" s="305">
        <f t="shared" si="88"/>
        <v>0.7</v>
      </c>
      <c r="AF258" s="177">
        <f t="shared" si="89"/>
        <v>0.48419824845476206</v>
      </c>
      <c r="AG258" s="919">
        <f t="shared" si="95"/>
        <v>0</v>
      </c>
      <c r="AH258" s="176">
        <f t="shared" si="90"/>
        <v>6</v>
      </c>
      <c r="AI258" s="225">
        <f t="shared" si="91"/>
        <v>0.48419824845476206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44806</v>
      </c>
      <c r="B259" s="618">
        <v>37.795999999999999</v>
      </c>
      <c r="C259" s="953"/>
      <c r="D259" s="393">
        <f t="shared" si="74"/>
        <v>39.112314379073794</v>
      </c>
      <c r="E259" s="385">
        <f t="shared" si="96"/>
        <v>42.676297737576704</v>
      </c>
      <c r="F259" s="385">
        <f t="shared" si="75"/>
        <v>42.703312227292585</v>
      </c>
      <c r="G259" s="110">
        <f t="shared" si="97"/>
        <v>0.8399747550498321</v>
      </c>
      <c r="H259" s="412" t="b">
        <f>Wh_hp&gt;='2021'!Maxi_hp</f>
        <v>0</v>
      </c>
      <c r="I259" s="380">
        <f>IF(H259,Wh_hp,'2021'!Maxi_hp)</f>
        <v>50.502495754224739</v>
      </c>
      <c r="J259" s="85">
        <f>IF(H259,An,'2021'!An_max)</f>
        <v>2018</v>
      </c>
      <c r="K259" s="197">
        <f t="shared" si="76"/>
        <v>44806</v>
      </c>
      <c r="L259" s="147">
        <f>IF(t&lt;Tvie,1-EXP((T0-t)*PertePVj)+'2021'!Pspv,1-EXP((T0-t)*PertePVj)+Pspv)</f>
        <v>3.3654729973689901E-2</v>
      </c>
      <c r="M259" s="957"/>
      <c r="N259" s="957"/>
      <c r="O259" s="48">
        <f>IF(t&lt;Tnet,'2021'!Resal+('2021'!Salim-'2021'!Resal)*(1-EXP(('2021'!Tnet-t)/('2021'!Tau_j))),Resal+(Salim-Resal)*(1-EXP((Tnet-t)/(Tau_j))))*Salcycl</f>
        <v>8.3512008947411703E-2</v>
      </c>
      <c r="P259" s="339">
        <f>(INDEX(Models!$BJ259:$BT259,,T259)*(1-R259)+INDEX(Models!$BJ259:$BT259,,T259+1)*R259-ERP_i)*Q259*Ramure*Pc/MaxiM</f>
        <v>8.1984775197748512E-4</v>
      </c>
      <c r="Q259" s="305">
        <f t="shared" si="77"/>
        <v>0.7</v>
      </c>
      <c r="R259" s="177">
        <f t="shared" si="78"/>
        <v>0.48482286406896868</v>
      </c>
      <c r="S259" s="919">
        <f t="shared" si="79"/>
        <v>0</v>
      </c>
      <c r="T259" s="176">
        <f t="shared" si="80"/>
        <v>6</v>
      </c>
      <c r="U259" s="251">
        <f t="shared" si="81"/>
        <v>0.48482286406896868</v>
      </c>
      <c r="V259" s="383">
        <f t="shared" si="82"/>
        <v>44.988159951744358</v>
      </c>
      <c r="W259" s="402"/>
      <c r="X259" s="157">
        <f t="shared" si="83"/>
        <v>44806</v>
      </c>
      <c r="Y259" s="385">
        <f t="shared" si="84"/>
        <v>36.029172767128323</v>
      </c>
      <c r="Z259" s="385">
        <f t="shared" si="85"/>
        <v>37.283954177317369</v>
      </c>
      <c r="AA259" s="386">
        <f t="shared" si="86"/>
        <v>42.676297737576704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0.12635453040977696</v>
      </c>
      <c r="AD259" s="231">
        <f>(INDEX(Models!$BJ259:$BT259,,AH259)*(1-AF259)+INDEX(Models!$BJ259:$BT259,,AH259+1)*AF259-ERP_i)*AE259*Ramure*Pc/MaxiM</f>
        <v>8.1984775197748512E-4</v>
      </c>
      <c r="AE259" s="305">
        <f t="shared" si="88"/>
        <v>0.7</v>
      </c>
      <c r="AF259" s="177">
        <f t="shared" si="89"/>
        <v>0.48482286406896868</v>
      </c>
      <c r="AG259" s="919">
        <f t="shared" si="95"/>
        <v>0</v>
      </c>
      <c r="AH259" s="176">
        <f t="shared" si="90"/>
        <v>6</v>
      </c>
      <c r="AI259" s="225">
        <f t="shared" si="91"/>
        <v>0.48482286406896868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44807</v>
      </c>
      <c r="B260" s="618">
        <v>35.917999999999999</v>
      </c>
      <c r="C260" s="953"/>
      <c r="D260" s="393">
        <f t="shared" si="74"/>
        <v>37.169723728905119</v>
      </c>
      <c r="E260" s="385">
        <f t="shared" si="96"/>
        <v>40.563765442619307</v>
      </c>
      <c r="F260" s="385">
        <f t="shared" si="75"/>
        <v>40.587553312301019</v>
      </c>
      <c r="G260" s="110">
        <f t="shared" si="97"/>
        <v>0.80038010934808523</v>
      </c>
      <c r="H260" s="412" t="b">
        <f>Wh_hp&gt;='2021'!Maxi_hp</f>
        <v>0</v>
      </c>
      <c r="I260" s="380">
        <f>IF(H260,Wh_hp,'2021'!Maxi_hp)</f>
        <v>52.236523625300045</v>
      </c>
      <c r="J260" s="85">
        <f>IF(H260,An,'2021'!An_max)</f>
        <v>2020</v>
      </c>
      <c r="K260" s="197">
        <f t="shared" si="76"/>
        <v>44807</v>
      </c>
      <c r="L260" s="147">
        <f>IF(t&lt;Tvie,1-EXP((T0-t)*PertePVj)+'2021'!Pspv,1-EXP((T0-t)*PertePVj)+Pspv)</f>
        <v>3.3675895415163248E-2</v>
      </c>
      <c r="M260" s="957"/>
      <c r="N260" s="957"/>
      <c r="O260" s="48">
        <f>IF(t&lt;Tnet,'2021'!Resal+('2021'!Salim-'2021'!Resal)*(1-EXP(('2021'!Tnet-t)/('2021'!Tau_j))),Resal+(Salim-Resal)*(1-EXP((Tnet-t)/(Tau_j))))*Salcycl</f>
        <v>8.3671761649330295E-2</v>
      </c>
      <c r="P260" s="339">
        <f>(INDEX(Models!$BJ260:$BT260,,T260)*(1-R260)+INDEX(Models!$BJ260:$BT260,,T260+1)*R260-ERP_i)*Q260*Ramure*Pc/MaxiM</f>
        <v>8.1959324088724523E-4</v>
      </c>
      <c r="Q260" s="305">
        <f t="shared" si="77"/>
        <v>0.7</v>
      </c>
      <c r="R260" s="177">
        <f t="shared" si="78"/>
        <v>0.48542384614759415</v>
      </c>
      <c r="S260" s="919">
        <f t="shared" si="79"/>
        <v>0</v>
      </c>
      <c r="T260" s="176">
        <f t="shared" si="80"/>
        <v>6</v>
      </c>
      <c r="U260" s="251">
        <f t="shared" si="81"/>
        <v>0.48542384614759415</v>
      </c>
      <c r="V260" s="383">
        <f t="shared" si="82"/>
        <v>44.865692704762196</v>
      </c>
      <c r="W260" s="402"/>
      <c r="X260" s="157">
        <f t="shared" si="83"/>
        <v>44807</v>
      </c>
      <c r="Y260" s="385">
        <f t="shared" si="84"/>
        <v>34.241565666401584</v>
      </c>
      <c r="Z260" s="385">
        <f t="shared" si="85"/>
        <v>35.434866525566839</v>
      </c>
      <c r="AA260" s="386">
        <f t="shared" si="86"/>
        <v>40.563765442619307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0.12644040465887482</v>
      </c>
      <c r="AD260" s="231">
        <f>(INDEX(Models!$BJ260:$BT260,,AH260)*(1-AF260)+INDEX(Models!$BJ260:$BT260,,AH260+1)*AF260-ERP_i)*AE260*Ramure*Pc/MaxiM</f>
        <v>8.1959324088724523E-4</v>
      </c>
      <c r="AE260" s="305">
        <f t="shared" si="88"/>
        <v>0.7</v>
      </c>
      <c r="AF260" s="177">
        <f t="shared" si="89"/>
        <v>0.48542384614759415</v>
      </c>
      <c r="AG260" s="919">
        <f t="shared" si="95"/>
        <v>0</v>
      </c>
      <c r="AH260" s="176">
        <f t="shared" si="90"/>
        <v>6</v>
      </c>
      <c r="AI260" s="225">
        <f t="shared" si="91"/>
        <v>0.48542384614759415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44808</v>
      </c>
      <c r="B261" s="618">
        <v>42.919000000000004</v>
      </c>
      <c r="C261" s="953"/>
      <c r="D261" s="393">
        <f t="shared" si="74"/>
        <v>44.415677776431053</v>
      </c>
      <c r="E261" s="385">
        <f t="shared" si="96"/>
        <v>48.479774304777038</v>
      </c>
      <c r="F261" s="385">
        <f t="shared" si="75"/>
        <v>48.517417079296372</v>
      </c>
      <c r="G261" s="110">
        <f t="shared" si="97"/>
        <v>0.95923866468412111</v>
      </c>
      <c r="H261" s="412" t="b">
        <f>Wh_hp&gt;='2021'!Maxi_hp</f>
        <v>0</v>
      </c>
      <c r="I261" s="380">
        <f>IF(H261,Wh_hp,'2021'!Maxi_hp)</f>
        <v>51.364733019215166</v>
      </c>
      <c r="J261" s="85">
        <f>IF(H261,An,'2021'!An_max)</f>
        <v>2019</v>
      </c>
      <c r="K261" s="197">
        <f t="shared" si="76"/>
        <v>44808</v>
      </c>
      <c r="L261" s="147">
        <f>IF(t&lt;Tvie,1-EXP((T0-t)*PertePVj)+'2021'!Pspv,1-EXP((T0-t)*PertePVj)+Pspv)</f>
        <v>3.3697060393059086E-2</v>
      </c>
      <c r="M261" s="957"/>
      <c r="N261" s="957"/>
      <c r="O261" s="48">
        <f>IF(t&lt;Tnet,'2021'!Resal+('2021'!Salim-'2021'!Resal)*(1-EXP(('2021'!Tnet-t)/('2021'!Tau_j))),Resal+(Salim-Resal)*(1-EXP((Tnet-t)/(Tau_j))))*Salcycl</f>
        <v>8.3830764202743463E-2</v>
      </c>
      <c r="P261" s="339">
        <f>(INDEX(Models!$BJ261:$BT261,,T261)*(1-R261)+INDEX(Models!$BJ261:$BT261,,T261+1)*R261-ERP_i)*Q261*Ramure*Pc/MaxiM</f>
        <v>8.2377578255634775E-4</v>
      </c>
      <c r="Q261" s="305">
        <f t="shared" si="77"/>
        <v>0.7</v>
      </c>
      <c r="R261" s="177">
        <f t="shared" si="78"/>
        <v>0.48600203187335839</v>
      </c>
      <c r="S261" s="919">
        <f t="shared" si="79"/>
        <v>0</v>
      </c>
      <c r="T261" s="176">
        <f t="shared" si="80"/>
        <v>6</v>
      </c>
      <c r="U261" s="251">
        <f t="shared" si="81"/>
        <v>0.48600203187335839</v>
      </c>
      <c r="V261" s="383">
        <f t="shared" si="82"/>
        <v>44.740629763173004</v>
      </c>
      <c r="W261" s="402"/>
      <c r="X261" s="157">
        <f t="shared" si="83"/>
        <v>44808</v>
      </c>
      <c r="Y261" s="385">
        <f t="shared" si="84"/>
        <v>40.918919251187475</v>
      </c>
      <c r="Z261" s="385">
        <f t="shared" si="85"/>
        <v>42.345849913104786</v>
      </c>
      <c r="AA261" s="386">
        <f t="shared" si="86"/>
        <v>48.479774304777038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0.1265254320927777</v>
      </c>
      <c r="AD261" s="231">
        <f>(INDEX(Models!$BJ261:$BT261,,AH261)*(1-AF261)+INDEX(Models!$BJ261:$BT261,,AH261+1)*AF261-ERP_i)*AE261*Ramure*Pc/MaxiM</f>
        <v>8.2377578255634775E-4</v>
      </c>
      <c r="AE261" s="305">
        <f t="shared" si="88"/>
        <v>0.7</v>
      </c>
      <c r="AF261" s="177">
        <f t="shared" si="89"/>
        <v>0.48600203187335839</v>
      </c>
      <c r="AG261" s="919">
        <f t="shared" si="95"/>
        <v>0</v>
      </c>
      <c r="AH261" s="176">
        <f t="shared" si="90"/>
        <v>6</v>
      </c>
      <c r="AI261" s="225">
        <f t="shared" si="91"/>
        <v>0.48600203187335839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44809</v>
      </c>
      <c r="B262" s="618">
        <v>39.399000000000001</v>
      </c>
      <c r="C262" s="953"/>
      <c r="D262" s="393">
        <f t="shared" si="74"/>
        <v>40.77382086216398</v>
      </c>
      <c r="E262" s="385">
        <f t="shared" si="96"/>
        <v>44.512370209649752</v>
      </c>
      <c r="F262" s="385">
        <f t="shared" si="75"/>
        <v>44.543278951165902</v>
      </c>
      <c r="G262" s="110">
        <f t="shared" si="97"/>
        <v>0.88297883469455662</v>
      </c>
      <c r="H262" s="412" t="b">
        <f>Wh_hp&gt;='2021'!Maxi_hp</f>
        <v>0</v>
      </c>
      <c r="I262" s="380">
        <f>IF(H262,Wh_hp,'2021'!Maxi_hp)</f>
        <v>50.98450100113412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3.3718224907387628E-2</v>
      </c>
      <c r="M262" s="957"/>
      <c r="N262" s="957"/>
      <c r="O262" s="48">
        <f>IF(t&lt;Tnet,'2021'!Resal+('2021'!Salim-'2021'!Resal)*(1-EXP(('2021'!Tnet-t)/('2021'!Tau_j))),Resal+(Salim-Resal)*(1-EXP((Tnet-t)/(Tau_j))))*Salcycl</f>
        <v>8.3988997437734678E-2</v>
      </c>
      <c r="P262" s="339">
        <f>(INDEX(Models!$BJ262:$BT262,,T262)*(1-R262)+INDEX(Models!$BJ262:$BT262,,T262+1)*R262-ERP_i)*Q262*Ramure*Pc/MaxiM</f>
        <v>8.3301499627780893E-4</v>
      </c>
      <c r="Q262" s="305">
        <f t="shared" si="77"/>
        <v>0.7</v>
      </c>
      <c r="R262" s="177">
        <f t="shared" si="78"/>
        <v>0.48655823316613028</v>
      </c>
      <c r="S262" s="919">
        <f t="shared" si="79"/>
        <v>0</v>
      </c>
      <c r="T262" s="176">
        <f t="shared" si="80"/>
        <v>6</v>
      </c>
      <c r="U262" s="251">
        <f t="shared" si="81"/>
        <v>0.48655823316613028</v>
      </c>
      <c r="V262" s="383">
        <f t="shared" si="82"/>
        <v>44.614337055781107</v>
      </c>
      <c r="W262" s="402"/>
      <c r="X262" s="157">
        <f t="shared" si="83"/>
        <v>44809</v>
      </c>
      <c r="Y262" s="385">
        <f t="shared" si="84"/>
        <v>37.565824902473274</v>
      </c>
      <c r="Z262" s="385">
        <f t="shared" si="85"/>
        <v>38.876677456607119</v>
      </c>
      <c r="AA262" s="386">
        <f t="shared" si="86"/>
        <v>44.512370209649752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0.12660958575108358</v>
      </c>
      <c r="AD262" s="231">
        <f>(INDEX(Models!$BJ262:$BT262,,AH262)*(1-AF262)+INDEX(Models!$BJ262:$BT262,,AH262+1)*AF262-ERP_i)*AE262*Ramure*Pc/MaxiM</f>
        <v>8.3301499627780893E-4</v>
      </c>
      <c r="AE262" s="305">
        <f t="shared" si="88"/>
        <v>0.7</v>
      </c>
      <c r="AF262" s="177">
        <f t="shared" si="89"/>
        <v>0.48655823316613028</v>
      </c>
      <c r="AG262" s="919">
        <f t="shared" si="95"/>
        <v>0</v>
      </c>
      <c r="AH262" s="176">
        <f t="shared" si="90"/>
        <v>6</v>
      </c>
      <c r="AI262" s="225">
        <f t="shared" si="91"/>
        <v>0.48655823316613028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44810</v>
      </c>
      <c r="B263" s="618">
        <v>42.414999999999999</v>
      </c>
      <c r="C263" s="953"/>
      <c r="D263" s="393">
        <f t="shared" si="74"/>
        <v>43.896025063328743</v>
      </c>
      <c r="E263" s="385">
        <f t="shared" si="96"/>
        <v>47.929087187090651</v>
      </c>
      <c r="F263" s="385">
        <f t="shared" si="75"/>
        <v>47.966896694890501</v>
      </c>
      <c r="G263" s="110">
        <f t="shared" si="97"/>
        <v>0.95337829616732905</v>
      </c>
      <c r="H263" s="412" t="b">
        <f>Wh_hp&gt;='2021'!Maxi_hp</f>
        <v>0</v>
      </c>
      <c r="I263" s="380">
        <f>IF(H263,Wh_hp,'2021'!Maxi_hp)</f>
        <v>50.093779259666192</v>
      </c>
      <c r="J263" s="85">
        <f>IF(H263,An,'2021'!An_max)</f>
        <v>2019</v>
      </c>
      <c r="K263" s="197">
        <f t="shared" si="76"/>
        <v>44810</v>
      </c>
      <c r="L263" s="147">
        <f>IF(t&lt;Tvie,1-EXP((T0-t)*PertePVj)+'2021'!Pspv,1-EXP((T0-t)*PertePVj)+Pspv)</f>
        <v>3.3739388958158978E-2</v>
      </c>
      <c r="M263" s="957"/>
      <c r="N263" s="957"/>
      <c r="O263" s="48">
        <f>IF(t&lt;Tnet,'2021'!Resal+('2021'!Salim-'2021'!Resal)*(1-EXP(('2021'!Tnet-t)/('2021'!Tau_j))),Resal+(Salim-Resal)*(1-EXP((Tnet-t)/(Tau_j))))*Salcycl</f>
        <v>8.4146441346126519E-2</v>
      </c>
      <c r="P263" s="339">
        <f>(INDEX(Models!$BJ263:$BT263,,T263)*(1-R263)+INDEX(Models!$BJ263:$BT263,,T263+1)*R263-ERP_i)*Q263*Ramure*Pc/MaxiM</f>
        <v>8.4441727732897627E-4</v>
      </c>
      <c r="Q263" s="305">
        <f t="shared" si="77"/>
        <v>0.7</v>
      </c>
      <c r="R263" s="177">
        <f t="shared" si="78"/>
        <v>0.48709323709776192</v>
      </c>
      <c r="S263" s="919">
        <f t="shared" si="79"/>
        <v>0</v>
      </c>
      <c r="T263" s="176">
        <f t="shared" si="80"/>
        <v>6</v>
      </c>
      <c r="U263" s="251">
        <f t="shared" si="81"/>
        <v>0.48709323709776192</v>
      </c>
      <c r="V263" s="383">
        <f t="shared" si="82"/>
        <v>44.486659286692557</v>
      </c>
      <c r="W263" s="402"/>
      <c r="X263" s="157">
        <f t="shared" si="83"/>
        <v>44810</v>
      </c>
      <c r="Y263" s="385">
        <f t="shared" si="84"/>
        <v>40.444591764912118</v>
      </c>
      <c r="Z263" s="385">
        <f t="shared" si="85"/>
        <v>41.856815131172503</v>
      </c>
      <c r="AA263" s="386">
        <f t="shared" si="86"/>
        <v>47.929087187090651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0.12669283752922531</v>
      </c>
      <c r="AD263" s="231">
        <f>(INDEX(Models!$BJ263:$BT263,,AH263)*(1-AF263)+INDEX(Models!$BJ263:$BT263,,AH263+1)*AF263-ERP_i)*AE263*Ramure*Pc/MaxiM</f>
        <v>8.4441727732897627E-4</v>
      </c>
      <c r="AE263" s="305">
        <f t="shared" si="88"/>
        <v>0.7</v>
      </c>
      <c r="AF263" s="177">
        <f t="shared" si="89"/>
        <v>0.48709323709776192</v>
      </c>
      <c r="AG263" s="919">
        <f t="shared" si="95"/>
        <v>0</v>
      </c>
      <c r="AH263" s="176">
        <f t="shared" si="90"/>
        <v>6</v>
      </c>
      <c r="AI263" s="225">
        <f t="shared" si="91"/>
        <v>0.48709323709776192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44811</v>
      </c>
      <c r="B264" s="618">
        <v>33.93</v>
      </c>
      <c r="C264" s="953"/>
      <c r="D264" s="393">
        <f t="shared" si="74"/>
        <v>35.115519335691019</v>
      </c>
      <c r="E264" s="385">
        <f t="shared" si="96"/>
        <v>38.348408057854982</v>
      </c>
      <c r="F264" s="385">
        <f t="shared" si="75"/>
        <v>38.37027390087529</v>
      </c>
      <c r="G264" s="110">
        <f t="shared" si="97"/>
        <v>0.76470411335765776</v>
      </c>
      <c r="H264" s="412" t="b">
        <f>Wh_hp&gt;='2021'!Maxi_hp</f>
        <v>0</v>
      </c>
      <c r="I264" s="380">
        <f>IF(H264,Wh_hp,'2021'!Maxi_hp)</f>
        <v>51.37719632099251</v>
      </c>
      <c r="J264" s="85">
        <f>IF(H264,An,'2021'!An_max)</f>
        <v>2019</v>
      </c>
      <c r="K264" s="197">
        <f t="shared" si="76"/>
        <v>44811</v>
      </c>
      <c r="L264" s="147">
        <f>IF(t&lt;Tvie,1-EXP((T0-t)*PertePVj)+'2021'!Pspv,1-EXP((T0-t)*PertePVj)+Pspv)</f>
        <v>3.3760552545383238E-2</v>
      </c>
      <c r="M264" s="957"/>
      <c r="N264" s="957"/>
      <c r="O264" s="48">
        <f>IF(t&lt;Tnet,'2021'!Resal+('2021'!Salim-'2021'!Resal)*(1-EXP(('2021'!Tnet-t)/('2021'!Tau_j))),Resal+(Salim-Resal)*(1-EXP((Tnet-t)/(Tau_j))))*Salcycl</f>
        <v>8.4303075039949882E-2</v>
      </c>
      <c r="P264" s="339">
        <f>(INDEX(Models!$BJ264:$BT264,,T264)*(1-R264)+INDEX(Models!$BJ264:$BT264,,T264+1)*R264-ERP_i)*Q264*Ramure*Pc/MaxiM</f>
        <v>8.5799904132476514E-4</v>
      </c>
      <c r="Q264" s="305">
        <f t="shared" si="77"/>
        <v>0.7</v>
      </c>
      <c r="R264" s="177">
        <f t="shared" si="78"/>
        <v>0.48760780633079953</v>
      </c>
      <c r="S264" s="919">
        <f t="shared" si="79"/>
        <v>0</v>
      </c>
      <c r="T264" s="176">
        <f t="shared" si="80"/>
        <v>6</v>
      </c>
      <c r="U264" s="251">
        <f t="shared" si="81"/>
        <v>0.48760780633079953</v>
      </c>
      <c r="V264" s="383">
        <f t="shared" si="82"/>
        <v>44.357310776518474</v>
      </c>
      <c r="W264" s="402"/>
      <c r="X264" s="157">
        <f t="shared" si="83"/>
        <v>44811</v>
      </c>
      <c r="Y264" s="385">
        <f t="shared" si="84"/>
        <v>32.356250280313532</v>
      </c>
      <c r="Z264" s="385">
        <f t="shared" si="85"/>
        <v>33.486782562593802</v>
      </c>
      <c r="AA264" s="386">
        <f t="shared" si="86"/>
        <v>38.348408057854982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0.12677515812199053</v>
      </c>
      <c r="AD264" s="231">
        <f>(INDEX(Models!$BJ264:$BT264,,AH264)*(1-AF264)+INDEX(Models!$BJ264:$BT264,,AH264+1)*AF264-ERP_i)*AE264*Ramure*Pc/MaxiM</f>
        <v>8.5799904132476514E-4</v>
      </c>
      <c r="AE264" s="305">
        <f t="shared" si="88"/>
        <v>0.7</v>
      </c>
      <c r="AF264" s="177">
        <f t="shared" si="89"/>
        <v>0.48760780633079953</v>
      </c>
      <c r="AG264" s="919">
        <f t="shared" si="95"/>
        <v>0</v>
      </c>
      <c r="AH264" s="176">
        <f t="shared" si="90"/>
        <v>6</v>
      </c>
      <c r="AI264" s="225">
        <f t="shared" si="91"/>
        <v>0.48760780633079953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44812</v>
      </c>
      <c r="B265" s="618">
        <v>37.216999999999999</v>
      </c>
      <c r="C265" s="953"/>
      <c r="D265" s="393">
        <f t="shared" si="74"/>
        <v>38.518211260896813</v>
      </c>
      <c r="E265" s="385">
        <f t="shared" si="96"/>
        <v>42.071525004407917</v>
      </c>
      <c r="F265" s="385">
        <f t="shared" si="75"/>
        <v>42.099982566525391</v>
      </c>
      <c r="G265" s="110">
        <f t="shared" si="97"/>
        <v>0.84135186111360993</v>
      </c>
      <c r="H265" s="412" t="b">
        <f>Wh_hp&gt;='2021'!Maxi_hp</f>
        <v>0</v>
      </c>
      <c r="I265" s="380">
        <f>IF(H265,Wh_hp,'2021'!Maxi_hp)</f>
        <v>49.21838095853591</v>
      </c>
      <c r="J265" s="85">
        <f>IF(H265,An,'2021'!An_max)</f>
        <v>2018</v>
      </c>
      <c r="K265" s="197">
        <f t="shared" si="76"/>
        <v>44812</v>
      </c>
      <c r="L265" s="147">
        <f>IF(t&lt;Tvie,1-EXP((T0-t)*PertePVj)+'2021'!Pspv,1-EXP((T0-t)*PertePVj)+Pspv)</f>
        <v>3.3781715669070733E-2</v>
      </c>
      <c r="M265" s="957"/>
      <c r="N265" s="957"/>
      <c r="O265" s="48">
        <f>IF(t&lt;Tnet,'2021'!Resal+('2021'!Salim-'2021'!Resal)*(1-EXP(('2021'!Tnet-t)/('2021'!Tau_j))),Resal+(Salim-Resal)*(1-EXP((Tnet-t)/(Tau_j))))*Salcycl</f>
        <v>8.445887671385377E-2</v>
      </c>
      <c r="P265" s="339">
        <f>(INDEX(Models!$BJ265:$BT265,,T265)*(1-R265)+INDEX(Models!$BJ265:$BT265,,T265+1)*R265-ERP_i)*Q265*Ramure*Pc/MaxiM</f>
        <v>8.7377690346937022E-4</v>
      </c>
      <c r="Q265" s="305">
        <f t="shared" si="77"/>
        <v>0.7</v>
      </c>
      <c r="R265" s="177">
        <f t="shared" si="78"/>
        <v>0.48810267957764536</v>
      </c>
      <c r="S265" s="919">
        <f t="shared" si="79"/>
        <v>0</v>
      </c>
      <c r="T265" s="176">
        <f t="shared" si="80"/>
        <v>6</v>
      </c>
      <c r="U265" s="251">
        <f t="shared" si="81"/>
        <v>0.48810267957764536</v>
      </c>
      <c r="V265" s="383">
        <f t="shared" si="82"/>
        <v>44.226006128520758</v>
      </c>
      <c r="W265" s="402"/>
      <c r="X265" s="157">
        <f t="shared" si="83"/>
        <v>44812</v>
      </c>
      <c r="Y265" s="385">
        <f t="shared" si="84"/>
        <v>35.493524191646799</v>
      </c>
      <c r="Z265" s="385">
        <f t="shared" si="85"/>
        <v>36.734477878593204</v>
      </c>
      <c r="AA265" s="386">
        <f t="shared" si="86"/>
        <v>42.071525004407917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0.12685651697331016</v>
      </c>
      <c r="AD265" s="231">
        <f>(INDEX(Models!$BJ265:$BT265,,AH265)*(1-AF265)+INDEX(Models!$BJ265:$BT265,,AH265+1)*AF265-ERP_i)*AE265*Ramure*Pc/MaxiM</f>
        <v>8.7377690346937022E-4</v>
      </c>
      <c r="AE265" s="305">
        <f t="shared" si="88"/>
        <v>0.7</v>
      </c>
      <c r="AF265" s="177">
        <f t="shared" si="89"/>
        <v>0.48810267957764536</v>
      </c>
      <c r="AG265" s="919">
        <f t="shared" si="95"/>
        <v>0</v>
      </c>
      <c r="AH265" s="176">
        <f t="shared" si="90"/>
        <v>6</v>
      </c>
      <c r="AI265" s="225">
        <f t="shared" si="91"/>
        <v>0.48810267957764536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44813</v>
      </c>
      <c r="B266" s="618">
        <v>19.256</v>
      </c>
      <c r="C266" s="953"/>
      <c r="D266" s="393">
        <f t="shared" si="74"/>
        <v>19.929680567358879</v>
      </c>
      <c r="E266" s="385">
        <f t="shared" si="96"/>
        <v>21.771882820011172</v>
      </c>
      <c r="F266" s="385">
        <f t="shared" si="75"/>
        <v>21.775675560793683</v>
      </c>
      <c r="G266" s="110">
        <f t="shared" si="97"/>
        <v>0.43640521519797831</v>
      </c>
      <c r="H266" s="412" t="b">
        <f>Wh_hp&gt;='2021'!Maxi_hp</f>
        <v>0</v>
      </c>
      <c r="I266" s="380">
        <f>IF(H266,Wh_hp,'2021'!Maxi_hp)</f>
        <v>48.849649959056784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3.3802878329231345E-2</v>
      </c>
      <c r="M266" s="957"/>
      <c r="N266" s="957"/>
      <c r="O266" s="48">
        <f>IF(t&lt;Tnet,'2021'!Resal+('2021'!Salim-'2021'!Resal)*(1-EXP(('2021'!Tnet-t)/('2021'!Tau_j))),Resal+(Salim-Resal)*(1-EXP((Tnet-t)/(Tau_j))))*Salcycl</f>
        <v>8.4613823612860489E-2</v>
      </c>
      <c r="P266" s="339">
        <f>(INDEX(Models!$BJ266:$BT266,,T266)*(1-R266)+INDEX(Models!$BJ266:$BT266,,T266+1)*R266-ERP_i)*Q266*Ramure*Pc/MaxiM</f>
        <v>8.9176778942035224E-4</v>
      </c>
      <c r="Q266" s="305">
        <f t="shared" si="77"/>
        <v>0.7</v>
      </c>
      <c r="R266" s="177">
        <f t="shared" si="78"/>
        <v>0.48857857207700056</v>
      </c>
      <c r="S266" s="919">
        <f t="shared" si="79"/>
        <v>0</v>
      </c>
      <c r="T266" s="176">
        <f t="shared" si="80"/>
        <v>6</v>
      </c>
      <c r="U266" s="251">
        <f t="shared" si="81"/>
        <v>0.48857857207700056</v>
      </c>
      <c r="V266" s="383">
        <f t="shared" si="82"/>
        <v>44.092460224618975</v>
      </c>
      <c r="W266" s="402"/>
      <c r="X266" s="157">
        <f t="shared" si="83"/>
        <v>44813</v>
      </c>
      <c r="Y266" s="385">
        <f t="shared" si="84"/>
        <v>18.365695079695996</v>
      </c>
      <c r="Z266" s="385">
        <f t="shared" si="85"/>
        <v>19.008227894466966</v>
      </c>
      <c r="AA266" s="386">
        <f t="shared" si="86"/>
        <v>21.771882820011172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0.12693688223436739</v>
      </c>
      <c r="AD266" s="231">
        <f>(INDEX(Models!$BJ266:$BT266,,AH266)*(1-AF266)+INDEX(Models!$BJ266:$BT266,,AH266+1)*AF266-ERP_i)*AE266*Ramure*Pc/MaxiM</f>
        <v>8.9176778942035224E-4</v>
      </c>
      <c r="AE266" s="305">
        <f t="shared" si="88"/>
        <v>0.7</v>
      </c>
      <c r="AF266" s="177">
        <f t="shared" si="89"/>
        <v>0.48857857207700056</v>
      </c>
      <c r="AG266" s="919">
        <f t="shared" si="95"/>
        <v>0</v>
      </c>
      <c r="AH266" s="176">
        <f t="shared" si="90"/>
        <v>6</v>
      </c>
      <c r="AI266" s="225">
        <f t="shared" si="91"/>
        <v>0.48857857207700056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44814</v>
      </c>
      <c r="B267" s="618">
        <v>42.033000000000001</v>
      </c>
      <c r="C267" s="953"/>
      <c r="D267" s="393">
        <f t="shared" si="74"/>
        <v>43.504497900028426</v>
      </c>
      <c r="E267" s="385">
        <f t="shared" si="96"/>
        <v>47.533841437689681</v>
      </c>
      <c r="F267" s="385">
        <f t="shared" si="75"/>
        <v>47.574516743281514</v>
      </c>
      <c r="G267" s="110">
        <f t="shared" si="97"/>
        <v>0.95618870023999103</v>
      </c>
      <c r="H267" s="412" t="b">
        <f>Wh_hp&gt;='2021'!Maxi_hp</f>
        <v>1</v>
      </c>
      <c r="I267" s="380">
        <f>IF(H267,Wh_hp,'2021'!Maxi_hp)</f>
        <v>47.574516743281514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3.3824040525875509E-2</v>
      </c>
      <c r="M267" s="957"/>
      <c r="N267" s="957"/>
      <c r="O267" s="48">
        <f>IF(t&lt;Tnet,'2021'!Resal+('2021'!Salim-'2021'!Resal)*(1-EXP(('2021'!Tnet-t)/('2021'!Tau_j))),Resal+(Salim-Resal)*(1-EXP((Tnet-t)/(Tau_j))))*Salcycl</f>
        <v>8.4767892006859288E-2</v>
      </c>
      <c r="P267" s="339">
        <f>(INDEX(Models!$BJ267:$BT267,,T267)*(1-R267)+INDEX(Models!$BJ267:$BT267,,T267+1)*R267-ERP_i)*Q267*Ramure*Pc/MaxiM</f>
        <v>9.1198904746219377E-4</v>
      </c>
      <c r="Q267" s="305">
        <f t="shared" si="77"/>
        <v>0.7</v>
      </c>
      <c r="R267" s="177">
        <f t="shared" si="78"/>
        <v>0.48903617608466543</v>
      </c>
      <c r="S267" s="919">
        <f t="shared" si="79"/>
        <v>0</v>
      </c>
      <c r="T267" s="176">
        <f t="shared" si="80"/>
        <v>6</v>
      </c>
      <c r="U267" s="251">
        <f t="shared" si="81"/>
        <v>0.48903617608466543</v>
      </c>
      <c r="V267" s="383">
        <f t="shared" si="82"/>
        <v>43.956388229306789</v>
      </c>
      <c r="W267" s="402"/>
      <c r="X267" s="157">
        <f t="shared" si="83"/>
        <v>44814</v>
      </c>
      <c r="Y267" s="385">
        <f t="shared" si="84"/>
        <v>40.092700937285215</v>
      </c>
      <c r="Z267" s="385">
        <f t="shared" si="85"/>
        <v>41.496272541398248</v>
      </c>
      <c r="AA267" s="386">
        <f t="shared" si="86"/>
        <v>47.533841437689681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0.12701622073204111</v>
      </c>
      <c r="AD267" s="231">
        <f>(INDEX(Models!$BJ267:$BT267,,AH267)*(1-AF267)+INDEX(Models!$BJ267:$BT267,,AH267+1)*AF267-ERP_i)*AE267*Ramure*Pc/MaxiM</f>
        <v>9.1198904746219377E-4</v>
      </c>
      <c r="AE267" s="305">
        <f t="shared" si="88"/>
        <v>0.7</v>
      </c>
      <c r="AF267" s="177">
        <f t="shared" si="89"/>
        <v>0.48903617608466543</v>
      </c>
      <c r="AG267" s="919">
        <f t="shared" si="95"/>
        <v>0</v>
      </c>
      <c r="AH267" s="176">
        <f t="shared" si="90"/>
        <v>6</v>
      </c>
      <c r="AI267" s="225">
        <f t="shared" si="91"/>
        <v>0.48903617608466543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44815</v>
      </c>
      <c r="B268" s="618">
        <v>42.814</v>
      </c>
      <c r="C268" s="953"/>
      <c r="D268" s="393">
        <f t="shared" si="74"/>
        <v>44.313809857494348</v>
      </c>
      <c r="E268" s="385">
        <f t="shared" si="96"/>
        <v>48.426215251553103</v>
      </c>
      <c r="F268" s="385">
        <f t="shared" si="75"/>
        <v>48.470044256349112</v>
      </c>
      <c r="G268" s="110">
        <f t="shared" si="97"/>
        <v>0.97706852270080924</v>
      </c>
      <c r="H268" s="412" t="b">
        <f>Wh_hp&gt;='2021'!Maxi_hp</f>
        <v>1</v>
      </c>
      <c r="I268" s="380">
        <f>IF(H268,Wh_hp,'2021'!Maxi_hp)</f>
        <v>48.470044256349112</v>
      </c>
      <c r="J268" s="85">
        <f>IF(H268,An,'2021'!An_max)</f>
        <v>2022</v>
      </c>
      <c r="K268" s="197">
        <f t="shared" si="76"/>
        <v>44815</v>
      </c>
      <c r="L268" s="147">
        <f>IF(t&lt;Tvie,1-EXP((T0-t)*PertePVj)+'2021'!Pspv,1-EXP((T0-t)*PertePVj)+Pspv)</f>
        <v>3.3845202259013218E-2</v>
      </c>
      <c r="M268" s="957"/>
      <c r="N268" s="957"/>
      <c r="O268" s="48">
        <f>IF(t&lt;Tnet,'2021'!Resal+('2021'!Salim-'2021'!Resal)*(1-EXP(('2021'!Tnet-t)/('2021'!Tau_j))),Resal+(Salim-Resal)*(1-EXP((Tnet-t)/(Tau_j))))*Salcycl</f>
        <v>8.4921057173198478E-2</v>
      </c>
      <c r="P268" s="339">
        <f>(INDEX(Models!$BJ268:$BT268,,T268)*(1-R268)+INDEX(Models!$BJ268:$BT268,,T268+1)*R268-ERP_i)*Q268*Ramure*Pc/MaxiM</f>
        <v>9.3483383773642487E-4</v>
      </c>
      <c r="Q268" s="305">
        <f t="shared" si="77"/>
        <v>0.7</v>
      </c>
      <c r="R268" s="177">
        <f t="shared" si="78"/>
        <v>0.48947616137600214</v>
      </c>
      <c r="S268" s="919">
        <f t="shared" si="79"/>
        <v>0</v>
      </c>
      <c r="T268" s="176">
        <f t="shared" si="80"/>
        <v>6</v>
      </c>
      <c r="U268" s="251">
        <f t="shared" si="81"/>
        <v>0.48947616137600214</v>
      </c>
      <c r="V268" s="383">
        <f t="shared" si="82"/>
        <v>43.817489126747667</v>
      </c>
      <c r="W268" s="402"/>
      <c r="X268" s="157">
        <f t="shared" si="83"/>
        <v>44815</v>
      </c>
      <c r="Y268" s="385">
        <f t="shared" si="84"/>
        <v>40.840821939728635</v>
      </c>
      <c r="Z268" s="385">
        <f t="shared" si="85"/>
        <v>42.271509736556226</v>
      </c>
      <c r="AA268" s="386">
        <f t="shared" si="86"/>
        <v>48.426215251553103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0.12709449794963051</v>
      </c>
      <c r="AD268" s="231">
        <f>(INDEX(Models!$BJ268:$BT268,,AH268)*(1-AF268)+INDEX(Models!$BJ268:$BT268,,AH268+1)*AF268-ERP_i)*AE268*Ramure*Pc/MaxiM</f>
        <v>9.3483383773642487E-4</v>
      </c>
      <c r="AE268" s="305">
        <f t="shared" si="88"/>
        <v>0.7</v>
      </c>
      <c r="AF268" s="177">
        <f t="shared" si="89"/>
        <v>0.48947616137600214</v>
      </c>
      <c r="AG268" s="919">
        <f t="shared" si="95"/>
        <v>0</v>
      </c>
      <c r="AH268" s="176">
        <f t="shared" si="90"/>
        <v>6</v>
      </c>
      <c r="AI268" s="225">
        <f t="shared" si="91"/>
        <v>0.48947616137600214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44816</v>
      </c>
      <c r="B269" s="618">
        <v>30.113</v>
      </c>
      <c r="C269" s="953"/>
      <c r="D269" s="393">
        <f t="shared" si="74"/>
        <v>31.16856598636096</v>
      </c>
      <c r="E269" s="385">
        <f t="shared" si="96"/>
        <v>34.06673535829168</v>
      </c>
      <c r="F269" s="385">
        <f t="shared" si="75"/>
        <v>34.084918170182945</v>
      </c>
      <c r="G269" s="110">
        <f t="shared" si="97"/>
        <v>0.68917708060771632</v>
      </c>
      <c r="H269" s="412" t="b">
        <f>Wh_hp&gt;='2021'!Maxi_hp</f>
        <v>0</v>
      </c>
      <c r="I269" s="380">
        <f>IF(H269,Wh_hp,'2021'!Maxi_hp)</f>
        <v>49.547587041399964</v>
      </c>
      <c r="J269" s="85">
        <f>IF(H269,An,'2021'!An_max)</f>
        <v>2019</v>
      </c>
      <c r="K269" s="197">
        <f t="shared" si="76"/>
        <v>44816</v>
      </c>
      <c r="L269" s="147">
        <f>IF(t&lt;Tvie,1-EXP((T0-t)*PertePVj)+'2021'!Pspv,1-EXP((T0-t)*PertePVj)+Pspv)</f>
        <v>3.3866363528654686E-2</v>
      </c>
      <c r="M269" s="957"/>
      <c r="N269" s="957"/>
      <c r="O269" s="48">
        <f>IF(t&lt;Tnet,'2021'!Resal+('2021'!Salim-'2021'!Resal)*(1-EXP(('2021'!Tnet-t)/('2021'!Tau_j))),Resal+(Salim-Resal)*(1-EXP((Tnet-t)/(Tau_j))))*Salcycl</f>
        <v>8.5073293388687396E-2</v>
      </c>
      <c r="P269" s="339">
        <f>(INDEX(Models!$BJ269:$BT269,,T269)*(1-R269)+INDEX(Models!$BJ269:$BT269,,T269+1)*R269-ERP_i)*Q269*Ramure*Pc/MaxiM</f>
        <v>9.5878729995672136E-4</v>
      </c>
      <c r="Q269" s="305">
        <f t="shared" si="77"/>
        <v>0.7</v>
      </c>
      <c r="R269" s="177">
        <f t="shared" si="78"/>
        <v>0.48989917575758912</v>
      </c>
      <c r="S269" s="919">
        <f t="shared" si="79"/>
        <v>0</v>
      </c>
      <c r="T269" s="176">
        <f t="shared" si="80"/>
        <v>6</v>
      </c>
      <c r="U269" s="251">
        <f t="shared" si="81"/>
        <v>0.48989917575758912</v>
      </c>
      <c r="V269" s="383">
        <f t="shared" si="82"/>
        <v>43.675545830322186</v>
      </c>
      <c r="W269" s="402"/>
      <c r="X269" s="157">
        <f t="shared" si="83"/>
        <v>44816</v>
      </c>
      <c r="Y269" s="385">
        <f t="shared" si="84"/>
        <v>28.727415070306815</v>
      </c>
      <c r="Z269" s="385">
        <f t="shared" si="85"/>
        <v>29.734411458055934</v>
      </c>
      <c r="AA269" s="386">
        <f t="shared" si="86"/>
        <v>34.06673535829168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0.12717167802171797</v>
      </c>
      <c r="AD269" s="231">
        <f>(INDEX(Models!$BJ269:$BT269,,AH269)*(1-AF269)+INDEX(Models!$BJ269:$BT269,,AH269+1)*AF269-ERP_i)*AE269*Ramure*Pc/MaxiM</f>
        <v>9.5878729995672136E-4</v>
      </c>
      <c r="AE269" s="305">
        <f t="shared" si="88"/>
        <v>0.7</v>
      </c>
      <c r="AF269" s="177">
        <f t="shared" si="89"/>
        <v>0.48989917575758912</v>
      </c>
      <c r="AG269" s="919">
        <f t="shared" si="95"/>
        <v>0</v>
      </c>
      <c r="AH269" s="176">
        <f t="shared" si="90"/>
        <v>6</v>
      </c>
      <c r="AI269" s="225">
        <f t="shared" si="91"/>
        <v>0.48989917575758912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44817</v>
      </c>
      <c r="B270" s="618">
        <v>10.879</v>
      </c>
      <c r="C270" s="953"/>
      <c r="D270" s="393">
        <f t="shared" si="74"/>
        <v>11.26059364103498</v>
      </c>
      <c r="E270" s="385">
        <f t="shared" si="96"/>
        <v>12.309680955728936</v>
      </c>
      <c r="F270" s="385">
        <f t="shared" si="75"/>
        <v>12.309680955728936</v>
      </c>
      <c r="G270" s="110">
        <f t="shared" si="97"/>
        <v>0.24967213696963456</v>
      </c>
      <c r="H270" s="412" t="b">
        <f>Wh_hp&gt;='2021'!Maxi_hp</f>
        <v>0</v>
      </c>
      <c r="I270" s="380">
        <f>IF(H270,Wh_hp,'2021'!Maxi_hp)</f>
        <v>47.552887947991515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3.3887524334810015E-2</v>
      </c>
      <c r="M270" s="957"/>
      <c r="N270" s="957"/>
      <c r="O270" s="48">
        <f>IF(t&lt;Tnet,'2021'!Resal+('2021'!Salim-'2021'!Resal)*(1-EXP(('2021'!Tnet-t)/('2021'!Tau_j))),Resal+(Salim-Resal)*(1-EXP((Tnet-t)/(Tau_j))))*Salcycl</f>
        <v>8.5224573932252107E-2</v>
      </c>
      <c r="P270" s="339">
        <f>(INDEX(Models!$BJ270:$BT270,,T270)*(1-R270)+INDEX(Models!$BJ270:$BT270,,T270+1)*R270-ERP_i)*Q270*Ramure*Pc/MaxiM</f>
        <v>9.8386126131718116E-4</v>
      </c>
      <c r="Q270" s="305">
        <f t="shared" si="77"/>
        <v>0.7</v>
      </c>
      <c r="R270" s="177">
        <f t="shared" si="78"/>
        <v>0.4903058455857992</v>
      </c>
      <c r="S270" s="919">
        <f t="shared" si="79"/>
        <v>0</v>
      </c>
      <c r="T270" s="176">
        <f t="shared" si="80"/>
        <v>6</v>
      </c>
      <c r="U270" s="251">
        <f t="shared" si="81"/>
        <v>0.4903058455857992</v>
      </c>
      <c r="V270" s="383">
        <f t="shared" si="82"/>
        <v>43.530274163752388</v>
      </c>
      <c r="W270" s="402"/>
      <c r="X270" s="157">
        <f t="shared" si="83"/>
        <v>44817</v>
      </c>
      <c r="Y270" s="385">
        <f t="shared" si="84"/>
        <v>10.379238163614549</v>
      </c>
      <c r="Z270" s="385">
        <f t="shared" si="85"/>
        <v>10.743302074086365</v>
      </c>
      <c r="AA270" s="386">
        <f t="shared" si="86"/>
        <v>12.309680955728936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0.12724772374490953</v>
      </c>
      <c r="AD270" s="231">
        <f>(INDEX(Models!$BJ270:$BT270,,AH270)*(1-AF270)+INDEX(Models!$BJ270:$BT270,,AH270+1)*AF270-ERP_i)*AE270*Ramure*Pc/MaxiM</f>
        <v>9.8386126131718116E-4</v>
      </c>
      <c r="AE270" s="305">
        <f t="shared" si="88"/>
        <v>0.7</v>
      </c>
      <c r="AF270" s="177">
        <f t="shared" si="89"/>
        <v>0.4903058455857992</v>
      </c>
      <c r="AG270" s="919">
        <f t="shared" si="95"/>
        <v>0</v>
      </c>
      <c r="AH270" s="176">
        <f t="shared" si="90"/>
        <v>6</v>
      </c>
      <c r="AI270" s="225">
        <f t="shared" si="91"/>
        <v>0.4903058455857992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44818</v>
      </c>
      <c r="B271" s="618">
        <v>32.883000000000003</v>
      </c>
      <c r="C271" s="953"/>
      <c r="D271" s="393">
        <f t="shared" ref="D271:D334" si="98">Wh/(1-Ppv)</f>
        <v>34.037155161696759</v>
      </c>
      <c r="E271" s="385">
        <f t="shared" si="96"/>
        <v>37.214323208690274</v>
      </c>
      <c r="F271" s="385">
        <f t="shared" ref="F271:F334" si="99">Wh_sa/(1-Pvg*MEDIAN((-Sdif+Wh/Env_an)/Csdif,0,1))</f>
        <v>37.23893330688675</v>
      </c>
      <c r="G271" s="110">
        <f t="shared" si="97"/>
        <v>0.75773297191887112</v>
      </c>
      <c r="H271" s="412" t="b">
        <f>Wh_hp&gt;='2021'!Maxi_hp</f>
        <v>0</v>
      </c>
      <c r="I271" s="380">
        <f>IF(H271,Wh_hp,'2021'!Maxi_hp)</f>
        <v>47.223329847400791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3.390868467748942E-2</v>
      </c>
      <c r="M271" s="957"/>
      <c r="N271" s="957"/>
      <c r="O271" s="48">
        <f>IF(t&lt;Tnet,'2021'!Resal+('2021'!Salim-'2021'!Resal)*(1-EXP(('2021'!Tnet-t)/('2021'!Tau_j))),Resal+(Salim-Resal)*(1-EXP((Tnet-t)/(Tau_j))))*Salcycl</f>
        <v>8.5374871099404573E-2</v>
      </c>
      <c r="P271" s="339">
        <f>(INDEX(Models!$BJ271:$BT271,,T271)*(1-R271)+INDEX(Models!$BJ271:$BT271,,T271+1)*R271-ERP_i)*Q271*Ramure*Pc/MaxiM</f>
        <v>1.01006826414714E-3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0.49069677629023478</v>
      </c>
      <c r="S271" s="91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0.49069677629023478</v>
      </c>
      <c r="V271" s="383">
        <f t="shared" ref="V271:V334" si="106">MaxiM*(1-Ppv)*(1-Pvg)*(1-Psa)</f>
        <v>43.381390202000318</v>
      </c>
      <c r="W271" s="402"/>
      <c r="X271" s="157">
        <f t="shared" ref="X271:X334" si="107">t</f>
        <v>44818</v>
      </c>
      <c r="Y271" s="385">
        <f t="shared" ref="Y271:Y334" si="108">Wh_pvt_s*(1-Ppv)</f>
        <v>31.374877148080166</v>
      </c>
      <c r="Z271" s="385">
        <f t="shared" ref="Z271:Z334" si="109">Wh_sa_s*(1-Psa_s)</f>
        <v>32.47609894682293</v>
      </c>
      <c r="AA271" s="386">
        <f t="shared" ref="AA271:AA334" si="110">Wh_hp*(1-Pvg_s*MEDIAN((-Sdif+Wh/Env_an)/Csdif,0,1))</f>
        <v>37.214323208690274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0.12732259660605288</v>
      </c>
      <c r="AD271" s="231">
        <f>(INDEX(Models!$BJ271:$BT271,,AH271)*(1-AF271)+INDEX(Models!$BJ271:$BT271,,AH271+1)*AF271-ERP_i)*AE271*Ramure*Pc/MaxiM</f>
        <v>1.01006826414714E-3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0.49069677629023478</v>
      </c>
      <c r="AG271" s="919">
        <f t="shared" si="95"/>
        <v>0</v>
      </c>
      <c r="AH271" s="176">
        <f t="shared" ref="AH271:AH334" si="114">MIN(MATCH(Hp_vg_s,Echel_vg),10)</f>
        <v>6</v>
      </c>
      <c r="AI271" s="225">
        <f t="shared" ref="AI271:AI334" si="115">IF(OR(t&lt;Ttai,Notai),Hdd_s+PousH*Croivg,Hdtai_s+PousH*(Croivg-Croi_tai))</f>
        <v>0.49069677629023478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44819</v>
      </c>
      <c r="B272" s="618">
        <v>37.734000000000002</v>
      </c>
      <c r="C272" s="953"/>
      <c r="D272" s="393">
        <f t="shared" si="98"/>
        <v>39.059275133786883</v>
      </c>
      <c r="E272" s="385">
        <f t="shared" si="96"/>
        <v>42.71219999944897</v>
      </c>
      <c r="F272" s="385">
        <f t="shared" si="99"/>
        <v>42.748495472632328</v>
      </c>
      <c r="G272" s="110">
        <f t="shared" si="97"/>
        <v>0.87272955559644272</v>
      </c>
      <c r="H272" s="412" t="b">
        <f>Wh_hp&gt;='2021'!Maxi_hp</f>
        <v>0</v>
      </c>
      <c r="I272" s="380">
        <f>IF(H272,Wh_hp,'2021'!Maxi_hp)</f>
        <v>48.01660304214726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3.3929844556703004E-2</v>
      </c>
      <c r="M272" s="957"/>
      <c r="N272" s="957"/>
      <c r="O272" s="48">
        <f>IF(t&lt;Tnet,'2021'!Resal+('2021'!Salim-'2021'!Resal)*(1-EXP(('2021'!Tnet-t)/('2021'!Tau_j))),Resal+(Salim-Resal)*(1-EXP((Tnet-t)/(Tau_j))))*Salcycl</f>
        <v>8.5524156229583467E-2</v>
      </c>
      <c r="P272" s="339">
        <f>(INDEX(Models!$BJ272:$BT272,,T272)*(1-R272)+INDEX(Models!$BJ272:$BT272,,T272+1)*R272-ERP_i)*Q272*Ramure*Pc/MaxiM</f>
        <v>1.0374216294367527E-3</v>
      </c>
      <c r="Q272" s="305">
        <f t="shared" si="101"/>
        <v>0.7</v>
      </c>
      <c r="R272" s="177">
        <f t="shared" si="102"/>
        <v>0.49107255290013285</v>
      </c>
      <c r="S272" s="919">
        <f t="shared" si="103"/>
        <v>0</v>
      </c>
      <c r="T272" s="176">
        <f t="shared" si="104"/>
        <v>6</v>
      </c>
      <c r="U272" s="251">
        <f t="shared" si="105"/>
        <v>0.49107255290013285</v>
      </c>
      <c r="V272" s="383">
        <f t="shared" si="106"/>
        <v>43.228610262939554</v>
      </c>
      <c r="W272" s="402"/>
      <c r="X272" s="157">
        <f t="shared" si="107"/>
        <v>44819</v>
      </c>
      <c r="Y272" s="385">
        <f t="shared" si="108"/>
        <v>36.006232279512346</v>
      </c>
      <c r="Z272" s="385">
        <f t="shared" si="109"/>
        <v>37.270825598571875</v>
      </c>
      <c r="AA272" s="386">
        <f t="shared" si="110"/>
        <v>42.71219999944897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0.12739625682936714</v>
      </c>
      <c r="AD272" s="231">
        <f>(INDEX(Models!$BJ272:$BT272,,AH272)*(1-AF272)+INDEX(Models!$BJ272:$BT272,,AH272+1)*AF272-ERP_i)*AE272*Ramure*Pc/MaxiM</f>
        <v>1.0374216294367527E-3</v>
      </c>
      <c r="AE272" s="305">
        <f t="shared" si="112"/>
        <v>0.7</v>
      </c>
      <c r="AF272" s="177">
        <f t="shared" si="113"/>
        <v>0.49107255290013285</v>
      </c>
      <c r="AG272" s="919">
        <f t="shared" ref="AG272:AG335" si="119">INDEX(Echel_vg,AH272)</f>
        <v>0</v>
      </c>
      <c r="AH272" s="176">
        <f t="shared" si="114"/>
        <v>6</v>
      </c>
      <c r="AI272" s="225">
        <f t="shared" si="115"/>
        <v>0.49107255290013285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44820</v>
      </c>
      <c r="B273" s="618">
        <v>25.128</v>
      </c>
      <c r="C273" s="953"/>
      <c r="D273" s="393">
        <f t="shared" si="98"/>
        <v>26.011103063434764</v>
      </c>
      <c r="E273" s="385">
        <f t="shared" si="96"/>
        <v>28.448340678161873</v>
      </c>
      <c r="F273" s="385">
        <f t="shared" si="99"/>
        <v>28.460622904679099</v>
      </c>
      <c r="G273" s="110">
        <f t="shared" si="97"/>
        <v>0.58302971416363092</v>
      </c>
      <c r="H273" s="412" t="b">
        <f>Wh_hp&gt;='2021'!Maxi_hp</f>
        <v>0</v>
      </c>
      <c r="I273" s="380">
        <f>IF(H273,Wh_hp,'2021'!Maxi_hp)</f>
        <v>47.259197332077989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3.3951003972460869E-2</v>
      </c>
      <c r="M273" s="957"/>
      <c r="N273" s="957"/>
      <c r="O273" s="48">
        <f>IF(t&lt;Tnet,'2021'!Resal+('2021'!Salim-'2021'!Resal)*(1-EXP(('2021'!Tnet-t)/('2021'!Tau_j))),Resal+(Salim-Resal)*(1-EXP((Tnet-t)/(Tau_j))))*Salcycl</f>
        <v>8.5672399747308836E-2</v>
      </c>
      <c r="P273" s="339">
        <f>(INDEX(Models!$BJ273:$BT273,,T273)*(1-R273)+INDEX(Models!$BJ273:$BT273,,T273+1)*R273-ERP_i)*Q273*Ramure*Pc/MaxiM</f>
        <v>1.0659355246788022E-3</v>
      </c>
      <c r="Q273" s="305">
        <f t="shared" si="101"/>
        <v>0.7</v>
      </c>
      <c r="R273" s="177">
        <f t="shared" si="102"/>
        <v>0.49143374057202849</v>
      </c>
      <c r="S273" s="919">
        <f t="shared" si="103"/>
        <v>0</v>
      </c>
      <c r="T273" s="176">
        <f t="shared" si="104"/>
        <v>6</v>
      </c>
      <c r="U273" s="251">
        <f t="shared" si="105"/>
        <v>0.49143374057202849</v>
      </c>
      <c r="V273" s="383">
        <f t="shared" si="106"/>
        <v>43.071650908531403</v>
      </c>
      <c r="W273" s="402"/>
      <c r="X273" s="157">
        <f t="shared" si="107"/>
        <v>44820</v>
      </c>
      <c r="Y273" s="385">
        <f t="shared" si="108"/>
        <v>23.979334561186214</v>
      </c>
      <c r="Z273" s="385">
        <f t="shared" si="109"/>
        <v>24.822068714724523</v>
      </c>
      <c r="AA273" s="386">
        <f t="shared" si="110"/>
        <v>28.448340678161873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0.12746866344373564</v>
      </c>
      <c r="AD273" s="231">
        <f>(INDEX(Models!$BJ273:$BT273,,AH273)*(1-AF273)+INDEX(Models!$BJ273:$BT273,,AH273+1)*AF273-ERP_i)*AE273*Ramure*Pc/MaxiM</f>
        <v>1.0659355246788022E-3</v>
      </c>
      <c r="AE273" s="305">
        <f t="shared" si="112"/>
        <v>0.7</v>
      </c>
      <c r="AF273" s="177">
        <f t="shared" si="113"/>
        <v>0.49143374057202849</v>
      </c>
      <c r="AG273" s="919">
        <f t="shared" si="119"/>
        <v>0</v>
      </c>
      <c r="AH273" s="176">
        <f t="shared" si="114"/>
        <v>6</v>
      </c>
      <c r="AI273" s="225">
        <f t="shared" si="115"/>
        <v>0.49143374057202849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44821</v>
      </c>
      <c r="B274" s="618">
        <v>44.314999999999998</v>
      </c>
      <c r="C274" s="953"/>
      <c r="D274" s="393">
        <f t="shared" si="98"/>
        <v>45.873419273474923</v>
      </c>
      <c r="E274" s="385">
        <f t="shared" si="96"/>
        <v>50.179830839949133</v>
      </c>
      <c r="F274" s="385">
        <f t="shared" si="99"/>
        <v>50.234869420638532</v>
      </c>
      <c r="G274" s="110">
        <f t="shared" si="97"/>
        <v>1.0327374405723733</v>
      </c>
      <c r="H274" s="412" t="b">
        <f>Wh_hp&gt;='2021'!Maxi_hp</f>
        <v>1</v>
      </c>
      <c r="I274" s="380">
        <f>IF(H274,Wh_hp,'2021'!Maxi_hp)</f>
        <v>50.234869420638532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3.397216292477323E-2</v>
      </c>
      <c r="M274" s="957"/>
      <c r="N274" s="957"/>
      <c r="O274" s="48">
        <f>IF(t&lt;Tnet,'2021'!Resal+('2021'!Salim-'2021'!Resal)*(1-EXP(('2021'!Tnet-t)/('2021'!Tau_j))),Resal+(Salim-Resal)*(1-EXP((Tnet-t)/(Tau_j))))*Salcycl</f>
        <v>8.5819571217960244E-2</v>
      </c>
      <c r="P274" s="339">
        <f>(INDEX(Models!$BJ274:$BT274,,T274)*(1-R274)+INDEX(Models!$BJ274:$BT274,,T274+1)*R274-ERP_i)*Q274*Ramure*Pc/MaxiM</f>
        <v>1.0956250374323019E-3</v>
      </c>
      <c r="Q274" s="305">
        <f t="shared" si="101"/>
        <v>0.7</v>
      </c>
      <c r="R274" s="177">
        <f t="shared" si="102"/>
        <v>0.49178088511712681</v>
      </c>
      <c r="S274" s="919">
        <f t="shared" si="103"/>
        <v>0</v>
      </c>
      <c r="T274" s="176">
        <f t="shared" si="104"/>
        <v>6</v>
      </c>
      <c r="U274" s="251">
        <f t="shared" si="105"/>
        <v>0.49178088511712681</v>
      </c>
      <c r="V274" s="383">
        <f t="shared" si="106"/>
        <v>42.910228930442699</v>
      </c>
      <c r="W274" s="402"/>
      <c r="X274" s="157">
        <f t="shared" si="107"/>
        <v>44821</v>
      </c>
      <c r="Y274" s="385">
        <f t="shared" si="108"/>
        <v>42.292608418942777</v>
      </c>
      <c r="Z274" s="385">
        <f t="shared" si="109"/>
        <v>43.779906536636744</v>
      </c>
      <c r="AA274" s="386">
        <f t="shared" si="110"/>
        <v>50.179830839949133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0.12753977437120578</v>
      </c>
      <c r="AD274" s="231">
        <f>(INDEX(Models!$BJ274:$BT274,,AH274)*(1-AF274)+INDEX(Models!$BJ274:$BT274,,AH274+1)*AF274-ERP_i)*AE274*Ramure*Pc/MaxiM</f>
        <v>1.0956250374323019E-3</v>
      </c>
      <c r="AE274" s="305">
        <f t="shared" si="112"/>
        <v>0.7</v>
      </c>
      <c r="AF274" s="177">
        <f t="shared" si="113"/>
        <v>0.49178088511712681</v>
      </c>
      <c r="AG274" s="919">
        <f t="shared" si="119"/>
        <v>0</v>
      </c>
      <c r="AH274" s="176">
        <f t="shared" si="114"/>
        <v>6</v>
      </c>
      <c r="AI274" s="225">
        <f t="shared" si="115"/>
        <v>0.49178088511712681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44822</v>
      </c>
      <c r="B275" s="618">
        <v>42.855000000000004</v>
      </c>
      <c r="C275" s="953"/>
      <c r="D275" s="393">
        <f t="shared" si="98"/>
        <v>44.36304732666428</v>
      </c>
      <c r="E275" s="385">
        <f t="shared" si="96"/>
        <v>48.535426281412057</v>
      </c>
      <c r="F275" s="385">
        <f t="shared" si="99"/>
        <v>48.590162662386255</v>
      </c>
      <c r="G275" s="110">
        <f t="shared" si="97"/>
        <v>1.0025818254182672</v>
      </c>
      <c r="H275" s="412" t="b">
        <f>Wh_hp&gt;='2021'!Maxi_hp</f>
        <v>1</v>
      </c>
      <c r="I275" s="380">
        <f>IF(H275,Wh_hp,'2021'!Maxi_hp)</f>
        <v>48.590162662386255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3.3993321413650301E-2</v>
      </c>
      <c r="M275" s="957"/>
      <c r="N275" s="957"/>
      <c r="O275" s="48">
        <f>IF(t&lt;Tnet,'2021'!Resal+('2021'!Salim-'2021'!Resal)*(1-EXP(('2021'!Tnet-t)/('2021'!Tau_j))),Resal+(Salim-Resal)*(1-EXP((Tnet-t)/(Tau_j))))*Salcycl</f>
        <v>8.5965639418844511E-2</v>
      </c>
      <c r="P275" s="339">
        <f>(INDEX(Models!$BJ275:$BT275,,T275)*(1-R275)+INDEX(Models!$BJ275:$BT275,,T275+1)*R275-ERP_i)*Q275*Ramure*Pc/MaxiM</f>
        <v>1.1264910009565951E-3</v>
      </c>
      <c r="Q275" s="305">
        <f t="shared" si="101"/>
        <v>0.7</v>
      </c>
      <c r="R275" s="177">
        <f t="shared" si="102"/>
        <v>0.49211451352698465</v>
      </c>
      <c r="S275" s="919">
        <f t="shared" si="103"/>
        <v>0</v>
      </c>
      <c r="T275" s="176">
        <f t="shared" si="104"/>
        <v>6</v>
      </c>
      <c r="U275" s="251">
        <f t="shared" si="105"/>
        <v>0.49211451352698465</v>
      </c>
      <c r="V275" s="383">
        <f t="shared" si="106"/>
        <v>42.744640799888145</v>
      </c>
      <c r="W275" s="402"/>
      <c r="X275" s="157">
        <f t="shared" si="107"/>
        <v>44822</v>
      </c>
      <c r="Y275" s="385">
        <f t="shared" si="108"/>
        <v>40.902502679837909</v>
      </c>
      <c r="Z275" s="385">
        <f t="shared" si="109"/>
        <v>42.341842542635902</v>
      </c>
      <c r="AA275" s="386">
        <f t="shared" si="110"/>
        <v>48.535426281412057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0.12760954653751855</v>
      </c>
      <c r="AD275" s="231">
        <f>(INDEX(Models!$BJ275:$BT275,,AH275)*(1-AF275)+INDEX(Models!$BJ275:$BT275,,AH275+1)*AF275-ERP_i)*AE275*Ramure*Pc/MaxiM</f>
        <v>1.1264910009565951E-3</v>
      </c>
      <c r="AE275" s="305">
        <f t="shared" si="112"/>
        <v>0.7</v>
      </c>
      <c r="AF275" s="177">
        <f t="shared" si="113"/>
        <v>0.49211451352698465</v>
      </c>
      <c r="AG275" s="919">
        <f t="shared" si="119"/>
        <v>0</v>
      </c>
      <c r="AH275" s="176">
        <f t="shared" si="114"/>
        <v>6</v>
      </c>
      <c r="AI275" s="225">
        <f t="shared" si="115"/>
        <v>0.49211451352698465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44823</v>
      </c>
      <c r="B276" s="618">
        <v>42.32</v>
      </c>
      <c r="C276" s="953"/>
      <c r="D276" s="393">
        <f t="shared" si="98"/>
        <v>43.810180483271601</v>
      </c>
      <c r="E276" s="385">
        <f t="shared" si="96"/>
        <v>47.938163153470875</v>
      </c>
      <c r="F276" s="385">
        <f t="shared" si="99"/>
        <v>47.993332219109192</v>
      </c>
      <c r="G276" s="110">
        <f t="shared" si="97"/>
        <v>0.99399187705103009</v>
      </c>
      <c r="H276" s="412" t="b">
        <f>Wh_hp&gt;='2021'!Maxi_hp</f>
        <v>1</v>
      </c>
      <c r="I276" s="380">
        <f>IF(H276,Wh_hp,'2021'!Maxi_hp)</f>
        <v>47.993332219109192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3.4014479439102185E-2</v>
      </c>
      <c r="M276" s="957"/>
      <c r="N276" s="957"/>
      <c r="O276" s="48">
        <f>IF(t&lt;Tnet,'2021'!Resal+('2021'!Salim-'2021'!Resal)*(1-EXP(('2021'!Tnet-t)/('2021'!Tau_j))),Resal+(Salim-Resal)*(1-EXP((Tnet-t)/(Tau_j))))*Salcycl</f>
        <v>8.6110572426060822E-2</v>
      </c>
      <c r="P276" s="339">
        <f>(INDEX(Models!$BJ276:$BT276,,T276)*(1-R276)+INDEX(Models!$BJ276:$BT276,,T276+1)*R276-ERP_i)*Q276*Ramure*Pc/MaxiM</f>
        <v>1.1594504404454614E-3</v>
      </c>
      <c r="Q276" s="305">
        <f t="shared" si="101"/>
        <v>0.7</v>
      </c>
      <c r="R276" s="177">
        <f t="shared" si="102"/>
        <v>0.49243513449624626</v>
      </c>
      <c r="S276" s="919">
        <f t="shared" si="103"/>
        <v>0</v>
      </c>
      <c r="T276" s="176">
        <f t="shared" si="104"/>
        <v>6</v>
      </c>
      <c r="U276" s="251">
        <f t="shared" si="105"/>
        <v>0.49243513449624626</v>
      </c>
      <c r="V276" s="383">
        <f t="shared" si="106"/>
        <v>42.575377157972994</v>
      </c>
      <c r="W276" s="402"/>
      <c r="X276" s="157">
        <f t="shared" si="107"/>
        <v>44823</v>
      </c>
      <c r="Y276" s="385">
        <f t="shared" si="108"/>
        <v>40.395116339466526</v>
      </c>
      <c r="Z276" s="385">
        <f t="shared" si="109"/>
        <v>41.817517426152698</v>
      </c>
      <c r="AA276" s="386">
        <f t="shared" si="110"/>
        <v>47.938163153470875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0.12767793600525179</v>
      </c>
      <c r="AD276" s="231">
        <f>(INDEX(Models!$BJ276:$BT276,,AH276)*(1-AF276)+INDEX(Models!$BJ276:$BT276,,AH276+1)*AF276-ERP_i)*AE276*Ramure*Pc/MaxiM</f>
        <v>1.1594504404454614E-3</v>
      </c>
      <c r="AE276" s="305">
        <f t="shared" si="112"/>
        <v>0.7</v>
      </c>
      <c r="AF276" s="177">
        <f t="shared" si="113"/>
        <v>0.49243513449624626</v>
      </c>
      <c r="AG276" s="919">
        <f t="shared" si="119"/>
        <v>0</v>
      </c>
      <c r="AH276" s="176">
        <f t="shared" si="114"/>
        <v>6</v>
      </c>
      <c r="AI276" s="225">
        <f t="shared" si="115"/>
        <v>0.49243513449624626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44824</v>
      </c>
      <c r="B277" s="618">
        <v>43.588999999999999</v>
      </c>
      <c r="C277" s="953"/>
      <c r="D277" s="393">
        <f t="shared" si="98"/>
        <v>45.124853120540422</v>
      </c>
      <c r="E277" s="385">
        <f t="shared" si="96"/>
        <v>49.384478617190425</v>
      </c>
      <c r="F277" s="385">
        <f t="shared" si="99"/>
        <v>49.443507967747344</v>
      </c>
      <c r="G277" s="110">
        <f t="shared" si="97"/>
        <v>1.0279810502340774</v>
      </c>
      <c r="H277" s="412" t="b">
        <f>Wh_hp&gt;='2021'!Maxi_hp</f>
        <v>1</v>
      </c>
      <c r="I277" s="380">
        <f>IF(H277,Wh_hp,'2021'!Maxi_hp)</f>
        <v>49.443507967747344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3.4035637001138874E-2</v>
      </c>
      <c r="M277" s="957"/>
      <c r="N277" s="957"/>
      <c r="O277" s="48">
        <f>IF(t&lt;Tnet,'2021'!Resal+('2021'!Salim-'2021'!Resal)*(1-EXP(('2021'!Tnet-t)/('2021'!Tau_j))),Resal+(Salim-Resal)*(1-EXP((Tnet-t)/(Tau_j))))*Salcycl</f>
        <v>8.6254337717504112E-2</v>
      </c>
      <c r="P277" s="339">
        <f>(INDEX(Models!$BJ277:$BT277,,T277)*(1-R277)+INDEX(Models!$BJ277:$BT277,,T277+1)*R277-ERP_i)*Q277*Ramure*Pc/MaxiM</f>
        <v>1.1938746456952461E-3</v>
      </c>
      <c r="Q277" s="305">
        <f t="shared" si="101"/>
        <v>0.7</v>
      </c>
      <c r="R277" s="177">
        <f t="shared" si="102"/>
        <v>0.49274323894130501</v>
      </c>
      <c r="S277" s="919">
        <f t="shared" si="103"/>
        <v>0</v>
      </c>
      <c r="T277" s="176">
        <f t="shared" si="104"/>
        <v>6</v>
      </c>
      <c r="U277" s="251">
        <f t="shared" si="105"/>
        <v>0.49274323894130501</v>
      </c>
      <c r="V277" s="383">
        <f t="shared" si="106"/>
        <v>42.402532605123916</v>
      </c>
      <c r="W277" s="402"/>
      <c r="X277" s="157">
        <f t="shared" si="107"/>
        <v>44824</v>
      </c>
      <c r="Y277" s="385">
        <f t="shared" si="108"/>
        <v>41.60974897592542</v>
      </c>
      <c r="Z277" s="385">
        <f t="shared" si="109"/>
        <v>43.075863427038747</v>
      </c>
      <c r="AA277" s="386">
        <f t="shared" si="110"/>
        <v>49.384478617190425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0.12774489812990927</v>
      </c>
      <c r="AD277" s="231">
        <f>(INDEX(Models!$BJ277:$BT277,,AH277)*(1-AF277)+INDEX(Models!$BJ277:$BT277,,AH277+1)*AF277-ERP_i)*AE277*Ramure*Pc/MaxiM</f>
        <v>1.1938746456952461E-3</v>
      </c>
      <c r="AE277" s="305">
        <f t="shared" si="112"/>
        <v>0.7</v>
      </c>
      <c r="AF277" s="177">
        <f t="shared" si="113"/>
        <v>0.49274323894130501</v>
      </c>
      <c r="AG277" s="919">
        <f t="shared" si="119"/>
        <v>0</v>
      </c>
      <c r="AH277" s="176">
        <f t="shared" si="114"/>
        <v>6</v>
      </c>
      <c r="AI277" s="225">
        <f t="shared" si="115"/>
        <v>0.49274323894130501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44825</v>
      </c>
      <c r="B278" s="618">
        <v>42.625</v>
      </c>
      <c r="C278" s="953"/>
      <c r="D278" s="393">
        <f t="shared" si="98"/>
        <v>44.127853210867421</v>
      </c>
      <c r="E278" s="385">
        <f t="shared" si="96"/>
        <v>48.300901476342744</v>
      </c>
      <c r="F278" s="385">
        <f t="shared" si="99"/>
        <v>48.360373595586246</v>
      </c>
      <c r="G278" s="110">
        <f t="shared" si="97"/>
        <v>1.0094449846448981</v>
      </c>
      <c r="H278" s="412" t="b">
        <f>Wh_hp&gt;='2021'!Maxi_hp</f>
        <v>1</v>
      </c>
      <c r="I278" s="380">
        <f>IF(H278,Wh_hp,'2021'!Maxi_hp)</f>
        <v>48.360373595586246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3.4056794099770804E-2</v>
      </c>
      <c r="M278" s="957"/>
      <c r="N278" s="957"/>
      <c r="O278" s="48">
        <f>IF(t&lt;Tnet,'2021'!Resal+('2021'!Salim-'2021'!Resal)*(1-EXP(('2021'!Tnet-t)/('2021'!Tau_j))),Resal+(Salim-Resal)*(1-EXP((Tnet-t)/(Tau_j))))*Salcycl</f>
        <v>8.6396902292170286E-2</v>
      </c>
      <c r="P278" s="339">
        <f>(INDEX(Models!$BJ278:$BT278,,T278)*(1-R278)+INDEX(Models!$BJ278:$BT278,,T278+1)*R278-ERP_i)*Q278*Ramure*Pc/MaxiM</f>
        <v>1.2297696403431714E-3</v>
      </c>
      <c r="Q278" s="305">
        <f t="shared" si="101"/>
        <v>0.7</v>
      </c>
      <c r="R278" s="177">
        <f t="shared" si="102"/>
        <v>0.49303930051389266</v>
      </c>
      <c r="S278" s="919">
        <f t="shared" si="103"/>
        <v>0</v>
      </c>
      <c r="T278" s="176">
        <f t="shared" si="104"/>
        <v>6</v>
      </c>
      <c r="U278" s="251">
        <f t="shared" si="105"/>
        <v>0.49303930051389266</v>
      </c>
      <c r="V278" s="383">
        <f t="shared" si="106"/>
        <v>42.226174430887475</v>
      </c>
      <c r="W278" s="402"/>
      <c r="X278" s="157">
        <f t="shared" si="107"/>
        <v>44825</v>
      </c>
      <c r="Y278" s="385">
        <f t="shared" si="108"/>
        <v>40.692815420502512</v>
      </c>
      <c r="Z278" s="385">
        <f t="shared" si="109"/>
        <v>42.12754453050691</v>
      </c>
      <c r="AA278" s="386">
        <f t="shared" si="110"/>
        <v>48.300901476342744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0.12781038773902559</v>
      </c>
      <c r="AD278" s="231">
        <f>(INDEX(Models!$BJ278:$BT278,,AH278)*(1-AF278)+INDEX(Models!$BJ278:$BT278,,AH278+1)*AF278-ERP_i)*AE278*Ramure*Pc/MaxiM</f>
        <v>1.2297696403431714E-3</v>
      </c>
      <c r="AE278" s="305">
        <f t="shared" si="112"/>
        <v>0.7</v>
      </c>
      <c r="AF278" s="177">
        <f t="shared" si="113"/>
        <v>0.49303930051389266</v>
      </c>
      <c r="AG278" s="919">
        <f t="shared" si="119"/>
        <v>0</v>
      </c>
      <c r="AH278" s="176">
        <f t="shared" si="114"/>
        <v>6</v>
      </c>
      <c r="AI278" s="225">
        <f t="shared" si="115"/>
        <v>0.49303930051389266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44826</v>
      </c>
      <c r="B279" s="618">
        <v>41.447000000000003</v>
      </c>
      <c r="C279" s="953"/>
      <c r="D279" s="393">
        <f t="shared" si="98"/>
        <v>42.909259635949553</v>
      </c>
      <c r="E279" s="385">
        <f t="shared" si="96"/>
        <v>46.97433562846043</v>
      </c>
      <c r="F279" s="385">
        <f t="shared" si="99"/>
        <v>47.032719072917807</v>
      </c>
      <c r="G279" s="110">
        <f t="shared" si="97"/>
        <v>0.98571955856886784</v>
      </c>
      <c r="H279" s="412" t="b">
        <f>Wh_hp&gt;='2021'!Maxi_hp</f>
        <v>1</v>
      </c>
      <c r="I279" s="380">
        <f>IF(H279,Wh_hp,'2021'!Maxi_hp)</f>
        <v>47.032719072917807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3.4077950735007856E-2</v>
      </c>
      <c r="M279" s="957"/>
      <c r="N279" s="957"/>
      <c r="O279" s="48">
        <f>IF(t&lt;Tnet,'2021'!Resal+('2021'!Salim-'2021'!Resal)*(1-EXP(('2021'!Tnet-t)/('2021'!Tau_j))),Resal+(Salim-Resal)*(1-EXP((Tnet-t)/(Tau_j))))*Salcycl</f>
        <v>8.6538232805744367E-2</v>
      </c>
      <c r="P279" s="339">
        <f>(INDEX(Models!$BJ279:$BT279,,T279)*(1-R279)+INDEX(Models!$BJ279:$BT279,,T279+1)*R279-ERP_i)*Q279*Ramure*Pc/MaxiM</f>
        <v>1.2671411650493414E-3</v>
      </c>
      <c r="Q279" s="305">
        <f t="shared" si="101"/>
        <v>0.7</v>
      </c>
      <c r="R279" s="177">
        <f t="shared" si="102"/>
        <v>0.49332377610870282</v>
      </c>
      <c r="S279" s="919">
        <f t="shared" si="103"/>
        <v>0</v>
      </c>
      <c r="T279" s="176">
        <f t="shared" si="104"/>
        <v>6</v>
      </c>
      <c r="U279" s="251">
        <f t="shared" si="105"/>
        <v>0.49332377610870282</v>
      </c>
      <c r="V279" s="383">
        <f t="shared" si="106"/>
        <v>42.046369879187395</v>
      </c>
      <c r="W279" s="402"/>
      <c r="X279" s="157">
        <f t="shared" si="107"/>
        <v>44826</v>
      </c>
      <c r="Y279" s="385">
        <f t="shared" si="108"/>
        <v>39.571433339467937</v>
      </c>
      <c r="Z279" s="385">
        <f t="shared" si="109"/>
        <v>40.967522554826644</v>
      </c>
      <c r="AA279" s="386">
        <f t="shared" si="110"/>
        <v>46.97433562846043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0.12787435933408772</v>
      </c>
      <c r="AD279" s="231">
        <f>(INDEX(Models!$BJ279:$BT279,,AH279)*(1-AF279)+INDEX(Models!$BJ279:$BT279,,AH279+1)*AF279-ERP_i)*AE279*Ramure*Pc/MaxiM</f>
        <v>1.2671411650493414E-3</v>
      </c>
      <c r="AE279" s="305">
        <f t="shared" si="112"/>
        <v>0.7</v>
      </c>
      <c r="AF279" s="177">
        <f t="shared" si="113"/>
        <v>0.49332377610870282</v>
      </c>
      <c r="AG279" s="919">
        <f t="shared" si="119"/>
        <v>0</v>
      </c>
      <c r="AH279" s="176">
        <f t="shared" si="114"/>
        <v>6</v>
      </c>
      <c r="AI279" s="225">
        <f t="shared" si="115"/>
        <v>0.49332377610870282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44827</v>
      </c>
      <c r="B280" s="618">
        <v>27.321000000000002</v>
      </c>
      <c r="C280" s="953"/>
      <c r="D280" s="393">
        <f t="shared" si="98"/>
        <v>28.285510651624897</v>
      </c>
      <c r="E280" s="385">
        <f t="shared" si="96"/>
        <v>30.969931535781587</v>
      </c>
      <c r="F280" s="385">
        <f t="shared" si="99"/>
        <v>30.99032006737756</v>
      </c>
      <c r="G280" s="110">
        <f t="shared" si="97"/>
        <v>0.65220266940959393</v>
      </c>
      <c r="H280" s="412" t="b">
        <f>Wh_hp&gt;='2021'!Maxi_hp</f>
        <v>0</v>
      </c>
      <c r="I280" s="380">
        <f>IF(H280,Wh_hp,'2021'!Maxi_hp)</f>
        <v>46.242324699542912</v>
      </c>
      <c r="J280" s="85">
        <f>IF(H280,An,'2021'!An_max)</f>
        <v>2018</v>
      </c>
      <c r="K280" s="197">
        <f t="shared" si="100"/>
        <v>44827</v>
      </c>
      <c r="L280" s="147">
        <f>IF(t&lt;Tvie,1-EXP((T0-t)*PertePVj)+'2021'!Pspv,1-EXP((T0-t)*PertePVj)+Pspv)</f>
        <v>3.4099106906860355E-2</v>
      </c>
      <c r="M280" s="957"/>
      <c r="N280" s="957"/>
      <c r="O280" s="48">
        <f>IF(t&lt;Tnet,'2021'!Resal+('2021'!Salim-'2021'!Resal)*(1-EXP(('2021'!Tnet-t)/('2021'!Tau_j))),Resal+(Salim-Resal)*(1-EXP((Tnet-t)/(Tau_j))))*Salcycl</f>
        <v>8.6678295722262128E-2</v>
      </c>
      <c r="P280" s="339">
        <f>(INDEX(Models!$BJ280:$BT280,,T280)*(1-R280)+INDEX(Models!$BJ280:$BT280,,T280+1)*R280-ERP_i)*Q280*Ramure*Pc/MaxiM</f>
        <v>1.3060015726888816E-3</v>
      </c>
      <c r="Q280" s="305">
        <f t="shared" si="101"/>
        <v>0.7</v>
      </c>
      <c r="R280" s="177">
        <f t="shared" si="102"/>
        <v>0.49359710636426807</v>
      </c>
      <c r="S280" s="919">
        <f t="shared" si="103"/>
        <v>0</v>
      </c>
      <c r="T280" s="176">
        <f t="shared" si="104"/>
        <v>6</v>
      </c>
      <c r="U280" s="251">
        <f t="shared" si="105"/>
        <v>0.49359710636426807</v>
      </c>
      <c r="V280" s="383">
        <f t="shared" si="106"/>
        <v>41.863185847902159</v>
      </c>
      <c r="W280" s="402"/>
      <c r="X280" s="157">
        <f t="shared" si="107"/>
        <v>44827</v>
      </c>
      <c r="Y280" s="385">
        <f t="shared" si="108"/>
        <v>26.086798844919507</v>
      </c>
      <c r="Z280" s="385">
        <f t="shared" si="109"/>
        <v>27.007738611133075</v>
      </c>
      <c r="AA280" s="386">
        <f t="shared" si="110"/>
        <v>30.969931535781587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0.12793676731479797</v>
      </c>
      <c r="AD280" s="231">
        <f>(INDEX(Models!$BJ280:$BT280,,AH280)*(1-AF280)+INDEX(Models!$BJ280:$BT280,,AH280+1)*AF280-ERP_i)*AE280*Ramure*Pc/MaxiM</f>
        <v>1.3060015726888816E-3</v>
      </c>
      <c r="AE280" s="305">
        <f t="shared" si="112"/>
        <v>0.7</v>
      </c>
      <c r="AF280" s="177">
        <f t="shared" si="113"/>
        <v>0.49359710636426807</v>
      </c>
      <c r="AG280" s="919">
        <f t="shared" si="119"/>
        <v>0</v>
      </c>
      <c r="AH280" s="176">
        <f t="shared" si="114"/>
        <v>6</v>
      </c>
      <c r="AI280" s="225">
        <f t="shared" si="115"/>
        <v>0.49359710636426807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44828</v>
      </c>
      <c r="B281" s="618">
        <v>19.966999999999999</v>
      </c>
      <c r="C281" s="953"/>
      <c r="D281" s="393">
        <f t="shared" si="98"/>
        <v>20.672345869958075</v>
      </c>
      <c r="E281" s="385">
        <f t="shared" si="96"/>
        <v>22.637682886348941</v>
      </c>
      <c r="F281" s="385">
        <f t="shared" si="99"/>
        <v>22.645483393043399</v>
      </c>
      <c r="G281" s="110">
        <f t="shared" si="97"/>
        <v>0.47861258992572242</v>
      </c>
      <c r="H281" s="412" t="b">
        <f>Wh_hp&gt;='2021'!Maxi_hp</f>
        <v>0</v>
      </c>
      <c r="I281" s="380">
        <f>IF(H281,Wh_hp,'2021'!Maxi_hp)</f>
        <v>42.341790799167022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3.4120262615338404E-2</v>
      </c>
      <c r="M281" s="957"/>
      <c r="N281" s="957"/>
      <c r="O281" s="48">
        <f>IF(t&lt;Tnet,'2021'!Resal+('2021'!Salim-'2021'!Resal)*(1-EXP(('2021'!Tnet-t)/('2021'!Tau_j))),Resal+(Salim-Resal)*(1-EXP((Tnet-t)/(Tau_j))))*Salcycl</f>
        <v>8.6817057481444443E-2</v>
      </c>
      <c r="P281" s="339">
        <f>(INDEX(Models!$BJ281:$BT281,,T281)*(1-R281)+INDEX(Models!$BJ281:$BT281,,T281+1)*R281-ERP_i)*Q281*Ramure*Pc/MaxiM</f>
        <v>1.3463601071921608E-3</v>
      </c>
      <c r="Q281" s="305">
        <f t="shared" si="101"/>
        <v>0.7</v>
      </c>
      <c r="R281" s="177">
        <f t="shared" si="102"/>
        <v>0.49385971615640412</v>
      </c>
      <c r="S281" s="919">
        <f t="shared" si="103"/>
        <v>0</v>
      </c>
      <c r="T281" s="176">
        <f t="shared" si="104"/>
        <v>6</v>
      </c>
      <c r="U281" s="251">
        <f t="shared" si="105"/>
        <v>0.49385971615640412</v>
      </c>
      <c r="V281" s="383">
        <f t="shared" si="106"/>
        <v>41.676689300412583</v>
      </c>
      <c r="W281" s="402"/>
      <c r="X281" s="157">
        <f t="shared" si="107"/>
        <v>44828</v>
      </c>
      <c r="Y281" s="385">
        <f t="shared" si="108"/>
        <v>19.066576678673666</v>
      </c>
      <c r="Z281" s="385">
        <f t="shared" si="109"/>
        <v>19.7401145719246</v>
      </c>
      <c r="AA281" s="386">
        <f t="shared" si="110"/>
        <v>22.637682886348941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0.12799756622492672</v>
      </c>
      <c r="AD281" s="231">
        <f>(INDEX(Models!$BJ281:$BT281,,AH281)*(1-AF281)+INDEX(Models!$BJ281:$BT281,,AH281+1)*AF281-ERP_i)*AE281*Ramure*Pc/MaxiM</f>
        <v>1.3463601071921608E-3</v>
      </c>
      <c r="AE281" s="305">
        <f t="shared" si="112"/>
        <v>0.7</v>
      </c>
      <c r="AF281" s="177">
        <f t="shared" si="113"/>
        <v>0.49385971615640412</v>
      </c>
      <c r="AG281" s="919">
        <f t="shared" si="119"/>
        <v>0</v>
      </c>
      <c r="AH281" s="176">
        <f t="shared" si="114"/>
        <v>6</v>
      </c>
      <c r="AI281" s="225">
        <f t="shared" si="115"/>
        <v>0.49385971615640412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44829</v>
      </c>
      <c r="B282" s="618">
        <v>29.445</v>
      </c>
      <c r="C282" s="953"/>
      <c r="D282" s="393">
        <f t="shared" si="98"/>
        <v>30.485829441794788</v>
      </c>
      <c r="E282" s="385">
        <f t="shared" si="96"/>
        <v>33.389167276230815</v>
      </c>
      <c r="F282" s="385">
        <f t="shared" si="99"/>
        <v>33.416305104043943</v>
      </c>
      <c r="G282" s="110">
        <f t="shared" si="97"/>
        <v>0.7093320820299972</v>
      </c>
      <c r="H282" s="412" t="b">
        <f>Wh_hp&gt;='2021'!Maxi_hp</f>
        <v>0</v>
      </c>
      <c r="I282" s="380">
        <f>IF(H282,Wh_hp,'2021'!Maxi_hp)</f>
        <v>48.914209724554347</v>
      </c>
      <c r="J282" s="85">
        <f>IF(H282,An,'2021'!An_max)</f>
        <v>2018</v>
      </c>
      <c r="K282" s="197">
        <f t="shared" si="100"/>
        <v>44829</v>
      </c>
      <c r="L282" s="147">
        <f>IF(t&lt;Tvie,1-EXP((T0-t)*PertePVj)+'2021'!Pspv,1-EXP((T0-t)*PertePVj)+Pspv)</f>
        <v>3.4141417860452106E-2</v>
      </c>
      <c r="M282" s="957"/>
      <c r="N282" s="957"/>
      <c r="O282" s="48">
        <f>IF(t&lt;Tnet,'2021'!Resal+('2021'!Salim-'2021'!Resal)*(1-EXP(('2021'!Tnet-t)/('2021'!Tau_j))),Resal+(Salim-Resal)*(1-EXP((Tnet-t)/(Tau_j))))*Salcycl</f>
        <v>8.695448468110975E-2</v>
      </c>
      <c r="P282" s="339">
        <f>(INDEX(Models!$BJ282:$BT282,,T282)*(1-R282)+INDEX(Models!$BJ282:$BT282,,T282+1)*R282-ERP_i)*Q282*Ramure*Pc/MaxiM</f>
        <v>1.3874123669396035E-3</v>
      </c>
      <c r="Q282" s="305">
        <f t="shared" si="101"/>
        <v>0.7</v>
      </c>
      <c r="R282" s="177">
        <f t="shared" si="102"/>
        <v>0.4941120150836224</v>
      </c>
      <c r="S282" s="919">
        <f t="shared" si="103"/>
        <v>0</v>
      </c>
      <c r="T282" s="176">
        <f t="shared" si="104"/>
        <v>6</v>
      </c>
      <c r="U282" s="251">
        <f t="shared" si="105"/>
        <v>0.4941120150836224</v>
      </c>
      <c r="V282" s="383">
        <f t="shared" si="106"/>
        <v>41.48698091928653</v>
      </c>
      <c r="W282" s="402"/>
      <c r="X282" s="157">
        <f t="shared" si="107"/>
        <v>44829</v>
      </c>
      <c r="Y282" s="385">
        <f t="shared" si="108"/>
        <v>28.119485516652013</v>
      </c>
      <c r="Z282" s="385">
        <f t="shared" si="109"/>
        <v>29.113460331182615</v>
      </c>
      <c r="AA282" s="386">
        <f t="shared" si="110"/>
        <v>33.389167276230815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0.12805671101872618</v>
      </c>
      <c r="AD282" s="231">
        <f>(INDEX(Models!$BJ282:$BT282,,AH282)*(1-AF282)+INDEX(Models!$BJ282:$BT282,,AH282+1)*AF282-ERP_i)*AE282*Ramure*Pc/MaxiM</f>
        <v>1.3874123669396035E-3</v>
      </c>
      <c r="AE282" s="305">
        <f t="shared" si="112"/>
        <v>0.7</v>
      </c>
      <c r="AF282" s="177">
        <f t="shared" si="113"/>
        <v>0.4941120150836224</v>
      </c>
      <c r="AG282" s="919">
        <f t="shared" si="119"/>
        <v>0</v>
      </c>
      <c r="AH282" s="176">
        <f t="shared" si="114"/>
        <v>6</v>
      </c>
      <c r="AI282" s="225">
        <f t="shared" si="115"/>
        <v>0.4941120150836224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44830</v>
      </c>
      <c r="B283" s="618">
        <v>30.763999999999999</v>
      </c>
      <c r="C283" s="953"/>
      <c r="D283" s="393">
        <f t="shared" si="98"/>
        <v>31.852151437287045</v>
      </c>
      <c r="E283" s="385">
        <f t="shared" si="96"/>
        <v>34.890811172453056</v>
      </c>
      <c r="F283" s="385">
        <f t="shared" si="99"/>
        <v>34.922530696756574</v>
      </c>
      <c r="G283" s="110">
        <f t="shared" si="97"/>
        <v>0.74460857119810253</v>
      </c>
      <c r="H283" s="412" t="b">
        <f>Wh_hp&gt;='2021'!Maxi_hp</f>
        <v>0</v>
      </c>
      <c r="I283" s="380">
        <f>IF(H283,Wh_hp,'2021'!Maxi_hp)</f>
        <v>47.979649608380406</v>
      </c>
      <c r="J283" s="85">
        <f>IF(H283,An,'2021'!An_max)</f>
        <v>2018</v>
      </c>
      <c r="K283" s="197">
        <f t="shared" si="100"/>
        <v>44830</v>
      </c>
      <c r="L283" s="147">
        <f>IF(t&lt;Tvie,1-EXP((T0-t)*PertePVj)+'2021'!Pspv,1-EXP((T0-t)*PertePVj)+Pspv)</f>
        <v>3.4162572642211675E-2</v>
      </c>
      <c r="M283" s="957"/>
      <c r="N283" s="957"/>
      <c r="O283" s="48">
        <f>IF(t&lt;Tnet,'2021'!Resal+('2021'!Salim-'2021'!Resal)*(1-EXP(('2021'!Tnet-t)/('2021'!Tau_j))),Resal+(Salim-Resal)*(1-EXP((Tnet-t)/(Tau_j))))*Salcycl</f>
        <v>8.7090544273877094E-2</v>
      </c>
      <c r="P283" s="339">
        <f>(INDEX(Models!$BJ283:$BT283,,T283)*(1-R283)+INDEX(Models!$BJ283:$BT283,,T283+1)*R283-ERP_i)*Q283*Ramure*Pc/MaxiM</f>
        <v>1.4287696693266782E-3</v>
      </c>
      <c r="Q283" s="305">
        <f t="shared" si="101"/>
        <v>0.7</v>
      </c>
      <c r="R283" s="177">
        <f t="shared" si="102"/>
        <v>0.49435439794400032</v>
      </c>
      <c r="S283" s="919">
        <f t="shared" si="103"/>
        <v>0</v>
      </c>
      <c r="T283" s="176">
        <f t="shared" si="104"/>
        <v>6</v>
      </c>
      <c r="U283" s="251">
        <f t="shared" si="105"/>
        <v>0.49435439794400032</v>
      </c>
      <c r="V283" s="383">
        <f t="shared" si="106"/>
        <v>41.29414348143127</v>
      </c>
      <c r="W283" s="402"/>
      <c r="X283" s="157">
        <f t="shared" si="107"/>
        <v>44830</v>
      </c>
      <c r="Y283" s="385">
        <f t="shared" si="108"/>
        <v>29.381551363223025</v>
      </c>
      <c r="Z283" s="385">
        <f t="shared" si="109"/>
        <v>30.420804299954735</v>
      </c>
      <c r="AA283" s="386">
        <f t="shared" si="110"/>
        <v>34.890811172453056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0.12811415734660456</v>
      </c>
      <c r="AD283" s="231">
        <f>(INDEX(Models!$BJ283:$BT283,,AH283)*(1-AF283)+INDEX(Models!$BJ283:$BT283,,AH283+1)*AF283-ERP_i)*AE283*Ramure*Pc/MaxiM</f>
        <v>1.4287696693266782E-3</v>
      </c>
      <c r="AE283" s="305">
        <f t="shared" si="112"/>
        <v>0.7</v>
      </c>
      <c r="AF283" s="177">
        <f t="shared" si="113"/>
        <v>0.49435439794400032</v>
      </c>
      <c r="AG283" s="919">
        <f t="shared" si="119"/>
        <v>0</v>
      </c>
      <c r="AH283" s="176">
        <f t="shared" si="114"/>
        <v>6</v>
      </c>
      <c r="AI283" s="225">
        <f t="shared" si="115"/>
        <v>0.49435439794400032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44831</v>
      </c>
      <c r="B284" s="618">
        <v>14.778</v>
      </c>
      <c r="C284" s="953"/>
      <c r="D284" s="393">
        <f t="shared" si="98"/>
        <v>15.301046806236155</v>
      </c>
      <c r="E284" s="385">
        <f t="shared" si="96"/>
        <v>16.763222286103765</v>
      </c>
      <c r="F284" s="385">
        <f t="shared" si="99"/>
        <v>16.765320446411724</v>
      </c>
      <c r="G284" s="110">
        <f t="shared" si="97"/>
        <v>0.35909361851679805</v>
      </c>
      <c r="H284" s="412" t="b">
        <f>Wh_hp&gt;='2021'!Maxi_hp</f>
        <v>0</v>
      </c>
      <c r="I284" s="380">
        <f>IF(H284,Wh_hp,'2021'!Maxi_hp)</f>
        <v>46.988763169188566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3.4183726960627214E-2</v>
      </c>
      <c r="M284" s="957"/>
      <c r="N284" s="957"/>
      <c r="O284" s="48">
        <f>IF(t&lt;Tnet,'2021'!Resal+('2021'!Salim-'2021'!Resal)*(1-EXP(('2021'!Tnet-t)/('2021'!Tau_j))),Resal+(Salim-Resal)*(1-EXP((Tnet-t)/(Tau_j))))*Salcycl</f>
        <v>8.7225203777182694E-2</v>
      </c>
      <c r="P284" s="339">
        <f>(INDEX(Models!$BJ284:$BT284,,T284)*(1-R284)+INDEX(Models!$BJ284:$BT284,,T284+1)*R284-ERP_i)*Q284*Ramure*Pc/MaxiM</f>
        <v>1.4704261783916827E-3</v>
      </c>
      <c r="Q284" s="305">
        <f t="shared" si="101"/>
        <v>0.7</v>
      </c>
      <c r="R284" s="177">
        <f t="shared" si="102"/>
        <v>0.49458724520306957</v>
      </c>
      <c r="S284" s="919">
        <f t="shared" si="103"/>
        <v>0</v>
      </c>
      <c r="T284" s="176">
        <f t="shared" si="104"/>
        <v>6</v>
      </c>
      <c r="U284" s="251">
        <f t="shared" si="105"/>
        <v>0.49458724520306957</v>
      </c>
      <c r="V284" s="383">
        <f t="shared" si="106"/>
        <v>41.098243583469554</v>
      </c>
      <c r="W284" s="402"/>
      <c r="X284" s="157">
        <f t="shared" si="107"/>
        <v>44831</v>
      </c>
      <c r="Y284" s="385">
        <f t="shared" si="108"/>
        <v>14.115098088565189</v>
      </c>
      <c r="Z284" s="385">
        <f t="shared" si="109"/>
        <v>14.61468240139061</v>
      </c>
      <c r="AA284" s="386">
        <f t="shared" si="110"/>
        <v>16.763222286103765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0.12816986185849447</v>
      </c>
      <c r="AD284" s="231">
        <f>(INDEX(Models!$BJ284:$BT284,,AH284)*(1-AF284)+INDEX(Models!$BJ284:$BT284,,AH284+1)*AF284-ERP_i)*AE284*Ramure*Pc/MaxiM</f>
        <v>1.4704261783916827E-3</v>
      </c>
      <c r="AE284" s="305">
        <f t="shared" si="112"/>
        <v>0.7</v>
      </c>
      <c r="AF284" s="177">
        <f t="shared" si="113"/>
        <v>0.49458724520306957</v>
      </c>
      <c r="AG284" s="919">
        <f t="shared" si="119"/>
        <v>0</v>
      </c>
      <c r="AH284" s="176">
        <f t="shared" si="114"/>
        <v>6</v>
      </c>
      <c r="AI284" s="225">
        <f t="shared" si="115"/>
        <v>0.49458724520306957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44832</v>
      </c>
      <c r="B285" s="618">
        <v>14.450000000000001</v>
      </c>
      <c r="C285" s="953"/>
      <c r="D285" s="393">
        <f t="shared" si="98"/>
        <v>14.961765402381042</v>
      </c>
      <c r="E285" s="385">
        <f t="shared" si="96"/>
        <v>16.393911825534385</v>
      </c>
      <c r="F285" s="385">
        <f t="shared" si="99"/>
        <v>16.395800135356733</v>
      </c>
      <c r="G285" s="110">
        <f t="shared" si="97"/>
        <v>0.35281266992276628</v>
      </c>
      <c r="H285" s="412" t="b">
        <f>Wh_hp&gt;='2021'!Maxi_hp</f>
        <v>0</v>
      </c>
      <c r="I285" s="380">
        <f>IF(H285,Wh_hp,'2021'!Maxi_hp)</f>
        <v>44.138858996476266</v>
      </c>
      <c r="J285" s="85">
        <f>IF(H285,An,'2021'!An_max)</f>
        <v>2018</v>
      </c>
      <c r="K285" s="197">
        <f t="shared" si="100"/>
        <v>44832</v>
      </c>
      <c r="L285" s="147">
        <f>IF(t&lt;Tvie,1-EXP((T0-t)*PertePVj)+'2021'!Pspv,1-EXP((T0-t)*PertePVj)+Pspv)</f>
        <v>3.4204880815708938E-2</v>
      </c>
      <c r="M285" s="957"/>
      <c r="N285" s="957"/>
      <c r="O285" s="48">
        <f>IF(t&lt;Tnet,'2021'!Resal+('2021'!Salim-'2021'!Resal)*(1-EXP(('2021'!Tnet-t)/('2021'!Tau_j))),Resal+(Salim-Resal)*(1-EXP((Tnet-t)/(Tau_j))))*Salcycl</f>
        <v>8.7358431495446837E-2</v>
      </c>
      <c r="P285" s="339">
        <f>(INDEX(Models!$BJ285:$BT285,,T285)*(1-R285)+INDEX(Models!$BJ285:$BT285,,T285+1)*R285-ERP_i)*Q285*Ramure*Pc/MaxiM</f>
        <v>1.5123753206944786E-3</v>
      </c>
      <c r="Q285" s="305">
        <f t="shared" si="101"/>
        <v>0.7</v>
      </c>
      <c r="R285" s="177">
        <f t="shared" si="102"/>
        <v>0.49481092345235622</v>
      </c>
      <c r="S285" s="919">
        <f t="shared" si="103"/>
        <v>0</v>
      </c>
      <c r="T285" s="176">
        <f t="shared" si="104"/>
        <v>6</v>
      </c>
      <c r="U285" s="251">
        <f t="shared" si="105"/>
        <v>0.49481092345235622</v>
      </c>
      <c r="V285" s="383">
        <f t="shared" si="106"/>
        <v>40.899347706611856</v>
      </c>
      <c r="W285" s="402"/>
      <c r="X285" s="157">
        <f t="shared" si="107"/>
        <v>44832</v>
      </c>
      <c r="Y285" s="385">
        <f t="shared" si="108"/>
        <v>13.80297235768357</v>
      </c>
      <c r="Z285" s="385">
        <f t="shared" si="109"/>
        <v>14.291822440914318</v>
      </c>
      <c r="AA285" s="386">
        <f t="shared" si="110"/>
        <v>16.393911825534385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0.12822378252309197</v>
      </c>
      <c r="AD285" s="231">
        <f>(INDEX(Models!$BJ285:$BT285,,AH285)*(1-AF285)+INDEX(Models!$BJ285:$BT285,,AH285+1)*AF285-ERP_i)*AE285*Ramure*Pc/MaxiM</f>
        <v>1.5123753206944786E-3</v>
      </c>
      <c r="AE285" s="305">
        <f t="shared" si="112"/>
        <v>0.7</v>
      </c>
      <c r="AF285" s="177">
        <f t="shared" si="113"/>
        <v>0.49481092345235622</v>
      </c>
      <c r="AG285" s="919">
        <f t="shared" si="119"/>
        <v>0</v>
      </c>
      <c r="AH285" s="176">
        <f t="shared" si="114"/>
        <v>6</v>
      </c>
      <c r="AI285" s="225">
        <f t="shared" si="115"/>
        <v>0.49481092345235622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44833</v>
      </c>
      <c r="B286" s="618">
        <v>20.818999999999999</v>
      </c>
      <c r="C286" s="953"/>
      <c r="D286" s="393">
        <f t="shared" si="98"/>
        <v>21.556803907957406</v>
      </c>
      <c r="E286" s="385">
        <f t="shared" si="96"/>
        <v>23.623640898160964</v>
      </c>
      <c r="F286" s="385">
        <f t="shared" si="99"/>
        <v>23.634745334690596</v>
      </c>
      <c r="G286" s="110">
        <f t="shared" si="97"/>
        <v>0.51099930256954895</v>
      </c>
      <c r="H286" s="412" t="b">
        <f>Wh_hp&gt;='2021'!Maxi_hp</f>
        <v>0</v>
      </c>
      <c r="I286" s="380">
        <f>IF(H286,Wh_hp,'2021'!Maxi_hp)</f>
        <v>45.467806820564945</v>
      </c>
      <c r="J286" s="85">
        <f>IF(H286,An,'2021'!An_max)</f>
        <v>2018</v>
      </c>
      <c r="K286" s="197">
        <f t="shared" si="100"/>
        <v>44833</v>
      </c>
      <c r="L286" s="147">
        <f>IF(t&lt;Tvie,1-EXP((T0-t)*PertePVj)+'2021'!Pspv,1-EXP((T0-t)*PertePVj)+Pspv)</f>
        <v>3.4226034207466949E-2</v>
      </c>
      <c r="M286" s="957"/>
      <c r="N286" s="957"/>
      <c r="O286" s="48">
        <f>IF(t&lt;Tnet,'2021'!Resal+('2021'!Salim-'2021'!Resal)*(1-EXP(('2021'!Tnet-t)/('2021'!Tau_j))),Resal+(Salim-Resal)*(1-EXP((Tnet-t)/(Tau_j))))*Salcycl</f>
        <v>8.7490196753052307E-2</v>
      </c>
      <c r="P286" s="339">
        <f>(INDEX(Models!$BJ286:$BT286,,T286)*(1-R286)+INDEX(Models!$BJ286:$BT286,,T286+1)*R286-ERP_i)*Q286*Ramure*Pc/MaxiM</f>
        <v>1.5546098058129133E-3</v>
      </c>
      <c r="Q286" s="305">
        <f t="shared" si="101"/>
        <v>0.7</v>
      </c>
      <c r="R286" s="177">
        <f t="shared" si="102"/>
        <v>0.49502578585826645</v>
      </c>
      <c r="S286" s="919">
        <f t="shared" si="103"/>
        <v>0</v>
      </c>
      <c r="T286" s="176">
        <f t="shared" si="104"/>
        <v>6</v>
      </c>
      <c r="U286" s="251">
        <f t="shared" si="105"/>
        <v>0.49502578585826645</v>
      </c>
      <c r="V286" s="383">
        <f t="shared" si="106"/>
        <v>40.69752220458868</v>
      </c>
      <c r="W286" s="402"/>
      <c r="X286" s="157">
        <f t="shared" si="107"/>
        <v>44833</v>
      </c>
      <c r="Y286" s="385">
        <f t="shared" si="108"/>
        <v>19.888470689669496</v>
      </c>
      <c r="Z286" s="385">
        <f t="shared" si="109"/>
        <v>20.593297597692672</v>
      </c>
      <c r="AA286" s="386">
        <f t="shared" si="110"/>
        <v>23.623640898160964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0.1282758789609012</v>
      </c>
      <c r="AD286" s="231">
        <f>(INDEX(Models!$BJ286:$BT286,,AH286)*(1-AF286)+INDEX(Models!$BJ286:$BT286,,AH286+1)*AF286-ERP_i)*AE286*Ramure*Pc/MaxiM</f>
        <v>1.5546098058129133E-3</v>
      </c>
      <c r="AE286" s="305">
        <f t="shared" si="112"/>
        <v>0.7</v>
      </c>
      <c r="AF286" s="177">
        <f t="shared" si="113"/>
        <v>0.49502578585826645</v>
      </c>
      <c r="AG286" s="919">
        <f t="shared" si="119"/>
        <v>0</v>
      </c>
      <c r="AH286" s="176">
        <f t="shared" si="114"/>
        <v>6</v>
      </c>
      <c r="AI286" s="225">
        <f t="shared" si="115"/>
        <v>0.49502578585826645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44834</v>
      </c>
      <c r="B287" s="618">
        <v>30.009</v>
      </c>
      <c r="C287" s="953"/>
      <c r="D287" s="393">
        <f t="shared" si="98"/>
        <v>31.073168620657377</v>
      </c>
      <c r="E287" s="385">
        <f t="shared" si="96"/>
        <v>34.057283842514977</v>
      </c>
      <c r="F287" s="385">
        <f t="shared" si="99"/>
        <v>34.091593668382508</v>
      </c>
      <c r="G287" s="110">
        <f t="shared" si="97"/>
        <v>0.740655883385267</v>
      </c>
      <c r="H287" s="412" t="b">
        <f>Wh_hp&gt;='2021'!Maxi_hp</f>
        <v>0</v>
      </c>
      <c r="I287" s="380">
        <f>IF(H287,Wh_hp,'2021'!Maxi_hp)</f>
        <v>41.385817820684117</v>
      </c>
      <c r="J287" s="85">
        <f>IF(H287,An,'2021'!An_max)</f>
        <v>2018</v>
      </c>
      <c r="K287" s="197">
        <f t="shared" si="100"/>
        <v>44834</v>
      </c>
      <c r="L287" s="147">
        <f>IF(t&lt;Tvie,1-EXP((T0-t)*PertePVj)+'2021'!Pspv,1-EXP((T0-t)*PertePVj)+Pspv)</f>
        <v>3.4247187135911239E-2</v>
      </c>
      <c r="M287" s="957"/>
      <c r="N287" s="957"/>
      <c r="O287" s="48">
        <f>IF(t&lt;Tnet,'2021'!Resal+('2021'!Salim-'2021'!Resal)*(1-EXP(('2021'!Tnet-t)/('2021'!Tau_j))),Resal+(Salim-Resal)*(1-EXP((Tnet-t)/(Tau_j))))*Salcycl</f>
        <v>8.762047013662376E-2</v>
      </c>
      <c r="P287" s="339">
        <f>(INDEX(Models!$BJ287:$BT287,,T287)*(1-R287)+INDEX(Models!$BJ287:$BT287,,T287+1)*R287-ERP_i)*Q287*Ramure*Pc/MaxiM</f>
        <v>1.5971216539182524E-3</v>
      </c>
      <c r="Q287" s="305">
        <f t="shared" si="101"/>
        <v>0.7</v>
      </c>
      <c r="R287" s="177">
        <f t="shared" si="102"/>
        <v>0.49523217260107544</v>
      </c>
      <c r="S287" s="919">
        <f t="shared" si="103"/>
        <v>0</v>
      </c>
      <c r="T287" s="176">
        <f t="shared" si="104"/>
        <v>6</v>
      </c>
      <c r="U287" s="251">
        <f t="shared" si="105"/>
        <v>0.49523217260107544</v>
      </c>
      <c r="V287" s="383">
        <f t="shared" si="106"/>
        <v>40.492833296516864</v>
      </c>
      <c r="W287" s="402"/>
      <c r="X287" s="157">
        <f t="shared" si="107"/>
        <v>44834</v>
      </c>
      <c r="Y287" s="385">
        <f t="shared" si="108"/>
        <v>28.670154058846759</v>
      </c>
      <c r="Z287" s="385">
        <f t="shared" si="109"/>
        <v>29.686844994860536</v>
      </c>
      <c r="AA287" s="386">
        <f t="shared" si="110"/>
        <v>34.057283842514977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0.1283261127887908</v>
      </c>
      <c r="AD287" s="231">
        <f>(INDEX(Models!$BJ287:$BT287,,AH287)*(1-AF287)+INDEX(Models!$BJ287:$BT287,,AH287+1)*AF287-ERP_i)*AE287*Ramure*Pc/MaxiM</f>
        <v>1.5971216539182524E-3</v>
      </c>
      <c r="AE287" s="305">
        <f t="shared" si="112"/>
        <v>0.7</v>
      </c>
      <c r="AF287" s="177">
        <f t="shared" si="113"/>
        <v>0.49523217260107544</v>
      </c>
      <c r="AG287" s="919">
        <f t="shared" si="119"/>
        <v>0</v>
      </c>
      <c r="AH287" s="176">
        <f t="shared" si="114"/>
        <v>6</v>
      </c>
      <c r="AI287" s="225">
        <f t="shared" si="115"/>
        <v>0.49523217260107544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44835</v>
      </c>
      <c r="B288" s="618">
        <v>36.323999999999998</v>
      </c>
      <c r="C288" s="953"/>
      <c r="D288" s="393">
        <f t="shared" si="98"/>
        <v>37.612932752970323</v>
      </c>
      <c r="E288" s="385">
        <f t="shared" si="96"/>
        <v>41.230913397933975</v>
      </c>
      <c r="F288" s="385">
        <f t="shared" si="99"/>
        <v>41.289111955920816</v>
      </c>
      <c r="G288" s="110">
        <f t="shared" si="97"/>
        <v>0.9014597883240405</v>
      </c>
      <c r="H288" s="412" t="b">
        <f>Wh_hp&gt;='2021'!Maxi_hp</f>
        <v>0</v>
      </c>
      <c r="I288" s="380">
        <f>IF(H288,Wh_hp,'2021'!Maxi_hp)</f>
        <v>43.981299080889379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3.4268339601052245E-2</v>
      </c>
      <c r="M288" s="957"/>
      <c r="N288" s="957"/>
      <c r="O288" s="48">
        <f>IF(t&lt;Tnet,'2021'!Resal+('2021'!Salim-'2021'!Resal)*(1-EXP(('2021'!Tnet-t)/('2021'!Tau_j))),Resal+(Salim-Resal)*(1-EXP((Tnet-t)/(Tau_j))))*Salcycl</f>
        <v>8.774922374494247E-2</v>
      </c>
      <c r="P288" s="339">
        <f>(INDEX(Models!$BJ288:$BT288,,T288)*(1-R288)+INDEX(Models!$BJ288:$BT288,,T288+1)*R288-ERP_i)*Q288*Ramure*Pc/MaxiM</f>
        <v>1.639902231181015E-3</v>
      </c>
      <c r="Q288" s="305">
        <f t="shared" si="101"/>
        <v>0.7</v>
      </c>
      <c r="R288" s="177">
        <f t="shared" si="102"/>
        <v>0.4954304113038237</v>
      </c>
      <c r="S288" s="919">
        <f t="shared" si="103"/>
        <v>0</v>
      </c>
      <c r="T288" s="176">
        <f t="shared" si="104"/>
        <v>6</v>
      </c>
      <c r="U288" s="251">
        <f t="shared" si="105"/>
        <v>0.4954304113038237</v>
      </c>
      <c r="V288" s="383">
        <f t="shared" si="106"/>
        <v>40.285347051670762</v>
      </c>
      <c r="W288" s="402"/>
      <c r="X288" s="157">
        <f t="shared" si="107"/>
        <v>44835</v>
      </c>
      <c r="Y288" s="385">
        <f t="shared" si="108"/>
        <v>34.706384884408536</v>
      </c>
      <c r="Z288" s="385">
        <f t="shared" si="109"/>
        <v>35.937917651028634</v>
      </c>
      <c r="AA288" s="386">
        <f t="shared" si="110"/>
        <v>41.230913397933975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0.12837444797355765</v>
      </c>
      <c r="AD288" s="231">
        <f>(INDEX(Models!$BJ288:$BT288,,AH288)*(1-AF288)+INDEX(Models!$BJ288:$BT288,,AH288+1)*AF288-ERP_i)*AE288*Ramure*Pc/MaxiM</f>
        <v>1.639902231181015E-3</v>
      </c>
      <c r="AE288" s="305">
        <f t="shared" si="112"/>
        <v>0.7</v>
      </c>
      <c r="AF288" s="177">
        <f t="shared" si="113"/>
        <v>0.4954304113038237</v>
      </c>
      <c r="AG288" s="919">
        <f t="shared" si="119"/>
        <v>0</v>
      </c>
      <c r="AH288" s="176">
        <f t="shared" si="114"/>
        <v>6</v>
      </c>
      <c r="AI288" s="225">
        <f t="shared" si="115"/>
        <v>0.4954304113038237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44836</v>
      </c>
      <c r="B289" s="618">
        <v>35.765999999999998</v>
      </c>
      <c r="C289" s="953"/>
      <c r="D289" s="393">
        <f t="shared" si="98"/>
        <v>37.035943679814473</v>
      </c>
      <c r="E289" s="385">
        <f t="shared" si="96"/>
        <v>40.604085846037869</v>
      </c>
      <c r="F289" s="385">
        <f t="shared" si="99"/>
        <v>40.662008107388814</v>
      </c>
      <c r="G289" s="110">
        <f t="shared" si="97"/>
        <v>0.89225616130086283</v>
      </c>
      <c r="H289" s="412" t="b">
        <f>Wh_hp&gt;='2021'!Maxi_hp</f>
        <v>0</v>
      </c>
      <c r="I289" s="380">
        <f>IF(H289,Wh_hp,'2021'!Maxi_hp)</f>
        <v>47.647904130278036</v>
      </c>
      <c r="J289" s="85">
        <f>IF(H289,An,'2021'!An_max)</f>
        <v>2018</v>
      </c>
      <c r="K289" s="197">
        <f t="shared" si="100"/>
        <v>44836</v>
      </c>
      <c r="L289" s="147">
        <f>IF(t&lt;Tvie,1-EXP((T0-t)*PertePVj)+'2021'!Pspv,1-EXP((T0-t)*PertePVj)+Pspv)</f>
        <v>3.4289491602899957E-2</v>
      </c>
      <c r="M289" s="957"/>
      <c r="N289" s="957"/>
      <c r="O289" s="48">
        <f>IF(t&lt;Tnet,'2021'!Resal+('2021'!Salim-'2021'!Resal)*(1-EXP(('2021'!Tnet-t)/('2021'!Tau_j))),Resal+(Salim-Resal)*(1-EXP((Tnet-t)/(Tau_j))))*Salcycl</f>
        <v>8.7876431444683559E-2</v>
      </c>
      <c r="P289" s="339">
        <f>(INDEX(Models!$BJ289:$BT289,,T289)*(1-R289)+INDEX(Models!$BJ289:$BT289,,T289+1)*R289-ERP_i)*Q289*Ramure*Pc/MaxiM</f>
        <v>1.68296763407152E-3</v>
      </c>
      <c r="Q289" s="305">
        <f t="shared" si="101"/>
        <v>0.7</v>
      </c>
      <c r="R289" s="177">
        <f t="shared" si="102"/>
        <v>0.49562081745098008</v>
      </c>
      <c r="S289" s="919">
        <f t="shared" si="103"/>
        <v>0</v>
      </c>
      <c r="T289" s="176">
        <f t="shared" si="104"/>
        <v>6</v>
      </c>
      <c r="U289" s="251">
        <f t="shared" si="105"/>
        <v>0.49562081745098008</v>
      </c>
      <c r="V289" s="383">
        <f t="shared" si="106"/>
        <v>40.074524932089986</v>
      </c>
      <c r="W289" s="402"/>
      <c r="X289" s="157">
        <f t="shared" si="107"/>
        <v>44836</v>
      </c>
      <c r="Y289" s="385">
        <f t="shared" si="108"/>
        <v>34.176180630490258</v>
      </c>
      <c r="Z289" s="385">
        <f t="shared" si="109"/>
        <v>35.389674579824515</v>
      </c>
      <c r="AA289" s="386">
        <f t="shared" si="110"/>
        <v>40.604085846037869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0.12842085119180627</v>
      </c>
      <c r="AD289" s="231">
        <f>(INDEX(Models!$BJ289:$BT289,,AH289)*(1-AF289)+INDEX(Models!$BJ289:$BT289,,AH289+1)*AF289-ERP_i)*AE289*Ramure*Pc/MaxiM</f>
        <v>1.68296763407152E-3</v>
      </c>
      <c r="AE289" s="305">
        <f t="shared" si="112"/>
        <v>0.7</v>
      </c>
      <c r="AF289" s="177">
        <f t="shared" si="113"/>
        <v>0.49562081745098008</v>
      </c>
      <c r="AG289" s="919">
        <f t="shared" si="119"/>
        <v>0</v>
      </c>
      <c r="AH289" s="176">
        <f t="shared" si="114"/>
        <v>6</v>
      </c>
      <c r="AI289" s="225">
        <f t="shared" si="115"/>
        <v>0.49562081745098008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44837</v>
      </c>
      <c r="B290" s="618">
        <v>33.433999999999997</v>
      </c>
      <c r="C290" s="953"/>
      <c r="D290" s="393">
        <f t="shared" si="98"/>
        <v>34.621899643549419</v>
      </c>
      <c r="E290" s="385">
        <f t="shared" si="96"/>
        <v>37.962695387393246</v>
      </c>
      <c r="F290" s="385">
        <f t="shared" si="99"/>
        <v>38.013140964784078</v>
      </c>
      <c r="G290" s="110">
        <f t="shared" si="97"/>
        <v>0.83845201016937221</v>
      </c>
      <c r="H290" s="412" t="b">
        <f>Wh_hp&gt;='2021'!Maxi_hp</f>
        <v>0</v>
      </c>
      <c r="I290" s="380">
        <f>IF(H290,Wh_hp,'2021'!Maxi_hp)</f>
        <v>43.351504842538631</v>
      </c>
      <c r="J290" s="85">
        <f>IF(H290,An,'2021'!An_max)</f>
        <v>2018</v>
      </c>
      <c r="K290" s="197">
        <f t="shared" si="100"/>
        <v>44837</v>
      </c>
      <c r="L290" s="147">
        <f>IF(t&lt;Tvie,1-EXP((T0-t)*PertePVj)+'2021'!Pspv,1-EXP((T0-t)*PertePVj)+Pspv)</f>
        <v>3.4310643141464592E-2</v>
      </c>
      <c r="M290" s="957"/>
      <c r="N290" s="957"/>
      <c r="O290" s="48">
        <f>IF(t&lt;Tnet,'2021'!Resal+('2021'!Salim-'2021'!Resal)*(1-EXP(('2021'!Tnet-t)/('2021'!Tau_j))),Resal+(Salim-Resal)*(1-EXP((Tnet-t)/(Tau_j))))*Salcycl</f>
        <v>8.8002069130034638E-2</v>
      </c>
      <c r="P290" s="339">
        <f>(INDEX(Models!$BJ290:$BT290,,T290)*(1-R290)+INDEX(Models!$BJ290:$BT290,,T290+1)*R290-ERP_i)*Q290*Ramure*Pc/MaxiM</f>
        <v>1.7241357929521652E-3</v>
      </c>
      <c r="Q290" s="305">
        <f t="shared" si="101"/>
        <v>0.7</v>
      </c>
      <c r="R290" s="177">
        <f t="shared" si="102"/>
        <v>0.49580369479676817</v>
      </c>
      <c r="S290" s="919">
        <f t="shared" si="103"/>
        <v>0</v>
      </c>
      <c r="T290" s="176">
        <f t="shared" si="104"/>
        <v>6</v>
      </c>
      <c r="U290" s="251">
        <f t="shared" si="105"/>
        <v>0.49580369479676817</v>
      </c>
      <c r="V290" s="383">
        <f t="shared" si="106"/>
        <v>39.860011064219648</v>
      </c>
      <c r="W290" s="402"/>
      <c r="X290" s="157">
        <f t="shared" si="107"/>
        <v>44837</v>
      </c>
      <c r="Y290" s="385">
        <f t="shared" si="108"/>
        <v>31.950611327608843</v>
      </c>
      <c r="Z290" s="385">
        <f t="shared" si="109"/>
        <v>33.085806632007142</v>
      </c>
      <c r="AA290" s="386">
        <f t="shared" si="110"/>
        <v>37.962695387393246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0.1284652921932839</v>
      </c>
      <c r="AD290" s="231">
        <f>(INDEX(Models!$BJ290:$BT290,,AH290)*(1-AF290)+INDEX(Models!$BJ290:$BT290,,AH290+1)*AF290-ERP_i)*AE290*Ramure*Pc/MaxiM</f>
        <v>1.7241357929521652E-3</v>
      </c>
      <c r="AE290" s="305">
        <f t="shared" si="112"/>
        <v>0.7</v>
      </c>
      <c r="AF290" s="177">
        <f t="shared" si="113"/>
        <v>0.49580369479676817</v>
      </c>
      <c r="AG290" s="919">
        <f t="shared" si="119"/>
        <v>0</v>
      </c>
      <c r="AH290" s="176">
        <f t="shared" si="114"/>
        <v>6</v>
      </c>
      <c r="AI290" s="225">
        <f t="shared" si="115"/>
        <v>0.49580369479676817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44838</v>
      </c>
      <c r="B291" s="618">
        <v>39.152999999999999</v>
      </c>
      <c r="C291" s="953"/>
      <c r="D291" s="393">
        <f t="shared" si="98"/>
        <v>40.544981977783344</v>
      </c>
      <c r="E291" s="385">
        <f t="shared" si="96"/>
        <v>44.46336565179525</v>
      </c>
      <c r="F291" s="385">
        <f t="shared" si="99"/>
        <v>44.540481542596019</v>
      </c>
      <c r="G291" s="110">
        <f t="shared" si="97"/>
        <v>0.98763260692691768</v>
      </c>
      <c r="H291" s="412" t="b">
        <f>Wh_hp&gt;='2021'!Maxi_hp</f>
        <v>0</v>
      </c>
      <c r="I291" s="380">
        <f>IF(H291,Wh_hp,'2021'!Maxi_hp)</f>
        <v>44.844605022343991</v>
      </c>
      <c r="J291" s="85">
        <f>IF(H291,An,'2021'!An_max)</f>
        <v>2018</v>
      </c>
      <c r="K291" s="197">
        <f t="shared" si="100"/>
        <v>44838</v>
      </c>
      <c r="L291" s="147">
        <f>IF(t&lt;Tvie,1-EXP((T0-t)*PertePVj)+'2021'!Pspv,1-EXP((T0-t)*PertePVj)+Pspv)</f>
        <v>3.433179421675614E-2</v>
      </c>
      <c r="M291" s="957"/>
      <c r="N291" s="957"/>
      <c r="O291" s="48">
        <f>IF(t&lt;Tnet,'2021'!Resal+('2021'!Salim-'2021'!Resal)*(1-EXP(('2021'!Tnet-t)/('2021'!Tau_j))),Resal+(Salim-Resal)*(1-EXP((Tnet-t)/(Tau_j))))*Salcycl</f>
        <v>8.8126114984138609E-2</v>
      </c>
      <c r="P291" s="339">
        <f>(INDEX(Models!$BJ291:$BT291,,T291)*(1-R291)+INDEX(Models!$BJ291:$BT291,,T291+1)*R291-ERP_i)*Q291*Ramure*Pc/MaxiM</f>
        <v>1.7624270137316309E-3</v>
      </c>
      <c r="Q291" s="305">
        <f t="shared" si="101"/>
        <v>0.7</v>
      </c>
      <c r="R291" s="177">
        <f t="shared" si="102"/>
        <v>0.49597933576309861</v>
      </c>
      <c r="S291" s="919">
        <f t="shared" si="103"/>
        <v>0</v>
      </c>
      <c r="T291" s="176">
        <f t="shared" si="104"/>
        <v>6</v>
      </c>
      <c r="U291" s="251">
        <f t="shared" si="105"/>
        <v>0.49597933576309861</v>
      </c>
      <c r="V291" s="383">
        <f t="shared" si="106"/>
        <v>39.642050594422919</v>
      </c>
      <c r="W291" s="402"/>
      <c r="X291" s="157">
        <f t="shared" si="107"/>
        <v>44838</v>
      </c>
      <c r="Y291" s="385">
        <f t="shared" si="108"/>
        <v>37.419139700581631</v>
      </c>
      <c r="Z291" s="385">
        <f t="shared" si="109"/>
        <v>38.749478833914118</v>
      </c>
      <c r="AA291" s="386">
        <f t="shared" si="110"/>
        <v>44.46336565179525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0.12850774416467112</v>
      </c>
      <c r="AD291" s="231">
        <f>(INDEX(Models!$BJ291:$BT291,,AH291)*(1-AF291)+INDEX(Models!$BJ291:$BT291,,AH291+1)*AF291-ERP_i)*AE291*Ramure*Pc/MaxiM</f>
        <v>1.7624270137316309E-3</v>
      </c>
      <c r="AE291" s="305">
        <f t="shared" si="112"/>
        <v>0.7</v>
      </c>
      <c r="AF291" s="177">
        <f t="shared" si="113"/>
        <v>0.49597933576309861</v>
      </c>
      <c r="AG291" s="919">
        <f t="shared" si="119"/>
        <v>0</v>
      </c>
      <c r="AH291" s="176">
        <f t="shared" si="114"/>
        <v>6</v>
      </c>
      <c r="AI291" s="225">
        <f t="shared" si="115"/>
        <v>0.49597933576309861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44839</v>
      </c>
      <c r="B292" s="618">
        <v>39.097999999999999</v>
      </c>
      <c r="C292" s="953"/>
      <c r="D292" s="393">
        <f t="shared" si="98"/>
        <v>40.488913408499634</v>
      </c>
      <c r="E292" s="385">
        <f t="shared" si="96"/>
        <v>44.407840971311742</v>
      </c>
      <c r="F292" s="385">
        <f t="shared" si="99"/>
        <v>44.486884113475831</v>
      </c>
      <c r="G292" s="110">
        <f t="shared" si="97"/>
        <v>0.99178927123086369</v>
      </c>
      <c r="H292" s="412" t="b">
        <f>Wh_hp&gt;='2021'!Maxi_hp</f>
        <v>0</v>
      </c>
      <c r="I292" s="380">
        <f>IF(H292,Wh_hp,'2021'!Maxi_hp)</f>
        <v>44.683643039833356</v>
      </c>
      <c r="J292" s="85">
        <f>IF(H292,An,'2021'!An_max)</f>
        <v>2018</v>
      </c>
      <c r="K292" s="197">
        <f t="shared" si="100"/>
        <v>44839</v>
      </c>
      <c r="L292" s="147">
        <f>IF(t&lt;Tvie,1-EXP((T0-t)*PertePVj)+'2021'!Pspv,1-EXP((T0-t)*PertePVj)+Pspv)</f>
        <v>3.4352944828784926E-2</v>
      </c>
      <c r="M292" s="957"/>
      <c r="N292" s="957"/>
      <c r="O292" s="48">
        <f>IF(t&lt;Tnet,'2021'!Resal+('2021'!Salim-'2021'!Resal)*(1-EXP(('2021'!Tnet-t)/('2021'!Tau_j))),Resal+(Salim-Resal)*(1-EXP((Tnet-t)/(Tau_j))))*Salcycl</f>
        <v>8.8248549740209375E-2</v>
      </c>
      <c r="P292" s="339">
        <f>(INDEX(Models!$BJ292:$BT292,,T292)*(1-R292)+INDEX(Models!$BJ292:$BT292,,T292+1)*R292-ERP_i)*Q292*Ramure*Pc/MaxiM</f>
        <v>1.7978079871619689E-3</v>
      </c>
      <c r="Q292" s="305">
        <f t="shared" si="101"/>
        <v>0.7</v>
      </c>
      <c r="R292" s="177">
        <f t="shared" si="102"/>
        <v>0.49614802182708029</v>
      </c>
      <c r="S292" s="919">
        <f t="shared" si="103"/>
        <v>0</v>
      </c>
      <c r="T292" s="176">
        <f t="shared" si="104"/>
        <v>6</v>
      </c>
      <c r="U292" s="251">
        <f t="shared" si="105"/>
        <v>0.49614802182708029</v>
      </c>
      <c r="V292" s="383">
        <f t="shared" si="106"/>
        <v>39.420850059819443</v>
      </c>
      <c r="W292" s="402"/>
      <c r="X292" s="157">
        <f t="shared" si="107"/>
        <v>44839</v>
      </c>
      <c r="Y292" s="385">
        <f t="shared" si="108"/>
        <v>37.369858955215207</v>
      </c>
      <c r="Z292" s="385">
        <f t="shared" si="109"/>
        <v>38.699293655060444</v>
      </c>
      <c r="AA292" s="386">
        <f t="shared" si="110"/>
        <v>44.407840971311742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0.12854818409071325</v>
      </c>
      <c r="AD292" s="231">
        <f>(INDEX(Models!$BJ292:$BT292,,AH292)*(1-AF292)+INDEX(Models!$BJ292:$BT292,,AH292+1)*AF292-ERP_i)*AE292*Ramure*Pc/MaxiM</f>
        <v>1.7978079871619689E-3</v>
      </c>
      <c r="AE292" s="305">
        <f t="shared" si="112"/>
        <v>0.7</v>
      </c>
      <c r="AF292" s="177">
        <f t="shared" si="113"/>
        <v>0.49614802182708029</v>
      </c>
      <c r="AG292" s="919">
        <f t="shared" si="119"/>
        <v>0</v>
      </c>
      <c r="AH292" s="176">
        <f t="shared" si="114"/>
        <v>6</v>
      </c>
      <c r="AI292" s="225">
        <f t="shared" si="115"/>
        <v>0.49614802182708029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44840</v>
      </c>
      <c r="B293" s="618">
        <v>14.496</v>
      </c>
      <c r="C293" s="953"/>
      <c r="D293" s="393">
        <f t="shared" si="98"/>
        <v>15.012024765080373</v>
      </c>
      <c r="E293" s="385">
        <f t="shared" si="96"/>
        <v>16.467222640401982</v>
      </c>
      <c r="F293" s="385">
        <f t="shared" si="99"/>
        <v>16.47022968217917</v>
      </c>
      <c r="G293" s="110">
        <f t="shared" si="97"/>
        <v>0.36921838246117195</v>
      </c>
      <c r="H293" s="412" t="b">
        <f>Wh_hp&gt;='2021'!Maxi_hp</f>
        <v>0</v>
      </c>
      <c r="I293" s="380">
        <f>IF(H293,Wh_hp,'2021'!Maxi_hp)</f>
        <v>42.282942542755286</v>
      </c>
      <c r="J293" s="85">
        <f>IF(H293,An,'2021'!An_max)</f>
        <v>2018</v>
      </c>
      <c r="K293" s="197">
        <f t="shared" si="100"/>
        <v>44840</v>
      </c>
      <c r="L293" s="147">
        <f>IF(t&lt;Tvie,1-EXP((T0-t)*PertePVj)+'2021'!Pspv,1-EXP((T0-t)*PertePVj)+Pspv)</f>
        <v>3.4374094977561054E-2</v>
      </c>
      <c r="M293" s="957"/>
      <c r="N293" s="957"/>
      <c r="O293" s="48">
        <f>IF(t&lt;Tnet,'2021'!Resal+('2021'!Salim-'2021'!Resal)*(1-EXP(('2021'!Tnet-t)/('2021'!Tau_j))),Resal+(Salim-Resal)*(1-EXP((Tnet-t)/(Tau_j))))*Salcycl</f>
        <v>8.8369356940089655E-2</v>
      </c>
      <c r="P293" s="339">
        <f>(INDEX(Models!$BJ293:$BT293,,T293)*(1-R293)+INDEX(Models!$BJ293:$BT293,,T293+1)*R293-ERP_i)*Q293*Ramure*Pc/MaxiM</f>
        <v>1.8302448245382651E-3</v>
      </c>
      <c r="Q293" s="305">
        <f t="shared" si="101"/>
        <v>0.7</v>
      </c>
      <c r="R293" s="177">
        <f t="shared" si="102"/>
        <v>0.49631002389811946</v>
      </c>
      <c r="S293" s="919">
        <f t="shared" si="103"/>
        <v>0</v>
      </c>
      <c r="T293" s="176">
        <f t="shared" si="104"/>
        <v>6</v>
      </c>
      <c r="U293" s="251">
        <f t="shared" si="105"/>
        <v>0.49631002389811946</v>
      </c>
      <c r="V293" s="383">
        <f t="shared" si="106"/>
        <v>39.196615593938205</v>
      </c>
      <c r="W293" s="402"/>
      <c r="X293" s="157">
        <f t="shared" si="107"/>
        <v>44840</v>
      </c>
      <c r="Y293" s="385">
        <f t="shared" si="108"/>
        <v>13.856498618656753</v>
      </c>
      <c r="Z293" s="385">
        <f t="shared" si="109"/>
        <v>14.349758583097207</v>
      </c>
      <c r="AA293" s="386">
        <f t="shared" si="110"/>
        <v>16.467222640401982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0.12858659310949139</v>
      </c>
      <c r="AD293" s="231">
        <f>(INDEX(Models!$BJ293:$BT293,,AH293)*(1-AF293)+INDEX(Models!$BJ293:$BT293,,AH293+1)*AF293-ERP_i)*AE293*Ramure*Pc/MaxiM</f>
        <v>1.8302448245382651E-3</v>
      </c>
      <c r="AE293" s="305">
        <f t="shared" si="112"/>
        <v>0.7</v>
      </c>
      <c r="AF293" s="177">
        <f t="shared" si="113"/>
        <v>0.49631002389811946</v>
      </c>
      <c r="AG293" s="919">
        <f t="shared" si="119"/>
        <v>0</v>
      </c>
      <c r="AH293" s="176">
        <f t="shared" si="114"/>
        <v>6</v>
      </c>
      <c r="AI293" s="225">
        <f t="shared" si="115"/>
        <v>0.49631002389811946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44841</v>
      </c>
      <c r="B294" s="618">
        <v>28.902000000000001</v>
      </c>
      <c r="C294" s="953"/>
      <c r="D294" s="393">
        <f t="shared" si="98"/>
        <v>29.931501310715809</v>
      </c>
      <c r="E294" s="385">
        <f t="shared" si="96"/>
        <v>32.837218260158096</v>
      </c>
      <c r="F294" s="385">
        <f t="shared" si="99"/>
        <v>32.875793260264075</v>
      </c>
      <c r="G294" s="110">
        <f t="shared" si="97"/>
        <v>0.7411462978994191</v>
      </c>
      <c r="H294" s="412" t="b">
        <f>Wh_hp&gt;='2021'!Maxi_hp</f>
        <v>0</v>
      </c>
      <c r="I294" s="380">
        <f>IF(H294,Wh_hp,'2021'!Maxi_hp)</f>
        <v>44.5855001708373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3.4395244663094626E-2</v>
      </c>
      <c r="M294" s="957"/>
      <c r="N294" s="957"/>
      <c r="O294" s="48">
        <f>IF(t&lt;Tnet,'2021'!Resal+('2021'!Salim-'2021'!Resal)*(1-EXP(('2021'!Tnet-t)/('2021'!Tau_j))),Resal+(Salim-Resal)*(1-EXP((Tnet-t)/(Tau_j))))*Salcycl</f>
        <v>8.8488523187965656E-2</v>
      </c>
      <c r="P294" s="339">
        <f>(INDEX(Models!$BJ294:$BT294,,T294)*(1-R294)+INDEX(Models!$BJ294:$BT294,,T294+1)*R294-ERP_i)*Q294*Ramure*Pc/MaxiM</f>
        <v>1.8597033337138752E-3</v>
      </c>
      <c r="Q294" s="305">
        <f t="shared" si="101"/>
        <v>0.7</v>
      </c>
      <c r="R294" s="177">
        <f t="shared" si="102"/>
        <v>0.49646560268464229</v>
      </c>
      <c r="S294" s="919">
        <f t="shared" si="103"/>
        <v>0</v>
      </c>
      <c r="T294" s="176">
        <f t="shared" si="104"/>
        <v>6</v>
      </c>
      <c r="U294" s="251">
        <f t="shared" si="105"/>
        <v>0.49646560268464229</v>
      </c>
      <c r="V294" s="383">
        <f t="shared" si="106"/>
        <v>38.969552921157501</v>
      </c>
      <c r="W294" s="402"/>
      <c r="X294" s="157">
        <f t="shared" si="107"/>
        <v>44841</v>
      </c>
      <c r="Y294" s="385">
        <f t="shared" si="108"/>
        <v>27.629426443378499</v>
      </c>
      <c r="Z294" s="385">
        <f t="shared" si="109"/>
        <v>28.613598152526105</v>
      </c>
      <c r="AA294" s="386">
        <f t="shared" si="110"/>
        <v>32.837218260158096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0.12862295685857697</v>
      </c>
      <c r="AD294" s="231">
        <f>(INDEX(Models!$BJ294:$BT294,,AH294)*(1-AF294)+INDEX(Models!$BJ294:$BT294,,AH294+1)*AF294-ERP_i)*AE294*Ramure*Pc/MaxiM</f>
        <v>1.8597033337138752E-3</v>
      </c>
      <c r="AE294" s="305">
        <f t="shared" si="112"/>
        <v>0.7</v>
      </c>
      <c r="AF294" s="177">
        <f t="shared" si="113"/>
        <v>0.49646560268464229</v>
      </c>
      <c r="AG294" s="919">
        <f t="shared" si="119"/>
        <v>0</v>
      </c>
      <c r="AH294" s="176">
        <f t="shared" si="114"/>
        <v>6</v>
      </c>
      <c r="AI294" s="225">
        <f t="shared" si="115"/>
        <v>0.49646560268464229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44842</v>
      </c>
      <c r="B295" s="618">
        <v>16.716000000000001</v>
      </c>
      <c r="C295" s="953"/>
      <c r="D295" s="393">
        <f t="shared" si="98"/>
        <v>17.311810074389346</v>
      </c>
      <c r="E295" s="385">
        <f t="shared" si="96"/>
        <v>18.994870279740447</v>
      </c>
      <c r="F295" s="385">
        <f t="shared" si="99"/>
        <v>19.001602719309851</v>
      </c>
      <c r="G295" s="110">
        <f t="shared" si="97"/>
        <v>0.43083226213619047</v>
      </c>
      <c r="H295" s="412" t="b">
        <f>Wh_hp&gt;='2021'!Maxi_hp</f>
        <v>0</v>
      </c>
      <c r="I295" s="380">
        <f>IF(H295,Wh_hp,'2021'!Maxi_hp)</f>
        <v>41.761638375375632</v>
      </c>
      <c r="J295" s="85">
        <f>IF(H295,An,'2021'!An_max)</f>
        <v>2021</v>
      </c>
      <c r="K295" s="197">
        <f t="shared" si="100"/>
        <v>44842</v>
      </c>
      <c r="L295" s="147">
        <f>IF(t&lt;Tvie,1-EXP((T0-t)*PertePVj)+'2021'!Pspv,1-EXP((T0-t)*PertePVj)+Pspv)</f>
        <v>3.4416393885395746E-2</v>
      </c>
      <c r="M295" s="957"/>
      <c r="N295" s="957"/>
      <c r="O295" s="48">
        <f>IF(t&lt;Tnet,'2021'!Resal+('2021'!Salim-'2021'!Resal)*(1-EXP(('2021'!Tnet-t)/('2021'!Tau_j))),Resal+(Salim-Resal)*(1-EXP((Tnet-t)/(Tau_j))))*Salcycl</f>
        <v>8.8606038396914916E-2</v>
      </c>
      <c r="P295" s="339">
        <f>(INDEX(Models!$BJ295:$BT295,,T295)*(1-R295)+INDEX(Models!$BJ295:$BT295,,T295+1)*R295-ERP_i)*Q295*Ramure*Pc/MaxiM</f>
        <v>1.8861492959498308E-3</v>
      </c>
      <c r="Q295" s="305">
        <f t="shared" si="101"/>
        <v>0.7</v>
      </c>
      <c r="R295" s="177">
        <f t="shared" si="102"/>
        <v>0.49661500905050349</v>
      </c>
      <c r="S295" s="919">
        <f t="shared" si="103"/>
        <v>0</v>
      </c>
      <c r="T295" s="176">
        <f t="shared" si="104"/>
        <v>6</v>
      </c>
      <c r="U295" s="251">
        <f t="shared" si="105"/>
        <v>0.49661500905050349</v>
      </c>
      <c r="V295" s="383">
        <f t="shared" si="106"/>
        <v>38.739867343602867</v>
      </c>
      <c r="W295" s="402"/>
      <c r="X295" s="157">
        <f t="shared" si="107"/>
        <v>44842</v>
      </c>
      <c r="Y295" s="385">
        <f t="shared" si="108"/>
        <v>15.981415017409983</v>
      </c>
      <c r="Z295" s="385">
        <f t="shared" si="109"/>
        <v>16.551042205156456</v>
      </c>
      <c r="AA295" s="386">
        <f t="shared" si="110"/>
        <v>18.994870279740447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0.12865726580878675</v>
      </c>
      <c r="AD295" s="231">
        <f>(INDEX(Models!$BJ295:$BT295,,AH295)*(1-AF295)+INDEX(Models!$BJ295:$BT295,,AH295+1)*AF295-ERP_i)*AE295*Ramure*Pc/MaxiM</f>
        <v>1.8861492959498308E-3</v>
      </c>
      <c r="AE295" s="305">
        <f t="shared" si="112"/>
        <v>0.7</v>
      </c>
      <c r="AF295" s="177">
        <f t="shared" si="113"/>
        <v>0.49661500905050349</v>
      </c>
      <c r="AG295" s="919">
        <f t="shared" si="119"/>
        <v>0</v>
      </c>
      <c r="AH295" s="176">
        <f t="shared" si="114"/>
        <v>6</v>
      </c>
      <c r="AI295" s="225">
        <f t="shared" si="115"/>
        <v>0.49661500905050349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44843</v>
      </c>
      <c r="B296" s="618">
        <v>36.460999999999999</v>
      </c>
      <c r="C296" s="953"/>
      <c r="D296" s="393">
        <f t="shared" si="98"/>
        <v>37.761410173153472</v>
      </c>
      <c r="E296" s="385">
        <f t="shared" si="96"/>
        <v>41.43785525897907</v>
      </c>
      <c r="F296" s="385">
        <f t="shared" si="99"/>
        <v>41.511067536404447</v>
      </c>
      <c r="G296" s="110">
        <f t="shared" si="97"/>
        <v>0.94670966530839618</v>
      </c>
      <c r="H296" s="412" t="b">
        <f>Wh_hp&gt;='2021'!Maxi_hp</f>
        <v>1</v>
      </c>
      <c r="I296" s="380">
        <f>IF(H296,Wh_hp,'2021'!Maxi_hp)</f>
        <v>41.511067536404447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3.4437542644474628E-2</v>
      </c>
      <c r="M296" s="957"/>
      <c r="N296" s="957"/>
      <c r="O296" s="48">
        <f>IF(t&lt;Tnet,'2021'!Resal+('2021'!Salim-'2021'!Resal)*(1-EXP(('2021'!Tnet-t)/('2021'!Tau_j))),Resal+(Salim-Resal)*(1-EXP((Tnet-t)/(Tau_j))))*Salcycl</f>
        <v>8.8721896025952277E-2</v>
      </c>
      <c r="P296" s="339">
        <f>(INDEX(Models!$BJ296:$BT296,,T296)*(1-R296)+INDEX(Models!$BJ296:$BT296,,T296+1)*R296-ERP_i)*Q296*Ramure*Pc/MaxiM</f>
        <v>1.9086065013877841E-3</v>
      </c>
      <c r="Q296" s="305">
        <f t="shared" si="101"/>
        <v>0.7</v>
      </c>
      <c r="R296" s="177">
        <f t="shared" si="102"/>
        <v>0.49675848436116604</v>
      </c>
      <c r="S296" s="919">
        <f t="shared" si="103"/>
        <v>0</v>
      </c>
      <c r="T296" s="176">
        <f t="shared" si="104"/>
        <v>6</v>
      </c>
      <c r="U296" s="251">
        <f t="shared" si="105"/>
        <v>0.49675848436116604</v>
      </c>
      <c r="V296" s="383">
        <f t="shared" si="106"/>
        <v>38.507800086945451</v>
      </c>
      <c r="W296" s="402"/>
      <c r="X296" s="157">
        <f t="shared" si="107"/>
        <v>44843</v>
      </c>
      <c r="Y296" s="385">
        <f t="shared" si="108"/>
        <v>34.861862074609675</v>
      </c>
      <c r="Z296" s="385">
        <f t="shared" si="109"/>
        <v>36.105237738933077</v>
      </c>
      <c r="AA296" s="386">
        <f t="shared" si="110"/>
        <v>41.43785525897907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0.12868951558226416</v>
      </c>
      <c r="AD296" s="231">
        <f>(INDEX(Models!$BJ296:$BT296,,AH296)*(1-AF296)+INDEX(Models!$BJ296:$BT296,,AH296+1)*AF296-ERP_i)*AE296*Ramure*Pc/MaxiM</f>
        <v>1.9086065013877841E-3</v>
      </c>
      <c r="AE296" s="305">
        <f t="shared" si="112"/>
        <v>0.7</v>
      </c>
      <c r="AF296" s="177">
        <f t="shared" si="113"/>
        <v>0.49675848436116604</v>
      </c>
      <c r="AG296" s="919">
        <f t="shared" si="119"/>
        <v>0</v>
      </c>
      <c r="AH296" s="176">
        <f t="shared" si="114"/>
        <v>6</v>
      </c>
      <c r="AI296" s="225">
        <f t="shared" si="115"/>
        <v>0.49675848436116604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44844</v>
      </c>
      <c r="B297" s="618">
        <v>29.76</v>
      </c>
      <c r="C297" s="953"/>
      <c r="D297" s="393">
        <f t="shared" si="98"/>
        <v>30.822088833240382</v>
      </c>
      <c r="E297" s="385">
        <f t="shared" ref="E297:E360" si="120">Wh_pvt/(1-Psa)</f>
        <v>33.827161728834774</v>
      </c>
      <c r="F297" s="385">
        <f t="shared" si="99"/>
        <v>33.871711557012716</v>
      </c>
      <c r="G297" s="110">
        <f t="shared" ref="G297:G360" si="121">+Wh_hp/MaxiM</f>
        <v>0.77708405230699562</v>
      </c>
      <c r="H297" s="412" t="b">
        <f>Wh_hp&gt;='2021'!Maxi_hp</f>
        <v>1</v>
      </c>
      <c r="I297" s="380">
        <f>IF(H297,Wh_hp,'2021'!Maxi_hp)</f>
        <v>33.871711557012716</v>
      </c>
      <c r="J297" s="85">
        <f>IF(H297,An,'2021'!An_max)</f>
        <v>2022</v>
      </c>
      <c r="K297" s="197">
        <f t="shared" si="100"/>
        <v>44844</v>
      </c>
      <c r="L297" s="147">
        <f>IF(t&lt;Tvie,1-EXP((T0-t)*PertePVj)+'2021'!Pspv,1-EXP((T0-t)*PertePVj)+Pspv)</f>
        <v>3.4458690940341485E-2</v>
      </c>
      <c r="M297" s="957"/>
      <c r="N297" s="957"/>
      <c r="O297" s="48">
        <f>IF(t&lt;Tnet,'2021'!Resal+('2021'!Salim-'2021'!Resal)*(1-EXP(('2021'!Tnet-t)/('2021'!Tau_j))),Resal+(Salim-Resal)*(1-EXP((Tnet-t)/(Tau_j))))*Salcycl</f>
        <v>8.8836093305245362E-2</v>
      </c>
      <c r="P297" s="339">
        <f>(INDEX(Models!$BJ297:$BT297,,T297)*(1-R297)+INDEX(Models!$BJ297:$BT297,,T297+1)*R297-ERP_i)*Q297*Ramure*Pc/MaxiM</f>
        <v>1.9278713614428683E-3</v>
      </c>
      <c r="Q297" s="305">
        <f t="shared" si="101"/>
        <v>0.7</v>
      </c>
      <c r="R297" s="177">
        <f t="shared" si="102"/>
        <v>0.49689626081975713</v>
      </c>
      <c r="S297" s="919">
        <f t="shared" si="103"/>
        <v>0</v>
      </c>
      <c r="T297" s="176">
        <f t="shared" si="104"/>
        <v>6</v>
      </c>
      <c r="U297" s="251">
        <f t="shared" si="105"/>
        <v>0.49689626081975713</v>
      </c>
      <c r="V297" s="383">
        <f t="shared" si="106"/>
        <v>38.273523104276094</v>
      </c>
      <c r="W297" s="402"/>
      <c r="X297" s="157">
        <f t="shared" si="107"/>
        <v>44844</v>
      </c>
      <c r="Y297" s="385">
        <f t="shared" si="108"/>
        <v>28.457340464954797</v>
      </c>
      <c r="Z297" s="385">
        <f t="shared" si="109"/>
        <v>29.472939373944989</v>
      </c>
      <c r="AA297" s="386">
        <f t="shared" si="110"/>
        <v>33.827161728834774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0.12871970725164858</v>
      </c>
      <c r="AD297" s="231">
        <f>(INDEX(Models!$BJ297:$BT297,,AH297)*(1-AF297)+INDEX(Models!$BJ297:$BT297,,AH297+1)*AF297-ERP_i)*AE297*Ramure*Pc/MaxiM</f>
        <v>1.9278713614428683E-3</v>
      </c>
      <c r="AE297" s="305">
        <f t="shared" si="112"/>
        <v>0.7</v>
      </c>
      <c r="AF297" s="177">
        <f t="shared" si="113"/>
        <v>0.49689626081975713</v>
      </c>
      <c r="AG297" s="919">
        <f t="shared" si="119"/>
        <v>0</v>
      </c>
      <c r="AH297" s="176">
        <f t="shared" si="114"/>
        <v>6</v>
      </c>
      <c r="AI297" s="225">
        <f t="shared" si="115"/>
        <v>0.49689626081975713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44845</v>
      </c>
      <c r="B298" s="618">
        <v>21.22</v>
      </c>
      <c r="C298" s="953"/>
      <c r="D298" s="393">
        <f t="shared" si="98"/>
        <v>21.977790679205899</v>
      </c>
      <c r="E298" s="385">
        <f t="shared" si="120"/>
        <v>24.123547187155417</v>
      </c>
      <c r="F298" s="385">
        <f t="shared" si="99"/>
        <v>24.140834946010465</v>
      </c>
      <c r="G298" s="110">
        <f t="shared" si="121"/>
        <v>0.55718888775728748</v>
      </c>
      <c r="H298" s="412" t="b">
        <f>Wh_hp&gt;='2021'!Maxi_hp</f>
        <v>0</v>
      </c>
      <c r="I298" s="380">
        <f>IF(H298,Wh_hp,'2021'!Maxi_hp)</f>
        <v>43.516621662814977</v>
      </c>
      <c r="J298" s="85">
        <f>IF(H298,An,'2021'!An_max)</f>
        <v>2021</v>
      </c>
      <c r="K298" s="197">
        <f t="shared" si="100"/>
        <v>44845</v>
      </c>
      <c r="L298" s="147">
        <f>IF(t&lt;Tvie,1-EXP((T0-t)*PertePVj)+'2021'!Pspv,1-EXP((T0-t)*PertePVj)+Pspv)</f>
        <v>3.4479838773006311E-2</v>
      </c>
      <c r="M298" s="957"/>
      <c r="N298" s="957"/>
      <c r="O298" s="48">
        <f>IF(t&lt;Tnet,'2021'!Resal+('2021'!Salim-'2021'!Resal)*(1-EXP(('2021'!Tnet-t)/('2021'!Tau_j))),Resal+(Salim-Resal)*(1-EXP((Tnet-t)/(Tau_j))))*Salcycl</f>
        <v>8.8948631447203746E-2</v>
      </c>
      <c r="P298" s="339">
        <f>(INDEX(Models!$BJ298:$BT298,,T298)*(1-R298)+INDEX(Models!$BJ298:$BT298,,T298+1)*R298-ERP_i)*Q298*Ramure*Pc/MaxiM</f>
        <v>1.9439108102466129E-3</v>
      </c>
      <c r="Q298" s="305">
        <f t="shared" si="101"/>
        <v>0.7</v>
      </c>
      <c r="R298" s="177">
        <f t="shared" si="102"/>
        <v>0.49702856179312344</v>
      </c>
      <c r="S298" s="919">
        <f t="shared" si="103"/>
        <v>0</v>
      </c>
      <c r="T298" s="176">
        <f t="shared" si="104"/>
        <v>6</v>
      </c>
      <c r="U298" s="251">
        <f t="shared" si="105"/>
        <v>0.49702856179312344</v>
      </c>
      <c r="V298" s="383">
        <f t="shared" si="106"/>
        <v>38.037240323572348</v>
      </c>
      <c r="W298" s="402"/>
      <c r="X298" s="157">
        <f t="shared" si="107"/>
        <v>44845</v>
      </c>
      <c r="Y298" s="385">
        <f t="shared" si="108"/>
        <v>20.293005764243368</v>
      </c>
      <c r="Z298" s="385">
        <f t="shared" si="109"/>
        <v>21.017692409917977</v>
      </c>
      <c r="AA298" s="386">
        <f t="shared" si="110"/>
        <v>24.123547187155417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0.12874784761716776</v>
      </c>
      <c r="AD298" s="231">
        <f>(INDEX(Models!$BJ298:$BT298,,AH298)*(1-AF298)+INDEX(Models!$BJ298:$BT298,,AH298+1)*AF298-ERP_i)*AE298*Ramure*Pc/MaxiM</f>
        <v>1.9439108102466129E-3</v>
      </c>
      <c r="AE298" s="305">
        <f t="shared" si="112"/>
        <v>0.7</v>
      </c>
      <c r="AF298" s="177">
        <f t="shared" si="113"/>
        <v>0.49702856179312344</v>
      </c>
      <c r="AG298" s="919">
        <f t="shared" si="119"/>
        <v>0</v>
      </c>
      <c r="AH298" s="176">
        <f t="shared" si="114"/>
        <v>6</v>
      </c>
      <c r="AI298" s="225">
        <f t="shared" si="115"/>
        <v>0.49702856179312344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44846</v>
      </c>
      <c r="B299" s="618">
        <v>29.669</v>
      </c>
      <c r="C299" s="953"/>
      <c r="D299" s="393">
        <f t="shared" si="98"/>
        <v>30.729187263963663</v>
      </c>
      <c r="E299" s="385">
        <f t="shared" si="120"/>
        <v>33.733474138368379</v>
      </c>
      <c r="F299" s="385">
        <f t="shared" si="99"/>
        <v>33.779260638509015</v>
      </c>
      <c r="G299" s="110">
        <f t="shared" si="121"/>
        <v>0.78443916772380451</v>
      </c>
      <c r="H299" s="412" t="b">
        <f>Wh_hp&gt;='2021'!Maxi_hp</f>
        <v>0</v>
      </c>
      <c r="I299" s="380">
        <f>IF(H299,Wh_hp,'2021'!Maxi_hp)</f>
        <v>42.807452061099632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3.4500986142479317E-2</v>
      </c>
      <c r="M299" s="957"/>
      <c r="N299" s="957"/>
      <c r="O299" s="48">
        <f>IF(t&lt;Tnet,'2021'!Resal+('2021'!Salim-'2021'!Resal)*(1-EXP(('2021'!Tnet-t)/('2021'!Tau_j))),Resal+(Salim-Resal)*(1-EXP((Tnet-t)/(Tau_j))))*Salcycl</f>
        <v>8.9059515841199574E-2</v>
      </c>
      <c r="P299" s="339">
        <f>(INDEX(Models!$BJ299:$BT299,,T299)*(1-R299)+INDEX(Models!$BJ299:$BT299,,T299+1)*R299-ERP_i)*Q299*Ramure*Pc/MaxiM</f>
        <v>1.9566928868016901E-3</v>
      </c>
      <c r="Q299" s="305">
        <f t="shared" si="101"/>
        <v>0.7</v>
      </c>
      <c r="R299" s="177">
        <f t="shared" si="102"/>
        <v>0.4971556021280249</v>
      </c>
      <c r="S299" s="919">
        <f t="shared" si="103"/>
        <v>0</v>
      </c>
      <c r="T299" s="176">
        <f t="shared" si="104"/>
        <v>6</v>
      </c>
      <c r="U299" s="251">
        <f t="shared" si="105"/>
        <v>0.4971556021280249</v>
      </c>
      <c r="V299" s="383">
        <f t="shared" si="106"/>
        <v>37.799155225592273</v>
      </c>
      <c r="W299" s="402"/>
      <c r="X299" s="157">
        <f t="shared" si="107"/>
        <v>44846</v>
      </c>
      <c r="Y299" s="385">
        <f t="shared" si="108"/>
        <v>28.375515352556299</v>
      </c>
      <c r="Z299" s="385">
        <f t="shared" si="109"/>
        <v>29.389481444611494</v>
      </c>
      <c r="AA299" s="386">
        <f t="shared" si="110"/>
        <v>33.733474138368379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0.12877394945858942</v>
      </c>
      <c r="AD299" s="231">
        <f>(INDEX(Models!$BJ299:$BT299,,AH299)*(1-AF299)+INDEX(Models!$BJ299:$BT299,,AH299+1)*AF299-ERP_i)*AE299*Ramure*Pc/MaxiM</f>
        <v>1.9566928868016901E-3</v>
      </c>
      <c r="AE299" s="305">
        <f t="shared" si="112"/>
        <v>0.7</v>
      </c>
      <c r="AF299" s="177">
        <f t="shared" si="113"/>
        <v>0.4971556021280249</v>
      </c>
      <c r="AG299" s="919">
        <f t="shared" si="119"/>
        <v>0</v>
      </c>
      <c r="AH299" s="176">
        <f t="shared" si="114"/>
        <v>6</v>
      </c>
      <c r="AI299" s="225">
        <f t="shared" si="115"/>
        <v>0.4971556021280249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44847</v>
      </c>
      <c r="B300" s="618">
        <v>21.47</v>
      </c>
      <c r="C300" s="953"/>
      <c r="D300" s="393">
        <f t="shared" si="98"/>
        <v>22.237692582013945</v>
      </c>
      <c r="E300" s="385">
        <f t="shared" si="120"/>
        <v>24.414723072041792</v>
      </c>
      <c r="F300" s="385">
        <f t="shared" si="99"/>
        <v>24.433364649799664</v>
      </c>
      <c r="G300" s="110">
        <f t="shared" si="121"/>
        <v>0.57093847222795291</v>
      </c>
      <c r="H300" s="412" t="b">
        <f>Wh_hp&gt;='2021'!Maxi_hp</f>
        <v>0</v>
      </c>
      <c r="I300" s="380">
        <f>IF(H300,Wh_hp,'2021'!Maxi_hp)</f>
        <v>41.038729599738197</v>
      </c>
      <c r="J300" s="85">
        <f>IF(H300,An,'2021'!An_max)</f>
        <v>2019</v>
      </c>
      <c r="K300" s="197">
        <f t="shared" si="100"/>
        <v>44847</v>
      </c>
      <c r="L300" s="147">
        <f>IF(t&lt;Tvie,1-EXP((T0-t)*PertePVj)+'2021'!Pspv,1-EXP((T0-t)*PertePVj)+Pspv)</f>
        <v>3.452213304877072E-2</v>
      </c>
      <c r="M300" s="957"/>
      <c r="N300" s="957"/>
      <c r="O300" s="48">
        <f>IF(t&lt;Tnet,'2021'!Resal+('2021'!Salim-'2021'!Resal)*(1-EXP(('2021'!Tnet-t)/('2021'!Tau_j))),Resal+(Salim-Resal)*(1-EXP((Tnet-t)/(Tau_j))))*Salcycl</f>
        <v>8.9168756229754009E-2</v>
      </c>
      <c r="P300" s="339">
        <f>(INDEX(Models!$BJ300:$BT300,,T300)*(1-R300)+INDEX(Models!$BJ300:$BT300,,T300+1)*R300-ERP_i)*Q300*Ramure*Pc/MaxiM</f>
        <v>1.9661869912501284E-3</v>
      </c>
      <c r="Q300" s="305">
        <f t="shared" si="101"/>
        <v>0.7</v>
      </c>
      <c r="R300" s="177">
        <f t="shared" si="102"/>
        <v>0.49727758845761905</v>
      </c>
      <c r="S300" s="919">
        <f t="shared" si="103"/>
        <v>0</v>
      </c>
      <c r="T300" s="176">
        <f t="shared" si="104"/>
        <v>6</v>
      </c>
      <c r="U300" s="251">
        <f t="shared" si="105"/>
        <v>0.49727758845761905</v>
      </c>
      <c r="V300" s="383">
        <f t="shared" si="106"/>
        <v>37.55947084507639</v>
      </c>
      <c r="W300" s="402"/>
      <c r="X300" s="157">
        <f t="shared" si="107"/>
        <v>44847</v>
      </c>
      <c r="Y300" s="385">
        <f t="shared" si="108"/>
        <v>20.535863680638357</v>
      </c>
      <c r="Z300" s="385">
        <f t="shared" si="109"/>
        <v>21.270154794419248</v>
      </c>
      <c r="AA300" s="386">
        <f t="shared" si="110"/>
        <v>24.414723072041792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0.12879803175910301</v>
      </c>
      <c r="AD300" s="231">
        <f>(INDEX(Models!$BJ300:$BT300,,AH300)*(1-AF300)+INDEX(Models!$BJ300:$BT300,,AH300+1)*AF300-ERP_i)*AE300*Ramure*Pc/MaxiM</f>
        <v>1.9661869912501284E-3</v>
      </c>
      <c r="AE300" s="305">
        <f t="shared" si="112"/>
        <v>0.7</v>
      </c>
      <c r="AF300" s="177">
        <f t="shared" si="113"/>
        <v>0.49727758845761905</v>
      </c>
      <c r="AG300" s="919">
        <f t="shared" si="119"/>
        <v>0</v>
      </c>
      <c r="AH300" s="176">
        <f t="shared" si="114"/>
        <v>6</v>
      </c>
      <c r="AI300" s="225">
        <f t="shared" si="115"/>
        <v>0.49727758845761905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44848</v>
      </c>
      <c r="B301" s="618">
        <v>16.036999999999999</v>
      </c>
      <c r="C301" s="953"/>
      <c r="D301" s="393">
        <f t="shared" si="98"/>
        <v>16.610791203110484</v>
      </c>
      <c r="E301" s="385">
        <f t="shared" si="120"/>
        <v>18.239112941337517</v>
      </c>
      <c r="F301" s="385">
        <f t="shared" si="99"/>
        <v>18.245782653219926</v>
      </c>
      <c r="G301" s="110">
        <f t="shared" si="121"/>
        <v>0.4290437547350448</v>
      </c>
      <c r="H301" s="412" t="b">
        <f>Wh_hp&gt;='2021'!Maxi_hp</f>
        <v>0</v>
      </c>
      <c r="I301" s="380">
        <f>IF(H301,Wh_hp,'2021'!Maxi_hp)</f>
        <v>44.446308487241133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3.4543279491890622E-2</v>
      </c>
      <c r="M301" s="957"/>
      <c r="N301" s="957"/>
      <c r="O301" s="48">
        <f>IF(t&lt;Tnet,'2021'!Resal+('2021'!Salim-'2021'!Resal)*(1-EXP(('2021'!Tnet-t)/('2021'!Tau_j))),Resal+(Salim-Resal)*(1-EXP((Tnet-t)/(Tau_j))))*Salcycl</f>
        <v>8.9276366864123685E-2</v>
      </c>
      <c r="P301" s="339">
        <f>(INDEX(Models!$BJ301:$BT301,,T301)*(1-R301)+INDEX(Models!$BJ301:$BT301,,T301+1)*R301-ERP_i)*Q301*Ramure*Pc/MaxiM</f>
        <v>1.9723641293864056E-3</v>
      </c>
      <c r="Q301" s="305">
        <f t="shared" si="101"/>
        <v>0.7</v>
      </c>
      <c r="R301" s="177">
        <f t="shared" si="102"/>
        <v>0.49739471949839986</v>
      </c>
      <c r="S301" s="919">
        <f t="shared" si="103"/>
        <v>0</v>
      </c>
      <c r="T301" s="176">
        <f t="shared" si="104"/>
        <v>6</v>
      </c>
      <c r="U301" s="251">
        <f t="shared" si="105"/>
        <v>0.49739471949839986</v>
      </c>
      <c r="V301" s="383">
        <f t="shared" si="106"/>
        <v>37.318389773009066</v>
      </c>
      <c r="W301" s="402"/>
      <c r="X301" s="157">
        <f t="shared" si="107"/>
        <v>44848</v>
      </c>
      <c r="Y301" s="385">
        <f t="shared" si="108"/>
        <v>15.340671120044862</v>
      </c>
      <c r="Z301" s="385">
        <f t="shared" si="109"/>
        <v>15.88954822539454</v>
      </c>
      <c r="AA301" s="386">
        <f t="shared" si="110"/>
        <v>18.239112941337517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0.12882011989836814</v>
      </c>
      <c r="AD301" s="231">
        <f>(INDEX(Models!$BJ301:$BT301,,AH301)*(1-AF301)+INDEX(Models!$BJ301:$BT301,,AH301+1)*AF301-ERP_i)*AE301*Ramure*Pc/MaxiM</f>
        <v>1.9723641293864056E-3</v>
      </c>
      <c r="AE301" s="305">
        <f t="shared" si="112"/>
        <v>0.7</v>
      </c>
      <c r="AF301" s="177">
        <f t="shared" si="113"/>
        <v>0.49739471949839986</v>
      </c>
      <c r="AG301" s="919">
        <f t="shared" si="119"/>
        <v>0</v>
      </c>
      <c r="AH301" s="176">
        <f t="shared" si="114"/>
        <v>6</v>
      </c>
      <c r="AI301" s="225">
        <f t="shared" si="115"/>
        <v>0.49739471949839986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44849</v>
      </c>
      <c r="B302" s="618">
        <v>35.811</v>
      </c>
      <c r="C302" s="953"/>
      <c r="D302" s="393">
        <f t="shared" si="98"/>
        <v>37.093101750991877</v>
      </c>
      <c r="E302" s="385">
        <f t="shared" si="120"/>
        <v>40.734003375288644</v>
      </c>
      <c r="F302" s="385">
        <f t="shared" si="99"/>
        <v>40.810683160447986</v>
      </c>
      <c r="G302" s="110">
        <f t="shared" si="121"/>
        <v>0.96578474696954231</v>
      </c>
      <c r="H302" s="412" t="b">
        <f>Wh_hp&gt;='2021'!Maxi_hp</f>
        <v>1</v>
      </c>
      <c r="I302" s="380">
        <f>IF(H302,Wh_hp,'2021'!Maxi_hp)</f>
        <v>40.810683160447986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3.4564425471849125E-2</v>
      </c>
      <c r="M302" s="957"/>
      <c r="N302" s="957"/>
      <c r="O302" s="48">
        <f>IF(t&lt;Tnet,'2021'!Resal+('2021'!Salim-'2021'!Resal)*(1-EXP(('2021'!Tnet-t)/('2021'!Tau_j))),Resal+(Salim-Resal)*(1-EXP((Tnet-t)/(Tau_j))))*Salcycl</f>
        <v>8.9382366637341781E-2</v>
      </c>
      <c r="P302" s="339">
        <f>(INDEX(Models!$BJ302:$BT302,,T302)*(1-R302)+INDEX(Models!$BJ302:$BT302,,T302+1)*R302-ERP_i)*Q302*Ramure*Pc/MaxiM</f>
        <v>1.9751971432909934E-3</v>
      </c>
      <c r="Q302" s="305">
        <f t="shared" si="101"/>
        <v>0.7</v>
      </c>
      <c r="R302" s="177">
        <f t="shared" si="102"/>
        <v>0.49750718633776586</v>
      </c>
      <c r="S302" s="919">
        <f t="shared" si="103"/>
        <v>0</v>
      </c>
      <c r="T302" s="176">
        <f t="shared" si="104"/>
        <v>6</v>
      </c>
      <c r="U302" s="251">
        <f t="shared" si="105"/>
        <v>0.49750718633776586</v>
      </c>
      <c r="V302" s="383">
        <f t="shared" si="106"/>
        <v>37.076114159685943</v>
      </c>
      <c r="W302" s="402"/>
      <c r="X302" s="157">
        <f t="shared" si="107"/>
        <v>44849</v>
      </c>
      <c r="Y302" s="385">
        <f t="shared" si="108"/>
        <v>34.259277235845431</v>
      </c>
      <c r="Z302" s="385">
        <f t="shared" si="109"/>
        <v>35.48582436750312</v>
      </c>
      <c r="AA302" s="386">
        <f t="shared" si="110"/>
        <v>40.734003375288644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0.12884024581215955</v>
      </c>
      <c r="AD302" s="231">
        <f>(INDEX(Models!$BJ302:$BT302,,AH302)*(1-AF302)+INDEX(Models!$BJ302:$BT302,,AH302+1)*AF302-ERP_i)*AE302*Ramure*Pc/MaxiM</f>
        <v>1.9751971432909934E-3</v>
      </c>
      <c r="AE302" s="305">
        <f t="shared" si="112"/>
        <v>0.7</v>
      </c>
      <c r="AF302" s="177">
        <f t="shared" si="113"/>
        <v>0.49750718633776586</v>
      </c>
      <c r="AG302" s="919">
        <f t="shared" si="119"/>
        <v>0</v>
      </c>
      <c r="AH302" s="176">
        <f t="shared" si="114"/>
        <v>6</v>
      </c>
      <c r="AI302" s="225">
        <f t="shared" si="115"/>
        <v>0.49750718633776586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44850</v>
      </c>
      <c r="B303" s="618">
        <v>32.33</v>
      </c>
      <c r="C303" s="953"/>
      <c r="D303" s="393">
        <f t="shared" si="98"/>
        <v>33.488208823549826</v>
      </c>
      <c r="E303" s="385">
        <f t="shared" si="120"/>
        <v>36.779486621693948</v>
      </c>
      <c r="F303" s="385">
        <f t="shared" si="99"/>
        <v>36.839528882544421</v>
      </c>
      <c r="G303" s="110">
        <f t="shared" si="121"/>
        <v>0.87745333222725086</v>
      </c>
      <c r="H303" s="412" t="b">
        <f>Wh_hp&gt;='2021'!Maxi_hp</f>
        <v>0</v>
      </c>
      <c r="I303" s="380">
        <f>IF(H303,Wh_hp,'2021'!Maxi_hp)</f>
        <v>39.359495276629886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3.4585570988656333E-2</v>
      </c>
      <c r="M303" s="957"/>
      <c r="N303" s="957"/>
      <c r="O303" s="48">
        <f>IF(t&lt;Tnet,'2021'!Resal+('2021'!Salim-'2021'!Resal)*(1-EXP(('2021'!Tnet-t)/('2021'!Tau_j))),Resal+(Salim-Resal)*(1-EXP((Tnet-t)/(Tau_j))))*Salcycl</f>
        <v>8.9486779192910204E-2</v>
      </c>
      <c r="P303" s="339">
        <f>(INDEX(Models!$BJ303:$BT303,,T303)*(1-R303)+INDEX(Models!$BJ303:$BT303,,T303+1)*R303-ERP_i)*Q303*Ramure*Pc/MaxiM</f>
        <v>1.9746774054301337E-3</v>
      </c>
      <c r="Q303" s="305">
        <f t="shared" si="101"/>
        <v>0.7</v>
      </c>
      <c r="R303" s="177">
        <f t="shared" si="102"/>
        <v>0.49761517271239886</v>
      </c>
      <c r="S303" s="919">
        <f t="shared" si="103"/>
        <v>0</v>
      </c>
      <c r="T303" s="176">
        <f t="shared" si="104"/>
        <v>6</v>
      </c>
      <c r="U303" s="251">
        <f t="shared" si="105"/>
        <v>0.49761517271239886</v>
      </c>
      <c r="V303" s="383">
        <f t="shared" si="106"/>
        <v>36.83253772738005</v>
      </c>
      <c r="W303" s="402"/>
      <c r="X303" s="157">
        <f t="shared" si="107"/>
        <v>44850</v>
      </c>
      <c r="Y303" s="385">
        <f t="shared" si="108"/>
        <v>30.932012549401918</v>
      </c>
      <c r="Z303" s="385">
        <f t="shared" si="109"/>
        <v>32.040139053109662</v>
      </c>
      <c r="AA303" s="386">
        <f t="shared" si="110"/>
        <v>36.779486621693948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0.1288584481162616</v>
      </c>
      <c r="AD303" s="231">
        <f>(INDEX(Models!$BJ303:$BT303,,AH303)*(1-AF303)+INDEX(Models!$BJ303:$BT303,,AH303+1)*AF303-ERP_i)*AE303*Ramure*Pc/MaxiM</f>
        <v>1.9746774054301337E-3</v>
      </c>
      <c r="AE303" s="305">
        <f t="shared" si="112"/>
        <v>0.7</v>
      </c>
      <c r="AF303" s="177">
        <f t="shared" si="113"/>
        <v>0.49761517271239886</v>
      </c>
      <c r="AG303" s="919">
        <f t="shared" si="119"/>
        <v>0</v>
      </c>
      <c r="AH303" s="176">
        <f t="shared" si="114"/>
        <v>6</v>
      </c>
      <c r="AI303" s="225">
        <f t="shared" si="115"/>
        <v>0.49761517271239886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44851</v>
      </c>
      <c r="B304" s="618">
        <v>21.772000000000002</v>
      </c>
      <c r="C304" s="953"/>
      <c r="D304" s="393">
        <f t="shared" si="98"/>
        <v>22.55246681512493</v>
      </c>
      <c r="E304" s="385">
        <f t="shared" si="120"/>
        <v>24.77175967319663</v>
      </c>
      <c r="F304" s="385">
        <f t="shared" si="99"/>
        <v>24.792353447037772</v>
      </c>
      <c r="G304" s="110">
        <f t="shared" si="121"/>
        <v>0.59438995759794155</v>
      </c>
      <c r="H304" s="412" t="b">
        <f>Wh_hp&gt;='2021'!Maxi_hp</f>
        <v>0</v>
      </c>
      <c r="I304" s="380">
        <f>IF(H304,Wh_hp,'2021'!Maxi_hp)</f>
        <v>39.909622414686694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3.4606716042322461E-2</v>
      </c>
      <c r="M304" s="957"/>
      <c r="N304" s="957"/>
      <c r="O304" s="48">
        <f>IF(t&lt;Tnet,'2021'!Resal+('2021'!Salim-'2021'!Resal)*(1-EXP(('2021'!Tnet-t)/('2021'!Tau_j))),Resal+(Salim-Resal)*(1-EXP((Tnet-t)/(Tau_j))))*Salcycl</f>
        <v>8.9589633007501043E-2</v>
      </c>
      <c r="P304" s="339">
        <f>(INDEX(Models!$BJ304:$BT304,,T304)*(1-R304)+INDEX(Models!$BJ304:$BT304,,T304+1)*R304-ERP_i)*Q304*Ramure*Pc/MaxiM</f>
        <v>1.9705744748832422E-3</v>
      </c>
      <c r="Q304" s="305">
        <f t="shared" si="101"/>
        <v>0.7</v>
      </c>
      <c r="R304" s="177">
        <f t="shared" si="102"/>
        <v>0.4977188552776437</v>
      </c>
      <c r="S304" s="919">
        <f t="shared" si="103"/>
        <v>0</v>
      </c>
      <c r="T304" s="176">
        <f t="shared" si="104"/>
        <v>6</v>
      </c>
      <c r="U304" s="251">
        <f t="shared" si="105"/>
        <v>0.4977188552776437</v>
      </c>
      <c r="V304" s="383">
        <f t="shared" si="106"/>
        <v>36.58736265402375</v>
      </c>
      <c r="W304" s="402"/>
      <c r="X304" s="157">
        <f t="shared" si="107"/>
        <v>44851</v>
      </c>
      <c r="Y304" s="385">
        <f t="shared" si="108"/>
        <v>20.832515915299169</v>
      </c>
      <c r="Z304" s="385">
        <f t="shared" si="109"/>
        <v>21.579304788505716</v>
      </c>
      <c r="AA304" s="386">
        <f t="shared" si="110"/>
        <v>24.77175967319663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0.12887477219251375</v>
      </c>
      <c r="AD304" s="231">
        <f>(INDEX(Models!$BJ304:$BT304,,AH304)*(1-AF304)+INDEX(Models!$BJ304:$BT304,,AH304+1)*AF304-ERP_i)*AE304*Ramure*Pc/MaxiM</f>
        <v>1.9705744748832422E-3</v>
      </c>
      <c r="AE304" s="305">
        <f t="shared" si="112"/>
        <v>0.7</v>
      </c>
      <c r="AF304" s="177">
        <f t="shared" si="113"/>
        <v>0.4977188552776437</v>
      </c>
      <c r="AG304" s="919">
        <f t="shared" si="119"/>
        <v>0</v>
      </c>
      <c r="AH304" s="176">
        <f t="shared" si="114"/>
        <v>6</v>
      </c>
      <c r="AI304" s="225">
        <f t="shared" si="115"/>
        <v>0.4977188552776437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44852</v>
      </c>
      <c r="B305" s="618">
        <v>33.317999999999998</v>
      </c>
      <c r="C305" s="953"/>
      <c r="D305" s="393">
        <f t="shared" si="98"/>
        <v>34.513115348286192</v>
      </c>
      <c r="E305" s="385">
        <f t="shared" si="120"/>
        <v>37.913624809347269</v>
      </c>
      <c r="F305" s="385">
        <f t="shared" si="99"/>
        <v>37.979392090775448</v>
      </c>
      <c r="G305" s="110">
        <f t="shared" si="121"/>
        <v>0.9166162170261053</v>
      </c>
      <c r="H305" s="412" t="b">
        <f>Wh_hp&gt;='2021'!Maxi_hp</f>
        <v>0</v>
      </c>
      <c r="I305" s="380">
        <f>IF(H305,Wh_hp,'2021'!Maxi_hp)</f>
        <v>40.636688636439388</v>
      </c>
      <c r="J305" s="85">
        <f>IF(H305,An,'2021'!An_max)</f>
        <v>2020</v>
      </c>
      <c r="K305" s="197">
        <f t="shared" si="100"/>
        <v>44852</v>
      </c>
      <c r="L305" s="147">
        <f>IF(t&lt;Tvie,1-EXP((T0-t)*PertePVj)+'2021'!Pspv,1-EXP((T0-t)*PertePVj)+Pspv)</f>
        <v>3.4627860632857721E-2</v>
      </c>
      <c r="M305" s="957"/>
      <c r="N305" s="957"/>
      <c r="O305" s="48">
        <f>IF(t&lt;Tnet,'2021'!Resal+('2021'!Salim-'2021'!Resal)*(1-EXP(('2021'!Tnet-t)/('2021'!Tau_j))),Resal+(Salim-Resal)*(1-EXP((Tnet-t)/(Tau_j))))*Salcycl</f>
        <v>8.9690961446205711E-2</v>
      </c>
      <c r="P305" s="339">
        <f>(INDEX(Models!$BJ305:$BT305,,T305)*(1-R305)+INDEX(Models!$BJ305:$BT305,,T305+1)*R305-ERP_i)*Q305*Ramure*Pc/MaxiM</f>
        <v>1.9651421569315103E-3</v>
      </c>
      <c r="Q305" s="305">
        <f t="shared" si="101"/>
        <v>0.7</v>
      </c>
      <c r="R305" s="177">
        <f t="shared" si="102"/>
        <v>0.49781840386808418</v>
      </c>
      <c r="S305" s="919">
        <f t="shared" si="103"/>
        <v>0</v>
      </c>
      <c r="T305" s="176">
        <f t="shared" si="104"/>
        <v>6</v>
      </c>
      <c r="U305" s="251">
        <f t="shared" si="105"/>
        <v>0.49781840386808418</v>
      </c>
      <c r="V305" s="383">
        <f t="shared" si="106"/>
        <v>36.340407936862114</v>
      </c>
      <c r="W305" s="402"/>
      <c r="X305" s="157">
        <f t="shared" si="107"/>
        <v>44852</v>
      </c>
      <c r="Y305" s="385">
        <f t="shared" si="108"/>
        <v>31.883312221544077</v>
      </c>
      <c r="Z305" s="385">
        <f t="shared" si="109"/>
        <v>33.026965375700037</v>
      </c>
      <c r="AA305" s="386">
        <f t="shared" si="110"/>
        <v>37.913624809347269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0.12888927023518126</v>
      </c>
      <c r="AD305" s="231">
        <f>(INDEX(Models!$BJ305:$BT305,,AH305)*(1-AF305)+INDEX(Models!$BJ305:$BT305,,AH305+1)*AF305-ERP_i)*AE305*Ramure*Pc/MaxiM</f>
        <v>1.9651421569315103E-3</v>
      </c>
      <c r="AE305" s="305">
        <f t="shared" si="112"/>
        <v>0.7</v>
      </c>
      <c r="AF305" s="177">
        <f t="shared" si="113"/>
        <v>0.49781840386808418</v>
      </c>
      <c r="AG305" s="919">
        <f t="shared" si="119"/>
        <v>0</v>
      </c>
      <c r="AH305" s="176">
        <f t="shared" si="114"/>
        <v>6</v>
      </c>
      <c r="AI305" s="225">
        <f t="shared" si="115"/>
        <v>0.49781840386808418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44853</v>
      </c>
      <c r="B306" s="618">
        <v>14.184000000000001</v>
      </c>
      <c r="C306" s="953"/>
      <c r="D306" s="393">
        <f t="shared" si="98"/>
        <v>14.693101338210829</v>
      </c>
      <c r="E306" s="385">
        <f t="shared" si="120"/>
        <v>16.14255424273178</v>
      </c>
      <c r="F306" s="385">
        <f t="shared" si="99"/>
        <v>16.146755411065023</v>
      </c>
      <c r="G306" s="110">
        <f t="shared" si="121"/>
        <v>0.39233272848604706</v>
      </c>
      <c r="H306" s="412" t="b">
        <f>Wh_hp&gt;='2021'!Maxi_hp</f>
        <v>0</v>
      </c>
      <c r="I306" s="380">
        <f>IF(H306,Wh_hp,'2021'!Maxi_hp)</f>
        <v>39.555235344496339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3.4649004760272106E-2</v>
      </c>
      <c r="M306" s="957"/>
      <c r="N306" s="957"/>
      <c r="O306" s="48">
        <f>IF(t&lt;Tnet,'2021'!Resal+('2021'!Salim-'2021'!Resal)*(1-EXP(('2021'!Tnet-t)/('2021'!Tau_j))),Resal+(Salim-Resal)*(1-EXP((Tnet-t)/(Tau_j))))*Salcycl</f>
        <v>8.9790802789067342E-2</v>
      </c>
      <c r="P306" s="339">
        <f>(INDEX(Models!$BJ306:$BT306,,T306)*(1-R306)+INDEX(Models!$BJ306:$BT306,,T306+1)*R306-ERP_i)*Q306*Ramure*Pc/MaxiM</f>
        <v>1.958387047930687E-3</v>
      </c>
      <c r="Q306" s="305">
        <f t="shared" si="101"/>
        <v>0.7</v>
      </c>
      <c r="R306" s="177">
        <f t="shared" si="102"/>
        <v>0.49791398174951429</v>
      </c>
      <c r="S306" s="919">
        <f t="shared" si="103"/>
        <v>0</v>
      </c>
      <c r="T306" s="176">
        <f t="shared" si="104"/>
        <v>6</v>
      </c>
      <c r="U306" s="251">
        <f t="shared" si="105"/>
        <v>0.49791398174951429</v>
      </c>
      <c r="V306" s="383">
        <f t="shared" si="106"/>
        <v>36.091575917568704</v>
      </c>
      <c r="W306" s="402"/>
      <c r="X306" s="157">
        <f t="shared" si="107"/>
        <v>44853</v>
      </c>
      <c r="Y306" s="385">
        <f t="shared" si="108"/>
        <v>13.574521167269509</v>
      </c>
      <c r="Z306" s="385">
        <f t="shared" si="109"/>
        <v>14.061746695458181</v>
      </c>
      <c r="AA306" s="386">
        <f t="shared" si="110"/>
        <v>16.14255424273178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0.12890200125612009</v>
      </c>
      <c r="AD306" s="231">
        <f>(INDEX(Models!$BJ306:$BT306,,AH306)*(1-AF306)+INDEX(Models!$BJ306:$BT306,,AH306+1)*AF306-ERP_i)*AE306*Ramure*Pc/MaxiM</f>
        <v>1.958387047930687E-3</v>
      </c>
      <c r="AE306" s="305">
        <f t="shared" si="112"/>
        <v>0.7</v>
      </c>
      <c r="AF306" s="177">
        <f t="shared" si="113"/>
        <v>0.49791398174951429</v>
      </c>
      <c r="AG306" s="919">
        <f t="shared" si="119"/>
        <v>0</v>
      </c>
      <c r="AH306" s="176">
        <f t="shared" si="114"/>
        <v>6</v>
      </c>
      <c r="AI306" s="225">
        <f t="shared" si="115"/>
        <v>0.49791398174951429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44854</v>
      </c>
      <c r="B307" s="618">
        <v>8.1349999999999998</v>
      </c>
      <c r="C307" s="953"/>
      <c r="D307" s="393">
        <f t="shared" si="98"/>
        <v>8.4271712790437707</v>
      </c>
      <c r="E307" s="385">
        <f t="shared" si="120"/>
        <v>9.2595003610038447</v>
      </c>
      <c r="F307" s="385">
        <f t="shared" si="99"/>
        <v>9.2595003610038447</v>
      </c>
      <c r="G307" s="110">
        <f t="shared" si="121"/>
        <v>0.22653348274106228</v>
      </c>
      <c r="H307" s="412" t="b">
        <f>Wh_hp&gt;='2021'!Maxi_hp</f>
        <v>0</v>
      </c>
      <c r="I307" s="380">
        <f>IF(H307,Wh_hp,'2021'!Maxi_hp)</f>
        <v>32.753589060137877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3.4670148424575942E-2</v>
      </c>
      <c r="M307" s="957"/>
      <c r="N307" s="957"/>
      <c r="O307" s="48">
        <f>IF(t&lt;Tnet,'2021'!Resal+('2021'!Salim-'2021'!Resal)*(1-EXP(('2021'!Tnet-t)/('2021'!Tau_j))),Resal+(Salim-Resal)*(1-EXP((Tnet-t)/(Tau_j))))*Salcycl</f>
        <v>8.9889200227844634E-2</v>
      </c>
      <c r="P307" s="339">
        <f>(INDEX(Models!$BJ307:$BT307,,T307)*(1-R307)+INDEX(Models!$BJ307:$BT307,,T307+1)*R307-ERP_i)*Q307*Ramure*Pc/MaxiM</f>
        <v>1.9503172437918108E-3</v>
      </c>
      <c r="Q307" s="305">
        <f t="shared" si="101"/>
        <v>0.7</v>
      </c>
      <c r="R307" s="177">
        <f t="shared" si="102"/>
        <v>0.49800574586250768</v>
      </c>
      <c r="S307" s="919">
        <f t="shared" si="103"/>
        <v>0</v>
      </c>
      <c r="T307" s="176">
        <f t="shared" si="104"/>
        <v>6</v>
      </c>
      <c r="U307" s="251">
        <f t="shared" si="105"/>
        <v>0.49800574586250768</v>
      </c>
      <c r="V307" s="383">
        <f t="shared" si="106"/>
        <v>35.840768750738185</v>
      </c>
      <c r="W307" s="402"/>
      <c r="X307" s="157">
        <f t="shared" si="107"/>
        <v>44854</v>
      </c>
      <c r="Y307" s="385">
        <f t="shared" si="108"/>
        <v>7.786186576626136</v>
      </c>
      <c r="Z307" s="385">
        <f t="shared" si="109"/>
        <v>8.0658301034812432</v>
      </c>
      <c r="AA307" s="386">
        <f t="shared" si="110"/>
        <v>9.2595003610038447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0.12891303104751894</v>
      </c>
      <c r="AD307" s="231">
        <f>(INDEX(Models!$BJ307:$BT307,,AH307)*(1-AF307)+INDEX(Models!$BJ307:$BT307,,AH307+1)*AF307-ERP_i)*AE307*Ramure*Pc/MaxiM</f>
        <v>1.9503172437918108E-3</v>
      </c>
      <c r="AE307" s="305">
        <f t="shared" si="112"/>
        <v>0.7</v>
      </c>
      <c r="AF307" s="177">
        <f t="shared" si="113"/>
        <v>0.49800574586250768</v>
      </c>
      <c r="AG307" s="919">
        <f t="shared" si="119"/>
        <v>0</v>
      </c>
      <c r="AH307" s="176">
        <f t="shared" si="114"/>
        <v>6</v>
      </c>
      <c r="AI307" s="225">
        <f t="shared" si="115"/>
        <v>0.49800574586250768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44855</v>
      </c>
      <c r="B308" s="618">
        <v>14.868</v>
      </c>
      <c r="C308" s="953"/>
      <c r="D308" s="393">
        <f t="shared" si="98"/>
        <v>15.40232660393252</v>
      </c>
      <c r="E308" s="385">
        <f t="shared" si="120"/>
        <v>16.925376994220198</v>
      </c>
      <c r="F308" s="385">
        <f t="shared" si="99"/>
        <v>16.930906366961629</v>
      </c>
      <c r="G308" s="110">
        <f t="shared" si="121"/>
        <v>0.41710791366212002</v>
      </c>
      <c r="H308" s="412" t="b">
        <f>Wh_hp&gt;='2021'!Maxi_hp</f>
        <v>0</v>
      </c>
      <c r="I308" s="380">
        <f>IF(H308,Wh_hp,'2021'!Maxi_hp)</f>
        <v>25.301063614108177</v>
      </c>
      <c r="J308" s="85">
        <f>IF(H308,An,'2021'!An_max)</f>
        <v>2019</v>
      </c>
      <c r="K308" s="197">
        <f t="shared" si="100"/>
        <v>44855</v>
      </c>
      <c r="L308" s="147">
        <f>IF(t&lt;Tvie,1-EXP((T0-t)*PertePVj)+'2021'!Pspv,1-EXP((T0-t)*PertePVj)+Pspv)</f>
        <v>3.4691291625779219E-2</v>
      </c>
      <c r="M308" s="957"/>
      <c r="N308" s="957"/>
      <c r="O308" s="48">
        <f>IF(t&lt;Tnet,'2021'!Resal+('2021'!Salim-'2021'!Resal)*(1-EXP(('2021'!Tnet-t)/('2021'!Tau_j))),Resal+(Salim-Resal)*(1-EXP((Tnet-t)/(Tau_j))))*Salcycl</f>
        <v>8.9986201832182505E-2</v>
      </c>
      <c r="P308" s="339">
        <f>(INDEX(Models!$BJ308:$BT308,,T308)*(1-R308)+INDEX(Models!$BJ308:$BT308,,T308+1)*R308-ERP_i)*Q308*Ramure*Pc/MaxiM</f>
        <v>1.9409422750607779E-3</v>
      </c>
      <c r="Q308" s="305">
        <f t="shared" si="101"/>
        <v>0.7</v>
      </c>
      <c r="R308" s="177">
        <f t="shared" si="102"/>
        <v>0.49809384705779297</v>
      </c>
      <c r="S308" s="919">
        <f t="shared" si="103"/>
        <v>0</v>
      </c>
      <c r="T308" s="176">
        <f t="shared" si="104"/>
        <v>6</v>
      </c>
      <c r="U308" s="251">
        <f t="shared" si="105"/>
        <v>0.49809384705779297</v>
      </c>
      <c r="V308" s="383">
        <f t="shared" si="106"/>
        <v>35.587888414660128</v>
      </c>
      <c r="W308" s="402"/>
      <c r="X308" s="157">
        <f t="shared" si="107"/>
        <v>44855</v>
      </c>
      <c r="Y308" s="385">
        <f t="shared" si="108"/>
        <v>14.231851545100458</v>
      </c>
      <c r="Z308" s="385">
        <f t="shared" si="109"/>
        <v>14.743316227893391</v>
      </c>
      <c r="AA308" s="386">
        <f t="shared" si="110"/>
        <v>16.925376994220198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0.12892243210133239</v>
      </c>
      <c r="AD308" s="231">
        <f>(INDEX(Models!$BJ308:$BT308,,AH308)*(1-AF308)+INDEX(Models!$BJ308:$BT308,,AH308+1)*AF308-ERP_i)*AE308*Ramure*Pc/MaxiM</f>
        <v>1.9409422750607779E-3</v>
      </c>
      <c r="AE308" s="305">
        <f t="shared" si="112"/>
        <v>0.7</v>
      </c>
      <c r="AF308" s="177">
        <f t="shared" si="113"/>
        <v>0.49809384705779297</v>
      </c>
      <c r="AG308" s="919">
        <f t="shared" si="119"/>
        <v>0</v>
      </c>
      <c r="AH308" s="176">
        <f t="shared" si="114"/>
        <v>6</v>
      </c>
      <c r="AI308" s="225">
        <f t="shared" si="115"/>
        <v>0.49809384705779297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44856</v>
      </c>
      <c r="B309" s="618">
        <v>32.072000000000003</v>
      </c>
      <c r="C309" s="953"/>
      <c r="D309" s="393">
        <f t="shared" si="98"/>
        <v>33.225332161888055</v>
      </c>
      <c r="E309" s="385">
        <f t="shared" si="120"/>
        <v>36.514638755946898</v>
      </c>
      <c r="F309" s="385">
        <f t="shared" si="99"/>
        <v>36.5759320707512</v>
      </c>
      <c r="G309" s="110">
        <f t="shared" si="121"/>
        <v>0.90747947971880438</v>
      </c>
      <c r="H309" s="412" t="b">
        <f>Wh_hp&gt;='2021'!Maxi_hp</f>
        <v>1</v>
      </c>
      <c r="I309" s="380">
        <f>IF(H309,Wh_hp,'2021'!Maxi_hp)</f>
        <v>36.5759320707512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3.4712434363892042E-2</v>
      </c>
      <c r="M309" s="957"/>
      <c r="N309" s="957"/>
      <c r="O309" s="48">
        <f>IF(t&lt;Tnet,'2021'!Resal+('2021'!Salim-'2021'!Resal)*(1-EXP(('2021'!Tnet-t)/('2021'!Tau_j))),Resal+(Salim-Resal)*(1-EXP((Tnet-t)/(Tau_j))))*Salcycl</f>
        <v>9.0081860484601886E-2</v>
      </c>
      <c r="P309" s="339">
        <f>(INDEX(Models!$BJ309:$BT309,,T309)*(1-R309)+INDEX(Models!$BJ309:$BT309,,T309+1)*R309-ERP_i)*Q309*Ramure*Pc/MaxiM</f>
        <v>1.9302730251168042E-3</v>
      </c>
      <c r="Q309" s="305">
        <f t="shared" si="101"/>
        <v>0.7</v>
      </c>
      <c r="R309" s="177">
        <f t="shared" si="102"/>
        <v>0.4981784303236389</v>
      </c>
      <c r="S309" s="919">
        <f t="shared" si="103"/>
        <v>0</v>
      </c>
      <c r="T309" s="176">
        <f t="shared" si="104"/>
        <v>6</v>
      </c>
      <c r="U309" s="251">
        <f t="shared" si="105"/>
        <v>0.4981784303236389</v>
      </c>
      <c r="V309" s="383">
        <f t="shared" si="106"/>
        <v>35.332836722696655</v>
      </c>
      <c r="W309" s="402"/>
      <c r="X309" s="157">
        <f t="shared" si="107"/>
        <v>44856</v>
      </c>
      <c r="Y309" s="385">
        <f t="shared" si="108"/>
        <v>30.702704710285328</v>
      </c>
      <c r="Z309" s="385">
        <f t="shared" si="109"/>
        <v>31.806796029795301</v>
      </c>
      <c r="AA309" s="386">
        <f t="shared" si="110"/>
        <v>36.514638755946898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0.12893028348486291</v>
      </c>
      <c r="AD309" s="231">
        <f>(INDEX(Models!$BJ309:$BT309,,AH309)*(1-AF309)+INDEX(Models!$BJ309:$BT309,,AH309+1)*AF309-ERP_i)*AE309*Ramure*Pc/MaxiM</f>
        <v>1.9302730251168042E-3</v>
      </c>
      <c r="AE309" s="305">
        <f t="shared" si="112"/>
        <v>0.7</v>
      </c>
      <c r="AF309" s="177">
        <f t="shared" si="113"/>
        <v>0.4981784303236389</v>
      </c>
      <c r="AG309" s="919">
        <f t="shared" si="119"/>
        <v>0</v>
      </c>
      <c r="AH309" s="176">
        <f t="shared" si="114"/>
        <v>6</v>
      </c>
      <c r="AI309" s="225">
        <f t="shared" si="115"/>
        <v>0.4981784303236389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44857</v>
      </c>
      <c r="B310" s="618">
        <v>18.266999999999999</v>
      </c>
      <c r="C310" s="953"/>
      <c r="D310" s="393">
        <f t="shared" si="98"/>
        <v>18.924308934722884</v>
      </c>
      <c r="E310" s="385">
        <f t="shared" si="120"/>
        <v>20.799972079680167</v>
      </c>
      <c r="F310" s="385">
        <f t="shared" si="99"/>
        <v>20.812566824952107</v>
      </c>
      <c r="G310" s="110">
        <f t="shared" si="121"/>
        <v>0.52010633659118277</v>
      </c>
      <c r="H310" s="412" t="b">
        <f>Wh_hp&gt;='2021'!Maxi_hp</f>
        <v>0</v>
      </c>
      <c r="I310" s="380">
        <f>IF(H310,Wh_hp,'2021'!Maxi_hp)</f>
        <v>40.417600881584974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3.4733576638924735E-2</v>
      </c>
      <c r="M310" s="957"/>
      <c r="N310" s="957"/>
      <c r="O310" s="48">
        <f>IF(t&lt;Tnet,'2021'!Resal+('2021'!Salim-'2021'!Resal)*(1-EXP(('2021'!Tnet-t)/('2021'!Tau_j))),Resal+(Salim-Resal)*(1-EXP((Tnet-t)/(Tau_j))))*Salcycl</f>
        <v>9.0176233783969814E-2</v>
      </c>
      <c r="P310" s="339">
        <f>(INDEX(Models!$BJ310:$BT310,,T310)*(1-R310)+INDEX(Models!$BJ310:$BT310,,T310+1)*R310-ERP_i)*Q310*Ramure*Pc/MaxiM</f>
        <v>1.9185841831268343E-3</v>
      </c>
      <c r="Q310" s="305">
        <f t="shared" si="101"/>
        <v>0.7</v>
      </c>
      <c r="R310" s="177">
        <f t="shared" si="102"/>
        <v>0.49825963500546067</v>
      </c>
      <c r="S310" s="919">
        <f t="shared" si="103"/>
        <v>0</v>
      </c>
      <c r="T310" s="176">
        <f t="shared" si="104"/>
        <v>6</v>
      </c>
      <c r="U310" s="251">
        <f t="shared" si="105"/>
        <v>0.49825963500546067</v>
      </c>
      <c r="V310" s="383">
        <f t="shared" si="106"/>
        <v>35.075506111752951</v>
      </c>
      <c r="W310" s="402"/>
      <c r="X310" s="157">
        <f t="shared" si="107"/>
        <v>44857</v>
      </c>
      <c r="Y310" s="385">
        <f t="shared" si="108"/>
        <v>17.488786760326171</v>
      </c>
      <c r="Z310" s="385">
        <f t="shared" si="109"/>
        <v>18.118092929649304</v>
      </c>
      <c r="AA310" s="386">
        <f t="shared" si="110"/>
        <v>20.799972079680167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0.1289366706723051</v>
      </c>
      <c r="AD310" s="231">
        <f>(INDEX(Models!$BJ310:$BT310,,AH310)*(1-AF310)+INDEX(Models!$BJ310:$BT310,,AH310+1)*AF310-ERP_i)*AE310*Ramure*Pc/MaxiM</f>
        <v>1.9185841831268343E-3</v>
      </c>
      <c r="AE310" s="305">
        <f t="shared" si="112"/>
        <v>0.7</v>
      </c>
      <c r="AF310" s="177">
        <f t="shared" si="113"/>
        <v>0.49825963500546067</v>
      </c>
      <c r="AG310" s="919">
        <f t="shared" si="119"/>
        <v>0</v>
      </c>
      <c r="AH310" s="176">
        <f t="shared" si="114"/>
        <v>6</v>
      </c>
      <c r="AI310" s="225">
        <f t="shared" si="115"/>
        <v>0.49825963500546067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44858</v>
      </c>
      <c r="B311" s="618">
        <v>24.368000000000002</v>
      </c>
      <c r="C311" s="953"/>
      <c r="D311" s="393">
        <f t="shared" si="98"/>
        <v>25.245396652850804</v>
      </c>
      <c r="E311" s="385">
        <f t="shared" si="120"/>
        <v>27.750408974427277</v>
      </c>
      <c r="F311" s="385">
        <f t="shared" si="99"/>
        <v>27.780673430660183</v>
      </c>
      <c r="G311" s="110">
        <f t="shared" si="121"/>
        <v>0.69934005370478558</v>
      </c>
      <c r="H311" s="412" t="b">
        <f>Wh_hp&gt;='2021'!Maxi_hp</f>
        <v>0</v>
      </c>
      <c r="I311" s="380">
        <f>IF(H311,Wh_hp,'2021'!Maxi_hp)</f>
        <v>41.588960428568228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3.475471845088729E-2</v>
      </c>
      <c r="M311" s="957"/>
      <c r="N311" s="957"/>
      <c r="O311" s="48">
        <f>IF(t&lt;Tnet,'2021'!Resal+('2021'!Salim-'2021'!Resal)*(1-EXP(('2021'!Tnet-t)/('2021'!Tau_j))),Resal+(Salim-Resal)*(1-EXP((Tnet-t)/(Tau_j))))*Salcycl</f>
        <v>9.0269383917365206E-2</v>
      </c>
      <c r="P311" s="339">
        <f>(INDEX(Models!$BJ311:$BT311,,T311)*(1-R311)+INDEX(Models!$BJ311:$BT311,,T311+1)*R311-ERP_i)*Q311*Ramure*Pc/MaxiM</f>
        <v>1.9068775344816421E-3</v>
      </c>
      <c r="Q311" s="305">
        <f t="shared" si="101"/>
        <v>0.7</v>
      </c>
      <c r="R311" s="177">
        <f t="shared" si="102"/>
        <v>0.49833759501785335</v>
      </c>
      <c r="S311" s="919">
        <f t="shared" si="103"/>
        <v>0</v>
      </c>
      <c r="T311" s="176">
        <f t="shared" si="104"/>
        <v>6</v>
      </c>
      <c r="U311" s="251">
        <f t="shared" si="105"/>
        <v>0.49833759501785335</v>
      </c>
      <c r="V311" s="383">
        <f t="shared" si="106"/>
        <v>34.815763834561338</v>
      </c>
      <c r="W311" s="402"/>
      <c r="X311" s="157">
        <f t="shared" si="107"/>
        <v>44858</v>
      </c>
      <c r="Y311" s="385">
        <f t="shared" si="108"/>
        <v>23.332125616723651</v>
      </c>
      <c r="Z311" s="385">
        <f t="shared" si="109"/>
        <v>24.172224472600529</v>
      </c>
      <c r="AA311" s="386">
        <f t="shared" si="110"/>
        <v>27.750408974427277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0.12894168533242661</v>
      </c>
      <c r="AD311" s="231">
        <f>(INDEX(Models!$BJ311:$BT311,,AH311)*(1-AF311)+INDEX(Models!$BJ311:$BT311,,AH311+1)*AF311-ERP_i)*AE311*Ramure*Pc/MaxiM</f>
        <v>1.9068775344816421E-3</v>
      </c>
      <c r="AE311" s="305">
        <f t="shared" si="112"/>
        <v>0.7</v>
      </c>
      <c r="AF311" s="177">
        <f t="shared" si="113"/>
        <v>0.49833759501785335</v>
      </c>
      <c r="AG311" s="919">
        <f t="shared" si="119"/>
        <v>0</v>
      </c>
      <c r="AH311" s="176">
        <f t="shared" si="114"/>
        <v>6</v>
      </c>
      <c r="AI311" s="225">
        <f t="shared" si="115"/>
        <v>0.49833759501785335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44859</v>
      </c>
      <c r="B312" s="618">
        <v>21.52</v>
      </c>
      <c r="C312" s="953"/>
      <c r="D312" s="393">
        <f t="shared" si="98"/>
        <v>22.295339604266683</v>
      </c>
      <c r="E312" s="385">
        <f t="shared" si="120"/>
        <v>24.510106599260343</v>
      </c>
      <c r="F312" s="385">
        <f t="shared" si="99"/>
        <v>24.531546136367577</v>
      </c>
      <c r="G312" s="110">
        <f t="shared" si="121"/>
        <v>0.62216553164190724</v>
      </c>
      <c r="H312" s="412" t="b">
        <f>Wh_hp&gt;='2021'!Maxi_hp</f>
        <v>0</v>
      </c>
      <c r="I312" s="380">
        <f>IF(H312,Wh_hp,'2021'!Maxi_hp)</f>
        <v>39.380465592356508</v>
      </c>
      <c r="J312" s="85">
        <f>IF(H312,An,'2021'!An_max)</f>
        <v>2018</v>
      </c>
      <c r="K312" s="197">
        <f t="shared" si="100"/>
        <v>44859</v>
      </c>
      <c r="L312" s="147">
        <f>IF(t&lt;Tvie,1-EXP((T0-t)*PertePVj)+'2021'!Pspv,1-EXP((T0-t)*PertePVj)+Pspv)</f>
        <v>3.4775859799789921E-2</v>
      </c>
      <c r="M312" s="957"/>
      <c r="N312" s="957"/>
      <c r="O312" s="48">
        <f>IF(t&lt;Tnet,'2021'!Resal+('2021'!Salim-'2021'!Resal)*(1-EXP(('2021'!Tnet-t)/('2021'!Tau_j))),Resal+(Salim-Resal)*(1-EXP((Tnet-t)/(Tau_j))))*Salcycl</f>
        <v>9.036137750051626E-2</v>
      </c>
      <c r="P312" s="339">
        <f>(INDEX(Models!$BJ312:$BT312,,T312)*(1-R312)+INDEX(Models!$BJ312:$BT312,,T312+1)*R312-ERP_i)*Q312*Ramure*Pc/MaxiM</f>
        <v>1.8951873808075376E-3</v>
      </c>
      <c r="Q312" s="305">
        <f t="shared" si="101"/>
        <v>0.7</v>
      </c>
      <c r="R312" s="177">
        <f t="shared" si="102"/>
        <v>0.49841243904926158</v>
      </c>
      <c r="S312" s="919">
        <f t="shared" si="103"/>
        <v>0</v>
      </c>
      <c r="T312" s="176">
        <f t="shared" si="104"/>
        <v>6</v>
      </c>
      <c r="U312" s="251">
        <f t="shared" si="105"/>
        <v>0.49841243904926158</v>
      </c>
      <c r="V312" s="383">
        <f t="shared" si="106"/>
        <v>34.553511603139611</v>
      </c>
      <c r="W312" s="402"/>
      <c r="X312" s="157">
        <f t="shared" si="107"/>
        <v>44859</v>
      </c>
      <c r="Y312" s="385">
        <f t="shared" si="108"/>
        <v>20.607188380945455</v>
      </c>
      <c r="Z312" s="385">
        <f t="shared" si="109"/>
        <v>21.349640485235941</v>
      </c>
      <c r="AA312" s="386">
        <f t="shared" si="110"/>
        <v>24.510106599260343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0.12894542507292794</v>
      </c>
      <c r="AD312" s="231">
        <f>(INDEX(Models!$BJ312:$BT312,,AH312)*(1-AF312)+INDEX(Models!$BJ312:$BT312,,AH312+1)*AF312-ERP_i)*AE312*Ramure*Pc/MaxiM</f>
        <v>1.8951873808075376E-3</v>
      </c>
      <c r="AE312" s="305">
        <f t="shared" si="112"/>
        <v>0.7</v>
      </c>
      <c r="AF312" s="177">
        <f t="shared" si="113"/>
        <v>0.49841243904926158</v>
      </c>
      <c r="AG312" s="919">
        <f t="shared" si="119"/>
        <v>0</v>
      </c>
      <c r="AH312" s="176">
        <f t="shared" si="114"/>
        <v>6</v>
      </c>
      <c r="AI312" s="225">
        <f t="shared" si="115"/>
        <v>0.49841243904926158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44860</v>
      </c>
      <c r="B313" s="618">
        <v>12.029</v>
      </c>
      <c r="C313" s="953"/>
      <c r="D313" s="393">
        <f t="shared" si="98"/>
        <v>12.462663303517431</v>
      </c>
      <c r="E313" s="385">
        <f t="shared" si="120"/>
        <v>13.702044547298451</v>
      </c>
      <c r="F313" s="385">
        <f t="shared" si="99"/>
        <v>13.703918326960869</v>
      </c>
      <c r="G313" s="110">
        <f t="shared" si="121"/>
        <v>0.35020288943311312</v>
      </c>
      <c r="H313" s="412" t="b">
        <f>Wh_hp&gt;='2021'!Maxi_hp</f>
        <v>0</v>
      </c>
      <c r="I313" s="380">
        <f>IF(H313,Wh_hp,'2021'!Maxi_hp)</f>
        <v>38.95254653773808</v>
      </c>
      <c r="J313" s="85">
        <f>IF(H313,An,'2021'!An_max)</f>
        <v>2019</v>
      </c>
      <c r="K313" s="197">
        <f t="shared" si="100"/>
        <v>44860</v>
      </c>
      <c r="L313" s="147">
        <f>IF(t&lt;Tvie,1-EXP((T0-t)*PertePVj)+'2021'!Pspv,1-EXP((T0-t)*PertePVj)+Pspv)</f>
        <v>3.4797000685642732E-2</v>
      </c>
      <c r="M313" s="957"/>
      <c r="N313" s="957"/>
      <c r="O313" s="48">
        <f>IF(t&lt;Tnet,'2021'!Resal+('2021'!Salim-'2021'!Resal)*(1-EXP(('2021'!Tnet-t)/('2021'!Tau_j))),Resal+(Salim-Resal)*(1-EXP((Tnet-t)/(Tau_j))))*Salcycl</f>
        <v>9.0452285387247727E-2</v>
      </c>
      <c r="P313" s="339">
        <f>(INDEX(Models!$BJ313:$BT313,,T313)*(1-R313)+INDEX(Models!$BJ313:$BT313,,T313+1)*R313-ERP_i)*Q313*Ramure*Pc/MaxiM</f>
        <v>1.8835329357050682E-3</v>
      </c>
      <c r="Q313" s="305">
        <f t="shared" si="101"/>
        <v>0.7</v>
      </c>
      <c r="R313" s="177">
        <f t="shared" si="102"/>
        <v>0.49848429075949108</v>
      </c>
      <c r="S313" s="919">
        <f t="shared" si="103"/>
        <v>0</v>
      </c>
      <c r="T313" s="176">
        <f t="shared" si="104"/>
        <v>6</v>
      </c>
      <c r="U313" s="251">
        <f t="shared" si="105"/>
        <v>0.49848429075949108</v>
      </c>
      <c r="V313" s="383">
        <f t="shared" si="106"/>
        <v>34.288651618851517</v>
      </c>
      <c r="W313" s="402"/>
      <c r="X313" s="157">
        <f t="shared" si="107"/>
        <v>44860</v>
      </c>
      <c r="Y313" s="385">
        <f t="shared" si="108"/>
        <v>11.519884468019649</v>
      </c>
      <c r="Z313" s="385">
        <f t="shared" si="109"/>
        <v>11.935193400976715</v>
      </c>
      <c r="AA313" s="386">
        <f t="shared" si="110"/>
        <v>13.702044547298451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0.12894799314238797</v>
      </c>
      <c r="AD313" s="231">
        <f>(INDEX(Models!$BJ313:$BT313,,AH313)*(1-AF313)+INDEX(Models!$BJ313:$BT313,,AH313+1)*AF313-ERP_i)*AE313*Ramure*Pc/MaxiM</f>
        <v>1.8835329357050682E-3</v>
      </c>
      <c r="AE313" s="305">
        <f t="shared" si="112"/>
        <v>0.7</v>
      </c>
      <c r="AF313" s="177">
        <f t="shared" si="113"/>
        <v>0.49848429075949108</v>
      </c>
      <c r="AG313" s="919">
        <f t="shared" si="119"/>
        <v>0</v>
      </c>
      <c r="AH313" s="176">
        <f t="shared" si="114"/>
        <v>6</v>
      </c>
      <c r="AI313" s="225">
        <f t="shared" si="115"/>
        <v>0.49848429075949108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44861</v>
      </c>
      <c r="B314" s="618">
        <v>13.179</v>
      </c>
      <c r="C314" s="953"/>
      <c r="D314" s="393">
        <f t="shared" si="98"/>
        <v>13.654421577230352</v>
      </c>
      <c r="E314" s="385">
        <f t="shared" si="120"/>
        <v>15.013804174000892</v>
      </c>
      <c r="F314" s="385">
        <f t="shared" si="99"/>
        <v>15.017313178557293</v>
      </c>
      <c r="G314" s="110">
        <f t="shared" si="121"/>
        <v>0.38674262712385121</v>
      </c>
      <c r="H314" s="412" t="b">
        <f>Wh_hp&gt;='2021'!Maxi_hp</f>
        <v>0</v>
      </c>
      <c r="I314" s="380">
        <f>IF(H314,Wh_hp,'2021'!Maxi_hp)</f>
        <v>33.191570367929572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3.4818141108455936E-2</v>
      </c>
      <c r="M314" s="957"/>
      <c r="N314" s="957"/>
      <c r="O314" s="48">
        <f>IF(t&lt;Tnet,'2021'!Resal+('2021'!Salim-'2021'!Resal)*(1-EXP(('2021'!Tnet-t)/('2021'!Tau_j))),Resal+(Salim-Resal)*(1-EXP((Tnet-t)/(Tau_j))))*Salcycl</f>
        <v>9.0542182448639957E-2</v>
      </c>
      <c r="P314" s="339">
        <f>(INDEX(Models!$BJ314:$BT314,,T314)*(1-R314)+INDEX(Models!$BJ314:$BT314,,T314+1)*R314-ERP_i)*Q314*Ramure*Pc/MaxiM</f>
        <v>1.8719342692759486E-3</v>
      </c>
      <c r="Q314" s="305">
        <f t="shared" si="101"/>
        <v>0.7</v>
      </c>
      <c r="R314" s="177">
        <f t="shared" si="102"/>
        <v>0.49855326897026836</v>
      </c>
      <c r="S314" s="919">
        <f t="shared" si="103"/>
        <v>0</v>
      </c>
      <c r="T314" s="176">
        <f t="shared" si="104"/>
        <v>6</v>
      </c>
      <c r="U314" s="251">
        <f t="shared" si="105"/>
        <v>0.49855326897026836</v>
      </c>
      <c r="V314" s="383">
        <f t="shared" si="106"/>
        <v>34.0210860308054</v>
      </c>
      <c r="W314" s="402"/>
      <c r="X314" s="157">
        <f t="shared" si="107"/>
        <v>44861</v>
      </c>
      <c r="Y314" s="385">
        <f t="shared" si="108"/>
        <v>12.622437614056262</v>
      </c>
      <c r="Z314" s="385">
        <f t="shared" si="109"/>
        <v>13.077781661325883</v>
      </c>
      <c r="AA314" s="386">
        <f t="shared" si="110"/>
        <v>15.013804174000892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0.12894949809106887</v>
      </c>
      <c r="AD314" s="231">
        <f>(INDEX(Models!$BJ314:$BT314,,AH314)*(1-AF314)+INDEX(Models!$BJ314:$BT314,,AH314+1)*AF314-ERP_i)*AE314*Ramure*Pc/MaxiM</f>
        <v>1.8719342692759486E-3</v>
      </c>
      <c r="AE314" s="305">
        <f t="shared" si="112"/>
        <v>0.7</v>
      </c>
      <c r="AF314" s="177">
        <f t="shared" si="113"/>
        <v>0.49855326897026836</v>
      </c>
      <c r="AG314" s="919">
        <f t="shared" si="119"/>
        <v>0</v>
      </c>
      <c r="AH314" s="176">
        <f t="shared" si="114"/>
        <v>6</v>
      </c>
      <c r="AI314" s="225">
        <f t="shared" si="115"/>
        <v>0.49855326897026836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44862</v>
      </c>
      <c r="B315" s="618">
        <v>16.600999999999999</v>
      </c>
      <c r="C315" s="953"/>
      <c r="D315" s="393">
        <f t="shared" si="98"/>
        <v>17.200244140037093</v>
      </c>
      <c r="E315" s="385">
        <f t="shared" si="120"/>
        <v>18.914485678061652</v>
      </c>
      <c r="F315" s="385">
        <f t="shared" si="99"/>
        <v>18.924135885025493</v>
      </c>
      <c r="G315" s="110">
        <f t="shared" si="121"/>
        <v>0.49120643643857415</v>
      </c>
      <c r="H315" s="412" t="b">
        <f>Wh_hp&gt;='2021'!Maxi_hp</f>
        <v>0</v>
      </c>
      <c r="I315" s="380">
        <f>IF(H315,Wh_hp,'2021'!Maxi_hp)</f>
        <v>38.41572407667438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3.4839281068239636E-2</v>
      </c>
      <c r="M315" s="957"/>
      <c r="N315" s="957"/>
      <c r="O315" s="48">
        <f>IF(t&lt;Tnet,'2021'!Resal+('2021'!Salim-'2021'!Resal)*(1-EXP(('2021'!Tnet-t)/('2021'!Tau_j))),Resal+(Salim-Resal)*(1-EXP((Tnet-t)/(Tau_j))))*Salcycl</f>
        <v>9.0631147322861511E-2</v>
      </c>
      <c r="P315" s="339">
        <f>(INDEX(Models!$BJ315:$BT315,,T315)*(1-R315)+INDEX(Models!$BJ315:$BT315,,T315+1)*R315-ERP_i)*Q315*Ramure*Pc/MaxiM</f>
        <v>1.8604122768081342E-3</v>
      </c>
      <c r="Q315" s="305">
        <f t="shared" si="101"/>
        <v>0.7</v>
      </c>
      <c r="R315" s="177">
        <f t="shared" si="102"/>
        <v>0.49861948784905047</v>
      </c>
      <c r="S315" s="919">
        <f t="shared" si="103"/>
        <v>0</v>
      </c>
      <c r="T315" s="176">
        <f t="shared" si="104"/>
        <v>6</v>
      </c>
      <c r="U315" s="251">
        <f t="shared" si="105"/>
        <v>0.49861948784905047</v>
      </c>
      <c r="V315" s="383">
        <f t="shared" si="106"/>
        <v>33.750716950454013</v>
      </c>
      <c r="W315" s="402"/>
      <c r="X315" s="157">
        <f t="shared" si="107"/>
        <v>44862</v>
      </c>
      <c r="Y315" s="385">
        <f t="shared" si="108"/>
        <v>15.90146849770092</v>
      </c>
      <c r="Z315" s="385">
        <f t="shared" si="109"/>
        <v>16.475461739989441</v>
      </c>
      <c r="AA315" s="386">
        <f t="shared" si="110"/>
        <v>18.914485678061652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0.12895005339220844</v>
      </c>
      <c r="AD315" s="231">
        <f>(INDEX(Models!$BJ315:$BT315,,AH315)*(1-AF315)+INDEX(Models!$BJ315:$BT315,,AH315+1)*AF315-ERP_i)*AE315*Ramure*Pc/MaxiM</f>
        <v>1.8604122768081342E-3</v>
      </c>
      <c r="AE315" s="305">
        <f t="shared" si="112"/>
        <v>0.7</v>
      </c>
      <c r="AF315" s="177">
        <f t="shared" si="113"/>
        <v>0.49861948784905047</v>
      </c>
      <c r="AG315" s="919">
        <f t="shared" si="119"/>
        <v>0</v>
      </c>
      <c r="AH315" s="176">
        <f t="shared" si="114"/>
        <v>6</v>
      </c>
      <c r="AI315" s="225">
        <f t="shared" si="115"/>
        <v>0.49861948784905047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44863</v>
      </c>
      <c r="B316" s="618">
        <v>24.792000000000002</v>
      </c>
      <c r="C316" s="953"/>
      <c r="D316" s="393">
        <f t="shared" si="98"/>
        <v>25.687476224437429</v>
      </c>
      <c r="E316" s="385">
        <f t="shared" si="120"/>
        <v>28.250324849952676</v>
      </c>
      <c r="F316" s="385">
        <f t="shared" si="99"/>
        <v>28.28323794272027</v>
      </c>
      <c r="G316" s="110">
        <f t="shared" si="121"/>
        <v>0.74005018429979053</v>
      </c>
      <c r="H316" s="412" t="b">
        <f>Wh_hp&gt;='2021'!Maxi_hp</f>
        <v>0</v>
      </c>
      <c r="I316" s="380">
        <f>IF(H316,Wh_hp,'2021'!Maxi_hp)</f>
        <v>30.720187323726929</v>
      </c>
      <c r="J316" s="85">
        <f>IF(H316,An,'2021'!An_max)</f>
        <v>2019</v>
      </c>
      <c r="K316" s="197">
        <f t="shared" si="100"/>
        <v>44863</v>
      </c>
      <c r="L316" s="147">
        <f>IF(t&lt;Tvie,1-EXP((T0-t)*PertePVj)+'2021'!Pspv,1-EXP((T0-t)*PertePVj)+Pspv)</f>
        <v>3.4860420565003936E-2</v>
      </c>
      <c r="M316" s="957"/>
      <c r="N316" s="957"/>
      <c r="O316" s="48">
        <f>IF(t&lt;Tnet,'2021'!Resal+('2021'!Salim-'2021'!Resal)*(1-EXP(('2021'!Tnet-t)/('2021'!Tau_j))),Resal+(Salim-Resal)*(1-EXP((Tnet-t)/(Tau_j))))*Salcycl</f>
        <v>9.0719262136893256E-2</v>
      </c>
      <c r="P316" s="339">
        <f>(INDEX(Models!$BJ316:$BT316,,T316)*(1-R316)+INDEX(Models!$BJ316:$BT316,,T316+1)*R316-ERP_i)*Q316*Ramure*Pc/MaxiM</f>
        <v>1.8489886447657629E-3</v>
      </c>
      <c r="Q316" s="305">
        <f t="shared" si="101"/>
        <v>0.7</v>
      </c>
      <c r="R316" s="177">
        <f t="shared" si="102"/>
        <v>0.49868305708628663</v>
      </c>
      <c r="S316" s="919">
        <f t="shared" si="103"/>
        <v>0</v>
      </c>
      <c r="T316" s="176">
        <f t="shared" si="104"/>
        <v>6</v>
      </c>
      <c r="U316" s="251">
        <f t="shared" si="105"/>
        <v>0.49868305708628663</v>
      </c>
      <c r="V316" s="383">
        <f t="shared" si="106"/>
        <v>33.477446473304497</v>
      </c>
      <c r="W316" s="402"/>
      <c r="X316" s="157">
        <f t="shared" si="107"/>
        <v>44863</v>
      </c>
      <c r="Y316" s="385">
        <f t="shared" si="108"/>
        <v>23.749625642271184</v>
      </c>
      <c r="Z316" s="385">
        <f t="shared" si="109"/>
        <v>24.607451759645471</v>
      </c>
      <c r="AA316" s="386">
        <f t="shared" si="110"/>
        <v>28.250324849952676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0.12894977702577831</v>
      </c>
      <c r="AD316" s="231">
        <f>(INDEX(Models!$BJ316:$BT316,,AH316)*(1-AF316)+INDEX(Models!$BJ316:$BT316,,AH316+1)*AF316-ERP_i)*AE316*Ramure*Pc/MaxiM</f>
        <v>1.8489886447657629E-3</v>
      </c>
      <c r="AE316" s="305">
        <f t="shared" si="112"/>
        <v>0.7</v>
      </c>
      <c r="AF316" s="177">
        <f t="shared" si="113"/>
        <v>0.49868305708628663</v>
      </c>
      <c r="AG316" s="919">
        <f t="shared" si="119"/>
        <v>0</v>
      </c>
      <c r="AH316" s="176">
        <f t="shared" si="114"/>
        <v>6</v>
      </c>
      <c r="AI316" s="225">
        <f t="shared" si="115"/>
        <v>0.49868305708628663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44864</v>
      </c>
      <c r="B317" s="618">
        <v>20.301000000000002</v>
      </c>
      <c r="C317" s="953"/>
      <c r="D317" s="393">
        <f t="shared" si="98"/>
        <v>21.034723978085019</v>
      </c>
      <c r="E317" s="385">
        <f t="shared" si="120"/>
        <v>23.135588380180149</v>
      </c>
      <c r="F317" s="385">
        <f t="shared" si="99"/>
        <v>23.154525120430296</v>
      </c>
      <c r="G317" s="110">
        <f t="shared" si="121"/>
        <v>0.61087843708479028</v>
      </c>
      <c r="H317" s="412" t="b">
        <f>Wh_hp&gt;='2021'!Maxi_hp</f>
        <v>0</v>
      </c>
      <c r="I317" s="380">
        <f>IF(H317,Wh_hp,'2021'!Maxi_hp)</f>
        <v>35.207799824990232</v>
      </c>
      <c r="J317" s="85">
        <f>IF(H317,An,'2021'!An_max)</f>
        <v>2018</v>
      </c>
      <c r="K317" s="197">
        <f t="shared" si="100"/>
        <v>44864</v>
      </c>
      <c r="L317" s="147">
        <f>IF(t&lt;Tvie,1-EXP((T0-t)*PertePVj)+'2021'!Pspv,1-EXP((T0-t)*PertePVj)+Pspv)</f>
        <v>3.4881559598758938E-2</v>
      </c>
      <c r="M317" s="957"/>
      <c r="N317" s="957"/>
      <c r="O317" s="48">
        <f>IF(t&lt;Tnet,'2021'!Resal+('2021'!Salim-'2021'!Resal)*(1-EXP(('2021'!Tnet-t)/('2021'!Tau_j))),Resal+(Salim-Resal)*(1-EXP((Tnet-t)/(Tau_j))))*Salcycl</f>
        <v>9.0806612201611556E-2</v>
      </c>
      <c r="P317" s="339">
        <f>(INDEX(Models!$BJ317:$BT317,,T317)*(1-R317)+INDEX(Models!$BJ317:$BT317,,T317+1)*R317-ERP_i)*Q317*Ramure*Pc/MaxiM</f>
        <v>1.8378311360805462E-3</v>
      </c>
      <c r="Q317" s="305">
        <f t="shared" si="101"/>
        <v>0.7</v>
      </c>
      <c r="R317" s="177">
        <f t="shared" si="102"/>
        <v>0.49874408206632931</v>
      </c>
      <c r="S317" s="919">
        <f t="shared" si="103"/>
        <v>0</v>
      </c>
      <c r="T317" s="176">
        <f t="shared" si="104"/>
        <v>6</v>
      </c>
      <c r="U317" s="251">
        <f t="shared" si="105"/>
        <v>0.49874408206632931</v>
      </c>
      <c r="V317" s="383">
        <f t="shared" si="106"/>
        <v>33.198546581624228</v>
      </c>
      <c r="W317" s="402"/>
      <c r="X317" s="157">
        <f t="shared" si="107"/>
        <v>44864</v>
      </c>
      <c r="Y317" s="385">
        <f t="shared" si="108"/>
        <v>19.449339195240238</v>
      </c>
      <c r="Z317" s="385">
        <f t="shared" si="109"/>
        <v>20.152282228857128</v>
      </c>
      <c r="AA317" s="386">
        <f t="shared" si="110"/>
        <v>23.135588380180149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0.12894879102702089</v>
      </c>
      <c r="AD317" s="231">
        <f>(INDEX(Models!$BJ317:$BT317,,AH317)*(1-AF317)+INDEX(Models!$BJ317:$BT317,,AH317+1)*AF317-ERP_i)*AE317*Ramure*Pc/MaxiM</f>
        <v>1.8378311360805462E-3</v>
      </c>
      <c r="AE317" s="305">
        <f t="shared" si="112"/>
        <v>0.7</v>
      </c>
      <c r="AF317" s="177">
        <f t="shared" si="113"/>
        <v>0.49874408206632931</v>
      </c>
      <c r="AG317" s="919">
        <f t="shared" si="119"/>
        <v>0</v>
      </c>
      <c r="AH317" s="176">
        <f t="shared" si="114"/>
        <v>6</v>
      </c>
      <c r="AI317" s="225">
        <f t="shared" si="115"/>
        <v>0.49874408206632931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44865</v>
      </c>
      <c r="B318" s="618">
        <v>20.988</v>
      </c>
      <c r="C318" s="953"/>
      <c r="D318" s="393">
        <f t="shared" si="98"/>
        <v>21.747030025047614</v>
      </c>
      <c r="E318" s="385">
        <f t="shared" si="120"/>
        <v>23.921317137516041</v>
      </c>
      <c r="F318" s="385">
        <f t="shared" si="99"/>
        <v>23.942477051266085</v>
      </c>
      <c r="G318" s="110">
        <f t="shared" si="121"/>
        <v>0.6370939191045023</v>
      </c>
      <c r="H318" s="412" t="b">
        <f>Wh_hp&gt;='2021'!Maxi_hp</f>
        <v>0</v>
      </c>
      <c r="I318" s="380">
        <f>IF(H318,Wh_hp,'2021'!Maxi_hp)</f>
        <v>35.869115091380415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3.4902698169514967E-2</v>
      </c>
      <c r="M318" s="957"/>
      <c r="N318" s="957"/>
      <c r="O318" s="48">
        <f>IF(t&lt;Tnet,'2021'!Resal+('2021'!Salim-'2021'!Resal)*(1-EXP(('2021'!Tnet-t)/('2021'!Tau_j))),Resal+(Salim-Resal)*(1-EXP((Tnet-t)/(Tau_j))))*Salcycl</f>
        <v>9.0893285681935498E-2</v>
      </c>
      <c r="P318" s="339">
        <f>(INDEX(Models!$BJ318:$BT318,,T318)*(1-R318)+INDEX(Models!$BJ318:$BT318,,T318+1)*R318-ERP_i)*Q318*Ramure*Pc/MaxiM</f>
        <v>1.8319471987855533E-3</v>
      </c>
      <c r="Q318" s="305">
        <f t="shared" si="101"/>
        <v>0.7</v>
      </c>
      <c r="R318" s="177">
        <f t="shared" si="102"/>
        <v>0.4988026640321902</v>
      </c>
      <c r="S318" s="919">
        <f t="shared" si="103"/>
        <v>0</v>
      </c>
      <c r="T318" s="176">
        <f t="shared" si="104"/>
        <v>6</v>
      </c>
      <c r="U318" s="251">
        <f t="shared" si="105"/>
        <v>0.4988026640321902</v>
      </c>
      <c r="V318" s="383">
        <f t="shared" si="106"/>
        <v>32.912074127022287</v>
      </c>
      <c r="W318" s="402"/>
      <c r="X318" s="157">
        <f t="shared" si="107"/>
        <v>44865</v>
      </c>
      <c r="Y318" s="385">
        <f t="shared" si="108"/>
        <v>20.109471679917224</v>
      </c>
      <c r="Z318" s="385">
        <f t="shared" si="109"/>
        <v>20.836729769916364</v>
      </c>
      <c r="AA318" s="386">
        <f t="shared" si="110"/>
        <v>23.921317137516041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0.12894722100239572</v>
      </c>
      <c r="AD318" s="231">
        <f>(INDEX(Models!$BJ318:$BT318,,AH318)*(1-AF318)+INDEX(Models!$BJ318:$BT318,,AH318+1)*AF318-ERP_i)*AE318*Ramure*Pc/MaxiM</f>
        <v>1.8319471987855533E-3</v>
      </c>
      <c r="AE318" s="305">
        <f t="shared" si="112"/>
        <v>0.7</v>
      </c>
      <c r="AF318" s="177">
        <f t="shared" si="113"/>
        <v>0.4988026640321902</v>
      </c>
      <c r="AG318" s="919">
        <f t="shared" si="119"/>
        <v>0</v>
      </c>
      <c r="AH318" s="176">
        <f t="shared" si="114"/>
        <v>6</v>
      </c>
      <c r="AI318" s="225">
        <f t="shared" si="115"/>
        <v>0.4988026640321902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44866</v>
      </c>
      <c r="B319" s="618">
        <v>22.614000000000001</v>
      </c>
      <c r="C319" s="953"/>
      <c r="D319" s="393">
        <f t="shared" si="98"/>
        <v>23.43234746651288</v>
      </c>
      <c r="E319" s="385">
        <f t="shared" si="120"/>
        <v>25.777575092145746</v>
      </c>
      <c r="F319" s="385">
        <f t="shared" si="99"/>
        <v>25.804127343787695</v>
      </c>
      <c r="G319" s="110">
        <f t="shared" si="121"/>
        <v>0.69271261952099317</v>
      </c>
      <c r="H319" s="412" t="b">
        <f>Wh_hp&gt;='2021'!Maxi_hp</f>
        <v>0</v>
      </c>
      <c r="I319" s="380">
        <f>IF(H319,Wh_hp,'2021'!Maxi_hp)</f>
        <v>32.156200585342432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3.4923836277282017E-2</v>
      </c>
      <c r="M319" s="957"/>
      <c r="N319" s="957"/>
      <c r="O319" s="48">
        <f>IF(t&lt;Tnet,'2021'!Resal+('2021'!Salim-'2021'!Resal)*(1-EXP(('2021'!Tnet-t)/('2021'!Tau_j))),Resal+(Salim-Resal)*(1-EXP((Tnet-t)/(Tau_j))))*Salcycl</f>
        <v>9.0979373243972872E-2</v>
      </c>
      <c r="P319" s="339">
        <f>(INDEX(Models!$BJ319:$BT319,,T319)*(1-R319)+INDEX(Models!$BJ319:$BT319,,T319+1)*R319-ERP_i)*Q319*Ramure*Pc/MaxiM</f>
        <v>1.831554556317066E-3</v>
      </c>
      <c r="Q319" s="305">
        <f t="shared" si="101"/>
        <v>0.7</v>
      </c>
      <c r="R319" s="177">
        <f t="shared" si="102"/>
        <v>0.49885890024433188</v>
      </c>
      <c r="S319" s="919">
        <f t="shared" si="103"/>
        <v>0</v>
      </c>
      <c r="T319" s="176">
        <f t="shared" si="104"/>
        <v>6</v>
      </c>
      <c r="U319" s="251">
        <f t="shared" si="105"/>
        <v>0.49885890024433188</v>
      </c>
      <c r="V319" s="383">
        <f t="shared" si="106"/>
        <v>32.619345351447095</v>
      </c>
      <c r="W319" s="402"/>
      <c r="X319" s="157">
        <f t="shared" si="107"/>
        <v>44866</v>
      </c>
      <c r="Y319" s="385">
        <f t="shared" si="108"/>
        <v>21.669511963263265</v>
      </c>
      <c r="Z319" s="385">
        <f t="shared" si="109"/>
        <v>22.45368062938633</v>
      </c>
      <c r="AA319" s="386">
        <f t="shared" si="110"/>
        <v>25.777575092145746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0.12894519561586631</v>
      </c>
      <c r="AD319" s="231">
        <f>(INDEX(Models!$BJ319:$BT319,,AH319)*(1-AF319)+INDEX(Models!$BJ319:$BT319,,AH319+1)*AF319-ERP_i)*AE319*Ramure*Pc/MaxiM</f>
        <v>1.831554556317066E-3</v>
      </c>
      <c r="AE319" s="305">
        <f t="shared" si="112"/>
        <v>0.7</v>
      </c>
      <c r="AF319" s="177">
        <f t="shared" si="113"/>
        <v>0.49885890024433188</v>
      </c>
      <c r="AG319" s="919">
        <f t="shared" si="119"/>
        <v>0</v>
      </c>
      <c r="AH319" s="176">
        <f t="shared" si="114"/>
        <v>6</v>
      </c>
      <c r="AI319" s="225">
        <f t="shared" si="115"/>
        <v>0.49885890024433188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44867</v>
      </c>
      <c r="B320" s="618">
        <v>28.338000000000001</v>
      </c>
      <c r="C320" s="953"/>
      <c r="D320" s="393">
        <f t="shared" si="98"/>
        <v>29.364128712088238</v>
      </c>
      <c r="E320" s="385">
        <f t="shared" si="120"/>
        <v>32.306080927676945</v>
      </c>
      <c r="F320" s="385">
        <f t="shared" si="99"/>
        <v>32.355042356085981</v>
      </c>
      <c r="G320" s="110">
        <f t="shared" si="121"/>
        <v>0.87646491948809491</v>
      </c>
      <c r="H320" s="412" t="b">
        <f>Wh_hp&gt;='2021'!Maxi_hp</f>
        <v>1</v>
      </c>
      <c r="I320" s="380">
        <f>IF(H320,Wh_hp,'2021'!Maxi_hp)</f>
        <v>32.355042356085981</v>
      </c>
      <c r="J320" s="85">
        <f>IF(H320,An,'2021'!An_max)</f>
        <v>2022</v>
      </c>
      <c r="K320" s="197">
        <f t="shared" si="100"/>
        <v>44867</v>
      </c>
      <c r="L320" s="147">
        <f>IF(t&lt;Tvie,1-EXP((T0-t)*PertePVj)+'2021'!Pspv,1-EXP((T0-t)*PertePVj)+Pspv)</f>
        <v>3.4944973922070188E-2</v>
      </c>
      <c r="M320" s="957"/>
      <c r="N320" s="957"/>
      <c r="O320" s="48">
        <f>IF(t&lt;Tnet,'2021'!Resal+('2021'!Salim-'2021'!Resal)*(1-EXP(('2021'!Tnet-t)/('2021'!Tau_j))),Resal+(Salim-Resal)*(1-EXP((Tnet-t)/(Tau_j))))*Salcycl</f>
        <v>9.1064967681310574E-2</v>
      </c>
      <c r="P320" s="339">
        <f>(INDEX(Models!$BJ320:$BT320,,T320)*(1-R320)+INDEX(Models!$BJ320:$BT320,,T320+1)*R320-ERP_i)*Q320*Ramure*Pc/MaxiM</f>
        <v>1.836637262903903E-3</v>
      </c>
      <c r="Q320" s="305">
        <f t="shared" si="101"/>
        <v>0.7</v>
      </c>
      <c r="R320" s="177">
        <f t="shared" si="102"/>
        <v>0.49891288413368601</v>
      </c>
      <c r="S320" s="919">
        <f t="shared" si="103"/>
        <v>0</v>
      </c>
      <c r="T320" s="176">
        <f t="shared" si="104"/>
        <v>6</v>
      </c>
      <c r="U320" s="251">
        <f t="shared" si="105"/>
        <v>0.49891288413368601</v>
      </c>
      <c r="V320" s="383">
        <f t="shared" si="106"/>
        <v>32.32168393051203</v>
      </c>
      <c r="W320" s="402"/>
      <c r="X320" s="157">
        <f t="shared" si="107"/>
        <v>44867</v>
      </c>
      <c r="Y320" s="385">
        <f t="shared" si="108"/>
        <v>27.157075864599594</v>
      </c>
      <c r="Z320" s="385">
        <f t="shared" si="109"/>
        <v>28.140442908181502</v>
      </c>
      <c r="AA320" s="386">
        <f t="shared" si="110"/>
        <v>32.306080927676945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0.12894284604873565</v>
      </c>
      <c r="AD320" s="231">
        <f>(INDEX(Models!$BJ320:$BT320,,AH320)*(1-AF320)+INDEX(Models!$BJ320:$BT320,,AH320+1)*AF320-ERP_i)*AE320*Ramure*Pc/MaxiM</f>
        <v>1.836637262903903E-3</v>
      </c>
      <c r="AE320" s="305">
        <f t="shared" si="112"/>
        <v>0.7</v>
      </c>
      <c r="AF320" s="177">
        <f t="shared" si="113"/>
        <v>0.49891288413368601</v>
      </c>
      <c r="AG320" s="919">
        <f t="shared" si="119"/>
        <v>0</v>
      </c>
      <c r="AH320" s="176">
        <f t="shared" si="114"/>
        <v>6</v>
      </c>
      <c r="AI320" s="225">
        <f t="shared" si="115"/>
        <v>0.49891288413368601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44868</v>
      </c>
      <c r="B321" s="618">
        <v>9.8550000000000004</v>
      </c>
      <c r="C321" s="953"/>
      <c r="D321" s="393">
        <f t="shared" si="98"/>
        <v>10.21207660517809</v>
      </c>
      <c r="E321" s="385">
        <f t="shared" si="120"/>
        <v>11.236263896752327</v>
      </c>
      <c r="F321" s="385">
        <f t="shared" si="99"/>
        <v>11.236494358590482</v>
      </c>
      <c r="G321" s="110">
        <f t="shared" si="121"/>
        <v>0.30721020922755005</v>
      </c>
      <c r="H321" s="412" t="b">
        <f>Wh_hp&gt;='2021'!Maxi_hp</f>
        <v>0</v>
      </c>
      <c r="I321" s="380">
        <f>IF(H321,Wh_hp,'2021'!Maxi_hp)</f>
        <v>31.18806335046073</v>
      </c>
      <c r="J321" s="85">
        <f>IF(H321,An,'2021'!An_max)</f>
        <v>2018</v>
      </c>
      <c r="K321" s="197">
        <f t="shared" si="100"/>
        <v>44868</v>
      </c>
      <c r="L321" s="147">
        <f>IF(t&lt;Tvie,1-EXP((T0-t)*PertePVj)+'2021'!Pspv,1-EXP((T0-t)*PertePVj)+Pspv)</f>
        <v>3.4966111103889697E-2</v>
      </c>
      <c r="M321" s="957"/>
      <c r="N321" s="957"/>
      <c r="O321" s="48">
        <f>IF(t&lt;Tnet,'2021'!Resal+('2021'!Salim-'2021'!Resal)*(1-EXP(('2021'!Tnet-t)/('2021'!Tau_j))),Resal+(Salim-Resal)*(1-EXP((Tnet-t)/(Tau_j))))*Salcycl</f>
        <v>9.1150163522793648E-2</v>
      </c>
      <c r="P321" s="339">
        <f>(INDEX(Models!$BJ321:$BT321,,T321)*(1-R321)+INDEX(Models!$BJ321:$BT321,,T321+1)*R321-ERP_i)*Q321*Ramure*Pc/MaxiM</f>
        <v>1.8471830928271369E-3</v>
      </c>
      <c r="Q321" s="305">
        <f t="shared" si="101"/>
        <v>0.7</v>
      </c>
      <c r="R321" s="177">
        <f t="shared" si="102"/>
        <v>0.49896470544907923</v>
      </c>
      <c r="S321" s="919">
        <f t="shared" si="103"/>
        <v>0</v>
      </c>
      <c r="T321" s="176">
        <f t="shared" si="104"/>
        <v>6</v>
      </c>
      <c r="U321" s="251">
        <f t="shared" si="105"/>
        <v>0.49896470544907923</v>
      </c>
      <c r="V321" s="383">
        <f t="shared" si="106"/>
        <v>32.020412971791195</v>
      </c>
      <c r="W321" s="402"/>
      <c r="X321" s="157">
        <f t="shared" si="107"/>
        <v>44868</v>
      </c>
      <c r="Y321" s="385">
        <f t="shared" si="108"/>
        <v>9.4452273031120058</v>
      </c>
      <c r="Z321" s="385">
        <f t="shared" si="109"/>
        <v>9.7874565979400767</v>
      </c>
      <c r="AA321" s="386">
        <f t="shared" si="110"/>
        <v>11.236263896752327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0.1289403054364899</v>
      </c>
      <c r="AD321" s="231">
        <f>(INDEX(Models!$BJ321:$BT321,,AH321)*(1-AF321)+INDEX(Models!$BJ321:$BT321,,AH321+1)*AF321-ERP_i)*AE321*Ramure*Pc/MaxiM</f>
        <v>1.8471830928271369E-3</v>
      </c>
      <c r="AE321" s="305">
        <f t="shared" si="112"/>
        <v>0.7</v>
      </c>
      <c r="AF321" s="177">
        <f t="shared" si="113"/>
        <v>0.49896470544907923</v>
      </c>
      <c r="AG321" s="919">
        <f t="shared" si="119"/>
        <v>0</v>
      </c>
      <c r="AH321" s="176">
        <f t="shared" si="114"/>
        <v>6</v>
      </c>
      <c r="AI321" s="225">
        <f t="shared" si="115"/>
        <v>0.49896470544907923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44869</v>
      </c>
      <c r="B322" s="618">
        <v>11.505000000000001</v>
      </c>
      <c r="C322" s="953"/>
      <c r="D322" s="393">
        <f t="shared" si="98"/>
        <v>11.92212224557921</v>
      </c>
      <c r="E322" s="385">
        <f t="shared" si="120"/>
        <v>13.119038462568192</v>
      </c>
      <c r="F322" s="385">
        <f t="shared" si="99"/>
        <v>13.121229664349208</v>
      </c>
      <c r="G322" s="110">
        <f t="shared" si="121"/>
        <v>0.36212550451539571</v>
      </c>
      <c r="H322" s="412" t="b">
        <f>Wh_hp&gt;='2021'!Maxi_hp</f>
        <v>0</v>
      </c>
      <c r="I322" s="380">
        <f>IF(H322,Wh_hp,'2021'!Maxi_hp)</f>
        <v>29.822160701304174</v>
      </c>
      <c r="J322" s="85">
        <f>IF(H322,An,'2021'!An_max)</f>
        <v>2018</v>
      </c>
      <c r="K322" s="197">
        <f t="shared" si="100"/>
        <v>44869</v>
      </c>
      <c r="L322" s="147">
        <f>IF(t&lt;Tvie,1-EXP((T0-t)*PertePVj)+'2021'!Pspv,1-EXP((T0-t)*PertePVj)+Pspv)</f>
        <v>3.4987247822750756E-2</v>
      </c>
      <c r="M322" s="957"/>
      <c r="N322" s="957"/>
      <c r="O322" s="48">
        <f>IF(t&lt;Tnet,'2021'!Resal+('2021'!Salim-'2021'!Resal)*(1-EXP(('2021'!Tnet-t)/('2021'!Tau_j))),Resal+(Salim-Resal)*(1-EXP((Tnet-t)/(Tau_j))))*Salcycl</f>
        <v>9.1235056624315386E-2</v>
      </c>
      <c r="P322" s="339">
        <f>(INDEX(Models!$BJ322:$BT322,,T322)*(1-R322)+INDEX(Models!$BJ322:$BT322,,T322+1)*R322-ERP_i)*Q322*Ramure*Pc/MaxiM</f>
        <v>1.8631818658664506E-3</v>
      </c>
      <c r="Q322" s="305">
        <f t="shared" si="101"/>
        <v>0.7</v>
      </c>
      <c r="R322" s="177">
        <f t="shared" si="102"/>
        <v>0.49901445039925157</v>
      </c>
      <c r="S322" s="919">
        <f t="shared" si="103"/>
        <v>0</v>
      </c>
      <c r="T322" s="176">
        <f t="shared" si="104"/>
        <v>6</v>
      </c>
      <c r="U322" s="251">
        <f t="shared" si="105"/>
        <v>0.49901445039925157</v>
      </c>
      <c r="V322" s="383">
        <f t="shared" si="106"/>
        <v>31.716855031732987</v>
      </c>
      <c r="W322" s="402"/>
      <c r="X322" s="157">
        <f t="shared" si="107"/>
        <v>44869</v>
      </c>
      <c r="Y322" s="385">
        <f t="shared" si="108"/>
        <v>11.027682943996199</v>
      </c>
      <c r="Z322" s="385">
        <f t="shared" si="109"/>
        <v>11.427499708284357</v>
      </c>
      <c r="AA322" s="386">
        <f t="shared" si="110"/>
        <v>13.119038462568192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0.12893770828633569</v>
      </c>
      <c r="AD322" s="231">
        <f>(INDEX(Models!$BJ322:$BT322,,AH322)*(1-AF322)+INDEX(Models!$BJ322:$BT322,,AH322+1)*AF322-ERP_i)*AE322*Ramure*Pc/MaxiM</f>
        <v>1.8631818658664506E-3</v>
      </c>
      <c r="AE322" s="305">
        <f t="shared" si="112"/>
        <v>0.7</v>
      </c>
      <c r="AF322" s="177">
        <f t="shared" si="113"/>
        <v>0.49901445039925157</v>
      </c>
      <c r="AG322" s="919">
        <f t="shared" si="119"/>
        <v>0</v>
      </c>
      <c r="AH322" s="176">
        <f t="shared" si="114"/>
        <v>6</v>
      </c>
      <c r="AI322" s="225">
        <f t="shared" si="115"/>
        <v>0.49901445039925157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44870</v>
      </c>
      <c r="B323" s="618">
        <v>30.227</v>
      </c>
      <c r="C323" s="953"/>
      <c r="D323" s="393">
        <f t="shared" si="98"/>
        <v>31.323588206660666</v>
      </c>
      <c r="E323" s="385">
        <f t="shared" si="120"/>
        <v>34.471518436898556</v>
      </c>
      <c r="F323" s="385">
        <f t="shared" si="99"/>
        <v>34.533091978208354</v>
      </c>
      <c r="G323" s="110">
        <f t="shared" si="121"/>
        <v>0.96216745463540865</v>
      </c>
      <c r="H323" s="412" t="b">
        <f>Wh_hp&gt;='2021'!Maxi_hp</f>
        <v>1</v>
      </c>
      <c r="I323" s="380">
        <f>IF(H323,Wh_hp,'2021'!Maxi_hp)</f>
        <v>34.533091978208354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3.5008384078663357E-2</v>
      </c>
      <c r="M323" s="957"/>
      <c r="N323" s="957"/>
      <c r="O323" s="48">
        <f>IF(t&lt;Tnet,'2021'!Resal+('2021'!Salim-'2021'!Resal)*(1-EXP(('2021'!Tnet-t)/('2021'!Tau_j))),Resal+(Salim-Resal)*(1-EXP((Tnet-t)/(Tau_j))))*Salcycl</f>
        <v>9.1319743747299606E-2</v>
      </c>
      <c r="P323" s="339">
        <f>(INDEX(Models!$BJ323:$BT323,,T323)*(1-R323)+INDEX(Models!$BJ323:$BT323,,T323+1)*R323-ERP_i)*Q323*Ramure*Pc/MaxiM</f>
        <v>1.8846236980045298E-3</v>
      </c>
      <c r="Q323" s="305">
        <f t="shared" si="101"/>
        <v>0.7</v>
      </c>
      <c r="R323" s="177">
        <f t="shared" si="102"/>
        <v>0.499062201789641</v>
      </c>
      <c r="S323" s="919">
        <f t="shared" si="103"/>
        <v>0</v>
      </c>
      <c r="T323" s="176">
        <f t="shared" si="104"/>
        <v>6</v>
      </c>
      <c r="U323" s="251">
        <f t="shared" si="105"/>
        <v>0.499062201789641</v>
      </c>
      <c r="V323" s="383">
        <f t="shared" si="106"/>
        <v>31.412332124181656</v>
      </c>
      <c r="W323" s="402"/>
      <c r="X323" s="157">
        <f t="shared" si="107"/>
        <v>44870</v>
      </c>
      <c r="Y323" s="385">
        <f t="shared" si="108"/>
        <v>28.97573248053045</v>
      </c>
      <c r="Z323" s="385">
        <f t="shared" si="109"/>
        <v>30.026926661808915</v>
      </c>
      <c r="AA323" s="386">
        <f t="shared" si="110"/>
        <v>34.471518436898556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0.12893518987930977</v>
      </c>
      <c r="AD323" s="231">
        <f>(INDEX(Models!$BJ323:$BT323,,AH323)*(1-AF323)+INDEX(Models!$BJ323:$BT323,,AH323+1)*AF323-ERP_i)*AE323*Ramure*Pc/MaxiM</f>
        <v>1.8846236980045298E-3</v>
      </c>
      <c r="AE323" s="305">
        <f t="shared" si="112"/>
        <v>0.7</v>
      </c>
      <c r="AF323" s="177">
        <f t="shared" si="113"/>
        <v>0.499062201789641</v>
      </c>
      <c r="AG323" s="919">
        <f t="shared" si="119"/>
        <v>0</v>
      </c>
      <c r="AH323" s="176">
        <f t="shared" si="114"/>
        <v>6</v>
      </c>
      <c r="AI323" s="225">
        <f t="shared" si="115"/>
        <v>0.499062201789641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44871</v>
      </c>
      <c r="B324" s="618">
        <v>29.874000000000002</v>
      </c>
      <c r="C324" s="953"/>
      <c r="D324" s="393">
        <f t="shared" si="98"/>
        <v>30.958459989393774</v>
      </c>
      <c r="E324" s="385">
        <f t="shared" si="120"/>
        <v>34.072867330666092</v>
      </c>
      <c r="F324" s="385">
        <f t="shared" si="99"/>
        <v>34.134579731767737</v>
      </c>
      <c r="G324" s="110">
        <f t="shared" si="121"/>
        <v>0.96022697789095213</v>
      </c>
      <c r="H324" s="412" t="b">
        <f>Wh_hp&gt;='2021'!Maxi_hp</f>
        <v>1</v>
      </c>
      <c r="I324" s="380">
        <f>IF(H324,Wh_hp,'2021'!Maxi_hp)</f>
        <v>34.134579731767737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3.5029519871637715E-2</v>
      </c>
      <c r="M324" s="957"/>
      <c r="N324" s="957"/>
      <c r="O324" s="48">
        <f>IF(t&lt;Tnet,'2021'!Resal+('2021'!Salim-'2021'!Resal)*(1-EXP(('2021'!Tnet-t)/('2021'!Tau_j))),Resal+(Salim-Resal)*(1-EXP((Tnet-t)/(Tau_j))))*Salcycl</f>
        <v>9.1404322126694165E-2</v>
      </c>
      <c r="P324" s="339">
        <f>(INDEX(Models!$BJ324:$BT324,,T324)*(1-R324)+INDEX(Models!$BJ324:$BT324,,T324+1)*R324-ERP_i)*Q324*Ramure*Pc/MaxiM</f>
        <v>1.9165225389549138E-3</v>
      </c>
      <c r="Q324" s="305">
        <f t="shared" si="101"/>
        <v>0.7</v>
      </c>
      <c r="R324" s="177">
        <f t="shared" si="102"/>
        <v>0.49910803915411017</v>
      </c>
      <c r="S324" s="919">
        <f t="shared" si="103"/>
        <v>0</v>
      </c>
      <c r="T324" s="176">
        <f t="shared" si="104"/>
        <v>6</v>
      </c>
      <c r="U324" s="251">
        <f t="shared" si="105"/>
        <v>0.49910803915411017</v>
      </c>
      <c r="V324" s="383">
        <f t="shared" si="106"/>
        <v>31.108009100169319</v>
      </c>
      <c r="W324" s="402"/>
      <c r="X324" s="157">
        <f t="shared" si="107"/>
        <v>44871</v>
      </c>
      <c r="Y324" s="385">
        <f t="shared" si="108"/>
        <v>28.640086682639581</v>
      </c>
      <c r="Z324" s="385">
        <f t="shared" si="109"/>
        <v>29.679754222978737</v>
      </c>
      <c r="AA324" s="386">
        <f t="shared" si="110"/>
        <v>34.072867330666092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0.1289328856610048</v>
      </c>
      <c r="AD324" s="231">
        <f>(INDEX(Models!$BJ324:$BT324,,AH324)*(1-AF324)+INDEX(Models!$BJ324:$BT324,,AH324+1)*AF324-ERP_i)*AE324*Ramure*Pc/MaxiM</f>
        <v>1.9165225389549138E-3</v>
      </c>
      <c r="AE324" s="305">
        <f t="shared" si="112"/>
        <v>0.7</v>
      </c>
      <c r="AF324" s="177">
        <f t="shared" si="113"/>
        <v>0.49910803915411017</v>
      </c>
      <c r="AG324" s="919">
        <f t="shared" si="119"/>
        <v>0</v>
      </c>
      <c r="AH324" s="176">
        <f t="shared" si="114"/>
        <v>6</v>
      </c>
      <c r="AI324" s="225">
        <f t="shared" si="115"/>
        <v>0.49910803915411017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44872</v>
      </c>
      <c r="B325" s="618">
        <v>28.556000000000001</v>
      </c>
      <c r="C325" s="953"/>
      <c r="D325" s="393">
        <f t="shared" si="98"/>
        <v>29.593263267066614</v>
      </c>
      <c r="E325" s="385">
        <f t="shared" si="120"/>
        <v>32.573364166692791</v>
      </c>
      <c r="F325" s="385">
        <f t="shared" si="99"/>
        <v>32.630609215696907</v>
      </c>
      <c r="G325" s="110">
        <f t="shared" si="121"/>
        <v>0.92679608058359209</v>
      </c>
      <c r="H325" s="412" t="b">
        <f>Wh_hp&gt;='2021'!Maxi_hp</f>
        <v>1</v>
      </c>
      <c r="I325" s="380">
        <f>IF(H325,Wh_hp,'2021'!Maxi_hp)</f>
        <v>32.630609215696907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3.5050655201684044E-2</v>
      </c>
      <c r="M325" s="957"/>
      <c r="N325" s="957"/>
      <c r="O325" s="48">
        <f>IF(t&lt;Tnet,'2021'!Resal+('2021'!Salim-'2021'!Resal)*(1-EXP(('2021'!Tnet-t)/('2021'!Tau_j))),Resal+(Salim-Resal)*(1-EXP((Tnet-t)/(Tau_j))))*Salcycl</f>
        <v>9.148888903140738E-2</v>
      </c>
      <c r="P325" s="339">
        <f>(INDEX(Models!$BJ325:$BT325,,T325)*(1-R325)+INDEX(Models!$BJ325:$BT325,,T325+1)*R325-ERP_i)*Q325*Ramure*Pc/MaxiM</f>
        <v>1.9586330947792383E-3</v>
      </c>
      <c r="Q325" s="305">
        <f t="shared" si="101"/>
        <v>0.7</v>
      </c>
      <c r="R325" s="177">
        <f t="shared" si="102"/>
        <v>0.49915203888178128</v>
      </c>
      <c r="S325" s="919">
        <f t="shared" si="103"/>
        <v>0</v>
      </c>
      <c r="T325" s="176">
        <f t="shared" si="104"/>
        <v>6</v>
      </c>
      <c r="U325" s="251">
        <f t="shared" si="105"/>
        <v>0.49915203888178128</v>
      </c>
      <c r="V325" s="383">
        <f t="shared" si="106"/>
        <v>30.805218574665631</v>
      </c>
      <c r="W325" s="402"/>
      <c r="X325" s="157">
        <f t="shared" si="107"/>
        <v>44872</v>
      </c>
      <c r="Y325" s="385">
        <f t="shared" si="108"/>
        <v>27.379134987739366</v>
      </c>
      <c r="Z325" s="385">
        <f t="shared" si="109"/>
        <v>28.373650011091389</v>
      </c>
      <c r="AA325" s="386">
        <f t="shared" si="110"/>
        <v>32.573364166692791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0.12893093062508212</v>
      </c>
      <c r="AD325" s="231">
        <f>(INDEX(Models!$BJ325:$BT325,,AH325)*(1-AF325)+INDEX(Models!$BJ325:$BT325,,AH325+1)*AF325-ERP_i)*AE325*Ramure*Pc/MaxiM</f>
        <v>1.9586330947792383E-3</v>
      </c>
      <c r="AE325" s="305">
        <f t="shared" si="112"/>
        <v>0.7</v>
      </c>
      <c r="AF325" s="177">
        <f t="shared" si="113"/>
        <v>0.49915203888178128</v>
      </c>
      <c r="AG325" s="919">
        <f t="shared" si="119"/>
        <v>0</v>
      </c>
      <c r="AH325" s="176">
        <f t="shared" si="114"/>
        <v>6</v>
      </c>
      <c r="AI325" s="225">
        <f t="shared" si="115"/>
        <v>0.49915203888178128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44873</v>
      </c>
      <c r="B326" s="618">
        <v>19.535</v>
      </c>
      <c r="C326" s="953"/>
      <c r="D326" s="393">
        <f t="shared" si="98"/>
        <v>20.245029421818963</v>
      </c>
      <c r="E326" s="385">
        <f t="shared" si="120"/>
        <v>22.285820969196507</v>
      </c>
      <c r="F326" s="385">
        <f t="shared" si="99"/>
        <v>22.30763453514459</v>
      </c>
      <c r="G326" s="110">
        <f t="shared" si="121"/>
        <v>0.63971862028074244</v>
      </c>
      <c r="H326" s="412" t="b">
        <f>Wh_hp&gt;='2021'!Maxi_hp</f>
        <v>0</v>
      </c>
      <c r="I326" s="380">
        <f>IF(H326,Wh_hp,'2021'!Maxi_hp)</f>
        <v>27.419796880522092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3.5071790068812336E-2</v>
      </c>
      <c r="M326" s="957"/>
      <c r="N326" s="957"/>
      <c r="O326" s="48">
        <f>IF(t&lt;Tnet,'2021'!Resal+('2021'!Salim-'2021'!Resal)*(1-EXP(('2021'!Tnet-t)/('2021'!Tau_j))),Resal+(Salim-Resal)*(1-EXP((Tnet-t)/(Tau_j))))*Salcycl</f>
        <v>9.1573541320211102E-2</v>
      </c>
      <c r="P326" s="339">
        <f>(INDEX(Models!$BJ326:$BT326,,T326)*(1-R326)+INDEX(Models!$BJ326:$BT326,,T326+1)*R326-ERP_i)*Q326*Ramure*Pc/MaxiM</f>
        <v>2.0109721561548232E-3</v>
      </c>
      <c r="Q326" s="305">
        <f t="shared" si="101"/>
        <v>0.7</v>
      </c>
      <c r="R326" s="177">
        <f t="shared" si="102"/>
        <v>0.49919427433914731</v>
      </c>
      <c r="S326" s="919">
        <f t="shared" si="103"/>
        <v>0</v>
      </c>
      <c r="T326" s="176">
        <f t="shared" si="104"/>
        <v>6</v>
      </c>
      <c r="U326" s="251">
        <f t="shared" si="105"/>
        <v>0.49919427433914731</v>
      </c>
      <c r="V326" s="383">
        <f t="shared" si="106"/>
        <v>30.505284082004213</v>
      </c>
      <c r="W326" s="402"/>
      <c r="X326" s="157">
        <f t="shared" si="107"/>
        <v>44873</v>
      </c>
      <c r="Y326" s="385">
        <f t="shared" si="108"/>
        <v>18.731690234062121</v>
      </c>
      <c r="Z326" s="385">
        <f t="shared" si="109"/>
        <v>19.412522135090175</v>
      </c>
      <c r="AA326" s="386">
        <f t="shared" si="110"/>
        <v>22.285820969196507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0.12892945869383995</v>
      </c>
      <c r="AD326" s="231">
        <f>(INDEX(Models!$BJ326:$BT326,,AH326)*(1-AF326)+INDEX(Models!$BJ326:$BT326,,AH326+1)*AF326-ERP_i)*AE326*Ramure*Pc/MaxiM</f>
        <v>2.0109721561548232E-3</v>
      </c>
      <c r="AE326" s="305">
        <f t="shared" si="112"/>
        <v>0.7</v>
      </c>
      <c r="AF326" s="177">
        <f t="shared" si="113"/>
        <v>0.49919427433914731</v>
      </c>
      <c r="AG326" s="919">
        <f t="shared" si="119"/>
        <v>0</v>
      </c>
      <c r="AH326" s="176">
        <f t="shared" si="114"/>
        <v>6</v>
      </c>
      <c r="AI326" s="225">
        <f t="shared" si="115"/>
        <v>0.49919427433914731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44874</v>
      </c>
      <c r="B327" s="618">
        <v>10.333</v>
      </c>
      <c r="C327" s="953"/>
      <c r="D327" s="393">
        <f t="shared" si="98"/>
        <v>10.708803222690447</v>
      </c>
      <c r="E327" s="385">
        <f t="shared" si="120"/>
        <v>11.789400516183109</v>
      </c>
      <c r="F327" s="385">
        <f t="shared" si="99"/>
        <v>11.790869002146819</v>
      </c>
      <c r="G327" s="110">
        <f t="shared" si="121"/>
        <v>0.34137766906262274</v>
      </c>
      <c r="H327" s="412" t="b">
        <f>Wh_hp&gt;='2021'!Maxi_hp</f>
        <v>0</v>
      </c>
      <c r="I327" s="380">
        <f>IF(H327,Wh_hp,'2021'!Maxi_hp)</f>
        <v>26.175340990445164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3.5092924473032805E-2</v>
      </c>
      <c r="M327" s="957"/>
      <c r="N327" s="957"/>
      <c r="O327" s="48">
        <f>IF(t&lt;Tnet,'2021'!Resal+('2021'!Salim-'2021'!Resal)*(1-EXP(('2021'!Tnet-t)/('2021'!Tau_j))),Resal+(Salim-Resal)*(1-EXP((Tnet-t)/(Tau_j))))*Salcycl</f>
        <v>9.165837499619639E-2</v>
      </c>
      <c r="P327" s="339">
        <f>(INDEX(Models!$BJ327:$BT327,,T327)*(1-R327)+INDEX(Models!$BJ327:$BT327,,T327+1)*R327-ERP_i)*Q327*Ramure*Pc/MaxiM</f>
        <v>2.0735470369831486E-3</v>
      </c>
      <c r="Q327" s="305">
        <f t="shared" si="101"/>
        <v>0.7</v>
      </c>
      <c r="R327" s="177">
        <f t="shared" si="102"/>
        <v>0.49923481598761682</v>
      </c>
      <c r="S327" s="919">
        <f t="shared" si="103"/>
        <v>0</v>
      </c>
      <c r="T327" s="176">
        <f t="shared" si="104"/>
        <v>6</v>
      </c>
      <c r="U327" s="251">
        <f t="shared" si="105"/>
        <v>0.49923481598761682</v>
      </c>
      <c r="V327" s="383">
        <f t="shared" si="106"/>
        <v>30.209528569643759</v>
      </c>
      <c r="W327" s="402"/>
      <c r="X327" s="157">
        <f t="shared" si="107"/>
        <v>44874</v>
      </c>
      <c r="Y327" s="385">
        <f t="shared" si="108"/>
        <v>9.9090259729772203</v>
      </c>
      <c r="Z327" s="385">
        <f t="shared" si="109"/>
        <v>10.269409588032691</v>
      </c>
      <c r="AA327" s="386">
        <f t="shared" si="110"/>
        <v>11.789400516183109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0.12892860210016205</v>
      </c>
      <c r="AD327" s="231">
        <f>(INDEX(Models!$BJ327:$BT327,,AH327)*(1-AF327)+INDEX(Models!$BJ327:$BT327,,AH327+1)*AF327-ERP_i)*AE327*Ramure*Pc/MaxiM</f>
        <v>2.0735470369831486E-3</v>
      </c>
      <c r="AE327" s="305">
        <f t="shared" si="112"/>
        <v>0.7</v>
      </c>
      <c r="AF327" s="177">
        <f t="shared" si="113"/>
        <v>0.49923481598761682</v>
      </c>
      <c r="AG327" s="919">
        <f t="shared" si="119"/>
        <v>0</v>
      </c>
      <c r="AH327" s="176">
        <f t="shared" si="114"/>
        <v>6</v>
      </c>
      <c r="AI327" s="225">
        <f t="shared" si="115"/>
        <v>0.49923481598761682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44875</v>
      </c>
      <c r="B328" s="618">
        <v>23.045999999999999</v>
      </c>
      <c r="C328" s="953"/>
      <c r="D328" s="393">
        <f t="shared" si="98"/>
        <v>23.884688341636917</v>
      </c>
      <c r="E328" s="385">
        <f t="shared" si="120"/>
        <v>26.297293706064991</v>
      </c>
      <c r="F328" s="385">
        <f t="shared" si="99"/>
        <v>26.335268053066518</v>
      </c>
      <c r="G328" s="110">
        <f t="shared" si="121"/>
        <v>0.76972933283443656</v>
      </c>
      <c r="H328" s="412" t="b">
        <f>Wh_hp&gt;='2021'!Maxi_hp</f>
        <v>1</v>
      </c>
      <c r="I328" s="380">
        <f>IF(H328,Wh_hp,'2021'!Maxi_hp)</f>
        <v>26.335268053066518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3.5114058414355553E-2</v>
      </c>
      <c r="M328" s="957"/>
      <c r="N328" s="957"/>
      <c r="O328" s="48">
        <f>IF(t&lt;Tnet,'2021'!Resal+('2021'!Salim-'2021'!Resal)*(1-EXP(('2021'!Tnet-t)/('2021'!Tau_j))),Resal+(Salim-Resal)*(1-EXP((Tnet-t)/(Tau_j))))*Salcycl</f>
        <v>9.1743484762907349E-2</v>
      </c>
      <c r="P328" s="339">
        <f>(INDEX(Models!$BJ328:$BT328,,T328)*(1-R328)+INDEX(Models!$BJ328:$BT328,,T328+1)*R328-ERP_i)*Q328*Ramure*Pc/MaxiM</f>
        <v>2.1463515242987584E-3</v>
      </c>
      <c r="Q328" s="305">
        <f t="shared" si="101"/>
        <v>0.7</v>
      </c>
      <c r="R328" s="177">
        <f t="shared" si="102"/>
        <v>0.499273731496652</v>
      </c>
      <c r="S328" s="919">
        <f t="shared" si="103"/>
        <v>0</v>
      </c>
      <c r="T328" s="176">
        <f t="shared" si="104"/>
        <v>6</v>
      </c>
      <c r="U328" s="251">
        <f t="shared" si="105"/>
        <v>0.499273731496652</v>
      </c>
      <c r="V328" s="383">
        <f t="shared" si="106"/>
        <v>29.919274373050001</v>
      </c>
      <c r="W328" s="402"/>
      <c r="X328" s="157">
        <f t="shared" si="107"/>
        <v>44875</v>
      </c>
      <c r="Y328" s="385">
        <f t="shared" si="108"/>
        <v>22.102471785027102</v>
      </c>
      <c r="Z328" s="385">
        <f t="shared" si="109"/>
        <v>22.906823317070021</v>
      </c>
      <c r="AA328" s="386">
        <f t="shared" si="110"/>
        <v>26.297293706064991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0.12892849077519405</v>
      </c>
      <c r="AD328" s="231">
        <f>(INDEX(Models!$BJ328:$BT328,,AH328)*(1-AF328)+INDEX(Models!$BJ328:$BT328,,AH328+1)*AF328-ERP_i)*AE328*Ramure*Pc/MaxiM</f>
        <v>2.1463515242987584E-3</v>
      </c>
      <c r="AE328" s="305">
        <f t="shared" si="112"/>
        <v>0.7</v>
      </c>
      <c r="AF328" s="177">
        <f t="shared" si="113"/>
        <v>0.499273731496652</v>
      </c>
      <c r="AG328" s="919">
        <f t="shared" si="119"/>
        <v>0</v>
      </c>
      <c r="AH328" s="176">
        <f t="shared" si="114"/>
        <v>6</v>
      </c>
      <c r="AI328" s="225">
        <f t="shared" si="115"/>
        <v>0.499273731496652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44876</v>
      </c>
      <c r="B329" s="618">
        <v>28.725000000000001</v>
      </c>
      <c r="C329" s="953"/>
      <c r="D329" s="393">
        <f t="shared" si="98"/>
        <v>29.771010154624975</v>
      </c>
      <c r="E329" s="385">
        <f t="shared" si="120"/>
        <v>32.781281235476754</v>
      </c>
      <c r="F329" s="385">
        <f t="shared" si="99"/>
        <v>32.851303072778975</v>
      </c>
      <c r="G329" s="110">
        <f t="shared" si="121"/>
        <v>0.96917040970945856</v>
      </c>
      <c r="H329" s="412" t="b">
        <f>Wh_hp&gt;='2021'!Maxi_hp</f>
        <v>1</v>
      </c>
      <c r="I329" s="380">
        <f>IF(H329,Wh_hp,'2021'!Maxi_hp)</f>
        <v>32.851303072778975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3.5135191892790796E-2</v>
      </c>
      <c r="M329" s="957"/>
      <c r="N329" s="957"/>
      <c r="O329" s="48">
        <f>IF(t&lt;Tnet,'2021'!Resal+('2021'!Salim-'2021'!Resal)*(1-EXP(('2021'!Tnet-t)/('2021'!Tau_j))),Resal+(Salim-Resal)*(1-EXP((Tnet-t)/(Tau_j))))*Salcycl</f>
        <v>9.1828963585291162E-2</v>
      </c>
      <c r="P329" s="339">
        <f>(INDEX(Models!$BJ329:$BT329,,T329)*(1-R329)+INDEX(Models!$BJ329:$BT329,,T329+1)*R329-ERP_i)*Q329*Ramure*Pc/MaxiM</f>
        <v>2.2293615743824184E-3</v>
      </c>
      <c r="Q329" s="305">
        <f t="shared" si="101"/>
        <v>0.7</v>
      </c>
      <c r="R329" s="177">
        <f t="shared" si="102"/>
        <v>0.49931108585264911</v>
      </c>
      <c r="S329" s="919">
        <f t="shared" si="103"/>
        <v>0</v>
      </c>
      <c r="T329" s="176">
        <f t="shared" si="104"/>
        <v>6</v>
      </c>
      <c r="U329" s="251">
        <f t="shared" si="105"/>
        <v>0.49931108585264911</v>
      </c>
      <c r="V329" s="383">
        <f t="shared" si="106"/>
        <v>29.635843198767081</v>
      </c>
      <c r="W329" s="402"/>
      <c r="X329" s="157">
        <f t="shared" si="107"/>
        <v>44876</v>
      </c>
      <c r="Y329" s="385">
        <f t="shared" si="108"/>
        <v>27.551536263889322</v>
      </c>
      <c r="Z329" s="385">
        <f t="shared" si="109"/>
        <v>28.554815174508864</v>
      </c>
      <c r="AA329" s="386">
        <f t="shared" si="110"/>
        <v>32.781281235476754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0.12892925174608186</v>
      </c>
      <c r="AD329" s="231">
        <f>(INDEX(Models!$BJ329:$BT329,,AH329)*(1-AF329)+INDEX(Models!$BJ329:$BT329,,AH329+1)*AF329-ERP_i)*AE329*Ramure*Pc/MaxiM</f>
        <v>2.2293615743824184E-3</v>
      </c>
      <c r="AE329" s="305">
        <f t="shared" si="112"/>
        <v>0.7</v>
      </c>
      <c r="AF329" s="177">
        <f t="shared" si="113"/>
        <v>0.49931108585264911</v>
      </c>
      <c r="AG329" s="919">
        <f t="shared" si="119"/>
        <v>0</v>
      </c>
      <c r="AH329" s="176">
        <f t="shared" si="114"/>
        <v>6</v>
      </c>
      <c r="AI329" s="225">
        <f t="shared" si="115"/>
        <v>0.49931108585264911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44877</v>
      </c>
      <c r="B330" s="618">
        <v>27.428000000000001</v>
      </c>
      <c r="C330" s="953"/>
      <c r="D330" s="393">
        <f t="shared" si="98"/>
        <v>28.427403016757701</v>
      </c>
      <c r="E330" s="385">
        <f t="shared" si="120"/>
        <v>31.304778690303618</v>
      </c>
      <c r="F330" s="385">
        <f t="shared" si="99"/>
        <v>31.370787266100173</v>
      </c>
      <c r="G330" s="110">
        <f t="shared" si="121"/>
        <v>0.93397404668237283</v>
      </c>
      <c r="H330" s="412" t="b">
        <f>Wh_hp&gt;='2021'!Maxi_hp</f>
        <v>0</v>
      </c>
      <c r="I330" s="380">
        <f>IF(H330,Wh_hp,'2021'!Maxi_hp)</f>
        <v>32.840746587016881</v>
      </c>
      <c r="J330" s="85">
        <f>IF(H330,An,'2021'!An_max)</f>
        <v>2020</v>
      </c>
      <c r="K330" s="197">
        <f t="shared" si="100"/>
        <v>44877</v>
      </c>
      <c r="L330" s="147">
        <f>IF(t&lt;Tvie,1-EXP((T0-t)*PertePVj)+'2021'!Pspv,1-EXP((T0-t)*PertePVj)+Pspv)</f>
        <v>3.5156324908348524E-2</v>
      </c>
      <c r="M330" s="957"/>
      <c r="N330" s="957"/>
      <c r="O330" s="48">
        <f>IF(t&lt;Tnet,'2021'!Resal+('2021'!Salim-'2021'!Resal)*(1-EXP(('2021'!Tnet-t)/('2021'!Tau_j))),Resal+(Salim-Resal)*(1-EXP((Tnet-t)/(Tau_j))))*Salcycl</f>
        <v>9.1914902258585757E-2</v>
      </c>
      <c r="P330" s="339">
        <f>(INDEX(Models!$BJ330:$BT330,,T330)*(1-R330)+INDEX(Models!$BJ330:$BT330,,T330+1)*R330-ERP_i)*Q330*Ramure*Pc/MaxiM</f>
        <v>2.3225307691398856E-3</v>
      </c>
      <c r="Q330" s="305">
        <f t="shared" si="101"/>
        <v>0.7</v>
      </c>
      <c r="R330" s="177">
        <f t="shared" si="102"/>
        <v>0.49934694146371233</v>
      </c>
      <c r="S330" s="919">
        <f t="shared" si="103"/>
        <v>0</v>
      </c>
      <c r="T330" s="176">
        <f t="shared" si="104"/>
        <v>6</v>
      </c>
      <c r="U330" s="251">
        <f t="shared" si="105"/>
        <v>0.49934694146371233</v>
      </c>
      <c r="V330" s="383">
        <f t="shared" si="106"/>
        <v>29.360556095279041</v>
      </c>
      <c r="W330" s="402"/>
      <c r="X330" s="157">
        <f t="shared" si="107"/>
        <v>44877</v>
      </c>
      <c r="Y330" s="385">
        <f t="shared" si="108"/>
        <v>26.309957466505455</v>
      </c>
      <c r="Z330" s="385">
        <f t="shared" si="109"/>
        <v>27.268622001389236</v>
      </c>
      <c r="AA330" s="386">
        <f t="shared" si="110"/>
        <v>31.304778690303618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0.12893100854805103</v>
      </c>
      <c r="AD330" s="231">
        <f>(INDEX(Models!$BJ330:$BT330,,AH330)*(1-AF330)+INDEX(Models!$BJ330:$BT330,,AH330+1)*AF330-ERP_i)*AE330*Ramure*Pc/MaxiM</f>
        <v>2.3225307691398856E-3</v>
      </c>
      <c r="AE330" s="305">
        <f t="shared" si="112"/>
        <v>0.7</v>
      </c>
      <c r="AF330" s="177">
        <f t="shared" si="113"/>
        <v>0.49934694146371233</v>
      </c>
      <c r="AG330" s="919">
        <f t="shared" si="119"/>
        <v>0</v>
      </c>
      <c r="AH330" s="176">
        <f t="shared" si="114"/>
        <v>6</v>
      </c>
      <c r="AI330" s="225">
        <f t="shared" si="115"/>
        <v>0.49934694146371233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44878</v>
      </c>
      <c r="B331" s="618">
        <v>27.608000000000001</v>
      </c>
      <c r="C331" s="953"/>
      <c r="D331" s="393">
        <f t="shared" si="98"/>
        <v>28.61458846862002</v>
      </c>
      <c r="E331" s="385">
        <f t="shared" si="120"/>
        <v>31.513912159771984</v>
      </c>
      <c r="F331" s="385">
        <f t="shared" si="99"/>
        <v>31.584962137547372</v>
      </c>
      <c r="G331" s="110">
        <f t="shared" si="121"/>
        <v>0.94886661648000559</v>
      </c>
      <c r="H331" s="412" t="b">
        <f>Wh_hp&gt;='2021'!Maxi_hp</f>
        <v>1</v>
      </c>
      <c r="I331" s="380">
        <f>IF(H331,Wh_hp,'2021'!Maxi_hp)</f>
        <v>31.584962137547372</v>
      </c>
      <c r="J331" s="85">
        <f>IF(H331,An,'2021'!An_max)</f>
        <v>2022</v>
      </c>
      <c r="K331" s="197">
        <f t="shared" si="100"/>
        <v>44878</v>
      </c>
      <c r="L331" s="147">
        <f>IF(t&lt;Tvie,1-EXP((T0-t)*PertePVj)+'2021'!Pspv,1-EXP((T0-t)*PertePVj)+Pspv)</f>
        <v>3.5177457461039063E-2</v>
      </c>
      <c r="M331" s="957"/>
      <c r="N331" s="957"/>
      <c r="O331" s="48">
        <f>IF(t&lt;Tnet,'2021'!Resal+('2021'!Salim-'2021'!Resal)*(1-EXP(('2021'!Tnet-t)/('2021'!Tau_j))),Resal+(Salim-Resal)*(1-EXP((Tnet-t)/(Tau_j))))*Salcycl</f>
        <v>9.2001388988225866E-2</v>
      </c>
      <c r="P331" s="339">
        <f>(INDEX(Models!$BJ331:$BT331,,T331)*(1-R331)+INDEX(Models!$BJ331:$BT331,,T331+1)*R331-ERP_i)*Q331*Ramure*Pc/MaxiM</f>
        <v>2.4261282474399739E-3</v>
      </c>
      <c r="Q331" s="305">
        <f t="shared" si="101"/>
        <v>0.7</v>
      </c>
      <c r="R331" s="177">
        <f t="shared" si="102"/>
        <v>0.49938135826046304</v>
      </c>
      <c r="S331" s="919">
        <f t="shared" si="103"/>
        <v>0</v>
      </c>
      <c r="T331" s="176">
        <f t="shared" si="104"/>
        <v>6</v>
      </c>
      <c r="U331" s="251">
        <f t="shared" si="105"/>
        <v>0.49938135826046304</v>
      </c>
      <c r="V331" s="383">
        <f t="shared" si="106"/>
        <v>29.090613821009985</v>
      </c>
      <c r="W331" s="402"/>
      <c r="X331" s="157">
        <f t="shared" si="107"/>
        <v>44878</v>
      </c>
      <c r="Y331" s="385">
        <f t="shared" si="108"/>
        <v>26.485055297694036</v>
      </c>
      <c r="Z331" s="385">
        <f t="shared" si="109"/>
        <v>27.450701170391167</v>
      </c>
      <c r="AA331" s="386">
        <f t="shared" si="110"/>
        <v>31.513912159771984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0.12893388065501973</v>
      </c>
      <c r="AD331" s="231">
        <f>(INDEX(Models!$BJ331:$BT331,,AH331)*(1-AF331)+INDEX(Models!$BJ331:$BT331,,AH331+1)*AF331-ERP_i)*AE331*Ramure*Pc/MaxiM</f>
        <v>2.4261282474399739E-3</v>
      </c>
      <c r="AE331" s="305">
        <f t="shared" si="112"/>
        <v>0.7</v>
      </c>
      <c r="AF331" s="177">
        <f t="shared" si="113"/>
        <v>0.49938135826046304</v>
      </c>
      <c r="AG331" s="919">
        <f t="shared" si="119"/>
        <v>0</v>
      </c>
      <c r="AH331" s="176">
        <f t="shared" si="114"/>
        <v>6</v>
      </c>
      <c r="AI331" s="225">
        <f t="shared" si="115"/>
        <v>0.49938135826046304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44879</v>
      </c>
      <c r="B332" s="618">
        <v>10.319000000000001</v>
      </c>
      <c r="C332" s="953"/>
      <c r="D332" s="393">
        <f t="shared" si="98"/>
        <v>10.695465292900403</v>
      </c>
      <c r="E332" s="385">
        <f t="shared" si="120"/>
        <v>11.780295104458943</v>
      </c>
      <c r="F332" s="385">
        <f t="shared" si="99"/>
        <v>11.782776838486676</v>
      </c>
      <c r="G332" s="110">
        <f t="shared" si="121"/>
        <v>0.35718347604148121</v>
      </c>
      <c r="H332" s="412" t="b">
        <f>Wh_hp&gt;='2021'!Maxi_hp</f>
        <v>0</v>
      </c>
      <c r="I332" s="380">
        <f>IF(H332,Wh_hp,'2021'!Maxi_hp)</f>
        <v>20.754830581758107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3.5198589550872406E-2</v>
      </c>
      <c r="M332" s="957"/>
      <c r="N332" s="957"/>
      <c r="O332" s="48">
        <f>IF(t&lt;Tnet,'2021'!Resal+('2021'!Salim-'2021'!Resal)*(1-EXP(('2021'!Tnet-t)/('2021'!Tau_j))),Resal+(Salim-Resal)*(1-EXP((Tnet-t)/(Tau_j))))*Salcycl</f>
        <v>9.2088508983779377E-2</v>
      </c>
      <c r="P332" s="339">
        <f>(INDEX(Models!$BJ332:$BT332,,T332)*(1-R332)+INDEX(Models!$BJ332:$BT332,,T332+1)*R332-ERP_i)*Q332*Ramure*Pc/MaxiM</f>
        <v>2.5412214441035623E-3</v>
      </c>
      <c r="Q332" s="305">
        <f t="shared" si="101"/>
        <v>0.7</v>
      </c>
      <c r="R332" s="177">
        <f t="shared" si="102"/>
        <v>0.49941439379302471</v>
      </c>
      <c r="S332" s="919">
        <f t="shared" si="103"/>
        <v>0</v>
      </c>
      <c r="T332" s="176">
        <f t="shared" si="104"/>
        <v>6</v>
      </c>
      <c r="U332" s="251">
        <f t="shared" si="105"/>
        <v>0.49941439379302471</v>
      </c>
      <c r="V332" s="383">
        <f t="shared" si="106"/>
        <v>28.822569317173897</v>
      </c>
      <c r="W332" s="402"/>
      <c r="X332" s="157">
        <f t="shared" si="107"/>
        <v>44879</v>
      </c>
      <c r="Y332" s="385">
        <f t="shared" si="108"/>
        <v>9.9001819484138824</v>
      </c>
      <c r="Z332" s="385">
        <f t="shared" si="109"/>
        <v>10.261367615336734</v>
      </c>
      <c r="AA332" s="386">
        <f t="shared" si="110"/>
        <v>11.780295104458943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0.12893798293281147</v>
      </c>
      <c r="AD332" s="231">
        <f>(INDEX(Models!$BJ332:$BT332,,AH332)*(1-AF332)+INDEX(Models!$BJ332:$BT332,,AH332+1)*AF332-ERP_i)*AE332*Ramure*Pc/MaxiM</f>
        <v>2.5412214441035623E-3</v>
      </c>
      <c r="AE332" s="305">
        <f t="shared" si="112"/>
        <v>0.7</v>
      </c>
      <c r="AF332" s="177">
        <f t="shared" si="113"/>
        <v>0.49941439379302471</v>
      </c>
      <c r="AG332" s="919">
        <f t="shared" si="119"/>
        <v>0</v>
      </c>
      <c r="AH332" s="176">
        <f t="shared" si="114"/>
        <v>6</v>
      </c>
      <c r="AI332" s="225">
        <f t="shared" si="115"/>
        <v>0.49941439379302471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44880</v>
      </c>
      <c r="B333" s="618">
        <v>12.323</v>
      </c>
      <c r="C333" s="953"/>
      <c r="D333" s="393">
        <f t="shared" si="98"/>
        <v>12.772856442551483</v>
      </c>
      <c r="E333" s="385">
        <f t="shared" si="120"/>
        <v>14.069755022482017</v>
      </c>
      <c r="F333" s="385">
        <f t="shared" si="99"/>
        <v>14.07679795684628</v>
      </c>
      <c r="G333" s="110">
        <f t="shared" si="121"/>
        <v>0.43059007828028051</v>
      </c>
      <c r="H333" s="412" t="b">
        <f>Wh_hp&gt;='2021'!Maxi_hp</f>
        <v>0</v>
      </c>
      <c r="I333" s="380">
        <f>IF(H333,Wh_hp,'2021'!Maxi_hp)</f>
        <v>29.501536808911666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3.5219721177858876E-2</v>
      </c>
      <c r="M333" s="957"/>
      <c r="N333" s="957"/>
      <c r="O333" s="48">
        <f>IF(t&lt;Tnet,'2021'!Resal+('2021'!Salim-'2021'!Resal)*(1-EXP(('2021'!Tnet-t)/('2021'!Tau_j))),Resal+(Salim-Resal)*(1-EXP((Tnet-t)/(Tau_j))))*Salcycl</f>
        <v>9.2176344069830954E-2</v>
      </c>
      <c r="P333" s="339">
        <f>(INDEX(Models!$BJ333:$BT333,,T333)*(1-R333)+INDEX(Models!$BJ333:$BT333,,T333+1)*R333-ERP_i)*Q333*Ramure*Pc/MaxiM</f>
        <v>2.6628317181016082E-3</v>
      </c>
      <c r="Q333" s="305">
        <f t="shared" si="101"/>
        <v>0.7</v>
      </c>
      <c r="R333" s="177">
        <f t="shared" si="102"/>
        <v>0.49944610332431982</v>
      </c>
      <c r="S333" s="919">
        <f t="shared" si="103"/>
        <v>0</v>
      </c>
      <c r="T333" s="176">
        <f t="shared" si="104"/>
        <v>6</v>
      </c>
      <c r="U333" s="251">
        <f t="shared" si="105"/>
        <v>0.49944610332431982</v>
      </c>
      <c r="V333" s="383">
        <f t="shared" si="106"/>
        <v>28.556947026316138</v>
      </c>
      <c r="W333" s="402"/>
      <c r="X333" s="157">
        <f t="shared" si="107"/>
        <v>44880</v>
      </c>
      <c r="Y333" s="385">
        <f t="shared" si="108"/>
        <v>11.823915473167403</v>
      </c>
      <c r="Z333" s="385">
        <f t="shared" si="109"/>
        <v>12.255552619299717</v>
      </c>
      <c r="AA333" s="386">
        <f t="shared" si="110"/>
        <v>14.069755022482017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0.12894342511887324</v>
      </c>
      <c r="AD333" s="231">
        <f>(INDEX(Models!$BJ333:$BT333,,AH333)*(1-AF333)+INDEX(Models!$BJ333:$BT333,,AH333+1)*AF333-ERP_i)*AE333*Ramure*Pc/MaxiM</f>
        <v>2.6628317181016082E-3</v>
      </c>
      <c r="AE333" s="305">
        <f t="shared" si="112"/>
        <v>0.7</v>
      </c>
      <c r="AF333" s="177">
        <f t="shared" si="113"/>
        <v>0.49944610332431982</v>
      </c>
      <c r="AG333" s="919">
        <f t="shared" si="119"/>
        <v>0</v>
      </c>
      <c r="AH333" s="176">
        <f t="shared" si="114"/>
        <v>6</v>
      </c>
      <c r="AI333" s="225">
        <f t="shared" si="115"/>
        <v>0.49944610332431982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44881</v>
      </c>
      <c r="B334" s="618">
        <v>27.303000000000001</v>
      </c>
      <c r="C334" s="953"/>
      <c r="D334" s="393">
        <f t="shared" si="98"/>
        <v>28.300327668599571</v>
      </c>
      <c r="E334" s="385">
        <f t="shared" si="120"/>
        <v>31.176859772420812</v>
      </c>
      <c r="F334" s="385">
        <f t="shared" si="99"/>
        <v>31.259740180325817</v>
      </c>
      <c r="G334" s="110">
        <f t="shared" si="121"/>
        <v>0.96483557613770943</v>
      </c>
      <c r="H334" s="412" t="b">
        <f>Wh_hp&gt;='2021'!Maxi_hp</f>
        <v>1</v>
      </c>
      <c r="I334" s="380">
        <f>IF(H334,Wh_hp,'2021'!Maxi_hp)</f>
        <v>31.259740180325817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3.5240852342008355E-2</v>
      </c>
      <c r="M334" s="957"/>
      <c r="N334" s="957"/>
      <c r="O334" s="48">
        <f>IF(t&lt;Tnet,'2021'!Resal+('2021'!Salim-'2021'!Resal)*(1-EXP(('2021'!Tnet-t)/('2021'!Tau_j))),Resal+(Salim-Resal)*(1-EXP((Tnet-t)/(Tau_j))))*Salcycl</f>
        <v>9.22649723166101E-2</v>
      </c>
      <c r="P334" s="339">
        <f>(INDEX(Models!$BJ334:$BT334,,T334)*(1-R334)+INDEX(Models!$BJ334:$BT334,,T334+1)*R334-ERP_i)*Q334*Ramure*Pc/MaxiM</f>
        <v>2.7910141600801706E-3</v>
      </c>
      <c r="Q334" s="305">
        <f t="shared" si="101"/>
        <v>0.7</v>
      </c>
      <c r="R334" s="177">
        <f t="shared" si="102"/>
        <v>0.49947653991980939</v>
      </c>
      <c r="S334" s="919">
        <f t="shared" si="103"/>
        <v>0</v>
      </c>
      <c r="T334" s="176">
        <f t="shared" si="104"/>
        <v>6</v>
      </c>
      <c r="U334" s="251">
        <f t="shared" si="105"/>
        <v>0.49947653991980939</v>
      </c>
      <c r="V334" s="383">
        <f t="shared" si="106"/>
        <v>28.294123057028219</v>
      </c>
      <c r="W334" s="402"/>
      <c r="X334" s="157">
        <f t="shared" si="107"/>
        <v>44881</v>
      </c>
      <c r="Y334" s="385">
        <f t="shared" si="108"/>
        <v>26.199572479196739</v>
      </c>
      <c r="Z334" s="385">
        <f t="shared" si="109"/>
        <v>27.15659399840645</v>
      </c>
      <c r="AA334" s="386">
        <f t="shared" si="110"/>
        <v>31.176859772420812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0.12895031133221141</v>
      </c>
      <c r="AD334" s="231">
        <f>(INDEX(Models!$BJ334:$BT334,,AH334)*(1-AF334)+INDEX(Models!$BJ334:$BT334,,AH334+1)*AF334-ERP_i)*AE334*Ramure*Pc/MaxiM</f>
        <v>2.7910141600801706E-3</v>
      </c>
      <c r="AE334" s="305">
        <f t="shared" si="112"/>
        <v>0.7</v>
      </c>
      <c r="AF334" s="177">
        <f t="shared" si="113"/>
        <v>0.49947653991980939</v>
      </c>
      <c r="AG334" s="919">
        <f t="shared" si="119"/>
        <v>0</v>
      </c>
      <c r="AH334" s="176">
        <f t="shared" si="114"/>
        <v>6</v>
      </c>
      <c r="AI334" s="225">
        <f t="shared" si="115"/>
        <v>0.49947653991980939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44882</v>
      </c>
      <c r="B335" s="618">
        <v>14.588000000000001</v>
      </c>
      <c r="C335" s="953"/>
      <c r="D335" s="393">
        <f t="shared" ref="D335:D379" si="122">Wh/(1-Ppv)</f>
        <v>15.121203625849462</v>
      </c>
      <c r="E335" s="385">
        <f t="shared" si="120"/>
        <v>16.659811663938385</v>
      </c>
      <c r="F335" s="385">
        <f t="shared" ref="F335:F379" si="123">Wh_sa/(1-Pvg*MEDIAN((-Sdif+Wh/Env_an)/Csdif,0,1))</f>
        <v>16.67517026484051</v>
      </c>
      <c r="G335" s="110">
        <f t="shared" si="121"/>
        <v>0.51931517277755512</v>
      </c>
      <c r="H335" s="412" t="b">
        <f>Wh_hp&gt;='2021'!Maxi_hp</f>
        <v>0</v>
      </c>
      <c r="I335" s="380">
        <f>IF(H335,Wh_hp,'2021'!Maxi_hp)</f>
        <v>31.482813740825435</v>
      </c>
      <c r="J335" s="85">
        <f>IF(H335,An,'2021'!An_max)</f>
        <v>2018</v>
      </c>
      <c r="K335" s="197">
        <f t="shared" ref="K335:K379" si="124">t</f>
        <v>44882</v>
      </c>
      <c r="L335" s="147">
        <f>IF(t&lt;Tvie,1-EXP((T0-t)*PertePVj)+'2021'!Pspv,1-EXP((T0-t)*PertePVj)+Pspv)</f>
        <v>3.5261983043331169E-2</v>
      </c>
      <c r="M335" s="957"/>
      <c r="N335" s="957"/>
      <c r="O335" s="48">
        <f>IF(t&lt;Tnet,'2021'!Resal+('2021'!Salim-'2021'!Resal)*(1-EXP(('2021'!Tnet-t)/('2021'!Tau_j))),Resal+(Salim-Resal)*(1-EXP((Tnet-t)/(Tau_j))))*Salcycl</f>
        <v>9.2354467693015682E-2</v>
      </c>
      <c r="P335" s="339">
        <f>(INDEX(Models!$BJ335:$BT335,,T335)*(1-R335)+INDEX(Models!$BJ335:$BT335,,T335+1)*R335-ERP_i)*Q335*Ramure*Pc/MaxiM</f>
        <v>2.9258223838783746E-3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0.49950575453380364</v>
      </c>
      <c r="S335" s="919">
        <f t="shared" ref="S335:S379" si="127">INDEX(Echel_vg,T335)</f>
        <v>0</v>
      </c>
      <c r="T335" s="176">
        <f t="shared" ref="T335:T379" si="128">MIN(MATCH(Hp_vg,Echel_vg),10)</f>
        <v>6</v>
      </c>
      <c r="U335" s="251">
        <f t="shared" ref="U335:U379" si="129">IF(OR(t&lt;Ttai,Notai),Hdd+PousH*Croivg,Hdtf+PousH*(Croivg-Croi_tai))</f>
        <v>0.49950575453380364</v>
      </c>
      <c r="V335" s="383">
        <f t="shared" ref="V335:V379" si="130">MaxiM*(1-Ppv)*(1-Pvg)*(1-Psa)</f>
        <v>28.034473332584586</v>
      </c>
      <c r="W335" s="402"/>
      <c r="X335" s="157">
        <f t="shared" ref="X335:X379" si="131">t</f>
        <v>44882</v>
      </c>
      <c r="Y335" s="385">
        <f t="shared" ref="Y335:Y379" si="132">Wh_pvt_s*(1-Ppv)</f>
        <v>13.999683195894459</v>
      </c>
      <c r="Z335" s="385">
        <f t="shared" ref="Z335:Z379" si="133">Wh_sa_s*(1-Psa_s)</f>
        <v>14.511383349499798</v>
      </c>
      <c r="AA335" s="386">
        <f t="shared" ref="AA335:AA379" si="134">Wh_hp*(1-Pvg_s*MEDIAN((-Sdif+Wh/Env_an)/Csdif,0,1))</f>
        <v>16.659811663938385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0.12895873961702989</v>
      </c>
      <c r="AD335" s="231">
        <f>(INDEX(Models!$BJ335:$BT335,,AH335)*(1-AF335)+INDEX(Models!$BJ335:$BT335,,AH335+1)*AF335-ERP_i)*AE335*Ramure*Pc/MaxiM</f>
        <v>2.9258223838783746E-3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0.49950575453380364</v>
      </c>
      <c r="AG335" s="919">
        <f t="shared" si="119"/>
        <v>0</v>
      </c>
      <c r="AH335" s="176">
        <f t="shared" ref="AH335:AH379" si="138">MIN(MATCH(Hp_vg_s,Echel_vg),10)</f>
        <v>6</v>
      </c>
      <c r="AI335" s="225">
        <f t="shared" ref="AI335:AI379" si="139">IF(OR(t&lt;Ttai,Notai),Hdd_s+PousH*Croivg,Hdtai_s+PousH*(Croivg-Croi_tai))</f>
        <v>0.49950575453380364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44883</v>
      </c>
      <c r="B336" s="618">
        <v>13.319000000000001</v>
      </c>
      <c r="C336" s="953"/>
      <c r="D336" s="393">
        <f t="shared" si="122"/>
        <v>13.80612300185752</v>
      </c>
      <c r="E336" s="385">
        <f t="shared" si="120"/>
        <v>15.212435033389237</v>
      </c>
      <c r="F336" s="385">
        <f t="shared" si="123"/>
        <v>15.224407966224774</v>
      </c>
      <c r="G336" s="110">
        <f t="shared" si="121"/>
        <v>0.47837923404889138</v>
      </c>
      <c r="H336" s="412" t="b">
        <f>Wh_hp&gt;='2021'!Maxi_hp</f>
        <v>0</v>
      </c>
      <c r="I336" s="380">
        <f>IF(H336,Wh_hp,'2021'!Maxi_hp)</f>
        <v>29.94043779612808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3.5283113281837308E-2</v>
      </c>
      <c r="M336" s="957"/>
      <c r="N336" s="957"/>
      <c r="O336" s="48">
        <f>IF(t&lt;Tnet,'2021'!Resal+('2021'!Salim-'2021'!Resal)*(1-EXP(('2021'!Tnet-t)/('2021'!Tau_j))),Resal+(Salim-Resal)*(1-EXP((Tnet-t)/(Tau_j))))*Salcycl</f>
        <v>9.2444899744521636E-2</v>
      </c>
      <c r="P336" s="339">
        <f>(INDEX(Models!$BJ336:$BT336,,T336)*(1-R336)+INDEX(Models!$BJ336:$BT336,,T336+1)*R336-ERP_i)*Q336*Ramure*Pc/MaxiM</f>
        <v>3.067307519107837E-3</v>
      </c>
      <c r="Q336" s="305">
        <f t="shared" si="125"/>
        <v>0.7</v>
      </c>
      <c r="R336" s="177">
        <f t="shared" si="126"/>
        <v>0.49953379609246701</v>
      </c>
      <c r="S336" s="919">
        <f t="shared" si="127"/>
        <v>0</v>
      </c>
      <c r="T336" s="176">
        <f t="shared" si="128"/>
        <v>6</v>
      </c>
      <c r="U336" s="251">
        <f t="shared" si="129"/>
        <v>0.49953379609246701</v>
      </c>
      <c r="V336" s="383">
        <f t="shared" si="130"/>
        <v>27.778373596093186</v>
      </c>
      <c r="W336" s="402"/>
      <c r="X336" s="157">
        <f t="shared" si="131"/>
        <v>44883</v>
      </c>
      <c r="Y336" s="385">
        <f t="shared" si="132"/>
        <v>12.782986431617644</v>
      </c>
      <c r="Z336" s="385">
        <f t="shared" si="133"/>
        <v>13.250505518881967</v>
      </c>
      <c r="AA336" s="386">
        <f t="shared" si="134"/>
        <v>15.212435033389237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0.12896880152329987</v>
      </c>
      <c r="AD336" s="231">
        <f>(INDEX(Models!$BJ336:$BT336,,AH336)*(1-AF336)+INDEX(Models!$BJ336:$BT336,,AH336+1)*AF336-ERP_i)*AE336*Ramure*Pc/MaxiM</f>
        <v>3.067307519107837E-3</v>
      </c>
      <c r="AE336" s="305">
        <f t="shared" si="136"/>
        <v>0.7</v>
      </c>
      <c r="AF336" s="177">
        <f t="shared" si="137"/>
        <v>0.49953379609246701</v>
      </c>
      <c r="AG336" s="919">
        <f t="shared" ref="AG336:AG379" si="143">INDEX(Echel_vg,AH336)</f>
        <v>0</v>
      </c>
      <c r="AH336" s="176">
        <f t="shared" si="138"/>
        <v>6</v>
      </c>
      <c r="AI336" s="225">
        <f t="shared" si="139"/>
        <v>0.49953379609246701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44884</v>
      </c>
      <c r="B337" s="618">
        <v>5.7439999999999998</v>
      </c>
      <c r="C337" s="953"/>
      <c r="D337" s="393">
        <f t="shared" si="122"/>
        <v>5.9542088359600687</v>
      </c>
      <c r="E337" s="385">
        <f t="shared" si="120"/>
        <v>6.5613743606960933</v>
      </c>
      <c r="F337" s="385">
        <f t="shared" si="123"/>
        <v>6.5613743606960933</v>
      </c>
      <c r="G337" s="110">
        <f t="shared" si="121"/>
        <v>0.20800292793826811</v>
      </c>
      <c r="H337" s="412" t="b">
        <f>Wh_hp&gt;='2021'!Maxi_hp</f>
        <v>0</v>
      </c>
      <c r="I337" s="380">
        <f>IF(H337,Wh_hp,'2021'!Maxi_hp)</f>
        <v>31.549585507891482</v>
      </c>
      <c r="J337" s="85">
        <f>IF(H337,An,'2021'!An_max)</f>
        <v>2021</v>
      </c>
      <c r="K337" s="197">
        <f t="shared" si="124"/>
        <v>44884</v>
      </c>
      <c r="L337" s="147">
        <f>IF(t&lt;Tvie,1-EXP((T0-t)*PertePVj)+'2021'!Pspv,1-EXP((T0-t)*PertePVj)+Pspv)</f>
        <v>3.5304243057537099E-2</v>
      </c>
      <c r="M337" s="957"/>
      <c r="N337" s="957"/>
      <c r="O337" s="48">
        <f>IF(t&lt;Tnet,'2021'!Resal+('2021'!Salim-'2021'!Resal)*(1-EXP(('2021'!Tnet-t)/('2021'!Tau_j))),Resal+(Salim-Resal)*(1-EXP((Tnet-t)/(Tau_j))))*Salcycl</f>
        <v>9.2536333298258888E-2</v>
      </c>
      <c r="P337" s="339">
        <f>(INDEX(Models!$BJ337:$BT337,,T337)*(1-R337)+INDEX(Models!$BJ337:$BT337,,T337+1)*R337-ERP_i)*Q337*Ramure*Pc/MaxiM</f>
        <v>3.2155170696944214E-3</v>
      </c>
      <c r="Q337" s="305">
        <f t="shared" si="125"/>
        <v>0.7</v>
      </c>
      <c r="R337" s="177">
        <f t="shared" si="126"/>
        <v>0.49956071157363752</v>
      </c>
      <c r="S337" s="919">
        <f t="shared" si="127"/>
        <v>0</v>
      </c>
      <c r="T337" s="176">
        <f t="shared" si="128"/>
        <v>6</v>
      </c>
      <c r="U337" s="251">
        <f t="shared" si="129"/>
        <v>0.49956071157363752</v>
      </c>
      <c r="V337" s="383">
        <f t="shared" si="130"/>
        <v>27.526199398745575</v>
      </c>
      <c r="W337" s="402"/>
      <c r="X337" s="157">
        <f t="shared" si="131"/>
        <v>44884</v>
      </c>
      <c r="Y337" s="385">
        <f t="shared" si="132"/>
        <v>5.5133177471923345</v>
      </c>
      <c r="Z337" s="385">
        <f t="shared" si="133"/>
        <v>5.715084478723548</v>
      </c>
      <c r="AA337" s="386">
        <f t="shared" si="134"/>
        <v>6.5613743606960933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0.12898058172720431</v>
      </c>
      <c r="AD337" s="231">
        <f>(INDEX(Models!$BJ337:$BT337,,AH337)*(1-AF337)+INDEX(Models!$BJ337:$BT337,,AH337+1)*AF337-ERP_i)*AE337*Ramure*Pc/MaxiM</f>
        <v>3.2155170696944214E-3</v>
      </c>
      <c r="AE337" s="305">
        <f t="shared" si="136"/>
        <v>0.7</v>
      </c>
      <c r="AF337" s="177">
        <f t="shared" si="137"/>
        <v>0.49956071157363752</v>
      </c>
      <c r="AG337" s="919">
        <f t="shared" si="143"/>
        <v>0</v>
      </c>
      <c r="AH337" s="176">
        <f t="shared" si="138"/>
        <v>6</v>
      </c>
      <c r="AI337" s="225">
        <f t="shared" si="139"/>
        <v>0.49956071157363752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44885</v>
      </c>
      <c r="B338" s="618">
        <v>17.010999999999999</v>
      </c>
      <c r="C338" s="953"/>
      <c r="D338" s="393">
        <f t="shared" si="122"/>
        <v>17.633924965768166</v>
      </c>
      <c r="E338" s="385">
        <f t="shared" si="120"/>
        <v>19.434081127721385</v>
      </c>
      <c r="F338" s="385">
        <f t="shared" si="123"/>
        <v>19.464383034706852</v>
      </c>
      <c r="G338" s="110">
        <f t="shared" si="121"/>
        <v>0.62247583925742767</v>
      </c>
      <c r="H338" s="412" t="b">
        <f>Wh_hp&gt;='2021'!Maxi_hp</f>
        <v>0</v>
      </c>
      <c r="I338" s="380">
        <f>IF(H338,Wh_hp,'2021'!Maxi_hp)</f>
        <v>31.724603682982458</v>
      </c>
      <c r="J338" s="85">
        <f>IF(H338,An,'2021'!An_max)</f>
        <v>2019</v>
      </c>
      <c r="K338" s="197">
        <f t="shared" si="124"/>
        <v>44885</v>
      </c>
      <c r="L338" s="147">
        <f>IF(t&lt;Tvie,1-EXP((T0-t)*PertePVj)+'2021'!Pspv,1-EXP((T0-t)*PertePVj)+Pspv)</f>
        <v>3.5325372370440533E-2</v>
      </c>
      <c r="M338" s="957"/>
      <c r="N338" s="957"/>
      <c r="O338" s="48">
        <f>IF(t&lt;Tnet,'2021'!Resal+('2021'!Salim-'2021'!Resal)*(1-EXP(('2021'!Tnet-t)/('2021'!Tau_j))),Resal+(Salim-Resal)*(1-EXP((Tnet-t)/(Tau_j))))*Salcycl</f>
        <v>9.262882819735789E-2</v>
      </c>
      <c r="P338" s="339">
        <f>(INDEX(Models!$BJ338:$BT338,,T338)*(1-R338)+INDEX(Models!$BJ338:$BT338,,T338+1)*R338-ERP_i)*Q338*Ramure*Pc/MaxiM</f>
        <v>3.3675165783740016E-3</v>
      </c>
      <c r="Q338" s="305">
        <f t="shared" si="125"/>
        <v>0.7</v>
      </c>
      <c r="R338" s="177">
        <f t="shared" si="126"/>
        <v>0.49958654608357655</v>
      </c>
      <c r="S338" s="919">
        <f t="shared" si="127"/>
        <v>0</v>
      </c>
      <c r="T338" s="176">
        <f t="shared" si="128"/>
        <v>6</v>
      </c>
      <c r="U338" s="251">
        <f t="shared" si="129"/>
        <v>0.49958654608357655</v>
      </c>
      <c r="V338" s="383">
        <f t="shared" si="130"/>
        <v>27.278407591556125</v>
      </c>
      <c r="W338" s="402"/>
      <c r="X338" s="157">
        <f t="shared" si="131"/>
        <v>44885</v>
      </c>
      <c r="Y338" s="385">
        <f t="shared" si="132"/>
        <v>16.329238622415183</v>
      </c>
      <c r="Z338" s="385">
        <f t="shared" si="133"/>
        <v>16.927198202092345</v>
      </c>
      <c r="AA338" s="386">
        <f t="shared" si="134"/>
        <v>19.434081127721385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0.12899415769409051</v>
      </c>
      <c r="AD338" s="231">
        <f>(INDEX(Models!$BJ338:$BT338,,AH338)*(1-AF338)+INDEX(Models!$BJ338:$BT338,,AH338+1)*AF338-ERP_i)*AE338*Ramure*Pc/MaxiM</f>
        <v>3.3675165783740016E-3</v>
      </c>
      <c r="AE338" s="305">
        <f t="shared" si="136"/>
        <v>0.7</v>
      </c>
      <c r="AF338" s="177">
        <f t="shared" si="137"/>
        <v>0.49958654608357655</v>
      </c>
      <c r="AG338" s="919">
        <f t="shared" si="143"/>
        <v>0</v>
      </c>
      <c r="AH338" s="176">
        <f t="shared" si="138"/>
        <v>6</v>
      </c>
      <c r="AI338" s="225">
        <f t="shared" si="139"/>
        <v>0.49958654608357655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44886</v>
      </c>
      <c r="B339" s="618">
        <v>3.395</v>
      </c>
      <c r="C339" s="953"/>
      <c r="D339" s="393">
        <f t="shared" si="122"/>
        <v>3.5193984205682449</v>
      </c>
      <c r="E339" s="385">
        <f t="shared" si="120"/>
        <v>3.8790757890526639</v>
      </c>
      <c r="F339" s="385">
        <f t="shared" si="123"/>
        <v>3.8790757890526639</v>
      </c>
      <c r="G339" s="110">
        <f t="shared" si="121"/>
        <v>0.12513378220749805</v>
      </c>
      <c r="H339" s="412" t="b">
        <f>Wh_hp&gt;='2021'!Maxi_hp</f>
        <v>0</v>
      </c>
      <c r="I339" s="380">
        <f>IF(H339,Wh_hp,'2021'!Maxi_hp)</f>
        <v>30.885830486283265</v>
      </c>
      <c r="J339" s="85">
        <f>IF(H339,An,'2021'!An_max)</f>
        <v>2018</v>
      </c>
      <c r="K339" s="197">
        <f t="shared" si="124"/>
        <v>44886</v>
      </c>
      <c r="L339" s="147">
        <f>IF(t&lt;Tvie,1-EXP((T0-t)*PertePVj)+'2021'!Pspv,1-EXP((T0-t)*PertePVj)+Pspv)</f>
        <v>3.5346501220557824E-2</v>
      </c>
      <c r="M339" s="957"/>
      <c r="N339" s="957"/>
      <c r="O339" s="48">
        <f>IF(t&lt;Tnet,'2021'!Resal+('2021'!Salim-'2021'!Resal)*(1-EXP(('2021'!Tnet-t)/('2021'!Tau_j))),Resal+(Salim-Resal)*(1-EXP((Tnet-t)/(Tau_j))))*Salcycl</f>
        <v>9.2722439066409257E-2</v>
      </c>
      <c r="P339" s="339">
        <f>(INDEX(Models!$BJ339:$BT339,,T339)*(1-R339)+INDEX(Models!$BJ339:$BT339,,T339+1)*R339-ERP_i)*Q339*Ramure*Pc/MaxiM</f>
        <v>3.5181072517024479E-3</v>
      </c>
      <c r="Q339" s="305">
        <f t="shared" si="125"/>
        <v>0.7</v>
      </c>
      <c r="R339" s="177">
        <f t="shared" si="126"/>
        <v>0.49961134293076165</v>
      </c>
      <c r="S339" s="919">
        <f t="shared" si="127"/>
        <v>0</v>
      </c>
      <c r="T339" s="176">
        <f t="shared" si="128"/>
        <v>6</v>
      </c>
      <c r="U339" s="251">
        <f t="shared" si="129"/>
        <v>0.49961134293076165</v>
      </c>
      <c r="V339" s="383">
        <f t="shared" si="130"/>
        <v>27.035513241905011</v>
      </c>
      <c r="W339" s="402"/>
      <c r="X339" s="157">
        <f t="shared" si="131"/>
        <v>44886</v>
      </c>
      <c r="Y339" s="385">
        <f t="shared" si="132"/>
        <v>3.2592147512619731</v>
      </c>
      <c r="Z339" s="385">
        <f t="shared" si="133"/>
        <v>3.3786377755181483</v>
      </c>
      <c r="AA339" s="386">
        <f t="shared" si="134"/>
        <v>3.8790757890526639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0.12900959938623194</v>
      </c>
      <c r="AD339" s="231">
        <f>(INDEX(Models!$BJ339:$BT339,,AH339)*(1-AF339)+INDEX(Models!$BJ339:$BT339,,AH339+1)*AF339-ERP_i)*AE339*Ramure*Pc/MaxiM</f>
        <v>3.5181072517024479E-3</v>
      </c>
      <c r="AE339" s="305">
        <f t="shared" si="136"/>
        <v>0.7</v>
      </c>
      <c r="AF339" s="177">
        <f t="shared" si="137"/>
        <v>0.49961134293076165</v>
      </c>
      <c r="AG339" s="919">
        <f t="shared" si="143"/>
        <v>0</v>
      </c>
      <c r="AH339" s="176">
        <f t="shared" si="138"/>
        <v>6</v>
      </c>
      <c r="AI339" s="225">
        <f t="shared" si="139"/>
        <v>0.49961134293076165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44887</v>
      </c>
      <c r="B340" s="618">
        <v>7.5200000000000005</v>
      </c>
      <c r="C340" s="953"/>
      <c r="D340" s="393">
        <f t="shared" si="122"/>
        <v>7.7957159958703146</v>
      </c>
      <c r="E340" s="385">
        <f t="shared" si="120"/>
        <v>8.5933244388148431</v>
      </c>
      <c r="F340" s="385">
        <f t="shared" si="123"/>
        <v>8.5933244388148431</v>
      </c>
      <c r="G340" s="110">
        <f t="shared" si="121"/>
        <v>0.27959003494143841</v>
      </c>
      <c r="H340" s="412" t="b">
        <f>Wh_hp&gt;='2021'!Maxi_hp</f>
        <v>0</v>
      </c>
      <c r="I340" s="380">
        <f>IF(H340,Wh_hp,'2021'!Maxi_hp)</f>
        <v>31.571381737013635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3.5367629607898965E-2</v>
      </c>
      <c r="M340" s="957"/>
      <c r="N340" s="957"/>
      <c r="O340" s="48">
        <f>IF(t&lt;Tnet,'2021'!Resal+('2021'!Salim-'2021'!Resal)*(1-EXP(('2021'!Tnet-t)/('2021'!Tau_j))),Resal+(Salim-Resal)*(1-EXP((Tnet-t)/(Tau_j))))*Salcycl</f>
        <v>9.2817215109654586E-2</v>
      </c>
      <c r="P340" s="339">
        <f>(INDEX(Models!$BJ340:$BT340,,T340)*(1-R340)+INDEX(Models!$BJ340:$BT340,,T340+1)*R340-ERP_i)*Q340*Ramure*Pc/MaxiM</f>
        <v>3.6672523345483267E-3</v>
      </c>
      <c r="Q340" s="305">
        <f t="shared" si="125"/>
        <v>0.7</v>
      </c>
      <c r="R340" s="177">
        <f t="shared" si="126"/>
        <v>0.49963514369683026</v>
      </c>
      <c r="S340" s="919">
        <f t="shared" si="127"/>
        <v>0</v>
      </c>
      <c r="T340" s="176">
        <f t="shared" si="128"/>
        <v>6</v>
      </c>
      <c r="U340" s="251">
        <f t="shared" si="129"/>
        <v>0.49963514369683026</v>
      </c>
      <c r="V340" s="383">
        <f t="shared" si="130"/>
        <v>26.797887356799116</v>
      </c>
      <c r="W340" s="402"/>
      <c r="X340" s="157">
        <f t="shared" si="131"/>
        <v>44887</v>
      </c>
      <c r="Y340" s="385">
        <f t="shared" si="132"/>
        <v>7.2198429049568507</v>
      </c>
      <c r="Z340" s="385">
        <f t="shared" si="133"/>
        <v>7.4845538326918772</v>
      </c>
      <c r="AA340" s="386">
        <f t="shared" si="134"/>
        <v>8.5933244388148431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0.12902696901734612</v>
      </c>
      <c r="AD340" s="231">
        <f>(INDEX(Models!$BJ340:$BT340,,AH340)*(1-AF340)+INDEX(Models!$BJ340:$BT340,,AH340+1)*AF340-ERP_i)*AE340*Ramure*Pc/MaxiM</f>
        <v>3.6672523345483267E-3</v>
      </c>
      <c r="AE340" s="305">
        <f t="shared" si="136"/>
        <v>0.7</v>
      </c>
      <c r="AF340" s="177">
        <f t="shared" si="137"/>
        <v>0.49963514369683026</v>
      </c>
      <c r="AG340" s="919">
        <f t="shared" si="143"/>
        <v>0</v>
      </c>
      <c r="AH340" s="176">
        <f t="shared" si="138"/>
        <v>6</v>
      </c>
      <c r="AI340" s="225">
        <f t="shared" si="139"/>
        <v>0.49963514369683026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44888</v>
      </c>
      <c r="B341" s="618">
        <v>11.667</v>
      </c>
      <c r="C341" s="953"/>
      <c r="D341" s="393">
        <f t="shared" si="122"/>
        <v>12.095028013726242</v>
      </c>
      <c r="E341" s="385">
        <f t="shared" si="120"/>
        <v>13.333925720195346</v>
      </c>
      <c r="F341" s="385">
        <f t="shared" si="123"/>
        <v>13.344046695200472</v>
      </c>
      <c r="G341" s="110">
        <f t="shared" si="121"/>
        <v>0.43782868265205827</v>
      </c>
      <c r="H341" s="412" t="b">
        <f>Wh_hp&gt;='2021'!Maxi_hp</f>
        <v>0</v>
      </c>
      <c r="I341" s="380">
        <f>IF(H341,Wh_hp,'2021'!Maxi_hp)</f>
        <v>31.553325364511156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3.538875753247428E-2</v>
      </c>
      <c r="M341" s="957"/>
      <c r="N341" s="957"/>
      <c r="O341" s="48">
        <f>IF(t&lt;Tnet,'2021'!Resal+('2021'!Salim-'2021'!Resal)*(1-EXP(('2021'!Tnet-t)/('2021'!Tau_j))),Resal+(Salim-Resal)*(1-EXP((Tnet-t)/(Tau_j))))*Salcycl</f>
        <v>9.2913199943261193E-2</v>
      </c>
      <c r="P341" s="339">
        <f>(INDEX(Models!$BJ341:$BT341,,T341)*(1-R341)+INDEX(Models!$BJ341:$BT341,,T341+1)*R341-ERP_i)*Q341*Ramure*Pc/MaxiM</f>
        <v>3.8148809404018693E-3</v>
      </c>
      <c r="Q341" s="305">
        <f t="shared" si="125"/>
        <v>0.7</v>
      </c>
      <c r="R341" s="177">
        <f t="shared" si="126"/>
        <v>0.49965798830477998</v>
      </c>
      <c r="S341" s="919">
        <f t="shared" si="127"/>
        <v>0</v>
      </c>
      <c r="T341" s="176">
        <f t="shared" si="128"/>
        <v>6</v>
      </c>
      <c r="U341" s="251">
        <f t="shared" si="129"/>
        <v>0.49965798830477998</v>
      </c>
      <c r="V341" s="383">
        <f t="shared" si="130"/>
        <v>26.565901628069863</v>
      </c>
      <c r="W341" s="402"/>
      <c r="X341" s="157">
        <f t="shared" si="131"/>
        <v>44888</v>
      </c>
      <c r="Y341" s="385">
        <f t="shared" si="132"/>
        <v>11.202253823938239</v>
      </c>
      <c r="Z341" s="385">
        <f t="shared" si="133"/>
        <v>11.613231663444322</v>
      </c>
      <c r="AA341" s="386">
        <f t="shared" si="134"/>
        <v>13.333925720195346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0.12904632085544673</v>
      </c>
      <c r="AD341" s="231">
        <f>(INDEX(Models!$BJ341:$BT341,,AH341)*(1-AF341)+INDEX(Models!$BJ341:$BT341,,AH341+1)*AF341-ERP_i)*AE341*Ramure*Pc/MaxiM</f>
        <v>3.8148809404018693E-3</v>
      </c>
      <c r="AE341" s="305">
        <f t="shared" si="136"/>
        <v>0.7</v>
      </c>
      <c r="AF341" s="177">
        <f t="shared" si="137"/>
        <v>0.49965798830477998</v>
      </c>
      <c r="AG341" s="919">
        <f t="shared" si="143"/>
        <v>0</v>
      </c>
      <c r="AH341" s="176">
        <f t="shared" si="138"/>
        <v>6</v>
      </c>
      <c r="AI341" s="225">
        <f t="shared" si="139"/>
        <v>0.49965798830477998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44889</v>
      </c>
      <c r="B342" s="618">
        <v>13.780000000000001</v>
      </c>
      <c r="C342" s="953"/>
      <c r="D342" s="393">
        <f t="shared" si="122"/>
        <v>14.285860683859987</v>
      </c>
      <c r="E342" s="385">
        <f t="shared" si="120"/>
        <v>15.750854452383372</v>
      </c>
      <c r="F342" s="385">
        <f t="shared" si="123"/>
        <v>15.770768884329744</v>
      </c>
      <c r="G342" s="110">
        <f t="shared" si="121"/>
        <v>0.52174677000660818</v>
      </c>
      <c r="H342" s="412" t="b">
        <f>Wh_hp&gt;='2021'!Maxi_hp</f>
        <v>0</v>
      </c>
      <c r="I342" s="380">
        <f>IF(H342,Wh_hp,'2021'!Maxi_hp)</f>
        <v>29.21125181785667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3.5409884994293872E-2</v>
      </c>
      <c r="M342" s="957"/>
      <c r="N342" s="957"/>
      <c r="O342" s="48">
        <f>IF(t&lt;Tnet,'2021'!Resal+('2021'!Salim-'2021'!Resal)*(1-EXP(('2021'!Tnet-t)/('2021'!Tau_j))),Resal+(Salim-Resal)*(1-EXP((Tnet-t)/(Tau_j))))*Salcycl</f>
        <v>9.3010431462764609E-2</v>
      </c>
      <c r="P342" s="339">
        <f>(INDEX(Models!$BJ342:$BT342,,T342)*(1-R342)+INDEX(Models!$BJ342:$BT342,,T342+1)*R342-ERP_i)*Q342*Ramure*Pc/MaxiM</f>
        <v>3.960923727837312E-3</v>
      </c>
      <c r="Q342" s="305">
        <f t="shared" si="125"/>
        <v>0.7</v>
      </c>
      <c r="R342" s="177">
        <f t="shared" si="126"/>
        <v>0.49967991508452797</v>
      </c>
      <c r="S342" s="919">
        <f t="shared" si="127"/>
        <v>0</v>
      </c>
      <c r="T342" s="176">
        <f t="shared" si="128"/>
        <v>6</v>
      </c>
      <c r="U342" s="251">
        <f t="shared" si="129"/>
        <v>0.49967991508452797</v>
      </c>
      <c r="V342" s="383">
        <f t="shared" si="130"/>
        <v>26.339927439335483</v>
      </c>
      <c r="W342" s="402"/>
      <c r="X342" s="157">
        <f t="shared" si="131"/>
        <v>44889</v>
      </c>
      <c r="Y342" s="385">
        <f t="shared" si="132"/>
        <v>13.232177629715133</v>
      </c>
      <c r="Z342" s="385">
        <f t="shared" si="133"/>
        <v>13.717927878243763</v>
      </c>
      <c r="AA342" s="386">
        <f t="shared" si="134"/>
        <v>15.750854452383372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0.12906770107522597</v>
      </c>
      <c r="AD342" s="231">
        <f>(INDEX(Models!$BJ342:$BT342,,AH342)*(1-AF342)+INDEX(Models!$BJ342:$BT342,,AH342+1)*AF342-ERP_i)*AE342*Ramure*Pc/MaxiM</f>
        <v>3.960923727837312E-3</v>
      </c>
      <c r="AE342" s="305">
        <f t="shared" si="136"/>
        <v>0.7</v>
      </c>
      <c r="AF342" s="177">
        <f t="shared" si="137"/>
        <v>0.49967991508452797</v>
      </c>
      <c r="AG342" s="919">
        <f t="shared" si="143"/>
        <v>0</v>
      </c>
      <c r="AH342" s="176">
        <f t="shared" si="138"/>
        <v>6</v>
      </c>
      <c r="AI342" s="225">
        <f t="shared" si="139"/>
        <v>0.49967991508452797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44890</v>
      </c>
      <c r="B343" s="618">
        <v>4.2380000000000004</v>
      </c>
      <c r="C343" s="953"/>
      <c r="D343" s="393">
        <f t="shared" si="122"/>
        <v>4.3936722543383908</v>
      </c>
      <c r="E343" s="385">
        <f t="shared" si="120"/>
        <v>4.8447630113364237</v>
      </c>
      <c r="F343" s="385">
        <f t="shared" si="123"/>
        <v>4.8447630113364237</v>
      </c>
      <c r="G343" s="110">
        <f t="shared" si="121"/>
        <v>0.16158297902658728</v>
      </c>
      <c r="H343" s="412" t="b">
        <f>Wh_hp&gt;='2021'!Maxi_hp</f>
        <v>0</v>
      </c>
      <c r="I343" s="380">
        <f>IF(H343,Wh_hp,'2021'!Maxi_hp)</f>
        <v>27.276647569608237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3.5431011993367734E-2</v>
      </c>
      <c r="M343" s="957"/>
      <c r="N343" s="957"/>
      <c r="O343" s="48">
        <f>IF(t&lt;Tnet,'2021'!Resal+('2021'!Salim-'2021'!Resal)*(1-EXP(('2021'!Tnet-t)/('2021'!Tau_j))),Resal+(Salim-Resal)*(1-EXP((Tnet-t)/(Tau_j))))*Salcycl</f>
        <v>9.3108941746481932E-2</v>
      </c>
      <c r="P343" s="339">
        <f>(INDEX(Models!$BJ343:$BT343,,T343)*(1-R343)+INDEX(Models!$BJ343:$BT343,,T343+1)*R343-ERP_i)*Q343*Ramure*Pc/MaxiM</f>
        <v>4.1053192044256722E-3</v>
      </c>
      <c r="Q343" s="305">
        <f t="shared" si="125"/>
        <v>0.7</v>
      </c>
      <c r="R343" s="177">
        <f t="shared" si="126"/>
        <v>0.4997009608359253</v>
      </c>
      <c r="S343" s="919">
        <f t="shared" si="127"/>
        <v>0</v>
      </c>
      <c r="T343" s="176">
        <f t="shared" si="128"/>
        <v>6</v>
      </c>
      <c r="U343" s="251">
        <f t="shared" si="129"/>
        <v>0.4997009608359253</v>
      </c>
      <c r="V343" s="383">
        <f t="shared" si="130"/>
        <v>26.120335710094658</v>
      </c>
      <c r="W343" s="402"/>
      <c r="X343" s="157">
        <f t="shared" si="131"/>
        <v>44890</v>
      </c>
      <c r="Y343" s="385">
        <f t="shared" si="132"/>
        <v>4.069851260107896</v>
      </c>
      <c r="Z343" s="385">
        <f t="shared" si="133"/>
        <v>4.2193469940585651</v>
      </c>
      <c r="AA343" s="386">
        <f t="shared" si="134"/>
        <v>4.8447630113364237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0.12909114766076837</v>
      </c>
      <c r="AD343" s="231">
        <f>(INDEX(Models!$BJ343:$BT343,,AH343)*(1-AF343)+INDEX(Models!$BJ343:$BT343,,AH343+1)*AF343-ERP_i)*AE343*Ramure*Pc/MaxiM</f>
        <v>4.1053192044256722E-3</v>
      </c>
      <c r="AE343" s="305">
        <f t="shared" si="136"/>
        <v>0.7</v>
      </c>
      <c r="AF343" s="177">
        <f t="shared" si="137"/>
        <v>0.4997009608359253</v>
      </c>
      <c r="AG343" s="919">
        <f t="shared" si="143"/>
        <v>0</v>
      </c>
      <c r="AH343" s="176">
        <f t="shared" si="138"/>
        <v>6</v>
      </c>
      <c r="AI343" s="225">
        <f t="shared" si="139"/>
        <v>0.4997009608359253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44891</v>
      </c>
      <c r="B344" s="618">
        <v>13.145</v>
      </c>
      <c r="C344" s="953"/>
      <c r="D344" s="393">
        <f t="shared" si="122"/>
        <v>13.628146953705977</v>
      </c>
      <c r="E344" s="385">
        <f t="shared" si="120"/>
        <v>15.028979446857154</v>
      </c>
      <c r="F344" s="385">
        <f t="shared" si="123"/>
        <v>15.047917423550151</v>
      </c>
      <c r="G344" s="110">
        <f t="shared" si="121"/>
        <v>0.5058633618175733</v>
      </c>
      <c r="H344" s="412" t="b">
        <f>Wh_hp&gt;='2021'!Maxi_hp</f>
        <v>0</v>
      </c>
      <c r="I344" s="380">
        <f>IF(H344,Wh_hp,'2021'!Maxi_hp)</f>
        <v>27.777098112719983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3.545213852970619E-2</v>
      </c>
      <c r="M344" s="957"/>
      <c r="N344" s="957"/>
      <c r="O344" s="48">
        <f>IF(t&lt;Tnet,'2021'!Resal+('2021'!Salim-'2021'!Resal)*(1-EXP(('2021'!Tnet-t)/('2021'!Tau_j))),Resal+(Salim-Resal)*(1-EXP((Tnet-t)/(Tau_j))))*Salcycl</f>
        <v>9.3208756995413741E-2</v>
      </c>
      <c r="P344" s="339">
        <f>(INDEX(Models!$BJ344:$BT344,,T344)*(1-R344)+INDEX(Models!$BJ344:$BT344,,T344+1)*R344-ERP_i)*Q344*Ramure*Pc/MaxiM</f>
        <v>4.2479948846140892E-3</v>
      </c>
      <c r="Q344" s="305">
        <f t="shared" si="125"/>
        <v>0.7</v>
      </c>
      <c r="R344" s="177">
        <f t="shared" si="126"/>
        <v>0.49972116088932367</v>
      </c>
      <c r="S344" s="919">
        <f t="shared" si="127"/>
        <v>0</v>
      </c>
      <c r="T344" s="176">
        <f t="shared" si="128"/>
        <v>6</v>
      </c>
      <c r="U344" s="251">
        <f t="shared" si="129"/>
        <v>0.49972116088932367</v>
      </c>
      <c r="V344" s="383">
        <f t="shared" si="130"/>
        <v>25.907497383678368</v>
      </c>
      <c r="W344" s="402"/>
      <c r="X344" s="157">
        <f t="shared" si="131"/>
        <v>44891</v>
      </c>
      <c r="Y344" s="385">
        <f t="shared" si="132"/>
        <v>12.624472494131735</v>
      </c>
      <c r="Z344" s="385">
        <f t="shared" si="133"/>
        <v>13.088487361205502</v>
      </c>
      <c r="AA344" s="386">
        <f t="shared" si="134"/>
        <v>15.028979446857154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0.12911669035900142</v>
      </c>
      <c r="AD344" s="231">
        <f>(INDEX(Models!$BJ344:$BT344,,AH344)*(1-AF344)+INDEX(Models!$BJ344:$BT344,,AH344+1)*AF344-ERP_i)*AE344*Ramure*Pc/MaxiM</f>
        <v>4.2479948846140892E-3</v>
      </c>
      <c r="AE344" s="305">
        <f t="shared" si="136"/>
        <v>0.7</v>
      </c>
      <c r="AF344" s="177">
        <f t="shared" si="137"/>
        <v>0.49972116088932367</v>
      </c>
      <c r="AG344" s="919">
        <f t="shared" si="143"/>
        <v>0</v>
      </c>
      <c r="AH344" s="176">
        <f t="shared" si="138"/>
        <v>6</v>
      </c>
      <c r="AI344" s="225">
        <f t="shared" si="139"/>
        <v>0.49972116088932367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44892</v>
      </c>
      <c r="B345" s="618">
        <v>14</v>
      </c>
      <c r="C345" s="953"/>
      <c r="D345" s="393">
        <f t="shared" si="122"/>
        <v>14.514890553284893</v>
      </c>
      <c r="E345" s="385">
        <f t="shared" si="120"/>
        <v>16.008656666066052</v>
      </c>
      <c r="F345" s="385">
        <f t="shared" si="123"/>
        <v>16.03326980380217</v>
      </c>
      <c r="G345" s="110">
        <f t="shared" si="121"/>
        <v>0.54324525081653141</v>
      </c>
      <c r="H345" s="412" t="b">
        <f>Wh_hp&gt;='2021'!Maxi_hp</f>
        <v>0</v>
      </c>
      <c r="I345" s="380">
        <f>IF(H345,Wh_hp,'2021'!Maxi_hp)</f>
        <v>27.662208875171967</v>
      </c>
      <c r="J345" s="85">
        <f>IF(H345,An,'2021'!An_max)</f>
        <v>2018</v>
      </c>
      <c r="K345" s="197">
        <f t="shared" si="124"/>
        <v>44892</v>
      </c>
      <c r="L345" s="147">
        <f>IF(t&lt;Tvie,1-EXP((T0-t)*PertePVj)+'2021'!Pspv,1-EXP((T0-t)*PertePVj)+Pspv)</f>
        <v>3.5473264603319121E-2</v>
      </c>
      <c r="M345" s="957"/>
      <c r="N345" s="957"/>
      <c r="O345" s="48">
        <f>IF(t&lt;Tnet,'2021'!Resal+('2021'!Salim-'2021'!Resal)*(1-EXP(('2021'!Tnet-t)/('2021'!Tau_j))),Resal+(Salim-Resal)*(1-EXP((Tnet-t)/(Tau_j))))*Salcycl</f>
        <v>9.3309897509859949E-2</v>
      </c>
      <c r="P345" s="339">
        <f>(INDEX(Models!$BJ345:$BT345,,T345)*(1-R345)+INDEX(Models!$BJ345:$BT345,,T345+1)*R345-ERP_i)*Q345*Ramure*Pc/MaxiM</f>
        <v>4.3896165592157092E-3</v>
      </c>
      <c r="Q345" s="305">
        <f t="shared" si="125"/>
        <v>0.7</v>
      </c>
      <c r="R345" s="177">
        <f t="shared" si="126"/>
        <v>0.49974054916378424</v>
      </c>
      <c r="S345" s="919">
        <f t="shared" si="127"/>
        <v>0</v>
      </c>
      <c r="T345" s="176">
        <f t="shared" si="128"/>
        <v>6</v>
      </c>
      <c r="U345" s="251">
        <f t="shared" si="129"/>
        <v>0.49974054916378424</v>
      </c>
      <c r="V345" s="383">
        <f t="shared" si="130"/>
        <v>25.697372799911363</v>
      </c>
      <c r="W345" s="402"/>
      <c r="X345" s="157">
        <f t="shared" si="131"/>
        <v>44892</v>
      </c>
      <c r="Y345" s="385">
        <f t="shared" si="132"/>
        <v>13.446688187001827</v>
      </c>
      <c r="Z345" s="385">
        <f t="shared" si="133"/>
        <v>13.941229095605742</v>
      </c>
      <c r="AA345" s="386">
        <f t="shared" si="134"/>
        <v>16.008656666066052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0.12914435068388264</v>
      </c>
      <c r="AD345" s="231">
        <f>(INDEX(Models!$BJ345:$BT345,,AH345)*(1-AF345)+INDEX(Models!$BJ345:$BT345,,AH345+1)*AF345-ERP_i)*AE345*Ramure*Pc/MaxiM</f>
        <v>4.3896165592157092E-3</v>
      </c>
      <c r="AE345" s="305">
        <f t="shared" si="136"/>
        <v>0.7</v>
      </c>
      <c r="AF345" s="177">
        <f t="shared" si="137"/>
        <v>0.49974054916378424</v>
      </c>
      <c r="AG345" s="919">
        <f t="shared" si="143"/>
        <v>0</v>
      </c>
      <c r="AH345" s="176">
        <f t="shared" si="138"/>
        <v>6</v>
      </c>
      <c r="AI345" s="225">
        <f t="shared" si="139"/>
        <v>0.49974054916378424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44893</v>
      </c>
      <c r="B346" s="618">
        <v>9.0370000000000008</v>
      </c>
      <c r="C346" s="953"/>
      <c r="D346" s="393">
        <f t="shared" si="122"/>
        <v>9.3695670697105857</v>
      </c>
      <c r="E346" s="385">
        <f t="shared" si="120"/>
        <v>10.334982343976707</v>
      </c>
      <c r="F346" s="385">
        <f t="shared" si="123"/>
        <v>10.338627522302779</v>
      </c>
      <c r="G346" s="110">
        <f t="shared" si="121"/>
        <v>0.35309449910732221</v>
      </c>
      <c r="H346" s="412" t="b">
        <f>Wh_hp&gt;='2021'!Maxi_hp</f>
        <v>0</v>
      </c>
      <c r="I346" s="380">
        <f>IF(H346,Wh_hp,'2021'!Maxi_hp)</f>
        <v>20.343286490073936</v>
      </c>
      <c r="J346" s="85">
        <f>IF(H346,An,'2021'!An_max)</f>
        <v>2018</v>
      </c>
      <c r="K346" s="197">
        <f t="shared" si="124"/>
        <v>44893</v>
      </c>
      <c r="L346" s="147">
        <f>IF(t&lt;Tvie,1-EXP((T0-t)*PertePVj)+'2021'!Pspv,1-EXP((T0-t)*PertePVj)+Pspv)</f>
        <v>3.5494390214216964E-2</v>
      </c>
      <c r="M346" s="957"/>
      <c r="N346" s="957"/>
      <c r="O346" s="48">
        <f>IF(t&lt;Tnet,'2021'!Resal+('2021'!Salim-'2021'!Resal)*(1-EXP(('2021'!Tnet-t)/('2021'!Tau_j))),Resal+(Salim-Resal)*(1-EXP((Tnet-t)/(Tau_j))))*Salcycl</f>
        <v>9.3412377702683819E-2</v>
      </c>
      <c r="P346" s="339">
        <f>(INDEX(Models!$BJ346:$BT346,,T346)*(1-R346)+INDEX(Models!$BJ346:$BT346,,T346+1)*R346-ERP_i)*Q346*Ramure*Pc/MaxiM</f>
        <v>4.5224295397645452E-3</v>
      </c>
      <c r="Q346" s="305">
        <f t="shared" si="125"/>
        <v>0.7</v>
      </c>
      <c r="R346" s="177">
        <f t="shared" si="126"/>
        <v>0.49975915822301897</v>
      </c>
      <c r="S346" s="919">
        <f t="shared" si="127"/>
        <v>0</v>
      </c>
      <c r="T346" s="176">
        <f t="shared" si="128"/>
        <v>6</v>
      </c>
      <c r="U346" s="251">
        <f t="shared" si="129"/>
        <v>0.49975915822301897</v>
      </c>
      <c r="V346" s="383">
        <f t="shared" si="130"/>
        <v>25.486955442510485</v>
      </c>
      <c r="W346" s="402"/>
      <c r="X346" s="157">
        <f t="shared" si="131"/>
        <v>44893</v>
      </c>
      <c r="Y346" s="385">
        <f t="shared" si="132"/>
        <v>8.6805214250188438</v>
      </c>
      <c r="Z346" s="385">
        <f t="shared" si="133"/>
        <v>8.9999698674088489</v>
      </c>
      <c r="AA346" s="386">
        <f t="shared" si="134"/>
        <v>10.334982343976707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0.1291741419709258</v>
      </c>
      <c r="AD346" s="231">
        <f>(INDEX(Models!$BJ346:$BT346,,AH346)*(1-AF346)+INDEX(Models!$BJ346:$BT346,,AH346+1)*AF346-ERP_i)*AE346*Ramure*Pc/MaxiM</f>
        <v>4.5224295397645452E-3</v>
      </c>
      <c r="AE346" s="305">
        <f t="shared" si="136"/>
        <v>0.7</v>
      </c>
      <c r="AF346" s="177">
        <f t="shared" si="137"/>
        <v>0.49975915822301897</v>
      </c>
      <c r="AG346" s="919">
        <f t="shared" si="143"/>
        <v>0</v>
      </c>
      <c r="AH346" s="176">
        <f t="shared" si="138"/>
        <v>6</v>
      </c>
      <c r="AI346" s="225">
        <f t="shared" si="139"/>
        <v>0.49975915822301897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44894</v>
      </c>
      <c r="B347" s="618">
        <v>12.714</v>
      </c>
      <c r="C347" s="953"/>
      <c r="D347" s="393">
        <f t="shared" si="122"/>
        <v>13.182171618631426</v>
      </c>
      <c r="E347" s="385">
        <f t="shared" si="120"/>
        <v>14.542092983954928</v>
      </c>
      <c r="F347" s="385">
        <f t="shared" si="123"/>
        <v>14.561707370770623</v>
      </c>
      <c r="G347" s="110">
        <f t="shared" si="121"/>
        <v>0.50130854426596849</v>
      </c>
      <c r="H347" s="412" t="b">
        <f>Wh_hp&gt;='2021'!Maxi_hp</f>
        <v>0</v>
      </c>
      <c r="I347" s="380">
        <f>IF(H347,Wh_hp,'2021'!Maxi_hp)</f>
        <v>29.549892661364552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3.5515515362409711E-2</v>
      </c>
      <c r="M347" s="957"/>
      <c r="N347" s="957"/>
      <c r="O347" s="48">
        <f>IF(t&lt;Tnet,'2021'!Resal+('2021'!Salim-'2021'!Resal)*(1-EXP(('2021'!Tnet-t)/('2021'!Tau_j))),Resal+(Salim-Resal)*(1-EXP((Tnet-t)/(Tau_j))))*Salcycl</f>
        <v>9.3516206148865633E-2</v>
      </c>
      <c r="P347" s="339">
        <f>(INDEX(Models!$BJ347:$BT347,,T347)*(1-R347)+INDEX(Models!$BJ347:$BT347,,T347+1)*R347-ERP_i)*Q347*Ramure*Pc/MaxiM</f>
        <v>4.645463107820616E-3</v>
      </c>
      <c r="Q347" s="305">
        <f t="shared" si="125"/>
        <v>0.7</v>
      </c>
      <c r="R347" s="177">
        <f t="shared" si="126"/>
        <v>0.49977701932914814</v>
      </c>
      <c r="S347" s="919">
        <f t="shared" si="127"/>
        <v>0</v>
      </c>
      <c r="T347" s="176">
        <f t="shared" si="128"/>
        <v>6</v>
      </c>
      <c r="U347" s="251">
        <f t="shared" si="129"/>
        <v>0.49977701932914814</v>
      </c>
      <c r="V347" s="383">
        <f t="shared" si="130"/>
        <v>25.277858750004643</v>
      </c>
      <c r="W347" s="402"/>
      <c r="X347" s="157">
        <f t="shared" si="131"/>
        <v>44894</v>
      </c>
      <c r="Y347" s="385">
        <f t="shared" si="132"/>
        <v>12.213427429937376</v>
      </c>
      <c r="Z347" s="385">
        <f t="shared" si="133"/>
        <v>12.663166307466968</v>
      </c>
      <c r="AA347" s="386">
        <f t="shared" si="134"/>
        <v>14.542092983954928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0.12920606948126931</v>
      </c>
      <c r="AD347" s="231">
        <f>(INDEX(Models!$BJ347:$BT347,,AH347)*(1-AF347)+INDEX(Models!$BJ347:$BT347,,AH347+1)*AF347-ERP_i)*AE347*Ramure*Pc/MaxiM</f>
        <v>4.645463107820616E-3</v>
      </c>
      <c r="AE347" s="305">
        <f t="shared" si="136"/>
        <v>0.7</v>
      </c>
      <c r="AF347" s="177">
        <f t="shared" si="137"/>
        <v>0.49977701932914814</v>
      </c>
      <c r="AG347" s="919">
        <f t="shared" si="143"/>
        <v>0</v>
      </c>
      <c r="AH347" s="176">
        <f t="shared" si="138"/>
        <v>6</v>
      </c>
      <c r="AI347" s="225">
        <f t="shared" si="139"/>
        <v>0.49977701932914814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44895</v>
      </c>
      <c r="B348" s="618">
        <v>4.1349999999999998</v>
      </c>
      <c r="C348" s="953"/>
      <c r="D348" s="393">
        <f t="shared" si="122"/>
        <v>4.2873583089827232</v>
      </c>
      <c r="E348" s="385">
        <f t="shared" si="120"/>
        <v>4.7302068265978177</v>
      </c>
      <c r="F348" s="385">
        <f t="shared" si="123"/>
        <v>4.7302068265978177</v>
      </c>
      <c r="G348" s="110">
        <f t="shared" si="121"/>
        <v>0.16414234862905777</v>
      </c>
      <c r="H348" s="412" t="b">
        <f>Wh_hp&gt;='2021'!Maxi_hp</f>
        <v>0</v>
      </c>
      <c r="I348" s="380">
        <f>IF(H348,Wh_hp,'2021'!Maxi_hp)</f>
        <v>27.333508248606524</v>
      </c>
      <c r="J348" s="85">
        <f>IF(H348,An,'2021'!An_max)</f>
        <v>2020</v>
      </c>
      <c r="K348" s="197">
        <f t="shared" si="124"/>
        <v>44895</v>
      </c>
      <c r="L348" s="147">
        <f>IF(t&lt;Tvie,1-EXP((T0-t)*PertePVj)+'2021'!Pspv,1-EXP((T0-t)*PertePVj)+Pspv)</f>
        <v>3.5536640047907353E-2</v>
      </c>
      <c r="M348" s="957"/>
      <c r="N348" s="957"/>
      <c r="O348" s="48">
        <f>IF(t&lt;Tnet,'2021'!Resal+('2021'!Salim-'2021'!Resal)*(1-EXP(('2021'!Tnet-t)/('2021'!Tau_j))),Resal+(Salim-Resal)*(1-EXP((Tnet-t)/(Tau_j))))*Salcycl</f>
        <v>9.362138567070058E-2</v>
      </c>
      <c r="P348" s="339">
        <f>(INDEX(Models!$BJ348:$BT348,,T348)*(1-R348)+INDEX(Models!$BJ348:$BT348,,T348+1)*R348-ERP_i)*Q348*Ramure*Pc/MaxiM</f>
        <v>4.7584072948953383E-3</v>
      </c>
      <c r="Q348" s="305">
        <f t="shared" si="125"/>
        <v>0.7</v>
      </c>
      <c r="R348" s="177">
        <f t="shared" si="126"/>
        <v>0.49979416249435721</v>
      </c>
      <c r="S348" s="919">
        <f t="shared" si="127"/>
        <v>0</v>
      </c>
      <c r="T348" s="176">
        <f t="shared" si="128"/>
        <v>6</v>
      </c>
      <c r="U348" s="251">
        <f t="shared" si="129"/>
        <v>0.49979416249435721</v>
      </c>
      <c r="V348" s="383">
        <f t="shared" si="130"/>
        <v>25.071677237516266</v>
      </c>
      <c r="W348" s="402"/>
      <c r="X348" s="157">
        <f t="shared" si="131"/>
        <v>44895</v>
      </c>
      <c r="Y348" s="385">
        <f t="shared" si="132"/>
        <v>3.9725033261328035</v>
      </c>
      <c r="Z348" s="385">
        <f t="shared" si="133"/>
        <v>4.1188742787804067</v>
      </c>
      <c r="AA348" s="386">
        <f t="shared" si="134"/>
        <v>4.7302068265978177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0.12924013055410291</v>
      </c>
      <c r="AD348" s="231">
        <f>(INDEX(Models!$BJ348:$BT348,,AH348)*(1-AF348)+INDEX(Models!$BJ348:$BT348,,AH348+1)*AF348-ERP_i)*AE348*Ramure*Pc/MaxiM</f>
        <v>4.7584072948953383E-3</v>
      </c>
      <c r="AE348" s="305">
        <f t="shared" si="136"/>
        <v>0.7</v>
      </c>
      <c r="AF348" s="177">
        <f t="shared" si="137"/>
        <v>0.49979416249435721</v>
      </c>
      <c r="AG348" s="919">
        <f t="shared" si="143"/>
        <v>0</v>
      </c>
      <c r="AH348" s="176">
        <f t="shared" si="138"/>
        <v>6</v>
      </c>
      <c r="AI348" s="225">
        <f t="shared" si="139"/>
        <v>0.49979416249435721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44896</v>
      </c>
      <c r="B349" s="618">
        <v>3.3439999999999999</v>
      </c>
      <c r="C349" s="953"/>
      <c r="D349" s="393">
        <f t="shared" si="122"/>
        <v>3.4672890465766222</v>
      </c>
      <c r="E349" s="385">
        <f t="shared" si="120"/>
        <v>3.825880878451656</v>
      </c>
      <c r="F349" s="385">
        <f t="shared" si="123"/>
        <v>3.825880878451656</v>
      </c>
      <c r="G349" s="110">
        <f t="shared" si="121"/>
        <v>0.13380556745252431</v>
      </c>
      <c r="H349" s="412" t="b">
        <f>Wh_hp&gt;='2021'!Maxi_hp</f>
        <v>0</v>
      </c>
      <c r="I349" s="380">
        <f>IF(H349,Wh_hp,'2021'!Maxi_hp)</f>
        <v>28.263329653266126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3.5557764270720327E-2</v>
      </c>
      <c r="M349" s="957"/>
      <c r="N349" s="957"/>
      <c r="O349" s="48">
        <f>IF(t&lt;Tnet,'2021'!Resal+('2021'!Salim-'2021'!Resal)*(1-EXP(('2021'!Tnet-t)/('2021'!Tau_j))),Resal+(Salim-Resal)*(1-EXP((Tnet-t)/(Tau_j))))*Salcycl</f>
        <v>9.3727913457712461E-2</v>
      </c>
      <c r="P349" s="339">
        <f>(INDEX(Models!$BJ349:$BT349,,T349)*(1-R349)+INDEX(Models!$BJ349:$BT349,,T349+1)*R349-ERP_i)*Q349*Ramure*Pc/MaxiM</f>
        <v>4.8609006531265958E-3</v>
      </c>
      <c r="Q349" s="305">
        <f t="shared" si="125"/>
        <v>0.7</v>
      </c>
      <c r="R349" s="177">
        <f t="shared" si="126"/>
        <v>0.49981061653053271</v>
      </c>
      <c r="S349" s="919">
        <f t="shared" si="127"/>
        <v>0</v>
      </c>
      <c r="T349" s="176">
        <f t="shared" si="128"/>
        <v>6</v>
      </c>
      <c r="U349" s="251">
        <f t="shared" si="129"/>
        <v>0.49981061653053271</v>
      </c>
      <c r="V349" s="383">
        <f t="shared" si="130"/>
        <v>24.870005124388154</v>
      </c>
      <c r="W349" s="402"/>
      <c r="X349" s="157">
        <f t="shared" si="131"/>
        <v>44896</v>
      </c>
      <c r="Y349" s="385">
        <f t="shared" si="132"/>
        <v>3.2128320473801066</v>
      </c>
      <c r="Z349" s="385">
        <f t="shared" si="133"/>
        <v>3.3312850975990989</v>
      </c>
      <c r="AA349" s="386">
        <f t="shared" si="134"/>
        <v>3.825880878451656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0.12927631480589152</v>
      </c>
      <c r="AD349" s="231">
        <f>(INDEX(Models!$BJ349:$BT349,,AH349)*(1-AF349)+INDEX(Models!$BJ349:$BT349,,AH349+1)*AF349-ERP_i)*AE349*Ramure*Pc/MaxiM</f>
        <v>4.8609006531265958E-3</v>
      </c>
      <c r="AE349" s="305">
        <f t="shared" si="136"/>
        <v>0.7</v>
      </c>
      <c r="AF349" s="177">
        <f t="shared" si="137"/>
        <v>0.49981061653053271</v>
      </c>
      <c r="AG349" s="919">
        <f t="shared" si="143"/>
        <v>0</v>
      </c>
      <c r="AH349" s="176">
        <f t="shared" si="138"/>
        <v>6</v>
      </c>
      <c r="AI349" s="225">
        <f t="shared" si="139"/>
        <v>0.49981061653053271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44897</v>
      </c>
      <c r="B350" s="618">
        <v>6.3150000000000004</v>
      </c>
      <c r="C350" s="953"/>
      <c r="D350" s="393">
        <f t="shared" si="122"/>
        <v>6.5479694726986244</v>
      </c>
      <c r="E350" s="385">
        <f t="shared" si="120"/>
        <v>7.2260296058864304</v>
      </c>
      <c r="F350" s="385">
        <f t="shared" si="123"/>
        <v>7.2260296058864304</v>
      </c>
      <c r="G350" s="110">
        <f t="shared" si="121"/>
        <v>0.25466538185345672</v>
      </c>
      <c r="H350" s="412" t="b">
        <f>Wh_hp&gt;='2021'!Maxi_hp</f>
        <v>0</v>
      </c>
      <c r="I350" s="380">
        <f>IF(H350,Wh_hp,'2021'!Maxi_hp)</f>
        <v>11.458603807529059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3.5578888030858513E-2</v>
      </c>
      <c r="M350" s="957"/>
      <c r="N350" s="957"/>
      <c r="O350" s="48">
        <f>IF(t&lt;Tnet,'2021'!Resal+('2021'!Salim-'2021'!Resal)*(1-EXP(('2021'!Tnet-t)/('2021'!Tau_j))),Resal+(Salim-Resal)*(1-EXP((Tnet-t)/(Tau_j))))*Salcycl</f>
        <v>9.3835781220083667E-2</v>
      </c>
      <c r="P350" s="339">
        <f>(INDEX(Models!$BJ350:$BT350,,T350)*(1-R350)+INDEX(Models!$BJ350:$BT350,,T350+1)*R350-ERP_i)*Q350*Ramure*Pc/MaxiM</f>
        <v>4.9525349561488031E-3</v>
      </c>
      <c r="Q350" s="305">
        <f t="shared" si="125"/>
        <v>0.7</v>
      </c>
      <c r="R350" s="177">
        <f t="shared" si="126"/>
        <v>0.49982640909695464</v>
      </c>
      <c r="S350" s="919">
        <f t="shared" si="127"/>
        <v>0</v>
      </c>
      <c r="T350" s="176">
        <f t="shared" si="128"/>
        <v>6</v>
      </c>
      <c r="U350" s="251">
        <f t="shared" si="129"/>
        <v>0.49982640909695464</v>
      </c>
      <c r="V350" s="383">
        <f t="shared" si="130"/>
        <v>24.674436297618939</v>
      </c>
      <c r="W350" s="402"/>
      <c r="X350" s="157">
        <f t="shared" si="131"/>
        <v>44897</v>
      </c>
      <c r="Y350" s="385">
        <f t="shared" si="132"/>
        <v>6.0677503695504207</v>
      </c>
      <c r="Z350" s="385">
        <f t="shared" si="133"/>
        <v>6.2915984462030003</v>
      </c>
      <c r="AA350" s="386">
        <f t="shared" si="134"/>
        <v>7.2260296058864304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0.12931460437447259</v>
      </c>
      <c r="AD350" s="231">
        <f>(INDEX(Models!$BJ350:$BT350,,AH350)*(1-AF350)+INDEX(Models!$BJ350:$BT350,,AH350+1)*AF350-ERP_i)*AE350*Ramure*Pc/MaxiM</f>
        <v>4.9525349561488031E-3</v>
      </c>
      <c r="AE350" s="305">
        <f t="shared" si="136"/>
        <v>0.7</v>
      </c>
      <c r="AF350" s="177">
        <f t="shared" si="137"/>
        <v>0.49982640909695464</v>
      </c>
      <c r="AG350" s="919">
        <f t="shared" si="143"/>
        <v>0</v>
      </c>
      <c r="AH350" s="176">
        <f t="shared" si="138"/>
        <v>6</v>
      </c>
      <c r="AI350" s="225">
        <f t="shared" si="139"/>
        <v>0.49982640909695464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44898</v>
      </c>
      <c r="B351" s="618">
        <v>7.1070000000000002</v>
      </c>
      <c r="C351" s="953"/>
      <c r="D351" s="393">
        <f t="shared" si="122"/>
        <v>7.369348904481992</v>
      </c>
      <c r="E351" s="385">
        <f t="shared" si="120"/>
        <v>8.1334452149029541</v>
      </c>
      <c r="F351" s="385">
        <f t="shared" si="123"/>
        <v>8.1334452149029541</v>
      </c>
      <c r="G351" s="110">
        <f t="shared" si="121"/>
        <v>0.28878005811040136</v>
      </c>
      <c r="H351" s="412" t="b">
        <f>Wh_hp&gt;='2021'!Maxi_hp</f>
        <v>0</v>
      </c>
      <c r="I351" s="380">
        <f>IF(H351,Wh_hp,'2021'!Maxi_hp)</f>
        <v>16.674095051480148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3.5600011328332237E-2</v>
      </c>
      <c r="M351" s="957"/>
      <c r="N351" s="957"/>
      <c r="O351" s="48">
        <f>IF(t&lt;Tnet,'2021'!Resal+('2021'!Salim-'2021'!Resal)*(1-EXP(('2021'!Tnet-t)/('2021'!Tau_j))),Resal+(Salim-Resal)*(1-EXP((Tnet-t)/(Tau_j))))*Salcycl</f>
        <v>9.3944975374138387E-2</v>
      </c>
      <c r="P351" s="339">
        <f>(INDEX(Models!$BJ351:$BT351,,T351)*(1-R351)+INDEX(Models!$BJ351:$BT351,,T351+1)*R351-ERP_i)*Q351*Ramure*Pc/MaxiM</f>
        <v>5.0328609172989609E-3</v>
      </c>
      <c r="Q351" s="305">
        <f t="shared" si="125"/>
        <v>0.7</v>
      </c>
      <c r="R351" s="177">
        <f t="shared" si="126"/>
        <v>0.49984156674611724</v>
      </c>
      <c r="S351" s="919">
        <f t="shared" si="127"/>
        <v>0</v>
      </c>
      <c r="T351" s="176">
        <f t="shared" si="128"/>
        <v>6</v>
      </c>
      <c r="U351" s="251">
        <f t="shared" si="129"/>
        <v>0.49984156674611724</v>
      </c>
      <c r="V351" s="383">
        <f t="shared" si="130"/>
        <v>24.486564286088644</v>
      </c>
      <c r="W351" s="402"/>
      <c r="X351" s="157">
        <f t="shared" si="131"/>
        <v>44898</v>
      </c>
      <c r="Y351" s="385">
        <f t="shared" si="132"/>
        <v>6.8292477058716718</v>
      </c>
      <c r="Z351" s="385">
        <f t="shared" si="133"/>
        <v>7.0813436189252226</v>
      </c>
      <c r="AA351" s="386">
        <f t="shared" si="134"/>
        <v>8.1334452149029541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0.12935497420575967</v>
      </c>
      <c r="AD351" s="231">
        <f>(INDEX(Models!$BJ351:$BT351,,AH351)*(1-AF351)+INDEX(Models!$BJ351:$BT351,,AH351+1)*AF351-ERP_i)*AE351*Ramure*Pc/MaxiM</f>
        <v>5.0328609172989609E-3</v>
      </c>
      <c r="AE351" s="305">
        <f t="shared" si="136"/>
        <v>0.7</v>
      </c>
      <c r="AF351" s="177">
        <f t="shared" si="137"/>
        <v>0.49984156674611724</v>
      </c>
      <c r="AG351" s="919">
        <f t="shared" si="143"/>
        <v>0</v>
      </c>
      <c r="AH351" s="176">
        <f t="shared" si="138"/>
        <v>6</v>
      </c>
      <c r="AI351" s="225">
        <f t="shared" si="139"/>
        <v>0.49984156674611724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44899</v>
      </c>
      <c r="B352" s="618">
        <v>19.696000000000002</v>
      </c>
      <c r="C352" s="953"/>
      <c r="D352" s="393">
        <f t="shared" si="122"/>
        <v>20.423508537703817</v>
      </c>
      <c r="E352" s="385">
        <f t="shared" si="120"/>
        <v>22.543884338405515</v>
      </c>
      <c r="F352" s="385">
        <f t="shared" si="123"/>
        <v>22.627987820591123</v>
      </c>
      <c r="G352" s="110">
        <f t="shared" si="121"/>
        <v>0.80914272947443888</v>
      </c>
      <c r="H352" s="412" t="b">
        <f>Wh_hp&gt;='2021'!Maxi_hp</f>
        <v>1</v>
      </c>
      <c r="I352" s="380">
        <f>IF(H352,Wh_hp,'2021'!Maxi_hp)</f>
        <v>22.627987820591123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3.5621134163151491E-2</v>
      </c>
      <c r="M352" s="957"/>
      <c r="N352" s="957"/>
      <c r="O352" s="48">
        <f>IF(t&lt;Tnet,'2021'!Resal+('2021'!Salim-'2021'!Resal)*(1-EXP(('2021'!Tnet-t)/('2021'!Tau_j))),Resal+(Salim-Resal)*(1-EXP((Tnet-t)/(Tau_j))))*Salcycl</f>
        <v>9.4055477258169304E-2</v>
      </c>
      <c r="P352" s="339">
        <f>(INDEX(Models!$BJ352:$BT352,,T352)*(1-R352)+INDEX(Models!$BJ352:$BT352,,T352+1)*R352-ERP_i)*Q352*Ramure*Pc/MaxiM</f>
        <v>5.0988101759929108E-3</v>
      </c>
      <c r="Q352" s="305">
        <f t="shared" si="125"/>
        <v>0.7</v>
      </c>
      <c r="R352" s="177">
        <f t="shared" si="126"/>
        <v>0.49985611496775223</v>
      </c>
      <c r="S352" s="919">
        <f t="shared" si="127"/>
        <v>0</v>
      </c>
      <c r="T352" s="176">
        <f t="shared" si="128"/>
        <v>6</v>
      </c>
      <c r="U352" s="251">
        <f t="shared" si="129"/>
        <v>0.49985611496775223</v>
      </c>
      <c r="V352" s="383">
        <f t="shared" si="130"/>
        <v>24.308045376412927</v>
      </c>
      <c r="W352" s="402"/>
      <c r="X352" s="157">
        <f t="shared" si="131"/>
        <v>44899</v>
      </c>
      <c r="Y352" s="385">
        <f t="shared" si="132"/>
        <v>18.927636879770574</v>
      </c>
      <c r="Z352" s="385">
        <f t="shared" si="133"/>
        <v>19.626764490889112</v>
      </c>
      <c r="AA352" s="386">
        <f t="shared" si="134"/>
        <v>22.543884338405515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0.12939739238046169</v>
      </c>
      <c r="AD352" s="231">
        <f>(INDEX(Models!$BJ352:$BT352,,AH352)*(1-AF352)+INDEX(Models!$BJ352:$BT352,,AH352+1)*AF352-ERP_i)*AE352*Ramure*Pc/MaxiM</f>
        <v>5.0988101759929108E-3</v>
      </c>
      <c r="AE352" s="305">
        <f t="shared" si="136"/>
        <v>0.7</v>
      </c>
      <c r="AF352" s="177">
        <f t="shared" si="137"/>
        <v>0.49985611496775223</v>
      </c>
      <c r="AG352" s="919">
        <f t="shared" si="143"/>
        <v>0</v>
      </c>
      <c r="AH352" s="176">
        <f t="shared" si="138"/>
        <v>6</v>
      </c>
      <c r="AI352" s="225">
        <f t="shared" si="139"/>
        <v>0.49985611496775223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44900</v>
      </c>
      <c r="B353" s="618">
        <v>25.007000000000001</v>
      </c>
      <c r="C353" s="953"/>
      <c r="D353" s="393">
        <f t="shared" si="122"/>
        <v>25.931248200648746</v>
      </c>
      <c r="E353" s="385">
        <f t="shared" si="120"/>
        <v>28.626971793172807</v>
      </c>
      <c r="F353" s="385">
        <f t="shared" si="123"/>
        <v>28.775249573433708</v>
      </c>
      <c r="G353" s="110">
        <f t="shared" si="121"/>
        <v>1.0358984992438316</v>
      </c>
      <c r="H353" s="412" t="b">
        <f>Wh_hp&gt;='2021'!Maxi_hp</f>
        <v>1</v>
      </c>
      <c r="I353" s="380">
        <f>IF(H353,Wh_hp,'2021'!Maxi_hp)</f>
        <v>28.775249573433708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3.5642256535326378E-2</v>
      </c>
      <c r="M353" s="957"/>
      <c r="N353" s="957"/>
      <c r="O353" s="48">
        <f>IF(t&lt;Tnet,'2021'!Resal+('2021'!Salim-'2021'!Resal)*(1-EXP(('2021'!Tnet-t)/('2021'!Tau_j))),Resal+(Salim-Resal)*(1-EXP((Tnet-t)/(Tau_j))))*Salcycl</f>
        <v>9.4167263376664936E-2</v>
      </c>
      <c r="P353" s="339">
        <f>(INDEX(Models!$BJ353:$BT353,,T353)*(1-R353)+INDEX(Models!$BJ353:$BT353,,T353+1)*R353-ERP_i)*Q353*Ramure*Pc/MaxiM</f>
        <v>5.1529624402561654E-3</v>
      </c>
      <c r="Q353" s="305">
        <f t="shared" si="125"/>
        <v>0.7</v>
      </c>
      <c r="R353" s="177">
        <f t="shared" si="126"/>
        <v>0.49987007823112117</v>
      </c>
      <c r="S353" s="919">
        <f t="shared" si="127"/>
        <v>0</v>
      </c>
      <c r="T353" s="176">
        <f t="shared" si="128"/>
        <v>6</v>
      </c>
      <c r="U353" s="251">
        <f t="shared" si="129"/>
        <v>0.49987007823112117</v>
      </c>
      <c r="V353" s="383">
        <f t="shared" si="130"/>
        <v>24.140396012016822</v>
      </c>
      <c r="W353" s="402"/>
      <c r="X353" s="157">
        <f t="shared" si="131"/>
        <v>44900</v>
      </c>
      <c r="Y353" s="385">
        <f t="shared" si="132"/>
        <v>24.033187933194458</v>
      </c>
      <c r="Z353" s="385">
        <f t="shared" si="133"/>
        <v>24.921444449494217</v>
      </c>
      <c r="AA353" s="386">
        <f t="shared" si="134"/>
        <v>28.626971793172807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0.12944182047792824</v>
      </c>
      <c r="AD353" s="231">
        <f>(INDEX(Models!$BJ353:$BT353,,AH353)*(1-AF353)+INDEX(Models!$BJ353:$BT353,,AH353+1)*AF353-ERP_i)*AE353*Ramure*Pc/MaxiM</f>
        <v>5.1529624402561654E-3</v>
      </c>
      <c r="AE353" s="305">
        <f t="shared" si="136"/>
        <v>0.7</v>
      </c>
      <c r="AF353" s="177">
        <f t="shared" si="137"/>
        <v>0.49987007823112117</v>
      </c>
      <c r="AG353" s="919">
        <f t="shared" si="143"/>
        <v>0</v>
      </c>
      <c r="AH353" s="176">
        <f t="shared" si="138"/>
        <v>6</v>
      </c>
      <c r="AI353" s="225">
        <f t="shared" si="139"/>
        <v>0.49987007823112117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44901</v>
      </c>
      <c r="B354" s="618">
        <v>10.911</v>
      </c>
      <c r="C354" s="953"/>
      <c r="D354" s="393">
        <f t="shared" si="122"/>
        <v>11.314513787109348</v>
      </c>
      <c r="E354" s="385">
        <f t="shared" si="120"/>
        <v>12.492290780415169</v>
      </c>
      <c r="F354" s="385">
        <f t="shared" si="123"/>
        <v>12.506668126391771</v>
      </c>
      <c r="G354" s="110">
        <f t="shared" si="121"/>
        <v>0.45306305006779241</v>
      </c>
      <c r="H354" s="412" t="b">
        <f>Wh_hp&gt;='2021'!Maxi_hp</f>
        <v>0</v>
      </c>
      <c r="I354" s="380">
        <f>IF(H354,Wh_hp,'2021'!Maxi_hp)</f>
        <v>23.022498392650729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3.5663378444867222E-2</v>
      </c>
      <c r="M354" s="957"/>
      <c r="N354" s="957"/>
      <c r="O354" s="48">
        <f>IF(t&lt;Tnet,'2021'!Resal+('2021'!Salim-'2021'!Resal)*(1-EXP(('2021'!Tnet-t)/('2021'!Tau_j))),Resal+(Salim-Resal)*(1-EXP((Tnet-t)/(Tau_j))))*Salcycl</f>
        <v>9.4280305670780967E-2</v>
      </c>
      <c r="P354" s="339">
        <f>(INDEX(Models!$BJ354:$BT354,,T354)*(1-R354)+INDEX(Models!$BJ354:$BT354,,T354+1)*R354-ERP_i)*Q354*Ramure*Pc/MaxiM</f>
        <v>5.1947982697987212E-3</v>
      </c>
      <c r="Q354" s="305">
        <f t="shared" si="125"/>
        <v>0.7</v>
      </c>
      <c r="R354" s="177">
        <f t="shared" si="126"/>
        <v>0.49988348002564414</v>
      </c>
      <c r="S354" s="919">
        <f t="shared" si="127"/>
        <v>0</v>
      </c>
      <c r="T354" s="176">
        <f t="shared" si="128"/>
        <v>6</v>
      </c>
      <c r="U354" s="251">
        <f t="shared" si="129"/>
        <v>0.49988348002564414</v>
      </c>
      <c r="V354" s="383">
        <f t="shared" si="130"/>
        <v>23.985208600601339</v>
      </c>
      <c r="W354" s="402"/>
      <c r="X354" s="157">
        <f t="shared" si="131"/>
        <v>44901</v>
      </c>
      <c r="Y354" s="385">
        <f t="shared" si="132"/>
        <v>10.486858303732165</v>
      </c>
      <c r="Z354" s="385">
        <f t="shared" si="133"/>
        <v>10.874686358815849</v>
      </c>
      <c r="AA354" s="386">
        <f t="shared" si="134"/>
        <v>12.492290780415169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0.12948821397395943</v>
      </c>
      <c r="AD354" s="231">
        <f>(INDEX(Models!$BJ354:$BT354,,AH354)*(1-AF354)+INDEX(Models!$BJ354:$BT354,,AH354+1)*AF354-ERP_i)*AE354*Ramure*Pc/MaxiM</f>
        <v>5.1947982697987212E-3</v>
      </c>
      <c r="AE354" s="305">
        <f t="shared" si="136"/>
        <v>0.7</v>
      </c>
      <c r="AF354" s="177">
        <f t="shared" si="137"/>
        <v>0.49988348002564414</v>
      </c>
      <c r="AG354" s="919">
        <f t="shared" si="143"/>
        <v>0</v>
      </c>
      <c r="AH354" s="176">
        <f t="shared" si="138"/>
        <v>6</v>
      </c>
      <c r="AI354" s="225">
        <f t="shared" si="139"/>
        <v>0.49988348002564414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44902</v>
      </c>
      <c r="B355" s="618">
        <v>19.600000000000001</v>
      </c>
      <c r="C355" s="953"/>
      <c r="D355" s="393">
        <f t="shared" si="122"/>
        <v>20.325298097770364</v>
      </c>
      <c r="E355" s="385">
        <f t="shared" si="120"/>
        <v>22.443878388024309</v>
      </c>
      <c r="F355" s="385">
        <f t="shared" si="123"/>
        <v>22.531650650924487</v>
      </c>
      <c r="G355" s="110">
        <f t="shared" si="121"/>
        <v>0.82091101649258735</v>
      </c>
      <c r="H355" s="412" t="b">
        <f>Wh_hp&gt;='2021'!Maxi_hp</f>
        <v>0</v>
      </c>
      <c r="I355" s="380">
        <f>IF(H355,Wh_hp,'2021'!Maxi_hp)</f>
        <v>23.615013833101326</v>
      </c>
      <c r="J355" s="85">
        <f>IF(H355,An,'2021'!An_max)</f>
        <v>2018</v>
      </c>
      <c r="K355" s="197">
        <f t="shared" si="124"/>
        <v>44902</v>
      </c>
      <c r="L355" s="147">
        <f>IF(t&lt;Tvie,1-EXP((T0-t)*PertePVj)+'2021'!Pspv,1-EXP((T0-t)*PertePVj)+Pspv)</f>
        <v>3.5684499891783905E-2</v>
      </c>
      <c r="M355" s="957"/>
      <c r="N355" s="957"/>
      <c r="O355" s="48">
        <f>IF(t&lt;Tnet,'2021'!Resal+('2021'!Salim-'2021'!Resal)*(1-EXP(('2021'!Tnet-t)/('2021'!Tau_j))),Resal+(Salim-Resal)*(1-EXP((Tnet-t)/(Tau_j))))*Salcycl</f>
        <v>9.4394571812703512E-2</v>
      </c>
      <c r="P355" s="339">
        <f>(INDEX(Models!$BJ355:$BT355,,T355)*(1-R355)+INDEX(Models!$BJ355:$BT355,,T355+1)*R355-ERP_i)*Q355*Ramure*Pc/MaxiM</f>
        <v>5.2237920440750263E-3</v>
      </c>
      <c r="Q355" s="305">
        <f t="shared" si="125"/>
        <v>0.7</v>
      </c>
      <c r="R355" s="177">
        <f t="shared" si="126"/>
        <v>0.49989634289992918</v>
      </c>
      <c r="S355" s="919">
        <f t="shared" si="127"/>
        <v>0</v>
      </c>
      <c r="T355" s="176">
        <f t="shared" si="128"/>
        <v>6</v>
      </c>
      <c r="U355" s="251">
        <f t="shared" si="129"/>
        <v>0.49989634289992918</v>
      </c>
      <c r="V355" s="383">
        <f t="shared" si="130"/>
        <v>23.844075007546419</v>
      </c>
      <c r="W355" s="402"/>
      <c r="X355" s="157">
        <f t="shared" si="131"/>
        <v>44902</v>
      </c>
      <c r="Y355" s="385">
        <f t="shared" si="132"/>
        <v>18.839423467055045</v>
      </c>
      <c r="Z355" s="385">
        <f t="shared" si="133"/>
        <v>19.536576426429807</v>
      </c>
      <c r="AA355" s="386">
        <f t="shared" si="134"/>
        <v>22.443878388024309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0.12953652266917423</v>
      </c>
      <c r="AD355" s="231">
        <f>(INDEX(Models!$BJ355:$BT355,,AH355)*(1-AF355)+INDEX(Models!$BJ355:$BT355,,AH355+1)*AF355-ERP_i)*AE355*Ramure*Pc/MaxiM</f>
        <v>5.2237920440750263E-3</v>
      </c>
      <c r="AE355" s="305">
        <f t="shared" si="136"/>
        <v>0.7</v>
      </c>
      <c r="AF355" s="177">
        <f t="shared" si="137"/>
        <v>0.49989634289992918</v>
      </c>
      <c r="AG355" s="919">
        <f t="shared" si="143"/>
        <v>0</v>
      </c>
      <c r="AH355" s="176">
        <f t="shared" si="138"/>
        <v>6</v>
      </c>
      <c r="AI355" s="225">
        <f t="shared" si="139"/>
        <v>0.49989634289992918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44903</v>
      </c>
      <c r="B356" s="618">
        <v>4.4950000000000001</v>
      </c>
      <c r="C356" s="953"/>
      <c r="D356" s="393">
        <f t="shared" si="122"/>
        <v>4.6614395949127339</v>
      </c>
      <c r="E356" s="385">
        <f t="shared" si="120"/>
        <v>5.1479748272163803</v>
      </c>
      <c r="F356" s="385">
        <f t="shared" si="123"/>
        <v>5.1479748272163803</v>
      </c>
      <c r="G356" s="110">
        <f t="shared" si="121"/>
        <v>0.18852087931450617</v>
      </c>
      <c r="H356" s="412" t="b">
        <f>Wh_hp&gt;='2021'!Maxi_hp</f>
        <v>0</v>
      </c>
      <c r="I356" s="380">
        <f>IF(H356,Wh_hp,'2021'!Maxi_hp)</f>
        <v>18.625313050324355</v>
      </c>
      <c r="J356" s="85">
        <f>IF(H356,An,'2021'!An_max)</f>
        <v>2019</v>
      </c>
      <c r="K356" s="197">
        <f t="shared" si="124"/>
        <v>44903</v>
      </c>
      <c r="L356" s="147">
        <f>IF(t&lt;Tvie,1-EXP((T0-t)*PertePVj)+'2021'!Pspv,1-EXP((T0-t)*PertePVj)+Pspv)</f>
        <v>3.5705620876086752E-2</v>
      </c>
      <c r="M356" s="957"/>
      <c r="N356" s="957"/>
      <c r="O356" s="48">
        <f>IF(t&lt;Tnet,'2021'!Resal+('2021'!Salim-'2021'!Resal)*(1-EXP(('2021'!Tnet-t)/('2021'!Tau_j))),Resal+(Salim-Resal)*(1-EXP((Tnet-t)/(Tau_j))))*Salcycl</f>
        <v>9.4510025521380839E-2</v>
      </c>
      <c r="P356" s="339">
        <f>(INDEX(Models!$BJ356:$BT356,,T356)*(1-R356)+INDEX(Models!$BJ356:$BT356,,T356+1)*R356-ERP_i)*Q356*Ramure*Pc/MaxiM</f>
        <v>5.2394236137984825E-3</v>
      </c>
      <c r="Q356" s="305">
        <f t="shared" si="125"/>
        <v>0.7</v>
      </c>
      <c r="R356" s="177">
        <f t="shared" si="126"/>
        <v>0.49990868849926323</v>
      </c>
      <c r="S356" s="919">
        <f t="shared" si="127"/>
        <v>0</v>
      </c>
      <c r="T356" s="176">
        <f t="shared" si="128"/>
        <v>6</v>
      </c>
      <c r="U356" s="251">
        <f t="shared" si="129"/>
        <v>0.49990868849926323</v>
      </c>
      <c r="V356" s="383">
        <f t="shared" si="130"/>
        <v>23.718586541262273</v>
      </c>
      <c r="W356" s="402"/>
      <c r="X356" s="157">
        <f t="shared" si="131"/>
        <v>44903</v>
      </c>
      <c r="Y356" s="385">
        <f t="shared" si="132"/>
        <v>4.3208737076952222</v>
      </c>
      <c r="Z356" s="385">
        <f t="shared" si="133"/>
        <v>4.4808658032631588</v>
      </c>
      <c r="AA356" s="386">
        <f t="shared" si="134"/>
        <v>5.1479748272163803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0.12958669114431978</v>
      </c>
      <c r="AD356" s="231">
        <f>(INDEX(Models!$BJ356:$BT356,,AH356)*(1-AF356)+INDEX(Models!$BJ356:$BT356,,AH356+1)*AF356-ERP_i)*AE356*Ramure*Pc/MaxiM</f>
        <v>5.2394236137984825E-3</v>
      </c>
      <c r="AE356" s="305">
        <f t="shared" si="136"/>
        <v>0.7</v>
      </c>
      <c r="AF356" s="177">
        <f t="shared" si="137"/>
        <v>0.49990868849926323</v>
      </c>
      <c r="AG356" s="919">
        <f t="shared" si="143"/>
        <v>0</v>
      </c>
      <c r="AH356" s="176">
        <f t="shared" si="138"/>
        <v>6</v>
      </c>
      <c r="AI356" s="225">
        <f t="shared" si="139"/>
        <v>0.49990868849926323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44904</v>
      </c>
      <c r="B357" s="618">
        <v>5.4729999999999999</v>
      </c>
      <c r="C357" s="953"/>
      <c r="D357" s="393">
        <f t="shared" si="122"/>
        <v>5.6757770177444522</v>
      </c>
      <c r="E357" s="385">
        <f t="shared" si="120"/>
        <v>6.2689904368309852</v>
      </c>
      <c r="F357" s="385">
        <f t="shared" si="123"/>
        <v>6.2689904368309852</v>
      </c>
      <c r="G357" s="110">
        <f t="shared" si="121"/>
        <v>0.23059034162984665</v>
      </c>
      <c r="H357" s="412" t="b">
        <f>Wh_hp&gt;='2021'!Maxi_hp</f>
        <v>0</v>
      </c>
      <c r="I357" s="380">
        <f>IF(H357,Wh_hp,'2021'!Maxi_hp)</f>
        <v>9.4747658981708156</v>
      </c>
      <c r="J357" s="85">
        <f>IF(H357,An,'2021'!An_max)</f>
        <v>2019</v>
      </c>
      <c r="K357" s="197">
        <f t="shared" si="124"/>
        <v>44904</v>
      </c>
      <c r="L357" s="147">
        <f>IF(t&lt;Tvie,1-EXP((T0-t)*PertePVj)+'2021'!Pspv,1-EXP((T0-t)*PertePVj)+Pspv)</f>
        <v>3.5726741397785866E-2</v>
      </c>
      <c r="M357" s="957"/>
      <c r="N357" s="957"/>
      <c r="O357" s="48">
        <f>IF(t&lt;Tnet,'2021'!Resal+('2021'!Salim-'2021'!Resal)*(1-EXP(('2021'!Tnet-t)/('2021'!Tau_j))),Resal+(Salim-Resal)*(1-EXP((Tnet-t)/(Tau_j))))*Salcycl</f>
        <v>9.4626626896946828E-2</v>
      </c>
      <c r="P357" s="339">
        <f>(INDEX(Models!$BJ357:$BT357,,T357)*(1-R357)+INDEX(Models!$BJ357:$BT357,,T357+1)*R357-ERP_i)*Q357*Ramure*Pc/MaxiM</f>
        <v>5.2411911426368347E-3</v>
      </c>
      <c r="Q357" s="305">
        <f t="shared" si="125"/>
        <v>0.7</v>
      </c>
      <c r="R357" s="177">
        <f t="shared" si="126"/>
        <v>0.4999205376016233</v>
      </c>
      <c r="S357" s="919">
        <f t="shared" si="127"/>
        <v>0</v>
      </c>
      <c r="T357" s="176">
        <f t="shared" si="128"/>
        <v>6</v>
      </c>
      <c r="U357" s="251">
        <f t="shared" si="129"/>
        <v>0.4999205376016233</v>
      </c>
      <c r="V357" s="383">
        <f t="shared" si="130"/>
        <v>23.610333903818887</v>
      </c>
      <c r="W357" s="402"/>
      <c r="X357" s="157">
        <f t="shared" si="131"/>
        <v>44904</v>
      </c>
      <c r="Y357" s="385">
        <f t="shared" si="132"/>
        <v>5.2613515699718594</v>
      </c>
      <c r="Z357" s="385">
        <f t="shared" si="133"/>
        <v>5.4562869218198378</v>
      </c>
      <c r="AA357" s="386">
        <f t="shared" si="134"/>
        <v>6.2689904368309852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0.12963865923872334</v>
      </c>
      <c r="AD357" s="231">
        <f>(INDEX(Models!$BJ357:$BT357,,AH357)*(1-AF357)+INDEX(Models!$BJ357:$BT357,,AH357+1)*AF357-ERP_i)*AE357*Ramure*Pc/MaxiM</f>
        <v>5.2411911426368347E-3</v>
      </c>
      <c r="AE357" s="305">
        <f t="shared" si="136"/>
        <v>0.7</v>
      </c>
      <c r="AF357" s="177">
        <f t="shared" si="137"/>
        <v>0.4999205376016233</v>
      </c>
      <c r="AG357" s="919">
        <f t="shared" si="143"/>
        <v>0</v>
      </c>
      <c r="AH357" s="176">
        <f t="shared" si="138"/>
        <v>6</v>
      </c>
      <c r="AI357" s="225">
        <f t="shared" si="139"/>
        <v>0.4999205376016233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44905</v>
      </c>
      <c r="B358" s="618">
        <v>13.636000000000001</v>
      </c>
      <c r="C358" s="953"/>
      <c r="D358" s="393">
        <f t="shared" si="122"/>
        <v>14.141529435032078</v>
      </c>
      <c r="E358" s="385">
        <f t="shared" si="120"/>
        <v>15.621586195997072</v>
      </c>
      <c r="F358" s="385">
        <f t="shared" si="123"/>
        <v>15.654295918235368</v>
      </c>
      <c r="G358" s="110">
        <f t="shared" si="121"/>
        <v>0.57791586223296243</v>
      </c>
      <c r="H358" s="412" t="b">
        <f>Wh_hp&gt;='2021'!Maxi_hp</f>
        <v>0</v>
      </c>
      <c r="I358" s="380">
        <f>IF(H358,Wh_hp,'2021'!Maxi_hp)</f>
        <v>22.134135091685113</v>
      </c>
      <c r="J358" s="85">
        <f>IF(H358,An,'2021'!An_max)</f>
        <v>2019</v>
      </c>
      <c r="K358" s="197">
        <f t="shared" si="124"/>
        <v>44905</v>
      </c>
      <c r="L358" s="147">
        <f>IF(t&lt;Tvie,1-EXP((T0-t)*PertePVj)+'2021'!Pspv,1-EXP((T0-t)*PertePVj)+Pspv)</f>
        <v>3.574786145689135E-2</v>
      </c>
      <c r="M358" s="957"/>
      <c r="N358" s="957"/>
      <c r="O358" s="48">
        <f>IF(t&lt;Tnet,'2021'!Resal+('2021'!Salim-'2021'!Resal)*(1-EXP(('2021'!Tnet-t)/('2021'!Tau_j))),Resal+(Salim-Resal)*(1-EXP((Tnet-t)/(Tau_j))))*Salcycl</f>
        <v>9.4744332771037568E-2</v>
      </c>
      <c r="P358" s="339">
        <f>(INDEX(Models!$BJ358:$BT358,,T358)*(1-R358)+INDEX(Models!$BJ358:$BT358,,T358+1)*R358-ERP_i)*Q358*Ramure*Pc/MaxiM</f>
        <v>5.2286249722233273E-3</v>
      </c>
      <c r="Q358" s="305">
        <f t="shared" si="125"/>
        <v>0.7</v>
      </c>
      <c r="R358" s="177">
        <f t="shared" si="126"/>
        <v>0.49993191015226784</v>
      </c>
      <c r="S358" s="919">
        <f t="shared" si="127"/>
        <v>0</v>
      </c>
      <c r="T358" s="176">
        <f t="shared" si="128"/>
        <v>6</v>
      </c>
      <c r="U358" s="251">
        <f t="shared" si="129"/>
        <v>0.49993191015226784</v>
      </c>
      <c r="V358" s="383">
        <f t="shared" si="130"/>
        <v>23.52090713086444</v>
      </c>
      <c r="W358" s="402"/>
      <c r="X358" s="157">
        <f t="shared" si="131"/>
        <v>44905</v>
      </c>
      <c r="Y358" s="385">
        <f t="shared" si="132"/>
        <v>13.109572658764296</v>
      </c>
      <c r="Z358" s="385">
        <f t="shared" si="133"/>
        <v>13.595585775491863</v>
      </c>
      <c r="AA358" s="386">
        <f t="shared" si="134"/>
        <v>15.621586195997072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0.12969236254794395</v>
      </c>
      <c r="AD358" s="231">
        <f>(INDEX(Models!$BJ358:$BT358,,AH358)*(1-AF358)+INDEX(Models!$BJ358:$BT358,,AH358+1)*AF358-ERP_i)*AE358*Ramure*Pc/MaxiM</f>
        <v>5.2286249722233273E-3</v>
      </c>
      <c r="AE358" s="305">
        <f t="shared" si="136"/>
        <v>0.7</v>
      </c>
      <c r="AF358" s="177">
        <f t="shared" si="137"/>
        <v>0.49993191015226784</v>
      </c>
      <c r="AG358" s="919">
        <f t="shared" si="143"/>
        <v>0</v>
      </c>
      <c r="AH358" s="176">
        <f t="shared" si="138"/>
        <v>6</v>
      </c>
      <c r="AI358" s="225">
        <f t="shared" si="139"/>
        <v>0.49993191015226784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44906</v>
      </c>
      <c r="B359" s="618">
        <v>16.623999999999999</v>
      </c>
      <c r="C359" s="953"/>
      <c r="D359" s="393">
        <f t="shared" si="122"/>
        <v>17.240681613999062</v>
      </c>
      <c r="E359" s="385">
        <f t="shared" si="120"/>
        <v>19.047595516425719</v>
      </c>
      <c r="F359" s="385">
        <f t="shared" si="123"/>
        <v>19.105658338969846</v>
      </c>
      <c r="G359" s="110">
        <f t="shared" si="121"/>
        <v>0.70740842118262837</v>
      </c>
      <c r="H359" s="412" t="b">
        <f>Wh_hp&gt;='2021'!Maxi_hp</f>
        <v>0</v>
      </c>
      <c r="I359" s="380">
        <f>IF(H359,Wh_hp,'2021'!Maxi_hp)</f>
        <v>23.016717284204159</v>
      </c>
      <c r="J359" s="85">
        <f>IF(H359,An,'2021'!An_max)</f>
        <v>2018</v>
      </c>
      <c r="K359" s="197">
        <f t="shared" si="124"/>
        <v>44906</v>
      </c>
      <c r="L359" s="147">
        <f>IF(t&lt;Tvie,1-EXP((T0-t)*PertePVj)+'2021'!Pspv,1-EXP((T0-t)*PertePVj)+Pspv)</f>
        <v>3.5768981053413307E-2</v>
      </c>
      <c r="M359" s="957"/>
      <c r="N359" s="957"/>
      <c r="O359" s="48">
        <f>IF(t&lt;Tnet,'2021'!Resal+('2021'!Salim-'2021'!Resal)*(1-EXP(('2021'!Tnet-t)/('2021'!Tau_j))),Resal+(Salim-Resal)*(1-EXP((Tnet-t)/(Tau_j))))*Salcycl</f>
        <v>9.4863097070098074E-2</v>
      </c>
      <c r="P359" s="339">
        <f>(INDEX(Models!$BJ359:$BT359,,T359)*(1-R359)+INDEX(Models!$BJ359:$BT359,,T359+1)*R359-ERP_i)*Q359*Ramure*Pc/MaxiM</f>
        <v>5.2019680949886528E-3</v>
      </c>
      <c r="Q359" s="305">
        <f t="shared" si="125"/>
        <v>0.7</v>
      </c>
      <c r="R359" s="177">
        <f t="shared" si="126"/>
        <v>0.49994282529695916</v>
      </c>
      <c r="S359" s="919">
        <f t="shared" si="127"/>
        <v>0</v>
      </c>
      <c r="T359" s="176">
        <f t="shared" si="128"/>
        <v>6</v>
      </c>
      <c r="U359" s="251">
        <f t="shared" si="129"/>
        <v>0.49994282529695916</v>
      </c>
      <c r="V359" s="383">
        <f t="shared" si="130"/>
        <v>23.448878112984477</v>
      </c>
      <c r="W359" s="402"/>
      <c r="X359" s="157">
        <f t="shared" si="131"/>
        <v>44906</v>
      </c>
      <c r="Y359" s="385">
        <f t="shared" si="132"/>
        <v>15.983298925094056</v>
      </c>
      <c r="Z359" s="385">
        <f t="shared" si="133"/>
        <v>16.576213180276714</v>
      </c>
      <c r="AA359" s="386">
        <f t="shared" si="134"/>
        <v>19.047595516425719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0.12974773293656963</v>
      </c>
      <c r="AD359" s="231">
        <f>(INDEX(Models!$BJ359:$BT359,,AH359)*(1-AF359)+INDEX(Models!$BJ359:$BT359,,AH359+1)*AF359-ERP_i)*AE359*Ramure*Pc/MaxiM</f>
        <v>5.2019680949886528E-3</v>
      </c>
      <c r="AE359" s="305">
        <f t="shared" si="136"/>
        <v>0.7</v>
      </c>
      <c r="AF359" s="177">
        <f t="shared" si="137"/>
        <v>0.49994282529695916</v>
      </c>
      <c r="AG359" s="919">
        <f t="shared" si="143"/>
        <v>0</v>
      </c>
      <c r="AH359" s="176">
        <f t="shared" si="138"/>
        <v>6</v>
      </c>
      <c r="AI359" s="225">
        <f t="shared" si="139"/>
        <v>0.49994282529695916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44907</v>
      </c>
      <c r="B360" s="618">
        <v>4.9089999999999998</v>
      </c>
      <c r="C360" s="953"/>
      <c r="D360" s="393">
        <f t="shared" si="122"/>
        <v>5.0912150984488953</v>
      </c>
      <c r="E360" s="385">
        <f t="shared" si="120"/>
        <v>5.625545568552945</v>
      </c>
      <c r="F360" s="385">
        <f t="shared" si="123"/>
        <v>5.625545568552945</v>
      </c>
      <c r="G360" s="110">
        <f t="shared" si="121"/>
        <v>0.20877969449604525</v>
      </c>
      <c r="H360" s="412" t="b">
        <f>Wh_hp&gt;='2021'!Maxi_hp</f>
        <v>0</v>
      </c>
      <c r="I360" s="380">
        <f>IF(H360,Wh_hp,'2021'!Maxi_hp)</f>
        <v>26.632515874966092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3.5790100187361951E-2</v>
      </c>
      <c r="M360" s="957"/>
      <c r="N360" s="957"/>
      <c r="O360" s="48">
        <f>IF(t&lt;Tnet,'2021'!Resal+('2021'!Salim-'2021'!Resal)*(1-EXP(('2021'!Tnet-t)/('2021'!Tau_j))),Resal+(Salim-Resal)*(1-EXP((Tnet-t)/(Tau_j))))*Salcycl</f>
        <v>9.4982871188704188E-2</v>
      </c>
      <c r="P360" s="339">
        <f>(INDEX(Models!$BJ360:$BT360,,T360)*(1-R360)+INDEX(Models!$BJ360:$BT360,,T360+1)*R360-ERP_i)*Q360*Ramure*Pc/MaxiM</f>
        <v>5.1618095000120229E-3</v>
      </c>
      <c r="Q360" s="305">
        <f t="shared" si="125"/>
        <v>0.7</v>
      </c>
      <c r="R360" s="177">
        <f t="shared" si="126"/>
        <v>0.4999533014138739</v>
      </c>
      <c r="S360" s="919">
        <f t="shared" si="127"/>
        <v>0</v>
      </c>
      <c r="T360" s="176">
        <f t="shared" si="128"/>
        <v>6</v>
      </c>
      <c r="U360" s="251">
        <f t="shared" si="129"/>
        <v>0.4999533014138739</v>
      </c>
      <c r="V360" s="383">
        <f t="shared" si="130"/>
        <v>23.391454274098226</v>
      </c>
      <c r="W360" s="402"/>
      <c r="X360" s="157">
        <f t="shared" si="131"/>
        <v>44907</v>
      </c>
      <c r="Y360" s="385">
        <f t="shared" si="132"/>
        <v>4.7201192069318161</v>
      </c>
      <c r="Z360" s="385">
        <f t="shared" si="133"/>
        <v>4.895323318967181</v>
      </c>
      <c r="AA360" s="386">
        <f t="shared" si="134"/>
        <v>5.625545568552945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0.12980469906203218</v>
      </c>
      <c r="AD360" s="231">
        <f>(INDEX(Models!$BJ360:$BT360,,AH360)*(1-AF360)+INDEX(Models!$BJ360:$BT360,,AH360+1)*AF360-ERP_i)*AE360*Ramure*Pc/MaxiM</f>
        <v>5.1618095000120229E-3</v>
      </c>
      <c r="AE360" s="305">
        <f t="shared" si="136"/>
        <v>0.7</v>
      </c>
      <c r="AF360" s="177">
        <f t="shared" si="137"/>
        <v>0.4999533014138739</v>
      </c>
      <c r="AG360" s="919">
        <f t="shared" si="143"/>
        <v>0</v>
      </c>
      <c r="AH360" s="176">
        <f t="shared" si="138"/>
        <v>6</v>
      </c>
      <c r="AI360" s="225">
        <f t="shared" si="139"/>
        <v>0.4999533014138739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44908</v>
      </c>
      <c r="B361" s="618">
        <v>5.3819999999999997</v>
      </c>
      <c r="C361" s="953"/>
      <c r="D361" s="393">
        <f t="shared" si="122"/>
        <v>5.5818944435649289</v>
      </c>
      <c r="E361" s="385">
        <f t="shared" ref="E361:E379" si="144">Wh_pvt/(1-Psa)</f>
        <v>6.1685453390252247</v>
      </c>
      <c r="F361" s="385">
        <f t="shared" si="123"/>
        <v>6.1685453390252247</v>
      </c>
      <c r="G361" s="110">
        <f t="shared" ref="G361:G379" si="145">+Wh_hp/MaxiM</f>
        <v>0.22933297712989481</v>
      </c>
      <c r="H361" s="412" t="b">
        <f>Wh_hp&gt;='2021'!Maxi_hp</f>
        <v>0</v>
      </c>
      <c r="I361" s="380">
        <f>IF(H361,Wh_hp,'2021'!Maxi_hp)</f>
        <v>27.848923412804474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3.5811218858747274E-2</v>
      </c>
      <c r="M361" s="957"/>
      <c r="N361" s="957"/>
      <c r="O361" s="48">
        <f>IF(t&lt;Tnet,'2021'!Resal+('2021'!Salim-'2021'!Resal)*(1-EXP(('2021'!Tnet-t)/('2021'!Tau_j))),Resal+(Salim-Resal)*(1-EXP((Tnet-t)/(Tau_j))))*Salcycl</f>
        <v>9.5103604369875722E-2</v>
      </c>
      <c r="P361" s="339">
        <f>(INDEX(Models!$BJ361:$BT361,,T361)*(1-R361)+INDEX(Models!$BJ361:$BT361,,T361+1)*R361-ERP_i)*Q361*Ramure*Pc/MaxiM</f>
        <v>5.1206093691942593E-3</v>
      </c>
      <c r="Q361" s="305">
        <f t="shared" si="125"/>
        <v>0.7</v>
      </c>
      <c r="R361" s="177">
        <f t="shared" si="126"/>
        <v>0.4999633561442498</v>
      </c>
      <c r="S361" s="919">
        <f t="shared" si="127"/>
        <v>0</v>
      </c>
      <c r="T361" s="176">
        <f t="shared" si="128"/>
        <v>6</v>
      </c>
      <c r="U361" s="251">
        <f t="shared" si="129"/>
        <v>0.4999633561442498</v>
      </c>
      <c r="V361" s="383">
        <f t="shared" si="130"/>
        <v>23.34788894029063</v>
      </c>
      <c r="W361" s="402"/>
      <c r="X361" s="157">
        <f t="shared" si="131"/>
        <v>44908</v>
      </c>
      <c r="Y361" s="385">
        <f t="shared" si="132"/>
        <v>5.1752624396462021</v>
      </c>
      <c r="Z361" s="385">
        <f t="shared" si="133"/>
        <v>5.3674783827297317</v>
      </c>
      <c r="AA361" s="386">
        <f t="shared" si="134"/>
        <v>6.1685453390252247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0.12986318690527457</v>
      </c>
      <c r="AD361" s="231">
        <f>(INDEX(Models!$BJ361:$BT361,,AH361)*(1-AF361)+INDEX(Models!$BJ361:$BT361,,AH361+1)*AF361-ERP_i)*AE361*Ramure*Pc/MaxiM</f>
        <v>5.1206093691942593E-3</v>
      </c>
      <c r="AE361" s="305">
        <f t="shared" si="136"/>
        <v>0.7</v>
      </c>
      <c r="AF361" s="177">
        <f t="shared" si="137"/>
        <v>0.4999633561442498</v>
      </c>
      <c r="AG361" s="919">
        <f t="shared" si="143"/>
        <v>0</v>
      </c>
      <c r="AH361" s="176">
        <f t="shared" si="138"/>
        <v>6</v>
      </c>
      <c r="AI361" s="225">
        <f t="shared" si="139"/>
        <v>0.4999633561442498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44909</v>
      </c>
      <c r="B362" s="618">
        <v>16.535</v>
      </c>
      <c r="C362" s="953"/>
      <c r="D362" s="393">
        <f t="shared" si="122"/>
        <v>17.149506912221508</v>
      </c>
      <c r="E362" s="385">
        <f t="shared" si="144"/>
        <v>18.954448939018391</v>
      </c>
      <c r="F362" s="385">
        <f t="shared" si="123"/>
        <v>19.010875696690441</v>
      </c>
      <c r="G362" s="110">
        <f t="shared" si="145"/>
        <v>0.70761618458517828</v>
      </c>
      <c r="H362" s="412" t="b">
        <f>Wh_hp&gt;='2021'!Maxi_hp</f>
        <v>0</v>
      </c>
      <c r="I362" s="380">
        <f>IF(H362,Wh_hp,'2021'!Maxi_hp)</f>
        <v>27.918333223458241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3.58323370675796E-2</v>
      </c>
      <c r="M362" s="957"/>
      <c r="N362" s="957"/>
      <c r="O362" s="48">
        <f>IF(t&lt;Tnet,'2021'!Resal+('2021'!Salim-'2021'!Resal)*(1-EXP(('2021'!Tnet-t)/('2021'!Tau_j))),Resal+(Salim-Resal)*(1-EXP((Tnet-t)/(Tau_j))))*Salcycl</f>
        <v>9.5225244089336122E-2</v>
      </c>
      <c r="P362" s="339">
        <f>(INDEX(Models!$BJ362:$BT362,,T362)*(1-R362)+INDEX(Models!$BJ362:$BT362,,T362+1)*R362-ERP_i)*Q362*Ramure*Pc/MaxiM</f>
        <v>5.0784754685039993E-3</v>
      </c>
      <c r="Q362" s="305">
        <f t="shared" si="125"/>
        <v>0.7</v>
      </c>
      <c r="R362" s="177">
        <f t="shared" si="126"/>
        <v>0.49997300642181913</v>
      </c>
      <c r="S362" s="919">
        <f t="shared" si="127"/>
        <v>0</v>
      </c>
      <c r="T362" s="176">
        <f t="shared" si="128"/>
        <v>6</v>
      </c>
      <c r="U362" s="251">
        <f t="shared" si="129"/>
        <v>0.49997300642181913</v>
      </c>
      <c r="V362" s="383">
        <f t="shared" si="130"/>
        <v>23.317727778773076</v>
      </c>
      <c r="W362" s="402"/>
      <c r="X362" s="157">
        <f t="shared" si="131"/>
        <v>44909</v>
      </c>
      <c r="Y362" s="385">
        <f t="shared" si="132"/>
        <v>15.90088705701263</v>
      </c>
      <c r="Z362" s="385">
        <f t="shared" si="133"/>
        <v>16.491827789216305</v>
      </c>
      <c r="AA362" s="386">
        <f t="shared" si="134"/>
        <v>18.954448939018391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0.12992312030410427</v>
      </c>
      <c r="AD362" s="231">
        <f>(INDEX(Models!$BJ362:$BT362,,AH362)*(1-AF362)+INDEX(Models!$BJ362:$BT362,,AH362+1)*AF362-ERP_i)*AE362*Ramure*Pc/MaxiM</f>
        <v>5.0784754685039993E-3</v>
      </c>
      <c r="AE362" s="305">
        <f t="shared" si="136"/>
        <v>0.7</v>
      </c>
      <c r="AF362" s="177">
        <f t="shared" si="137"/>
        <v>0.49997300642181913</v>
      </c>
      <c r="AG362" s="919">
        <f t="shared" si="143"/>
        <v>0</v>
      </c>
      <c r="AH362" s="176">
        <f t="shared" si="138"/>
        <v>6</v>
      </c>
      <c r="AI362" s="225">
        <f t="shared" si="139"/>
        <v>0.49997300642181913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44910</v>
      </c>
      <c r="B363" s="618">
        <v>6.9249999999999998</v>
      </c>
      <c r="C363" s="953"/>
      <c r="D363" s="393">
        <f t="shared" si="122"/>
        <v>7.1825180877074137</v>
      </c>
      <c r="E363" s="385">
        <f t="shared" si="144"/>
        <v>7.9395347549875934</v>
      </c>
      <c r="F363" s="385">
        <f t="shared" si="123"/>
        <v>7.9395347549875934</v>
      </c>
      <c r="G363" s="110">
        <f t="shared" si="145"/>
        <v>0.2957071357788375</v>
      </c>
      <c r="H363" s="412" t="b">
        <f>Wh_hp&gt;='2021'!Maxi_hp</f>
        <v>0</v>
      </c>
      <c r="I363" s="380">
        <f>IF(H363,Wh_hp,'2021'!Maxi_hp)</f>
        <v>27.64680505166011</v>
      </c>
      <c r="J363" s="85">
        <f>IF(H363,An,'2021'!An_max)</f>
        <v>2019</v>
      </c>
      <c r="K363" s="197">
        <f t="shared" si="124"/>
        <v>44910</v>
      </c>
      <c r="L363" s="147">
        <f>IF(t&lt;Tvie,1-EXP((T0-t)*PertePVj)+'2021'!Pspv,1-EXP((T0-t)*PertePVj)+Pspv)</f>
        <v>3.5853454813868924E-2</v>
      </c>
      <c r="M363" s="957"/>
      <c r="N363" s="957"/>
      <c r="O363" s="48">
        <f>IF(t&lt;Tnet,'2021'!Resal+('2021'!Salim-'2021'!Resal)*(1-EXP(('2021'!Tnet-t)/('2021'!Tau_j))),Resal+(Salim-Resal)*(1-EXP((Tnet-t)/(Tau_j))))*Salcycl</f>
        <v>9.5347736440680522E-2</v>
      </c>
      <c r="P363" s="339">
        <f>(INDEX(Models!$BJ363:$BT363,,T363)*(1-R363)+INDEX(Models!$BJ363:$BT363,,T363+1)*R363-ERP_i)*Q363*Ramure*Pc/MaxiM</f>
        <v>5.0355174659549549E-3</v>
      </c>
      <c r="Q363" s="305">
        <f t="shared" si="125"/>
        <v>0.7</v>
      </c>
      <c r="R363" s="177">
        <f t="shared" si="126"/>
        <v>0.49998226850107563</v>
      </c>
      <c r="S363" s="919">
        <f t="shared" si="127"/>
        <v>0</v>
      </c>
      <c r="T363" s="176">
        <f t="shared" si="128"/>
        <v>6</v>
      </c>
      <c r="U363" s="251">
        <f t="shared" si="129"/>
        <v>0.49998226850107563</v>
      </c>
      <c r="V363" s="383">
        <f t="shared" si="130"/>
        <v>23.300516652738008</v>
      </c>
      <c r="W363" s="402"/>
      <c r="X363" s="157">
        <f t="shared" si="131"/>
        <v>44910</v>
      </c>
      <c r="Y363" s="385">
        <f t="shared" si="132"/>
        <v>6.6598605054179583</v>
      </c>
      <c r="Z363" s="385">
        <f t="shared" si="133"/>
        <v>6.9075189229996719</v>
      </c>
      <c r="AA363" s="386">
        <f t="shared" si="134"/>
        <v>7.9395347549875934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0.12998442148510186</v>
      </c>
      <c r="AD363" s="231">
        <f>(INDEX(Models!$BJ363:$BT363,,AH363)*(1-AF363)+INDEX(Models!$BJ363:$BT363,,AH363+1)*AF363-ERP_i)*AE363*Ramure*Pc/MaxiM</f>
        <v>5.0355174659549549E-3</v>
      </c>
      <c r="AE363" s="305">
        <f t="shared" si="136"/>
        <v>0.7</v>
      </c>
      <c r="AF363" s="177">
        <f t="shared" si="137"/>
        <v>0.49998226850107563</v>
      </c>
      <c r="AG363" s="919">
        <f t="shared" si="143"/>
        <v>0</v>
      </c>
      <c r="AH363" s="176">
        <f t="shared" si="138"/>
        <v>6</v>
      </c>
      <c r="AI363" s="225">
        <f t="shared" si="139"/>
        <v>0.49998226850107563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44911</v>
      </c>
      <c r="B364" s="618">
        <v>4.7039999999999997</v>
      </c>
      <c r="C364" s="953"/>
      <c r="D364" s="393">
        <f t="shared" si="122"/>
        <v>4.8790332293531389</v>
      </c>
      <c r="E364" s="385">
        <f t="shared" si="144"/>
        <v>5.3940043629267276</v>
      </c>
      <c r="F364" s="385">
        <f t="shared" si="123"/>
        <v>5.3940043629267276</v>
      </c>
      <c r="G364" s="110">
        <f t="shared" si="145"/>
        <v>0.20091681893313221</v>
      </c>
      <c r="H364" s="412" t="b">
        <f>Wh_hp&gt;='2021'!Maxi_hp</f>
        <v>0</v>
      </c>
      <c r="I364" s="380">
        <f>IF(H364,Wh_hp,'2021'!Maxi_hp)</f>
        <v>27.611155388131891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3.5874572097625346E-2</v>
      </c>
      <c r="M364" s="957"/>
      <c r="N364" s="957"/>
      <c r="O364" s="48">
        <f>IF(t&lt;Tnet,'2021'!Resal+('2021'!Salim-'2021'!Resal)*(1-EXP(('2021'!Tnet-t)/('2021'!Tau_j))),Resal+(Salim-Resal)*(1-EXP((Tnet-t)/(Tau_j))))*Salcycl</f>
        <v>9.5471026518445495E-2</v>
      </c>
      <c r="P364" s="339">
        <f>(INDEX(Models!$BJ364:$BT364,,T364)*(1-R364)+INDEX(Models!$BJ364:$BT364,,T364+1)*R364-ERP_i)*Q364*Ramure*Pc/MaxiM</f>
        <v>4.9918463948345881E-3</v>
      </c>
      <c r="Q364" s="305">
        <f t="shared" si="125"/>
        <v>0.7</v>
      </c>
      <c r="R364" s="177">
        <f t="shared" si="126"/>
        <v>0.49999115798442084</v>
      </c>
      <c r="S364" s="919">
        <f t="shared" si="127"/>
        <v>0</v>
      </c>
      <c r="T364" s="176">
        <f t="shared" si="128"/>
        <v>6</v>
      </c>
      <c r="U364" s="251">
        <f t="shared" si="129"/>
        <v>0.49999115798442084</v>
      </c>
      <c r="V364" s="383">
        <f t="shared" si="130"/>
        <v>23.295801612887555</v>
      </c>
      <c r="W364" s="402"/>
      <c r="X364" s="157">
        <f t="shared" si="131"/>
        <v>44911</v>
      </c>
      <c r="Y364" s="385">
        <f t="shared" si="132"/>
        <v>4.5241877015053644</v>
      </c>
      <c r="Z364" s="385">
        <f t="shared" si="133"/>
        <v>4.692530215024548</v>
      </c>
      <c r="AA364" s="386">
        <f t="shared" si="134"/>
        <v>5.3940043629267276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0.13004701159002538</v>
      </c>
      <c r="AD364" s="231">
        <f>(INDEX(Models!$BJ364:$BT364,,AH364)*(1-AF364)+INDEX(Models!$BJ364:$BT364,,AH364+1)*AF364-ERP_i)*AE364*Ramure*Pc/MaxiM</f>
        <v>4.9918463948345881E-3</v>
      </c>
      <c r="AE364" s="305">
        <f t="shared" si="136"/>
        <v>0.7</v>
      </c>
      <c r="AF364" s="177">
        <f t="shared" si="137"/>
        <v>0.49999115798442084</v>
      </c>
      <c r="AG364" s="919">
        <f t="shared" si="143"/>
        <v>0</v>
      </c>
      <c r="AH364" s="176">
        <f t="shared" si="138"/>
        <v>6</v>
      </c>
      <c r="AI364" s="225">
        <f t="shared" si="139"/>
        <v>0.49999115798442084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44912</v>
      </c>
      <c r="B365" s="618">
        <v>2.6310000000000002</v>
      </c>
      <c r="C365" s="953"/>
      <c r="D365" s="393">
        <f t="shared" si="122"/>
        <v>2.7289578210158734</v>
      </c>
      <c r="E365" s="385">
        <f t="shared" si="144"/>
        <v>3.017407022769385</v>
      </c>
      <c r="F365" s="385">
        <f t="shared" si="123"/>
        <v>3.017407022769385</v>
      </c>
      <c r="G365" s="110">
        <f t="shared" si="145"/>
        <v>0.11234469598370163</v>
      </c>
      <c r="H365" s="412" t="b">
        <f>Wh_hp&gt;='2021'!Maxi_hp</f>
        <v>0</v>
      </c>
      <c r="I365" s="380">
        <f>IF(H365,Wh_hp,'2021'!Maxi_hp)</f>
        <v>27.969819213232515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3.5895688918859081E-2</v>
      </c>
      <c r="M365" s="957"/>
      <c r="N365" s="957"/>
      <c r="O365" s="48">
        <f>IF(t&lt;Tnet,'2021'!Resal+('2021'!Salim-'2021'!Resal)*(1-EXP(('2021'!Tnet-t)/('2021'!Tau_j))),Resal+(Salim-Resal)*(1-EXP((Tnet-t)/(Tau_j))))*Salcycl</f>
        <v>9.5595058796135529E-2</v>
      </c>
      <c r="P365" s="339">
        <f>(INDEX(Models!$BJ365:$BT365,,T365)*(1-R365)+INDEX(Models!$BJ365:$BT365,,T365+1)*R365-ERP_i)*Q365*Ramure*Pc/MaxiM</f>
        <v>4.9475741201881734E-3</v>
      </c>
      <c r="Q365" s="305">
        <f t="shared" si="125"/>
        <v>0.7</v>
      </c>
      <c r="R365" s="177">
        <f t="shared" si="126"/>
        <v>0.49999968984823329</v>
      </c>
      <c r="S365" s="919">
        <f t="shared" si="127"/>
        <v>0</v>
      </c>
      <c r="T365" s="176">
        <f t="shared" si="128"/>
        <v>6</v>
      </c>
      <c r="U365" s="251">
        <f t="shared" si="129"/>
        <v>0.49999968984823329</v>
      </c>
      <c r="V365" s="383">
        <f t="shared" si="130"/>
        <v>23.303128906678317</v>
      </c>
      <c r="W365" s="402"/>
      <c r="X365" s="157">
        <f t="shared" si="131"/>
        <v>44912</v>
      </c>
      <c r="Y365" s="385">
        <f t="shared" si="132"/>
        <v>2.5305903931764973</v>
      </c>
      <c r="Z365" s="385">
        <f t="shared" si="133"/>
        <v>2.6248097473381362</v>
      </c>
      <c r="AA365" s="386">
        <f t="shared" si="134"/>
        <v>3.017407022769385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0.13011081119275775</v>
      </c>
      <c r="AD365" s="231">
        <f>(INDEX(Models!$BJ365:$BT365,,AH365)*(1-AF365)+INDEX(Models!$BJ365:$BT365,,AH365+1)*AF365-ERP_i)*AE365*Ramure*Pc/MaxiM</f>
        <v>4.9475741201881734E-3</v>
      </c>
      <c r="AE365" s="305">
        <f t="shared" si="136"/>
        <v>0.7</v>
      </c>
      <c r="AF365" s="177">
        <f t="shared" si="137"/>
        <v>0.49999968984823329</v>
      </c>
      <c r="AG365" s="919">
        <f t="shared" si="143"/>
        <v>0</v>
      </c>
      <c r="AH365" s="176">
        <f t="shared" si="138"/>
        <v>6</v>
      </c>
      <c r="AI365" s="225">
        <f t="shared" si="139"/>
        <v>0.49999968984823329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44913</v>
      </c>
      <c r="B366" s="618">
        <v>20.741</v>
      </c>
      <c r="C366" s="953"/>
      <c r="D366" s="393">
        <f t="shared" si="122"/>
        <v>21.513703499387081</v>
      </c>
      <c r="E366" s="385">
        <f t="shared" si="144"/>
        <v>23.790969838777009</v>
      </c>
      <c r="F366" s="385">
        <f t="shared" si="123"/>
        <v>23.889652985705162</v>
      </c>
      <c r="G366" s="110">
        <f t="shared" si="145"/>
        <v>0.88864081543368001</v>
      </c>
      <c r="H366" s="412" t="b">
        <f>Wh_hp&gt;='2021'!Maxi_hp</f>
        <v>0</v>
      </c>
      <c r="I366" s="380">
        <f>IF(H366,Wh_hp,'2021'!Maxi_hp)</f>
        <v>28.032685021410803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3.5916805277580233E-2</v>
      </c>
      <c r="M366" s="957"/>
      <c r="N366" s="957"/>
      <c r="O366" s="48">
        <f>IF(t&lt;Tnet,'2021'!Resal+('2021'!Salim-'2021'!Resal)*(1-EXP(('2021'!Tnet-t)/('2021'!Tau_j))),Resal+(Salim-Resal)*(1-EXP((Tnet-t)/(Tau_j))))*Salcycl</f>
        <v>9.5719777496342459E-2</v>
      </c>
      <c r="P366" s="339">
        <f>(INDEX(Models!$BJ366:$BT366,,T366)*(1-R366)+INDEX(Models!$BJ366:$BT366,,T366+1)*R366-ERP_i)*Q366*Ramure*Pc/MaxiM</f>
        <v>4.9064801105148962E-3</v>
      </c>
      <c r="Q366" s="305">
        <f t="shared" si="125"/>
        <v>0.7</v>
      </c>
      <c r="R366" s="177">
        <f t="shared" si="126"/>
        <v>0.50000787846790251</v>
      </c>
      <c r="S366" s="919">
        <f t="shared" si="127"/>
        <v>0</v>
      </c>
      <c r="T366" s="176">
        <f t="shared" si="128"/>
        <v>6</v>
      </c>
      <c r="U366" s="251">
        <f t="shared" si="129"/>
        <v>0.50000787846790251</v>
      </c>
      <c r="V366" s="383">
        <f t="shared" si="130"/>
        <v>23.321959022770947</v>
      </c>
      <c r="W366" s="402"/>
      <c r="X366" s="157">
        <f t="shared" si="131"/>
        <v>44913</v>
      </c>
      <c r="Y366" s="385">
        <f t="shared" si="132"/>
        <v>19.950701686315309</v>
      </c>
      <c r="Z366" s="385">
        <f t="shared" si="133"/>
        <v>20.693962715592761</v>
      </c>
      <c r="AA366" s="386">
        <f t="shared" si="134"/>
        <v>23.790969838777009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0.13017574080298408</v>
      </c>
      <c r="AD366" s="231">
        <f>(INDEX(Models!$BJ366:$BT366,,AH366)*(1-AF366)+INDEX(Models!$BJ366:$BT366,,AH366+1)*AF366-ERP_i)*AE366*Ramure*Pc/MaxiM</f>
        <v>4.9064801105148962E-3</v>
      </c>
      <c r="AE366" s="305">
        <f t="shared" si="136"/>
        <v>0.7</v>
      </c>
      <c r="AF366" s="177">
        <f t="shared" si="137"/>
        <v>0.50000787846790251</v>
      </c>
      <c r="AG366" s="919">
        <f t="shared" si="143"/>
        <v>0</v>
      </c>
      <c r="AH366" s="176">
        <f t="shared" si="138"/>
        <v>6</v>
      </c>
      <c r="AI366" s="225">
        <f t="shared" si="139"/>
        <v>0.50000787846790251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44914</v>
      </c>
      <c r="B367" s="618">
        <v>17.556000000000001</v>
      </c>
      <c r="C367" s="953"/>
      <c r="D367" s="393">
        <f t="shared" si="122"/>
        <v>18.210445556966</v>
      </c>
      <c r="E367" s="385">
        <f t="shared" si="144"/>
        <v>20.140847657592762</v>
      </c>
      <c r="F367" s="385">
        <f t="shared" si="123"/>
        <v>20.204371685071131</v>
      </c>
      <c r="G367" s="110">
        <f t="shared" si="145"/>
        <v>0.75050311573772066</v>
      </c>
      <c r="H367" s="412" t="b">
        <f>Wh_hp&gt;='2021'!Maxi_hp</f>
        <v>0</v>
      </c>
      <c r="I367" s="380">
        <f>IF(H367,Wh_hp,'2021'!Maxi_hp)</f>
        <v>27.478360183893841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3.5937921173798903E-2</v>
      </c>
      <c r="M367" s="957"/>
      <c r="N367" s="957"/>
      <c r="O367" s="48">
        <f>IF(t&lt;Tnet,'2021'!Resal+('2021'!Salim-'2021'!Resal)*(1-EXP(('2021'!Tnet-t)/('2021'!Tau_j))),Resal+(Salim-Resal)*(1-EXP((Tnet-t)/(Tau_j))))*Salcycl</f>
        <v>9.5845126950207235E-2</v>
      </c>
      <c r="P367" s="339">
        <f>(INDEX(Models!$BJ367:$BT367,,T367)*(1-R367)+INDEX(Models!$BJ367:$BT367,,T367+1)*R367-ERP_i)*Q367*Ramure*Pc/MaxiM</f>
        <v>4.8712341923119714E-3</v>
      </c>
      <c r="Q367" s="305">
        <f t="shared" si="125"/>
        <v>0.7</v>
      </c>
      <c r="R367" s="177">
        <f t="shared" si="126"/>
        <v>0.5000157376418688</v>
      </c>
      <c r="S367" s="919">
        <f t="shared" si="127"/>
        <v>0</v>
      </c>
      <c r="T367" s="176">
        <f t="shared" si="128"/>
        <v>6</v>
      </c>
      <c r="U367" s="251">
        <f t="shared" si="129"/>
        <v>0.5000157376418688</v>
      </c>
      <c r="V367" s="383">
        <f t="shared" si="130"/>
        <v>23.351778243355849</v>
      </c>
      <c r="W367" s="402"/>
      <c r="X367" s="157">
        <f t="shared" si="131"/>
        <v>44914</v>
      </c>
      <c r="Y367" s="385">
        <f t="shared" si="132"/>
        <v>16.888120381879045</v>
      </c>
      <c r="Z367" s="385">
        <f t="shared" si="133"/>
        <v>17.517668989160185</v>
      </c>
      <c r="AA367" s="386">
        <f t="shared" si="134"/>
        <v>20.140847657592762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0.13024172135295803</v>
      </c>
      <c r="AD367" s="231">
        <f>(INDEX(Models!$BJ367:$BT367,,AH367)*(1-AF367)+INDEX(Models!$BJ367:$BT367,,AH367+1)*AF367-ERP_i)*AE367*Ramure*Pc/MaxiM</f>
        <v>4.8712341923119714E-3</v>
      </c>
      <c r="AE367" s="305">
        <f t="shared" si="136"/>
        <v>0.7</v>
      </c>
      <c r="AF367" s="177">
        <f t="shared" si="137"/>
        <v>0.5000157376418688</v>
      </c>
      <c r="AG367" s="919">
        <f t="shared" si="143"/>
        <v>0</v>
      </c>
      <c r="AH367" s="176">
        <f t="shared" si="138"/>
        <v>6</v>
      </c>
      <c r="AI367" s="225">
        <f t="shared" si="139"/>
        <v>0.5000157376418688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44915</v>
      </c>
      <c r="B368" s="618">
        <v>4.2770000000000001</v>
      </c>
      <c r="C368" s="953"/>
      <c r="D368" s="393">
        <f t="shared" si="122"/>
        <v>4.4365334694380341</v>
      </c>
      <c r="E368" s="385">
        <f t="shared" si="144"/>
        <v>4.9075126177942501</v>
      </c>
      <c r="F368" s="385">
        <f t="shared" si="123"/>
        <v>4.9075126177942501</v>
      </c>
      <c r="G368" s="110">
        <f t="shared" si="145"/>
        <v>0.18195395345668341</v>
      </c>
      <c r="H368" s="412" t="b">
        <f>Wh_hp&gt;='2021'!Maxi_hp</f>
        <v>0</v>
      </c>
      <c r="I368" s="380">
        <f>IF(H368,Wh_hp,'2021'!Maxi_hp)</f>
        <v>28.081044157306998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3.5959036607525308E-2</v>
      </c>
      <c r="M368" s="957"/>
      <c r="N368" s="957"/>
      <c r="O368" s="48">
        <f>IF(t&lt;Tnet,'2021'!Resal+('2021'!Salim-'2021'!Resal)*(1-EXP(('2021'!Tnet-t)/('2021'!Tau_j))),Resal+(Salim-Resal)*(1-EXP((Tnet-t)/(Tau_j))))*Salcycl</f>
        <v>9.5971051943602448E-2</v>
      </c>
      <c r="P368" s="339">
        <f>(INDEX(Models!$BJ368:$BT368,,T368)*(1-R368)+INDEX(Models!$BJ368:$BT368,,T368+1)*R368-ERP_i)*Q368*Ramure*Pc/MaxiM</f>
        <v>4.8418874272853733E-3</v>
      </c>
      <c r="Q368" s="305">
        <f t="shared" si="125"/>
        <v>0.7</v>
      </c>
      <c r="R368" s="177">
        <f t="shared" si="126"/>
        <v>0.50002328061470713</v>
      </c>
      <c r="S368" s="919">
        <f t="shared" si="127"/>
        <v>0</v>
      </c>
      <c r="T368" s="176">
        <f t="shared" si="128"/>
        <v>6</v>
      </c>
      <c r="U368" s="251">
        <f t="shared" si="129"/>
        <v>0.50002328061470713</v>
      </c>
      <c r="V368" s="383">
        <f t="shared" si="130"/>
        <v>23.392133925173368</v>
      </c>
      <c r="W368" s="402"/>
      <c r="X368" s="157">
        <f t="shared" si="131"/>
        <v>44915</v>
      </c>
      <c r="Y368" s="385">
        <f t="shared" si="132"/>
        <v>4.1145472238023615</v>
      </c>
      <c r="Z368" s="385">
        <f t="shared" si="133"/>
        <v>4.2680211526730227</v>
      </c>
      <c r="AA368" s="386">
        <f t="shared" si="134"/>
        <v>4.9075126177942501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0.13030867466391871</v>
      </c>
      <c r="AD368" s="231">
        <f>(INDEX(Models!$BJ368:$BT368,,AH368)*(1-AF368)+INDEX(Models!$BJ368:$BT368,,AH368+1)*AF368-ERP_i)*AE368*Ramure*Pc/MaxiM</f>
        <v>4.8418874272853733E-3</v>
      </c>
      <c r="AE368" s="305">
        <f t="shared" si="136"/>
        <v>0.7</v>
      </c>
      <c r="AF368" s="177">
        <f t="shared" si="137"/>
        <v>0.50002328061470713</v>
      </c>
      <c r="AG368" s="919">
        <f t="shared" si="143"/>
        <v>0</v>
      </c>
      <c r="AH368" s="176">
        <f t="shared" si="138"/>
        <v>6</v>
      </c>
      <c r="AI368" s="225">
        <f t="shared" si="139"/>
        <v>0.50002328061470713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44916</v>
      </c>
      <c r="B369" s="618">
        <v>21.614000000000001</v>
      </c>
      <c r="C369" s="953"/>
      <c r="D369" s="393">
        <f t="shared" si="122"/>
        <v>22.420700191388299</v>
      </c>
      <c r="E369" s="385">
        <f t="shared" si="144"/>
        <v>24.804334696451914</v>
      </c>
      <c r="F369" s="385">
        <f t="shared" si="123"/>
        <v>24.910992289500552</v>
      </c>
      <c r="G369" s="110">
        <f t="shared" si="145"/>
        <v>0.92150057051701606</v>
      </c>
      <c r="H369" s="412" t="b">
        <f>Wh_hp&gt;='2021'!Maxi_hp</f>
        <v>1</v>
      </c>
      <c r="I369" s="380">
        <f>IF(H369,Wh_hp,'2021'!Maxi_hp)</f>
        <v>24.910992289500552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3.5980151578769548E-2</v>
      </c>
      <c r="M369" s="957"/>
      <c r="N369" s="957"/>
      <c r="O369" s="48">
        <f>IF(t&lt;Tnet,'2021'!Resal+('2021'!Salim-'2021'!Resal)*(1-EXP(('2021'!Tnet-t)/('2021'!Tau_j))),Resal+(Salim-Resal)*(1-EXP((Tnet-t)/(Tau_j))))*Salcycl</f>
        <v>9.6097498047572116E-2</v>
      </c>
      <c r="P369" s="339">
        <f>(INDEX(Models!$BJ369:$BT369,,T369)*(1-R369)+INDEX(Models!$BJ369:$BT369,,T369+1)*R369-ERP_i)*Q369*Ramure*Pc/MaxiM</f>
        <v>4.8184790865249466E-3</v>
      </c>
      <c r="Q369" s="305">
        <f t="shared" si="125"/>
        <v>0.7</v>
      </c>
      <c r="R369" s="177">
        <f t="shared" si="126"/>
        <v>0.50003052009929405</v>
      </c>
      <c r="S369" s="919">
        <f t="shared" si="127"/>
        <v>0</v>
      </c>
      <c r="T369" s="176">
        <f t="shared" si="128"/>
        <v>6</v>
      </c>
      <c r="U369" s="251">
        <f t="shared" si="129"/>
        <v>0.50003052009929405</v>
      </c>
      <c r="V369" s="383">
        <f t="shared" si="130"/>
        <v>23.442573500844826</v>
      </c>
      <c r="W369" s="402"/>
      <c r="X369" s="157">
        <f t="shared" si="131"/>
        <v>44916</v>
      </c>
      <c r="Y369" s="385">
        <f t="shared" si="132"/>
        <v>20.794324356957524</v>
      </c>
      <c r="Z369" s="385">
        <f t="shared" si="133"/>
        <v>21.570431761350417</v>
      </c>
      <c r="AA369" s="386">
        <f t="shared" si="134"/>
        <v>24.804334696451914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0.13037652388895093</v>
      </c>
      <c r="AD369" s="231">
        <f>(INDEX(Models!$BJ369:$BT369,,AH369)*(1-AF369)+INDEX(Models!$BJ369:$BT369,,AH369+1)*AF369-ERP_i)*AE369*Ramure*Pc/MaxiM</f>
        <v>4.8184790865249466E-3</v>
      </c>
      <c r="AE369" s="305">
        <f t="shared" si="136"/>
        <v>0.7</v>
      </c>
      <c r="AF369" s="177">
        <f t="shared" si="137"/>
        <v>0.50003052009929405</v>
      </c>
      <c r="AG369" s="919">
        <f t="shared" si="143"/>
        <v>0</v>
      </c>
      <c r="AH369" s="176">
        <f t="shared" si="138"/>
        <v>6</v>
      </c>
      <c r="AI369" s="225">
        <f t="shared" si="139"/>
        <v>0.50003052009929405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44917</v>
      </c>
      <c r="B370" s="618">
        <v>16.713000000000001</v>
      </c>
      <c r="C370" s="953"/>
      <c r="D370" s="393">
        <f t="shared" si="122"/>
        <v>17.337159699545545</v>
      </c>
      <c r="E370" s="385">
        <f t="shared" si="144"/>
        <v>19.183036063834127</v>
      </c>
      <c r="F370" s="385">
        <f t="shared" si="123"/>
        <v>19.237278636823216</v>
      </c>
      <c r="G370" s="110">
        <f t="shared" si="145"/>
        <v>0.70969850251971467</v>
      </c>
      <c r="H370" s="412" t="b">
        <f>Wh_hp&gt;='2021'!Maxi_hp</f>
        <v>0</v>
      </c>
      <c r="I370" s="380">
        <f>IF(H370,Wh_hp,'2021'!Maxi_hp)</f>
        <v>27.058641236912877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3.6001266087541728E-2</v>
      </c>
      <c r="M370" s="957"/>
      <c r="N370" s="957"/>
      <c r="O370" s="48">
        <f>IF(t&lt;Tnet,'2021'!Resal+('2021'!Salim-'2021'!Resal)*(1-EXP(('2021'!Tnet-t)/('2021'!Tau_j))),Resal+(Salim-Resal)*(1-EXP((Tnet-t)/(Tau_j))))*Salcycl</f>
        <v>9.6224411930738135E-2</v>
      </c>
      <c r="P370" s="339">
        <f>(INDEX(Models!$BJ370:$BT370,,T370)*(1-R370)+INDEX(Models!$BJ370:$BT370,,T370+1)*R370-ERP_i)*Q370*Ramure*Pc/MaxiM</f>
        <v>4.8010374729259087E-3</v>
      </c>
      <c r="Q370" s="305">
        <f t="shared" si="125"/>
        <v>0.7</v>
      </c>
      <c r="R370" s="177">
        <f t="shared" si="126"/>
        <v>0.50003746829809126</v>
      </c>
      <c r="S370" s="919">
        <f t="shared" si="127"/>
        <v>0</v>
      </c>
      <c r="T370" s="176">
        <f t="shared" si="128"/>
        <v>6</v>
      </c>
      <c r="U370" s="251">
        <f t="shared" si="129"/>
        <v>0.50003746829809126</v>
      </c>
      <c r="V370" s="383">
        <f t="shared" si="130"/>
        <v>23.502644478139882</v>
      </c>
      <c r="W370" s="402"/>
      <c r="X370" s="157">
        <f t="shared" si="131"/>
        <v>44917</v>
      </c>
      <c r="Y370" s="385">
        <f t="shared" si="132"/>
        <v>16.080174841749837</v>
      </c>
      <c r="Z370" s="385">
        <f t="shared" si="133"/>
        <v>16.680701204333836</v>
      </c>
      <c r="AA370" s="386">
        <f t="shared" si="134"/>
        <v>19.183036063834127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0.13044519392933618</v>
      </c>
      <c r="AD370" s="231">
        <f>(INDEX(Models!$BJ370:$BT370,,AH370)*(1-AF370)+INDEX(Models!$BJ370:$BT370,,AH370+1)*AF370-ERP_i)*AE370*Ramure*Pc/MaxiM</f>
        <v>4.8010374729259087E-3</v>
      </c>
      <c r="AE370" s="305">
        <f t="shared" si="136"/>
        <v>0.7</v>
      </c>
      <c r="AF370" s="177">
        <f t="shared" si="137"/>
        <v>0.50003746829809126</v>
      </c>
      <c r="AG370" s="919">
        <f t="shared" si="143"/>
        <v>0</v>
      </c>
      <c r="AH370" s="176">
        <f t="shared" si="138"/>
        <v>6</v>
      </c>
      <c r="AI370" s="225">
        <f t="shared" si="139"/>
        <v>0.50003746829809126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44918</v>
      </c>
      <c r="B371" s="618">
        <v>17.239000000000001</v>
      </c>
      <c r="C371" s="953"/>
      <c r="D371" s="393">
        <f t="shared" si="122"/>
        <v>17.883195257576315</v>
      </c>
      <c r="E371" s="385">
        <f t="shared" si="144"/>
        <v>19.789995822335811</v>
      </c>
      <c r="F371" s="385">
        <f t="shared" si="123"/>
        <v>19.848575035020811</v>
      </c>
      <c r="G371" s="110">
        <f t="shared" si="145"/>
        <v>0.72998868266182926</v>
      </c>
      <c r="H371" s="412" t="b">
        <f>Wh_hp&gt;='2021'!Maxi_hp</f>
        <v>0</v>
      </c>
      <c r="I371" s="380">
        <f>IF(H371,Wh_hp,'2021'!Maxi_hp)</f>
        <v>22.375250435644084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3.602238013385195E-2</v>
      </c>
      <c r="M371" s="957"/>
      <c r="N371" s="957"/>
      <c r="O371" s="48">
        <f>IF(t&lt;Tnet,'2021'!Resal+('2021'!Salim-'2021'!Resal)*(1-EXP(('2021'!Tnet-t)/('2021'!Tau_j))),Resal+(Salim-Resal)*(1-EXP((Tnet-t)/(Tau_j))))*Salcycl</f>
        <v>9.6351741651577477E-2</v>
      </c>
      <c r="P371" s="339">
        <f>(INDEX(Models!$BJ371:$BT371,,T371)*(1-R371)+INDEX(Models!$BJ371:$BT371,,T371+1)*R371-ERP_i)*Q371*Ramure*Pc/MaxiM</f>
        <v>4.7895584632519483E-3</v>
      </c>
      <c r="Q371" s="305">
        <f t="shared" si="125"/>
        <v>0.7</v>
      </c>
      <c r="R371" s="177">
        <f t="shared" si="126"/>
        <v>0.50003746829809126</v>
      </c>
      <c r="S371" s="919">
        <f t="shared" si="127"/>
        <v>0</v>
      </c>
      <c r="T371" s="176">
        <f t="shared" si="128"/>
        <v>6</v>
      </c>
      <c r="U371" s="251">
        <f t="shared" si="129"/>
        <v>0.50003746829809126</v>
      </c>
      <c r="V371" s="383">
        <f t="shared" si="130"/>
        <v>23.571894971381454</v>
      </c>
      <c r="W371" s="402"/>
      <c r="X371" s="157">
        <f t="shared" si="131"/>
        <v>44918</v>
      </c>
      <c r="Y371" s="385">
        <f t="shared" si="132"/>
        <v>16.587271062969211</v>
      </c>
      <c r="Z371" s="385">
        <f t="shared" si="133"/>
        <v>17.207112199630128</v>
      </c>
      <c r="AA371" s="386">
        <f t="shared" si="134"/>
        <v>19.789995822335811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0.13051461182172336</v>
      </c>
      <c r="AD371" s="231">
        <f>(INDEX(Models!$BJ371:$BT371,,AH371)*(1-AF371)+INDEX(Models!$BJ371:$BT371,,AH371+1)*AF371-ERP_i)*AE371*Ramure*Pc/MaxiM</f>
        <v>4.7895584632519483E-3</v>
      </c>
      <c r="AE371" s="305">
        <f t="shared" si="136"/>
        <v>0.7</v>
      </c>
      <c r="AF371" s="177">
        <f t="shared" si="137"/>
        <v>0.50003746829809126</v>
      </c>
      <c r="AG371" s="919">
        <f t="shared" si="143"/>
        <v>0</v>
      </c>
      <c r="AH371" s="176">
        <f t="shared" si="138"/>
        <v>6</v>
      </c>
      <c r="AI371" s="225">
        <f t="shared" si="139"/>
        <v>0.50003746829809126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44919</v>
      </c>
      <c r="B372" s="618">
        <v>22.594000000000001</v>
      </c>
      <c r="C372" s="953"/>
      <c r="D372" s="393">
        <f t="shared" si="122"/>
        <v>23.438816847804404</v>
      </c>
      <c r="E372" s="385">
        <f t="shared" si="144"/>
        <v>25.941652913940793</v>
      </c>
      <c r="F372" s="385">
        <f t="shared" si="123"/>
        <v>26.058366760207068</v>
      </c>
      <c r="G372" s="110">
        <f t="shared" si="145"/>
        <v>0.95506117980248573</v>
      </c>
      <c r="H372" s="412" t="b">
        <f>Wh_hp&gt;='2021'!Maxi_hp</f>
        <v>1</v>
      </c>
      <c r="I372" s="380">
        <f>IF(H372,Wh_hp,'2021'!Maxi_hp)</f>
        <v>26.058366760207068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3.6043493717710318E-2</v>
      </c>
      <c r="M372" s="957"/>
      <c r="N372" s="957"/>
      <c r="O372" s="48">
        <f>IF(t&lt;Tnet,'2021'!Resal+('2021'!Salim-'2021'!Resal)*(1-EXP(('2021'!Tnet-t)/('2021'!Tau_j))),Resal+(Salim-Resal)*(1-EXP((Tnet-t)/(Tau_j))))*Salcycl</f>
        <v>9.6479436928685006E-2</v>
      </c>
      <c r="P372" s="339">
        <f>(INDEX(Models!$BJ372:$BT372,,T372)*(1-R372)+INDEX(Models!$BJ372:$BT372,,T372+1)*R372-ERP_i)*Q372*Ramure*Pc/MaxiM</f>
        <v>4.7840672607098924E-3</v>
      </c>
      <c r="Q372" s="305">
        <f t="shared" si="125"/>
        <v>0.7</v>
      </c>
      <c r="R372" s="177">
        <f t="shared" si="126"/>
        <v>0.50003746829809126</v>
      </c>
      <c r="S372" s="919">
        <f t="shared" si="127"/>
        <v>0</v>
      </c>
      <c r="T372" s="176">
        <f t="shared" si="128"/>
        <v>6</v>
      </c>
      <c r="U372" s="251">
        <f t="shared" si="129"/>
        <v>0.50003746829809126</v>
      </c>
      <c r="V372" s="383">
        <f t="shared" si="130"/>
        <v>23.649872282932645</v>
      </c>
      <c r="W372" s="402"/>
      <c r="X372" s="157">
        <f t="shared" si="131"/>
        <v>44919</v>
      </c>
      <c r="Y372" s="385">
        <f t="shared" si="132"/>
        <v>21.741142294703284</v>
      </c>
      <c r="Z372" s="385">
        <f t="shared" si="133"/>
        <v>22.554069766646197</v>
      </c>
      <c r="AA372" s="386">
        <f t="shared" si="134"/>
        <v>25.941652913940793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0.13058470709374659</v>
      </c>
      <c r="AD372" s="231">
        <f>(INDEX(Models!$BJ372:$BT372,,AH372)*(1-AF372)+INDEX(Models!$BJ372:$BT372,,AH372+1)*AF372-ERP_i)*AE372*Ramure*Pc/MaxiM</f>
        <v>4.7840672607098924E-3</v>
      </c>
      <c r="AE372" s="305">
        <f t="shared" si="136"/>
        <v>0.7</v>
      </c>
      <c r="AF372" s="177">
        <f t="shared" si="137"/>
        <v>0.50003746829809126</v>
      </c>
      <c r="AG372" s="919">
        <f t="shared" si="143"/>
        <v>0</v>
      </c>
      <c r="AH372" s="176">
        <f t="shared" si="138"/>
        <v>6</v>
      </c>
      <c r="AI372" s="225">
        <f t="shared" si="139"/>
        <v>0.50003746829809126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44920</v>
      </c>
      <c r="B373" s="618">
        <v>13.234</v>
      </c>
      <c r="C373" s="953"/>
      <c r="D373" s="393">
        <f t="shared" si="122"/>
        <v>13.729135888043228</v>
      </c>
      <c r="E373" s="385">
        <f t="shared" si="144"/>
        <v>15.197309163920785</v>
      </c>
      <c r="F373" s="385">
        <f t="shared" si="123"/>
        <v>15.224093506794103</v>
      </c>
      <c r="G373" s="110">
        <f t="shared" si="145"/>
        <v>0.55575678028020992</v>
      </c>
      <c r="H373" s="412" t="b">
        <f>Wh_hp&gt;='2021'!Maxi_hp</f>
        <v>0</v>
      </c>
      <c r="I373" s="380">
        <f>IF(H373,Wh_hp,'2021'!Maxi_hp)</f>
        <v>18.791308820692279</v>
      </c>
      <c r="J373" s="85">
        <f>IF(H373,An,'2021'!An_max)</f>
        <v>2019</v>
      </c>
      <c r="K373" s="197">
        <f t="shared" si="124"/>
        <v>44920</v>
      </c>
      <c r="L373" s="147">
        <f>IF(t&lt;Tvie,1-EXP((T0-t)*PertePVj)+'2021'!Pspv,1-EXP((T0-t)*PertePVj)+Pspv)</f>
        <v>3.6064606839127045E-2</v>
      </c>
      <c r="M373" s="957"/>
      <c r="N373" s="957"/>
      <c r="O373" s="48">
        <f>IF(t&lt;Tnet,'2021'!Resal+('2021'!Salim-'2021'!Resal)*(1-EXP(('2021'!Tnet-t)/('2021'!Tau_j))),Resal+(Salim-Resal)*(1-EXP((Tnet-t)/(Tau_j))))*Salcycl</f>
        <v>9.6607449387361266E-2</v>
      </c>
      <c r="P373" s="339">
        <f>(INDEX(Models!$BJ373:$BT373,,T373)*(1-R373)+INDEX(Models!$BJ373:$BT373,,T373+1)*R373-ERP_i)*Q373*Ramure*Pc/MaxiM</f>
        <v>4.7836789379978907E-3</v>
      </c>
      <c r="Q373" s="305">
        <f t="shared" si="125"/>
        <v>0.7</v>
      </c>
      <c r="R373" s="177">
        <f t="shared" si="126"/>
        <v>0.50003746829809126</v>
      </c>
      <c r="S373" s="919">
        <f t="shared" si="127"/>
        <v>0</v>
      </c>
      <c r="T373" s="176">
        <f t="shared" si="128"/>
        <v>6</v>
      </c>
      <c r="U373" s="251">
        <f t="shared" si="129"/>
        <v>0.50003746829809126</v>
      </c>
      <c r="V373" s="383">
        <f t="shared" si="130"/>
        <v>23.740430732590124</v>
      </c>
      <c r="W373" s="402"/>
      <c r="X373" s="157">
        <f t="shared" si="131"/>
        <v>44920</v>
      </c>
      <c r="Y373" s="385">
        <f t="shared" si="132"/>
        <v>12.73522376142167</v>
      </c>
      <c r="Z373" s="385">
        <f t="shared" si="133"/>
        <v>13.211698472509832</v>
      </c>
      <c r="AA373" s="386">
        <f t="shared" si="134"/>
        <v>15.197309163920785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0.13065541208603546</v>
      </c>
      <c r="AD373" s="231">
        <f>(INDEX(Models!$BJ373:$BT373,,AH373)*(1-AF373)+INDEX(Models!$BJ373:$BT373,,AH373+1)*AF373-ERP_i)*AE373*Ramure*Pc/MaxiM</f>
        <v>4.7836789379978907E-3</v>
      </c>
      <c r="AE373" s="305">
        <f t="shared" si="136"/>
        <v>0.7</v>
      </c>
      <c r="AF373" s="177">
        <f t="shared" si="137"/>
        <v>0.50003746829809126</v>
      </c>
      <c r="AG373" s="919">
        <f t="shared" si="143"/>
        <v>0</v>
      </c>
      <c r="AH373" s="176">
        <f t="shared" si="138"/>
        <v>6</v>
      </c>
      <c r="AI373" s="225">
        <f t="shared" si="139"/>
        <v>0.50003746829809126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44921</v>
      </c>
      <c r="B374" s="618">
        <v>21.847000000000001</v>
      </c>
      <c r="C374" s="953"/>
      <c r="D374" s="393">
        <f t="shared" si="122"/>
        <v>22.664878446063458</v>
      </c>
      <c r="E374" s="385">
        <f t="shared" si="144"/>
        <v>25.092189814889267</v>
      </c>
      <c r="F374" s="385">
        <f t="shared" si="123"/>
        <v>25.198377551287109</v>
      </c>
      <c r="G374" s="110">
        <f t="shared" si="145"/>
        <v>0.9156115019826967</v>
      </c>
      <c r="H374" s="412" t="b">
        <f>Wh_hp&gt;='2021'!Maxi_hp</f>
        <v>0</v>
      </c>
      <c r="I374" s="380">
        <f>IF(H374,Wh_hp,'2021'!Maxi_hp)</f>
        <v>26.329619230701343</v>
      </c>
      <c r="J374" s="85">
        <f>IF(H374,An,'2021'!An_max)</f>
        <v>2018</v>
      </c>
      <c r="K374" s="197">
        <f t="shared" si="124"/>
        <v>44921</v>
      </c>
      <c r="L374" s="147">
        <f>IF(t&lt;Tvie,1-EXP((T0-t)*PertePVj)+'2021'!Pspv,1-EXP((T0-t)*PertePVj)+Pspv)</f>
        <v>3.6085719498112234E-2</v>
      </c>
      <c r="M374" s="957"/>
      <c r="N374" s="957"/>
      <c r="O374" s="48">
        <f>IF(t&lt;Tnet,'2021'!Resal+('2021'!Salim-'2021'!Resal)*(1-EXP(('2021'!Tnet-t)/('2021'!Tau_j))),Resal+(Salim-Resal)*(1-EXP((Tnet-t)/(Tau_j))))*Salcycl</f>
        <v>9.6735732781101647E-2</v>
      </c>
      <c r="P374" s="339">
        <f>(INDEX(Models!$BJ374:$BT374,,T374)*(1-R374)+INDEX(Models!$BJ374:$BT374,,T374+1)*R374-ERP_i)*Q374*Ramure*Pc/MaxiM</f>
        <v>4.7876345323219867E-3</v>
      </c>
      <c r="Q374" s="305">
        <f t="shared" si="125"/>
        <v>0.7</v>
      </c>
      <c r="R374" s="177">
        <f t="shared" si="126"/>
        <v>0.50003746829809126</v>
      </c>
      <c r="S374" s="919">
        <f t="shared" si="127"/>
        <v>0</v>
      </c>
      <c r="T374" s="176">
        <f t="shared" si="128"/>
        <v>6</v>
      </c>
      <c r="U374" s="251">
        <f t="shared" si="129"/>
        <v>0.50003746829809126</v>
      </c>
      <c r="V374" s="383">
        <f t="shared" si="130"/>
        <v>23.84681305127139</v>
      </c>
      <c r="W374" s="402"/>
      <c r="X374" s="157">
        <f t="shared" si="131"/>
        <v>44921</v>
      </c>
      <c r="Y374" s="385">
        <f t="shared" si="132"/>
        <v>21.024870903549854</v>
      </c>
      <c r="Z374" s="385">
        <f t="shared" si="133"/>
        <v>21.811971592124035</v>
      </c>
      <c r="AA374" s="386">
        <f t="shared" si="134"/>
        <v>25.092189814889267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0.13072666223889337</v>
      </c>
      <c r="AD374" s="231">
        <f>(INDEX(Models!$BJ374:$BT374,,AH374)*(1-AF374)+INDEX(Models!$BJ374:$BT374,,AH374+1)*AF374-ERP_i)*AE374*Ramure*Pc/MaxiM</f>
        <v>4.7876345323219867E-3</v>
      </c>
      <c r="AE374" s="305">
        <f t="shared" si="136"/>
        <v>0.7</v>
      </c>
      <c r="AF374" s="177">
        <f t="shared" si="137"/>
        <v>0.50003746829809126</v>
      </c>
      <c r="AG374" s="919">
        <f t="shared" si="143"/>
        <v>0</v>
      </c>
      <c r="AH374" s="176">
        <f t="shared" si="138"/>
        <v>6</v>
      </c>
      <c r="AI374" s="225">
        <f t="shared" si="139"/>
        <v>0.50003746829809126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44922</v>
      </c>
      <c r="B375" s="618">
        <v>5.9329999999999998</v>
      </c>
      <c r="C375" s="953"/>
      <c r="D375" s="393">
        <f t="shared" si="122"/>
        <v>6.1552464475198523</v>
      </c>
      <c r="E375" s="385">
        <f t="shared" si="144"/>
        <v>6.8154166204639104</v>
      </c>
      <c r="F375" s="385">
        <f t="shared" si="123"/>
        <v>6.8154166204639104</v>
      </c>
      <c r="G375" s="110">
        <f t="shared" si="145"/>
        <v>0.24635475828185732</v>
      </c>
      <c r="H375" s="412" t="b">
        <f>Wh_hp&gt;='2021'!Maxi_hp</f>
        <v>0</v>
      </c>
      <c r="I375" s="380">
        <f>IF(H375,Wh_hp,'2021'!Maxi_hp)</f>
        <v>27.615988001355355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3.61068316946761E-2</v>
      </c>
      <c r="M375" s="957"/>
      <c r="N375" s="957"/>
      <c r="O375" s="48">
        <f>IF(t&lt;Tnet,'2021'!Resal+('2021'!Salim-'2021'!Resal)*(1-EXP(('2021'!Tnet-t)/('2021'!Tau_j))),Resal+(Salim-Resal)*(1-EXP((Tnet-t)/(Tau_j))))*Salcycl</f>
        <v>9.6864243186812152E-2</v>
      </c>
      <c r="P375" s="339">
        <f>(INDEX(Models!$BJ375:$BT375,,T375)*(1-R375)+INDEX(Models!$BJ375:$BT375,,T375+1)*R375-ERP_i)*Q375*Ramure*Pc/MaxiM</f>
        <v>4.7935899410743183E-3</v>
      </c>
      <c r="Q375" s="305">
        <f t="shared" si="125"/>
        <v>0.7</v>
      </c>
      <c r="R375" s="177">
        <f t="shared" si="126"/>
        <v>0.50003746829809126</v>
      </c>
      <c r="S375" s="919">
        <f t="shared" si="127"/>
        <v>0</v>
      </c>
      <c r="T375" s="176">
        <f t="shared" si="128"/>
        <v>6</v>
      </c>
      <c r="U375" s="251">
        <f t="shared" si="129"/>
        <v>0.50003746829809126</v>
      </c>
      <c r="V375" s="383">
        <f t="shared" si="130"/>
        <v>23.96771092249061</v>
      </c>
      <c r="W375" s="402"/>
      <c r="X375" s="157">
        <f t="shared" si="131"/>
        <v>44922</v>
      </c>
      <c r="Y375" s="385">
        <f t="shared" si="132"/>
        <v>5.7100752302159794</v>
      </c>
      <c r="Z375" s="385">
        <f t="shared" si="133"/>
        <v>5.9239710561028165</v>
      </c>
      <c r="AA375" s="386">
        <f t="shared" si="134"/>
        <v>6.8154166204639104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0.13079839634226428</v>
      </c>
      <c r="AD375" s="231">
        <f>(INDEX(Models!$BJ375:$BT375,,AH375)*(1-AF375)+INDEX(Models!$BJ375:$BT375,,AH375+1)*AF375-ERP_i)*AE375*Ramure*Pc/MaxiM</f>
        <v>4.7935899410743183E-3</v>
      </c>
      <c r="AE375" s="305">
        <f t="shared" si="136"/>
        <v>0.7</v>
      </c>
      <c r="AF375" s="177">
        <f t="shared" si="137"/>
        <v>0.50003746829809126</v>
      </c>
      <c r="AG375" s="919">
        <f t="shared" si="143"/>
        <v>0</v>
      </c>
      <c r="AH375" s="176">
        <f t="shared" si="138"/>
        <v>6</v>
      </c>
      <c r="AI375" s="225">
        <f t="shared" si="139"/>
        <v>0.50003746829809126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44923</v>
      </c>
      <c r="B376" s="618">
        <v>23.128</v>
      </c>
      <c r="C376" s="953"/>
      <c r="D376" s="393">
        <f t="shared" si="122"/>
        <v>23.994885879640862</v>
      </c>
      <c r="E376" s="385">
        <f t="shared" si="144"/>
        <v>26.572201836009043</v>
      </c>
      <c r="F376" s="385">
        <f t="shared" si="123"/>
        <v>26.692887258732487</v>
      </c>
      <c r="G376" s="110">
        <f t="shared" si="145"/>
        <v>0.95932774645524499</v>
      </c>
      <c r="H376" s="412" t="b">
        <f>Wh_hp&gt;='2021'!Maxi_hp</f>
        <v>1</v>
      </c>
      <c r="I376" s="380">
        <f>IF(H376,Wh_hp,'2021'!Maxi_hp)</f>
        <v>26.692887258732487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3.6127943428828524E-2</v>
      </c>
      <c r="M376" s="957"/>
      <c r="N376" s="957"/>
      <c r="O376" s="48">
        <f>IF(t&lt;Tnet,'2021'!Resal+('2021'!Salim-'2021'!Resal)*(1-EXP(('2021'!Tnet-t)/('2021'!Tau_j))),Resal+(Salim-Resal)*(1-EXP((Tnet-t)/(Tau_j))))*Salcycl</f>
        <v>9.6992939172829806E-2</v>
      </c>
      <c r="P376" s="339">
        <f>(INDEX(Models!$BJ376:$BT376,,T376)*(1-R376)+INDEX(Models!$BJ376:$BT376,,T376+1)*R376-ERP_i)*Q376*Ramure*Pc/MaxiM</f>
        <v>4.798219707664364E-3</v>
      </c>
      <c r="Q376" s="305">
        <f t="shared" si="125"/>
        <v>0.7</v>
      </c>
      <c r="R376" s="177">
        <f t="shared" si="126"/>
        <v>0.50003746829809126</v>
      </c>
      <c r="S376" s="919">
        <f t="shared" si="127"/>
        <v>0</v>
      </c>
      <c r="T376" s="176">
        <f t="shared" si="128"/>
        <v>6</v>
      </c>
      <c r="U376" s="251">
        <f t="shared" si="129"/>
        <v>0.50003746829809126</v>
      </c>
      <c r="V376" s="383">
        <f t="shared" si="130"/>
        <v>24.101841540498295</v>
      </c>
      <c r="W376" s="402"/>
      <c r="X376" s="157">
        <f t="shared" si="131"/>
        <v>44923</v>
      </c>
      <c r="Y376" s="385">
        <f t="shared" si="132"/>
        <v>22.260319587224721</v>
      </c>
      <c r="Z376" s="385">
        <f t="shared" si="133"/>
        <v>23.09468298771149</v>
      </c>
      <c r="AA376" s="386">
        <f t="shared" si="134"/>
        <v>26.572201836009043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0.13087055674795564</v>
      </c>
      <c r="AD376" s="231">
        <f>(INDEX(Models!$BJ376:$BT376,,AH376)*(1-AF376)+INDEX(Models!$BJ376:$BT376,,AH376+1)*AF376-ERP_i)*AE376*Ramure*Pc/MaxiM</f>
        <v>4.798219707664364E-3</v>
      </c>
      <c r="AE376" s="305">
        <f t="shared" si="136"/>
        <v>0.7</v>
      </c>
      <c r="AF376" s="177">
        <f t="shared" si="137"/>
        <v>0.50003746829809126</v>
      </c>
      <c r="AG376" s="919">
        <f t="shared" si="143"/>
        <v>0</v>
      </c>
      <c r="AH376" s="176">
        <f t="shared" si="138"/>
        <v>6</v>
      </c>
      <c r="AI376" s="225">
        <f t="shared" si="139"/>
        <v>0.50003746829809126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44924</v>
      </c>
      <c r="B377" s="618">
        <v>10.07</v>
      </c>
      <c r="C377" s="953"/>
      <c r="D377" s="393">
        <f t="shared" si="122"/>
        <v>10.447673521627097</v>
      </c>
      <c r="E377" s="385">
        <f t="shared" si="144"/>
        <v>11.571520181387561</v>
      </c>
      <c r="F377" s="385">
        <f t="shared" si="123"/>
        <v>11.580679167631097</v>
      </c>
      <c r="G377" s="110">
        <f t="shared" si="145"/>
        <v>0.41362774403565017</v>
      </c>
      <c r="H377" s="412" t="b">
        <f>Wh_hp&gt;='2021'!Maxi_hp</f>
        <v>0</v>
      </c>
      <c r="I377" s="380">
        <f>IF(H377,Wh_hp,'2021'!Maxi_hp)</f>
        <v>27.222037432287717</v>
      </c>
      <c r="J377" s="85">
        <f>IF(H377,An,'2021'!An_max)</f>
        <v>2019</v>
      </c>
      <c r="K377" s="197">
        <f t="shared" si="124"/>
        <v>44924</v>
      </c>
      <c r="L377" s="147">
        <f>IF(t&lt;Tvie,1-EXP((T0-t)*PertePVj)+'2021'!Pspv,1-EXP((T0-t)*PertePVj)+Pspv)</f>
        <v>3.614905470057983E-2</v>
      </c>
      <c r="M377" s="957"/>
      <c r="N377" s="957"/>
      <c r="O377" s="48">
        <f>IF(t&lt;Tnet,'2021'!Resal+('2021'!Salim-'2021'!Resal)*(1-EXP(('2021'!Tnet-t)/('2021'!Tau_j))),Resal+(Salim-Resal)*(1-EXP((Tnet-t)/(Tau_j))))*Salcycl</f>
        <v>9.7121781939086743E-2</v>
      </c>
      <c r="P377" s="339">
        <f>(INDEX(Models!$BJ377:$BT377,,T377)*(1-R377)+INDEX(Models!$BJ377:$BT377,,T377+1)*R377-ERP_i)*Q377*Ramure*Pc/MaxiM</f>
        <v>4.8017752791161402E-3</v>
      </c>
      <c r="Q377" s="305">
        <f t="shared" si="125"/>
        <v>0.7</v>
      </c>
      <c r="R377" s="177">
        <f t="shared" si="126"/>
        <v>0.50003746829809126</v>
      </c>
      <c r="S377" s="919">
        <f t="shared" si="127"/>
        <v>0</v>
      </c>
      <c r="T377" s="176">
        <f t="shared" si="128"/>
        <v>6</v>
      </c>
      <c r="U377" s="251">
        <f t="shared" si="129"/>
        <v>0.50003746829809126</v>
      </c>
      <c r="V377" s="383">
        <f t="shared" si="130"/>
        <v>24.247837606014912</v>
      </c>
      <c r="W377" s="402"/>
      <c r="X377" s="157">
        <f t="shared" si="131"/>
        <v>44924</v>
      </c>
      <c r="Y377" s="385">
        <f t="shared" si="132"/>
        <v>9.6927834930968828</v>
      </c>
      <c r="Z377" s="385">
        <f t="shared" si="133"/>
        <v>10.056309578122393</v>
      </c>
      <c r="AA377" s="386">
        <f t="shared" si="134"/>
        <v>11.571520181387561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0.13094308954344119</v>
      </c>
      <c r="AD377" s="231">
        <f>(INDEX(Models!$BJ377:$BT377,,AH377)*(1-AF377)+INDEX(Models!$BJ377:$BT377,,AH377+1)*AF377-ERP_i)*AE377*Ramure*Pc/MaxiM</f>
        <v>4.8017752791161402E-3</v>
      </c>
      <c r="AE377" s="305">
        <f t="shared" si="136"/>
        <v>0.7</v>
      </c>
      <c r="AF377" s="177">
        <f t="shared" si="137"/>
        <v>0.50003746829809126</v>
      </c>
      <c r="AG377" s="919">
        <f t="shared" si="143"/>
        <v>0</v>
      </c>
      <c r="AH377" s="176">
        <f t="shared" si="138"/>
        <v>6</v>
      </c>
      <c r="AI377" s="225">
        <f t="shared" si="139"/>
        <v>0.50003746829809126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44925</v>
      </c>
      <c r="B378" s="618">
        <v>14.462</v>
      </c>
      <c r="C378" s="953"/>
      <c r="D378" s="393">
        <f t="shared" si="122"/>
        <v>15.004723326137244</v>
      </c>
      <c r="E378" s="385">
        <f t="shared" si="144"/>
        <v>16.621141567219166</v>
      </c>
      <c r="F378" s="385">
        <f t="shared" si="123"/>
        <v>16.654588678460939</v>
      </c>
      <c r="G378" s="110">
        <f t="shared" si="145"/>
        <v>0.59093931518321841</v>
      </c>
      <c r="H378" s="412" t="b">
        <f>Wh_hp&gt;='2021'!Maxi_hp</f>
        <v>0</v>
      </c>
      <c r="I378" s="380">
        <f>IF(H378,Wh_hp,'2021'!Maxi_hp)</f>
        <v>27.784365944966957</v>
      </c>
      <c r="J378" s="85">
        <f>IF(H378,An,'2021'!An_max)</f>
        <v>2019</v>
      </c>
      <c r="K378" s="197">
        <f t="shared" si="124"/>
        <v>44925</v>
      </c>
      <c r="L378" s="147">
        <f>IF(t&lt;Tvie,1-EXP((T0-t)*PertePVj)+'2021'!Pspv,1-EXP((T0-t)*PertePVj)+Pspv)</f>
        <v>3.6170165509940122E-2</v>
      </c>
      <c r="M378" s="957"/>
      <c r="N378" s="957"/>
      <c r="O378" s="48">
        <f>IF(t&lt;Tnet,'2021'!Resal+('2021'!Salim-'2021'!Resal)*(1-EXP(('2021'!Tnet-t)/('2021'!Tau_j))),Resal+(Salim-Resal)*(1-EXP((Tnet-t)/(Tau_j))))*Salcycl</f>
        <v>9.7250735429020269E-2</v>
      </c>
      <c r="P378" s="339">
        <f>(INDEX(Models!$BJ378:$BT378,,T378)*(1-R378)+INDEX(Models!$BJ378:$BT378,,T378+1)*R378-ERP_i)*Q378*Ramure*Pc/MaxiM</f>
        <v>4.80450753230311E-3</v>
      </c>
      <c r="Q378" s="305">
        <f t="shared" si="125"/>
        <v>0.7</v>
      </c>
      <c r="R378" s="177">
        <f t="shared" si="126"/>
        <v>0.50003746829809126</v>
      </c>
      <c r="S378" s="919">
        <f t="shared" si="127"/>
        <v>0</v>
      </c>
      <c r="T378" s="176">
        <f t="shared" si="128"/>
        <v>6</v>
      </c>
      <c r="U378" s="251">
        <f t="shared" si="129"/>
        <v>0.50003746829809126</v>
      </c>
      <c r="V378" s="383">
        <f t="shared" si="130"/>
        <v>24.40433262764904</v>
      </c>
      <c r="W378" s="402"/>
      <c r="X378" s="157">
        <f t="shared" si="131"/>
        <v>44925</v>
      </c>
      <c r="Y378" s="385">
        <f t="shared" si="132"/>
        <v>13.921082964171827</v>
      </c>
      <c r="Z378" s="385">
        <f t="shared" si="133"/>
        <v>14.443507003014853</v>
      </c>
      <c r="AA378" s="386">
        <f t="shared" si="134"/>
        <v>16.621141567219166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0.13101594468692354</v>
      </c>
      <c r="AD378" s="231">
        <f>(INDEX(Models!$BJ378:$BT378,,AH378)*(1-AF378)+INDEX(Models!$BJ378:$BT378,,AH378+1)*AF378-ERP_i)*AE378*Ramure*Pc/MaxiM</f>
        <v>4.80450753230311E-3</v>
      </c>
      <c r="AE378" s="305">
        <f t="shared" si="136"/>
        <v>0.7</v>
      </c>
      <c r="AF378" s="177">
        <f t="shared" si="137"/>
        <v>0.50003746829809126</v>
      </c>
      <c r="AG378" s="919">
        <f t="shared" si="143"/>
        <v>0</v>
      </c>
      <c r="AH378" s="176">
        <f t="shared" si="138"/>
        <v>6</v>
      </c>
      <c r="AI378" s="225">
        <f t="shared" si="139"/>
        <v>0.50003746829809126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44926</v>
      </c>
      <c r="B379" s="618">
        <v>10.936</v>
      </c>
      <c r="C379" s="953"/>
      <c r="D379" s="393">
        <f t="shared" si="122"/>
        <v>11.34664973044643</v>
      </c>
      <c r="E379" s="385">
        <f t="shared" si="144"/>
        <v>12.57079035925902</v>
      </c>
      <c r="F379" s="385">
        <f t="shared" si="123"/>
        <v>12.583327480473491</v>
      </c>
      <c r="G379" s="110">
        <f t="shared" si="145"/>
        <v>0.44339869450135722</v>
      </c>
      <c r="H379" s="412" t="b">
        <f>Wh_hp&gt;='2021'!Maxi_hp</f>
        <v>0</v>
      </c>
      <c r="I379" s="380">
        <f>IF(H379,Wh_hp,'2021'!Maxi_hp)</f>
        <v>28.039920073924794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3.6191275856919614E-2</v>
      </c>
      <c r="M379" s="957"/>
      <c r="N379" s="957"/>
      <c r="O379" s="48">
        <f>IF(t&lt;Tnet,'2021'!Resal+('2021'!Salim-'2021'!Resal)*(1-EXP(('2021'!Tnet-t)/('2021'!Tau_j))),Resal+(Salim-Resal)*(1-EXP((Tnet-t)/(Tau_j))))*Salcycl</f>
        <v>9.737976641309172E-2</v>
      </c>
      <c r="P379" s="339">
        <f>(INDEX(Models!$BJ379:$BT379,,T379)*(1-R379)+INDEX(Models!$BJ379:$BT379,,T379+1)*R379-ERP_i)*Q379*Ramure*Pc/MaxiM</f>
        <v>4.8066651509570393E-3</v>
      </c>
      <c r="Q379" s="306">
        <f t="shared" si="125"/>
        <v>0.7</v>
      </c>
      <c r="R379" s="177">
        <f t="shared" si="126"/>
        <v>0.50003746829809126</v>
      </c>
      <c r="S379" s="919">
        <f t="shared" si="127"/>
        <v>0</v>
      </c>
      <c r="T379" s="176">
        <f t="shared" si="128"/>
        <v>6</v>
      </c>
      <c r="U379" s="307">
        <f t="shared" si="129"/>
        <v>0.50003746829809126</v>
      </c>
      <c r="V379" s="383">
        <f t="shared" si="130"/>
        <v>24.569960916728842</v>
      </c>
      <c r="W379" s="402"/>
      <c r="X379" s="157">
        <f t="shared" si="131"/>
        <v>44926</v>
      </c>
      <c r="Y379" s="385">
        <f t="shared" si="132"/>
        <v>10.527583484328296</v>
      </c>
      <c r="Z379" s="385">
        <f t="shared" si="133"/>
        <v>10.922897065170623</v>
      </c>
      <c r="AA379" s="386">
        <f t="shared" si="134"/>
        <v>12.57079035925902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0.13108907610368667</v>
      </c>
      <c r="AD379" s="231">
        <f>(INDEX(Models!$BJ379:$BT379,,AH379)*(1-AF379)+INDEX(Models!$BJ379:$BT379,,AH379+1)*AF379-ERP_i)*AE379*Ramure*Pc/MaxiM</f>
        <v>4.8066651509570393E-3</v>
      </c>
      <c r="AE379" s="306">
        <f t="shared" si="136"/>
        <v>0.7</v>
      </c>
      <c r="AF379" s="177">
        <f t="shared" si="137"/>
        <v>0.50003746829809126</v>
      </c>
      <c r="AG379" s="919">
        <f t="shared" si="143"/>
        <v>0</v>
      </c>
      <c r="AH379" s="176">
        <f t="shared" si="138"/>
        <v>6</v>
      </c>
      <c r="AI379" s="222">
        <f t="shared" si="139"/>
        <v>0.50003746829809126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1227">
        <f>44.55*0.05</f>
        <v>2.2275</v>
      </c>
      <c r="C380" s="961"/>
      <c r="D380" s="401"/>
      <c r="E380" s="387"/>
      <c r="F380" s="387"/>
      <c r="G380" s="122"/>
      <c r="H380" s="412" t="b">
        <f>Wh_hp&gt;='2021'!Maxi_hp</f>
        <v>0</v>
      </c>
      <c r="I380" s="380">
        <f>IF(H380,Wh_hp,'2021'!Maxi_hp)</f>
        <v>15.624559392660943</v>
      </c>
      <c r="J380" s="85">
        <f>IF(H380,An,'2021'!An_max)</f>
        <v>2020</v>
      </c>
      <c r="K380" s="234"/>
      <c r="L380" s="214"/>
      <c r="M380" s="962"/>
      <c r="N380" s="962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46">MIN(L15:L380)</f>
        <v>2.8476481003271603E-2</v>
      </c>
      <c r="M381" s="959"/>
      <c r="N381" s="959"/>
      <c r="O381" s="47">
        <f t="shared" si="146"/>
        <v>3.1366798344515431E-2</v>
      </c>
      <c r="P381" s="341">
        <f t="shared" si="146"/>
        <v>2.8674586205045048E-4</v>
      </c>
      <c r="Q381" s="310">
        <f t="shared" si="146"/>
        <v>0.7</v>
      </c>
      <c r="R381" s="311">
        <f t="shared" si="146"/>
        <v>3.8741334262374074E-5</v>
      </c>
      <c r="S381" s="919">
        <f t="shared" si="146"/>
        <v>0</v>
      </c>
      <c r="T381" s="176">
        <f t="shared" si="146"/>
        <v>6</v>
      </c>
      <c r="U381" s="252">
        <f>+MIN(U15:U380)</f>
        <v>3.8741334262374074E-5</v>
      </c>
      <c r="V381" s="373">
        <f>MIN(V15:V380)</f>
        <v>23.295801612887555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47">MIN(AC15:AC380)</f>
        <v>9.197045577807017E-2</v>
      </c>
      <c r="AD381" s="168">
        <f t="shared" si="147"/>
        <v>2.8674586205045048E-4</v>
      </c>
      <c r="AE381" s="310">
        <f t="shared" si="147"/>
        <v>0.7</v>
      </c>
      <c r="AF381" s="311">
        <f t="shared" si="147"/>
        <v>3.8741334262374074E-5</v>
      </c>
      <c r="AG381" s="919">
        <f t="shared" si="147"/>
        <v>0</v>
      </c>
      <c r="AH381" s="176">
        <f t="shared" si="147"/>
        <v>6</v>
      </c>
      <c r="AI381" s="226">
        <f>MIN(AI15:AI380)</f>
        <v>3.8741334262374074E-5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29.22996994535519</v>
      </c>
      <c r="C382" s="375"/>
      <c r="D382" s="375">
        <f>AVERAGE(D15:D380)</f>
        <v>30.279278873138615</v>
      </c>
      <c r="E382" s="375">
        <f>AVERAGE(E15:E380)</f>
        <v>32.531386494736758</v>
      </c>
      <c r="F382" s="376">
        <f>AVERAGE(F15:F380)</f>
        <v>32.592869159811571</v>
      </c>
      <c r="G382" s="126">
        <f>AVERAGE(G15:G380)</f>
        <v>0.67822683437747855</v>
      </c>
      <c r="H382" s="94"/>
      <c r="I382" s="376">
        <f>AVERAGE(I15:I380)</f>
        <v>43.975299211844536</v>
      </c>
      <c r="J382" s="59">
        <f>AVERAGE(J15:J380)</f>
        <v>2020.1639344262296</v>
      </c>
      <c r="K382" s="200" t="s">
        <v>8</v>
      </c>
      <c r="L382" s="147">
        <f t="shared" ref="L382:V382" si="148">AVERAGE(L15:L380)</f>
        <v>3.2338989938313863E-2</v>
      </c>
      <c r="M382" s="957"/>
      <c r="N382" s="957"/>
      <c r="O382" s="48">
        <f t="shared" si="148"/>
        <v>6.918520981535943E-2</v>
      </c>
      <c r="P382" s="169">
        <f t="shared" si="148"/>
        <v>2.4239828102104047E-3</v>
      </c>
      <c r="Q382" s="312">
        <f t="shared" si="148"/>
        <v>0.69999999999999529</v>
      </c>
      <c r="R382" s="177">
        <f t="shared" si="148"/>
        <v>0.27992233833340618</v>
      </c>
      <c r="S382" s="919">
        <f t="shared" si="148"/>
        <v>0</v>
      </c>
      <c r="T382" s="176">
        <f t="shared" si="148"/>
        <v>6</v>
      </c>
      <c r="U382" s="251">
        <f t="shared" si="148"/>
        <v>0.27992233833340618</v>
      </c>
      <c r="V382" s="375">
        <f t="shared" si="148"/>
        <v>42.008662886630717</v>
      </c>
      <c r="W382" s="392"/>
      <c r="X382" s="112" t="s">
        <v>8</v>
      </c>
      <c r="Y382" s="375">
        <f>AVERAGE(Y15:Y380)</f>
        <v>27.819618250171402</v>
      </c>
      <c r="Z382" s="375">
        <f>AVERAGE(Z15:Z380)</f>
        <v>28.745871821011335</v>
      </c>
      <c r="AA382" s="375">
        <f>AVERAGE(AA15:AA380)</f>
        <v>32.531386494736758</v>
      </c>
      <c r="AB382" s="200" t="s">
        <v>8</v>
      </c>
      <c r="AC382" s="48">
        <f t="shared" ref="AC382:AH382" si="149">AVERAGE(AC15:AC380)</f>
        <v>0.11594789553436062</v>
      </c>
      <c r="AD382" s="169">
        <f t="shared" si="149"/>
        <v>2.4239828102104047E-3</v>
      </c>
      <c r="AE382" s="312">
        <f t="shared" si="149"/>
        <v>0.69999999999999529</v>
      </c>
      <c r="AF382" s="177">
        <f t="shared" si="149"/>
        <v>0.27992233833340618</v>
      </c>
      <c r="AG382" s="919">
        <f t="shared" si="149"/>
        <v>0</v>
      </c>
      <c r="AH382" s="176">
        <f t="shared" si="149"/>
        <v>6</v>
      </c>
      <c r="AI382" s="225">
        <f>AVERAGE(AI15:AI380)</f>
        <v>0.27992233833340618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54.369</v>
      </c>
      <c r="C383" s="377"/>
      <c r="D383" s="377">
        <f>MAX(D15:D380)</f>
        <v>56.144322070404108</v>
      </c>
      <c r="E383" s="377">
        <f>MAX(E15:E380)</f>
        <v>60.033502286052865</v>
      </c>
      <c r="F383" s="378">
        <f>MAX(F15:F380)</f>
        <v>60.258802059722221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2022</v>
      </c>
      <c r="K383" s="200" t="s">
        <v>9</v>
      </c>
      <c r="L383" s="148">
        <f t="shared" ref="L383:T383" si="150">MAX(L15:L380)</f>
        <v>3.6191275856919614E-2</v>
      </c>
      <c r="M383" s="960"/>
      <c r="N383" s="960"/>
      <c r="O383" s="49">
        <f t="shared" si="150"/>
        <v>9.737976641309172E-2</v>
      </c>
      <c r="P383" s="170">
        <f t="shared" si="150"/>
        <v>6.0958134014999438E-3</v>
      </c>
      <c r="Q383" s="313">
        <f t="shared" si="150"/>
        <v>0.7</v>
      </c>
      <c r="R383" s="314">
        <f t="shared" si="150"/>
        <v>0.50003746829809126</v>
      </c>
      <c r="S383" s="920">
        <f t="shared" si="150"/>
        <v>0</v>
      </c>
      <c r="T383" s="233">
        <f t="shared" si="150"/>
        <v>6</v>
      </c>
      <c r="U383" s="253">
        <f>+MAX(U15:U380)</f>
        <v>0.50003746829809126</v>
      </c>
      <c r="V383" s="377">
        <f>MAX(V15:V380)</f>
        <v>54.173419686304157</v>
      </c>
      <c r="W383" s="392"/>
      <c r="X383" s="112" t="s">
        <v>9</v>
      </c>
      <c r="Y383" s="377">
        <f>MAX(Y15:Y380)</f>
        <v>51.511657318713496</v>
      </c>
      <c r="Z383" s="377">
        <f>MAX(Z15:Z380)</f>
        <v>53.193677994484716</v>
      </c>
      <c r="AA383" s="377">
        <f>MAX(AA15:AA380)</f>
        <v>60.033502286052865</v>
      </c>
      <c r="AB383" s="200" t="s">
        <v>9</v>
      </c>
      <c r="AC383" s="49">
        <f t="shared" ref="AC383:AH383" si="151">MAX(AC15:AC380)</f>
        <v>0.13108907610368667</v>
      </c>
      <c r="AD383" s="170">
        <f t="shared" si="151"/>
        <v>6.0958134014999438E-3</v>
      </c>
      <c r="AE383" s="313">
        <f t="shared" si="151"/>
        <v>0.7</v>
      </c>
      <c r="AF383" s="314">
        <f t="shared" si="151"/>
        <v>0.50003746829809126</v>
      </c>
      <c r="AG383" s="920">
        <f t="shared" si="151"/>
        <v>0</v>
      </c>
      <c r="AH383" s="233">
        <f t="shared" si="151"/>
        <v>6</v>
      </c>
      <c r="AI383" s="227">
        <f>MAX(AI15:AI380)</f>
        <v>0.50003746829809126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88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2"/>
      <c r="AK384" s="942"/>
      <c r="AL384" s="942"/>
      <c r="AM384" s="942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4" priority="3" stopIfTrue="1" operator="lessThan">
      <formula>0.01</formula>
    </cfRule>
    <cfRule type="cellIs" dxfId="2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791</vt:i4>
      </vt:variant>
    </vt:vector>
  </HeadingPairs>
  <TitlesOfParts>
    <vt:vector size="805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PousHci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Z_sol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2023-01-22T15:28:43Z</dcterms:modified>
</cp:coreProperties>
</file>